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3.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omments4.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omments5.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mc:AlternateContent xmlns:mc="http://schemas.openxmlformats.org/markup-compatibility/2006">
    <mc:Choice Requires="x15">
      <x15ac:absPath xmlns:x15ac="http://schemas.microsoft.com/office/spreadsheetml/2010/11/ac" url="C:\Users\ngovn\Desktop\TRM\"/>
    </mc:Choice>
  </mc:AlternateContent>
  <xr:revisionPtr revIDLastSave="0" documentId="8_{C302A26A-1919-4B24-B54E-61AF98A0C169}" xr6:coauthVersionLast="47" xr6:coauthVersionMax="47" xr10:uidLastSave="{00000000-0000-0000-0000-000000000000}"/>
  <bookViews>
    <workbookView xWindow="-120" yWindow="-120" windowWidth="29040" windowHeight="15720" tabRatio="805" firstSheet="1" activeTab="1" xr2:uid="{00000000-000D-0000-FFFF-FFFF00000000}"/>
  </bookViews>
  <sheets>
    <sheet name="Issues Log" sheetId="128" state="hidden" r:id="rId1"/>
    <sheet name="Cover Page" sheetId="135" r:id="rId2"/>
    <sheet name="TOC" sheetId="124" r:id="rId3"/>
    <sheet name="Changes from PY23" sheetId="118" r:id="rId4"/>
    <sheet name="Introduction" sheetId="104" r:id="rId5"/>
    <sheet name="Signatures" sheetId="110" r:id="rId6"/>
    <sheet name="Glossary" sheetId="81" r:id="rId7"/>
    <sheet name="C&amp;S Tracking" sheetId="146" r:id="rId8"/>
    <sheet name="Key Metrics" sheetId="105" r:id="rId9"/>
    <sheet name="PY25-PY27 Avoided Costs" sheetId="167" r:id="rId10"/>
    <sheet name="Master EUL" sheetId="109" r:id="rId11"/>
    <sheet name="Savings Factors" sheetId="106" r:id="rId12"/>
    <sheet name="EFLH &amp; CF" sheetId="112" r:id="rId13"/>
    <sheet name="Custom" sheetId="114" r:id="rId14"/>
    <sheet name="---------------------------" sheetId="123" r:id="rId15"/>
    <sheet name="C_Appliance_Refrigerator" sheetId="5" r:id="rId16"/>
    <sheet name="C_BEnvelope_Cool Roof" sheetId="4" r:id="rId17"/>
    <sheet name="C_BEnvelope_Window Film" sheetId="3" r:id="rId18"/>
    <sheet name="C_Kitchen_Combination Oven" sheetId="93" r:id="rId19"/>
    <sheet name="C_Kitchen_Convection Oven" sheetId="14" r:id="rId20"/>
    <sheet name="C_Kitchen_DCV" sheetId="94" r:id="rId21"/>
    <sheet name="C_Kitchen_Electric Griddle" sheetId="95" r:id="rId22"/>
    <sheet name="C_Kitchen_Electric Steam Cooker" sheetId="92" r:id="rId23"/>
    <sheet name="C_Kitchen_Fryer" sheetId="97" r:id="rId24"/>
    <sheet name="C_Kitchen_HF Holding Cabinet" sheetId="96" r:id="rId25"/>
    <sheet name="C_Kitchen_Ice Machine" sheetId="98" r:id="rId26"/>
    <sheet name="C_Kitchen_LF Spray Nozzle" sheetId="99" r:id="rId27"/>
    <sheet name="C_Kitchen_Freezer" sheetId="100" r:id="rId28"/>
    <sheet name="C_Kitchen_Refrigerator" sheetId="101" r:id="rId29"/>
    <sheet name="C_Kitchen_Dishwasher" sheetId="154" r:id="rId30"/>
    <sheet name="C_ESG_Design Assistance" sheetId="15" r:id="rId31"/>
    <sheet name="C_ESG_Energy Study" sheetId="16" r:id="rId32"/>
    <sheet name="C_HVAC_Chiller" sheetId="17" r:id="rId33"/>
    <sheet name="C_HVAC_Chiller_WKST" sheetId="115" r:id="rId34"/>
    <sheet name="C_HVAC_AC &amp; Heat Pump" sheetId="18" r:id="rId35"/>
    <sheet name="C_HVAC_AC_HP_WKST" sheetId="116" r:id="rId36"/>
    <sheet name="C_HVAC_Window AC" sheetId="144" r:id="rId37"/>
    <sheet name="C_HVAC_WindowAC_WKST" sheetId="145" r:id="rId38"/>
    <sheet name="C_HVAC_VFD Water Pump" sheetId="20" r:id="rId39"/>
    <sheet name="C_HVAC_VFD Water Pump Reference" sheetId="127" r:id="rId40"/>
    <sheet name="C_HVAC_VRF" sheetId="21" r:id="rId41"/>
    <sheet name="C_HVAC_VRF_WKST" sheetId="133" r:id="rId42"/>
    <sheet name="C_HVAC_EMS" sheetId="19" r:id="rId43"/>
    <sheet name="C_Light_General" sheetId="113" r:id="rId44"/>
    <sheet name="C_Light_Downlight Retrofit" sheetId="155" r:id="rId45"/>
    <sheet name="C_Light_Exterior" sheetId="132" r:id="rId46"/>
    <sheet name="C_Light_Dimmable(Nonlinear LED)" sheetId="57" r:id="rId47"/>
    <sheet name="C_Lighting_Refrigerated Case" sheetId="87" r:id="rId48"/>
    <sheet name="C_Light_Occupancy Sensor" sheetId="23" r:id="rId49"/>
    <sheet name="C_Light_Stairwell Bi-Level" sheetId="24" r:id="rId50"/>
    <sheet name="C_Light_Horticulture" sheetId="164" r:id="rId51"/>
    <sheet name="C_Light_Energy Advantage" sheetId="119" r:id="rId52"/>
    <sheet name="C_PlugProcess_ASH Control" sheetId="32" r:id="rId53"/>
    <sheet name="C_PlugProcess_Vending Miser" sheetId="30" r:id="rId54"/>
    <sheet name="C_PlugProcess_Water Cooler Tmr" sheetId="29" r:id="rId55"/>
    <sheet name="C_PlugProcess_Case Night Cover" sheetId="76" r:id="rId56"/>
    <sheet name="C_PumpMotor_VFD Booster Pump" sheetId="25" r:id="rId57"/>
    <sheet name="C_PumpMotor_ECM" sheetId="31" r:id="rId58"/>
    <sheet name="C_PumpMotor_PE Motor" sheetId="126" r:id="rId59"/>
    <sheet name="C_PumpMotor_VFD Pool Pump" sheetId="26" r:id="rId60"/>
    <sheet name="C_Refrig_Evap Motor Control" sheetId="147" r:id="rId61"/>
    <sheet name="C_Refrig_Add Case Doors" sheetId="148" r:id="rId62"/>
    <sheet name="C_Refrig_FHP Control" sheetId="149" r:id="rId63"/>
    <sheet name="C_SubMeter_Condominium" sheetId="27" r:id="rId64"/>
    <sheet name="C_SubMeter_Small Business" sheetId="58" r:id="rId65"/>
    <sheet name="Dropdown" sheetId="131" state="hidden" r:id="rId66"/>
    <sheet name="C_WH_Solar" sheetId="35" r:id="rId67"/>
    <sheet name="C_WH_Heat Pump" sheetId="153" r:id="rId68"/>
    <sheet name="C_Other_Re|Retro-Commissioning" sheetId="59" r:id="rId69"/>
    <sheet name="C_Other_Transformer" sheetId="165" r:id="rId70"/>
    <sheet name="C_Other_Transformer_WKST" sheetId="166" r:id="rId71"/>
    <sheet name="-------------------------------" sheetId="37" r:id="rId72"/>
    <sheet name="R_Appliance_Clothes Washer" sheetId="60" r:id="rId73"/>
    <sheet name="R_Appliance_Heat Pump Dryer" sheetId="161" r:id="rId74"/>
    <sheet name="R_Appliance_Clothes Dryer" sheetId="61" r:id="rId75"/>
    <sheet name="R_Appliance_Refrigerator" sheetId="62" r:id="rId76"/>
    <sheet name="R_Appliance_Dishwasher" sheetId="140" r:id="rId77"/>
    <sheet name="R_Appliance_Air Purifier" sheetId="136" r:id="rId78"/>
    <sheet name="R_Appliance_Induction Cooktop" sheetId="162" r:id="rId79"/>
    <sheet name="R_BEnvelope_Cool Wall" sheetId="151" r:id="rId80"/>
    <sheet name="R_Electronics_Television" sheetId="41" r:id="rId81"/>
    <sheet name="R_Electronics_Soundbar" sheetId="1" r:id="rId82"/>
    <sheet name="R_HVAC_Window AC" sheetId="43" r:id="rId83"/>
    <sheet name="R_HVAC_Ductless" sheetId="156" r:id="rId84"/>
    <sheet name="R_HVAC_Central AC Retrofit" sheetId="160" r:id="rId85"/>
    <sheet name="R_HVAC_AC_WKST" sheetId="159" r:id="rId86"/>
    <sheet name="R_HVAC_Central AC Tune Up" sheetId="64" r:id="rId87"/>
    <sheet name="R_HVAC_Ceiling Fan" sheetId="46" r:id="rId88"/>
    <sheet name="R_HVAC_Smart Thermostat" sheetId="102" r:id="rId89"/>
    <sheet name="R_HVAC_Solar Attic Fan" sheetId="47" r:id="rId90"/>
    <sheet name="R_HVAC_Whole House Fan" sheetId="48" r:id="rId91"/>
    <sheet name="R_HVAC_Dehumidifier" sheetId="137" r:id="rId92"/>
    <sheet name="R_Light_LED" sheetId="50" r:id="rId93"/>
    <sheet name="R_Light_Occupancy Sensor" sheetId="91" r:id="rId94"/>
    <sheet name="R_Light_Linear LED" sheetId="141" r:id="rId95"/>
    <sheet name="R_Light_Security Light" sheetId="142" r:id="rId96"/>
    <sheet name="R_Light_Holiday String Light" sheetId="143" r:id="rId97"/>
    <sheet name="R_Light_Solar Tube" sheetId="152" r:id="rId98"/>
    <sheet name="R_PlugProcess_Adv Power Strip" sheetId="51" r:id="rId99"/>
    <sheet name="R_PlugProcess_Switch Plug" sheetId="138" r:id="rId100"/>
    <sheet name="R_PlugProcess_Switch_Plug_CALC" sheetId="139" r:id="rId101"/>
    <sheet name="R_PlugProcess_EV Charger" sheetId="163" r:id="rId102"/>
    <sheet name="R_PumpMotor_VFD Pool Pump" sheetId="65" r:id="rId103"/>
    <sheet name="R_WH_Heat Pump" sheetId="53" r:id="rId104"/>
    <sheet name="R_WH_SWH" sheetId="66" r:id="rId105"/>
    <sheet name="R_WH_SWH Tune Up" sheetId="67" r:id="rId106"/>
    <sheet name="R_WH_Faucet Aerator" sheetId="108" r:id="rId107"/>
    <sheet name="R_WH_LFShowerhead" sheetId="83" r:id="rId108"/>
    <sheet name="MASTER" sheetId="42" state="hidden" r:id="rId109"/>
    <sheet name="Revision Log (internal)" sheetId="79" state="hidden" r:id="rId110"/>
    <sheet name="OLD_Delete_Transformer" sheetId="33" state="hidden" r:id="rId111"/>
    <sheet name="OLD_CFL" sheetId="85" state="hidden" r:id="rId112"/>
    <sheet name="OLD_Other_Direct Install Kit" sheetId="70" state="hidden" r:id="rId113"/>
    <sheet name="OLD_HVAC_Chiller (2)" sheetId="111" state="hidden" r:id="rId114"/>
    <sheet name="OLD_C_WH_Heat Pump" sheetId="34" state="hidden" r:id="rId115"/>
  </sheets>
  <externalReferences>
    <externalReference r:id="rId116"/>
    <externalReference r:id="rId117"/>
    <externalReference r:id="rId118"/>
    <externalReference r:id="rId119"/>
    <externalReference r:id="rId120"/>
  </externalReferences>
  <definedNames>
    <definedName name="_xlnm._FilterDatabase" localSheetId="45" hidden="1">C_Light_Exterior!$B$79:$B$86</definedName>
    <definedName name="_xlnm._FilterDatabase" localSheetId="43" hidden="1">C_Light_General!#REF!</definedName>
    <definedName name="_xlnm._FilterDatabase" localSheetId="50" hidden="1">C_Light_Horticulture!$B$114:$B$120</definedName>
    <definedName name="_xlnm._FilterDatabase" localSheetId="48" hidden="1">'C_Light_Occupancy Sensor'!$B$114:$B$137</definedName>
    <definedName name="_xlnm._FilterDatabase" localSheetId="49" hidden="1">'C_Light_Stairwell Bi-Level'!$B$85:$AF$93</definedName>
    <definedName name="_xlnm._FilterDatabase" localSheetId="47" hidden="1">'C_Lighting_Refrigerated Case'!$B$151:$B$163</definedName>
    <definedName name="_xlnm._FilterDatabase" localSheetId="3" hidden="1">'Changes from PY23'!$A$4:$O$15</definedName>
    <definedName name="_xlnm._FilterDatabase" localSheetId="0" hidden="1">'Issues Log'!$A$2:$G$259</definedName>
    <definedName name="_xlnm._FilterDatabase" localSheetId="104" hidden="1">R_WH_SWH!#REF!</definedName>
    <definedName name="_xlnm._FilterDatabase" localSheetId="109" hidden="1">'Revision Log (internal)'!$A$1:$D$46</definedName>
    <definedName name="_Toc513412350" localSheetId="13">Custom!$A$1</definedName>
    <definedName name="_Toc513412351" localSheetId="13">Custom!#REF!</definedName>
    <definedName name="_Toc513412352" localSheetId="13">Custom!$A$24</definedName>
    <definedName name="_Toc513412353" localSheetId="13">Custom!#REF!</definedName>
    <definedName name="_Toc513412354" localSheetId="13">Custom!$A$27</definedName>
    <definedName name="_Toc513412355" localSheetId="13">Custom!$A$36</definedName>
    <definedName name="Cooling_CF">C_Other_Transformer_WKST!$J$47:$L$57</definedName>
    <definedName name="DOE2016.NLL">C_Other_Transformer_WKST!$G$47:$H$69</definedName>
    <definedName name="EFLH">C_Other_Transformer_WKST!$J$47:$K$57</definedName>
    <definedName name="EUL">C_Other_Transformer_WKST!$P$46:$P$47</definedName>
    <definedName name="EventType">C_Other_Transformer_WKST!$N$46:$N$47</definedName>
    <definedName name="IF" localSheetId="45">C_Light_Exterior!#REF!</definedName>
    <definedName name="IF" localSheetId="43">C_Light_General!#REF!</definedName>
    <definedName name="IF" localSheetId="50">C_Light_Horticulture!#REF!</definedName>
    <definedName name="IntEff" localSheetId="39">#REF!</definedName>
    <definedName name="IntEff" localSheetId="45">C_Light_Exterior!#REF!</definedName>
    <definedName name="IntEff" localSheetId="43">C_Light_General!#REF!</definedName>
    <definedName name="IntEff" localSheetId="50">C_Light_Horticulture!#REF!</definedName>
    <definedName name="IntEff" localSheetId="0">#REF!</definedName>
    <definedName name="IntEff">#REF!</definedName>
    <definedName name="IntEff2" localSheetId="50">#REF!</definedName>
    <definedName name="IntEff2">#REF!</definedName>
    <definedName name="LgtOpHrs" localSheetId="39">#REF!</definedName>
    <definedName name="LgtOpHrs" localSheetId="45">C_Light_Exterior!#REF!</definedName>
    <definedName name="LgtOpHrs" localSheetId="43">C_Light_General!#REF!</definedName>
    <definedName name="LgtOpHrs" localSheetId="50">C_Light_Horticulture!#REF!</definedName>
    <definedName name="LgtOpHrs" localSheetId="0">#REF!</definedName>
    <definedName name="LgtOpHrs">#REF!</definedName>
    <definedName name="LgtOpHrs2" localSheetId="50">#REF!</definedName>
    <definedName name="LgtOpHrs2">#REF!</definedName>
    <definedName name="LgtOpHrsCF" localSheetId="45">C_Light_Exterior!#REF!</definedName>
    <definedName name="LgtOpHrsCF" localSheetId="43">C_Light_General!#REF!</definedName>
    <definedName name="LgtOpHrsCF" localSheetId="50">C_Light_Horticulture!#REF!</definedName>
    <definedName name="PF" localSheetId="45">C_Light_Exterior!#REF!</definedName>
    <definedName name="PF" localSheetId="43">C_Light_General!#REF!</definedName>
    <definedName name="PF" localSheetId="50">C_Light_Horticulture!#REF!</definedName>
    <definedName name="PreTP1.NLL">C_Other_Transformer_WKST!$D$47:$E$69</definedName>
    <definedName name="_xlnm.Print_Area" localSheetId="7">'C&amp;S Tracking'!$A$1:$G$111</definedName>
    <definedName name="_xlnm.Print_Area" localSheetId="35">C_HVAC_AC_HP_WKST!$A$1:$L$114</definedName>
    <definedName name="_xlnm.Print_Area" localSheetId="33">C_HVAC_Chiller_WKST!$A$1:$K$72</definedName>
    <definedName name="_xlnm.Print_Area" localSheetId="39">'C_HVAC_VFD Water Pump Reference'!$A$1:$H$341</definedName>
    <definedName name="_xlnm.Print_Area" localSheetId="41">C_HVAC_VRF_WKST!$A$1:$O$97</definedName>
    <definedName name="_xlnm.Print_Area" localSheetId="37">C_HVAC_WindowAC_WKST!$A$1:$P$37</definedName>
    <definedName name="_xlnm.Print_Area" localSheetId="46">'C_Light_Dimmable(Nonlinear LED)'!$A$1:$AJ$210</definedName>
    <definedName name="_xlnm.Print_Area" localSheetId="45">C_Light_Exterior!$A$1:$AF$86</definedName>
    <definedName name="_xlnm.Print_Area" localSheetId="43">C_Light_General!#REF!</definedName>
    <definedName name="_xlnm.Print_Area" localSheetId="50">C_Light_Horticulture!$A$1:$AO$120</definedName>
    <definedName name="_xlnm.Print_Area" localSheetId="61">'C_Refrig_Add Case Doors'!$A:$AF</definedName>
    <definedName name="_xlnm.Print_Area" localSheetId="60">'C_Refrig_Evap Motor Control'!$A:$AF</definedName>
    <definedName name="_xlnm.Print_Area" localSheetId="62">'C_Refrig_FHP Control'!$A:$AF</definedName>
    <definedName name="_xlnm.Print_Area" localSheetId="13">Custom!$A$1:$AF$58</definedName>
    <definedName name="_xlnm.Print_Area" localSheetId="6">Glossary!$A$1:$AF$166</definedName>
    <definedName name="_xlnm.Print_Area" localSheetId="8">'Key Metrics'!$A$1:$AP$298</definedName>
    <definedName name="_xlnm.Print_Area" localSheetId="100">R_PlugProcess_Switch_Plug_CALC!$A$1:$F$106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1" i="87" l="1"/>
  <c r="Q80" i="87"/>
  <c r="Q79" i="87"/>
  <c r="Q78" i="87"/>
  <c r="Q75" i="87"/>
  <c r="O177" i="113"/>
  <c r="O176" i="113"/>
  <c r="O175" i="113"/>
  <c r="O174" i="113"/>
  <c r="O173" i="113"/>
  <c r="I66" i="23" s="1"/>
  <c r="O172" i="113"/>
  <c r="I65" i="23" s="1"/>
  <c r="O171" i="113"/>
  <c r="I64" i="23" s="1"/>
  <c r="O170" i="113"/>
  <c r="I63" i="23" s="1"/>
  <c r="O169" i="113"/>
  <c r="I62" i="23" s="1"/>
  <c r="O168" i="113"/>
  <c r="I61" i="23" s="1"/>
  <c r="O167" i="113"/>
  <c r="L177" i="113"/>
  <c r="L176" i="113"/>
  <c r="L175" i="113"/>
  <c r="L174" i="113"/>
  <c r="L173" i="113"/>
  <c r="L172" i="113"/>
  <c r="L171" i="113"/>
  <c r="L170" i="113"/>
  <c r="L169" i="113"/>
  <c r="L168" i="113"/>
  <c r="L167" i="113"/>
  <c r="H177" i="113"/>
  <c r="H176" i="113"/>
  <c r="H175" i="113"/>
  <c r="H174" i="113"/>
  <c r="H173" i="113"/>
  <c r="H172" i="113"/>
  <c r="H171" i="113"/>
  <c r="H170" i="113"/>
  <c r="H169" i="113"/>
  <c r="H168" i="113"/>
  <c r="H167" i="113"/>
  <c r="E177" i="113"/>
  <c r="E176" i="113"/>
  <c r="E175" i="113"/>
  <c r="E174" i="113"/>
  <c r="E173" i="113"/>
  <c r="E172" i="113"/>
  <c r="E171" i="113"/>
  <c r="E170" i="113"/>
  <c r="E169" i="113"/>
  <c r="E168" i="113"/>
  <c r="E167" i="113"/>
  <c r="AD156" i="113"/>
  <c r="Q70" i="23" s="1"/>
  <c r="AD155" i="113"/>
  <c r="Q69" i="23" s="1"/>
  <c r="AD154" i="113"/>
  <c r="Q68" i="23" s="1"/>
  <c r="AD153" i="113"/>
  <c r="Q67" i="23" s="1"/>
  <c r="AD152" i="113"/>
  <c r="AD151" i="113"/>
  <c r="AD150" i="113"/>
  <c r="AD149" i="113"/>
  <c r="AD148" i="113"/>
  <c r="AD147" i="113"/>
  <c r="AD146" i="113"/>
  <c r="Z156" i="113"/>
  <c r="Z155" i="113"/>
  <c r="Z154" i="113"/>
  <c r="Z153" i="113"/>
  <c r="Z152" i="113"/>
  <c r="Z151" i="113"/>
  <c r="Z150" i="113"/>
  <c r="Z149" i="113"/>
  <c r="Z148" i="113"/>
  <c r="M62" i="23" s="1"/>
  <c r="Z147" i="113"/>
  <c r="M61" i="23" s="1"/>
  <c r="Z146" i="113"/>
  <c r="V156" i="113"/>
  <c r="V155" i="113"/>
  <c r="V154" i="113"/>
  <c r="V153" i="113"/>
  <c r="V152" i="113"/>
  <c r="V151" i="113"/>
  <c r="V150" i="113"/>
  <c r="V149" i="113"/>
  <c r="V148" i="113"/>
  <c r="V147" i="113"/>
  <c r="V146" i="113"/>
  <c r="R156" i="113"/>
  <c r="R155" i="113"/>
  <c r="R154" i="113"/>
  <c r="R153" i="113"/>
  <c r="R152" i="113"/>
  <c r="R151" i="113"/>
  <c r="R150" i="113"/>
  <c r="R149" i="113"/>
  <c r="R148" i="113"/>
  <c r="R147" i="113"/>
  <c r="R146" i="113"/>
  <c r="AD133" i="113"/>
  <c r="E70" i="23" s="1"/>
  <c r="AD132" i="113"/>
  <c r="E69" i="23" s="1"/>
  <c r="AD131" i="113"/>
  <c r="E68" i="23" s="1"/>
  <c r="AD130" i="113"/>
  <c r="E67" i="23" s="1"/>
  <c r="AD129" i="113"/>
  <c r="AD128" i="113"/>
  <c r="AD127" i="113"/>
  <c r="AD126" i="113"/>
  <c r="AD125" i="113"/>
  <c r="AD124" i="113"/>
  <c r="E61" i="23" s="1"/>
  <c r="AD123" i="113"/>
  <c r="Z133" i="113"/>
  <c r="Z132" i="113"/>
  <c r="Z131" i="113"/>
  <c r="Z130" i="113"/>
  <c r="Z129" i="113"/>
  <c r="Z128" i="113"/>
  <c r="Z127" i="113"/>
  <c r="Z126" i="113"/>
  <c r="Z125" i="113"/>
  <c r="Z124" i="113"/>
  <c r="Z123" i="113"/>
  <c r="V133" i="113"/>
  <c r="V132" i="113"/>
  <c r="V131" i="113"/>
  <c r="V130" i="113"/>
  <c r="V129" i="113"/>
  <c r="V128" i="113"/>
  <c r="V127" i="113"/>
  <c r="V126" i="113"/>
  <c r="V125" i="113"/>
  <c r="V124" i="113"/>
  <c r="V123" i="113"/>
  <c r="R133" i="113"/>
  <c r="R132" i="113"/>
  <c r="R131" i="113"/>
  <c r="R130" i="113"/>
  <c r="R129" i="113"/>
  <c r="R128" i="113"/>
  <c r="R127" i="113"/>
  <c r="R126" i="113"/>
  <c r="R125" i="113"/>
  <c r="R124" i="113"/>
  <c r="R123" i="113"/>
  <c r="Q46" i="23"/>
  <c r="Q66" i="23"/>
  <c r="Q65" i="23"/>
  <c r="Q64" i="23"/>
  <c r="Q63" i="23"/>
  <c r="Q62" i="23"/>
  <c r="Q61" i="23"/>
  <c r="M70" i="23"/>
  <c r="M69" i="23"/>
  <c r="M68" i="23"/>
  <c r="M67" i="23"/>
  <c r="M66" i="23"/>
  <c r="M65" i="23"/>
  <c r="M64" i="23"/>
  <c r="M63" i="23"/>
  <c r="E66" i="23"/>
  <c r="E65" i="23"/>
  <c r="E64" i="23"/>
  <c r="E63" i="23"/>
  <c r="E62" i="23"/>
  <c r="I70" i="23"/>
  <c r="I69" i="23"/>
  <c r="I68" i="23"/>
  <c r="I67" i="23"/>
  <c r="I86" i="23" l="1"/>
  <c r="Q100" i="65" l="1"/>
  <c r="Q117" i="65"/>
  <c r="Q116" i="65"/>
  <c r="Q115" i="65"/>
  <c r="Q114" i="65"/>
  <c r="Q113" i="65"/>
  <c r="Q112" i="65"/>
  <c r="Q111" i="65"/>
  <c r="Q110" i="65"/>
  <c r="Q99" i="65"/>
  <c r="I117" i="65" s="1"/>
  <c r="Q98" i="65"/>
  <c r="Q97" i="65"/>
  <c r="Q96" i="65"/>
  <c r="Q93" i="65"/>
  <c r="Q92" i="65"/>
  <c r="Q91" i="65"/>
  <c r="I115" i="65" s="1"/>
  <c r="Q90" i="65"/>
  <c r="I114" i="65" s="1"/>
  <c r="Q88" i="65"/>
  <c r="Q87" i="65"/>
  <c r="Q86" i="65"/>
  <c r="Q85" i="65"/>
  <c r="I110" i="65" s="1"/>
  <c r="Y110" i="65" l="1"/>
  <c r="Y111" i="65"/>
  <c r="Y112" i="65"/>
  <c r="Y113" i="65"/>
  <c r="Y114" i="65"/>
  <c r="Y115" i="65"/>
  <c r="Y116" i="65"/>
  <c r="Y117" i="65"/>
  <c r="I111" i="65"/>
  <c r="I112" i="65"/>
  <c r="I113" i="65"/>
  <c r="I116" i="65"/>
  <c r="P81" i="66" l="1"/>
  <c r="AD134" i="66"/>
  <c r="V134" i="66"/>
  <c r="O134" i="66"/>
  <c r="M131" i="66"/>
  <c r="Q128" i="66"/>
  <c r="X128" i="66" s="1"/>
  <c r="Q123" i="66"/>
  <c r="I123" i="66" s="1"/>
  <c r="Q122" i="66"/>
  <c r="Y122" i="66" s="1"/>
  <c r="I122" i="66"/>
  <c r="Q138" i="66" l="1"/>
  <c r="Y138" i="66" s="1"/>
  <c r="Y123" i="66"/>
  <c r="I138" i="66" l="1"/>
  <c r="Q67" i="142" l="1"/>
  <c r="Y67" i="142" s="1"/>
  <c r="I67" i="142"/>
  <c r="M59" i="142"/>
  <c r="I59" i="142"/>
  <c r="Q66" i="142" s="1"/>
  <c r="Q50" i="142"/>
  <c r="Q60" i="142" s="1"/>
  <c r="Q49" i="142"/>
  <c r="Q59" i="142" l="1"/>
  <c r="Y66" i="142" s="1"/>
  <c r="I66" i="142"/>
  <c r="Y95" i="50" l="1"/>
  <c r="Q95" i="50"/>
  <c r="Q98" i="50" s="1"/>
  <c r="Y98" i="50" s="1"/>
  <c r="I89" i="50"/>
  <c r="Q88" i="50"/>
  <c r="Y88" i="50" s="1"/>
  <c r="Q79" i="50"/>
  <c r="V78" i="50"/>
  <c r="Q72" i="50"/>
  <c r="L72" i="50"/>
  <c r="I88" i="50" s="1"/>
  <c r="I99" i="50" l="1"/>
  <c r="Q89" i="50"/>
  <c r="V79" i="50"/>
  <c r="Y89" i="50" s="1"/>
  <c r="Q99" i="50"/>
  <c r="Y99" i="50" s="1"/>
  <c r="I98" i="50"/>
  <c r="P75" i="53" l="1"/>
  <c r="AD134" i="53"/>
  <c r="V134" i="53"/>
  <c r="O134" i="53"/>
  <c r="O128" i="53"/>
  <c r="W124" i="53"/>
  <c r="Q119" i="53"/>
  <c r="I119" i="53"/>
  <c r="Q118" i="53"/>
  <c r="I118" i="53"/>
  <c r="Y118" i="53" l="1"/>
  <c r="Y119" i="53"/>
  <c r="Q138" i="53"/>
  <c r="Y138" i="53" s="1"/>
  <c r="I138" i="53" l="1"/>
  <c r="P267" i="105" l="1"/>
  <c r="P266" i="105"/>
  <c r="P265" i="105"/>
  <c r="P264" i="105"/>
  <c r="P263" i="105"/>
  <c r="P262" i="105"/>
  <c r="P261" i="105"/>
  <c r="Q100" i="26"/>
  <c r="Q117" i="26"/>
  <c r="Y117" i="26" s="1"/>
  <c r="Q116" i="26"/>
  <c r="Y116" i="26" s="1"/>
  <c r="Q115" i="26"/>
  <c r="Y115" i="26" s="1"/>
  <c r="I115" i="26"/>
  <c r="Q114" i="26"/>
  <c r="Q113" i="26"/>
  <c r="Q112" i="26"/>
  <c r="Q111" i="26"/>
  <c r="Q110" i="26"/>
  <c r="Q99" i="26"/>
  <c r="Q98" i="26"/>
  <c r="Q97" i="26"/>
  <c r="Q96" i="26"/>
  <c r="Q93" i="26"/>
  <c r="I117" i="26" s="1"/>
  <c r="Q92" i="26"/>
  <c r="I116" i="26" s="1"/>
  <c r="Q91" i="26"/>
  <c r="Q90" i="26"/>
  <c r="I114" i="26" s="1"/>
  <c r="Q88" i="26"/>
  <c r="Q87" i="26"/>
  <c r="Q86" i="26"/>
  <c r="Q85" i="26"/>
  <c r="Y110" i="26" l="1"/>
  <c r="Y111" i="26"/>
  <c r="Y112" i="26"/>
  <c r="Y113" i="26"/>
  <c r="Y114" i="26"/>
  <c r="I110" i="26"/>
  <c r="I111" i="26"/>
  <c r="I112" i="26"/>
  <c r="I113" i="26"/>
  <c r="L57" i="166" l="1"/>
  <c r="L56" i="166"/>
  <c r="L55" i="166"/>
  <c r="L54" i="166"/>
  <c r="L53" i="166"/>
  <c r="L52" i="166"/>
  <c r="L51" i="166"/>
  <c r="L50" i="166"/>
  <c r="L49" i="166"/>
  <c r="L48" i="166"/>
  <c r="L47" i="166"/>
  <c r="K57" i="166"/>
  <c r="K56" i="166"/>
  <c r="K55" i="166"/>
  <c r="K5" i="166" s="1"/>
  <c r="K54" i="166"/>
  <c r="K53" i="166"/>
  <c r="K52" i="166"/>
  <c r="K51" i="166"/>
  <c r="K50" i="166"/>
  <c r="K49" i="166"/>
  <c r="K48" i="166"/>
  <c r="K47" i="166"/>
  <c r="H69" i="166"/>
  <c r="H68" i="166"/>
  <c r="H67" i="166"/>
  <c r="H66" i="166"/>
  <c r="H65" i="166"/>
  <c r="H64" i="166"/>
  <c r="H63" i="166"/>
  <c r="H62" i="166"/>
  <c r="H61" i="166"/>
  <c r="H60" i="166"/>
  <c r="H59" i="166"/>
  <c r="H58" i="166"/>
  <c r="H57" i="166"/>
  <c r="H55" i="166"/>
  <c r="H54" i="166"/>
  <c r="H53" i="166"/>
  <c r="H52" i="166"/>
  <c r="H51" i="166"/>
  <c r="H50" i="166"/>
  <c r="H49" i="166"/>
  <c r="H48" i="166"/>
  <c r="H47" i="166"/>
  <c r="H38" i="166"/>
  <c r="J38" i="166" s="1"/>
  <c r="G38" i="166"/>
  <c r="AA38" i="166" s="1"/>
  <c r="F38" i="166"/>
  <c r="K38" i="166" s="1"/>
  <c r="AA37" i="166"/>
  <c r="H37" i="166"/>
  <c r="J37" i="166" s="1"/>
  <c r="G37" i="166"/>
  <c r="F37" i="166"/>
  <c r="K37" i="166" s="1"/>
  <c r="H36" i="166"/>
  <c r="L36" i="166" s="1"/>
  <c r="G36" i="166"/>
  <c r="AA36" i="166" s="1"/>
  <c r="F36" i="166"/>
  <c r="H35" i="166"/>
  <c r="G35" i="166"/>
  <c r="AA35" i="166" s="1"/>
  <c r="F35" i="166"/>
  <c r="AA34" i="166"/>
  <c r="H34" i="166"/>
  <c r="L34" i="166" s="1"/>
  <c r="M34" i="166" s="1"/>
  <c r="G34" i="166"/>
  <c r="F34" i="166"/>
  <c r="K34" i="166" s="1"/>
  <c r="H33" i="166"/>
  <c r="G33" i="166"/>
  <c r="AA33" i="166" s="1"/>
  <c r="F33" i="166"/>
  <c r="O33" i="166" s="1"/>
  <c r="AA32" i="166"/>
  <c r="H32" i="166"/>
  <c r="J32" i="166" s="1"/>
  <c r="G32" i="166"/>
  <c r="F32" i="166"/>
  <c r="Q32" i="166" s="1"/>
  <c r="AA31" i="166"/>
  <c r="H31" i="166"/>
  <c r="L31" i="166" s="1"/>
  <c r="G31" i="166"/>
  <c r="F31" i="166"/>
  <c r="K31" i="166" s="1"/>
  <c r="H30" i="166"/>
  <c r="J30" i="166" s="1"/>
  <c r="G30" i="166"/>
  <c r="AA30" i="166" s="1"/>
  <c r="F30" i="166"/>
  <c r="K30" i="166" s="1"/>
  <c r="H29" i="166"/>
  <c r="L29" i="166" s="1"/>
  <c r="G29" i="166"/>
  <c r="AA29" i="166" s="1"/>
  <c r="F29" i="166"/>
  <c r="K29" i="166" s="1"/>
  <c r="H28" i="166"/>
  <c r="G28" i="166"/>
  <c r="AA28" i="166" s="1"/>
  <c r="F28" i="166"/>
  <c r="K28" i="166" s="1"/>
  <c r="AA27" i="166"/>
  <c r="H27" i="166"/>
  <c r="L27" i="166" s="1"/>
  <c r="G27" i="166"/>
  <c r="F27" i="166"/>
  <c r="Q27" i="166" s="1"/>
  <c r="H26" i="166"/>
  <c r="J26" i="166" s="1"/>
  <c r="G26" i="166"/>
  <c r="AA26" i="166" s="1"/>
  <c r="F26" i="166"/>
  <c r="K26" i="166" s="1"/>
  <c r="AA25" i="166"/>
  <c r="H25" i="166"/>
  <c r="J25" i="166" s="1"/>
  <c r="G25" i="166"/>
  <c r="F25" i="166"/>
  <c r="K25" i="166" s="1"/>
  <c r="H24" i="166"/>
  <c r="L24" i="166" s="1"/>
  <c r="G24" i="166"/>
  <c r="AA24" i="166" s="1"/>
  <c r="F24" i="166"/>
  <c r="H23" i="166"/>
  <c r="G23" i="166"/>
  <c r="AA23" i="166" s="1"/>
  <c r="F23" i="166"/>
  <c r="H22" i="166"/>
  <c r="L22" i="166" s="1"/>
  <c r="M22" i="166" s="1"/>
  <c r="F22" i="166"/>
  <c r="Q22" i="166" s="1"/>
  <c r="H21" i="166"/>
  <c r="G21" i="166" s="1"/>
  <c r="AA21" i="166" s="1"/>
  <c r="F21" i="166"/>
  <c r="O21" i="166" s="1"/>
  <c r="H20" i="166"/>
  <c r="L20" i="166" s="1"/>
  <c r="F20" i="166"/>
  <c r="AA19" i="166"/>
  <c r="H19" i="166"/>
  <c r="L19" i="166" s="1"/>
  <c r="M19" i="166" s="1"/>
  <c r="G19" i="166"/>
  <c r="F19" i="166"/>
  <c r="Q19" i="166" s="1"/>
  <c r="H18" i="166"/>
  <c r="G18" i="166" s="1"/>
  <c r="AA18" i="166" s="1"/>
  <c r="F18" i="166"/>
  <c r="Q18" i="166" s="1"/>
  <c r="H17" i="166"/>
  <c r="F17" i="166"/>
  <c r="N5" i="166"/>
  <c r="G22" i="166" l="1"/>
  <c r="AA22" i="166" s="1"/>
  <c r="L32" i="166"/>
  <c r="T32" i="166" s="1"/>
  <c r="U32" i="166" s="1"/>
  <c r="O32" i="166"/>
  <c r="K32" i="166"/>
  <c r="O19" i="166"/>
  <c r="O30" i="166"/>
  <c r="Q30" i="166"/>
  <c r="R30" i="166" s="1"/>
  <c r="V30" i="166" s="1"/>
  <c r="L30" i="166"/>
  <c r="M30" i="166" s="1"/>
  <c r="R32" i="166"/>
  <c r="S32" i="166" s="1"/>
  <c r="Q21" i="166"/>
  <c r="J19" i="166"/>
  <c r="R19" i="166" s="1"/>
  <c r="K19" i="166"/>
  <c r="J22" i="166"/>
  <c r="K22" i="166" s="1"/>
  <c r="O22" i="166"/>
  <c r="L25" i="166"/>
  <c r="M25" i="166" s="1"/>
  <c r="O29" i="166"/>
  <c r="O34" i="166"/>
  <c r="J20" i="166"/>
  <c r="K20" i="166" s="1"/>
  <c r="O25" i="166"/>
  <c r="J27" i="166"/>
  <c r="R27" i="166" s="1"/>
  <c r="Q29" i="166"/>
  <c r="T29" i="166" s="1"/>
  <c r="U29" i="166" s="1"/>
  <c r="Q34" i="166"/>
  <c r="O37" i="166"/>
  <c r="Q25" i="166"/>
  <c r="R25" i="166" s="1"/>
  <c r="K27" i="166"/>
  <c r="Q37" i="166"/>
  <c r="R37" i="166" s="1"/>
  <c r="O27" i="166"/>
  <c r="L26" i="166"/>
  <c r="M26" i="166" s="1"/>
  <c r="J34" i="166"/>
  <c r="L38" i="166"/>
  <c r="M38" i="166" s="1"/>
  <c r="L37" i="166"/>
  <c r="M37" i="166" s="1"/>
  <c r="Q33" i="166"/>
  <c r="M24" i="166"/>
  <c r="M36" i="166"/>
  <c r="Q17" i="166"/>
  <c r="O17" i="166"/>
  <c r="G17" i="166"/>
  <c r="AA17" i="166" s="1"/>
  <c r="K23" i="166"/>
  <c r="Q23" i="166"/>
  <c r="O23" i="166"/>
  <c r="M29" i="166"/>
  <c r="K35" i="166"/>
  <c r="Q35" i="166"/>
  <c r="O35" i="166"/>
  <c r="L23" i="166"/>
  <c r="J23" i="166"/>
  <c r="M31" i="166"/>
  <c r="J31" i="166"/>
  <c r="L35" i="166"/>
  <c r="J35" i="166"/>
  <c r="Q24" i="166"/>
  <c r="T24" i="166" s="1"/>
  <c r="U24" i="166" s="1"/>
  <c r="O24" i="166"/>
  <c r="K24" i="166"/>
  <c r="Q36" i="166"/>
  <c r="O36" i="166"/>
  <c r="K36" i="166"/>
  <c r="T19" i="166"/>
  <c r="U19" i="166" s="1"/>
  <c r="T27" i="166"/>
  <c r="U27" i="166" s="1"/>
  <c r="M27" i="166"/>
  <c r="T22" i="166"/>
  <c r="U22" i="166" s="1"/>
  <c r="G20" i="166"/>
  <c r="Q20" i="166"/>
  <c r="O20" i="166"/>
  <c r="L17" i="166"/>
  <c r="J17" i="166"/>
  <c r="K17" i="166" s="1"/>
  <c r="J24" i="166"/>
  <c r="J36" i="166"/>
  <c r="L28" i="166"/>
  <c r="M20" i="166"/>
  <c r="J28" i="166"/>
  <c r="J18" i="166"/>
  <c r="R18" i="166" s="1"/>
  <c r="O28" i="166"/>
  <c r="J29" i="166"/>
  <c r="L18" i="166"/>
  <c r="J21" i="166"/>
  <c r="K21" i="166" s="1"/>
  <c r="Q26" i="166"/>
  <c r="R26" i="166" s="1"/>
  <c r="O26" i="166"/>
  <c r="Q28" i="166"/>
  <c r="L33" i="166"/>
  <c r="Q38" i="166"/>
  <c r="R38" i="166" s="1"/>
  <c r="O38" i="166"/>
  <c r="J33" i="166"/>
  <c r="O18" i="166"/>
  <c r="L21" i="166"/>
  <c r="Q31" i="166"/>
  <c r="O31" i="166"/>
  <c r="K33" i="166"/>
  <c r="M32" i="166" l="1"/>
  <c r="Y32" i="166" s="1"/>
  <c r="X32" i="166"/>
  <c r="Z32" i="166" s="1"/>
  <c r="T38" i="166"/>
  <c r="U38" i="166" s="1"/>
  <c r="Y38" i="166" s="1"/>
  <c r="R34" i="166"/>
  <c r="S34" i="166" s="1"/>
  <c r="X34" i="166" s="1"/>
  <c r="Z34" i="166" s="1"/>
  <c r="V32" i="166"/>
  <c r="T30" i="166"/>
  <c r="U30" i="166" s="1"/>
  <c r="Y30" i="166" s="1"/>
  <c r="S30" i="166"/>
  <c r="X30" i="166" s="1"/>
  <c r="Z30" i="166" s="1"/>
  <c r="Y19" i="166"/>
  <c r="W32" i="166"/>
  <c r="R21" i="166"/>
  <c r="V21" i="166" s="1"/>
  <c r="R17" i="166"/>
  <c r="S17" i="166" s="1"/>
  <c r="X17" i="166" s="1"/>
  <c r="T34" i="166"/>
  <c r="U34" i="166" s="1"/>
  <c r="Y34" i="166" s="1"/>
  <c r="R28" i="166"/>
  <c r="S28" i="166" s="1"/>
  <c r="X28" i="166" s="1"/>
  <c r="Z28" i="166" s="1"/>
  <c r="Y22" i="166"/>
  <c r="Y27" i="166"/>
  <c r="W27" i="166"/>
  <c r="R33" i="166"/>
  <c r="S33" i="166" s="1"/>
  <c r="X33" i="166" s="1"/>
  <c r="Z33" i="166" s="1"/>
  <c r="R29" i="166"/>
  <c r="S29" i="166" s="1"/>
  <c r="X29" i="166" s="1"/>
  <c r="Z29" i="166" s="1"/>
  <c r="T26" i="166"/>
  <c r="U26" i="166" s="1"/>
  <c r="Y26" i="166" s="1"/>
  <c r="Y24" i="166"/>
  <c r="T37" i="166"/>
  <c r="Y29" i="166"/>
  <c r="R31" i="166"/>
  <c r="V31" i="166" s="1"/>
  <c r="T25" i="166"/>
  <c r="R22" i="166"/>
  <c r="R36" i="166"/>
  <c r="S36" i="166" s="1"/>
  <c r="X36" i="166" s="1"/>
  <c r="Z36" i="166" s="1"/>
  <c r="V18" i="166"/>
  <c r="S18" i="166"/>
  <c r="V25" i="166"/>
  <c r="S25" i="166"/>
  <c r="X25" i="166" s="1"/>
  <c r="Z25" i="166" s="1"/>
  <c r="V27" i="166"/>
  <c r="S27" i="166"/>
  <c r="X27" i="166" s="1"/>
  <c r="Z27" i="166" s="1"/>
  <c r="V19" i="166"/>
  <c r="S19" i="166"/>
  <c r="X19" i="166" s="1"/>
  <c r="Z19" i="166" s="1"/>
  <c r="T17" i="166"/>
  <c r="U17" i="166" s="1"/>
  <c r="M17" i="166"/>
  <c r="M18" i="166"/>
  <c r="T18" i="166"/>
  <c r="U18" i="166" s="1"/>
  <c r="T31" i="166"/>
  <c r="K18" i="166"/>
  <c r="V38" i="166"/>
  <c r="S38" i="166"/>
  <c r="X38" i="166" s="1"/>
  <c r="Z38" i="166" s="1"/>
  <c r="R20" i="166"/>
  <c r="T20" i="166"/>
  <c r="R24" i="166"/>
  <c r="W29" i="166"/>
  <c r="T36" i="166"/>
  <c r="M33" i="166"/>
  <c r="T33" i="166"/>
  <c r="U33" i="166" s="1"/>
  <c r="AA20" i="166"/>
  <c r="W19" i="166"/>
  <c r="V37" i="166"/>
  <c r="S37" i="166"/>
  <c r="X37" i="166" s="1"/>
  <c r="Z37" i="166" s="1"/>
  <c r="M21" i="166"/>
  <c r="T21" i="166"/>
  <c r="U21" i="166" s="1"/>
  <c r="T35" i="166"/>
  <c r="U35" i="166" s="1"/>
  <c r="M35" i="166"/>
  <c r="T23" i="166"/>
  <c r="U23" i="166" s="1"/>
  <c r="M23" i="166"/>
  <c r="R23" i="166"/>
  <c r="V26" i="166"/>
  <c r="S26" i="166"/>
  <c r="X26" i="166" s="1"/>
  <c r="Z26" i="166" s="1"/>
  <c r="M28" i="166"/>
  <c r="T28" i="166"/>
  <c r="U28" i="166" s="1"/>
  <c r="W22" i="166"/>
  <c r="R35" i="166"/>
  <c r="W24" i="166"/>
  <c r="W28" i="166" l="1"/>
  <c r="W38" i="166"/>
  <c r="W30" i="166"/>
  <c r="V34" i="166"/>
  <c r="V28" i="166"/>
  <c r="S31" i="166"/>
  <c r="X31" i="166" s="1"/>
  <c r="Z31" i="166" s="1"/>
  <c r="S21" i="166"/>
  <c r="X21" i="166" s="1"/>
  <c r="Z21" i="166" s="1"/>
  <c r="V17" i="166"/>
  <c r="W34" i="166"/>
  <c r="V29" i="166"/>
  <c r="V33" i="166"/>
  <c r="W26" i="166"/>
  <c r="U37" i="166"/>
  <c r="Y37" i="166" s="1"/>
  <c r="W37" i="166"/>
  <c r="W35" i="166"/>
  <c r="S22" i="166"/>
  <c r="X22" i="166" s="1"/>
  <c r="Z22" i="166" s="1"/>
  <c r="V22" i="166"/>
  <c r="W23" i="166"/>
  <c r="V36" i="166"/>
  <c r="U25" i="166"/>
  <c r="Y25" i="166" s="1"/>
  <c r="W25" i="166"/>
  <c r="Y23" i="166"/>
  <c r="Y35" i="166"/>
  <c r="S24" i="166"/>
  <c r="X24" i="166" s="1"/>
  <c r="Z24" i="166" s="1"/>
  <c r="V24" i="166"/>
  <c r="W18" i="166"/>
  <c r="Y28" i="166"/>
  <c r="V23" i="166"/>
  <c r="S23" i="166"/>
  <c r="X23" i="166" s="1"/>
  <c r="Z23" i="166" s="1"/>
  <c r="V35" i="166"/>
  <c r="S35" i="166"/>
  <c r="X35" i="166" s="1"/>
  <c r="Z35" i="166" s="1"/>
  <c r="W33" i="166"/>
  <c r="U31" i="166"/>
  <c r="Y31" i="166" s="1"/>
  <c r="W31" i="166"/>
  <c r="W21" i="166"/>
  <c r="Y33" i="166"/>
  <c r="Y21" i="166"/>
  <c r="U36" i="166"/>
  <c r="Y36" i="166" s="1"/>
  <c r="W36" i="166"/>
  <c r="U20" i="166"/>
  <c r="Y20" i="166" s="1"/>
  <c r="W20" i="166"/>
  <c r="Y18" i="166"/>
  <c r="V20" i="166"/>
  <c r="S20" i="166"/>
  <c r="X20" i="166" s="1"/>
  <c r="Z20" i="166" s="1"/>
  <c r="W17" i="166"/>
  <c r="X18" i="166"/>
  <c r="Z18" i="166" s="1"/>
  <c r="Y17" i="166"/>
  <c r="V39" i="166" l="1"/>
  <c r="Y39" i="166"/>
  <c r="Z17" i="166"/>
  <c r="Z39" i="166" s="1"/>
  <c r="W39" i="166"/>
  <c r="X39" i="166"/>
  <c r="U68" i="155" l="1"/>
  <c r="Y68" i="155" s="1"/>
  <c r="Q68" i="155"/>
  <c r="M68" i="155"/>
  <c r="I68" i="155"/>
  <c r="I103" i="155" s="1"/>
  <c r="U67" i="155"/>
  <c r="Q67" i="155"/>
  <c r="M67" i="155"/>
  <c r="I67" i="155"/>
  <c r="I102" i="155" s="1"/>
  <c r="U66" i="155"/>
  <c r="Y66" i="155" s="1"/>
  <c r="Q66" i="155"/>
  <c r="M66" i="155"/>
  <c r="I66" i="155"/>
  <c r="I101" i="155" s="1"/>
  <c r="U65" i="155"/>
  <c r="Y65" i="155" s="1"/>
  <c r="Q65" i="155"/>
  <c r="M65" i="155"/>
  <c r="I65" i="155"/>
  <c r="I100" i="155" s="1"/>
  <c r="U64" i="155"/>
  <c r="Y64" i="155" s="1"/>
  <c r="Q64" i="155"/>
  <c r="M64" i="155"/>
  <c r="I64" i="155"/>
  <c r="I99" i="155" s="1"/>
  <c r="U63" i="155"/>
  <c r="Q63" i="155"/>
  <c r="M63" i="155"/>
  <c r="I63" i="155"/>
  <c r="I98" i="155" s="1"/>
  <c r="U62" i="155"/>
  <c r="Q62" i="155"/>
  <c r="M62" i="155"/>
  <c r="I62" i="155"/>
  <c r="I97" i="155" s="1"/>
  <c r="U61" i="155"/>
  <c r="Y61" i="155" s="1"/>
  <c r="Q61" i="155"/>
  <c r="M61" i="155"/>
  <c r="I61" i="155"/>
  <c r="I96" i="155" s="1"/>
  <c r="U60" i="155"/>
  <c r="Y60" i="155" s="1"/>
  <c r="Q60" i="155"/>
  <c r="M60" i="155"/>
  <c r="I60" i="155"/>
  <c r="I95" i="155" s="1"/>
  <c r="U59" i="155"/>
  <c r="Y59" i="155" s="1"/>
  <c r="Q59" i="155"/>
  <c r="M59" i="155"/>
  <c r="I59" i="155"/>
  <c r="I94" i="155" s="1"/>
  <c r="U58" i="155"/>
  <c r="Q58" i="155"/>
  <c r="M58" i="155"/>
  <c r="I58" i="155"/>
  <c r="I93" i="155" s="1"/>
  <c r="Q42" i="155"/>
  <c r="Q41" i="155"/>
  <c r="Q83" i="155" l="1"/>
  <c r="Y83" i="155" s="1"/>
  <c r="Q95" i="155"/>
  <c r="Y95" i="155" s="1"/>
  <c r="Q98" i="155"/>
  <c r="Q93" i="155"/>
  <c r="Q102" i="155"/>
  <c r="Q99" i="155"/>
  <c r="Q97" i="155"/>
  <c r="I84" i="155"/>
  <c r="Q96" i="155"/>
  <c r="Y96" i="155" s="1"/>
  <c r="Q101" i="155"/>
  <c r="Y101" i="155" s="1"/>
  <c r="Q103" i="155"/>
  <c r="Y103" i="155" s="1"/>
  <c r="Y99" i="155"/>
  <c r="Q76" i="155"/>
  <c r="Y76" i="155" s="1"/>
  <c r="Q80" i="155"/>
  <c r="Q84" i="155"/>
  <c r="Y62" i="155"/>
  <c r="Y67" i="155"/>
  <c r="I77" i="155"/>
  <c r="I81" i="155"/>
  <c r="I85" i="155"/>
  <c r="Q77" i="155"/>
  <c r="Y77" i="155" s="1"/>
  <c r="Q81" i="155"/>
  <c r="Y81" i="155" s="1"/>
  <c r="Q85" i="155"/>
  <c r="Y85" i="155" s="1"/>
  <c r="Q100" i="155"/>
  <c r="Y100" i="155" s="1"/>
  <c r="Y58" i="155"/>
  <c r="I78" i="155"/>
  <c r="I82" i="155"/>
  <c r="Y63" i="155"/>
  <c r="Q78" i="155"/>
  <c r="Y78" i="155" s="1"/>
  <c r="Q82" i="155"/>
  <c r="Y82" i="155" s="1"/>
  <c r="I75" i="155"/>
  <c r="I79" i="155"/>
  <c r="I83" i="155"/>
  <c r="Q75" i="155"/>
  <c r="Q79" i="155"/>
  <c r="Q94" i="155"/>
  <c r="Y94" i="155" s="1"/>
  <c r="I76" i="155"/>
  <c r="I80" i="155"/>
  <c r="Y93" i="155" l="1"/>
  <c r="Y102" i="155"/>
  <c r="Y98" i="155"/>
  <c r="Y97" i="155"/>
  <c r="Y80" i="155"/>
  <c r="Y84" i="155"/>
  <c r="Y79" i="155"/>
  <c r="Y75" i="155"/>
  <c r="D141" i="133" l="1"/>
  <c r="D140" i="133"/>
  <c r="D139" i="133"/>
  <c r="D138" i="133"/>
  <c r="D137" i="133"/>
  <c r="D136" i="133"/>
  <c r="D135" i="133"/>
  <c r="D134" i="133"/>
  <c r="D133" i="133"/>
  <c r="K6" i="133" s="1"/>
  <c r="D132" i="133"/>
  <c r="D131" i="133"/>
  <c r="C141" i="133"/>
  <c r="C140" i="133"/>
  <c r="C139" i="133"/>
  <c r="C138" i="133"/>
  <c r="C137" i="133"/>
  <c r="C136" i="133"/>
  <c r="C135" i="133"/>
  <c r="C134" i="133"/>
  <c r="C133" i="133"/>
  <c r="K7" i="133" s="1"/>
  <c r="C132" i="133"/>
  <c r="C131" i="133"/>
  <c r="F124" i="133"/>
  <c r="E124" i="133" s="1"/>
  <c r="F122" i="133"/>
  <c r="D122" i="133" s="1"/>
  <c r="F121" i="133"/>
  <c r="D121" i="133"/>
  <c r="F119" i="133"/>
  <c r="D119" i="133"/>
  <c r="F118" i="133"/>
  <c r="D118" i="133"/>
  <c r="F117" i="133"/>
  <c r="D117" i="133"/>
  <c r="F116" i="133"/>
  <c r="D116" i="133" s="1"/>
  <c r="F115" i="133"/>
  <c r="D115" i="133" s="1"/>
  <c r="F113" i="133"/>
  <c r="D113" i="133"/>
  <c r="F112" i="133"/>
  <c r="D112" i="133"/>
  <c r="F111" i="133"/>
  <c r="D111" i="133"/>
  <c r="E109" i="133"/>
  <c r="E108" i="133"/>
  <c r="E107" i="133"/>
  <c r="E106" i="133"/>
  <c r="D104" i="133"/>
  <c r="D103" i="133"/>
  <c r="D102" i="133"/>
  <c r="D101" i="133"/>
  <c r="E100" i="133"/>
  <c r="D97" i="133"/>
  <c r="D96" i="133"/>
  <c r="D95" i="133"/>
  <c r="D94" i="133"/>
  <c r="D93" i="133"/>
  <c r="F87" i="133"/>
  <c r="E87" i="133"/>
  <c r="F86" i="133"/>
  <c r="D86" i="133" s="1"/>
  <c r="F85" i="133"/>
  <c r="D85" i="133"/>
  <c r="F83" i="133"/>
  <c r="D83" i="133"/>
  <c r="F82" i="133"/>
  <c r="D82" i="133"/>
  <c r="F80" i="133"/>
  <c r="D80" i="133"/>
  <c r="F79" i="133"/>
  <c r="D79" i="133"/>
  <c r="F77" i="133"/>
  <c r="D77" i="133" s="1"/>
  <c r="F76" i="133"/>
  <c r="D76" i="133"/>
  <c r="F74" i="133"/>
  <c r="E74" i="133"/>
  <c r="E73" i="133"/>
  <c r="E110" i="133" s="1"/>
  <c r="E70" i="133"/>
  <c r="E69" i="133"/>
  <c r="E68" i="133"/>
  <c r="D67" i="133"/>
  <c r="D66" i="133"/>
  <c r="E63" i="133"/>
  <c r="E62" i="133"/>
  <c r="E61" i="133"/>
  <c r="E98" i="133" s="1"/>
  <c r="D60" i="133"/>
  <c r="D59" i="133"/>
  <c r="G50" i="133"/>
  <c r="E50" i="133"/>
  <c r="G49" i="133"/>
  <c r="D49" i="133"/>
  <c r="G48" i="133"/>
  <c r="D48" i="133"/>
  <c r="G47" i="133"/>
  <c r="F47" i="133"/>
  <c r="F84" i="133" s="1"/>
  <c r="D84" i="133" s="1"/>
  <c r="G46" i="133"/>
  <c r="D46" i="133"/>
  <c r="G45" i="133"/>
  <c r="D45" i="133"/>
  <c r="G44" i="133"/>
  <c r="F44" i="133"/>
  <c r="F120" i="133" s="1"/>
  <c r="D120" i="133" s="1"/>
  <c r="D44" i="133"/>
  <c r="G43" i="133"/>
  <c r="D43" i="133"/>
  <c r="G42" i="133"/>
  <c r="D42" i="133"/>
  <c r="G41" i="133"/>
  <c r="F41" i="133"/>
  <c r="F78" i="133" s="1"/>
  <c r="D78" i="133" s="1"/>
  <c r="D41" i="133"/>
  <c r="G40" i="133"/>
  <c r="D40" i="133"/>
  <c r="G39" i="133"/>
  <c r="D39" i="133"/>
  <c r="G38" i="133"/>
  <c r="F38" i="133"/>
  <c r="F114" i="133" s="1"/>
  <c r="D114" i="133" s="1"/>
  <c r="D38" i="133"/>
  <c r="G37" i="133"/>
  <c r="D37" i="133"/>
  <c r="G36" i="133"/>
  <c r="E36" i="133"/>
  <c r="G35" i="133"/>
  <c r="D35" i="133"/>
  <c r="G34" i="133"/>
  <c r="D34" i="133"/>
  <c r="G33" i="133"/>
  <c r="G32" i="133"/>
  <c r="G31" i="133"/>
  <c r="G30" i="133"/>
  <c r="G29" i="133"/>
  <c r="G28" i="133"/>
  <c r="G27" i="133"/>
  <c r="G26" i="133"/>
  <c r="G25" i="133"/>
  <c r="G24" i="133"/>
  <c r="G23" i="133"/>
  <c r="G22" i="133"/>
  <c r="G21" i="133"/>
  <c r="G20" i="133"/>
  <c r="G19" i="133"/>
  <c r="C14" i="133"/>
  <c r="C13" i="133"/>
  <c r="C12" i="133"/>
  <c r="H11" i="133"/>
  <c r="C11" i="133"/>
  <c r="D10" i="133"/>
  <c r="G9" i="133"/>
  <c r="H6" i="133" s="1"/>
  <c r="G7" i="133"/>
  <c r="G6" i="133"/>
  <c r="Q73" i="21"/>
  <c r="H7" i="133" l="1"/>
  <c r="K11" i="133" s="1"/>
  <c r="E99" i="133"/>
  <c r="F123" i="133"/>
  <c r="D123" i="133" s="1"/>
  <c r="F75" i="133"/>
  <c r="D75" i="133" s="1"/>
  <c r="E105" i="133"/>
  <c r="G11" i="133"/>
  <c r="F81" i="133"/>
  <c r="D81" i="133" s="1"/>
  <c r="G10" i="133"/>
  <c r="D47" i="133"/>
  <c r="K9" i="133" l="1"/>
  <c r="K10" i="133" s="1"/>
  <c r="K8" i="133"/>
  <c r="Q49" i="164" l="1"/>
  <c r="X70" i="109"/>
  <c r="P106" i="164"/>
  <c r="I106" i="164"/>
  <c r="AB106" i="164"/>
  <c r="V106" i="164"/>
  <c r="Q119" i="164" l="1"/>
  <c r="I119" i="164"/>
  <c r="R75" i="164" l="1"/>
  <c r="AB75" i="164" s="1"/>
  <c r="W75" i="164"/>
  <c r="R76" i="164"/>
  <c r="W76" i="164"/>
  <c r="AB76" i="164"/>
  <c r="R77" i="164"/>
  <c r="W77" i="164"/>
  <c r="AB77" i="164"/>
  <c r="R78" i="164"/>
  <c r="W78" i="164"/>
  <c r="AB78" i="164"/>
  <c r="R79" i="164"/>
  <c r="AB79" i="164" s="1"/>
  <c r="W79" i="164"/>
  <c r="M115" i="164"/>
  <c r="A119" i="164"/>
  <c r="Y119" i="164" l="1"/>
  <c r="W209" i="113"/>
  <c r="W208" i="113"/>
  <c r="W207" i="113"/>
  <c r="W206" i="113"/>
  <c r="W205" i="113"/>
  <c r="W204" i="113"/>
  <c r="W203" i="113"/>
  <c r="W202" i="113"/>
  <c r="W201" i="113"/>
  <c r="W200" i="113"/>
  <c r="W199" i="113"/>
  <c r="AA290" i="113"/>
  <c r="W307" i="113" s="1"/>
  <c r="G372" i="113"/>
  <c r="G389" i="113" s="1"/>
  <c r="AI238" i="113"/>
  <c r="S256" i="113" s="1"/>
  <c r="S271" i="113"/>
  <c r="G277" i="113" s="1"/>
  <c r="G244" i="113"/>
  <c r="K135" i="113"/>
  <c r="K134" i="113"/>
  <c r="K133" i="113"/>
  <c r="K132" i="113"/>
  <c r="S522" i="113"/>
  <c r="K131" i="113"/>
  <c r="O409" i="113"/>
  <c r="K130" i="113"/>
  <c r="O290" i="113"/>
  <c r="W483" i="113"/>
  <c r="S519" i="113"/>
  <c r="G287" i="113"/>
  <c r="AA480" i="113"/>
  <c r="S516" i="113"/>
  <c r="AE286" i="113"/>
  <c r="G284" i="113"/>
  <c r="G271" i="113"/>
  <c r="AY478" i="113" l="1"/>
  <c r="AA496" i="113" s="1"/>
  <c r="AI242" i="113"/>
  <c r="S260" i="113" s="1"/>
  <c r="K293" i="113"/>
  <c r="G310" i="113" s="1"/>
  <c r="AI517" i="113"/>
  <c r="S534" i="113" s="1"/>
  <c r="AI245" i="113"/>
  <c r="S263" i="113" s="1"/>
  <c r="P583" i="113"/>
  <c r="O410" i="113"/>
  <c r="W288" i="113"/>
  <c r="AA514" i="113"/>
  <c r="K531" i="113" s="1"/>
  <c r="AY488" i="113"/>
  <c r="AA506" i="113" s="1"/>
  <c r="G320" i="113"/>
  <c r="K320" i="113"/>
  <c r="Y582" i="113"/>
  <c r="M599" i="113" s="1"/>
  <c r="K286" i="113"/>
  <c r="G303" i="113" s="1"/>
  <c r="AI360" i="113"/>
  <c r="AI427" i="113" s="1"/>
  <c r="W362" i="113"/>
  <c r="W429" i="113" s="1"/>
  <c r="AE404" i="113"/>
  <c r="K407" i="113"/>
  <c r="G292" i="113"/>
  <c r="K446" i="113"/>
  <c r="O446" i="113"/>
  <c r="AU481" i="113"/>
  <c r="W499" i="113" s="1"/>
  <c r="K449" i="113"/>
  <c r="G519" i="113"/>
  <c r="O352" i="113"/>
  <c r="O419" i="113" s="1"/>
  <c r="O239" i="113"/>
  <c r="G324" i="113"/>
  <c r="G318" i="113"/>
  <c r="S523" i="113"/>
  <c r="S239" i="113"/>
  <c r="G352" i="113"/>
  <c r="G419" i="113" s="1"/>
  <c r="AI237" i="113"/>
  <c r="S255" i="113" s="1"/>
  <c r="AA371" i="113"/>
  <c r="AA388" i="113" s="1"/>
  <c r="AI243" i="113"/>
  <c r="S261" i="113" s="1"/>
  <c r="AQ488" i="113"/>
  <c r="S506" i="113" s="1"/>
  <c r="K242" i="113"/>
  <c r="K352" i="113"/>
  <c r="K419" i="113" s="1"/>
  <c r="AE242" i="113"/>
  <c r="O260" i="113" s="1"/>
  <c r="O328" i="113"/>
  <c r="AH583" i="113"/>
  <c r="AE600" i="113" s="1"/>
  <c r="G354" i="113"/>
  <c r="G421" i="113" s="1"/>
  <c r="S450" i="113"/>
  <c r="M589" i="113"/>
  <c r="W514" i="113"/>
  <c r="G531" i="113" s="1"/>
  <c r="AA520" i="113"/>
  <c r="K537" i="113" s="1"/>
  <c r="W523" i="113"/>
  <c r="G540" i="113" s="1"/>
  <c r="K354" i="113"/>
  <c r="K421" i="113" s="1"/>
  <c r="O480" i="113"/>
  <c r="K410" i="113"/>
  <c r="AE583" i="113"/>
  <c r="Y600" i="113" s="1"/>
  <c r="AA242" i="113"/>
  <c r="K260" i="113" s="1"/>
  <c r="AQ487" i="113"/>
  <c r="S505" i="113" s="1"/>
  <c r="AE245" i="113"/>
  <c r="O263" i="113" s="1"/>
  <c r="W358" i="113"/>
  <c r="W425" i="113" s="1"/>
  <c r="S480" i="113"/>
  <c r="S514" i="113"/>
  <c r="G517" i="113"/>
  <c r="G520" i="113"/>
  <c r="W290" i="113"/>
  <c r="AA358" i="113"/>
  <c r="AA425" i="113" s="1"/>
  <c r="AI358" i="113"/>
  <c r="AI425" i="113" s="1"/>
  <c r="AE358" i="113"/>
  <c r="AE425" i="113" s="1"/>
  <c r="G514" i="113"/>
  <c r="G239" i="113"/>
  <c r="K239" i="113"/>
  <c r="O322" i="113"/>
  <c r="Y585" i="113"/>
  <c r="M602" i="113" s="1"/>
  <c r="S406" i="113"/>
  <c r="O354" i="113"/>
  <c r="O421" i="113" s="1"/>
  <c r="O449" i="113"/>
  <c r="O519" i="113"/>
  <c r="S354" i="113"/>
  <c r="S421" i="113" s="1"/>
  <c r="AA483" i="113"/>
  <c r="O323" i="113"/>
  <c r="AE484" i="113"/>
  <c r="G502" i="113" s="1"/>
  <c r="AA373" i="113"/>
  <c r="AA390" i="113" s="1"/>
  <c r="AI407" i="113"/>
  <c r="AA450" i="113"/>
  <c r="K467" i="113" s="1"/>
  <c r="G523" i="113"/>
  <c r="W287" i="113"/>
  <c r="K324" i="113"/>
  <c r="S357" i="113"/>
  <c r="S424" i="113" s="1"/>
  <c r="AE373" i="113"/>
  <c r="AE390" i="113" s="1"/>
  <c r="S409" i="113"/>
  <c r="O451" i="113"/>
  <c r="AU487" i="113"/>
  <c r="W505" i="113" s="1"/>
  <c r="K519" i="113"/>
  <c r="O367" i="113"/>
  <c r="O384" i="113" s="1"/>
  <c r="O407" i="113"/>
  <c r="G483" i="113"/>
  <c r="W239" i="113"/>
  <c r="G257" i="113" s="1"/>
  <c r="K323" i="113"/>
  <c r="S367" i="113"/>
  <c r="S384" i="113" s="1"/>
  <c r="AA407" i="113"/>
  <c r="G241" i="113"/>
  <c r="O287" i="113"/>
  <c r="AI354" i="113"/>
  <c r="AI421" i="113" s="1"/>
  <c r="K372" i="113"/>
  <c r="K389" i="113" s="1"/>
  <c r="AE407" i="113"/>
  <c r="W450" i="113"/>
  <c r="G467" i="113" s="1"/>
  <c r="K241" i="113"/>
  <c r="S287" i="113"/>
  <c r="O304" i="113" s="1"/>
  <c r="O357" i="113"/>
  <c r="O424" i="113" s="1"/>
  <c r="K287" i="113"/>
  <c r="G304" i="113" s="1"/>
  <c r="O241" i="113"/>
  <c r="S241" i="113"/>
  <c r="O324" i="113"/>
  <c r="W357" i="113"/>
  <c r="W424" i="113" s="1"/>
  <c r="AI373" i="113"/>
  <c r="AI390" i="113" s="1"/>
  <c r="S451" i="113"/>
  <c r="S404" i="113"/>
  <c r="AA236" i="113"/>
  <c r="K254" i="113" s="1"/>
  <c r="AA357" i="113"/>
  <c r="AA424" i="113" s="1"/>
  <c r="S518" i="113"/>
  <c r="G238" i="113"/>
  <c r="W404" i="113"/>
  <c r="G480" i="113"/>
  <c r="S521" i="113"/>
  <c r="AA404" i="113"/>
  <c r="G446" i="113"/>
  <c r="K480" i="113"/>
  <c r="G552" i="113"/>
  <c r="S551" i="113"/>
  <c r="G567" i="113" s="1"/>
  <c r="S369" i="113"/>
  <c r="S386" i="113" s="1"/>
  <c r="AA369" i="113"/>
  <c r="AA386" i="113" s="1"/>
  <c r="AI244" i="113"/>
  <c r="S262" i="113" s="1"/>
  <c r="AE244" i="113"/>
  <c r="O262" i="113" s="1"/>
  <c r="O375" i="113"/>
  <c r="O392" i="113" s="1"/>
  <c r="G375" i="113"/>
  <c r="G392" i="113" s="1"/>
  <c r="K375" i="113"/>
  <c r="K392" i="113" s="1"/>
  <c r="AE480" i="113"/>
  <c r="AU482" i="113"/>
  <c r="W500" i="113" s="1"/>
  <c r="AE290" i="113"/>
  <c r="G290" i="113"/>
  <c r="AA486" i="113"/>
  <c r="S360" i="113"/>
  <c r="S427" i="113" s="1"/>
  <c r="O326" i="113"/>
  <c r="S244" i="113"/>
  <c r="W486" i="113"/>
  <c r="O360" i="113"/>
  <c r="O427" i="113" s="1"/>
  <c r="K326" i="113"/>
  <c r="O244" i="113"/>
  <c r="S486" i="113"/>
  <c r="K360" i="113"/>
  <c r="K427" i="113" s="1"/>
  <c r="G326" i="113"/>
  <c r="K244" i="113"/>
  <c r="O486" i="113"/>
  <c r="AE360" i="113"/>
  <c r="AE427" i="113" s="1"/>
  <c r="K486" i="113"/>
  <c r="AA360" i="113"/>
  <c r="AA427" i="113" s="1"/>
  <c r="G486" i="113"/>
  <c r="W360" i="113"/>
  <c r="W427" i="113" s="1"/>
  <c r="G360" i="113"/>
  <c r="G427" i="113" s="1"/>
  <c r="P588" i="113"/>
  <c r="AE580" i="113"/>
  <c r="Y597" i="113" s="1"/>
  <c r="AE590" i="113"/>
  <c r="Y607" i="113" s="1"/>
  <c r="P589" i="113"/>
  <c r="AI367" i="113"/>
  <c r="AI384" i="113" s="1"/>
  <c r="AE367" i="113"/>
  <c r="AE384" i="113" s="1"/>
  <c r="AQ478" i="113"/>
  <c r="S496" i="113" s="1"/>
  <c r="W236" i="113"/>
  <c r="G254" i="113" s="1"/>
  <c r="AE478" i="113"/>
  <c r="G496" i="113" s="1"/>
  <c r="W444" i="113"/>
  <c r="G461" i="113" s="1"/>
  <c r="AA321" i="113"/>
  <c r="O338" i="113" s="1"/>
  <c r="W321" i="113"/>
  <c r="K338" i="113" s="1"/>
  <c r="S321" i="113"/>
  <c r="G338" i="113" s="1"/>
  <c r="AQ481" i="113"/>
  <c r="S499" i="113" s="1"/>
  <c r="AE481" i="113"/>
  <c r="S370" i="113"/>
  <c r="S387" i="113" s="1"/>
  <c r="AI239" i="113"/>
  <c r="S257" i="113" s="1"/>
  <c r="O370" i="113"/>
  <c r="O387" i="113" s="1"/>
  <c r="AE239" i="113"/>
  <c r="O257" i="113" s="1"/>
  <c r="K370" i="113"/>
  <c r="K387" i="113" s="1"/>
  <c r="AA239" i="113"/>
  <c r="K257" i="113" s="1"/>
  <c r="W373" i="113"/>
  <c r="W390" i="113" s="1"/>
  <c r="S373" i="113"/>
  <c r="S390" i="113" s="1"/>
  <c r="O373" i="113"/>
  <c r="O390" i="113" s="1"/>
  <c r="K373" i="113"/>
  <c r="K390" i="113" s="1"/>
  <c r="AY484" i="113"/>
  <c r="AA502" i="113" s="1"/>
  <c r="AU484" i="113"/>
  <c r="W502" i="113" s="1"/>
  <c r="W453" i="113"/>
  <c r="G470" i="113" s="1"/>
  <c r="AI376" i="113"/>
  <c r="AI393" i="113" s="1"/>
  <c r="AE487" i="113"/>
  <c r="G505" i="113" s="1"/>
  <c r="AA245" i="113"/>
  <c r="K263" i="113" s="1"/>
  <c r="W245" i="113"/>
  <c r="G263" i="113" s="1"/>
  <c r="O376" i="113"/>
  <c r="O393" i="113" s="1"/>
  <c r="K376" i="113"/>
  <c r="K393" i="113" s="1"/>
  <c r="AA327" i="113"/>
  <c r="O344" i="113" s="1"/>
  <c r="W327" i="113"/>
  <c r="K344" i="113" s="1"/>
  <c r="W318" i="113"/>
  <c r="K335" i="113" s="1"/>
  <c r="S324" i="113"/>
  <c r="G341" i="113" s="1"/>
  <c r="W367" i="113"/>
  <c r="W384" i="113" s="1"/>
  <c r="AI410" i="113"/>
  <c r="AE450" i="113"/>
  <c r="O467" i="113" s="1"/>
  <c r="G588" i="113"/>
  <c r="V589" i="113"/>
  <c r="G606" i="113" s="1"/>
  <c r="AA318" i="113"/>
  <c r="O335" i="113" s="1"/>
  <c r="W325" i="113"/>
  <c r="K342" i="113" s="1"/>
  <c r="AA367" i="113"/>
  <c r="AA384" i="113" s="1"/>
  <c r="G586" i="113"/>
  <c r="AE352" i="113"/>
  <c r="AE419" i="113" s="1"/>
  <c r="AA352" i="113"/>
  <c r="AA419" i="113" s="1"/>
  <c r="W352" i="113"/>
  <c r="W419" i="113" s="1"/>
  <c r="AI402" i="113"/>
  <c r="K402" i="113"/>
  <c r="S236" i="113"/>
  <c r="O236" i="113"/>
  <c r="K236" i="113"/>
  <c r="G447" i="113"/>
  <c r="W355" i="113"/>
  <c r="W422" i="113" s="1"/>
  <c r="O355" i="113"/>
  <c r="O422" i="113" s="1"/>
  <c r="AA481" i="113"/>
  <c r="K355" i="113"/>
  <c r="K422" i="113" s="1"/>
  <c r="W481" i="113"/>
  <c r="G355" i="113"/>
  <c r="G422" i="113" s="1"/>
  <c r="O321" i="113"/>
  <c r="S481" i="113"/>
  <c r="K321" i="113"/>
  <c r="K284" i="113"/>
  <c r="G301" i="113" s="1"/>
  <c r="AB580" i="113"/>
  <c r="S597" i="113" s="1"/>
  <c r="AI284" i="113"/>
  <c r="AE301" i="113" s="1"/>
  <c r="AA284" i="113"/>
  <c r="W301" i="113" s="1"/>
  <c r="AE586" i="113"/>
  <c r="Y603" i="113" s="1"/>
  <c r="AB586" i="113"/>
  <c r="S603" i="113" s="1"/>
  <c r="AE589" i="113"/>
  <c r="Y606" i="113" s="1"/>
  <c r="AI293" i="113"/>
  <c r="AE310" i="113" s="1"/>
  <c r="AA293" i="113"/>
  <c r="W310" i="113" s="1"/>
  <c r="S293" i="113"/>
  <c r="O310" i="113" s="1"/>
  <c r="AE584" i="113"/>
  <c r="Y601" i="113" s="1"/>
  <c r="AA288" i="113"/>
  <c r="W305" i="113" s="1"/>
  <c r="W319" i="113"/>
  <c r="K336" i="113" s="1"/>
  <c r="AA325" i="113"/>
  <c r="O342" i="113" s="1"/>
  <c r="W369" i="113"/>
  <c r="W386" i="113" s="1"/>
  <c r="K405" i="113"/>
  <c r="K484" i="113"/>
  <c r="M586" i="113"/>
  <c r="AH580" i="113"/>
  <c r="AE597" i="113" s="1"/>
  <c r="S589" i="113"/>
  <c r="W293" i="113"/>
  <c r="O293" i="113"/>
  <c r="S517" i="113"/>
  <c r="S520" i="113"/>
  <c r="AI515" i="113"/>
  <c r="S532" i="113" s="1"/>
  <c r="AI518" i="113"/>
  <c r="S535" i="113" s="1"/>
  <c r="O284" i="113"/>
  <c r="AA319" i="113"/>
  <c r="O336" i="113" s="1"/>
  <c r="S327" i="113"/>
  <c r="G344" i="113" s="1"/>
  <c r="G444" i="113"/>
  <c r="AU478" i="113"/>
  <c r="W496" i="113" s="1"/>
  <c r="O484" i="113"/>
  <c r="P586" i="113"/>
  <c r="AI520" i="113"/>
  <c r="S537" i="113" s="1"/>
  <c r="AE520" i="113"/>
  <c r="O537" i="113" s="1"/>
  <c r="AI240" i="113"/>
  <c r="S258" i="113" s="1"/>
  <c r="AE448" i="113"/>
  <c r="O465" i="113" s="1"/>
  <c r="AE240" i="113"/>
  <c r="O258" i="113" s="1"/>
  <c r="AA448" i="113"/>
  <c r="K465" i="113" s="1"/>
  <c r="AA240" i="113"/>
  <c r="K258" i="113" s="1"/>
  <c r="AY482" i="113"/>
  <c r="AA500" i="113" s="1"/>
  <c r="W451" i="113"/>
  <c r="G468" i="113" s="1"/>
  <c r="AI454" i="113"/>
  <c r="S471" i="113" s="1"/>
  <c r="AE454" i="113"/>
  <c r="O471" i="113" s="1"/>
  <c r="AI377" i="113"/>
  <c r="AI394" i="113" s="1"/>
  <c r="AA377" i="113"/>
  <c r="AA394" i="113" s="1"/>
  <c r="AE285" i="113"/>
  <c r="O288" i="113"/>
  <c r="G356" i="113"/>
  <c r="G423" i="113" s="1"/>
  <c r="O448" i="113"/>
  <c r="AA285" i="113"/>
  <c r="W302" i="113" s="1"/>
  <c r="K288" i="113"/>
  <c r="G305" i="113" s="1"/>
  <c r="AI291" i="113"/>
  <c r="AE308" i="113" s="1"/>
  <c r="AA294" i="113"/>
  <c r="W311" i="113" s="1"/>
  <c r="S328" i="113"/>
  <c r="G345" i="113" s="1"/>
  <c r="Y580" i="113"/>
  <c r="M597" i="113" s="1"/>
  <c r="AI522" i="113"/>
  <c r="S539" i="113" s="1"/>
  <c r="W522" i="113"/>
  <c r="G539" i="113" s="1"/>
  <c r="W328" i="113"/>
  <c r="K345" i="113" s="1"/>
  <c r="AI371" i="113"/>
  <c r="AI388" i="113" s="1"/>
  <c r="G516" i="113"/>
  <c r="M588" i="113"/>
  <c r="S284" i="113"/>
  <c r="O301" i="113" s="1"/>
  <c r="AI287" i="113"/>
  <c r="AE304" i="113" s="1"/>
  <c r="AI290" i="113"/>
  <c r="AE307" i="113" s="1"/>
  <c r="K238" i="113"/>
  <c r="G357" i="113"/>
  <c r="G424" i="113" s="1"/>
  <c r="S407" i="113"/>
  <c r="W480" i="113"/>
  <c r="S483" i="113"/>
  <c r="K516" i="113"/>
  <c r="K452" i="113"/>
  <c r="AE517" i="113"/>
  <c r="O534" i="113" s="1"/>
  <c r="O238" i="113"/>
  <c r="K290" i="113"/>
  <c r="G307" i="113" s="1"/>
  <c r="K357" i="113"/>
  <c r="K424" i="113" s="1"/>
  <c r="W407" i="113"/>
  <c r="G449" i="113"/>
  <c r="O516" i="113"/>
  <c r="M583" i="113"/>
  <c r="G498" i="113"/>
  <c r="G499" i="113"/>
  <c r="G515" i="113"/>
  <c r="S515" i="113"/>
  <c r="O515" i="113"/>
  <c r="K515" i="113"/>
  <c r="G587" i="113"/>
  <c r="G291" i="113"/>
  <c r="W411" i="113"/>
  <c r="S411" i="113"/>
  <c r="S361" i="113"/>
  <c r="S428" i="113" s="1"/>
  <c r="G327" i="113"/>
  <c r="G487" i="113"/>
  <c r="O361" i="113"/>
  <c r="O428" i="113" s="1"/>
  <c r="O327" i="113"/>
  <c r="O245" i="113"/>
  <c r="K361" i="113"/>
  <c r="K428" i="113" s="1"/>
  <c r="K327" i="113"/>
  <c r="K245" i="113"/>
  <c r="G361" i="113"/>
  <c r="G428" i="113" s="1"/>
  <c r="G245" i="113"/>
  <c r="AE411" i="113"/>
  <c r="K487" i="113"/>
  <c r="G445" i="113"/>
  <c r="AI403" i="113"/>
  <c r="O403" i="113"/>
  <c r="AI353" i="113"/>
  <c r="AI420" i="113" s="1"/>
  <c r="G319" i="113"/>
  <c r="K237" i="113"/>
  <c r="AA479" i="113"/>
  <c r="K403" i="113"/>
  <c r="K353" i="113"/>
  <c r="K420" i="113" s="1"/>
  <c r="G237" i="113"/>
  <c r="G353" i="113"/>
  <c r="G420" i="113" s="1"/>
  <c r="W479" i="113"/>
  <c r="AE403" i="113"/>
  <c r="S479" i="113"/>
  <c r="S445" i="113"/>
  <c r="AA403" i="113"/>
  <c r="G448" i="113"/>
  <c r="AI406" i="113"/>
  <c r="G482" i="113"/>
  <c r="AE406" i="113"/>
  <c r="AI356" i="113"/>
  <c r="AI423" i="113" s="1"/>
  <c r="K240" i="113"/>
  <c r="S448" i="113"/>
  <c r="AA406" i="113"/>
  <c r="O406" i="113"/>
  <c r="S356" i="113"/>
  <c r="S423" i="113" s="1"/>
  <c r="S240" i="113"/>
  <c r="AA482" i="113"/>
  <c r="K406" i="113"/>
  <c r="O356" i="113"/>
  <c r="O423" i="113" s="1"/>
  <c r="O240" i="113"/>
  <c r="W482" i="113"/>
  <c r="G406" i="113"/>
  <c r="K356" i="113"/>
  <c r="K423" i="113" s="1"/>
  <c r="G240" i="113"/>
  <c r="S482" i="113"/>
  <c r="J590" i="113"/>
  <c r="J584" i="113"/>
  <c r="Y587" i="113"/>
  <c r="M604" i="113" s="1"/>
  <c r="Y581" i="113"/>
  <c r="M598" i="113" s="1"/>
  <c r="J583" i="113"/>
  <c r="J580" i="113"/>
  <c r="Y588" i="113"/>
  <c r="M605" i="113" s="1"/>
  <c r="J589" i="113"/>
  <c r="J587" i="113"/>
  <c r="J582" i="113"/>
  <c r="Y590" i="113"/>
  <c r="M607" i="113" s="1"/>
  <c r="Y583" i="113"/>
  <c r="M600" i="113" s="1"/>
  <c r="J585" i="113"/>
  <c r="V585" i="113"/>
  <c r="G602" i="113" s="1"/>
  <c r="S289" i="113"/>
  <c r="O306" i="113" s="1"/>
  <c r="K289" i="113"/>
  <c r="G306" i="113" s="1"/>
  <c r="AA292" i="113"/>
  <c r="W309" i="113" s="1"/>
  <c r="V588" i="113"/>
  <c r="G605" i="113" s="1"/>
  <c r="AI286" i="113"/>
  <c r="AE303" i="113" s="1"/>
  <c r="AE288" i="113"/>
  <c r="O291" i="113"/>
  <c r="W356" i="113"/>
  <c r="W423" i="113" s="1"/>
  <c r="G403" i="113"/>
  <c r="W406" i="113"/>
  <c r="AI411" i="113"/>
  <c r="K445" i="113"/>
  <c r="O487" i="113"/>
  <c r="AB582" i="113"/>
  <c r="S599" i="113" s="1"/>
  <c r="AB585" i="113"/>
  <c r="S602" i="113" s="1"/>
  <c r="J588" i="113"/>
  <c r="AH590" i="113"/>
  <c r="AE607" i="113" s="1"/>
  <c r="G451" i="113"/>
  <c r="AI409" i="113"/>
  <c r="AI359" i="113"/>
  <c r="AI426" i="113" s="1"/>
  <c r="G325" i="113"/>
  <c r="K243" i="113"/>
  <c r="AA485" i="113"/>
  <c r="W485" i="113"/>
  <c r="AA359" i="113"/>
  <c r="AA426" i="113" s="1"/>
  <c r="K325" i="113"/>
  <c r="S485" i="113"/>
  <c r="W359" i="113"/>
  <c r="W426" i="113" s="1"/>
  <c r="O485" i="113"/>
  <c r="S359" i="113"/>
  <c r="S426" i="113" s="1"/>
  <c r="S243" i="113"/>
  <c r="K485" i="113"/>
  <c r="K488" i="113"/>
  <c r="K454" i="113"/>
  <c r="S412" i="113"/>
  <c r="AE516" i="113"/>
  <c r="O533" i="113" s="1"/>
  <c r="AA516" i="113"/>
  <c r="K533" i="113" s="1"/>
  <c r="AE519" i="113"/>
  <c r="O536" i="113" s="1"/>
  <c r="AA519" i="113"/>
  <c r="K536" i="113" s="1"/>
  <c r="W519" i="113"/>
  <c r="G536" i="113" s="1"/>
  <c r="S245" i="113"/>
  <c r="G285" i="113"/>
  <c r="AI288" i="113"/>
  <c r="AE305" i="113" s="1"/>
  <c r="S291" i="113"/>
  <c r="O308" i="113" s="1"/>
  <c r="AA356" i="113"/>
  <c r="AA423" i="113" s="1"/>
  <c r="S403" i="113"/>
  <c r="W409" i="113"/>
  <c r="G412" i="113"/>
  <c r="O445" i="113"/>
  <c r="G485" i="113"/>
  <c r="S487" i="113"/>
  <c r="AA522" i="113"/>
  <c r="K539" i="113" s="1"/>
  <c r="S552" i="113"/>
  <c r="G568" i="113" s="1"/>
  <c r="O286" i="113"/>
  <c r="G582" i="113"/>
  <c r="G286" i="113"/>
  <c r="O289" i="113"/>
  <c r="W289" i="113"/>
  <c r="G585" i="113"/>
  <c r="S554" i="113"/>
  <c r="G570" i="113" s="1"/>
  <c r="O294" i="113"/>
  <c r="AM480" i="113"/>
  <c r="O498" i="113" s="1"/>
  <c r="W446" i="113"/>
  <c r="G463" i="113" s="1"/>
  <c r="AI480" i="113"/>
  <c r="K498" i="113" s="1"/>
  <c r="AI369" i="113"/>
  <c r="AI386" i="113" s="1"/>
  <c r="AU480" i="113"/>
  <c r="W498" i="113" s="1"/>
  <c r="AE446" i="113"/>
  <c r="O463" i="113" s="1"/>
  <c r="AA238" i="113"/>
  <c r="K256" i="113" s="1"/>
  <c r="AQ480" i="113"/>
  <c r="S498" i="113" s="1"/>
  <c r="AA446" i="113"/>
  <c r="K463" i="113" s="1"/>
  <c r="G369" i="113"/>
  <c r="G386" i="113" s="1"/>
  <c r="W320" i="113"/>
  <c r="K337" i="113" s="1"/>
  <c r="AE238" i="113"/>
  <c r="O256" i="113" s="1"/>
  <c r="S320" i="113"/>
  <c r="G337" i="113" s="1"/>
  <c r="W238" i="113"/>
  <c r="G256" i="113" s="1"/>
  <c r="AY480" i="113"/>
  <c r="AA498" i="113" s="1"/>
  <c r="AM483" i="113"/>
  <c r="O501" i="113" s="1"/>
  <c r="W449" i="113"/>
  <c r="G466" i="113" s="1"/>
  <c r="AI483" i="113"/>
  <c r="K501" i="113" s="1"/>
  <c r="AI372" i="113"/>
  <c r="AI389" i="113" s="1"/>
  <c r="O372" i="113"/>
  <c r="O389" i="113" s="1"/>
  <c r="AA241" i="113"/>
  <c r="K259" i="113" s="1"/>
  <c r="AE372" i="113"/>
  <c r="AE389" i="113" s="1"/>
  <c r="AY483" i="113"/>
  <c r="AA501" i="113" s="1"/>
  <c r="AI449" i="113"/>
  <c r="S466" i="113" s="1"/>
  <c r="AA372" i="113"/>
  <c r="AA389" i="113" s="1"/>
  <c r="AI241" i="113"/>
  <c r="S259" i="113" s="1"/>
  <c r="AU483" i="113"/>
  <c r="W501" i="113" s="1"/>
  <c r="AE449" i="113"/>
  <c r="O466" i="113" s="1"/>
  <c r="W372" i="113"/>
  <c r="W389" i="113" s="1"/>
  <c r="AE241" i="113"/>
  <c r="O259" i="113" s="1"/>
  <c r="AQ483" i="113"/>
  <c r="S501" i="113" s="1"/>
  <c r="AA449" i="113"/>
  <c r="K466" i="113" s="1"/>
  <c r="AM486" i="113"/>
  <c r="O504" i="113" s="1"/>
  <c r="W452" i="113"/>
  <c r="G469" i="113" s="1"/>
  <c r="AI486" i="113"/>
  <c r="K504" i="113" s="1"/>
  <c r="AI375" i="113"/>
  <c r="AI392" i="113" s="1"/>
  <c r="AU486" i="113"/>
  <c r="W504" i="113" s="1"/>
  <c r="AE375" i="113"/>
  <c r="AE392" i="113" s="1"/>
  <c r="AA244" i="113"/>
  <c r="K262" i="113" s="1"/>
  <c r="AQ486" i="113"/>
  <c r="S504" i="113" s="1"/>
  <c r="AY486" i="113"/>
  <c r="AA504" i="113" s="1"/>
  <c r="AE486" i="113"/>
  <c r="G504" i="113" s="1"/>
  <c r="AA326" i="113"/>
  <c r="O343" i="113" s="1"/>
  <c r="G243" i="113"/>
  <c r="K285" i="113"/>
  <c r="G302" i="113" s="1"/>
  <c r="G289" i="113"/>
  <c r="W291" i="113"/>
  <c r="S323" i="113"/>
  <c r="G340" i="113" s="1"/>
  <c r="AA328" i="113"/>
  <c r="O345" i="113" s="1"/>
  <c r="AE356" i="113"/>
  <c r="AE423" i="113" s="1"/>
  <c r="AE369" i="113"/>
  <c r="AE386" i="113" s="1"/>
  <c r="S372" i="113"/>
  <c r="S389" i="113" s="1"/>
  <c r="S375" i="113"/>
  <c r="S392" i="113" s="1"/>
  <c r="W403" i="113"/>
  <c r="AA409" i="113"/>
  <c r="AI445" i="113"/>
  <c r="S462" i="113" s="1"/>
  <c r="AI448" i="113"/>
  <c r="S465" i="113" s="1"/>
  <c r="AA452" i="113"/>
  <c r="K469" i="113" s="1"/>
  <c r="AQ485" i="113"/>
  <c r="S503" i="113" s="1"/>
  <c r="W487" i="113"/>
  <c r="AE522" i="113"/>
  <c r="O539" i="113" s="1"/>
  <c r="G553" i="113"/>
  <c r="J586" i="113"/>
  <c r="G524" i="113"/>
  <c r="O524" i="113"/>
  <c r="K524" i="113"/>
  <c r="O243" i="113"/>
  <c r="O285" i="113"/>
  <c r="AA289" i="113"/>
  <c r="W306" i="113" s="1"/>
  <c r="AA291" i="113"/>
  <c r="W308" i="113" s="1"/>
  <c r="AA320" i="113"/>
  <c r="O337" i="113" s="1"/>
  <c r="W323" i="113"/>
  <c r="K340" i="113" s="1"/>
  <c r="G359" i="113"/>
  <c r="G426" i="113" s="1"/>
  <c r="W361" i="113"/>
  <c r="W428" i="113" s="1"/>
  <c r="W375" i="113"/>
  <c r="W392" i="113" s="1"/>
  <c r="AE409" i="113"/>
  <c r="AE452" i="113"/>
  <c r="O469" i="113" s="1"/>
  <c r="G479" i="113"/>
  <c r="AU485" i="113"/>
  <c r="W503" i="113" s="1"/>
  <c r="AA487" i="113"/>
  <c r="AI519" i="113"/>
  <c r="S536" i="113" s="1"/>
  <c r="S557" i="113"/>
  <c r="G573" i="113" s="1"/>
  <c r="G581" i="113"/>
  <c r="O237" i="113"/>
  <c r="AE243" i="113"/>
  <c r="O261" i="113" s="1"/>
  <c r="S285" i="113"/>
  <c r="O302" i="113" s="1"/>
  <c r="AE289" i="113"/>
  <c r="AE291" i="113"/>
  <c r="AA323" i="113"/>
  <c r="O340" i="113" s="1"/>
  <c r="S326" i="113"/>
  <c r="G343" i="113" s="1"/>
  <c r="K359" i="113"/>
  <c r="K426" i="113" s="1"/>
  <c r="AA361" i="113"/>
  <c r="AA428" i="113" s="1"/>
  <c r="AA375" i="113"/>
  <c r="AA392" i="113" s="1"/>
  <c r="AI452" i="113"/>
  <c r="S469" i="113" s="1"/>
  <c r="K479" i="113"/>
  <c r="AY485" i="113"/>
  <c r="AA503" i="113" s="1"/>
  <c r="W516" i="113"/>
  <c r="G533" i="113" s="1"/>
  <c r="J581" i="113"/>
  <c r="S237" i="113"/>
  <c r="W285" i="113"/>
  <c r="AI289" i="113"/>
  <c r="AE306" i="113" s="1"/>
  <c r="G294" i="113"/>
  <c r="W326" i="113"/>
  <c r="K343" i="113" s="1"/>
  <c r="O359" i="113"/>
  <c r="O426" i="113" s="1"/>
  <c r="AE361" i="113"/>
  <c r="AE428" i="113" s="1"/>
  <c r="G453" i="113"/>
  <c r="O479" i="113"/>
  <c r="AE483" i="113"/>
  <c r="G501" i="113" s="1"/>
  <c r="AI516" i="113"/>
  <c r="S533" i="113" s="1"/>
  <c r="M581" i="113"/>
  <c r="M584" i="113"/>
  <c r="Y586" i="113"/>
  <c r="M603" i="113" s="1"/>
  <c r="W237" i="113"/>
  <c r="G255" i="113" s="1"/>
  <c r="W241" i="113"/>
  <c r="G259" i="113" s="1"/>
  <c r="G246" i="113"/>
  <c r="G288" i="113"/>
  <c r="W294" i="113"/>
  <c r="O353" i="113"/>
  <c r="O420" i="113" s="1"/>
  <c r="AE359" i="113"/>
  <c r="AE426" i="113" s="1"/>
  <c r="AI361" i="113"/>
  <c r="AI428" i="113" s="1"/>
  <c r="G368" i="113"/>
  <c r="G385" i="113" s="1"/>
  <c r="G371" i="113"/>
  <c r="G388" i="113" s="1"/>
  <c r="AI446" i="113"/>
  <c r="S463" i="113" s="1"/>
  <c r="K453" i="113"/>
  <c r="AY479" i="113"/>
  <c r="AA497" i="113" s="1"/>
  <c r="P581" i="113"/>
  <c r="P584" i="113"/>
  <c r="AA237" i="113"/>
  <c r="K255" i="113" s="1"/>
  <c r="O246" i="113"/>
  <c r="K292" i="113"/>
  <c r="G309" i="113" s="1"/>
  <c r="S353" i="113"/>
  <c r="S420" i="113" s="1"/>
  <c r="G362" i="113"/>
  <c r="G429" i="113" s="1"/>
  <c r="K368" i="113"/>
  <c r="K385" i="113" s="1"/>
  <c r="K371" i="113"/>
  <c r="K388" i="113" s="1"/>
  <c r="G411" i="113"/>
  <c r="O453" i="113"/>
  <c r="AA488" i="113"/>
  <c r="S524" i="113"/>
  <c r="S548" i="113"/>
  <c r="G564" i="113" s="1"/>
  <c r="M582" i="113"/>
  <c r="Y584" i="113"/>
  <c r="M601" i="113" s="1"/>
  <c r="S587" i="113"/>
  <c r="Y589" i="113"/>
  <c r="M606" i="113" s="1"/>
  <c r="W402" i="113"/>
  <c r="S402" i="113"/>
  <c r="W478" i="113"/>
  <c r="S352" i="113"/>
  <c r="S419" i="113" s="1"/>
  <c r="S478" i="113"/>
  <c r="O478" i="113"/>
  <c r="G402" i="113"/>
  <c r="K478" i="113"/>
  <c r="O318" i="113"/>
  <c r="G478" i="113"/>
  <c r="AI352" i="113"/>
  <c r="AI419" i="113" s="1"/>
  <c r="K318" i="113"/>
  <c r="W405" i="113"/>
  <c r="S405" i="113"/>
  <c r="G405" i="113"/>
  <c r="S355" i="113"/>
  <c r="S422" i="113" s="1"/>
  <c r="G321" i="113"/>
  <c r="O481" i="113"/>
  <c r="K481" i="113"/>
  <c r="G481" i="113"/>
  <c r="S447" i="113"/>
  <c r="AI405" i="113"/>
  <c r="W408" i="113"/>
  <c r="S408" i="113"/>
  <c r="W484" i="113"/>
  <c r="O450" i="113"/>
  <c r="AE408" i="113"/>
  <c r="S358" i="113"/>
  <c r="S425" i="113" s="1"/>
  <c r="S484" i="113"/>
  <c r="K450" i="113"/>
  <c r="AA408" i="113"/>
  <c r="G484" i="113"/>
  <c r="G450" i="113"/>
  <c r="O408" i="113"/>
  <c r="G358" i="113"/>
  <c r="G425" i="113" s="1"/>
  <c r="G242" i="113"/>
  <c r="K408" i="113"/>
  <c r="G408" i="113"/>
  <c r="AI285" i="113"/>
  <c r="AE302" i="113" s="1"/>
  <c r="AE581" i="113"/>
  <c r="Y598" i="113" s="1"/>
  <c r="K291" i="113"/>
  <c r="G308" i="113" s="1"/>
  <c r="S294" i="113"/>
  <c r="O311" i="113" s="1"/>
  <c r="V590" i="113"/>
  <c r="G607" i="113" s="1"/>
  <c r="K294" i="113"/>
  <c r="G311" i="113" s="1"/>
  <c r="AE237" i="113"/>
  <c r="O255" i="113" s="1"/>
  <c r="O242" i="113"/>
  <c r="S246" i="113"/>
  <c r="S286" i="113"/>
  <c r="O303" i="113" s="1"/>
  <c r="S292" i="113"/>
  <c r="O309" i="113" s="1"/>
  <c r="AE294" i="113"/>
  <c r="K319" i="113"/>
  <c r="W353" i="113"/>
  <c r="W420" i="113" s="1"/>
  <c r="AA355" i="113"/>
  <c r="AA422" i="113" s="1"/>
  <c r="K362" i="113"/>
  <c r="K429" i="113" s="1"/>
  <c r="O368" i="113"/>
  <c r="O385" i="113" s="1"/>
  <c r="O371" i="113"/>
  <c r="O388" i="113" s="1"/>
  <c r="G377" i="113"/>
  <c r="G394" i="113" s="1"/>
  <c r="O402" i="113"/>
  <c r="O405" i="113"/>
  <c r="AI408" i="113"/>
  <c r="K411" i="113"/>
  <c r="K444" i="113"/>
  <c r="K447" i="113"/>
  <c r="S453" i="113"/>
  <c r="K482" i="113"/>
  <c r="AA484" i="113"/>
  <c r="AE488" i="113"/>
  <c r="G506" i="113" s="1"/>
  <c r="G518" i="113"/>
  <c r="G521" i="113"/>
  <c r="W524" i="113"/>
  <c r="G541" i="113" s="1"/>
  <c r="G549" i="113"/>
  <c r="P582" i="113"/>
  <c r="AB584" i="113"/>
  <c r="S601" i="113" s="1"/>
  <c r="V587" i="113"/>
  <c r="G604" i="113" s="1"/>
  <c r="AB589" i="113"/>
  <c r="S606" i="113" s="1"/>
  <c r="AH588" i="113"/>
  <c r="AE605" i="113" s="1"/>
  <c r="AH582" i="113"/>
  <c r="AE599" i="113" s="1"/>
  <c r="S586" i="113"/>
  <c r="S580" i="113"/>
  <c r="AH585" i="113"/>
  <c r="AE602" i="113" s="1"/>
  <c r="S584" i="113"/>
  <c r="S581" i="113"/>
  <c r="S585" i="113"/>
  <c r="AH586" i="113"/>
  <c r="AE603" i="113" s="1"/>
  <c r="AH581" i="113"/>
  <c r="AE598" i="113" s="1"/>
  <c r="S590" i="113"/>
  <c r="S588" i="113"/>
  <c r="S583" i="113"/>
  <c r="AE293" i="113"/>
  <c r="G589" i="113"/>
  <c r="AE515" i="113"/>
  <c r="O532" i="113" s="1"/>
  <c r="AA515" i="113"/>
  <c r="K532" i="113" s="1"/>
  <c r="W515" i="113"/>
  <c r="G532" i="113" s="1"/>
  <c r="AE518" i="113"/>
  <c r="O535" i="113" s="1"/>
  <c r="AA518" i="113"/>
  <c r="K535" i="113" s="1"/>
  <c r="W518" i="113"/>
  <c r="G535" i="113" s="1"/>
  <c r="AE521" i="113"/>
  <c r="O538" i="113" s="1"/>
  <c r="AA521" i="113"/>
  <c r="K538" i="113" s="1"/>
  <c r="AI521" i="113"/>
  <c r="S538" i="113" s="1"/>
  <c r="W521" i="113"/>
  <c r="G538" i="113" s="1"/>
  <c r="AE524" i="113"/>
  <c r="O541" i="113" s="1"/>
  <c r="AA524" i="113"/>
  <c r="K541" i="113" s="1"/>
  <c r="S242" i="113"/>
  <c r="W246" i="113"/>
  <c r="G264" i="113" s="1"/>
  <c r="W286" i="113"/>
  <c r="S288" i="113"/>
  <c r="O305" i="113" s="1"/>
  <c r="S290" i="113"/>
  <c r="O307" i="113" s="1"/>
  <c r="AI292" i="113"/>
  <c r="AE309" i="113" s="1"/>
  <c r="AI294" i="113"/>
  <c r="AE311" i="113" s="1"/>
  <c r="O319" i="113"/>
  <c r="G322" i="113"/>
  <c r="O325" i="113"/>
  <c r="G328" i="113"/>
  <c r="AA353" i="113"/>
  <c r="AA420" i="113" s="1"/>
  <c r="AE355" i="113"/>
  <c r="AE422" i="113" s="1"/>
  <c r="K358" i="113"/>
  <c r="K425" i="113" s="1"/>
  <c r="O362" i="113"/>
  <c r="O429" i="113" s="1"/>
  <c r="K369" i="113"/>
  <c r="K386" i="113" s="1"/>
  <c r="K377" i="113"/>
  <c r="K394" i="113" s="1"/>
  <c r="AA402" i="113"/>
  <c r="AA405" i="113"/>
  <c r="G409" i="113"/>
  <c r="O411" i="113"/>
  <c r="O444" i="113"/>
  <c r="O447" i="113"/>
  <c r="O482" i="113"/>
  <c r="K518" i="113"/>
  <c r="K521" i="113"/>
  <c r="AI524" i="113"/>
  <c r="S541" i="113" s="1"/>
  <c r="S550" i="113"/>
  <c r="G566" i="113" s="1"/>
  <c r="S582" i="113"/>
  <c r="AE587" i="113"/>
  <c r="Y604" i="113" s="1"/>
  <c r="O523" i="113"/>
  <c r="K523" i="113"/>
  <c r="AI236" i="113"/>
  <c r="S254" i="113" s="1"/>
  <c r="AE236" i="113"/>
  <c r="O254" i="113" s="1"/>
  <c r="AA447" i="113"/>
  <c r="K464" i="113" s="1"/>
  <c r="AE370" i="113"/>
  <c r="AE387" i="113" s="1"/>
  <c r="W517" i="113"/>
  <c r="G534" i="113" s="1"/>
  <c r="W447" i="113"/>
  <c r="G464" i="113" s="1"/>
  <c r="AA370" i="113"/>
  <c r="AA387" i="113" s="1"/>
  <c r="AA324" i="113"/>
  <c r="O341" i="113" s="1"/>
  <c r="W324" i="113"/>
  <c r="K341" i="113" s="1"/>
  <c r="AA376" i="113"/>
  <c r="AA393" i="113" s="1"/>
  <c r="AE523" i="113"/>
  <c r="O540" i="113" s="1"/>
  <c r="W376" i="113"/>
  <c r="W393" i="113" s="1"/>
  <c r="AA523" i="113"/>
  <c r="K540" i="113" s="1"/>
  <c r="S376" i="113"/>
  <c r="S393" i="113" s="1"/>
  <c r="AM479" i="113"/>
  <c r="O497" i="113" s="1"/>
  <c r="W368" i="113"/>
  <c r="W385" i="113" s="1"/>
  <c r="AI479" i="113"/>
  <c r="K497" i="113" s="1"/>
  <c r="S368" i="113"/>
  <c r="S385" i="113" s="1"/>
  <c r="AE479" i="113"/>
  <c r="G497" i="113" s="1"/>
  <c r="AE368" i="113"/>
  <c r="AE385" i="113" s="1"/>
  <c r="AU479" i="113"/>
  <c r="W497" i="113" s="1"/>
  <c r="AE445" i="113"/>
  <c r="O462" i="113" s="1"/>
  <c r="AQ479" i="113"/>
  <c r="S497" i="113" s="1"/>
  <c r="AA445" i="113"/>
  <c r="K462" i="113" s="1"/>
  <c r="AI368" i="113"/>
  <c r="AI385" i="113" s="1"/>
  <c r="W445" i="113"/>
  <c r="G462" i="113" s="1"/>
  <c r="AA368" i="113"/>
  <c r="AA385" i="113" s="1"/>
  <c r="AM482" i="113"/>
  <c r="O500" i="113" s="1"/>
  <c r="W371" i="113"/>
  <c r="W388" i="113" s="1"/>
  <c r="AI482" i="113"/>
  <c r="K500" i="113" s="1"/>
  <c r="S371" i="113"/>
  <c r="S388" i="113" s="1"/>
  <c r="W448" i="113"/>
  <c r="G465" i="113" s="1"/>
  <c r="AE482" i="113"/>
  <c r="G500" i="113" s="1"/>
  <c r="AA322" i="113"/>
  <c r="O339" i="113" s="1"/>
  <c r="W322" i="113"/>
  <c r="K339" i="113" s="1"/>
  <c r="S322" i="113"/>
  <c r="G339" i="113" s="1"/>
  <c r="AM485" i="113"/>
  <c r="O503" i="113" s="1"/>
  <c r="W374" i="113"/>
  <c r="W391" i="113" s="1"/>
  <c r="AI485" i="113"/>
  <c r="K503" i="113" s="1"/>
  <c r="S374" i="113"/>
  <c r="S391" i="113" s="1"/>
  <c r="AE485" i="113"/>
  <c r="G503" i="113" s="1"/>
  <c r="G374" i="113"/>
  <c r="G391" i="113" s="1"/>
  <c r="AI451" i="113"/>
  <c r="S468" i="113" s="1"/>
  <c r="AI374" i="113"/>
  <c r="AI391" i="113" s="1"/>
  <c r="AA243" i="113"/>
  <c r="K261" i="113" s="1"/>
  <c r="AE374" i="113"/>
  <c r="AE391" i="113" s="1"/>
  <c r="W243" i="113"/>
  <c r="G261" i="113" s="1"/>
  <c r="AE451" i="113"/>
  <c r="O468" i="113" s="1"/>
  <c r="AA374" i="113"/>
  <c r="AA391" i="113" s="1"/>
  <c r="AA451" i="113"/>
  <c r="K468" i="113" s="1"/>
  <c r="O374" i="113"/>
  <c r="O391" i="113" s="1"/>
  <c r="AM488" i="113"/>
  <c r="O506" i="113" s="1"/>
  <c r="W377" i="113"/>
  <c r="W394" i="113" s="1"/>
  <c r="AI488" i="113"/>
  <c r="K506" i="113" s="1"/>
  <c r="S377" i="113"/>
  <c r="S394" i="113" s="1"/>
  <c r="AE377" i="113"/>
  <c r="AE394" i="113" s="1"/>
  <c r="W454" i="113"/>
  <c r="G471" i="113" s="1"/>
  <c r="AI246" i="113"/>
  <c r="S264" i="113" s="1"/>
  <c r="AE246" i="113"/>
  <c r="O264" i="113" s="1"/>
  <c r="AA246" i="113"/>
  <c r="K264" i="113" s="1"/>
  <c r="G236" i="113"/>
  <c r="W240" i="113"/>
  <c r="G258" i="113" s="1"/>
  <c r="W242" i="113"/>
  <c r="G260" i="113" s="1"/>
  <c r="W244" i="113"/>
  <c r="G262" i="113" s="1"/>
  <c r="AA286" i="113"/>
  <c r="W303" i="113" s="1"/>
  <c r="G293" i="113"/>
  <c r="S319" i="113"/>
  <c r="G336" i="113" s="1"/>
  <c r="K322" i="113"/>
  <c r="S325" i="113"/>
  <c r="G342" i="113" s="1"/>
  <c r="K328" i="113"/>
  <c r="AE353" i="113"/>
  <c r="AE420" i="113" s="1"/>
  <c r="AI355" i="113"/>
  <c r="AI422" i="113" s="1"/>
  <c r="O358" i="113"/>
  <c r="O425" i="113" s="1"/>
  <c r="S362" i="113"/>
  <c r="S429" i="113" s="1"/>
  <c r="O369" i="113"/>
  <c r="O386" i="113" s="1"/>
  <c r="AE371" i="113"/>
  <c r="AE388" i="113" s="1"/>
  <c r="K374" i="113"/>
  <c r="K391" i="113" s="1"/>
  <c r="O377" i="113"/>
  <c r="O394" i="113" s="1"/>
  <c r="AE402" i="113"/>
  <c r="AE405" i="113"/>
  <c r="K409" i="113"/>
  <c r="AA411" i="113"/>
  <c r="S444" i="113"/>
  <c r="K448" i="113"/>
  <c r="K451" i="113"/>
  <c r="AA454" i="113"/>
  <c r="K471" i="113" s="1"/>
  <c r="AA478" i="113"/>
  <c r="AQ482" i="113"/>
  <c r="S500" i="113" s="1"/>
  <c r="AQ484" i="113"/>
  <c r="S502" i="113" s="1"/>
  <c r="AU488" i="113"/>
  <c r="W506" i="113" s="1"/>
  <c r="AE514" i="113"/>
  <c r="O531" i="113" s="1"/>
  <c r="O518" i="113"/>
  <c r="O521" i="113"/>
  <c r="G551" i="113"/>
  <c r="V582" i="113"/>
  <c r="G599" i="113" s="1"/>
  <c r="AH584" i="113"/>
  <c r="AE601" i="113" s="1"/>
  <c r="AH587" i="113"/>
  <c r="AE604" i="113" s="1"/>
  <c r="AH589" i="113"/>
  <c r="AE606" i="113" s="1"/>
  <c r="G554" i="113"/>
  <c r="G548" i="113"/>
  <c r="S553" i="113"/>
  <c r="G569" i="113" s="1"/>
  <c r="S547" i="113"/>
  <c r="G563" i="113" s="1"/>
  <c r="G557" i="113"/>
  <c r="G550" i="113"/>
  <c r="S556" i="113"/>
  <c r="G572" i="113" s="1"/>
  <c r="S549" i="113"/>
  <c r="G565" i="113" s="1"/>
  <c r="G404" i="113"/>
  <c r="S446" i="113"/>
  <c r="AI404" i="113"/>
  <c r="G407" i="113"/>
  <c r="S449" i="113"/>
  <c r="O483" i="113"/>
  <c r="G323" i="113"/>
  <c r="K483" i="113"/>
  <c r="O292" i="113"/>
  <c r="G454" i="113"/>
  <c r="AI412" i="113"/>
  <c r="G488" i="113"/>
  <c r="O412" i="113"/>
  <c r="AI362" i="113"/>
  <c r="AI429" i="113" s="1"/>
  <c r="K246" i="113"/>
  <c r="K412" i="113"/>
  <c r="S238" i="113"/>
  <c r="W292" i="113"/>
  <c r="O320" i="113"/>
  <c r="W354" i="113"/>
  <c r="W421" i="113" s="1"/>
  <c r="AE357" i="113"/>
  <c r="AE424" i="113" s="1"/>
  <c r="AA362" i="113"/>
  <c r="AA429" i="113" s="1"/>
  <c r="W412" i="113"/>
  <c r="O454" i="113"/>
  <c r="O488" i="113"/>
  <c r="G555" i="113"/>
  <c r="V583" i="113"/>
  <c r="G600" i="113" s="1"/>
  <c r="O522" i="113"/>
  <c r="K522" i="113"/>
  <c r="AB587" i="113"/>
  <c r="S604" i="113" s="1"/>
  <c r="AB581" i="113"/>
  <c r="S598" i="113" s="1"/>
  <c r="M585" i="113"/>
  <c r="AB588" i="113"/>
  <c r="S605" i="113" s="1"/>
  <c r="M590" i="113"/>
  <c r="M587" i="113"/>
  <c r="AI514" i="113"/>
  <c r="S531" i="113" s="1"/>
  <c r="W520" i="113"/>
  <c r="G537" i="113" s="1"/>
  <c r="AI523" i="113"/>
  <c r="S540" i="113" s="1"/>
  <c r="AA287" i="113"/>
  <c r="W304" i="113" s="1"/>
  <c r="AA354" i="113"/>
  <c r="AA421" i="113" s="1"/>
  <c r="AI357" i="113"/>
  <c r="AI424" i="113" s="1"/>
  <c r="AE362" i="113"/>
  <c r="AE429" i="113" s="1"/>
  <c r="K404" i="113"/>
  <c r="AA410" i="113"/>
  <c r="AA412" i="113"/>
  <c r="S454" i="113"/>
  <c r="S488" i="113"/>
  <c r="AA517" i="113"/>
  <c r="K534" i="113" s="1"/>
  <c r="S555" i="113"/>
  <c r="G571" i="113" s="1"/>
  <c r="M580" i="113"/>
  <c r="AE284" i="113"/>
  <c r="G580" i="113"/>
  <c r="AE287" i="113"/>
  <c r="G583" i="113"/>
  <c r="G410" i="113"/>
  <c r="S452" i="113"/>
  <c r="G452" i="113"/>
  <c r="W410" i="113"/>
  <c r="S410" i="113"/>
  <c r="P585" i="113"/>
  <c r="AE588" i="113"/>
  <c r="Y605" i="113" s="1"/>
  <c r="AE582" i="113"/>
  <c r="Y599" i="113" s="1"/>
  <c r="P590" i="113"/>
  <c r="P587" i="113"/>
  <c r="AE585" i="113"/>
  <c r="Y602" i="113" s="1"/>
  <c r="AM478" i="113"/>
  <c r="O496" i="113" s="1"/>
  <c r="G367" i="113"/>
  <c r="G384" i="113" s="1"/>
  <c r="AI478" i="113"/>
  <c r="K496" i="113" s="1"/>
  <c r="AI444" i="113"/>
  <c r="S461" i="113" s="1"/>
  <c r="AE444" i="113"/>
  <c r="O461" i="113" s="1"/>
  <c r="AA444" i="113"/>
  <c r="K461" i="113" s="1"/>
  <c r="AM481" i="113"/>
  <c r="O499" i="113" s="1"/>
  <c r="G370" i="113"/>
  <c r="G387" i="113" s="1"/>
  <c r="AI481" i="113"/>
  <c r="K499" i="113" s="1"/>
  <c r="AI447" i="113"/>
  <c r="S464" i="113" s="1"/>
  <c r="W370" i="113"/>
  <c r="W387" i="113" s="1"/>
  <c r="AY481" i="113"/>
  <c r="AA499" i="113" s="1"/>
  <c r="AM484" i="113"/>
  <c r="O502" i="113" s="1"/>
  <c r="G373" i="113"/>
  <c r="G390" i="113" s="1"/>
  <c r="AI484" i="113"/>
  <c r="K502" i="113" s="1"/>
  <c r="AI450" i="113"/>
  <c r="S467" i="113" s="1"/>
  <c r="AM487" i="113"/>
  <c r="O505" i="113" s="1"/>
  <c r="G376" i="113"/>
  <c r="G393" i="113" s="1"/>
  <c r="AI487" i="113"/>
  <c r="K505" i="113" s="1"/>
  <c r="AI453" i="113"/>
  <c r="S470" i="113" s="1"/>
  <c r="AE453" i="113"/>
  <c r="O470" i="113" s="1"/>
  <c r="AY487" i="113"/>
  <c r="AA505" i="113" s="1"/>
  <c r="AA453" i="113"/>
  <c r="K470" i="113" s="1"/>
  <c r="W284" i="113"/>
  <c r="AE292" i="113"/>
  <c r="S318" i="113"/>
  <c r="G335" i="113" s="1"/>
  <c r="AE354" i="113"/>
  <c r="AE421" i="113" s="1"/>
  <c r="K367" i="113"/>
  <c r="K384" i="113" s="1"/>
  <c r="AI370" i="113"/>
  <c r="AI387" i="113" s="1"/>
  <c r="AE376" i="113"/>
  <c r="AE393" i="113" s="1"/>
  <c r="O404" i="113"/>
  <c r="AE410" i="113"/>
  <c r="AE412" i="113"/>
  <c r="AE447" i="113"/>
  <c r="O464" i="113" s="1"/>
  <c r="O452" i="113"/>
  <c r="W488" i="113"/>
  <c r="G522" i="113"/>
  <c r="G547" i="113"/>
  <c r="G556" i="113"/>
  <c r="P580" i="113"/>
  <c r="AB583" i="113"/>
  <c r="S600" i="113" s="1"/>
  <c r="AB590" i="113"/>
  <c r="S607" i="113" s="1"/>
  <c r="O514" i="113"/>
  <c r="K514" i="113"/>
  <c r="O517" i="113"/>
  <c r="K517" i="113"/>
  <c r="O520" i="113"/>
  <c r="K520" i="113"/>
  <c r="V586" i="113"/>
  <c r="G603" i="113" s="1"/>
  <c r="V580" i="113"/>
  <c r="G597" i="113" s="1"/>
  <c r="G590" i="113"/>
  <c r="G584" i="113"/>
  <c r="V581" i="113"/>
  <c r="G598" i="113" s="1"/>
  <c r="V584" i="113"/>
  <c r="G601" i="113" s="1"/>
  <c r="Q97" i="31" l="1"/>
  <c r="Q98" i="31"/>
  <c r="E104" i="31"/>
  <c r="S179" i="31" s="1"/>
  <c r="E105" i="31"/>
  <c r="E106" i="31"/>
  <c r="E107" i="31"/>
  <c r="X152" i="31" s="1"/>
  <c r="X162" i="31" s="1"/>
  <c r="E108" i="31"/>
  <c r="S183" i="31" s="1"/>
  <c r="E109" i="31"/>
  <c r="M115" i="31"/>
  <c r="R115" i="31"/>
  <c r="S154" i="31" s="1"/>
  <c r="S164" i="31" s="1"/>
  <c r="M116" i="31"/>
  <c r="R116" i="31"/>
  <c r="I171" i="31" s="1"/>
  <c r="N171" i="31" s="1"/>
  <c r="M117" i="31"/>
  <c r="R117" i="31"/>
  <c r="I181" i="31" s="1"/>
  <c r="N181" i="31" s="1"/>
  <c r="M118" i="31"/>
  <c r="M127" i="31"/>
  <c r="I151" i="31" s="1"/>
  <c r="M128" i="31"/>
  <c r="S138" i="31"/>
  <c r="S139" i="31"/>
  <c r="M140" i="31"/>
  <c r="S140" i="31"/>
  <c r="Y141" i="31"/>
  <c r="AB141" i="31"/>
  <c r="D193" i="31" s="1"/>
  <c r="X150" i="31"/>
  <c r="X160" i="31" s="1"/>
  <c r="S151" i="31"/>
  <c r="S161" i="31" s="1"/>
  <c r="X154" i="31"/>
  <c r="X164" i="31" s="1"/>
  <c r="S169" i="31"/>
  <c r="D181" i="31"/>
  <c r="S181" i="31"/>
  <c r="D183" i="31"/>
  <c r="A216" i="31"/>
  <c r="I161" i="31" l="1"/>
  <c r="N151" i="31"/>
  <c r="X171" i="31"/>
  <c r="AC171" i="31" s="1"/>
  <c r="S153" i="31"/>
  <c r="S163" i="31" s="1"/>
  <c r="X151" i="31"/>
  <c r="S173" i="31"/>
  <c r="D154" i="31"/>
  <c r="D164" i="31" s="1"/>
  <c r="D173" i="31"/>
  <c r="I153" i="31"/>
  <c r="S171" i="31"/>
  <c r="D153" i="31"/>
  <c r="D163" i="31" s="1"/>
  <c r="D171" i="31"/>
  <c r="D150" i="31"/>
  <c r="D160" i="31" s="1"/>
  <c r="I192" i="31"/>
  <c r="N192" i="31" s="1"/>
  <c r="I149" i="31"/>
  <c r="I159" i="31" s="1"/>
  <c r="D189" i="31"/>
  <c r="AC150" i="31"/>
  <c r="D151" i="31"/>
  <c r="D161" i="31" s="1"/>
  <c r="X181" i="31"/>
  <c r="AC181" i="31" s="1"/>
  <c r="X161" i="31"/>
  <c r="AC151" i="31"/>
  <c r="D169" i="31"/>
  <c r="D149" i="31"/>
  <c r="D159" i="31" s="1"/>
  <c r="AC154" i="31"/>
  <c r="AC152" i="31"/>
  <c r="X184" i="31"/>
  <c r="AC184" i="31" s="1"/>
  <c r="X172" i="31"/>
  <c r="AC172" i="31" s="1"/>
  <c r="S182" i="31"/>
  <c r="S172" i="31"/>
  <c r="S152" i="31"/>
  <c r="S150" i="31"/>
  <c r="S160" i="31" s="1"/>
  <c r="Q216" i="31"/>
  <c r="I190" i="31"/>
  <c r="N190" i="31" s="1"/>
  <c r="S149" i="31"/>
  <c r="S159" i="31" s="1"/>
  <c r="D192" i="31"/>
  <c r="D188" i="31"/>
  <c r="D179" i="31"/>
  <c r="I191" i="31"/>
  <c r="N191" i="31" s="1"/>
  <c r="X182" i="31"/>
  <c r="AC182" i="31" s="1"/>
  <c r="X180" i="31"/>
  <c r="AC180" i="31" s="1"/>
  <c r="X174" i="31"/>
  <c r="AC174" i="31" s="1"/>
  <c r="X170" i="31"/>
  <c r="AC170" i="31" s="1"/>
  <c r="S184" i="31"/>
  <c r="S174" i="31"/>
  <c r="S170" i="31"/>
  <c r="I184" i="31"/>
  <c r="N184" i="31" s="1"/>
  <c r="I182" i="31"/>
  <c r="N182" i="31" s="1"/>
  <c r="I180" i="31"/>
  <c r="N180" i="31" s="1"/>
  <c r="I174" i="31"/>
  <c r="N174" i="31" s="1"/>
  <c r="I172" i="31"/>
  <c r="N172" i="31" s="1"/>
  <c r="I170" i="31"/>
  <c r="N170" i="31" s="1"/>
  <c r="I154" i="31"/>
  <c r="I152" i="31"/>
  <c r="I150" i="31"/>
  <c r="D190" i="31"/>
  <c r="D184" i="31"/>
  <c r="D182" i="31"/>
  <c r="D180" i="31"/>
  <c r="D174" i="31"/>
  <c r="D172" i="31"/>
  <c r="D170" i="31"/>
  <c r="D152" i="31"/>
  <c r="D162" i="31" s="1"/>
  <c r="D191" i="31"/>
  <c r="S180" i="31"/>
  <c r="I193" i="31"/>
  <c r="N193" i="31" s="1"/>
  <c r="I189" i="31"/>
  <c r="N189" i="31" s="1"/>
  <c r="X183" i="31"/>
  <c r="AC183" i="31" s="1"/>
  <c r="X179" i="31"/>
  <c r="AC179" i="31" s="1"/>
  <c r="X173" i="31"/>
  <c r="AC173" i="31" s="1"/>
  <c r="X169" i="31"/>
  <c r="AC169" i="31" s="1"/>
  <c r="X153" i="31"/>
  <c r="X149" i="31"/>
  <c r="I188" i="31"/>
  <c r="N188" i="31" s="1"/>
  <c r="I183" i="31"/>
  <c r="N183" i="31" s="1"/>
  <c r="I179" i="31"/>
  <c r="N179" i="31" s="1"/>
  <c r="I173" i="31"/>
  <c r="N173" i="31" s="1"/>
  <c r="I169" i="31"/>
  <c r="N169" i="31" s="1"/>
  <c r="P76" i="57"/>
  <c r="S76" i="57" s="1"/>
  <c r="P75" i="57"/>
  <c r="S75" i="57" s="1"/>
  <c r="P74" i="57"/>
  <c r="S74" i="57" s="1"/>
  <c r="P73" i="57"/>
  <c r="S73" i="57" s="1"/>
  <c r="P72" i="57"/>
  <c r="S72" i="57" s="1"/>
  <c r="P71" i="57"/>
  <c r="N149" i="31" l="1"/>
  <c r="I163" i="31"/>
  <c r="N153" i="31"/>
  <c r="I164" i="31"/>
  <c r="N154" i="31"/>
  <c r="Y216" i="31"/>
  <c r="X159" i="31"/>
  <c r="AC149" i="31"/>
  <c r="X163" i="31"/>
  <c r="AC153" i="31"/>
  <c r="I162" i="31"/>
  <c r="N152" i="31"/>
  <c r="I160" i="31"/>
  <c r="N150" i="31"/>
  <c r="I216" i="31"/>
  <c r="S162" i="31"/>
  <c r="S71" i="57"/>
  <c r="AA89" i="163" l="1"/>
  <c r="AA90" i="163"/>
  <c r="P81" i="163" l="1"/>
  <c r="I98" i="163" l="1"/>
  <c r="I97" i="163"/>
  <c r="P69" i="163"/>
  <c r="Q97" i="163" l="1"/>
  <c r="Y97" i="163" s="1"/>
  <c r="Q98" i="163"/>
  <c r="Y98" i="163" s="1"/>
  <c r="P57" i="162"/>
  <c r="Q66" i="162"/>
  <c r="I66" i="162"/>
  <c r="Y66" i="162" l="1"/>
  <c r="P71" i="161"/>
  <c r="Q83" i="161" l="1"/>
  <c r="Y83" i="161" s="1"/>
  <c r="Q82" i="161"/>
  <c r="Y82" i="161" s="1"/>
  <c r="I82" i="161"/>
  <c r="Q81" i="161"/>
  <c r="Y81" i="161" s="1"/>
  <c r="Q80" i="161"/>
  <c r="Y80" i="161" s="1"/>
  <c r="I80" i="161" l="1"/>
  <c r="I81" i="161"/>
  <c r="I83" i="161"/>
  <c r="G9" i="116" l="1"/>
  <c r="C13" i="116" l="1"/>
  <c r="F14" i="159"/>
  <c r="F13" i="159"/>
  <c r="F12" i="159"/>
  <c r="F11" i="159"/>
  <c r="F10" i="159"/>
  <c r="J9" i="159"/>
  <c r="F9" i="159"/>
  <c r="J8" i="159"/>
  <c r="E8" i="159"/>
  <c r="F8" i="159" s="1"/>
  <c r="G8" i="159" s="1"/>
  <c r="D8" i="159"/>
  <c r="J7" i="159"/>
  <c r="Q83" i="160"/>
  <c r="Q82" i="160" s="1"/>
  <c r="J10" i="159" l="1"/>
  <c r="J13" i="159"/>
  <c r="J12" i="159"/>
  <c r="J14" i="159" s="1"/>
  <c r="J11" i="159"/>
  <c r="J15" i="159" l="1"/>
  <c r="P83" i="60" l="1"/>
  <c r="S42" i="60"/>
  <c r="S41" i="60"/>
  <c r="S40" i="60"/>
  <c r="Z25" i="60"/>
  <c r="S25" i="60"/>
  <c r="L25" i="60"/>
  <c r="P70" i="60" s="1"/>
  <c r="Q99" i="60" l="1"/>
  <c r="Q97" i="60"/>
  <c r="Q98" i="60"/>
  <c r="Y99" i="60" l="1"/>
  <c r="I99" i="60"/>
  <c r="Y98" i="60"/>
  <c r="I98" i="60"/>
  <c r="I97" i="60"/>
  <c r="Y97" i="60"/>
  <c r="D144" i="116" l="1"/>
  <c r="D143" i="116"/>
  <c r="D142" i="116"/>
  <c r="D141" i="116"/>
  <c r="D140" i="116"/>
  <c r="D139" i="116"/>
  <c r="D138" i="116"/>
  <c r="D137" i="116"/>
  <c r="D136" i="116"/>
  <c r="D135" i="116"/>
  <c r="D134" i="116"/>
  <c r="C144" i="116"/>
  <c r="C143" i="116"/>
  <c r="C142" i="116"/>
  <c r="C141" i="116"/>
  <c r="C140" i="116"/>
  <c r="C139" i="116"/>
  <c r="C138" i="116"/>
  <c r="C137" i="116"/>
  <c r="C136" i="116"/>
  <c r="C135" i="116"/>
  <c r="C134" i="116"/>
  <c r="F126" i="116"/>
  <c r="E126" i="116"/>
  <c r="F125" i="116"/>
  <c r="D125" i="116" s="1"/>
  <c r="F124" i="116"/>
  <c r="D124" i="116" s="1"/>
  <c r="F122" i="116"/>
  <c r="D122" i="116"/>
  <c r="F121" i="116"/>
  <c r="D121" i="116" s="1"/>
  <c r="F119" i="116"/>
  <c r="D119" i="116"/>
  <c r="F118" i="116"/>
  <c r="D118" i="116"/>
  <c r="F116" i="116"/>
  <c r="D116" i="116" s="1"/>
  <c r="F115" i="116"/>
  <c r="D115" i="116"/>
  <c r="F113" i="116"/>
  <c r="D113" i="116" s="1"/>
  <c r="F112" i="116"/>
  <c r="E112" i="116" s="1"/>
  <c r="F111" i="116"/>
  <c r="D111" i="116"/>
  <c r="F110" i="116"/>
  <c r="D110" i="116"/>
  <c r="E109" i="116"/>
  <c r="E108" i="116"/>
  <c r="E107" i="116"/>
  <c r="D106" i="116"/>
  <c r="D105" i="116"/>
  <c r="D104" i="116"/>
  <c r="D103" i="116"/>
  <c r="E102" i="116"/>
  <c r="E101" i="116"/>
  <c r="E100" i="116"/>
  <c r="D99" i="116"/>
  <c r="D98" i="116"/>
  <c r="D97" i="116"/>
  <c r="D96" i="116"/>
  <c r="D95" i="116"/>
  <c r="F88" i="116"/>
  <c r="E88" i="116" s="1"/>
  <c r="F87" i="116"/>
  <c r="D87" i="116"/>
  <c r="F86" i="116"/>
  <c r="D86" i="116" s="1"/>
  <c r="F84" i="116"/>
  <c r="D84" i="116" s="1"/>
  <c r="F83" i="116"/>
  <c r="D83" i="116"/>
  <c r="F81" i="116"/>
  <c r="D81" i="116" s="1"/>
  <c r="F80" i="116"/>
  <c r="D80" i="116" s="1"/>
  <c r="F78" i="116"/>
  <c r="D78" i="116" s="1"/>
  <c r="F77" i="116"/>
  <c r="D77" i="116" s="1"/>
  <c r="F75" i="116"/>
  <c r="D75" i="116"/>
  <c r="F74" i="116"/>
  <c r="E74" i="116" s="1"/>
  <c r="F73" i="116"/>
  <c r="D73" i="116" s="1"/>
  <c r="F72" i="116"/>
  <c r="D72" i="116" s="1"/>
  <c r="E71" i="116"/>
  <c r="E70" i="116"/>
  <c r="E69" i="116"/>
  <c r="D68" i="116"/>
  <c r="D67" i="116"/>
  <c r="E64" i="116"/>
  <c r="E63" i="116"/>
  <c r="E62" i="116"/>
  <c r="D61" i="116"/>
  <c r="D60" i="116"/>
  <c r="G50" i="116"/>
  <c r="E50" i="116"/>
  <c r="G49" i="116"/>
  <c r="D49" i="116"/>
  <c r="G48" i="116"/>
  <c r="D48" i="116"/>
  <c r="G47" i="116"/>
  <c r="F47" i="116"/>
  <c r="F123" i="116" s="1"/>
  <c r="D123" i="116" s="1"/>
  <c r="G46" i="116"/>
  <c r="D46" i="116"/>
  <c r="G45" i="116"/>
  <c r="D45" i="116"/>
  <c r="G44" i="116"/>
  <c r="F44" i="116"/>
  <c r="F120" i="116" s="1"/>
  <c r="D120" i="116" s="1"/>
  <c r="G43" i="116"/>
  <c r="D43" i="116"/>
  <c r="G42" i="116"/>
  <c r="D42" i="116"/>
  <c r="G41" i="116"/>
  <c r="F41" i="116"/>
  <c r="F117" i="116" s="1"/>
  <c r="D117" i="116" s="1"/>
  <c r="G40" i="116"/>
  <c r="D40" i="116"/>
  <c r="G39" i="116"/>
  <c r="D39" i="116"/>
  <c r="G38" i="116"/>
  <c r="F38" i="116"/>
  <c r="F114" i="116" s="1"/>
  <c r="D114" i="116" s="1"/>
  <c r="G37" i="116"/>
  <c r="D37" i="116"/>
  <c r="G36" i="116"/>
  <c r="E36" i="116"/>
  <c r="G35" i="116"/>
  <c r="D35" i="116"/>
  <c r="G34" i="116"/>
  <c r="D34" i="116"/>
  <c r="G33" i="116"/>
  <c r="G32" i="116"/>
  <c r="G31" i="116"/>
  <c r="G30" i="116"/>
  <c r="G29" i="116"/>
  <c r="G28" i="116"/>
  <c r="G27" i="116"/>
  <c r="G26" i="116"/>
  <c r="G25" i="116"/>
  <c r="G24" i="116"/>
  <c r="G23" i="116"/>
  <c r="G22" i="116"/>
  <c r="G21" i="116"/>
  <c r="G20" i="116"/>
  <c r="G19" i="116"/>
  <c r="C14" i="116"/>
  <c r="C12" i="116"/>
  <c r="H11" i="116"/>
  <c r="C11" i="116"/>
  <c r="D10" i="116"/>
  <c r="H6" i="116" s="1"/>
  <c r="G10" i="116"/>
  <c r="K7" i="116"/>
  <c r="G7" i="116"/>
  <c r="K6" i="116"/>
  <c r="G6" i="116"/>
  <c r="Q80" i="18"/>
  <c r="F85" i="116" l="1"/>
  <c r="D85" i="116" s="1"/>
  <c r="D47" i="116"/>
  <c r="F76" i="116"/>
  <c r="D76" i="116" s="1"/>
  <c r="G11" i="116"/>
  <c r="F82" i="116"/>
  <c r="D82" i="116" s="1"/>
  <c r="D44" i="116"/>
  <c r="H7" i="116"/>
  <c r="K11" i="116" s="1"/>
  <c r="D41" i="116"/>
  <c r="F79" i="116"/>
  <c r="D79" i="116" s="1"/>
  <c r="D38" i="116"/>
  <c r="K9" i="116" l="1"/>
  <c r="K10" i="116" s="1"/>
  <c r="K8" i="116"/>
  <c r="Q47" i="101" l="1"/>
  <c r="W76" i="101"/>
  <c r="T76" i="101"/>
  <c r="W75" i="101"/>
  <c r="T75" i="101"/>
  <c r="W74" i="101"/>
  <c r="T74" i="101"/>
  <c r="Z74" i="101" s="1"/>
  <c r="W73" i="101"/>
  <c r="T73" i="101"/>
  <c r="Z73" i="101" s="1"/>
  <c r="W71" i="101"/>
  <c r="T71" i="101"/>
  <c r="W70" i="101"/>
  <c r="T70" i="101"/>
  <c r="W69" i="101"/>
  <c r="T69" i="101"/>
  <c r="Z69" i="101" s="1"/>
  <c r="W68" i="101"/>
  <c r="T68" i="101"/>
  <c r="Z68" i="101" s="1"/>
  <c r="W65" i="101"/>
  <c r="T65" i="101"/>
  <c r="W64" i="101"/>
  <c r="T64" i="101"/>
  <c r="W63" i="101"/>
  <c r="T63" i="101"/>
  <c r="Z63" i="101" s="1"/>
  <c r="W62" i="101"/>
  <c r="T62" i="101"/>
  <c r="Z62" i="101" s="1"/>
  <c r="W60" i="101"/>
  <c r="T60" i="101"/>
  <c r="W59" i="101"/>
  <c r="T59" i="101"/>
  <c r="W58" i="101"/>
  <c r="T58" i="101"/>
  <c r="Z58" i="101" s="1"/>
  <c r="W57" i="101"/>
  <c r="T57" i="101"/>
  <c r="Z57" i="101" s="1"/>
  <c r="Z59" i="101" l="1"/>
  <c r="Q82" i="101" s="1"/>
  <c r="Y82" i="101" s="1"/>
  <c r="Z64" i="101"/>
  <c r="Z70" i="101"/>
  <c r="Z75" i="101"/>
  <c r="AD75" i="101" s="1"/>
  <c r="I94" i="101" s="1"/>
  <c r="Z60" i="101"/>
  <c r="Z65" i="101"/>
  <c r="AD65" i="101" s="1"/>
  <c r="I87" i="101" s="1"/>
  <c r="Z71" i="101"/>
  <c r="Z76" i="101"/>
  <c r="AD76" i="101" s="1"/>
  <c r="I95" i="101" s="1"/>
  <c r="AD68" i="101"/>
  <c r="I88" i="101" s="1"/>
  <c r="Q88" i="101"/>
  <c r="Y88" i="101" s="1"/>
  <c r="AD74" i="101"/>
  <c r="I93" i="101" s="1"/>
  <c r="Q93" i="101"/>
  <c r="Y93" i="101" s="1"/>
  <c r="AD57" i="101"/>
  <c r="I80" i="101" s="1"/>
  <c r="Q80" i="101"/>
  <c r="Y80" i="101" s="1"/>
  <c r="AD58" i="101"/>
  <c r="I81" i="101" s="1"/>
  <c r="Q81" i="101"/>
  <c r="Y81" i="101" s="1"/>
  <c r="Q90" i="101"/>
  <c r="Y90" i="101" s="1"/>
  <c r="AD70" i="101"/>
  <c r="I90" i="101" s="1"/>
  <c r="AD73" i="101"/>
  <c r="I92" i="101" s="1"/>
  <c r="Q92" i="101"/>
  <c r="Y92" i="101" s="1"/>
  <c r="AD69" i="101"/>
  <c r="I89" i="101" s="1"/>
  <c r="Q89" i="101"/>
  <c r="Y89" i="101" s="1"/>
  <c r="Q94" i="101"/>
  <c r="Y94" i="101" s="1"/>
  <c r="AD60" i="101"/>
  <c r="I83" i="101" s="1"/>
  <c r="Q83" i="101"/>
  <c r="Y83" i="101" s="1"/>
  <c r="AD71" i="101"/>
  <c r="I91" i="101" s="1"/>
  <c r="Q91" i="101"/>
  <c r="Y91" i="101" s="1"/>
  <c r="AD62" i="101"/>
  <c r="I84" i="101" s="1"/>
  <c r="Q84" i="101"/>
  <c r="Y84" i="101" s="1"/>
  <c r="AD63" i="101"/>
  <c r="I85" i="101" s="1"/>
  <c r="Q85" i="101"/>
  <c r="Y85" i="101" s="1"/>
  <c r="Q86" i="101"/>
  <c r="Y86" i="101" s="1"/>
  <c r="AD64" i="101"/>
  <c r="I86" i="101" s="1"/>
  <c r="Q87" i="101"/>
  <c r="Y87" i="101" s="1"/>
  <c r="Q95" i="101"/>
  <c r="Y95" i="101" s="1"/>
  <c r="AD59" i="101" l="1"/>
  <c r="I82" i="101" s="1"/>
  <c r="Q47" i="100" l="1"/>
  <c r="Q92" i="100"/>
  <c r="W76" i="100"/>
  <c r="T76" i="100"/>
  <c r="Z76" i="100" s="1"/>
  <c r="AD76" i="100" s="1"/>
  <c r="I94" i="100" s="1"/>
  <c r="W75" i="100"/>
  <c r="T75" i="100"/>
  <c r="Z75" i="100" s="1"/>
  <c r="Z74" i="100"/>
  <c r="AD74" i="100" s="1"/>
  <c r="I92" i="100" s="1"/>
  <c r="W74" i="100"/>
  <c r="T74" i="100"/>
  <c r="W73" i="100"/>
  <c r="T73" i="100"/>
  <c r="Z73" i="100" s="1"/>
  <c r="W71" i="100"/>
  <c r="T71" i="100"/>
  <c r="Z71" i="100" s="1"/>
  <c r="W70" i="100"/>
  <c r="T70" i="100"/>
  <c r="Z69" i="100"/>
  <c r="AD69" i="100" s="1"/>
  <c r="I88" i="100" s="1"/>
  <c r="W69" i="100"/>
  <c r="T69" i="100"/>
  <c r="W68" i="100"/>
  <c r="T68" i="100"/>
  <c r="Z68" i="100" s="1"/>
  <c r="W65" i="100"/>
  <c r="Z65" i="100" s="1"/>
  <c r="AD65" i="100" s="1"/>
  <c r="I86" i="100" s="1"/>
  <c r="T65" i="100"/>
  <c r="W64" i="100"/>
  <c r="T64" i="100"/>
  <c r="W63" i="100"/>
  <c r="T63" i="100"/>
  <c r="Z63" i="100" s="1"/>
  <c r="W62" i="100"/>
  <c r="T62" i="100"/>
  <c r="Z62" i="100" s="1"/>
  <c r="W60" i="100"/>
  <c r="T60" i="100"/>
  <c r="Z60" i="100" s="1"/>
  <c r="AD60" i="100" s="1"/>
  <c r="I82" i="100" s="1"/>
  <c r="W59" i="100"/>
  <c r="T59" i="100"/>
  <c r="Z59" i="100" s="1"/>
  <c r="W58" i="100"/>
  <c r="T58" i="100"/>
  <c r="Z58" i="100" s="1"/>
  <c r="AD58" i="100" s="1"/>
  <c r="I80" i="100" s="1"/>
  <c r="W57" i="100"/>
  <c r="T57" i="100"/>
  <c r="Z57" i="100" s="1"/>
  <c r="Y92" i="100" l="1"/>
  <c r="AD63" i="100"/>
  <c r="I84" i="100" s="1"/>
  <c r="Q84" i="100"/>
  <c r="Y84" i="100" s="1"/>
  <c r="AD71" i="100"/>
  <c r="I90" i="100" s="1"/>
  <c r="Q90" i="100"/>
  <c r="Y90" i="100" s="1"/>
  <c r="Z64" i="100"/>
  <c r="Q85" i="100" s="1"/>
  <c r="Y85" i="100" s="1"/>
  <c r="Z70" i="100"/>
  <c r="Q89" i="100" s="1"/>
  <c r="Y89" i="100" s="1"/>
  <c r="Q83" i="100"/>
  <c r="Y83" i="100" s="1"/>
  <c r="AD62" i="100"/>
  <c r="I83" i="100" s="1"/>
  <c r="Q93" i="100"/>
  <c r="Y93" i="100" s="1"/>
  <c r="AD75" i="100"/>
  <c r="I93" i="100" s="1"/>
  <c r="Q91" i="100"/>
  <c r="Y91" i="100" s="1"/>
  <c r="AD73" i="100"/>
  <c r="I91" i="100" s="1"/>
  <c r="AD64" i="100"/>
  <c r="I85" i="100" s="1"/>
  <c r="AD57" i="100"/>
  <c r="I79" i="100" s="1"/>
  <c r="Q79" i="100"/>
  <c r="Y79" i="100" s="1"/>
  <c r="AD68" i="100"/>
  <c r="I87" i="100" s="1"/>
  <c r="Q87" i="100"/>
  <c r="Y87" i="100" s="1"/>
  <c r="Q81" i="100"/>
  <c r="Y81" i="100" s="1"/>
  <c r="AD59" i="100"/>
  <c r="I81" i="100" s="1"/>
  <c r="AD70" i="100"/>
  <c r="I89" i="100" s="1"/>
  <c r="Q82" i="100"/>
  <c r="Y82" i="100" s="1"/>
  <c r="Q80" i="100"/>
  <c r="Y80" i="100" s="1"/>
  <c r="Q88" i="100"/>
  <c r="Y88" i="100" s="1"/>
  <c r="Q86" i="100"/>
  <c r="Y86" i="100" s="1"/>
  <c r="Q94" i="100"/>
  <c r="Y94" i="100" s="1"/>
  <c r="Q62" i="99" l="1"/>
  <c r="Q88" i="99"/>
  <c r="U76" i="99"/>
  <c r="Q89" i="99" s="1"/>
  <c r="M76" i="99"/>
  <c r="Q86" i="99" s="1"/>
  <c r="U75" i="99"/>
  <c r="M75" i="99"/>
  <c r="Q85" i="99" s="1"/>
  <c r="U74" i="99"/>
  <c r="Q87" i="99" s="1"/>
  <c r="M74" i="99"/>
  <c r="Q84" i="99" s="1"/>
  <c r="Y85" i="99" l="1"/>
  <c r="Y86" i="99"/>
  <c r="Y88" i="99"/>
  <c r="I84" i="99"/>
  <c r="Y84" i="99"/>
  <c r="Y89" i="99"/>
  <c r="I89" i="99"/>
  <c r="I87" i="99"/>
  <c r="Y87" i="99"/>
  <c r="I85" i="99"/>
  <c r="I88" i="99"/>
  <c r="I86" i="99"/>
  <c r="Q49" i="98" l="1"/>
  <c r="G104" i="98"/>
  <c r="U104" i="98" s="1"/>
  <c r="AC104" i="98" s="1"/>
  <c r="G103" i="98"/>
  <c r="M103" i="98" s="1"/>
  <c r="U103" i="98" s="1"/>
  <c r="AC103" i="98" s="1"/>
  <c r="G102" i="98"/>
  <c r="M102" i="98" s="1"/>
  <c r="U102" i="98" s="1"/>
  <c r="AC102" i="98" s="1"/>
  <c r="G101" i="98"/>
  <c r="U101" i="98" s="1"/>
  <c r="AC101" i="98" s="1"/>
  <c r="G100" i="98"/>
  <c r="I100" i="98" s="1"/>
  <c r="Q100" i="98" s="1"/>
  <c r="Y100" i="98" s="1"/>
  <c r="G99" i="98"/>
  <c r="U99" i="98" s="1"/>
  <c r="AC99" i="98" s="1"/>
  <c r="G98" i="98"/>
  <c r="M98" i="98" s="1"/>
  <c r="U98" i="98" s="1"/>
  <c r="AC98" i="98" s="1"/>
  <c r="G97" i="98"/>
  <c r="I97" i="98" s="1"/>
  <c r="Q97" i="98" s="1"/>
  <c r="Y97" i="98" s="1"/>
  <c r="U93" i="98"/>
  <c r="AC93" i="98" s="1"/>
  <c r="G93" i="98"/>
  <c r="Q93" i="98" s="1"/>
  <c r="Y93" i="98" s="1"/>
  <c r="M92" i="98"/>
  <c r="U92" i="98" s="1"/>
  <c r="AC92" i="98" s="1"/>
  <c r="G92" i="98"/>
  <c r="I92" i="98" s="1"/>
  <c r="Q92" i="98" s="1"/>
  <c r="Y92" i="98" s="1"/>
  <c r="Q115" i="98" s="1"/>
  <c r="G91" i="98"/>
  <c r="M91" i="98" s="1"/>
  <c r="U91" i="98" s="1"/>
  <c r="AC91" i="98" s="1"/>
  <c r="G90" i="98"/>
  <c r="Q90" i="98" s="1"/>
  <c r="Y90" i="98" s="1"/>
  <c r="G89" i="98"/>
  <c r="M89" i="98" s="1"/>
  <c r="U89" i="98" s="1"/>
  <c r="AC89" i="98" s="1"/>
  <c r="G88" i="98"/>
  <c r="U88" i="98" s="1"/>
  <c r="AC88" i="98" s="1"/>
  <c r="G87" i="98"/>
  <c r="M87" i="98" s="1"/>
  <c r="U87" i="98" s="1"/>
  <c r="AC87" i="98" s="1"/>
  <c r="G86" i="98"/>
  <c r="M86" i="98" s="1"/>
  <c r="U86" i="98" s="1"/>
  <c r="AC86" i="98" s="1"/>
  <c r="G85" i="98"/>
  <c r="M85" i="98" s="1"/>
  <c r="U85" i="98" s="1"/>
  <c r="AC85" i="98" s="1"/>
  <c r="I89" i="98" l="1"/>
  <c r="Q89" i="98" s="1"/>
  <c r="Y89" i="98" s="1"/>
  <c r="Q116" i="98"/>
  <c r="Y116" i="98" s="1"/>
  <c r="M100" i="98"/>
  <c r="U100" i="98" s="1"/>
  <c r="AC100" i="98" s="1"/>
  <c r="I86" i="98"/>
  <c r="Q86" i="98" s="1"/>
  <c r="Y86" i="98" s="1"/>
  <c r="Q109" i="98" s="1"/>
  <c r="U90" i="98"/>
  <c r="AC90" i="98" s="1"/>
  <c r="Q113" i="98" s="1"/>
  <c r="M97" i="98"/>
  <c r="U97" i="98" s="1"/>
  <c r="AC97" i="98" s="1"/>
  <c r="Q117" i="98" s="1"/>
  <c r="I103" i="98"/>
  <c r="Q103" i="98" s="1"/>
  <c r="Y103" i="98" s="1"/>
  <c r="Q88" i="98"/>
  <c r="Y88" i="98" s="1"/>
  <c r="Q111" i="98" s="1"/>
  <c r="I111" i="98" s="1"/>
  <c r="Q99" i="98"/>
  <c r="Y99" i="98" s="1"/>
  <c r="Q119" i="98" s="1"/>
  <c r="Q112" i="98"/>
  <c r="Y112" i="98" s="1"/>
  <c r="Q120" i="98"/>
  <c r="Y115" i="98"/>
  <c r="I115" i="98"/>
  <c r="I116" i="98"/>
  <c r="I119" i="98"/>
  <c r="Y119" i="98"/>
  <c r="Q123" i="98"/>
  <c r="I87" i="98"/>
  <c r="Q87" i="98" s="1"/>
  <c r="Y87" i="98" s="1"/>
  <c r="Q110" i="98" s="1"/>
  <c r="I91" i="98"/>
  <c r="Q91" i="98" s="1"/>
  <c r="Y91" i="98" s="1"/>
  <c r="Q114" i="98" s="1"/>
  <c r="Q104" i="98"/>
  <c r="Y104" i="98" s="1"/>
  <c r="Q124" i="98" s="1"/>
  <c r="I85" i="98"/>
  <c r="Q85" i="98" s="1"/>
  <c r="Y85" i="98" s="1"/>
  <c r="Q108" i="98" s="1"/>
  <c r="I98" i="98"/>
  <c r="Q98" i="98" s="1"/>
  <c r="Y98" i="98" s="1"/>
  <c r="Q118" i="98" s="1"/>
  <c r="I102" i="98"/>
  <c r="Q102" i="98" s="1"/>
  <c r="Y102" i="98" s="1"/>
  <c r="Q122" i="98" s="1"/>
  <c r="Q101" i="98"/>
  <c r="Y101" i="98" s="1"/>
  <c r="Q121" i="98" s="1"/>
  <c r="Y113" i="98" l="1"/>
  <c r="I113" i="98"/>
  <c r="I112" i="98"/>
  <c r="Y111" i="98"/>
  <c r="Y117" i="98"/>
  <c r="I117" i="98"/>
  <c r="Y121" i="98"/>
  <c r="I121" i="98"/>
  <c r="Y118" i="98"/>
  <c r="I118" i="98"/>
  <c r="Y123" i="98"/>
  <c r="I123" i="98"/>
  <c r="I122" i="98"/>
  <c r="Y122" i="98"/>
  <c r="Y109" i="98"/>
  <c r="I109" i="98"/>
  <c r="Y108" i="98"/>
  <c r="I108" i="98"/>
  <c r="Y110" i="98"/>
  <c r="I110" i="98"/>
  <c r="Y124" i="98"/>
  <c r="I124" i="98"/>
  <c r="Y120" i="98"/>
  <c r="I120" i="98"/>
  <c r="I114" i="98"/>
  <c r="Y114" i="98"/>
  <c r="Q71" i="14" l="1"/>
  <c r="Q88" i="14"/>
  <c r="AC87" i="14"/>
  <c r="AC88" i="14" s="1"/>
  <c r="Y87" i="14"/>
  <c r="Y88" i="14" s="1"/>
  <c r="Y89" i="14" s="1"/>
  <c r="U87" i="14"/>
  <c r="U88" i="14" s="1"/>
  <c r="Q87" i="14"/>
  <c r="M87" i="14"/>
  <c r="M88" i="14" s="1"/>
  <c r="I87" i="14"/>
  <c r="I88" i="14" s="1"/>
  <c r="AC86" i="14"/>
  <c r="AC89" i="14" s="1"/>
  <c r="Y86" i="14"/>
  <c r="U86" i="14"/>
  <c r="Q86" i="14"/>
  <c r="Q89" i="14" s="1"/>
  <c r="M86" i="14"/>
  <c r="I86" i="14"/>
  <c r="Q69" i="14"/>
  <c r="I89" i="14" l="1"/>
  <c r="Q98" i="14"/>
  <c r="M89" i="14"/>
  <c r="U89" i="14"/>
  <c r="Q97" i="14" s="1"/>
  <c r="Q96" i="14" l="1"/>
  <c r="Y97" i="14"/>
  <c r="I97" i="14"/>
  <c r="I96" i="14"/>
  <c r="Y96" i="14"/>
  <c r="Y98" i="14"/>
  <c r="I98" i="14"/>
  <c r="Q90" i="93" l="1"/>
  <c r="AA156" i="93"/>
  <c r="AA157" i="93" s="1"/>
  <c r="U156" i="93"/>
  <c r="U157" i="93" s="1"/>
  <c r="O156" i="93"/>
  <c r="O157" i="93" s="1"/>
  <c r="I156" i="93"/>
  <c r="I157" i="93" s="1"/>
  <c r="AA155" i="93"/>
  <c r="U155" i="93"/>
  <c r="O155" i="93"/>
  <c r="I155" i="93"/>
  <c r="AA152" i="93"/>
  <c r="U152" i="93"/>
  <c r="AA140" i="93"/>
  <c r="AA141" i="93" s="1"/>
  <c r="U140" i="93"/>
  <c r="U141" i="93" s="1"/>
  <c r="O140" i="93"/>
  <c r="O141" i="93" s="1"/>
  <c r="I140" i="93"/>
  <c r="I141" i="93" s="1"/>
  <c r="AA139" i="93"/>
  <c r="U139" i="93"/>
  <c r="O139" i="93"/>
  <c r="I139" i="93"/>
  <c r="AA136" i="93"/>
  <c r="U136" i="93"/>
  <c r="AA124" i="93"/>
  <c r="AA125" i="93" s="1"/>
  <c r="U124" i="93"/>
  <c r="U125" i="93" s="1"/>
  <c r="O124" i="93"/>
  <c r="O125" i="93" s="1"/>
  <c r="I124" i="93"/>
  <c r="I125" i="93" s="1"/>
  <c r="AA123" i="93"/>
  <c r="U123" i="93"/>
  <c r="O123" i="93"/>
  <c r="I123" i="93"/>
  <c r="AA120" i="93"/>
  <c r="U120" i="93"/>
  <c r="AA108" i="93"/>
  <c r="AA109" i="93" s="1"/>
  <c r="U108" i="93"/>
  <c r="U109" i="93" s="1"/>
  <c r="O108" i="93"/>
  <c r="O109" i="93" s="1"/>
  <c r="I108" i="93"/>
  <c r="I109" i="93" s="1"/>
  <c r="AA107" i="93"/>
  <c r="U107" i="93"/>
  <c r="O107" i="93"/>
  <c r="I107" i="93"/>
  <c r="AA104" i="93"/>
  <c r="U104" i="93"/>
  <c r="Q88" i="93"/>
  <c r="I126" i="93" l="1"/>
  <c r="I158" i="93"/>
  <c r="U158" i="93"/>
  <c r="U142" i="93"/>
  <c r="U126" i="93"/>
  <c r="U110" i="93"/>
  <c r="I110" i="93"/>
  <c r="I142" i="93"/>
  <c r="Q169" i="93" l="1"/>
  <c r="I169" i="93" s="1"/>
  <c r="Q170" i="93"/>
  <c r="I170" i="93" s="1"/>
  <c r="Q171" i="93"/>
  <c r="I171" i="93" s="1"/>
  <c r="Q168" i="93"/>
  <c r="Y168" i="93"/>
  <c r="I168" i="93"/>
  <c r="Y169" i="93" l="1"/>
  <c r="Y171" i="93"/>
  <c r="Y170" i="93"/>
  <c r="AA28" i="156" l="1"/>
  <c r="U28" i="156"/>
  <c r="AA27" i="156"/>
  <c r="U27" i="156"/>
  <c r="O26" i="156"/>
  <c r="O25" i="156"/>
  <c r="O24" i="156"/>
  <c r="Q61" i="156" l="1"/>
  <c r="A108" i="105" l="1"/>
  <c r="A109" i="105" s="1"/>
  <c r="A110" i="105" s="1"/>
  <c r="A111" i="105" s="1"/>
  <c r="A112" i="105" s="1"/>
  <c r="A113" i="105" s="1"/>
  <c r="A114" i="105" s="1"/>
  <c r="A115" i="105" s="1"/>
  <c r="A116" i="105" s="1"/>
  <c r="A117" i="105" s="1"/>
  <c r="A118" i="105" s="1"/>
  <c r="A119" i="105" s="1"/>
  <c r="A120" i="105" s="1"/>
  <c r="A121" i="105" s="1"/>
  <c r="A122" i="105" s="1"/>
  <c r="A123" i="105" s="1"/>
  <c r="A124" i="105" s="1"/>
  <c r="A125" i="105" s="1"/>
  <c r="A126" i="105" s="1"/>
  <c r="A127" i="105" s="1"/>
  <c r="A128" i="105" s="1"/>
  <c r="A129" i="105" s="1"/>
  <c r="A130" i="105" s="1"/>
  <c r="A131" i="105" s="1"/>
  <c r="B231" i="154" l="1"/>
  <c r="C231" i="154" s="1"/>
  <c r="D231" i="154" s="1"/>
  <c r="E231" i="154" s="1"/>
  <c r="F231" i="154" s="1"/>
  <c r="G231" i="154" s="1"/>
  <c r="H231" i="154" s="1"/>
  <c r="I231" i="154" s="1"/>
  <c r="J231" i="154" s="1"/>
  <c r="K231" i="154" s="1"/>
  <c r="L231" i="154" s="1"/>
  <c r="M231" i="154" s="1"/>
  <c r="N231" i="154" s="1"/>
  <c r="O231" i="154" s="1"/>
  <c r="P231" i="154" s="1"/>
  <c r="Q231" i="154" s="1"/>
  <c r="R231" i="154" s="1"/>
  <c r="S231" i="154" s="1"/>
  <c r="T231" i="154" s="1"/>
  <c r="U231" i="154" s="1"/>
  <c r="V231" i="154" s="1"/>
  <c r="W231" i="154" s="1"/>
  <c r="X231" i="154" s="1"/>
  <c r="Y231" i="154" s="1"/>
  <c r="Z231" i="154" s="1"/>
  <c r="AA231" i="154" s="1"/>
  <c r="AB231" i="154" s="1"/>
  <c r="AC231" i="154" s="1"/>
  <c r="AD231" i="154" s="1"/>
  <c r="AE231" i="154" s="1"/>
  <c r="AF231" i="154" s="1"/>
  <c r="A229" i="154"/>
  <c r="Z206" i="154"/>
  <c r="Q264" i="154" s="1"/>
  <c r="Y264" i="154" s="1"/>
  <c r="Z205" i="154"/>
  <c r="Q263" i="154" s="1"/>
  <c r="Y263" i="154" s="1"/>
  <c r="Z204" i="154"/>
  <c r="Q262" i="154" s="1"/>
  <c r="Y262" i="154" s="1"/>
  <c r="Z203" i="154"/>
  <c r="AD203" i="154" s="1"/>
  <c r="I261" i="154" s="1"/>
  <c r="Z202" i="154"/>
  <c r="Q260" i="154" s="1"/>
  <c r="Y260" i="154" s="1"/>
  <c r="Z201" i="154"/>
  <c r="AD201" i="154" s="1"/>
  <c r="Z200" i="154"/>
  <c r="AD200" i="154" s="1"/>
  <c r="Z199" i="154"/>
  <c r="AD199" i="154" s="1"/>
  <c r="Z198" i="154"/>
  <c r="AD198" i="154" s="1"/>
  <c r="Z193" i="154"/>
  <c r="Q259" i="154" s="1"/>
  <c r="Y259" i="154" s="1"/>
  <c r="Z192" i="154"/>
  <c r="Q258" i="154" s="1"/>
  <c r="Y258" i="154" s="1"/>
  <c r="Z191" i="154"/>
  <c r="AD191" i="154" s="1"/>
  <c r="I257" i="154" s="1"/>
  <c r="Z190" i="154"/>
  <c r="AD190" i="154" s="1"/>
  <c r="I256" i="154" s="1"/>
  <c r="Z189" i="154"/>
  <c r="Q255" i="154" s="1"/>
  <c r="Y255" i="154" s="1"/>
  <c r="Z188" i="154"/>
  <c r="Q240" i="154" s="1"/>
  <c r="Y240" i="154" s="1"/>
  <c r="Z187" i="154"/>
  <c r="AD187" i="154" s="1"/>
  <c r="I239" i="154" s="1"/>
  <c r="Z186" i="154"/>
  <c r="Q238" i="154" s="1"/>
  <c r="Y238" i="154" s="1"/>
  <c r="Z185" i="154"/>
  <c r="AD185" i="154" s="1"/>
  <c r="I237" i="154" s="1"/>
  <c r="Z180" i="154"/>
  <c r="Q254" i="154" s="1"/>
  <c r="Y254" i="154" s="1"/>
  <c r="Z179" i="154"/>
  <c r="AD179" i="154" s="1"/>
  <c r="I253" i="154" s="1"/>
  <c r="Z178" i="154"/>
  <c r="Q252" i="154" s="1"/>
  <c r="Y252" i="154" s="1"/>
  <c r="Z177" i="154"/>
  <c r="Q251" i="154" s="1"/>
  <c r="Y251" i="154" s="1"/>
  <c r="Z176" i="154"/>
  <c r="Q250" i="154" s="1"/>
  <c r="Y250" i="154" s="1"/>
  <c r="Z175" i="154"/>
  <c r="AD175" i="154" s="1"/>
  <c r="Z174" i="154"/>
  <c r="AD174" i="154" s="1"/>
  <c r="Z173" i="154"/>
  <c r="AD173" i="154" s="1"/>
  <c r="Z172" i="154"/>
  <c r="AD172" i="154" s="1"/>
  <c r="Z167" i="154"/>
  <c r="Z166" i="154"/>
  <c r="Z165" i="154"/>
  <c r="Z164" i="154"/>
  <c r="AD164" i="154" s="1"/>
  <c r="I246" i="154" s="1"/>
  <c r="Z163" i="154"/>
  <c r="Z162" i="154"/>
  <c r="Z161" i="154"/>
  <c r="Q243" i="154" s="1"/>
  <c r="Y243" i="154" s="1"/>
  <c r="Z160" i="154"/>
  <c r="Q242" i="154" s="1"/>
  <c r="Y242" i="154" s="1"/>
  <c r="Z159" i="154"/>
  <c r="Q274" i="154" s="1"/>
  <c r="Y274" i="154" s="1"/>
  <c r="AD192" i="154" l="1"/>
  <c r="I258" i="154" s="1"/>
  <c r="Q244" i="154"/>
  <c r="Y244" i="154" s="1"/>
  <c r="Q267" i="154"/>
  <c r="Y267" i="154" s="1"/>
  <c r="AD186" i="154"/>
  <c r="I238" i="154" s="1"/>
  <c r="AD188" i="154"/>
  <c r="I240" i="154" s="1"/>
  <c r="AD162" i="154"/>
  <c r="I236" i="154" s="1"/>
  <c r="Q236" i="154"/>
  <c r="Y236" i="154" s="1"/>
  <c r="AD202" i="154"/>
  <c r="I260" i="154" s="1"/>
  <c r="Q237" i="154"/>
  <c r="Y237" i="154" s="1"/>
  <c r="Q265" i="154"/>
  <c r="Y265" i="154" s="1"/>
  <c r="AD204" i="154"/>
  <c r="I262" i="154" s="1"/>
  <c r="Q279" i="154"/>
  <c r="Y279" i="154" s="1"/>
  <c r="AD178" i="154"/>
  <c r="I252" i="154" s="1"/>
  <c r="Q246" i="154"/>
  <c r="Y246" i="154" s="1"/>
  <c r="Q256" i="154"/>
  <c r="Y256" i="154" s="1"/>
  <c r="Q281" i="154"/>
  <c r="Y281" i="154" s="1"/>
  <c r="AD180" i="154"/>
  <c r="I254" i="154" s="1"/>
  <c r="AD166" i="154"/>
  <c r="I248" i="154" s="1"/>
  <c r="Q277" i="154"/>
  <c r="Y277" i="154" s="1"/>
  <c r="Q282" i="154"/>
  <c r="Y282" i="154" s="1"/>
  <c r="AD176" i="154"/>
  <c r="I250" i="154" s="1"/>
  <c r="AD160" i="154"/>
  <c r="I242" i="154" s="1"/>
  <c r="Q248" i="154"/>
  <c r="Y248" i="154" s="1"/>
  <c r="AD206" i="154"/>
  <c r="I264" i="154" s="1"/>
  <c r="AD159" i="154"/>
  <c r="Q241" i="154"/>
  <c r="Y241" i="154" s="1"/>
  <c r="AD161" i="154"/>
  <c r="Q257" i="154"/>
  <c r="Y257" i="154" s="1"/>
  <c r="AD177" i="154"/>
  <c r="I251" i="154" s="1"/>
  <c r="AD189" i="154"/>
  <c r="I255" i="154" s="1"/>
  <c r="AD193" i="154"/>
  <c r="I259" i="154" s="1"/>
  <c r="AD205" i="154"/>
  <c r="I263" i="154" s="1"/>
  <c r="Q268" i="154"/>
  <c r="Y268" i="154" s="1"/>
  <c r="Q280" i="154"/>
  <c r="Y280" i="154" s="1"/>
  <c r="Q239" i="154"/>
  <c r="Y239" i="154" s="1"/>
  <c r="Q247" i="154"/>
  <c r="Y247" i="154" s="1"/>
  <c r="Q275" i="154"/>
  <c r="Y275" i="154" s="1"/>
  <c r="Q233" i="154"/>
  <c r="Y233" i="154" s="1"/>
  <c r="Q249" i="154"/>
  <c r="Y249" i="154" s="1"/>
  <c r="AD165" i="154"/>
  <c r="Q234" i="154"/>
  <c r="Y234" i="154" s="1"/>
  <c r="Q266" i="154"/>
  <c r="Y266" i="154" s="1"/>
  <c r="Q278" i="154"/>
  <c r="Y278" i="154" s="1"/>
  <c r="Q261" i="154"/>
  <c r="Y261" i="154" s="1"/>
  <c r="Q269" i="154"/>
  <c r="Y269" i="154" s="1"/>
  <c r="Y229" i="154" s="1"/>
  <c r="Q253" i="154"/>
  <c r="Y253" i="154" s="1"/>
  <c r="AD163" i="154"/>
  <c r="AD167" i="154"/>
  <c r="Q276" i="154"/>
  <c r="Y276" i="154" s="1"/>
  <c r="Q229" i="154"/>
  <c r="Q235" i="154"/>
  <c r="Y235" i="154" s="1"/>
  <c r="Q245" i="154"/>
  <c r="Y245" i="154" s="1"/>
  <c r="I277" i="154" l="1"/>
  <c r="I234" i="154"/>
  <c r="I244" i="154"/>
  <c r="I275" i="154"/>
  <c r="I241" i="154"/>
  <c r="I229" i="154" s="1"/>
  <c r="I233" i="154"/>
  <c r="I274" i="154"/>
  <c r="I249" i="154"/>
  <c r="I282" i="154"/>
  <c r="I269" i="154"/>
  <c r="I265" i="154"/>
  <c r="I245" i="154"/>
  <c r="I278" i="154"/>
  <c r="I280" i="154"/>
  <c r="I267" i="154"/>
  <c r="I247" i="154"/>
  <c r="I243" i="154"/>
  <c r="I235" i="154"/>
  <c r="I276" i="154"/>
  <c r="I268" i="154"/>
  <c r="I279" i="154"/>
  <c r="I281" i="154"/>
  <c r="I266" i="154"/>
  <c r="P53" i="102" l="1"/>
  <c r="I65" i="102"/>
  <c r="I64" i="102"/>
  <c r="P47" i="102"/>
  <c r="Q65" i="102" s="1"/>
  <c r="Q64" i="102" l="1"/>
  <c r="Y64" i="102" s="1"/>
  <c r="Y65" i="102"/>
  <c r="AC94" i="153" l="1"/>
  <c r="Y94" i="153"/>
  <c r="AC93" i="153"/>
  <c r="Y93" i="153"/>
  <c r="AC92" i="153"/>
  <c r="U114" i="153" s="1"/>
  <c r="Y92" i="153"/>
  <c r="N114" i="153" s="1"/>
  <c r="P59" i="153"/>
  <c r="A118" i="153"/>
  <c r="G114" i="153"/>
  <c r="Q118" i="153" s="1"/>
  <c r="Q104" i="153"/>
  <c r="Q103" i="153"/>
  <c r="Q102" i="153"/>
  <c r="I102" i="153" s="1"/>
  <c r="I104" i="153" l="1"/>
  <c r="Y103" i="153"/>
  <c r="Y102" i="153"/>
  <c r="I118" i="153"/>
  <c r="Y118" i="153"/>
  <c r="Y104" i="153"/>
  <c r="I103" i="153"/>
  <c r="C13" i="115" l="1"/>
  <c r="Q47" i="94" l="1"/>
  <c r="Q60" i="94"/>
  <c r="I60" i="94"/>
  <c r="Y60" i="94" l="1"/>
  <c r="Q90" i="5" l="1"/>
  <c r="Q89" i="5"/>
  <c r="Q88" i="5"/>
  <c r="Q87" i="5"/>
  <c r="W218" i="5"/>
  <c r="W203" i="5"/>
  <c r="R203" i="5" s="1"/>
  <c r="S198" i="5"/>
  <c r="W217" i="5" s="1"/>
  <c r="D198" i="5"/>
  <c r="W205" i="5" s="1"/>
  <c r="W188" i="5"/>
  <c r="W187" i="5"/>
  <c r="R187" i="5" s="1"/>
  <c r="Y178" i="5"/>
  <c r="S178" i="5" s="1"/>
  <c r="W151" i="5"/>
  <c r="R151" i="5" s="1"/>
  <c r="W150" i="5"/>
  <c r="V178" i="5" s="1"/>
  <c r="P178" i="5" s="1"/>
  <c r="R150" i="5"/>
  <c r="W149" i="5"/>
  <c r="R149" i="5" s="1"/>
  <c r="W148" i="5"/>
  <c r="Y176" i="5" s="1"/>
  <c r="S176" i="5" s="1"/>
  <c r="W147" i="5"/>
  <c r="Y175" i="5" s="1"/>
  <c r="S175" i="5" s="1"/>
  <c r="R147" i="5"/>
  <c r="W146" i="5"/>
  <c r="V174" i="5" s="1"/>
  <c r="P174" i="5" s="1"/>
  <c r="W145" i="5"/>
  <c r="V173" i="5" s="1"/>
  <c r="P173" i="5" s="1"/>
  <c r="R145" i="5"/>
  <c r="W139" i="5"/>
  <c r="R139" i="5" s="1"/>
  <c r="W138" i="5"/>
  <c r="Y163" i="5" s="1"/>
  <c r="S163" i="5" s="1"/>
  <c r="R138" i="5"/>
  <c r="W137" i="5"/>
  <c r="R137" i="5" s="1"/>
  <c r="W136" i="5"/>
  <c r="Y161" i="5" s="1"/>
  <c r="S161" i="5" s="1"/>
  <c r="R136" i="5"/>
  <c r="W135" i="5"/>
  <c r="Y160" i="5" s="1"/>
  <c r="S160" i="5" s="1"/>
  <c r="R135" i="5"/>
  <c r="W134" i="5"/>
  <c r="V159" i="5" s="1"/>
  <c r="P159" i="5" s="1"/>
  <c r="W133" i="5"/>
  <c r="V158" i="5" s="1"/>
  <c r="P158" i="5" s="1"/>
  <c r="R133" i="5"/>
  <c r="AC123" i="5"/>
  <c r="Y123" i="5"/>
  <c r="U123" i="5"/>
  <c r="Q123" i="5"/>
  <c r="AC108" i="5"/>
  <c r="Y108" i="5"/>
  <c r="U108" i="5"/>
  <c r="Q108" i="5"/>
  <c r="W140" i="5" s="1"/>
  <c r="V165" i="5" s="1"/>
  <c r="P165" i="5" s="1"/>
  <c r="Y158" i="5" l="1"/>
  <c r="S158" i="5" s="1"/>
  <c r="AB203" i="5"/>
  <c r="R148" i="5"/>
  <c r="V162" i="5"/>
  <c r="P162" i="5" s="1"/>
  <c r="AB148" i="5"/>
  <c r="Y177" i="5"/>
  <c r="S177" i="5" s="1"/>
  <c r="Y162" i="5"/>
  <c r="S162" i="5" s="1"/>
  <c r="W152" i="5"/>
  <c r="AB152" i="5" s="1"/>
  <c r="Y173" i="5"/>
  <c r="S173" i="5" s="1"/>
  <c r="W216" i="5"/>
  <c r="V244" i="5" s="1"/>
  <c r="P244" i="5" s="1"/>
  <c r="AB188" i="5"/>
  <c r="AB187" i="5"/>
  <c r="AB149" i="5"/>
  <c r="AB151" i="5"/>
  <c r="AB136" i="5"/>
  <c r="AB137" i="5"/>
  <c r="AB139" i="5"/>
  <c r="R205" i="5"/>
  <c r="Y230" i="5"/>
  <c r="S230" i="5" s="1"/>
  <c r="V230" i="5"/>
  <c r="P230" i="5" s="1"/>
  <c r="AB205" i="5"/>
  <c r="R217" i="5"/>
  <c r="Y245" i="5"/>
  <c r="S245" i="5" s="1"/>
  <c r="V245" i="5"/>
  <c r="P245" i="5" s="1"/>
  <c r="AB217" i="5"/>
  <c r="AB140" i="5"/>
  <c r="Y159" i="5"/>
  <c r="S159" i="5" s="1"/>
  <c r="V164" i="5"/>
  <c r="P164" i="5" s="1"/>
  <c r="Y174" i="5"/>
  <c r="S174" i="5" s="1"/>
  <c r="V179" i="5"/>
  <c r="P179" i="5" s="1"/>
  <c r="W208" i="5"/>
  <c r="W220" i="5"/>
  <c r="Y244" i="5"/>
  <c r="S244" i="5" s="1"/>
  <c r="AB138" i="5"/>
  <c r="AB150" i="5"/>
  <c r="V161" i="5"/>
  <c r="P161" i="5" s="1"/>
  <c r="Y164" i="5"/>
  <c r="S164" i="5" s="1"/>
  <c r="V176" i="5"/>
  <c r="P176" i="5" s="1"/>
  <c r="Y179" i="5"/>
  <c r="S179" i="5" s="1"/>
  <c r="W215" i="5"/>
  <c r="Y165" i="5"/>
  <c r="S165" i="5" s="1"/>
  <c r="V177" i="5"/>
  <c r="P177" i="5" s="1"/>
  <c r="AB135" i="5"/>
  <c r="AB147" i="5"/>
  <c r="AB133" i="5"/>
  <c r="AB145" i="5"/>
  <c r="W206" i="5"/>
  <c r="R134" i="5"/>
  <c r="R146" i="5"/>
  <c r="V163" i="5"/>
  <c r="P163" i="5" s="1"/>
  <c r="R188" i="5"/>
  <c r="W209" i="5"/>
  <c r="R216" i="5"/>
  <c r="W221" i="5"/>
  <c r="V160" i="5"/>
  <c r="P160" i="5" s="1"/>
  <c r="V175" i="5"/>
  <c r="P175" i="5" s="1"/>
  <c r="W204" i="5"/>
  <c r="AB134" i="5"/>
  <c r="R140" i="5"/>
  <c r="AB146" i="5"/>
  <c r="W207" i="5"/>
  <c r="AB216" i="5"/>
  <c r="W219" i="5"/>
  <c r="W210" i="5"/>
  <c r="W222" i="5"/>
  <c r="V250" i="5" s="1"/>
  <c r="Y180" i="5" l="1"/>
  <c r="S180" i="5" s="1"/>
  <c r="R152" i="5"/>
  <c r="AB222" i="5"/>
  <c r="AB250" i="5" s="1"/>
  <c r="V180" i="5"/>
  <c r="P180" i="5" s="1"/>
  <c r="AB177" i="5"/>
  <c r="AB175" i="5"/>
  <c r="AB174" i="5"/>
  <c r="AB176" i="5"/>
  <c r="AB178" i="5"/>
  <c r="AB180" i="5"/>
  <c r="AB245" i="5"/>
  <c r="AB179" i="5"/>
  <c r="AB244" i="5"/>
  <c r="AB173" i="5"/>
  <c r="AB230" i="5"/>
  <c r="AB164" i="5"/>
  <c r="AB160" i="5"/>
  <c r="AB162" i="5"/>
  <c r="AB158" i="5"/>
  <c r="AB159" i="5"/>
  <c r="AB163" i="5"/>
  <c r="AB165" i="5"/>
  <c r="AB161" i="5"/>
  <c r="Y247" i="5"/>
  <c r="S247" i="5" s="1"/>
  <c r="V247" i="5"/>
  <c r="P247" i="5" s="1"/>
  <c r="AB219" i="5"/>
  <c r="AB247" i="5" s="1"/>
  <c r="R219" i="5"/>
  <c r="AB218" i="5"/>
  <c r="AB246" i="5" s="1"/>
  <c r="Y246" i="5"/>
  <c r="S246" i="5" s="1"/>
  <c r="V246" i="5"/>
  <c r="P246" i="5" s="1"/>
  <c r="R218" i="5"/>
  <c r="Y243" i="5"/>
  <c r="S243" i="5" s="1"/>
  <c r="V243" i="5"/>
  <c r="P243" i="5" s="1"/>
  <c r="AB215" i="5"/>
  <c r="AB243" i="5" s="1"/>
  <c r="R215" i="5"/>
  <c r="Y250" i="5"/>
  <c r="S250" i="5" s="1"/>
  <c r="P250" i="5"/>
  <c r="R222" i="5"/>
  <c r="AB210" i="5"/>
  <c r="AB235" i="5" s="1"/>
  <c r="Y235" i="5"/>
  <c r="S235" i="5" s="1"/>
  <c r="V235" i="5"/>
  <c r="P235" i="5" s="1"/>
  <c r="R210" i="5"/>
  <c r="AB221" i="5"/>
  <c r="AB249" i="5" s="1"/>
  <c r="R221" i="5"/>
  <c r="Y249" i="5"/>
  <c r="S249" i="5" s="1"/>
  <c r="V249" i="5"/>
  <c r="P249" i="5" s="1"/>
  <c r="AB206" i="5"/>
  <c r="AB231" i="5" s="1"/>
  <c r="Y231" i="5"/>
  <c r="S231" i="5" s="1"/>
  <c r="V231" i="5"/>
  <c r="P231" i="5" s="1"/>
  <c r="R206" i="5"/>
  <c r="Y228" i="5"/>
  <c r="S228" i="5" s="1"/>
  <c r="V228" i="5"/>
  <c r="P228" i="5" s="1"/>
  <c r="AB228" i="5"/>
  <c r="R220" i="5"/>
  <c r="Y248" i="5"/>
  <c r="S248" i="5" s="1"/>
  <c r="V248" i="5"/>
  <c r="P248" i="5" s="1"/>
  <c r="AB220" i="5"/>
  <c r="AB248" i="5" s="1"/>
  <c r="Y232" i="5"/>
  <c r="S232" i="5" s="1"/>
  <c r="V232" i="5"/>
  <c r="P232" i="5" s="1"/>
  <c r="AB207" i="5"/>
  <c r="AB232" i="5" s="1"/>
  <c r="R207" i="5"/>
  <c r="R208" i="5"/>
  <c r="Y233" i="5"/>
  <c r="S233" i="5" s="1"/>
  <c r="V233" i="5"/>
  <c r="P233" i="5" s="1"/>
  <c r="AB208" i="5"/>
  <c r="AB233" i="5" s="1"/>
  <c r="AB209" i="5"/>
  <c r="AB234" i="5" s="1"/>
  <c r="R209" i="5"/>
  <c r="Y234" i="5"/>
  <c r="S234" i="5" s="1"/>
  <c r="V234" i="5"/>
  <c r="P234" i="5" s="1"/>
  <c r="V229" i="5"/>
  <c r="P229" i="5" s="1"/>
  <c r="AB204" i="5"/>
  <c r="AB229" i="5" s="1"/>
  <c r="R204" i="5"/>
  <c r="Y229" i="5"/>
  <c r="S229" i="5" s="1"/>
  <c r="Q59" i="41"/>
  <c r="A166" i="41"/>
  <c r="H123" i="41"/>
  <c r="H148" i="41" s="1"/>
  <c r="H147" i="41"/>
  <c r="H122" i="41"/>
  <c r="H141" i="41" s="1"/>
  <c r="H142" i="41"/>
  <c r="O101" i="41"/>
  <c r="H101" i="41"/>
  <c r="O97" i="41"/>
  <c r="H97" i="41"/>
  <c r="O104" i="41"/>
  <c r="O103" i="41"/>
  <c r="O100" i="41"/>
  <c r="O99" i="41"/>
  <c r="O96" i="41"/>
  <c r="O95" i="41"/>
  <c r="O102" i="41"/>
  <c r="O98" i="41"/>
  <c r="O94" i="41"/>
  <c r="Q56" i="41"/>
  <c r="O111" i="41" s="1"/>
  <c r="O115" i="41"/>
  <c r="H94" i="41"/>
  <c r="H98" i="41"/>
  <c r="Q166" i="41" s="1"/>
  <c r="H102" i="41"/>
  <c r="H95" i="41"/>
  <c r="H99" i="41"/>
  <c r="H103" i="41"/>
  <c r="H145" i="41"/>
  <c r="H96" i="41"/>
  <c r="H100" i="41"/>
  <c r="H104" i="41"/>
  <c r="H139" i="41"/>
  <c r="H140" i="41"/>
  <c r="Q71" i="152"/>
  <c r="Q89" i="152"/>
  <c r="Q185" i="152" s="1"/>
  <c r="Q192" i="152"/>
  <c r="Q159" i="152" s="1"/>
  <c r="Y159" i="152" s="1"/>
  <c r="Y192" i="152"/>
  <c r="Q168" i="152"/>
  <c r="Q135" i="152"/>
  <c r="Q129" i="152"/>
  <c r="Q128" i="152"/>
  <c r="Y128" i="152" s="1"/>
  <c r="AA88" i="152"/>
  <c r="Y129" i="152" s="1"/>
  <c r="Q179" i="152"/>
  <c r="Y179" i="152" s="1"/>
  <c r="Q118" i="152"/>
  <c r="AA89" i="152"/>
  <c r="Q193" i="152"/>
  <c r="Y193" i="152" s="1"/>
  <c r="Q181" i="152"/>
  <c r="Y181" i="152"/>
  <c r="Q169" i="152"/>
  <c r="Q180" i="152"/>
  <c r="Y180" i="152"/>
  <c r="Q174" i="152"/>
  <c r="Y174" i="152"/>
  <c r="Q191" i="152"/>
  <c r="Y191" i="152"/>
  <c r="Q167" i="152"/>
  <c r="Y167" i="152" s="1"/>
  <c r="Q148" i="152"/>
  <c r="Q130" i="152"/>
  <c r="Q124" i="152"/>
  <c r="Q141" i="152"/>
  <c r="Y141" i="152" s="1"/>
  <c r="Q117" i="152"/>
  <c r="Y117" i="152" s="1"/>
  <c r="Q140" i="152"/>
  <c r="Q134" i="152"/>
  <c r="Q116" i="152"/>
  <c r="Y118" i="152"/>
  <c r="Y116" i="152"/>
  <c r="Y140" i="152"/>
  <c r="Q122" i="152"/>
  <c r="Q142" i="152"/>
  <c r="Y142" i="152" s="1"/>
  <c r="Q175" i="152"/>
  <c r="Y175" i="152"/>
  <c r="Y168" i="152"/>
  <c r="Q136" i="152"/>
  <c r="Y136" i="152" s="1"/>
  <c r="Q187" i="152"/>
  <c r="Y187" i="152" s="1"/>
  <c r="Q146" i="152"/>
  <c r="Q186" i="152"/>
  <c r="Y186" i="152" s="1"/>
  <c r="Q123" i="152"/>
  <c r="Y123" i="152"/>
  <c r="Q147" i="152"/>
  <c r="Q197" i="152"/>
  <c r="Y197" i="152"/>
  <c r="J96" i="152"/>
  <c r="Y135" i="152"/>
  <c r="Y146" i="152"/>
  <c r="Q109" i="152"/>
  <c r="Y124" i="152"/>
  <c r="P295" i="105"/>
  <c r="I295" i="105"/>
  <c r="I294" i="105"/>
  <c r="I293" i="105"/>
  <c r="P292" i="105"/>
  <c r="I292" i="105"/>
  <c r="P291" i="105"/>
  <c r="I291" i="105"/>
  <c r="I290" i="105"/>
  <c r="I285" i="105"/>
  <c r="P294" i="105"/>
  <c r="P293" i="105"/>
  <c r="P285" i="105"/>
  <c r="P290" i="105"/>
  <c r="I298" i="105" s="1"/>
  <c r="N56" i="151"/>
  <c r="U91" i="151"/>
  <c r="K70" i="151"/>
  <c r="K71" i="151" s="1"/>
  <c r="U88" i="151"/>
  <c r="I62" i="151"/>
  <c r="Q62" i="151"/>
  <c r="Y64" i="151"/>
  <c r="Q64" i="151"/>
  <c r="I64" i="151"/>
  <c r="Y63" i="151"/>
  <c r="Q63" i="151"/>
  <c r="I63" i="151"/>
  <c r="Y62" i="151"/>
  <c r="N55" i="151"/>
  <c r="S53" i="51"/>
  <c r="S54" i="51"/>
  <c r="V53" i="51"/>
  <c r="I73" i="51" s="1"/>
  <c r="V54" i="51"/>
  <c r="Q47" i="51"/>
  <c r="V60" i="51"/>
  <c r="S59" i="51"/>
  <c r="Q76" i="51" s="1"/>
  <c r="S57" i="51"/>
  <c r="Q75" i="51" s="1"/>
  <c r="V56" i="51"/>
  <c r="V55" i="51"/>
  <c r="I74" i="51" s="1"/>
  <c r="V58" i="51"/>
  <c r="S55" i="51"/>
  <c r="V57" i="51"/>
  <c r="V59" i="51"/>
  <c r="I76" i="51"/>
  <c r="S56" i="51"/>
  <c r="S58" i="51"/>
  <c r="S60" i="51"/>
  <c r="I75" i="51"/>
  <c r="Q74" i="51"/>
  <c r="Q115" i="3"/>
  <c r="I115" i="3"/>
  <c r="Q56" i="3"/>
  <c r="O47" i="149"/>
  <c r="V67" i="149" s="1"/>
  <c r="Q56" i="148"/>
  <c r="Y73" i="148" s="1"/>
  <c r="Q55" i="147"/>
  <c r="N75" i="147" s="1"/>
  <c r="N161" i="31" s="1"/>
  <c r="X93" i="109"/>
  <c r="N55" i="147" s="1"/>
  <c r="Z69" i="149"/>
  <c r="R69" i="149"/>
  <c r="N69" i="149"/>
  <c r="Z68" i="149"/>
  <c r="R68" i="149"/>
  <c r="N68" i="149"/>
  <c r="Z67" i="149"/>
  <c r="R67" i="149"/>
  <c r="N67" i="149"/>
  <c r="Z66" i="149"/>
  <c r="R66" i="149"/>
  <c r="N66" i="149"/>
  <c r="N70" i="149" s="1"/>
  <c r="I83" i="149" s="1"/>
  <c r="Q44" i="148"/>
  <c r="Q73" i="148"/>
  <c r="D73" i="147"/>
  <c r="I97" i="147" s="1"/>
  <c r="A97" i="147"/>
  <c r="S78" i="147"/>
  <c r="X78" i="147" s="1"/>
  <c r="D78" i="147"/>
  <c r="I78" i="147" s="1"/>
  <c r="S77" i="147"/>
  <c r="X77" i="147" s="1"/>
  <c r="D77" i="147"/>
  <c r="I77" i="147"/>
  <c r="S76" i="147"/>
  <c r="X76" i="147" s="1"/>
  <c r="D76" i="147"/>
  <c r="I76" i="147" s="1"/>
  <c r="N76" i="147" s="1"/>
  <c r="N162" i="31" s="1"/>
  <c r="S75" i="147"/>
  <c r="X75" i="147" s="1"/>
  <c r="AC75" i="147" s="1"/>
  <c r="AC161" i="31" s="1"/>
  <c r="D75" i="147"/>
  <c r="I75" i="147"/>
  <c r="S74" i="147"/>
  <c r="X74" i="147"/>
  <c r="D74" i="147"/>
  <c r="I74" i="147" s="1"/>
  <c r="S73" i="147"/>
  <c r="X73" i="147" s="1"/>
  <c r="AC73" i="147" s="1"/>
  <c r="AC159" i="31" s="1"/>
  <c r="S68" i="147"/>
  <c r="X68" i="147"/>
  <c r="D68" i="147"/>
  <c r="I68" i="147" s="1"/>
  <c r="S67" i="147"/>
  <c r="X67" i="147"/>
  <c r="D67" i="147"/>
  <c r="I67" i="147" s="1"/>
  <c r="S66" i="147"/>
  <c r="X66" i="147"/>
  <c r="D66" i="147"/>
  <c r="I66" i="147" s="1"/>
  <c r="S65" i="147"/>
  <c r="X65" i="147"/>
  <c r="D65" i="147"/>
  <c r="I65" i="147" s="1"/>
  <c r="S64" i="147"/>
  <c r="X64" i="147"/>
  <c r="D64" i="147"/>
  <c r="I64" i="147" s="1"/>
  <c r="S63" i="147"/>
  <c r="X63" i="147"/>
  <c r="D63" i="147"/>
  <c r="I63" i="147" s="1"/>
  <c r="I73" i="148"/>
  <c r="Q76" i="48"/>
  <c r="A138" i="128"/>
  <c r="Y122" i="83"/>
  <c r="U122" i="83"/>
  <c r="Q122" i="83"/>
  <c r="M122" i="83" s="1"/>
  <c r="Y121" i="83"/>
  <c r="U121" i="83"/>
  <c r="Q121" i="83"/>
  <c r="Y118" i="83"/>
  <c r="U118" i="83" s="1"/>
  <c r="Q118" i="83"/>
  <c r="Y117" i="83"/>
  <c r="U117" i="83" s="1"/>
  <c r="Q117" i="83"/>
  <c r="M117" i="83"/>
  <c r="Y116" i="83"/>
  <c r="U116" i="83" s="1"/>
  <c r="Q116" i="83"/>
  <c r="M116" i="83"/>
  <c r="Y115" i="83"/>
  <c r="Q115" i="83"/>
  <c r="M115" i="83"/>
  <c r="Q86" i="83"/>
  <c r="Q80" i="83"/>
  <c r="M86" i="108"/>
  <c r="M85" i="108" s="1"/>
  <c r="Y130" i="108"/>
  <c r="U130" i="108" s="1"/>
  <c r="Q130" i="108"/>
  <c r="M130" i="108"/>
  <c r="Y129" i="108"/>
  <c r="U129" i="108" s="1"/>
  <c r="Q129" i="108"/>
  <c r="M129" i="108" s="1"/>
  <c r="Y128" i="108"/>
  <c r="U128" i="108" s="1"/>
  <c r="Q128" i="108"/>
  <c r="M128" i="108"/>
  <c r="Y127" i="108"/>
  <c r="U127" i="108" s="1"/>
  <c r="Q127" i="108"/>
  <c r="M127" i="108" s="1"/>
  <c r="Y122" i="108"/>
  <c r="U122" i="108" s="1"/>
  <c r="Q122" i="108"/>
  <c r="M122" i="108"/>
  <c r="Y121" i="108"/>
  <c r="Q121" i="108"/>
  <c r="M121" i="108"/>
  <c r="Y120" i="108"/>
  <c r="U120" i="108"/>
  <c r="Q120" i="108"/>
  <c r="M120" i="108" s="1"/>
  <c r="Y119" i="108"/>
  <c r="U119" i="108"/>
  <c r="Q119" i="108"/>
  <c r="Y118" i="108"/>
  <c r="U118" i="108"/>
  <c r="Q118" i="108"/>
  <c r="Y117" i="108"/>
  <c r="U117" i="108"/>
  <c r="Q117" i="108"/>
  <c r="M117" i="108"/>
  <c r="Y116" i="108"/>
  <c r="Q116" i="108"/>
  <c r="M116" i="108"/>
  <c r="Y115" i="108"/>
  <c r="U115" i="108" s="1"/>
  <c r="Q115" i="108"/>
  <c r="M115" i="108"/>
  <c r="M79" i="108"/>
  <c r="Q123" i="108" s="1"/>
  <c r="M123" i="108" s="1"/>
  <c r="Q125" i="108"/>
  <c r="M125" i="108" s="1"/>
  <c r="Y119" i="83"/>
  <c r="AC122" i="83"/>
  <c r="M118" i="83"/>
  <c r="U115" i="83"/>
  <c r="M118" i="108"/>
  <c r="U121" i="108"/>
  <c r="Q54" i="47"/>
  <c r="Y77" i="47" s="1"/>
  <c r="Q94" i="47"/>
  <c r="I94" i="47"/>
  <c r="Q78" i="47"/>
  <c r="I79" i="47"/>
  <c r="Q77" i="47"/>
  <c r="Q56" i="48"/>
  <c r="I73" i="48"/>
  <c r="I89" i="48"/>
  <c r="I80" i="47"/>
  <c r="I77" i="47"/>
  <c r="Q80" i="47"/>
  <c r="Q79" i="47"/>
  <c r="I78" i="47"/>
  <c r="Q74" i="48"/>
  <c r="I74" i="48"/>
  <c r="I72" i="48"/>
  <c r="Q89" i="48"/>
  <c r="Q72" i="48"/>
  <c r="I75" i="48"/>
  <c r="Q75" i="48"/>
  <c r="Q73" i="48"/>
  <c r="I76" i="48"/>
  <c r="Q47" i="140"/>
  <c r="Q88" i="62"/>
  <c r="Q87" i="62"/>
  <c r="Q86" i="62"/>
  <c r="AB149" i="62" s="1"/>
  <c r="Q85" i="62"/>
  <c r="AB131" i="62" s="1"/>
  <c r="S196" i="62"/>
  <c r="W215" i="62" s="1"/>
  <c r="R215" i="62" s="1"/>
  <c r="D196" i="62"/>
  <c r="W204" i="62" s="1"/>
  <c r="W186" i="62"/>
  <c r="W185" i="62"/>
  <c r="R185" i="62" s="1"/>
  <c r="W149" i="62"/>
  <c r="Y177" i="62"/>
  <c r="S177" i="62" s="1"/>
  <c r="W148" i="62"/>
  <c r="Y176" i="62"/>
  <c r="S176" i="62" s="1"/>
  <c r="W147" i="62"/>
  <c r="Y175" i="62" s="1"/>
  <c r="S175" i="62" s="1"/>
  <c r="W146" i="62"/>
  <c r="W145" i="62"/>
  <c r="R145" i="62"/>
  <c r="W144" i="62"/>
  <c r="R144" i="62" s="1"/>
  <c r="W143" i="62"/>
  <c r="W137" i="62"/>
  <c r="W136" i="62"/>
  <c r="W135" i="62"/>
  <c r="W134" i="62"/>
  <c r="Y159" i="62"/>
  <c r="S159" i="62" s="1"/>
  <c r="W133" i="62"/>
  <c r="W132" i="62"/>
  <c r="W131" i="62"/>
  <c r="Y156" i="62" s="1"/>
  <c r="S156" i="62" s="1"/>
  <c r="AC121" i="62"/>
  <c r="Y121" i="62"/>
  <c r="U121" i="62"/>
  <c r="W150" i="62" s="1"/>
  <c r="Q121" i="62"/>
  <c r="AC106" i="62"/>
  <c r="Y106" i="62"/>
  <c r="U106" i="62"/>
  <c r="Q106" i="62"/>
  <c r="R148" i="62"/>
  <c r="V171" i="62"/>
  <c r="P171" i="62" s="1"/>
  <c r="R134" i="62"/>
  <c r="V172" i="62"/>
  <c r="P172" i="62" s="1"/>
  <c r="W201" i="62"/>
  <c r="V226" i="62" s="1"/>
  <c r="P226" i="62" s="1"/>
  <c r="V159" i="62"/>
  <c r="P159" i="62"/>
  <c r="W216" i="62"/>
  <c r="R216" i="62" s="1"/>
  <c r="V156" i="62"/>
  <c r="P156" i="62" s="1"/>
  <c r="R149" i="62"/>
  <c r="R131" i="62"/>
  <c r="R143" i="62"/>
  <c r="V162" i="62"/>
  <c r="P162" i="62" s="1"/>
  <c r="Y172" i="62"/>
  <c r="S172" i="62" s="1"/>
  <c r="V177" i="62"/>
  <c r="P177" i="62"/>
  <c r="Y171" i="62"/>
  <c r="S171" i="62" s="1"/>
  <c r="V176" i="62"/>
  <c r="P176" i="62" s="1"/>
  <c r="R186" i="62"/>
  <c r="W207" i="62"/>
  <c r="V232" i="62" s="1"/>
  <c r="P232" i="62" s="1"/>
  <c r="R147" i="62"/>
  <c r="V173" i="62"/>
  <c r="P173" i="62" s="1"/>
  <c r="W202" i="62"/>
  <c r="Y173" i="62"/>
  <c r="S173" i="62" s="1"/>
  <c r="W205" i="62"/>
  <c r="W138" i="62"/>
  <c r="V175" i="62"/>
  <c r="P175" i="62" s="1"/>
  <c r="Y244" i="62"/>
  <c r="S244" i="62" s="1"/>
  <c r="V244" i="62"/>
  <c r="P244" i="62" s="1"/>
  <c r="R207" i="62"/>
  <c r="Q44" i="143"/>
  <c r="I57" i="143"/>
  <c r="I66" i="143" s="1"/>
  <c r="Q45" i="143"/>
  <c r="Q57" i="143"/>
  <c r="E8" i="145"/>
  <c r="F8" i="145" s="1"/>
  <c r="G8" i="145" s="1"/>
  <c r="E7" i="145"/>
  <c r="F7" i="145" s="1"/>
  <c r="G7" i="145" s="1"/>
  <c r="I83" i="141"/>
  <c r="I82" i="141"/>
  <c r="R76" i="141"/>
  <c r="J76" i="141"/>
  <c r="I84" i="141" s="1"/>
  <c r="R75" i="141"/>
  <c r="Q83" i="141" s="1"/>
  <c r="Y83" i="141" s="1"/>
  <c r="R74" i="141"/>
  <c r="Q47" i="143"/>
  <c r="Q66" i="143"/>
  <c r="G35" i="145"/>
  <c r="G34" i="145"/>
  <c r="G33" i="145"/>
  <c r="G32" i="145"/>
  <c r="G31" i="145"/>
  <c r="G30" i="145"/>
  <c r="G29" i="145"/>
  <c r="G28" i="145"/>
  <c r="AA38" i="43"/>
  <c r="AD38" i="43" s="1"/>
  <c r="X38" i="43"/>
  <c r="R38" i="43"/>
  <c r="I38" i="43"/>
  <c r="AA37" i="43"/>
  <c r="AD37" i="43" s="1"/>
  <c r="X37" i="43"/>
  <c r="R37" i="43"/>
  <c r="I37" i="43"/>
  <c r="AA36" i="43"/>
  <c r="AD36" i="43" s="1"/>
  <c r="X36" i="43"/>
  <c r="R36" i="43"/>
  <c r="I36" i="43"/>
  <c r="AA35" i="43"/>
  <c r="AD35" i="43"/>
  <c r="X35" i="43"/>
  <c r="R35" i="43"/>
  <c r="I35" i="43"/>
  <c r="L107" i="144"/>
  <c r="J8" i="145"/>
  <c r="U107" i="144"/>
  <c r="J7" i="145" s="1"/>
  <c r="D6" i="145" s="1"/>
  <c r="U106" i="144"/>
  <c r="L106" i="144"/>
  <c r="U105" i="144"/>
  <c r="L105" i="144"/>
  <c r="U103" i="144"/>
  <c r="L103" i="144"/>
  <c r="U101" i="144"/>
  <c r="L101" i="144"/>
  <c r="U100" i="144"/>
  <c r="L100" i="144"/>
  <c r="Q84" i="144"/>
  <c r="H33" i="145" s="1"/>
  <c r="P8" i="115"/>
  <c r="P7" i="115"/>
  <c r="K14" i="145"/>
  <c r="K12" i="145"/>
  <c r="F12" i="145"/>
  <c r="F11" i="145"/>
  <c r="K10" i="145"/>
  <c r="F10" i="145"/>
  <c r="J9" i="145"/>
  <c r="F9" i="145"/>
  <c r="D8" i="145"/>
  <c r="AA38" i="144"/>
  <c r="AD38" i="144"/>
  <c r="X38" i="144"/>
  <c r="R38" i="144"/>
  <c r="I38" i="144"/>
  <c r="AA37" i="144"/>
  <c r="AD37" i="144" s="1"/>
  <c r="X37" i="144"/>
  <c r="R37" i="144"/>
  <c r="I37" i="144"/>
  <c r="AA36" i="144"/>
  <c r="AD36" i="144"/>
  <c r="X36" i="144"/>
  <c r="R36" i="144"/>
  <c r="I36" i="144"/>
  <c r="AA35" i="144"/>
  <c r="AD35" i="144"/>
  <c r="X35" i="144"/>
  <c r="R35" i="144"/>
  <c r="I35" i="144"/>
  <c r="A174" i="105"/>
  <c r="A175" i="105" s="1"/>
  <c r="A176" i="105" s="1"/>
  <c r="A177" i="105" s="1"/>
  <c r="A178" i="105" s="1"/>
  <c r="A179" i="105" s="1"/>
  <c r="A180" i="105" s="1"/>
  <c r="A181" i="105" s="1"/>
  <c r="A182" i="105" s="1"/>
  <c r="A183" i="105" s="1"/>
  <c r="A184" i="105" s="1"/>
  <c r="A185" i="105" s="1"/>
  <c r="A186" i="105" s="1"/>
  <c r="A187" i="105" s="1"/>
  <c r="A188" i="105" s="1"/>
  <c r="A189" i="105" s="1"/>
  <c r="A190" i="105" s="1"/>
  <c r="A191" i="105" s="1"/>
  <c r="A192" i="105" s="1"/>
  <c r="A193" i="105" s="1"/>
  <c r="A194" i="105" s="1"/>
  <c r="A195" i="105" s="1"/>
  <c r="A196" i="105" s="1"/>
  <c r="A197" i="105" s="1"/>
  <c r="A141" i="105"/>
  <c r="A142" i="105" s="1"/>
  <c r="A143" i="105" s="1"/>
  <c r="A144" i="105" s="1"/>
  <c r="A145" i="105" s="1"/>
  <c r="A146" i="105" s="1"/>
  <c r="A147" i="105" s="1"/>
  <c r="A148" i="105" s="1"/>
  <c r="A149" i="105" s="1"/>
  <c r="A150" i="105" s="1"/>
  <c r="A151" i="105" s="1"/>
  <c r="A152" i="105" s="1"/>
  <c r="A153" i="105" s="1"/>
  <c r="A154" i="105" s="1"/>
  <c r="A155" i="105" s="1"/>
  <c r="A156" i="105" s="1"/>
  <c r="A157" i="105" s="1"/>
  <c r="A158" i="105" s="1"/>
  <c r="A159" i="105" s="1"/>
  <c r="A160" i="105" s="1"/>
  <c r="A161" i="105" s="1"/>
  <c r="A162" i="105" s="1"/>
  <c r="A163" i="105" s="1"/>
  <c r="A164" i="105" s="1"/>
  <c r="P41" i="140"/>
  <c r="P40" i="140"/>
  <c r="I47" i="140" s="1"/>
  <c r="P37" i="138"/>
  <c r="Q44" i="138"/>
  <c r="I44" i="138"/>
  <c r="F103" i="139"/>
  <c r="F102" i="139"/>
  <c r="F101" i="139"/>
  <c r="F100" i="139"/>
  <c r="F99" i="139"/>
  <c r="F98" i="139"/>
  <c r="F97" i="139"/>
  <c r="F96" i="139"/>
  <c r="F95" i="139"/>
  <c r="F94" i="139"/>
  <c r="F93" i="139"/>
  <c r="F92" i="139"/>
  <c r="F91" i="139"/>
  <c r="F90" i="139"/>
  <c r="F89" i="139"/>
  <c r="F88" i="139"/>
  <c r="F87" i="139"/>
  <c r="F86" i="139"/>
  <c r="F85" i="139"/>
  <c r="F84" i="139"/>
  <c r="F83" i="139"/>
  <c r="F82" i="139"/>
  <c r="F81" i="139"/>
  <c r="F80" i="139"/>
  <c r="F79" i="139"/>
  <c r="F78" i="139"/>
  <c r="F77" i="139"/>
  <c r="F76" i="139"/>
  <c r="F75" i="139"/>
  <c r="F74" i="139"/>
  <c r="F73" i="139"/>
  <c r="F72" i="139"/>
  <c r="F71" i="139"/>
  <c r="F70" i="139"/>
  <c r="F69" i="139"/>
  <c r="F68" i="139"/>
  <c r="F67" i="139"/>
  <c r="F66" i="139"/>
  <c r="F65" i="139"/>
  <c r="F64" i="139"/>
  <c r="F63" i="139"/>
  <c r="F62" i="139"/>
  <c r="F61" i="139"/>
  <c r="F60" i="139"/>
  <c r="F59" i="139"/>
  <c r="F58" i="139"/>
  <c r="F57" i="139"/>
  <c r="F56" i="139"/>
  <c r="F55" i="139"/>
  <c r="F54" i="139"/>
  <c r="F53" i="139"/>
  <c r="F52" i="139"/>
  <c r="F51" i="139"/>
  <c r="F50" i="139"/>
  <c r="F49" i="139"/>
  <c r="F48" i="139"/>
  <c r="F47" i="139"/>
  <c r="F46" i="139"/>
  <c r="F45" i="139"/>
  <c r="F44" i="139"/>
  <c r="F43" i="139"/>
  <c r="F42" i="139"/>
  <c r="F41" i="139"/>
  <c r="F40" i="139"/>
  <c r="F39" i="139"/>
  <c r="F38" i="139"/>
  <c r="F37" i="139"/>
  <c r="F36" i="139"/>
  <c r="F35" i="139"/>
  <c r="F34" i="139"/>
  <c r="F33" i="139"/>
  <c r="F32" i="139"/>
  <c r="F31" i="139"/>
  <c r="F30" i="139"/>
  <c r="F29" i="139"/>
  <c r="F28" i="139"/>
  <c r="F27" i="139"/>
  <c r="F26" i="139"/>
  <c r="F25" i="139"/>
  <c r="F24" i="139"/>
  <c r="F23" i="139"/>
  <c r="F22" i="139"/>
  <c r="F21" i="139"/>
  <c r="F20" i="139"/>
  <c r="F19" i="139"/>
  <c r="F18" i="139"/>
  <c r="F17" i="139"/>
  <c r="F16" i="139"/>
  <c r="F15" i="139"/>
  <c r="F14" i="139"/>
  <c r="F13" i="139"/>
  <c r="F12" i="139"/>
  <c r="F11" i="139"/>
  <c r="F10" i="139"/>
  <c r="F9" i="139"/>
  <c r="F8" i="139"/>
  <c r="F7" i="139"/>
  <c r="F6" i="139"/>
  <c r="F5" i="139"/>
  <c r="F4" i="139"/>
  <c r="F3" i="139"/>
  <c r="E1" i="139" s="1"/>
  <c r="Q39" i="137"/>
  <c r="Y50" i="137"/>
  <c r="U50" i="137"/>
  <c r="AC50" i="137"/>
  <c r="I50" i="137"/>
  <c r="Y49" i="137"/>
  <c r="AC49" i="137" s="1"/>
  <c r="U49" i="137"/>
  <c r="I49" i="137"/>
  <c r="Q51" i="137" s="1"/>
  <c r="Y48" i="137"/>
  <c r="U48" i="137"/>
  <c r="I48" i="137"/>
  <c r="Y47" i="137"/>
  <c r="U47" i="137"/>
  <c r="AC47" i="137"/>
  <c r="I47" i="137"/>
  <c r="Y46" i="137"/>
  <c r="U46" i="137"/>
  <c r="AC46" i="137" s="1"/>
  <c r="I46" i="137"/>
  <c r="Y45" i="137"/>
  <c r="AC45" i="137" s="1"/>
  <c r="U45" i="137"/>
  <c r="I45" i="137"/>
  <c r="E51" i="137"/>
  <c r="Q36" i="137"/>
  <c r="Q41" i="136"/>
  <c r="K47" i="136"/>
  <c r="K48" i="136" s="1"/>
  <c r="K50" i="136" s="1"/>
  <c r="H47" i="136"/>
  <c r="Q39" i="136"/>
  <c r="K49" i="136"/>
  <c r="Q38" i="136"/>
  <c r="Q84" i="43"/>
  <c r="AC48" i="137"/>
  <c r="H49" i="136"/>
  <c r="U96" i="35"/>
  <c r="U95" i="35"/>
  <c r="U94" i="35"/>
  <c r="U93" i="35"/>
  <c r="U92" i="35"/>
  <c r="U91" i="35"/>
  <c r="U90" i="35"/>
  <c r="U89" i="35"/>
  <c r="AD111" i="35" s="1"/>
  <c r="U88" i="35"/>
  <c r="U87" i="35"/>
  <c r="U86" i="35"/>
  <c r="P96" i="35"/>
  <c r="P95" i="35"/>
  <c r="P94" i="35"/>
  <c r="P93" i="35"/>
  <c r="P92" i="35"/>
  <c r="P91" i="35"/>
  <c r="P90" i="35"/>
  <c r="P89" i="35"/>
  <c r="X111" i="35" s="1"/>
  <c r="P88" i="35"/>
  <c r="P87" i="35"/>
  <c r="P86" i="35"/>
  <c r="S105" i="35"/>
  <c r="Q111" i="35"/>
  <c r="Q124" i="35" s="1"/>
  <c r="L105" i="35"/>
  <c r="Q42" i="19"/>
  <c r="X50" i="19" s="1"/>
  <c r="Q55" i="25"/>
  <c r="Q61" i="25"/>
  <c r="I61" i="25"/>
  <c r="I62" i="25"/>
  <c r="Q62" i="25"/>
  <c r="Q87" i="87"/>
  <c r="X71" i="109" s="1"/>
  <c r="Z65" i="20"/>
  <c r="U65" i="20"/>
  <c r="P65" i="20"/>
  <c r="K65" i="20"/>
  <c r="I112" i="20" s="1"/>
  <c r="G118" i="20"/>
  <c r="G117" i="20"/>
  <c r="G116" i="20"/>
  <c r="U116" i="20" s="1"/>
  <c r="AC116" i="20" s="1"/>
  <c r="G115" i="20"/>
  <c r="G114" i="20"/>
  <c r="G113" i="20"/>
  <c r="M113" i="20" s="1"/>
  <c r="G112" i="20"/>
  <c r="U112" i="20" s="1"/>
  <c r="AC112" i="20" s="1"/>
  <c r="G111" i="20"/>
  <c r="U111" i="20" s="1"/>
  <c r="AC111" i="20" s="1"/>
  <c r="G110" i="20"/>
  <c r="G109" i="20"/>
  <c r="G108" i="20"/>
  <c r="Q112" i="20"/>
  <c r="Y112" i="20"/>
  <c r="Q115" i="20"/>
  <c r="Y115" i="20"/>
  <c r="Q116" i="20"/>
  <c r="Y116" i="20" s="1"/>
  <c r="I108" i="20"/>
  <c r="Q117" i="20"/>
  <c r="Y117" i="20"/>
  <c r="I110" i="20"/>
  <c r="Q108" i="20"/>
  <c r="Y108" i="20"/>
  <c r="Q118" i="20"/>
  <c r="Y118" i="20"/>
  <c r="Q111" i="20"/>
  <c r="Y111" i="20"/>
  <c r="M112" i="20"/>
  <c r="M116" i="20"/>
  <c r="M115" i="20"/>
  <c r="V80" i="20"/>
  <c r="Q100" i="20"/>
  <c r="N80" i="20"/>
  <c r="I100" i="20" s="1"/>
  <c r="A100" i="20"/>
  <c r="U74" i="17"/>
  <c r="U73" i="17"/>
  <c r="U72" i="17"/>
  <c r="U71" i="17"/>
  <c r="U70" i="17"/>
  <c r="U69" i="17"/>
  <c r="U68" i="17"/>
  <c r="U67" i="17"/>
  <c r="U66" i="17"/>
  <c r="U65" i="17"/>
  <c r="U64" i="17"/>
  <c r="L74" i="17"/>
  <c r="L73" i="17"/>
  <c r="L72" i="17"/>
  <c r="L71" i="17"/>
  <c r="L70" i="17"/>
  <c r="L69" i="17"/>
  <c r="L68" i="17"/>
  <c r="L67" i="17"/>
  <c r="L66" i="17"/>
  <c r="L65" i="17"/>
  <c r="L64" i="17"/>
  <c r="K69" i="132"/>
  <c r="I52" i="67"/>
  <c r="Q52" i="67"/>
  <c r="X67" i="109"/>
  <c r="X64" i="109"/>
  <c r="X63" i="109"/>
  <c r="P78" i="35" s="1"/>
  <c r="X56" i="109"/>
  <c r="Q54" i="17"/>
  <c r="G72" i="115"/>
  <c r="J72" i="115" s="1"/>
  <c r="Q66" i="115" s="1"/>
  <c r="F72" i="115"/>
  <c r="I72" i="115" s="1"/>
  <c r="G71" i="115"/>
  <c r="J71" i="115" s="1"/>
  <c r="F71" i="115"/>
  <c r="I71" i="115"/>
  <c r="G70" i="115"/>
  <c r="J70" i="115" s="1"/>
  <c r="Q65" i="115" s="1"/>
  <c r="F70" i="115"/>
  <c r="I70" i="115" s="1"/>
  <c r="G69" i="115"/>
  <c r="J69" i="115" s="1"/>
  <c r="F69" i="115"/>
  <c r="I69" i="115"/>
  <c r="J66" i="115"/>
  <c r="I66" i="115"/>
  <c r="H66" i="115"/>
  <c r="G66" i="115"/>
  <c r="F66" i="115"/>
  <c r="J65" i="115"/>
  <c r="I65" i="115"/>
  <c r="H65" i="115"/>
  <c r="G65" i="115"/>
  <c r="F65" i="115"/>
  <c r="J64" i="115"/>
  <c r="I64" i="115"/>
  <c r="H64" i="115"/>
  <c r="G64" i="115"/>
  <c r="F64" i="115"/>
  <c r="J63" i="115"/>
  <c r="I63" i="115"/>
  <c r="H63" i="115"/>
  <c r="G63" i="115"/>
  <c r="F63" i="115"/>
  <c r="J60" i="115"/>
  <c r="I60" i="115"/>
  <c r="H60" i="115"/>
  <c r="G60" i="115"/>
  <c r="F60" i="115"/>
  <c r="J59" i="115"/>
  <c r="I59" i="115"/>
  <c r="H59" i="115"/>
  <c r="G59" i="115"/>
  <c r="F59" i="115"/>
  <c r="J58" i="115"/>
  <c r="I58" i="115"/>
  <c r="H58" i="115"/>
  <c r="G58" i="115"/>
  <c r="F58" i="115"/>
  <c r="J57" i="115"/>
  <c r="I57" i="115"/>
  <c r="H57" i="115"/>
  <c r="G57" i="115"/>
  <c r="F57" i="115"/>
  <c r="J49" i="115"/>
  <c r="I49" i="115"/>
  <c r="J48" i="115"/>
  <c r="I48" i="115"/>
  <c r="J47" i="115"/>
  <c r="I47" i="115"/>
  <c r="J46" i="115"/>
  <c r="I46" i="115"/>
  <c r="G30" i="115"/>
  <c r="J30" i="115" s="1"/>
  <c r="Q24" i="115" s="1"/>
  <c r="F30" i="115"/>
  <c r="I30" i="115" s="1"/>
  <c r="G29" i="115"/>
  <c r="J29" i="115" s="1"/>
  <c r="F29" i="115"/>
  <c r="I29" i="115"/>
  <c r="G28" i="115"/>
  <c r="J28" i="115" s="1"/>
  <c r="Q23" i="115" s="1"/>
  <c r="F28" i="115"/>
  <c r="I28" i="115" s="1"/>
  <c r="G27" i="115"/>
  <c r="J27" i="115" s="1"/>
  <c r="F27" i="115"/>
  <c r="I27" i="115"/>
  <c r="J24" i="115"/>
  <c r="I24" i="115"/>
  <c r="H24" i="115"/>
  <c r="G24" i="115"/>
  <c r="F24" i="115"/>
  <c r="J23" i="115"/>
  <c r="I23" i="115"/>
  <c r="H23" i="115"/>
  <c r="G23" i="115"/>
  <c r="F23" i="115"/>
  <c r="J22" i="115"/>
  <c r="I22" i="115"/>
  <c r="H22" i="115"/>
  <c r="G22" i="115"/>
  <c r="F22" i="115"/>
  <c r="J21" i="115"/>
  <c r="I21" i="115"/>
  <c r="H21" i="115"/>
  <c r="G21" i="115"/>
  <c r="F21" i="115"/>
  <c r="J18" i="115"/>
  <c r="I18" i="115"/>
  <c r="H18" i="115"/>
  <c r="G18" i="115"/>
  <c r="F18" i="115"/>
  <c r="J17" i="115"/>
  <c r="I17" i="115"/>
  <c r="H17" i="115"/>
  <c r="G17" i="115"/>
  <c r="F17" i="115"/>
  <c r="J16" i="115"/>
  <c r="I16" i="115"/>
  <c r="H16" i="115"/>
  <c r="G16" i="115"/>
  <c r="F16" i="115"/>
  <c r="J15" i="115"/>
  <c r="I15" i="115"/>
  <c r="H15" i="115"/>
  <c r="G15" i="115"/>
  <c r="F15" i="115"/>
  <c r="P9" i="115"/>
  <c r="O9" i="115"/>
  <c r="O8" i="115"/>
  <c r="O7" i="115"/>
  <c r="J5" i="115"/>
  <c r="J6" i="115"/>
  <c r="AB76" i="24"/>
  <c r="AB74" i="24"/>
  <c r="AB67" i="24"/>
  <c r="Q56" i="24"/>
  <c r="Y81" i="24" s="1"/>
  <c r="I81" i="24"/>
  <c r="Q81" i="24"/>
  <c r="Q37" i="92"/>
  <c r="K103" i="87"/>
  <c r="O103" i="87"/>
  <c r="O102" i="87"/>
  <c r="K102" i="87"/>
  <c r="O97" i="87"/>
  <c r="O96" i="87"/>
  <c r="O95" i="87"/>
  <c r="K97" i="87"/>
  <c r="K96" i="87"/>
  <c r="K95" i="87"/>
  <c r="G97" i="87"/>
  <c r="G96" i="87"/>
  <c r="G95" i="87"/>
  <c r="Q86" i="87"/>
  <c r="Q85" i="87" s="1"/>
  <c r="S69" i="132"/>
  <c r="O69" i="132"/>
  <c r="O76" i="132" s="1"/>
  <c r="G69" i="132"/>
  <c r="Q43" i="132"/>
  <c r="O64" i="132" s="1"/>
  <c r="Q46" i="132"/>
  <c r="K76" i="132"/>
  <c r="Q40" i="1"/>
  <c r="Q56" i="46"/>
  <c r="I56" i="46"/>
  <c r="I47" i="64"/>
  <c r="Q48" i="61"/>
  <c r="I48" i="61"/>
  <c r="I64" i="126"/>
  <c r="I47" i="76"/>
  <c r="Q80" i="29"/>
  <c r="I80" i="29"/>
  <c r="Q42" i="30"/>
  <c r="Q41" i="30"/>
  <c r="Q40" i="30"/>
  <c r="I42" i="30"/>
  <c r="I41" i="30"/>
  <c r="I40" i="30"/>
  <c r="I43" i="30" s="1"/>
  <c r="Q38" i="4"/>
  <c r="I38" i="4"/>
  <c r="Q43" i="30"/>
  <c r="E147" i="33"/>
  <c r="D72" i="33"/>
  <c r="Q33" i="126"/>
  <c r="Q64" i="126"/>
  <c r="Q34" i="126"/>
  <c r="AA73" i="111"/>
  <c r="U73" i="111"/>
  <c r="AA72" i="111"/>
  <c r="AD72" i="111" s="1"/>
  <c r="Y216" i="111" s="1"/>
  <c r="U72" i="111"/>
  <c r="AA71" i="111"/>
  <c r="U71" i="111"/>
  <c r="AA70" i="111"/>
  <c r="U70" i="111"/>
  <c r="Q200" i="111" s="1"/>
  <c r="AA69" i="111"/>
  <c r="U69" i="111"/>
  <c r="AA68" i="111"/>
  <c r="I213" i="111" s="1"/>
  <c r="U68" i="111"/>
  <c r="AA67" i="111"/>
  <c r="U67" i="111"/>
  <c r="AA66" i="111"/>
  <c r="AD66" i="111"/>
  <c r="U66" i="111"/>
  <c r="X66" i="111"/>
  <c r="AA65" i="111"/>
  <c r="I185" i="111" s="1"/>
  <c r="U65" i="111"/>
  <c r="AA64" i="111"/>
  <c r="U64" i="111"/>
  <c r="Q59" i="111"/>
  <c r="Q21" i="111" a="1"/>
  <c r="Q21" i="111"/>
  <c r="B21" i="111" a="1"/>
  <c r="B21" i="111"/>
  <c r="Q20" i="111" a="1"/>
  <c r="Q20" i="111" s="1"/>
  <c r="B20" i="111" a="1"/>
  <c r="B20" i="111"/>
  <c r="Q19" i="111" a="1"/>
  <c r="Q19" i="111"/>
  <c r="B19" i="111" a="1"/>
  <c r="B19" i="111"/>
  <c r="Q18" i="111" a="1"/>
  <c r="Q18" i="111" s="1"/>
  <c r="B18" i="111" a="1"/>
  <c r="B18" i="111"/>
  <c r="Q17" i="111" a="1"/>
  <c r="Q17" i="111"/>
  <c r="B17" i="111" a="1"/>
  <c r="B17" i="111"/>
  <c r="Q16" i="111" a="1"/>
  <c r="Q16" i="111" s="1"/>
  <c r="B16" i="111" a="1"/>
  <c r="B16" i="111"/>
  <c r="Q15" i="111" a="1"/>
  <c r="Q15" i="111"/>
  <c r="B15" i="111" a="1"/>
  <c r="B15" i="111"/>
  <c r="Q14" i="111" a="1"/>
  <c r="Q14" i="111" s="1"/>
  <c r="B14" i="111" a="1"/>
  <c r="B14" i="111"/>
  <c r="Q13" i="111" a="1"/>
  <c r="Q13" i="111"/>
  <c r="B13" i="111" a="1"/>
  <c r="B13" i="111"/>
  <c r="Q12" i="111" a="1"/>
  <c r="Q12" i="111" s="1"/>
  <c r="B12" i="111" a="1"/>
  <c r="B12" i="111"/>
  <c r="Q11" i="111" a="1"/>
  <c r="Q11" i="111"/>
  <c r="B11" i="111" a="1"/>
  <c r="B11" i="111"/>
  <c r="Q10" i="111" a="1"/>
  <c r="Q10" i="111" s="1"/>
  <c r="B10" i="111" a="1"/>
  <c r="B10" i="111"/>
  <c r="Q9" i="111" a="1"/>
  <c r="Q9" i="111"/>
  <c r="B9" i="111" a="1"/>
  <c r="B9" i="111"/>
  <c r="B6" i="111"/>
  <c r="X70" i="111"/>
  <c r="X64" i="111"/>
  <c r="E166" i="111" s="1"/>
  <c r="AD65" i="111"/>
  <c r="I186" i="111" s="1"/>
  <c r="AD69" i="111"/>
  <c r="M212" i="111" s="1"/>
  <c r="M215" i="111"/>
  <c r="AD73" i="111"/>
  <c r="AD68" i="111"/>
  <c r="I215" i="111" s="1"/>
  <c r="I212" i="111"/>
  <c r="AD70" i="111"/>
  <c r="Q212" i="111" s="1"/>
  <c r="Q219" i="111"/>
  <c r="Q196" i="111"/>
  <c r="M210" i="111"/>
  <c r="M216" i="111"/>
  <c r="M211" i="111"/>
  <c r="M218" i="111"/>
  <c r="M217" i="111"/>
  <c r="E167" i="111"/>
  <c r="I209" i="111"/>
  <c r="M214" i="111"/>
  <c r="I216" i="111"/>
  <c r="I211" i="111"/>
  <c r="AC213" i="111"/>
  <c r="E172" i="111"/>
  <c r="Q198" i="111"/>
  <c r="Q201" i="111"/>
  <c r="E163" i="111"/>
  <c r="Q197" i="111"/>
  <c r="Q195" i="111"/>
  <c r="E168" i="111"/>
  <c r="Q202" i="111"/>
  <c r="Q194" i="111"/>
  <c r="Q214" i="111"/>
  <c r="I218" i="111"/>
  <c r="I210" i="111"/>
  <c r="I181" i="111"/>
  <c r="I180" i="111"/>
  <c r="AC211" i="111"/>
  <c r="Q215" i="111"/>
  <c r="I187" i="111"/>
  <c r="M209" i="111"/>
  <c r="Y217" i="111"/>
  <c r="Y209" i="111"/>
  <c r="M219" i="111"/>
  <c r="I214" i="111"/>
  <c r="Q45" i="67"/>
  <c r="Y52" i="67" s="1"/>
  <c r="Q49" i="46"/>
  <c r="Q39" i="64"/>
  <c r="Q38" i="61"/>
  <c r="Q58" i="34"/>
  <c r="Q34" i="30"/>
  <c r="Q32" i="76"/>
  <c r="P41" i="32"/>
  <c r="Q52" i="23"/>
  <c r="Q50" i="20"/>
  <c r="L54" i="92"/>
  <c r="Q47" i="97"/>
  <c r="Q34" i="96"/>
  <c r="Q47" i="95"/>
  <c r="Q32" i="4"/>
  <c r="R42" i="85"/>
  <c r="AC42" i="85" s="1"/>
  <c r="R43" i="85"/>
  <c r="AC43" i="85" s="1"/>
  <c r="R44" i="85"/>
  <c r="AC44" i="85" s="1"/>
  <c r="R45" i="85"/>
  <c r="AC45" i="85"/>
  <c r="R46" i="85"/>
  <c r="AC46" i="85" s="1"/>
  <c r="AC50" i="85" s="1"/>
  <c r="R47" i="85"/>
  <c r="AC47" i="85" s="1"/>
  <c r="R48" i="85"/>
  <c r="AC48" i="85" s="1"/>
  <c r="R49" i="85"/>
  <c r="AC49" i="85" s="1"/>
  <c r="G57" i="85"/>
  <c r="R57" i="85" s="1"/>
  <c r="G58" i="85"/>
  <c r="R58" i="85" s="1"/>
  <c r="G59" i="85"/>
  <c r="R59" i="85" s="1"/>
  <c r="R61" i="85" s="1"/>
  <c r="G60" i="85"/>
  <c r="R60" i="85" s="1"/>
  <c r="Y42" i="85"/>
  <c r="Y43" i="85"/>
  <c r="Y44" i="85"/>
  <c r="Y45" i="85"/>
  <c r="Y46" i="85"/>
  <c r="Y47" i="85"/>
  <c r="Y48" i="85"/>
  <c r="Y49" i="85"/>
  <c r="N57" i="85"/>
  <c r="N58" i="85"/>
  <c r="N59" i="85"/>
  <c r="N60" i="85"/>
  <c r="Y51" i="85"/>
  <c r="N62" i="85"/>
  <c r="N67" i="85" s="1"/>
  <c r="Q47" i="1"/>
  <c r="I47" i="1"/>
  <c r="Q50" i="34"/>
  <c r="T71" i="34" s="1"/>
  <c r="S50" i="34"/>
  <c r="R50" i="34"/>
  <c r="J38" i="76"/>
  <c r="Q47" i="76" s="1"/>
  <c r="K63" i="97"/>
  <c r="K64" i="97"/>
  <c r="K66" i="97" s="1"/>
  <c r="K65" i="97"/>
  <c r="AC63" i="97"/>
  <c r="AC64" i="97"/>
  <c r="AC65" i="97"/>
  <c r="G63" i="97"/>
  <c r="G64" i="97"/>
  <c r="G65" i="97"/>
  <c r="Y63" i="97"/>
  <c r="Y66" i="97" s="1"/>
  <c r="Y64" i="97"/>
  <c r="Y65" i="97"/>
  <c r="S44" i="96"/>
  <c r="X44" i="96"/>
  <c r="S45" i="96"/>
  <c r="I56" i="96"/>
  <c r="I44" i="96"/>
  <c r="N44" i="96"/>
  <c r="I45" i="96"/>
  <c r="I55" i="96" s="1"/>
  <c r="I62" i="95"/>
  <c r="I65" i="95" s="1"/>
  <c r="I63" i="95"/>
  <c r="I64" i="95"/>
  <c r="Y62" i="95"/>
  <c r="Y63" i="95"/>
  <c r="Y64" i="95"/>
  <c r="L60" i="92"/>
  <c r="L61" i="92"/>
  <c r="L62" i="92" s="1"/>
  <c r="L63" i="92" s="1"/>
  <c r="L66" i="92" s="1"/>
  <c r="Q60" i="92"/>
  <c r="Q52" i="92"/>
  <c r="Q61" i="92"/>
  <c r="L58" i="92"/>
  <c r="Q47" i="70"/>
  <c r="I47" i="70" s="1"/>
  <c r="Q43" i="70"/>
  <c r="Q42" i="70"/>
  <c r="Q41" i="70"/>
  <c r="I43" i="70"/>
  <c r="I42" i="70"/>
  <c r="I41" i="70"/>
  <c r="O59" i="32"/>
  <c r="O47" i="32"/>
  <c r="O46" i="32"/>
  <c r="P35" i="32"/>
  <c r="O48" i="32"/>
  <c r="O49" i="32" s="1"/>
  <c r="B6" i="33"/>
  <c r="B6" i="34"/>
  <c r="R21" i="34" a="1"/>
  <c r="R21" i="34" s="1"/>
  <c r="J21" i="34" a="1"/>
  <c r="J21" i="34"/>
  <c r="B21" i="34" a="1"/>
  <c r="B21" i="34"/>
  <c r="R20" i="34" a="1"/>
  <c r="R20" i="34" s="1"/>
  <c r="J20" i="34" a="1"/>
  <c r="J20" i="34" s="1"/>
  <c r="B20" i="34" a="1"/>
  <c r="B20" i="34"/>
  <c r="R19" i="34" a="1"/>
  <c r="R19" i="34"/>
  <c r="J19" i="34" a="1"/>
  <c r="J19" i="34" s="1"/>
  <c r="B19" i="34" a="1"/>
  <c r="B19" i="34" s="1"/>
  <c r="R18" i="34" a="1"/>
  <c r="R18" i="34"/>
  <c r="J18" i="34" a="1"/>
  <c r="J18" i="34"/>
  <c r="B18" i="34" a="1"/>
  <c r="B18" i="34" s="1"/>
  <c r="R17" i="34" a="1"/>
  <c r="R17" i="34" s="1"/>
  <c r="J17" i="34" a="1"/>
  <c r="J17" i="34"/>
  <c r="B17" i="34" a="1"/>
  <c r="B17" i="34"/>
  <c r="R16" i="34" a="1"/>
  <c r="R16" i="34" s="1"/>
  <c r="J16" i="34" a="1"/>
  <c r="J16" i="34" s="1"/>
  <c r="B16" i="34" a="1"/>
  <c r="B16" i="34"/>
  <c r="R15" i="34" a="1"/>
  <c r="R15" i="34"/>
  <c r="J15" i="34" a="1"/>
  <c r="J15" i="34" s="1"/>
  <c r="B15" i="34" a="1"/>
  <c r="B15" i="34" s="1"/>
  <c r="R14" i="34" a="1"/>
  <c r="R14" i="34"/>
  <c r="J14" i="34" a="1"/>
  <c r="J14" i="34"/>
  <c r="B14" i="34" a="1"/>
  <c r="B14" i="34" s="1"/>
  <c r="R13" i="34" a="1"/>
  <c r="R13" i="34" s="1"/>
  <c r="J13" i="34" a="1"/>
  <c r="J13" i="34"/>
  <c r="B13" i="34" a="1"/>
  <c r="B13" i="34"/>
  <c r="R12" i="34" a="1"/>
  <c r="R12" i="34" s="1"/>
  <c r="J12" i="34" a="1"/>
  <c r="J12" i="34" s="1"/>
  <c r="B12" i="34" a="1"/>
  <c r="B12" i="34"/>
  <c r="R11" i="34" a="1"/>
  <c r="R11" i="34"/>
  <c r="J11" i="34" a="1"/>
  <c r="J11" i="34" s="1"/>
  <c r="B11" i="34" a="1"/>
  <c r="B11" i="34" s="1"/>
  <c r="R10" i="34" a="1"/>
  <c r="R10" i="34"/>
  <c r="J10" i="34" a="1"/>
  <c r="J10" i="34"/>
  <c r="B10" i="34" a="1"/>
  <c r="B10" i="34" s="1"/>
  <c r="R9" i="34" a="1"/>
  <c r="R9" i="34" s="1"/>
  <c r="J9" i="34" a="1"/>
  <c r="J9" i="34"/>
  <c r="B9" i="34" a="1"/>
  <c r="B9" i="34"/>
  <c r="R21" i="33" a="1"/>
  <c r="R21" i="33" s="1"/>
  <c r="J21" i="33" a="1"/>
  <c r="J21" i="33" s="1"/>
  <c r="B21" i="33" a="1"/>
  <c r="B21" i="33"/>
  <c r="R20" i="33" a="1"/>
  <c r="R20" i="33"/>
  <c r="J20" i="33" a="1"/>
  <c r="J20" i="33" s="1"/>
  <c r="B20" i="33" a="1"/>
  <c r="B20" i="33" s="1"/>
  <c r="R19" i="33" a="1"/>
  <c r="R19" i="33"/>
  <c r="J19" i="33" a="1"/>
  <c r="J19" i="33"/>
  <c r="B19" i="33" a="1"/>
  <c r="B19" i="33" s="1"/>
  <c r="R18" i="33" a="1"/>
  <c r="R18" i="33" s="1"/>
  <c r="J18" i="33" a="1"/>
  <c r="J18" i="33" s="1"/>
  <c r="B18" i="33" a="1"/>
  <c r="B18" i="33"/>
  <c r="R17" i="33" a="1"/>
  <c r="R17" i="33"/>
  <c r="J17" i="33" a="1"/>
  <c r="J17" i="33"/>
  <c r="B17" i="33" a="1"/>
  <c r="B17" i="33" s="1"/>
  <c r="R16" i="33" a="1"/>
  <c r="R16" i="33"/>
  <c r="J16" i="33" a="1"/>
  <c r="J16" i="33" s="1"/>
  <c r="B16" i="33" a="1"/>
  <c r="B16" i="33" s="1"/>
  <c r="R15" i="33" a="1"/>
  <c r="R15" i="33" s="1"/>
  <c r="J15" i="33" a="1"/>
  <c r="J15" i="33"/>
  <c r="B15" i="33" a="1"/>
  <c r="B15" i="33" s="1"/>
  <c r="R14" i="33" a="1"/>
  <c r="R14" i="33" s="1"/>
  <c r="J14" i="33" a="1"/>
  <c r="J14" i="33" s="1"/>
  <c r="B14" i="33" a="1"/>
  <c r="B14" i="33"/>
  <c r="R13" i="33" a="1"/>
  <c r="R13" i="33"/>
  <c r="J13" i="33" a="1"/>
  <c r="J13" i="33"/>
  <c r="B13" i="33" a="1"/>
  <c r="B13" i="33" s="1"/>
  <c r="R12" i="33" a="1"/>
  <c r="R12" i="33"/>
  <c r="J12" i="33" a="1"/>
  <c r="J12" i="33"/>
  <c r="B12" i="33" a="1"/>
  <c r="B12" i="33" s="1"/>
  <c r="R11" i="33" a="1"/>
  <c r="R11" i="33" s="1"/>
  <c r="J11" i="33" a="1"/>
  <c r="J11" i="33"/>
  <c r="B11" i="33" a="1"/>
  <c r="B11" i="33" s="1"/>
  <c r="R10" i="33" a="1"/>
  <c r="R10" i="33"/>
  <c r="J10" i="33" a="1"/>
  <c r="J10" i="33" s="1"/>
  <c r="B10" i="33" a="1"/>
  <c r="B10" i="33"/>
  <c r="R9" i="33" a="1"/>
  <c r="R9" i="33"/>
  <c r="J9" i="33" a="1"/>
  <c r="J9" i="33"/>
  <c r="B9" i="33" a="1"/>
  <c r="B9" i="33" s="1"/>
  <c r="Q31" i="64"/>
  <c r="Q47" i="64" s="1"/>
  <c r="N71" i="34"/>
  <c r="E146" i="33"/>
  <c r="R146" i="33"/>
  <c r="R147" i="33"/>
  <c r="E148" i="33"/>
  <c r="R148" i="33" s="1"/>
  <c r="E149" i="33"/>
  <c r="R149" i="33" s="1"/>
  <c r="E150" i="33"/>
  <c r="R150" i="33" s="1"/>
  <c r="E151" i="33"/>
  <c r="R151" i="33"/>
  <c r="G152" i="33"/>
  <c r="E152" i="33" s="1"/>
  <c r="R152" i="33" s="1"/>
  <c r="E153" i="33"/>
  <c r="P153" i="33" s="1"/>
  <c r="E154" i="33"/>
  <c r="R154" i="33" s="1"/>
  <c r="E155" i="33"/>
  <c r="R155" i="33"/>
  <c r="E157" i="33"/>
  <c r="O157" i="33"/>
  <c r="H158" i="33"/>
  <c r="E158" i="33" s="1"/>
  <c r="G158" i="33"/>
  <c r="E159" i="33"/>
  <c r="Q159" i="33" s="1"/>
  <c r="E160" i="33"/>
  <c r="R160" i="33" s="1"/>
  <c r="E161" i="33"/>
  <c r="P161" i="33" s="1"/>
  <c r="E162" i="33"/>
  <c r="Q162" i="33" s="1"/>
  <c r="E163" i="33"/>
  <c r="O163" i="33" s="1"/>
  <c r="E164" i="33"/>
  <c r="P164" i="33"/>
  <c r="E165" i="33"/>
  <c r="H166" i="33"/>
  <c r="G166" i="33"/>
  <c r="E167" i="33"/>
  <c r="Q167" i="33" s="1"/>
  <c r="E168" i="33"/>
  <c r="R168" i="33" s="1"/>
  <c r="Q168" i="33"/>
  <c r="E169" i="33"/>
  <c r="R169" i="33"/>
  <c r="Q147" i="33"/>
  <c r="P147" i="33"/>
  <c r="O147" i="33"/>
  <c r="L169" i="33"/>
  <c r="K169" i="33"/>
  <c r="L168" i="33"/>
  <c r="K168" i="33"/>
  <c r="R144" i="33"/>
  <c r="Q144" i="33"/>
  <c r="E110" i="33"/>
  <c r="E104" i="33"/>
  <c r="E103" i="33"/>
  <c r="E102" i="33"/>
  <c r="G94" i="33"/>
  <c r="I94" i="33" s="1"/>
  <c r="F94" i="33"/>
  <c r="H94" i="33" s="1"/>
  <c r="G93" i="33"/>
  <c r="I93" i="33" s="1"/>
  <c r="F93" i="33"/>
  <c r="H93" i="33"/>
  <c r="G92" i="33"/>
  <c r="F92" i="33"/>
  <c r="J91" i="33"/>
  <c r="I91" i="33"/>
  <c r="H91" i="33"/>
  <c r="C91" i="33"/>
  <c r="E91" i="33"/>
  <c r="D91" i="33"/>
  <c r="G90" i="33"/>
  <c r="F90" i="33"/>
  <c r="G89" i="33"/>
  <c r="F89" i="33"/>
  <c r="G88" i="33"/>
  <c r="F88" i="33"/>
  <c r="G87" i="33"/>
  <c r="F87" i="33"/>
  <c r="G86" i="33"/>
  <c r="F86" i="33"/>
  <c r="G85" i="33"/>
  <c r="F85" i="33"/>
  <c r="G84" i="33"/>
  <c r="F84" i="33"/>
  <c r="J83" i="33"/>
  <c r="I83" i="33"/>
  <c r="H83" i="33"/>
  <c r="C83" i="33"/>
  <c r="E83" i="33"/>
  <c r="D83" i="33"/>
  <c r="G82" i="33"/>
  <c r="F82" i="33"/>
  <c r="E75" i="33"/>
  <c r="E74" i="33"/>
  <c r="E73" i="33"/>
  <c r="F72" i="33"/>
  <c r="C72" i="33"/>
  <c r="E72" i="33" s="1"/>
  <c r="E71" i="33"/>
  <c r="E70" i="33"/>
  <c r="E69" i="33"/>
  <c r="E68" i="33"/>
  <c r="E67" i="33"/>
  <c r="E66" i="33"/>
  <c r="Q150" i="33"/>
  <c r="R159" i="33"/>
  <c r="P149" i="33"/>
  <c r="P159" i="33"/>
  <c r="P154" i="33"/>
  <c r="O169" i="33"/>
  <c r="F83" i="33"/>
  <c r="Q154" i="33"/>
  <c r="O164" i="33"/>
  <c r="P148" i="33"/>
  <c r="P162" i="33"/>
  <c r="Q146" i="33"/>
  <c r="P146" i="33"/>
  <c r="O146" i="33"/>
  <c r="O160" i="33"/>
  <c r="O165" i="33"/>
  <c r="P165" i="33"/>
  <c r="R162" i="33"/>
  <c r="S46" i="96"/>
  <c r="Q56" i="96" s="1"/>
  <c r="Q163" i="33"/>
  <c r="P163" i="33"/>
  <c r="R163" i="33"/>
  <c r="O159" i="33"/>
  <c r="O161" i="33"/>
  <c r="O153" i="33"/>
  <c r="R167" i="33"/>
  <c r="P160" i="33"/>
  <c r="F91" i="33"/>
  <c r="Q157" i="33"/>
  <c r="E166" i="33"/>
  <c r="Q166" i="33" s="1"/>
  <c r="O166" i="33"/>
  <c r="Y65" i="95"/>
  <c r="Y66" i="95" s="1"/>
  <c r="G66" i="97"/>
  <c r="G67" i="97"/>
  <c r="N61" i="85"/>
  <c r="G83" i="33"/>
  <c r="G91" i="33"/>
  <c r="R157" i="33"/>
  <c r="Q160" i="33"/>
  <c r="Q151" i="33"/>
  <c r="Q152" i="33"/>
  <c r="P151" i="33"/>
  <c r="O168" i="33"/>
  <c r="P155" i="33"/>
  <c r="Q149" i="33"/>
  <c r="O149" i="33"/>
  <c r="P167" i="33"/>
  <c r="Q155" i="33"/>
  <c r="O154" i="33"/>
  <c r="P150" i="33"/>
  <c r="O151" i="33"/>
  <c r="O155" i="33"/>
  <c r="P168" i="33"/>
  <c r="Q153" i="33"/>
  <c r="R153" i="33"/>
  <c r="AC66" i="97"/>
  <c r="Q71" i="97" s="1"/>
  <c r="O167" i="33"/>
  <c r="O150" i="33"/>
  <c r="Q148" i="33"/>
  <c r="P157" i="33"/>
  <c r="Y67" i="97"/>
  <c r="O52" i="32"/>
  <c r="O50" i="32"/>
  <c r="O54" i="32" s="1"/>
  <c r="O62" i="32" s="1"/>
  <c r="Q65" i="32" s="1"/>
  <c r="I46" i="96"/>
  <c r="Q55" i="96"/>
  <c r="Q62" i="92"/>
  <c r="Q63" i="92" s="1"/>
  <c r="Q66" i="92"/>
  <c r="V66" i="92" s="1"/>
  <c r="Q69" i="92" s="1"/>
  <c r="I69" i="92" s="1"/>
  <c r="Q69" i="95"/>
  <c r="I66" i="95"/>
  <c r="I69" i="95" s="1"/>
  <c r="P158" i="33"/>
  <c r="Q158" i="33"/>
  <c r="I70" i="97"/>
  <c r="K67" i="97"/>
  <c r="Q70" i="97"/>
  <c r="H9" i="115"/>
  <c r="G10" i="115"/>
  <c r="G9" i="115"/>
  <c r="H10" i="115"/>
  <c r="Y124" i="35" l="1"/>
  <c r="Y100" i="20"/>
  <c r="O118" i="41"/>
  <c r="H118" i="41"/>
  <c r="Q106" i="23"/>
  <c r="Y106" i="23" s="1"/>
  <c r="Q105" i="23"/>
  <c r="Y105" i="23" s="1"/>
  <c r="Q90" i="23"/>
  <c r="Y90" i="23" s="1"/>
  <c r="Q110" i="23"/>
  <c r="Y110" i="23" s="1"/>
  <c r="I106" i="23"/>
  <c r="H114" i="41"/>
  <c r="O109" i="41"/>
  <c r="H117" i="41"/>
  <c r="H109" i="41"/>
  <c r="AB144" i="62"/>
  <c r="AC74" i="147"/>
  <c r="AC160" i="31" s="1"/>
  <c r="N77" i="147"/>
  <c r="N163" i="31" s="1"/>
  <c r="N74" i="147"/>
  <c r="N160" i="31" s="1"/>
  <c r="AC77" i="147"/>
  <c r="AC163" i="31" s="1"/>
  <c r="AC78" i="147"/>
  <c r="AC164" i="31" s="1"/>
  <c r="AC117" i="108"/>
  <c r="AC129" i="108"/>
  <c r="AC130" i="108"/>
  <c r="Y62" i="25"/>
  <c r="Y80" i="47"/>
  <c r="AC115" i="108"/>
  <c r="X49" i="19"/>
  <c r="AC119" i="108"/>
  <c r="Q84" i="141"/>
  <c r="Y84" i="141" s="1"/>
  <c r="S64" i="132"/>
  <c r="I85" i="23"/>
  <c r="Q117" i="87"/>
  <c r="Q108" i="23"/>
  <c r="Y108" i="23" s="1"/>
  <c r="Y116" i="87"/>
  <c r="Q88" i="23"/>
  <c r="Y88" i="23" s="1"/>
  <c r="Q85" i="23"/>
  <c r="Y85" i="23" s="1"/>
  <c r="Q96" i="91"/>
  <c r="Y96" i="91" s="1"/>
  <c r="I113" i="91"/>
  <c r="Q89" i="91"/>
  <c r="U89" i="91"/>
  <c r="N69" i="85"/>
  <c r="O152" i="33"/>
  <c r="P152" i="33"/>
  <c r="I173" i="111"/>
  <c r="I166" i="111"/>
  <c r="I163" i="111"/>
  <c r="X65" i="111"/>
  <c r="I169" i="111"/>
  <c r="I172" i="111"/>
  <c r="I167" i="111"/>
  <c r="I164" i="111"/>
  <c r="I168" i="111"/>
  <c r="I170" i="111"/>
  <c r="I165" i="111"/>
  <c r="I201" i="111"/>
  <c r="I196" i="111"/>
  <c r="I199" i="111"/>
  <c r="I203" i="111"/>
  <c r="I195" i="111"/>
  <c r="I194" i="111"/>
  <c r="I204" i="111"/>
  <c r="X68" i="111"/>
  <c r="I197" i="111" s="1"/>
  <c r="I202" i="111"/>
  <c r="I198" i="111"/>
  <c r="I200" i="111"/>
  <c r="Y199" i="111"/>
  <c r="Y202" i="111"/>
  <c r="Y203" i="111"/>
  <c r="Y197" i="111"/>
  <c r="Y194" i="111"/>
  <c r="Y204" i="111"/>
  <c r="X72" i="111"/>
  <c r="Y198" i="111" s="1"/>
  <c r="Y200" i="111"/>
  <c r="Y196" i="111"/>
  <c r="Y201" i="111"/>
  <c r="Y195" i="111"/>
  <c r="R158" i="33"/>
  <c r="R171" i="33" s="1"/>
  <c r="O158" i="33"/>
  <c r="I171" i="111"/>
  <c r="AC67" i="97"/>
  <c r="I71" i="97" s="1"/>
  <c r="R166" i="33"/>
  <c r="P166" i="33"/>
  <c r="Q169" i="33"/>
  <c r="P169" i="33"/>
  <c r="Q164" i="33"/>
  <c r="R164" i="33"/>
  <c r="E181" i="111"/>
  <c r="E186" i="111"/>
  <c r="E180" i="111"/>
  <c r="E182" i="111"/>
  <c r="E184" i="111"/>
  <c r="E179" i="111"/>
  <c r="E183" i="111"/>
  <c r="E188" i="111"/>
  <c r="AD64" i="111"/>
  <c r="AD67" i="111"/>
  <c r="E209" i="111" s="1"/>
  <c r="E218" i="111"/>
  <c r="Y50" i="85"/>
  <c r="N68" i="85" s="1"/>
  <c r="Q216" i="111"/>
  <c r="Q211" i="111"/>
  <c r="Q210" i="111"/>
  <c r="Q217" i="111"/>
  <c r="Q218" i="111"/>
  <c r="Q209" i="111"/>
  <c r="Q213" i="111"/>
  <c r="Y210" i="111"/>
  <c r="Y212" i="111"/>
  <c r="Y215" i="111"/>
  <c r="Y213" i="111"/>
  <c r="O148" i="33"/>
  <c r="O171" i="33" s="1"/>
  <c r="Y214" i="111"/>
  <c r="O53" i="32"/>
  <c r="O61" i="32" s="1"/>
  <c r="I65" i="32" s="1"/>
  <c r="AC214" i="111"/>
  <c r="AC209" i="111"/>
  <c r="AC219" i="111"/>
  <c r="AC212" i="111"/>
  <c r="AC216" i="111"/>
  <c r="AC217" i="111"/>
  <c r="AC215" i="111"/>
  <c r="AC210" i="111"/>
  <c r="AC218" i="111"/>
  <c r="R165" i="33"/>
  <c r="Q165" i="33"/>
  <c r="U212" i="111"/>
  <c r="E197" i="111"/>
  <c r="E198" i="111"/>
  <c r="U200" i="111"/>
  <c r="Y148" i="152"/>
  <c r="Y169" i="152"/>
  <c r="Q160" i="152"/>
  <c r="Y160" i="152" s="1"/>
  <c r="AD71" i="111"/>
  <c r="U218" i="111" s="1"/>
  <c r="E204" i="111"/>
  <c r="U215" i="111"/>
  <c r="X71" i="111"/>
  <c r="U197" i="111" s="1"/>
  <c r="M197" i="111"/>
  <c r="X73" i="111"/>
  <c r="AC203" i="111" s="1"/>
  <c r="O162" i="33"/>
  <c r="Q161" i="33"/>
  <c r="Q171" i="33" s="1"/>
  <c r="R161" i="33"/>
  <c r="I217" i="111"/>
  <c r="E169" i="111"/>
  <c r="X69" i="111"/>
  <c r="I178" i="111"/>
  <c r="I188" i="111"/>
  <c r="U210" i="111"/>
  <c r="E200" i="111"/>
  <c r="E173" i="111"/>
  <c r="E165" i="111"/>
  <c r="E171" i="111"/>
  <c r="E170" i="111"/>
  <c r="M198" i="111"/>
  <c r="M196" i="111"/>
  <c r="E203" i="111"/>
  <c r="U217" i="111"/>
  <c r="I179" i="111"/>
  <c r="U209" i="111"/>
  <c r="X67" i="111"/>
  <c r="E202" i="111" s="1"/>
  <c r="E164" i="111"/>
  <c r="M110" i="20"/>
  <c r="U110" i="20"/>
  <c r="AC110" i="20" s="1"/>
  <c r="R70" i="149"/>
  <c r="V68" i="149"/>
  <c r="AC121" i="83"/>
  <c r="M121" i="83"/>
  <c r="J12" i="145"/>
  <c r="J11" i="145"/>
  <c r="J10" i="145"/>
  <c r="J13" i="145"/>
  <c r="AB138" i="62"/>
  <c r="Y163" i="62"/>
  <c r="S163" i="62" s="1"/>
  <c r="V163" i="62"/>
  <c r="P163" i="62" s="1"/>
  <c r="R138" i="62"/>
  <c r="I183" i="111"/>
  <c r="Y211" i="111"/>
  <c r="Q204" i="111"/>
  <c r="I184" i="111"/>
  <c r="M213" i="111"/>
  <c r="Q199" i="111"/>
  <c r="V174" i="62"/>
  <c r="P174" i="62" s="1"/>
  <c r="R146" i="62"/>
  <c r="Y174" i="62"/>
  <c r="S174" i="62" s="1"/>
  <c r="V229" i="62"/>
  <c r="P229" i="62" s="1"/>
  <c r="R204" i="62"/>
  <c r="AB204" i="62"/>
  <c r="Y229" i="62"/>
  <c r="S229" i="62" s="1"/>
  <c r="Y219" i="111"/>
  <c r="I219" i="111"/>
  <c r="I182" i="111"/>
  <c r="Y218" i="111"/>
  <c r="Y178" i="62"/>
  <c r="S178" i="62" s="1"/>
  <c r="V178" i="62"/>
  <c r="P178" i="62" s="1"/>
  <c r="R150" i="62"/>
  <c r="Q203" i="111"/>
  <c r="Q113" i="91"/>
  <c r="Y113" i="91" s="1"/>
  <c r="Z74" i="141"/>
  <c r="Q82" i="141"/>
  <c r="X72" i="109"/>
  <c r="S76" i="132"/>
  <c r="Y51" i="137"/>
  <c r="Y230" i="62"/>
  <c r="S230" i="62" s="1"/>
  <c r="V230" i="62"/>
  <c r="P230" i="62" s="1"/>
  <c r="R205" i="62"/>
  <c r="V161" i="62"/>
  <c r="P161" i="62" s="1"/>
  <c r="Y161" i="62"/>
  <c r="S161" i="62" s="1"/>
  <c r="R136" i="62"/>
  <c r="K64" i="132"/>
  <c r="G64" i="132"/>
  <c r="P24" i="115"/>
  <c r="R24" i="115" s="1"/>
  <c r="G6" i="115" s="1"/>
  <c r="P66" i="115"/>
  <c r="R66" i="115" s="1"/>
  <c r="H6" i="115" s="1"/>
  <c r="M89" i="91"/>
  <c r="I96" i="91"/>
  <c r="AB137" i="62"/>
  <c r="R137" i="62"/>
  <c r="Y162" i="62"/>
  <c r="S162" i="62" s="1"/>
  <c r="AB202" i="62"/>
  <c r="AB132" i="62"/>
  <c r="AB207" i="62"/>
  <c r="U118" i="20"/>
  <c r="AC118" i="20" s="1"/>
  <c r="U113" i="20"/>
  <c r="AC113" i="20" s="1"/>
  <c r="U115" i="20"/>
  <c r="AC115" i="20" s="1"/>
  <c r="AB134" i="62"/>
  <c r="V243" i="62"/>
  <c r="P243" i="62" s="1"/>
  <c r="W208" i="62"/>
  <c r="U119" i="83"/>
  <c r="U108" i="20"/>
  <c r="AC108" i="20" s="1"/>
  <c r="M108" i="20"/>
  <c r="V227" i="62"/>
  <c r="P227" i="62" s="1"/>
  <c r="R202" i="62"/>
  <c r="Y227" i="62"/>
  <c r="S227" i="62" s="1"/>
  <c r="Y243" i="62"/>
  <c r="S243" i="62" s="1"/>
  <c r="G76" i="132"/>
  <c r="I89" i="91"/>
  <c r="I107" i="23"/>
  <c r="H48" i="136"/>
  <c r="H50" i="136" s="1"/>
  <c r="Q53" i="136" s="1"/>
  <c r="Y53" i="136" s="1"/>
  <c r="I53" i="136"/>
  <c r="R133" i="62"/>
  <c r="Y158" i="62"/>
  <c r="S158" i="62" s="1"/>
  <c r="V158" i="62"/>
  <c r="P158" i="62" s="1"/>
  <c r="Q110" i="20"/>
  <c r="Y110" i="20" s="1"/>
  <c r="Q113" i="20"/>
  <c r="Y113" i="20" s="1"/>
  <c r="Y232" i="62"/>
  <c r="S232" i="62" s="1"/>
  <c r="W217" i="62"/>
  <c r="W218" i="62"/>
  <c r="Q107" i="152"/>
  <c r="M111" i="20"/>
  <c r="I115" i="20"/>
  <c r="U117" i="20"/>
  <c r="AC117" i="20" s="1"/>
  <c r="Y57" i="143"/>
  <c r="Y66" i="143" s="1"/>
  <c r="W206" i="62"/>
  <c r="W220" i="62"/>
  <c r="U116" i="108"/>
  <c r="M119" i="108"/>
  <c r="AC116" i="83"/>
  <c r="Q73" i="51"/>
  <c r="Y73" i="51" s="1"/>
  <c r="P23" i="115"/>
  <c r="R23" i="115" s="1"/>
  <c r="G5" i="115" s="1"/>
  <c r="P65" i="115"/>
  <c r="R65" i="115" s="1"/>
  <c r="H5" i="115" s="1"/>
  <c r="I116" i="20"/>
  <c r="M118" i="20"/>
  <c r="R201" i="62"/>
  <c r="Y226" i="62"/>
  <c r="S226" i="62" s="1"/>
  <c r="W203" i="62"/>
  <c r="I111" i="20"/>
  <c r="I117" i="20"/>
  <c r="Y160" i="62"/>
  <c r="S160" i="62" s="1"/>
  <c r="AB135" i="62"/>
  <c r="Y125" i="108"/>
  <c r="U125" i="108" s="1"/>
  <c r="Y124" i="108"/>
  <c r="U124" i="108" s="1"/>
  <c r="Q126" i="108"/>
  <c r="M126" i="108" s="1"/>
  <c r="Y126" i="108"/>
  <c r="U126" i="108" s="1"/>
  <c r="Q124" i="108"/>
  <c r="AC124" i="108" s="1"/>
  <c r="Y123" i="108"/>
  <c r="Q120" i="83"/>
  <c r="Q119" i="83"/>
  <c r="Y120" i="83"/>
  <c r="U120" i="83" s="1"/>
  <c r="I124" i="35"/>
  <c r="Q83" i="43"/>
  <c r="D1" i="139"/>
  <c r="V160" i="62"/>
  <c r="P160" i="62" s="1"/>
  <c r="R135" i="62"/>
  <c r="W213" i="62"/>
  <c r="R132" i="62"/>
  <c r="V157" i="62"/>
  <c r="P157" i="62" s="1"/>
  <c r="Y157" i="62"/>
  <c r="S157" i="62" s="1"/>
  <c r="J137" i="108"/>
  <c r="AC118" i="83"/>
  <c r="AC117" i="83"/>
  <c r="AC115" i="83"/>
  <c r="Q94" i="151"/>
  <c r="Y94" i="151" s="1"/>
  <c r="I94" i="151"/>
  <c r="Y185" i="152"/>
  <c r="Y134" i="152"/>
  <c r="M117" i="20"/>
  <c r="I118" i="20"/>
  <c r="I113" i="20"/>
  <c r="M51" i="137"/>
  <c r="I55" i="137" s="1"/>
  <c r="Y44" i="138"/>
  <c r="W219" i="62"/>
  <c r="W214" i="62"/>
  <c r="Y61" i="25"/>
  <c r="Y47" i="140"/>
  <c r="AB147" i="62"/>
  <c r="Y89" i="48"/>
  <c r="I73" i="147"/>
  <c r="Y130" i="152"/>
  <c r="AB185" i="62"/>
  <c r="Y74" i="51"/>
  <c r="Q199" i="152"/>
  <c r="Y199" i="152" s="1"/>
  <c r="AB186" i="62"/>
  <c r="AB177" i="62" s="1"/>
  <c r="AC116" i="108"/>
  <c r="Y115" i="3"/>
  <c r="Q108" i="152"/>
  <c r="Y108" i="152" s="1"/>
  <c r="AC76" i="147"/>
  <c r="AC162" i="31" s="1"/>
  <c r="H146" i="41"/>
  <c r="H144" i="41"/>
  <c r="Q173" i="152"/>
  <c r="Y122" i="152" s="1"/>
  <c r="Q198" i="152"/>
  <c r="H138" i="41"/>
  <c r="H143" i="41"/>
  <c r="O108" i="41"/>
  <c r="H115" i="41"/>
  <c r="H110" i="41"/>
  <c r="O116" i="41"/>
  <c r="H116" i="41"/>
  <c r="H113" i="41"/>
  <c r="H112" i="41"/>
  <c r="I166" i="41" s="1"/>
  <c r="O112" i="41"/>
  <c r="O114" i="41"/>
  <c r="H111" i="41"/>
  <c r="O110" i="41"/>
  <c r="O117" i="41"/>
  <c r="H108" i="41"/>
  <c r="O113" i="41"/>
  <c r="AB201" i="62"/>
  <c r="AB133" i="62"/>
  <c r="AB203" i="62"/>
  <c r="Y74" i="48"/>
  <c r="Y94" i="47"/>
  <c r="AC128" i="108"/>
  <c r="AC122" i="108"/>
  <c r="AC120" i="108"/>
  <c r="Y76" i="51"/>
  <c r="Y166" i="41"/>
  <c r="AC127" i="108"/>
  <c r="AC118" i="108"/>
  <c r="Y73" i="48"/>
  <c r="Y75" i="48"/>
  <c r="AC121" i="108"/>
  <c r="N66" i="147"/>
  <c r="N63" i="147"/>
  <c r="N64" i="147"/>
  <c r="N67" i="147"/>
  <c r="N65" i="147"/>
  <c r="AC65" i="147"/>
  <c r="AC63" i="147"/>
  <c r="AC66" i="147"/>
  <c r="N68" i="147"/>
  <c r="AC64" i="147"/>
  <c r="AC68" i="147"/>
  <c r="AC67" i="147"/>
  <c r="H32" i="145"/>
  <c r="AB145" i="62"/>
  <c r="AB213" i="62"/>
  <c r="AB146" i="62"/>
  <c r="AB148" i="62"/>
  <c r="H31" i="145"/>
  <c r="V66" i="149"/>
  <c r="H29" i="145"/>
  <c r="H35" i="145"/>
  <c r="Y75" i="51"/>
  <c r="Q83" i="144"/>
  <c r="H34" i="145"/>
  <c r="AB143" i="62"/>
  <c r="AB215" i="62"/>
  <c r="AB208" i="62"/>
  <c r="Y72" i="48"/>
  <c r="Y78" i="47"/>
  <c r="V69" i="149"/>
  <c r="H30" i="145"/>
  <c r="AB205" i="62"/>
  <c r="AB217" i="62"/>
  <c r="AB136" i="62"/>
  <c r="Y79" i="47"/>
  <c r="AC125" i="108"/>
  <c r="N78" i="147"/>
  <c r="N164" i="31" s="1"/>
  <c r="H28" i="145"/>
  <c r="AB150" i="62"/>
  <c r="AB216" i="62"/>
  <c r="Y76" i="48"/>
  <c r="H12" i="115"/>
  <c r="G11" i="115"/>
  <c r="H11" i="115"/>
  <c r="G12" i="115"/>
  <c r="Q89" i="23" l="1"/>
  <c r="Y89" i="23" s="1"/>
  <c r="I108" i="23"/>
  <c r="Q102" i="23"/>
  <c r="Y102" i="23" s="1"/>
  <c r="I102" i="23"/>
  <c r="Q86" i="23"/>
  <c r="Y86" i="23" s="1"/>
  <c r="I109" i="23"/>
  <c r="Q83" i="23"/>
  <c r="Y83" i="23" s="1"/>
  <c r="Y124" i="87"/>
  <c r="Q144" i="87" s="1"/>
  <c r="Q87" i="23"/>
  <c r="Y87" i="23" s="1"/>
  <c r="I89" i="23"/>
  <c r="Q60" i="23"/>
  <c r="I91" i="23"/>
  <c r="Q104" i="23"/>
  <c r="Y104" i="23" s="1"/>
  <c r="Y114" i="87"/>
  <c r="Q126" i="87"/>
  <c r="U116" i="87" s="1"/>
  <c r="Q103" i="23"/>
  <c r="Y103" i="23" s="1"/>
  <c r="Q128" i="87"/>
  <c r="U118" i="87" s="1"/>
  <c r="Q109" i="23"/>
  <c r="Y109" i="23" s="1"/>
  <c r="Q84" i="23"/>
  <c r="Y84" i="23" s="1"/>
  <c r="I83" i="23"/>
  <c r="Q107" i="23"/>
  <c r="Y107" i="23" s="1"/>
  <c r="Q91" i="23"/>
  <c r="Y91" i="23" s="1"/>
  <c r="I110" i="23"/>
  <c r="Y123" i="87"/>
  <c r="Q143" i="87" s="1"/>
  <c r="I88" i="23"/>
  <c r="I87" i="23"/>
  <c r="I104" i="23"/>
  <c r="Y125" i="87"/>
  <c r="Q145" i="87" s="1"/>
  <c r="Y115" i="87"/>
  <c r="AB161" i="62"/>
  <c r="AB158" i="62"/>
  <c r="AB160" i="62"/>
  <c r="AB174" i="62"/>
  <c r="AB228" i="62"/>
  <c r="AB244" i="62"/>
  <c r="AB233" i="62"/>
  <c r="AB230" i="62"/>
  <c r="AB243" i="62"/>
  <c r="AB162" i="62"/>
  <c r="AB229" i="62"/>
  <c r="AB241" i="62"/>
  <c r="AB163" i="62"/>
  <c r="AB173" i="62"/>
  <c r="AB172" i="62"/>
  <c r="AB226" i="62"/>
  <c r="AB227" i="62"/>
  <c r="AB157" i="62"/>
  <c r="AB232" i="62"/>
  <c r="AB159" i="62"/>
  <c r="Y113" i="87"/>
  <c r="Y126" i="87"/>
  <c r="Q136" i="87" s="1"/>
  <c r="Y127" i="87"/>
  <c r="Q147" i="87" s="1"/>
  <c r="Q125" i="87"/>
  <c r="U115" i="87" s="1"/>
  <c r="Q113" i="87"/>
  <c r="Q123" i="87"/>
  <c r="U113" i="87" s="1"/>
  <c r="Y117" i="87"/>
  <c r="Q137" i="87" s="1"/>
  <c r="Y118" i="87"/>
  <c r="Y128" i="87"/>
  <c r="Q124" i="87"/>
  <c r="U114" i="87" s="1"/>
  <c r="Q114" i="87"/>
  <c r="Q127" i="87"/>
  <c r="U117" i="87" s="1"/>
  <c r="I111" i="23"/>
  <c r="I92" i="23"/>
  <c r="Q116" i="87"/>
  <c r="Q118" i="87"/>
  <c r="I84" i="23"/>
  <c r="I103" i="23"/>
  <c r="Q115" i="87"/>
  <c r="M60" i="23"/>
  <c r="AC89" i="91"/>
  <c r="Y89" i="91"/>
  <c r="R214" i="62"/>
  <c r="V242" i="62"/>
  <c r="P242" i="62" s="1"/>
  <c r="Y242" i="62"/>
  <c r="S242" i="62" s="1"/>
  <c r="AB214" i="62"/>
  <c r="AB242" i="62" s="1"/>
  <c r="R219" i="62"/>
  <c r="Y247" i="62"/>
  <c r="S247" i="62" s="1"/>
  <c r="V247" i="62"/>
  <c r="P247" i="62" s="1"/>
  <c r="N137" i="108"/>
  <c r="F137" i="108"/>
  <c r="J145" i="108"/>
  <c r="U123" i="108"/>
  <c r="AC123" i="108"/>
  <c r="U51" i="137"/>
  <c r="AC51" i="137" s="1"/>
  <c r="Q55" i="137" s="1"/>
  <c r="Y55" i="137" s="1"/>
  <c r="Y109" i="152"/>
  <c r="Y82" i="141"/>
  <c r="E199" i="111"/>
  <c r="M202" i="111"/>
  <c r="M201" i="111"/>
  <c r="M203" i="111"/>
  <c r="M194" i="111"/>
  <c r="M204" i="111"/>
  <c r="M199" i="111"/>
  <c r="U202" i="111"/>
  <c r="E212" i="111"/>
  <c r="AC197" i="111"/>
  <c r="AC201" i="111"/>
  <c r="E210" i="111"/>
  <c r="P171" i="33"/>
  <c r="Q97" i="147"/>
  <c r="N73" i="147"/>
  <c r="AB178" i="62"/>
  <c r="AB245" i="62"/>
  <c r="AB176" i="62"/>
  <c r="AB175" i="62"/>
  <c r="AB156" i="62"/>
  <c r="Q158" i="41"/>
  <c r="Y158" i="41" s="1"/>
  <c r="Q159" i="41"/>
  <c r="Y159" i="41" s="1"/>
  <c r="AB218" i="62"/>
  <c r="AB246" i="62" s="1"/>
  <c r="V246" i="62"/>
  <c r="P246" i="62" s="1"/>
  <c r="R218" i="62"/>
  <c r="Y246" i="62"/>
  <c r="S246" i="62" s="1"/>
  <c r="I60" i="23"/>
  <c r="M200" i="111"/>
  <c r="AC196" i="111"/>
  <c r="M195" i="111"/>
  <c r="R206" i="62"/>
  <c r="Y231" i="62"/>
  <c r="S231" i="62" s="1"/>
  <c r="V231" i="62"/>
  <c r="P231" i="62" s="1"/>
  <c r="E219" i="111"/>
  <c r="E215" i="111"/>
  <c r="AB206" i="62"/>
  <c r="AB231" i="62" s="1"/>
  <c r="I158" i="41"/>
  <c r="Y198" i="152"/>
  <c r="Y147" i="152"/>
  <c r="V241" i="62"/>
  <c r="P241" i="62" s="1"/>
  <c r="Y241" i="62"/>
  <c r="S241" i="62" s="1"/>
  <c r="R213" i="62"/>
  <c r="R217" i="62"/>
  <c r="V245" i="62"/>
  <c r="P245" i="62" s="1"/>
  <c r="Y245" i="62"/>
  <c r="S245" i="62" s="1"/>
  <c r="K136" i="83"/>
  <c r="I105" i="23"/>
  <c r="E60" i="23"/>
  <c r="E196" i="111"/>
  <c r="E194" i="111"/>
  <c r="E201" i="111"/>
  <c r="AC194" i="111"/>
  <c r="U199" i="111"/>
  <c r="U198" i="111"/>
  <c r="U203" i="111"/>
  <c r="U194" i="111"/>
  <c r="U201" i="111"/>
  <c r="E211" i="111"/>
  <c r="E217" i="111"/>
  <c r="Q83" i="149"/>
  <c r="V70" i="149"/>
  <c r="Y83" i="149" s="1"/>
  <c r="Y173" i="152"/>
  <c r="Q158" i="152"/>
  <c r="Y158" i="152" s="1"/>
  <c r="R203" i="62"/>
  <c r="Y228" i="62"/>
  <c r="S228" i="62" s="1"/>
  <c r="V228" i="62"/>
  <c r="P228" i="62" s="1"/>
  <c r="J146" i="108"/>
  <c r="R208" i="62"/>
  <c r="Y233" i="62"/>
  <c r="S233" i="62" s="1"/>
  <c r="V233" i="62"/>
  <c r="P233" i="62" s="1"/>
  <c r="AC202" i="111"/>
  <c r="AC199" i="111"/>
  <c r="AC198" i="111"/>
  <c r="U216" i="111"/>
  <c r="U214" i="111"/>
  <c r="U219" i="111"/>
  <c r="E214" i="111"/>
  <c r="E216" i="111"/>
  <c r="M120" i="83"/>
  <c r="AC120" i="83"/>
  <c r="Q111" i="23"/>
  <c r="Y111" i="23" s="1"/>
  <c r="Q92" i="23"/>
  <c r="Y92" i="23" s="1"/>
  <c r="J138" i="108"/>
  <c r="M124" i="108"/>
  <c r="AC200" i="111"/>
  <c r="AC195" i="111"/>
  <c r="AC126" i="108"/>
  <c r="J14" i="145"/>
  <c r="AB171" i="62"/>
  <c r="AB219" i="62"/>
  <c r="AB247" i="62" s="1"/>
  <c r="K129" i="83"/>
  <c r="AC119" i="83"/>
  <c r="M119" i="83"/>
  <c r="Y248" i="62"/>
  <c r="S248" i="62" s="1"/>
  <c r="AB220" i="62"/>
  <c r="AB248" i="62" s="1"/>
  <c r="R220" i="62"/>
  <c r="V248" i="62"/>
  <c r="P248" i="62" s="1"/>
  <c r="I90" i="23"/>
  <c r="U213" i="111"/>
  <c r="U204" i="111"/>
  <c r="U196" i="111"/>
  <c r="AC204" i="111"/>
  <c r="E195" i="111"/>
  <c r="U211" i="111"/>
  <c r="U195" i="111"/>
  <c r="E213" i="111"/>
  <c r="E185" i="111"/>
  <c r="E178" i="111"/>
  <c r="E187" i="111"/>
  <c r="I159" i="41"/>
  <c r="J7" i="115"/>
  <c r="J11" i="115" s="1"/>
  <c r="I82" i="23" l="1"/>
  <c r="Y97" i="147"/>
  <c r="N159" i="31"/>
  <c r="AC114" i="87"/>
  <c r="AC115" i="87"/>
  <c r="Q134" i="87"/>
  <c r="Q135" i="87"/>
  <c r="AC117" i="87"/>
  <c r="Q133" i="87"/>
  <c r="AC113" i="87"/>
  <c r="AC116" i="87"/>
  <c r="Q146" i="87"/>
  <c r="Q138" i="87"/>
  <c r="AC118" i="87"/>
  <c r="Q148" i="87"/>
  <c r="N146" i="108"/>
  <c r="F146" i="108"/>
  <c r="O129" i="83"/>
  <c r="G129" i="83"/>
  <c r="N138" i="108"/>
  <c r="F138" i="108"/>
  <c r="O136" i="83"/>
  <c r="G136" i="83"/>
  <c r="Q82" i="23"/>
  <c r="Y82" i="23" s="1"/>
  <c r="Q101" i="23"/>
  <c r="Y101" i="23" s="1"/>
  <c r="I101" i="23"/>
  <c r="Y107" i="152"/>
  <c r="N145" i="108"/>
  <c r="F145" i="108"/>
  <c r="J8" i="115"/>
  <c r="J9" i="115"/>
  <c r="J10" i="1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Parmenter, Kelly</author>
    <author>AEG</author>
    <author>Ngo, Vinh-Phong N.</author>
  </authors>
  <commentList>
    <comment ref="F4" authorId="0" shapeId="0" xr:uid="{00000000-0006-0000-2000-000001000000}">
      <text>
        <r>
          <rPr>
            <b/>
            <sz val="9"/>
            <color indexed="81"/>
            <rFont val="Tahoma"/>
            <family val="2"/>
          </rPr>
          <t>Parmenter, Kelly:</t>
        </r>
        <r>
          <rPr>
            <sz val="9"/>
            <color indexed="81"/>
            <rFont val="Tahoma"/>
            <family val="2"/>
          </rPr>
          <t xml:space="preserve">
Full-load requirement was removed for PY22-24 but will be reinstated/reevaluated in PY25. See hidden cells P23, P24, P65, and P66.</t>
        </r>
      </text>
    </comment>
    <comment ref="C8" authorId="1" shapeId="0" xr:uid="{00000000-0006-0000-2000-000002000000}">
      <text>
        <r>
          <rPr>
            <b/>
            <sz val="9"/>
            <color indexed="81"/>
            <rFont val="Tahoma"/>
            <family val="2"/>
          </rPr>
          <t>Please enter your full-load efficiency rating here, in kW/ton</t>
        </r>
      </text>
    </comment>
    <comment ref="J8" authorId="2" shapeId="0" xr:uid="{00000000-0006-0000-2000-000003000000}">
      <text>
        <r>
          <rPr>
            <sz val="9"/>
            <color indexed="81"/>
            <rFont val="Tahoma"/>
            <family val="2"/>
          </rPr>
          <t>delta * tonnage * CF</t>
        </r>
      </text>
    </comment>
    <comment ref="C9" authorId="1" shapeId="0" xr:uid="{00000000-0006-0000-2000-000004000000}">
      <text>
        <r>
          <rPr>
            <b/>
            <sz val="9"/>
            <color indexed="81"/>
            <rFont val="Tahoma"/>
            <family val="2"/>
          </rPr>
          <t>Please enter your IPLV (part load) efficiency rating here, in kW/ton</t>
        </r>
      </text>
    </comment>
    <comment ref="J9" authorId="2" shapeId="0" xr:uid="{00000000-0006-0000-2000-000005000000}">
      <text>
        <r>
          <rPr>
            <sz val="9"/>
            <color indexed="81"/>
            <rFont val="Tahoma"/>
            <family val="2"/>
          </rPr>
          <t>delta * tonnage * EFLH</t>
        </r>
      </text>
    </comment>
    <comment ref="P23" authorId="0" shapeId="0" xr:uid="{00000000-0006-0000-2000-000006000000}">
      <text>
        <r>
          <rPr>
            <b/>
            <sz val="9"/>
            <color indexed="81"/>
            <rFont val="Tahoma"/>
            <family val="2"/>
          </rPr>
          <t>Parmenter, Kelly:</t>
        </r>
        <r>
          <rPr>
            <sz val="9"/>
            <color indexed="81"/>
            <rFont val="Tahoma"/>
            <family val="2"/>
          </rPr>
          <t xml:space="preserve">
Change back to following eq'n in PY25: =IF($D$5="PD",
IF(AND($D$6&gt;=600,$D$8&lt;=J$15),$M15,
IF(AND($D$6&gt;=300,$D$6&lt;600,$D$8&lt;=$I15),$M15,
IF(AND($D$6&gt;=150,$D$6&lt;300,$D$8&lt;=$H15),$M15,
IF(AND($D$6&gt;=75,$D$6&lt;150,$D$8&lt;=$G15),$M15,
IF(AND($D$6&lt;75,$D$8&lt;=F15),$M15,0))))),
IF($D$5="centrifugal",
IF(AND($D$6&gt;=600,$D$8&lt;=J21),M21,
IF(AND($D$6&gt;=400,$D$6&lt;600,$D$8&lt;=I21),M21,
IF(AND($D$6&gt;=300,$D$6&lt;400,$D$8&lt;=H21),M21,
IF(AND($D$6&gt;=150,$D$6&lt;300,$D$8&lt;=G21),M21,
IF(AND($D$6&lt;150,$D$8&lt;=F21),M21,0))))),
IF($D$5="air-cooled",
IF(AND($D$6&gt;=150,$D$8&lt;=J27),M27,
IF(AND($D$6&lt;150,$D$8&lt;=I27),M27,0)))))</t>
        </r>
      </text>
    </comment>
    <comment ref="P24" authorId="0" shapeId="0" xr:uid="{00000000-0006-0000-2000-000007000000}">
      <text>
        <r>
          <rPr>
            <b/>
            <sz val="9"/>
            <color indexed="81"/>
            <rFont val="Tahoma"/>
            <family val="2"/>
          </rPr>
          <t>Parmenter, Kelly:</t>
        </r>
        <r>
          <rPr>
            <sz val="9"/>
            <color indexed="81"/>
            <rFont val="Tahoma"/>
            <family val="2"/>
          </rPr>
          <t xml:space="preserve">
Change back to following eq'n in PY25:
=IF($D$5="PD",
IF(AND($D$6&gt;=600,$D$8&lt;=$J17),$M17,
IF(AND($D$6&gt;=300,$D$6&lt;600,$D$8&lt;=$I17),$M17,
IF(AND($D$6&gt;=150,$D$6&lt;300,$D$8&lt;=$H17),$M17,
IF(AND($D$6&gt;=75,$D$6&lt;150,$D$8&lt;=$G17),$M17,
IF(AND($D$6&lt;75,$D$8&lt;=F17),$M17,0))))),
IF($D$5="centrifugal",
IF(AND($D$6&gt;=600,$D$8&lt;=J23),M23,
IF(AND($D$6&gt;=400,$D$6&lt;600,$D$8&lt;=I23),M23,
IF(AND($D$6&gt;=300,$D$6&lt;400,$D$8&lt;=H23),M23,
IF(AND($D$6&gt;=150,$D$6&lt;300,$D$8&lt;=G23),M23,
IF(AND($D$6&lt;150,$D$8&lt;=F23),M23,0))))),
IF($D$5="air-cooled",
IF(AND($D$6&gt;=150,$D$8&lt;=J29),M29,
IF(AND($D$6&lt;150,$D$8&lt;=I29),M29,0)))))</t>
        </r>
      </text>
    </comment>
    <comment ref="P65" authorId="0" shapeId="0" xr:uid="{00000000-0006-0000-2000-000008000000}">
      <text>
        <r>
          <rPr>
            <b/>
            <sz val="9"/>
            <color indexed="81"/>
            <rFont val="Tahoma"/>
            <family val="2"/>
          </rPr>
          <t>Parmenter, Kelly:</t>
        </r>
        <r>
          <rPr>
            <sz val="9"/>
            <color indexed="81"/>
            <rFont val="Tahoma"/>
            <family val="2"/>
          </rPr>
          <t xml:space="preserve">
Change back to following eq'n in PY25:
=IF($D$5="PD",
IF(AND($D$6&gt;=600,$D$8&lt;=J$57),$M57,
IF(AND($D$6&gt;=300,$D$6&lt;600,$D$8&lt;=$I57),$M57,
IF(AND($D$6&gt;=150,$D$6&lt;300,$D$8&lt;=$H57),$M57,
IF(AND($D$6&gt;=75,$D$6&lt;150,$D$8&lt;=$G57),$M57,
IF(AND($D$6&lt;75,$D$8&lt;=F57),$M57,0))))),
IF($D$5="centrifugal",
IF(AND($D$6&gt;=600,$D$8&lt;=J63),M63,
IF(AND($D$6&gt;=400,$D$6&lt;600,$D$8&lt;=I63),M63,
IF(AND($D$6&gt;=300,$D$6&lt;400,$D$8&lt;=H63),M63,
IF(AND($D$6&gt;=150,$D$6&lt;300,$D$8&lt;=G63),M63,
IF(AND($D$6&lt;150,$D$8&lt;=F63),M63,0))))),
IF($D$5="air-cooled",
IF(AND($D$6&gt;=150,$D$8&lt;=J69),M69,
IF(AND($D$6&lt;150,$D$8&lt;=I69),M69,0)))))</t>
        </r>
      </text>
    </comment>
    <comment ref="P66" authorId="0" shapeId="0" xr:uid="{00000000-0006-0000-2000-000009000000}">
      <text>
        <r>
          <rPr>
            <b/>
            <sz val="9"/>
            <color indexed="81"/>
            <rFont val="Tahoma"/>
            <family val="2"/>
          </rPr>
          <t>Parmenter, Kelly:</t>
        </r>
        <r>
          <rPr>
            <sz val="9"/>
            <color indexed="81"/>
            <rFont val="Tahoma"/>
            <family val="2"/>
          </rPr>
          <t xml:space="preserve">
Change back to following eq'n in PY25:
=IF($D$5="PD",
IF(AND($D$6&gt;=600,$D$8&lt;=$J59),$M59,
IF(AND($D$6&gt;=300,$D$6&lt;600,$D$8&lt;=$I59),$M59,
IF(AND($D$6&gt;=150,$D$6&lt;300,$D$8&lt;=$H59),$M59,
IF(AND($D$6&gt;=75,$D$6&lt;150,$D$8&lt;=$G59),$M59,
IF(AND($D$6&lt;75,$D$8&lt;=F59),$M59,0))))),
IF($D$5="centrifugal",
IF(AND($D$6&gt;=600,$D$8&lt;=J65),M65,
IF(AND($D$6&gt;=400,$D$6&lt;600,$D$8&lt;=I65),M65,
IF(AND($D$6&gt;=300,$D$6&lt;400,$D$8&lt;=H65),M65,
IF(AND($D$6&gt;=150,$D$6&lt;300,$D$8&lt;=G65),M65,
IF(AND($D$6&lt;150,$D$8&lt;=F65),M65,0))))),
IF($D$5="air-cooled",
IF(AND($D$6&gt;=150,$D$8&lt;=J71),M71,
IF(AND($D$6&lt;150,$D$8&lt;=I71),M71,0)))))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Parmenter, Kelly</author>
    <author>AEG</author>
  </authors>
  <commentList>
    <comment ref="G6" authorId="0" shapeId="0" xr:uid="{B5D91039-C6ED-44DE-AF99-C3E8828AAFF9}">
      <text>
        <r>
          <rPr>
            <sz val="9"/>
            <color indexed="81"/>
            <rFont val="Tahoma"/>
            <family val="2"/>
          </rPr>
          <t>Reinstate/reevaluate requirement in PY25.</t>
        </r>
      </text>
    </comment>
    <comment ref="G7" authorId="0" shapeId="0" xr:uid="{928E70B8-5EDA-416A-8778-0AE381B8F219}">
      <text>
        <r>
          <rPr>
            <sz val="9"/>
            <color indexed="81"/>
            <rFont val="Tahoma"/>
            <family val="2"/>
          </rPr>
          <t>Reinstate/reevaluate requirement in PY25.</t>
        </r>
      </text>
    </comment>
    <comment ref="D10" authorId="1" shapeId="0" xr:uid="{7D4F0C2B-AA4E-4A49-8531-DB97AECD69AE}">
      <text>
        <r>
          <rPr>
            <sz val="9"/>
            <color indexed="81"/>
            <rFont val="Tahoma"/>
            <family val="2"/>
          </rPr>
          <t>Will change according to AC size</t>
        </r>
      </text>
    </comment>
    <comment ref="H11" authorId="1" shapeId="0" xr:uid="{827BE71D-0903-41E9-9241-40F023B21626}">
      <text>
        <r>
          <rPr>
            <sz val="9"/>
            <color indexed="81"/>
            <rFont val="Tahoma"/>
            <family val="2"/>
          </rPr>
          <t>Will change according to AC size</t>
        </r>
      </text>
    </comment>
    <comment ref="F19" authorId="1" shapeId="0" xr:uid="{6E59A10D-0D2D-49E9-B73D-44340FAE6649}">
      <text>
        <r>
          <rPr>
            <sz val="9"/>
            <color indexed="81"/>
            <rFont val="Tahoma"/>
            <family val="2"/>
          </rPr>
          <t>There is no federal or state minimum EER2 requirement for Hawaii. AEG's research of the AHRI database (Nov 2022 extracts) showed that each EER2 value in Table 1 represents the most common EER2 value for the given SEER2 minimum requirement. Refer to AEG's Analysis File named "PY23 TRM - Commercial AC and HP - Analysis File" for more information.</t>
        </r>
      </text>
    </comment>
    <comment ref="F24" authorId="0" shapeId="0" xr:uid="{460DAF32-E37C-49E7-826B-14F840033FD5}">
      <text>
        <r>
          <rPr>
            <sz val="9"/>
            <color indexed="81"/>
            <rFont val="Tahoma"/>
            <family val="2"/>
          </rPr>
          <t>There are no longer federal or ASHRAE minimum EER requirements for larger commercial unitary AC and Air-Source HP equipment (≥ 65,000 Btu/h). AEG's research of the AHRI database (Sep 2022 extract) showed that each EER value in Table 1 represents the most common EER value for the given IEER minimum requirement. Refer to AEG's Analysis File named "PY23 TRM - Commercial AC and HP - Analysis File" for more information.</t>
        </r>
      </text>
    </comment>
    <comment ref="C26" authorId="1" shapeId="0" xr:uid="{6512BD20-F391-4CC6-94F7-306E67257F08}">
      <text>
        <r>
          <rPr>
            <sz val="9"/>
            <color indexed="81"/>
            <rFont val="Tahoma"/>
            <family val="2"/>
          </rPr>
          <t>All units greater than 240 kBtu/h are recommended for custom evaluation</t>
        </r>
      </text>
    </comment>
    <comment ref="R29" authorId="1" shapeId="0" xr:uid="{F5CBFE9C-545A-4098-BE17-D915165A08AD}">
      <text>
        <r>
          <rPr>
            <sz val="9"/>
            <color indexed="81"/>
            <rFont val="Tahoma"/>
            <family val="2"/>
          </rPr>
          <t>All units greater than 240 kBtu/h are recommended for custom evaluation</t>
        </r>
      </text>
    </comment>
    <comment ref="D34" authorId="0" shapeId="0" xr:uid="{37487C84-6C82-45ED-9277-74CB7704CB32}">
      <text>
        <r>
          <rPr>
            <sz val="9"/>
            <color indexed="81"/>
            <rFont val="Tahoma"/>
            <family val="2"/>
          </rPr>
          <t>No ASHRAE requirement for water-source HP SEER; set equal to EER</t>
        </r>
      </text>
    </comment>
    <comment ref="E36" authorId="0" shapeId="0" xr:uid="{3DB9569C-0018-4D37-A745-22B66359C436}">
      <text>
        <r>
          <rPr>
            <sz val="9"/>
            <color indexed="81"/>
            <rFont val="Tahoma"/>
            <family val="2"/>
          </rPr>
          <t xml:space="preserve">No ASHRAE requirement for water-source HP IEER; set equal to EER
</t>
        </r>
      </text>
    </comment>
    <comment ref="D37" authorId="0" shapeId="0" xr:uid="{65FCB8B8-767D-4C9B-851A-1795518C4216}">
      <text>
        <r>
          <rPr>
            <sz val="9"/>
            <color indexed="81"/>
            <rFont val="Tahoma"/>
            <family val="2"/>
          </rPr>
          <t>No ASHRAE requirement for PTAC/PTHP SEER; set equal to EER</t>
        </r>
      </text>
    </comment>
    <comment ref="F38" authorId="0" shapeId="0" xr:uid="{D1E3CE9A-5111-4394-8C22-2D9EA27669AA}">
      <text>
        <r>
          <rPr>
            <sz val="9"/>
            <color indexed="81"/>
            <rFont val="Tahoma"/>
            <family val="2"/>
          </rPr>
          <t>PTAC EER varies with capacity</t>
        </r>
      </text>
    </comment>
    <comment ref="F41" authorId="0" shapeId="0" xr:uid="{0849589B-6AEF-408F-BB7C-0A7B227B1DD4}">
      <text>
        <r>
          <rPr>
            <sz val="9"/>
            <color indexed="81"/>
            <rFont val="Tahoma"/>
            <family val="2"/>
          </rPr>
          <t>PTAC EER varies with capacity</t>
        </r>
      </text>
    </comment>
    <comment ref="F44" authorId="0" shapeId="0" xr:uid="{0D25D410-303F-4F87-819E-5D95BE7C1985}">
      <text>
        <r>
          <rPr>
            <sz val="9"/>
            <color indexed="81"/>
            <rFont val="Tahoma"/>
            <family val="2"/>
          </rPr>
          <t>PTHP EER varies with capacity</t>
        </r>
        <r>
          <rPr>
            <sz val="9"/>
            <color indexed="81"/>
            <rFont val="Tahoma"/>
            <family val="2"/>
          </rPr>
          <t xml:space="preserve">
</t>
        </r>
      </text>
    </comment>
    <comment ref="F47" authorId="0" shapeId="0" xr:uid="{5D721DAB-60A9-459D-879F-CF1A55C45C78}">
      <text>
        <r>
          <rPr>
            <sz val="9"/>
            <color indexed="81"/>
            <rFont val="Tahoma"/>
            <family val="2"/>
          </rPr>
          <t>PTHP EER varies with capacity</t>
        </r>
      </text>
    </comment>
    <comment ref="D49" authorId="0" shapeId="0" xr:uid="{B24EFEF2-F318-4D9E-A988-7200E839FCA6}">
      <text>
        <r>
          <rPr>
            <sz val="9"/>
            <color indexed="81"/>
            <rFont val="Tahoma"/>
            <family val="2"/>
          </rPr>
          <t>No ASHRAE requirement for vertical AC/HP SEER; set equal to EER</t>
        </r>
      </text>
    </comment>
    <comment ref="E50" authorId="0" shapeId="0" xr:uid="{E37E90A6-99CB-41C4-AA3D-435C969BC7B4}">
      <text>
        <r>
          <rPr>
            <sz val="9"/>
            <color indexed="81"/>
            <rFont val="Tahoma"/>
            <family val="2"/>
          </rPr>
          <t>No ASHRAE requirement for vertical AC/HP IEER; set equal to EER</t>
        </r>
      </text>
    </comment>
    <comment ref="D57" authorId="0" shapeId="0" xr:uid="{87E8E16B-4BE2-477F-96C3-9BFF530D00A3}">
      <text>
        <r>
          <rPr>
            <sz val="9"/>
            <color indexed="81"/>
            <rFont val="Tahoma"/>
            <family val="2"/>
          </rPr>
          <t>ENERGY STAR 6.1</t>
        </r>
      </text>
    </comment>
    <comment ref="D58" authorId="0" shapeId="0" xr:uid="{FFB38642-2ED8-492E-B597-36EA991FDC69}">
      <text>
        <r>
          <rPr>
            <sz val="9"/>
            <color indexed="81"/>
            <rFont val="Tahoma"/>
            <family val="2"/>
          </rPr>
          <t>ENERGY STAR 6.1</t>
        </r>
      </text>
    </comment>
    <comment ref="D59" authorId="0" shapeId="0" xr:uid="{6C3A0193-5D87-492F-B895-0C0175A60D29}">
      <text>
        <r>
          <rPr>
            <sz val="9"/>
            <color indexed="81"/>
            <rFont val="Tahoma"/>
            <family val="2"/>
          </rPr>
          <t>ENERGY STAR 6.1</t>
        </r>
      </text>
    </comment>
    <comment ref="D65" authorId="0" shapeId="0" xr:uid="{DA08F9ED-2F60-4101-9360-55BA23EA9A80}">
      <text>
        <r>
          <rPr>
            <sz val="9"/>
            <color indexed="81"/>
            <rFont val="Tahoma"/>
            <family val="2"/>
          </rPr>
          <t>ENERGY STAR 6.1</t>
        </r>
      </text>
    </comment>
    <comment ref="D66" authorId="0" shapeId="0" xr:uid="{9B8D6ED2-E520-41B1-A878-A773F290D2C2}">
      <text>
        <r>
          <rPr>
            <sz val="9"/>
            <color indexed="81"/>
            <rFont val="Tahoma"/>
            <family val="2"/>
          </rPr>
          <t>ENERGY STAR 6.1</t>
        </r>
      </text>
    </comment>
    <comment ref="D95" authorId="0" shapeId="0" xr:uid="{2BD30CB3-98FD-4881-BBE7-B78FCAC6E725}">
      <text>
        <r>
          <rPr>
            <sz val="9"/>
            <color indexed="81"/>
            <rFont val="Tahoma"/>
            <family val="2"/>
          </rPr>
          <t>ENERGY STAR 6.1 +10%</t>
        </r>
      </text>
    </comment>
    <comment ref="D96" authorId="0" shapeId="0" xr:uid="{73A8F464-642D-4419-BD3D-7C0BB96C3A7C}">
      <text>
        <r>
          <rPr>
            <sz val="9"/>
            <color indexed="81"/>
            <rFont val="Tahoma"/>
            <family val="2"/>
          </rPr>
          <t>ENERGY STAR 6.1 +10%</t>
        </r>
      </text>
    </comment>
    <comment ref="D97" authorId="0" shapeId="0" xr:uid="{D0D98C3D-4D06-4D91-AAA7-186A48DC9271}">
      <text>
        <r>
          <rPr>
            <sz val="9"/>
            <color indexed="81"/>
            <rFont val="Tahoma"/>
            <family val="2"/>
          </rPr>
          <t>ENERGY STAR 6.1 +10%</t>
        </r>
      </text>
    </comment>
    <comment ref="D103" authorId="0" shapeId="0" xr:uid="{BC2574DC-BAD7-47D6-9A3D-96811DEED285}">
      <text>
        <r>
          <rPr>
            <sz val="9"/>
            <color indexed="81"/>
            <rFont val="Tahoma"/>
            <family val="2"/>
          </rPr>
          <t>ENERGY STAR 6.1 +10%</t>
        </r>
      </text>
    </comment>
    <comment ref="D104" authorId="0" shapeId="0" xr:uid="{D1B46F87-92DA-48D3-B66A-1EE0D796457A}">
      <text>
        <r>
          <rPr>
            <sz val="9"/>
            <color indexed="81"/>
            <rFont val="Tahoma"/>
            <family val="2"/>
          </rPr>
          <t>ENERGY STAR 6.1 +10%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Parmenter, Kelly</author>
    <author>AEG</author>
  </authors>
  <commentList>
    <comment ref="G6" authorId="0" shapeId="0" xr:uid="{7C847C1D-E6D0-4F2C-9D08-79068D424275}">
      <text>
        <r>
          <rPr>
            <sz val="9"/>
            <color indexed="81"/>
            <rFont val="Tahoma"/>
            <family val="2"/>
          </rPr>
          <t>Reinstate/reevaluate requirement in PY25.</t>
        </r>
      </text>
    </comment>
    <comment ref="G7" authorId="0" shapeId="0" xr:uid="{53C86DA2-721F-411E-A7D6-7BF97CACE50D}">
      <text>
        <r>
          <rPr>
            <sz val="9"/>
            <color indexed="81"/>
            <rFont val="Tahoma"/>
            <family val="2"/>
          </rPr>
          <t>Reinstate/reevaluate requirement in PY25.</t>
        </r>
      </text>
    </comment>
    <comment ref="D10" authorId="1" shapeId="0" xr:uid="{D96CEFA6-202F-4DE3-AAC7-A83895D9A5BC}">
      <text>
        <r>
          <rPr>
            <sz val="9"/>
            <color indexed="81"/>
            <rFont val="Tahoma"/>
            <family val="2"/>
          </rPr>
          <t>Will change according to AC size</t>
        </r>
      </text>
    </comment>
    <comment ref="H11" authorId="1" shapeId="0" xr:uid="{E2E3693B-E1D0-4EFB-B308-98EA5C1446B4}">
      <text>
        <r>
          <rPr>
            <sz val="9"/>
            <color indexed="81"/>
            <rFont val="Tahoma"/>
            <family val="2"/>
          </rPr>
          <t>Will change according to AC size</t>
        </r>
      </text>
    </comment>
    <comment ref="F19" authorId="1" shapeId="0" xr:uid="{5705AABD-3F78-4F1B-BA20-9FDF6BA9F7F2}">
      <text>
        <r>
          <rPr>
            <sz val="9"/>
            <color indexed="81"/>
            <rFont val="Tahoma"/>
            <family val="2"/>
          </rPr>
          <t>There is no federal or state minimum EER2 requirement for Hawaii. AEG's research of the AHRI database (Nov 2022 extracts) showed that each EER2 value in Table 1 represents the most common EER2 value for the given SEER2 minimum requirement. Refer to AEG's Analysis File named "PY23 TRM - Commercial AC and HP - Analysis File" for more information.</t>
        </r>
      </text>
    </comment>
    <comment ref="F24" authorId="0" shapeId="0" xr:uid="{7B992E8C-EEF7-4052-A325-1F9EB0F4E7D3}">
      <text>
        <r>
          <rPr>
            <sz val="9"/>
            <color indexed="81"/>
            <rFont val="Tahoma"/>
            <family val="2"/>
          </rPr>
          <t>There are no longer federal or ASHRAE minimum EER requirements for larger commercial unitary AC and Air-Source HP equipment (≥ 65,000 Btu/h). AEG's research of the AHRI database (Sep 2022 extract) showed that each EER value in Table 1 represents the most common EER value for the given IEER minimum requirement. Refer to AEG's Analysis File named "PY23 TRM - Commercial AC and HP - Analysis File" for more information.</t>
        </r>
      </text>
    </comment>
    <comment ref="C26" authorId="1" shapeId="0" xr:uid="{C6C46732-F07C-4B14-87C8-338180E66FCE}">
      <text>
        <r>
          <rPr>
            <sz val="9"/>
            <color indexed="81"/>
            <rFont val="Tahoma"/>
            <family val="2"/>
          </rPr>
          <t>All units greater than 240 kBtu/h are recommended for custom evaluation</t>
        </r>
      </text>
    </comment>
    <comment ref="R29" authorId="1" shapeId="0" xr:uid="{512FF227-71F4-42E0-84EB-B3F7D2E5BFE7}">
      <text>
        <r>
          <rPr>
            <sz val="9"/>
            <color indexed="81"/>
            <rFont val="Tahoma"/>
            <family val="2"/>
          </rPr>
          <t>All units greater than 240 kBtu/h are recommended for custom evaluation</t>
        </r>
      </text>
    </comment>
    <comment ref="D34" authorId="0" shapeId="0" xr:uid="{5BCED42A-99CC-43C7-99AE-1E859E95F37E}">
      <text>
        <r>
          <rPr>
            <sz val="9"/>
            <color indexed="81"/>
            <rFont val="Tahoma"/>
            <family val="2"/>
          </rPr>
          <t>No ASHRAE requirement for water-source HP SEER; set equal to EER</t>
        </r>
      </text>
    </comment>
    <comment ref="E36" authorId="0" shapeId="0" xr:uid="{F4EB567B-0CFE-45BE-9B68-1878B0BFC9B4}">
      <text>
        <r>
          <rPr>
            <sz val="9"/>
            <color indexed="81"/>
            <rFont val="Tahoma"/>
            <family val="2"/>
          </rPr>
          <t xml:space="preserve">No ASHRAE requirement for water-source HP IEER; set equal to EER
</t>
        </r>
      </text>
    </comment>
    <comment ref="D37" authorId="0" shapeId="0" xr:uid="{BE441C47-701C-4AB3-8EC9-3DE9E9D8C982}">
      <text>
        <r>
          <rPr>
            <sz val="9"/>
            <color indexed="81"/>
            <rFont val="Tahoma"/>
            <family val="2"/>
          </rPr>
          <t>No ASHRAE requirement for PTAC/PTHP SEER; set equal to EER</t>
        </r>
      </text>
    </comment>
    <comment ref="F38" authorId="0" shapeId="0" xr:uid="{AD6EA3A9-575D-4A3C-BC7C-BCE6A9BACE9A}">
      <text>
        <r>
          <rPr>
            <sz val="9"/>
            <color indexed="81"/>
            <rFont val="Tahoma"/>
            <family val="2"/>
          </rPr>
          <t>PTAC EER varies with capacity</t>
        </r>
      </text>
    </comment>
    <comment ref="F41" authorId="0" shapeId="0" xr:uid="{D64D4250-0438-4E27-9174-889F89960E39}">
      <text>
        <r>
          <rPr>
            <sz val="9"/>
            <color indexed="81"/>
            <rFont val="Tahoma"/>
            <family val="2"/>
          </rPr>
          <t>PTAC EER varies with capacity</t>
        </r>
      </text>
    </comment>
    <comment ref="F44" authorId="0" shapeId="0" xr:uid="{E79DFADA-2F82-4C13-B1DC-A53859701AC7}">
      <text>
        <r>
          <rPr>
            <sz val="9"/>
            <color indexed="81"/>
            <rFont val="Tahoma"/>
            <family val="2"/>
          </rPr>
          <t>PTHP EER varies with capacity</t>
        </r>
        <r>
          <rPr>
            <sz val="9"/>
            <color indexed="81"/>
            <rFont val="Tahoma"/>
            <family val="2"/>
          </rPr>
          <t xml:space="preserve">
</t>
        </r>
      </text>
    </comment>
    <comment ref="F47" authorId="0" shapeId="0" xr:uid="{27DE3307-56F8-4FEA-93CC-FF1068339206}">
      <text>
        <r>
          <rPr>
            <sz val="9"/>
            <color indexed="81"/>
            <rFont val="Tahoma"/>
            <family val="2"/>
          </rPr>
          <t>PTHP EER varies with capacity</t>
        </r>
      </text>
    </comment>
    <comment ref="D49" authorId="0" shapeId="0" xr:uid="{0C768A04-DB4D-4761-9892-C5D787929D6E}">
      <text>
        <r>
          <rPr>
            <sz val="9"/>
            <color indexed="81"/>
            <rFont val="Tahoma"/>
            <family val="2"/>
          </rPr>
          <t>No ASHRAE requirement for vertical AC/HP SEER; set equal to EER</t>
        </r>
      </text>
    </comment>
    <comment ref="E50" authorId="0" shapeId="0" xr:uid="{FE0F66CF-51D9-4E7F-97D0-D75CE59AE151}">
      <text>
        <r>
          <rPr>
            <sz val="9"/>
            <color indexed="81"/>
            <rFont val="Tahoma"/>
            <family val="2"/>
          </rPr>
          <t>No ASHRAE requirement for vertical AC/HP IEER; set equal to EER</t>
        </r>
      </text>
    </comment>
    <comment ref="D56" authorId="0" shapeId="0" xr:uid="{8AC15CB2-48BF-4C81-8846-3DD75EC51FB3}">
      <text>
        <r>
          <rPr>
            <sz val="9"/>
            <color indexed="81"/>
            <rFont val="Tahoma"/>
            <family val="2"/>
          </rPr>
          <t>ENERGY STAR 6.1</t>
        </r>
      </text>
    </comment>
    <comment ref="D57" authorId="0" shapeId="0" xr:uid="{B417FA8C-2DAF-4F4E-98C5-A919C3786A33}">
      <text>
        <r>
          <rPr>
            <sz val="9"/>
            <color indexed="81"/>
            <rFont val="Tahoma"/>
            <family val="2"/>
          </rPr>
          <t>ENERGY STAR 6.1</t>
        </r>
      </text>
    </comment>
    <comment ref="D58" authorId="0" shapeId="0" xr:uid="{63972646-1F4C-4DF1-93FB-82F651CA0EC0}">
      <text>
        <r>
          <rPr>
            <sz val="9"/>
            <color indexed="81"/>
            <rFont val="Tahoma"/>
            <family val="2"/>
          </rPr>
          <t>ENERGY STAR 6.1</t>
        </r>
      </text>
    </comment>
    <comment ref="D64" authorId="0" shapeId="0" xr:uid="{7F058D4E-8E49-4169-8AC3-9EFC5078457D}">
      <text>
        <r>
          <rPr>
            <sz val="9"/>
            <color indexed="81"/>
            <rFont val="Tahoma"/>
            <family val="2"/>
          </rPr>
          <t>ENERGY STAR 6.1</t>
        </r>
      </text>
    </comment>
    <comment ref="D65" authorId="0" shapeId="0" xr:uid="{13FE65CE-BF5D-4016-9589-4AA45F025B86}">
      <text>
        <r>
          <rPr>
            <sz val="9"/>
            <color indexed="81"/>
            <rFont val="Tahoma"/>
            <family val="2"/>
          </rPr>
          <t>ENERGY STAR 6.1</t>
        </r>
      </text>
    </comment>
    <comment ref="D71" authorId="0" shapeId="0" xr:uid="{3402E462-E751-4AB8-BD81-5AA86DE3E03F}">
      <text>
        <r>
          <rPr>
            <sz val="9"/>
            <color indexed="81"/>
            <rFont val="Tahoma"/>
            <family val="2"/>
          </rPr>
          <t>No ASHRAE requirement for VRF water-source HP SEER; set equal to IEER</t>
        </r>
      </text>
    </comment>
    <comment ref="D72" authorId="0" shapeId="0" xr:uid="{A6F393AF-0EBE-43BD-82C4-EECCA50F396A}">
      <text>
        <r>
          <rPr>
            <sz val="9"/>
            <color indexed="81"/>
            <rFont val="Tahoma"/>
            <family val="2"/>
          </rPr>
          <t>No ASHRAE requirement for VRF water-source HP SEER; set equal to IEER</t>
        </r>
      </text>
    </comment>
    <comment ref="D93" authorId="0" shapeId="0" xr:uid="{114C5C0D-928A-4DD9-B5BF-BBA862F93400}">
      <text>
        <r>
          <rPr>
            <sz val="9"/>
            <color indexed="81"/>
            <rFont val="Tahoma"/>
            <family val="2"/>
          </rPr>
          <t>ENERGY STAR 6.1 +10%</t>
        </r>
      </text>
    </comment>
    <comment ref="D94" authorId="0" shapeId="0" xr:uid="{668414DF-C262-48B3-9A1D-2E7691559BAE}">
      <text>
        <r>
          <rPr>
            <sz val="9"/>
            <color indexed="81"/>
            <rFont val="Tahoma"/>
            <family val="2"/>
          </rPr>
          <t>ENERGY STAR 6.1 +10%</t>
        </r>
      </text>
    </comment>
    <comment ref="D95" authorId="0" shapeId="0" xr:uid="{4FEB01EE-094E-42F7-B823-D0F028771A5F}">
      <text>
        <r>
          <rPr>
            <sz val="9"/>
            <color indexed="81"/>
            <rFont val="Tahoma"/>
            <family val="2"/>
          </rPr>
          <t>ENERGY STAR 6.1 +10%</t>
        </r>
      </text>
    </comment>
    <comment ref="D101" authorId="0" shapeId="0" xr:uid="{3D81AF54-3C14-45A5-8AA2-19FFE5768055}">
      <text>
        <r>
          <rPr>
            <sz val="9"/>
            <color indexed="81"/>
            <rFont val="Tahoma"/>
            <family val="2"/>
          </rPr>
          <t>ENERGY STAR 6.1 +10%</t>
        </r>
      </text>
    </comment>
    <comment ref="D102" authorId="0" shapeId="0" xr:uid="{E2355C4B-C8BC-47DD-A355-984060D9DECC}">
      <text>
        <r>
          <rPr>
            <sz val="9"/>
            <color indexed="81"/>
            <rFont val="Tahoma"/>
            <family val="2"/>
          </rPr>
          <t>ENERGY STAR 6.1 +10%</t>
        </r>
      </text>
    </comment>
    <comment ref="D108" authorId="0" shapeId="0" xr:uid="{110D81BA-DCCB-4090-ABDA-8384154BA13E}">
      <text>
        <r>
          <rPr>
            <sz val="9"/>
            <color indexed="81"/>
            <rFont val="Tahoma"/>
            <family val="2"/>
          </rPr>
          <t>No ASHRAE requirement for VRF water-source HP SEER; set equal to IEER</t>
        </r>
      </text>
    </comment>
    <comment ref="D109" authorId="0" shapeId="0" xr:uid="{0AECF27A-1A1B-41D6-A629-0C6548EB3F66}">
      <text>
        <r>
          <rPr>
            <sz val="9"/>
            <color indexed="81"/>
            <rFont val="Tahoma"/>
            <family val="2"/>
          </rPr>
          <t>No ASHRAE requirement for VRF water-source HP SEER; set equal to IEER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Ngo, Vinh-Phong N.</author>
  </authors>
  <commentList>
    <comment ref="D45" authorId="0" shapeId="0" xr:uid="{D5809EE7-B814-4C1D-87B5-33DD5A424522}">
      <text>
        <r>
          <rPr>
            <b/>
            <sz val="9"/>
            <color indexed="81"/>
            <rFont val="Tahoma"/>
            <family val="2"/>
          </rPr>
          <t>Source:</t>
        </r>
        <r>
          <rPr>
            <sz val="9"/>
            <color indexed="81"/>
            <rFont val="Tahoma"/>
            <family val="2"/>
          </rPr>
          <t xml:space="preserve"> Validated data from Powersmiths International Corp. database of field measurements as of May 18, 2017.
Non-bold capacities are interpolated.</t>
        </r>
      </text>
    </comment>
    <comment ref="G45" authorId="0" shapeId="0" xr:uid="{A2AF8C2C-4A7B-44B9-B6AA-6029FC98894C}">
      <text>
        <r>
          <rPr>
            <b/>
            <sz val="9"/>
            <color indexed="81"/>
            <rFont val="Tahoma"/>
            <family val="2"/>
          </rPr>
          <t>Source:</t>
        </r>
        <r>
          <rPr>
            <sz val="9"/>
            <color indexed="81"/>
            <rFont val="Tahoma"/>
            <family val="2"/>
          </rPr>
          <t xml:space="preserve"> Energy Efficiency &amp; Renewable Energy Office (EERE): Technical Support Document: Energy Efficiency Program
for Consumer Products &amp; Commercial &amp; Industrial Equipment, Distribution Transformers, 2013.
No-load losses calculated using formula presented in Chapter 5.2.2: Scaling Relationships in Transformer Manufacturing.</t>
        </r>
      </text>
    </comment>
    <comment ref="J45" authorId="0" shapeId="0" xr:uid="{1513EBE4-2BF9-4B99-A8F3-602830A12B29}">
      <text>
        <r>
          <rPr>
            <b/>
            <sz val="9"/>
            <color indexed="81"/>
            <rFont val="Tahoma"/>
            <family val="2"/>
          </rPr>
          <t>Source:</t>
        </r>
        <r>
          <rPr>
            <sz val="9"/>
            <color indexed="81"/>
            <rFont val="Tahoma"/>
            <family val="2"/>
          </rPr>
          <t xml:space="preserve"> Hawai`i Energy Technical Reference Manual (TRM).</t>
        </r>
      </text>
    </comment>
    <comment ref="H56" authorId="0" shapeId="0" xr:uid="{E689B66A-DB47-49D5-AEC2-269BE6477E10}">
      <text>
        <r>
          <rPr>
            <b/>
            <sz val="9"/>
            <color indexed="81"/>
            <rFont val="Tahoma"/>
            <family val="2"/>
          </rPr>
          <t>Source:</t>
        </r>
        <r>
          <rPr>
            <sz val="9"/>
            <color indexed="81"/>
            <rFont val="Tahoma"/>
            <family val="2"/>
          </rPr>
          <t xml:space="preserve"> Energy Efficiency &amp; Renewable Energy Office (EERE): Final Rule LCC Spreadsheet: Design Line #7: 75kVA, Dry Type, 3-Phase, 10kV BIL.
Average of transformers filtered for 98.60% (DOE2016) efficiency.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Parmenter, Kelly</author>
  </authors>
  <commentList>
    <comment ref="C20" authorId="0" shapeId="0" xr:uid="{C70C365A-D446-453D-8313-4A7BDF5067B8}">
      <text>
        <r>
          <rPr>
            <sz val="9"/>
            <color indexed="81"/>
            <rFont val="Tahoma"/>
            <family val="2"/>
          </rPr>
          <t>14.3 SEER2*1.049</t>
        </r>
      </text>
    </comment>
    <comment ref="D20" authorId="0" shapeId="0" xr:uid="{14B9361A-B07B-4749-B578-DD52CDF1B635}">
      <text>
        <r>
          <rPr>
            <sz val="9"/>
            <color indexed="81"/>
            <rFont val="Tahoma"/>
            <family val="2"/>
          </rPr>
          <t>11.7 EER2*1.043</t>
        </r>
      </text>
    </comment>
    <comment ref="C21" authorId="0" shapeId="0" xr:uid="{23B22F10-709D-47C6-81B6-48335213F7CE}">
      <text>
        <r>
          <rPr>
            <sz val="9"/>
            <color indexed="81"/>
            <rFont val="Tahoma"/>
            <family val="2"/>
          </rPr>
          <t>13.8 SEER2*1.034</t>
        </r>
      </text>
    </comment>
    <comment ref="D21" authorId="0" shapeId="0" xr:uid="{548814B0-A1B9-43BD-804D-D002E1E1C97A}">
      <text>
        <r>
          <rPr>
            <sz val="9"/>
            <color indexed="81"/>
            <rFont val="Tahoma"/>
            <family val="2"/>
          </rPr>
          <t>11.2 EER2*1.034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Aurilio, Kate C.</author>
  </authors>
  <commentList>
    <comment ref="D66" authorId="0" shapeId="0" xr:uid="{00000000-0006-0000-6A00-000001000000}">
      <text>
        <r>
          <rPr>
            <b/>
            <sz val="9"/>
            <color indexed="81"/>
            <rFont val="Tahoma"/>
            <family val="2"/>
          </rPr>
          <t>Aurilio, Kate C.:</t>
        </r>
        <r>
          <rPr>
            <sz val="9"/>
            <color indexed="81"/>
            <rFont val="Tahoma"/>
            <family val="2"/>
          </rPr>
          <t xml:space="preserve">
not currently part of our program
</t>
        </r>
      </text>
    </comment>
  </commentList>
</comments>
</file>

<file path=xl/sharedStrings.xml><?xml version="1.0" encoding="utf-8"?>
<sst xmlns="http://schemas.openxmlformats.org/spreadsheetml/2006/main" count="22060" uniqueCount="7276">
  <si>
    <t>HAWAII ENERGY NOMENCLATURE</t>
  </si>
  <si>
    <t>Equipment Group</t>
  </si>
  <si>
    <t>Equipment Type</t>
  </si>
  <si>
    <t>Equipment Subtype</t>
  </si>
  <si>
    <t>Equipment Size</t>
  </si>
  <si>
    <t>VERSION HISTORY</t>
  </si>
  <si>
    <t>Draft Date</t>
  </si>
  <si>
    <t>Revision Date</t>
  </si>
  <si>
    <t>Review Date</t>
  </si>
  <si>
    <t>MEASURE DETAILS</t>
  </si>
  <si>
    <t>Description</t>
  </si>
  <si>
    <t>Program Criteria</t>
  </si>
  <si>
    <t>Unit of Measure</t>
  </si>
  <si>
    <t>Baseline Equipment</t>
  </si>
  <si>
    <t>ALGORITHMS</t>
  </si>
  <si>
    <t>DEFINITIONS &amp; ASSUMPTIONS</t>
  </si>
  <si>
    <t>Variable</t>
  </si>
  <si>
    <t>Value</t>
  </si>
  <si>
    <t>Unit</t>
  </si>
  <si>
    <t>Notes</t>
  </si>
  <si>
    <t>High Efficiency Equipment</t>
  </si>
  <si>
    <t>SAVINGS</t>
  </si>
  <si>
    <t>Measure Name</t>
  </si>
  <si>
    <t>Peak Demand Savings</t>
  </si>
  <si>
    <t>Annual Energy Savings</t>
  </si>
  <si>
    <t>None</t>
  </si>
  <si>
    <t>kW</t>
  </si>
  <si>
    <t>η</t>
  </si>
  <si>
    <t>-</t>
  </si>
  <si>
    <t>CF</t>
  </si>
  <si>
    <t>%</t>
  </si>
  <si>
    <t>Table</t>
  </si>
  <si>
    <t>HRS</t>
  </si>
  <si>
    <t>hours</t>
  </si>
  <si>
    <t>Measure Life</t>
  </si>
  <si>
    <t>Expected duration of energy savings</t>
  </si>
  <si>
    <t>years</t>
  </si>
  <si>
    <t>Appliances</t>
  </si>
  <si>
    <t>Refrigerator</t>
  </si>
  <si>
    <t>One refrigerator</t>
  </si>
  <si>
    <t>ΔE</t>
  </si>
  <si>
    <t>ΔP</t>
  </si>
  <si>
    <t>PF</t>
  </si>
  <si>
    <t>Calculated</t>
  </si>
  <si>
    <t>kWh</t>
  </si>
  <si>
    <t>hrs</t>
  </si>
  <si>
    <t>yrs</t>
  </si>
  <si>
    <t>Coincidence factor, percent of time equipment load corresponds with utility peak load</t>
  </si>
  <si>
    <t>Reference</t>
  </si>
  <si>
    <t>kWh/yr</t>
  </si>
  <si>
    <t xml:space="preserve">This section covers installation of “cool roof” roofing materials in commercial buildings with mechanical cooling. The cool roof is assumed to have a solar absorptance of 0.3(1) compared to a standard roof with solar absorptance of 0.8(2). Energy and demand saving are realized through reductions in the building cooling loads. The approach utilizes DOE-2.2 simulations on a series of commercial prototypical building models. Energy and demand impacts are normalized per thousand square feet of roof space.  </t>
  </si>
  <si>
    <t>Roof with a solar absorptance of 0.30</t>
  </si>
  <si>
    <t>Roof with a solar absorptance of 0.80</t>
  </si>
  <si>
    <t>Cool Roof</t>
  </si>
  <si>
    <t>Building Type</t>
  </si>
  <si>
    <t>Office</t>
  </si>
  <si>
    <t>Other</t>
  </si>
  <si>
    <t>Average</t>
  </si>
  <si>
    <t>Electric griddle that does not meet ENERGY STAR efficiency requirements.</t>
  </si>
  <si>
    <t>Performance Parameters</t>
  </si>
  <si>
    <t>Requirements</t>
  </si>
  <si>
    <t>Heavy-Load Cooking Energy Efficiency</t>
  </si>
  <si>
    <t>Idle Energy Rate</t>
  </si>
  <si>
    <t>&gt;= 70%</t>
  </si>
  <si>
    <t>E_idle</t>
  </si>
  <si>
    <t>HRS_daily</t>
  </si>
  <si>
    <t>Time to preheat</t>
  </si>
  <si>
    <t>min</t>
  </si>
  <si>
    <t>Daily operating hours</t>
  </si>
  <si>
    <t>E_food</t>
  </si>
  <si>
    <t>ASTM defined energy to food</t>
  </si>
  <si>
    <t>kWh/lb</t>
  </si>
  <si>
    <t>DAYS</t>
  </si>
  <si>
    <t>Days of operation per year</t>
  </si>
  <si>
    <t>days</t>
  </si>
  <si>
    <t>η_cook</t>
  </si>
  <si>
    <t>Cooking energy efficiency</t>
  </si>
  <si>
    <t>Idle energy rate</t>
  </si>
  <si>
    <t>CAP</t>
  </si>
  <si>
    <t>Production capacity</t>
  </si>
  <si>
    <t>lbs/hr</t>
  </si>
  <si>
    <t>Preheating energy</t>
  </si>
  <si>
    <t>kWh/day</t>
  </si>
  <si>
    <t>Daily preheating energy</t>
  </si>
  <si>
    <t>LBS_food</t>
  </si>
  <si>
    <t>Food cooked per day</t>
  </si>
  <si>
    <t>lbs/day</t>
  </si>
  <si>
    <t>FSTC</t>
  </si>
  <si>
    <t>FSTC, ENERGY STAR</t>
  </si>
  <si>
    <t>Parameters</t>
  </si>
  <si>
    <t>Preheat Energy (E_preheat)</t>
  </si>
  <si>
    <t>Idle Energy Rate (E_idle)</t>
  </si>
  <si>
    <r>
      <t>Cooking Energy Efficiency (</t>
    </r>
    <r>
      <rPr>
        <sz val="11"/>
        <color theme="1"/>
        <rFont val="Calibri"/>
        <family val="2"/>
      </rPr>
      <t>η_cook)</t>
    </r>
  </si>
  <si>
    <t>Production Capacity (CAP)</t>
  </si>
  <si>
    <t>Lbs of cooked per day, per ft (LBS_food)</t>
  </si>
  <si>
    <t>Baseline Electric Griddle</t>
  </si>
  <si>
    <t>Efficient Electric Griddle</t>
  </si>
  <si>
    <t>Base (kWh/year) per linear foot</t>
  </si>
  <si>
    <t>Cook</t>
  </si>
  <si>
    <t>Idle</t>
  </si>
  <si>
    <t>Preheat</t>
  </si>
  <si>
    <t>Power Demand</t>
  </si>
  <si>
    <t>Efficient (kWh/year) per linear foot</t>
  </si>
  <si>
    <t>Electric Griddle</t>
  </si>
  <si>
    <t>Coincidence factor</t>
  </si>
  <si>
    <t>Persistance factor</t>
  </si>
  <si>
    <t>General assumptions used for deriving deemed electric savings are values taken from the Food Service Technology Center (FSTC) work papers.  These deemed values assume that the griddles are 3 x 2 feet in size.  Parameters in the table are per linear foot, with an assumed depth of 2 feet.</t>
  </si>
  <si>
    <t>This measure applies to ENERGY STAR or equivalent electric commercial griddles in retrofit and new construction applications. This appliance is designed for cooking food in oil or its own juices by direct contact with either a flat, smooth, hot surface or a hot channeled cooking surface where plate temperature is thermostatically controlled.</t>
  </si>
  <si>
    <t>Energy-efficient commercial electric griddles reduce energy consumption primarily through the application of advanced controls and improved temperature uniformity.</t>
  </si>
  <si>
    <t>Per linear foot of cooking surface with assumed depth of 2 feet.</t>
  </si>
  <si>
    <t>The installation of a qualified ENERGY STAR commercial steam cooker.  ENERGY STAR steam cookers save energy during cooling and idle times due to improved cooking efficiency and idle energy rates.</t>
  </si>
  <si>
    <t>Meet ENERGY STAR efficiency requirements.</t>
  </si>
  <si>
    <t>The Baseline Efficiency case is a conventional electric steam cooker with a cooking energy efficiency of 30%, pan production of 23.3 pounds per hour, and an idle energy rate of 1.2 kW.</t>
  </si>
  <si>
    <t>The High Efficiency case is an ENERGY STAR electric steam cooker with a cooking energy efficiency of 50%, pan production capacity of 16.7 pounds per hour, and an idle energy rate of 0.4 kW.</t>
  </si>
  <si>
    <t>Annual hours of operation</t>
  </si>
  <si>
    <t>Per pan</t>
  </si>
  <si>
    <t>This measure applies to ENERGY STAR or its equivalent electric commercial open-deep fat fryers in retrofit and new construction applications. Commercial fryers consist of a reservoir of cooking oil that allows food to be fully submerged without touching the bottom of the vessel.  Electric fryers use a heating element immersed in the cooking oil. High efficiency standard and large vat fryers offer shorter cook times and higher production rates through the use of heat exchanger design. Standby losses are reduced in more efficient models through the use of fry pot insulation.</t>
  </si>
  <si>
    <t>Standard</t>
  </si>
  <si>
    <t>Standard Fryer</t>
  </si>
  <si>
    <t>Large Vat Fryer</t>
  </si>
  <si>
    <t>&gt;= 80%</t>
  </si>
  <si>
    <t>&lt;= 1.0 kW</t>
  </si>
  <si>
    <t>&lt;= 1.1 kW</t>
  </si>
  <si>
    <t>Meet ENERGY STAR energy efficiency requirements. ENERGY STAR requirements apply to a standard fryer and a large vat fryer. A standard fryer measures 14 to 18 inches wide with a vat capacity from 25 to 60 pounds. A large vat fryer measures 18 inches to 24 inches wide with a vat capacity greater than 50 pounds.</t>
  </si>
  <si>
    <t>See table below.</t>
  </si>
  <si>
    <t>Annual days of operation</t>
  </si>
  <si>
    <t>Lbs of food cooked per day, per ft (LBS_food)</t>
  </si>
  <si>
    <t>Production Capacity per ft (CAP)</t>
  </si>
  <si>
    <t>Large Vat</t>
  </si>
  <si>
    <t>Baseline</t>
  </si>
  <si>
    <t>Efficient Electric Fryer</t>
  </si>
  <si>
    <t>Baseline Electric Fryer</t>
  </si>
  <si>
    <t>General assumptions used for deriving deemed electric savings are values taken from the Food Service Technology Center (FSTC) work papers.</t>
  </si>
  <si>
    <t>Total Base Energy</t>
  </si>
  <si>
    <t>Baseline Fryer</t>
  </si>
  <si>
    <t>Efficient Fryer</t>
  </si>
  <si>
    <t>Standard Electric Fryer</t>
  </si>
  <si>
    <t>Large Vat Electric Fryer</t>
  </si>
  <si>
    <t>Commercial insulated hot food holding cabinet models that meet program requirements incorporate better insulation, reducing heat loss, and may also offer additional energy saving devices such as magnetic door electric gaskets, auto-door closures, or dutch doors. The insulation of the cabinet also offers better temperature uniformity within the cabinet from top to bottom. This means that qualified hot food holding cabinets are more efficient at maintaining food temperature while using less energy.</t>
  </si>
  <si>
    <t>• Full-size holding cabinets are defined as any holding cabinet with an internal measured volume of greater than or equal to 15 cubic feet (≥15 ft.3). This measure does not include cook-and-hold equipment. All measures must be electric hot food holding cabinets that are fully insulated and have doors. Qualifying cabinets must not exceed the maximum idle energy rate of 20 Watts per cubic foot in accordance with the ASTM Standard test method. 
• Half-size holding cabinets are defined as any holding cabinet with an internal measured volume of less than 15 cubic feet (&lt;15 ft.3). This measure does not include cook-and-hold or retherm equipment. All measures must be electric hot food holding cabinets that are fully insulated and have doors. Qualifying cabinets must not exceed the maximum idle energy rate of 20 Watts per cubic foot in accordance with the ASTM Standard test method.</t>
  </si>
  <si>
    <t>The baseline equipment is assumed to be a standard hot food holding cabinet with an idle energy rate of 40 watts per cubic foot.</t>
  </si>
  <si>
    <t>The efficient equipment is assumed to be an ENERGY STAR qualified hot food holding cabinet with an idle energy rate of 20 watts per cubic foot.</t>
  </si>
  <si>
    <t>Daily hours of operation</t>
  </si>
  <si>
    <t>Energy usage calculations are based on 15 hours a day, 365 days per year operation at a typical temperature setting of 150°F. The different sizes for the holding cabinets (half size and full size) have proportional operating energy rates. Operating energy rate for the full size holding cabinets was obtained in accordance with the ASTM Standard.
The energy savings calculations listed in the following tables use Title 20 (California) as the baseline for potential energy savings requiring all hot food holding cabinets sold in California to meet a normalized idle energy rate of 40 Watts/ft³.</t>
  </si>
  <si>
    <t>Performance</t>
  </si>
  <si>
    <t>High Efficiency</t>
  </si>
  <si>
    <t>Annual Energy Use</t>
  </si>
  <si>
    <t>Power Demand Reduction</t>
  </si>
  <si>
    <t>Annual Energy Reduction</t>
  </si>
  <si>
    <t>The demand reduction estimation is based on measured data for standard efficiency insulated holding cabinets and for high-efficiency insulated holding cabinets. The measured data are derived from tests conducted under ASTM Standard Test Method for the Performance of Hot Food Holding Cabinets.</t>
  </si>
  <si>
    <t>Cabinet Size</t>
  </si>
  <si>
    <t>Cabinet Volume</t>
  </si>
  <si>
    <t>Normalized Idle Energy Rate</t>
  </si>
  <si>
    <t>Total Idle Energy Rate</t>
  </si>
  <si>
    <t>Full-Size</t>
  </si>
  <si>
    <t>Half-Size</t>
  </si>
  <si>
    <t>Full-Size Cabinet</t>
  </si>
  <si>
    <t>Half-Size Cabinet</t>
  </si>
  <si>
    <t>Per cabinet</t>
  </si>
  <si>
    <t>DC</t>
  </si>
  <si>
    <t>Annual energy reduction</t>
  </si>
  <si>
    <t>Peak power demand reduction</t>
  </si>
  <si>
    <t>Duty cycle of ice machine</t>
  </si>
  <si>
    <t>Annual operating hours</t>
  </si>
  <si>
    <t>User input</t>
  </si>
  <si>
    <t>Example Savings Calculation:</t>
  </si>
  <si>
    <t>°F</t>
  </si>
  <si>
    <t>Constant</t>
  </si>
  <si>
    <t>Factor to convert BTU to kWh</t>
  </si>
  <si>
    <t>This measure could relate to the replacing of an existing unit at the end of its useful life, or the installation of a new system in a new or existing building.</t>
  </si>
  <si>
    <t>The high efficiency scenario is specific to each project and may include one or more energy efficiency measures.  Energy and demand savings calculations are based on comparing a base case analysis and enhanced cased analysis on equipment efficiencies and operating characteristics and are determined on a case-by-case basis.  The energy efficiency measures must be proven cost-effective, pass total resource benefit, and have a payback greater than or equal to 1.</t>
  </si>
  <si>
    <t>A base case and enhanced case model must be produced with a clear comparison.  All assumptions, data, and formulas used in energy efficiency calculations must be clearly documented. Standard engineering principles must be applied, and all references cited. Energy saving calculations shall also reflect the interactive effects of other simultaneous technologies to prevent the overstatement of actual savings.  Proposed base and enhanced cases must be performed by a qualified person or firm.  In some cases, a professional engineer may be required to provide verification of the analysis.</t>
  </si>
  <si>
    <t>• Program approval is required prior to the start of work on the energy study.
• The program reserves the right to review all materials that result from a program-supported study including, but not limited to, final reports, consultant recommendations, and metered data.
• The study must be performed by a qualified person or firm. A brief summary of the consultant’s qualifications should be submitted with the application. In some cases, a professional engineer may be required to provide verification of the analysis.
• At any time, customers may contact program staff to discuss a project, get assistance in preparing an application, or with any program-related questions.</t>
  </si>
  <si>
    <t>Gross energy and demand savings estimates for design assistance are calculated using engineering analysis and project-specific details.  Custom analyses typically include a weather dependent load bin analysis, whole building energy model simulation, or other engineering analysis and include estimates of savings, costs, and an evaluation of the project’s cost-effectiveness.</t>
  </si>
  <si>
    <t>Gross energy and demand savings estimates for energy studies are calculated using engineering analysis and project-specific details.  Energy study analyses typically include estimates of savings, costs, and an evaluation of the cost-effectiveness of potential projects/upgrades.</t>
  </si>
  <si>
    <t>All assumptions, data and formulas used in energy efficiency calculations must be clearly documented. Standard engineering principles must be applied, and all references cited. Energy saving calculations shall also reflect the interactive effects of other simultaneous technologies to prevent the overstatement of the actual savings.</t>
  </si>
  <si>
    <t>The Energy Study shall include the following information and be presented in the following format:</t>
  </si>
  <si>
    <r>
      <t>1)</t>
    </r>
    <r>
      <rPr>
        <sz val="7"/>
        <color theme="1"/>
        <rFont val="Times New Roman"/>
        <family val="1"/>
      </rPr>
      <t xml:space="preserve">      </t>
    </r>
    <r>
      <rPr>
        <sz val="11"/>
        <color theme="1"/>
        <rFont val="Calibri"/>
        <family val="2"/>
        <scheme val="minor"/>
      </rPr>
      <t>Executive Summary</t>
    </r>
  </si>
  <si>
    <r>
      <t>a)</t>
    </r>
    <r>
      <rPr>
        <sz val="7"/>
        <color theme="1"/>
        <rFont val="Times New Roman"/>
        <family val="1"/>
      </rPr>
      <t xml:space="preserve">      </t>
    </r>
    <r>
      <rPr>
        <sz val="11"/>
        <color theme="1"/>
        <rFont val="Calibri"/>
        <family val="2"/>
        <scheme val="minor"/>
      </rPr>
      <t>Energy Conservation Measures (ECMs) Proposed</t>
    </r>
  </si>
  <si>
    <r>
      <t>b)</t>
    </r>
    <r>
      <rPr>
        <sz val="7"/>
        <color theme="1"/>
        <rFont val="Times New Roman"/>
        <family val="1"/>
      </rPr>
      <t xml:space="preserve">      </t>
    </r>
    <r>
      <rPr>
        <sz val="11"/>
        <color theme="1"/>
        <rFont val="Calibri"/>
        <family val="2"/>
        <scheme val="minor"/>
      </rPr>
      <t xml:space="preserve">Summary of Baseline and Enhanced Case Assumptions </t>
    </r>
  </si>
  <si>
    <r>
      <t>c)</t>
    </r>
    <r>
      <rPr>
        <sz val="7"/>
        <color theme="1"/>
        <rFont val="Times New Roman"/>
        <family val="1"/>
      </rPr>
      <t xml:space="preserve">      </t>
    </r>
    <r>
      <rPr>
        <sz val="11"/>
        <color theme="1"/>
        <rFont val="Calibri"/>
        <family val="2"/>
        <scheme val="minor"/>
      </rPr>
      <t xml:space="preserve">Actionable Recommendations in “loading order.” </t>
    </r>
  </si>
  <si>
    <r>
      <t>2)</t>
    </r>
    <r>
      <rPr>
        <sz val="7"/>
        <color theme="1"/>
        <rFont val="Times New Roman"/>
        <family val="1"/>
      </rPr>
      <t xml:space="preserve">      </t>
    </r>
    <r>
      <rPr>
        <sz val="11"/>
        <color theme="1"/>
        <rFont val="Calibri"/>
        <family val="2"/>
        <scheme val="minor"/>
      </rPr>
      <t xml:space="preserve">Technical Information and Analysis </t>
    </r>
  </si>
  <si>
    <r>
      <t>a)</t>
    </r>
    <r>
      <rPr>
        <sz val="7"/>
        <color theme="1"/>
        <rFont val="Times New Roman"/>
        <family val="1"/>
      </rPr>
      <t xml:space="preserve">   </t>
    </r>
    <r>
      <rPr>
        <sz val="11"/>
        <color theme="1"/>
        <rFont val="Calibri"/>
        <family val="2"/>
        <scheme val="minor"/>
      </rPr>
      <t xml:space="preserve">Energy Consumption Analysis </t>
    </r>
  </si>
  <si>
    <r>
      <t>i)</t>
    </r>
    <r>
      <rPr>
        <sz val="7"/>
        <color theme="1"/>
        <rFont val="Times New Roman"/>
        <family val="1"/>
      </rPr>
      <t xml:space="preserve">     </t>
    </r>
    <r>
      <rPr>
        <sz val="11"/>
        <color theme="1"/>
        <rFont val="Calibri"/>
        <family val="2"/>
        <scheme val="minor"/>
      </rPr>
      <t>Two years of billing data (weatherized and compared to some pertinent operating metric)</t>
    </r>
  </si>
  <si>
    <r>
      <t>b)</t>
    </r>
    <r>
      <rPr>
        <sz val="7"/>
        <color theme="1"/>
        <rFont val="Times New Roman"/>
        <family val="1"/>
      </rPr>
      <t xml:space="preserve">   </t>
    </r>
    <r>
      <rPr>
        <sz val="11"/>
        <color theme="1"/>
        <rFont val="Calibri"/>
        <family val="2"/>
        <scheme val="minor"/>
      </rPr>
      <t xml:space="preserve">Description of the project </t>
    </r>
  </si>
  <si>
    <r>
      <t>c)</t>
    </r>
    <r>
      <rPr>
        <sz val="7"/>
        <color theme="1"/>
        <rFont val="Times New Roman"/>
        <family val="1"/>
      </rPr>
      <t xml:space="preserve">    </t>
    </r>
    <r>
      <rPr>
        <sz val="11"/>
        <color theme="1"/>
        <rFont val="Calibri"/>
        <family val="2"/>
        <scheme val="minor"/>
      </rPr>
      <t>Proposed Energy Conservation Measures (ECM)</t>
    </r>
  </si>
  <si>
    <r>
      <t>i)</t>
    </r>
    <r>
      <rPr>
        <sz val="7"/>
        <color theme="1"/>
        <rFont val="Times New Roman"/>
        <family val="1"/>
      </rPr>
      <t xml:space="preserve">     </t>
    </r>
    <r>
      <rPr>
        <sz val="11"/>
        <color theme="1"/>
        <rFont val="Calibri"/>
        <family val="2"/>
        <scheme val="minor"/>
      </rPr>
      <t>Descriptive Name</t>
    </r>
  </si>
  <si>
    <r>
      <t>ii)</t>
    </r>
    <r>
      <rPr>
        <sz val="7"/>
        <color theme="1"/>
        <rFont val="Times New Roman"/>
        <family val="1"/>
      </rPr>
      <t xml:space="preserve">    </t>
    </r>
    <r>
      <rPr>
        <sz val="11"/>
        <color theme="1"/>
        <rFont val="Calibri"/>
        <family val="2"/>
        <scheme val="minor"/>
      </rPr>
      <t>Schematic System Drawing</t>
    </r>
  </si>
  <si>
    <r>
      <t>iii)</t>
    </r>
    <r>
      <rPr>
        <sz val="7"/>
        <color theme="1"/>
        <rFont val="Times New Roman"/>
        <family val="1"/>
      </rPr>
      <t xml:space="preserve">  </t>
    </r>
    <r>
      <rPr>
        <sz val="11"/>
        <color theme="1"/>
        <rFont val="Calibri"/>
        <family val="2"/>
        <scheme val="minor"/>
      </rPr>
      <t>Current Peak Demand (kW), Energy Usage (kWh), Effective Full Load Run Hours</t>
    </r>
  </si>
  <si>
    <r>
      <t>iv)</t>
    </r>
    <r>
      <rPr>
        <sz val="7"/>
        <color theme="1"/>
        <rFont val="Times New Roman"/>
        <family val="1"/>
      </rPr>
      <t xml:space="preserve">  </t>
    </r>
    <r>
      <rPr>
        <sz val="11"/>
        <color theme="1"/>
        <rFont val="Calibri"/>
        <family val="2"/>
        <scheme val="minor"/>
      </rPr>
      <t>Proposed Peak Demand (kW), Energy Usage (kWh), Effective Full Load Run Hours</t>
    </r>
  </si>
  <si>
    <r>
      <t>v)</t>
    </r>
    <r>
      <rPr>
        <sz val="7"/>
        <color theme="1"/>
        <rFont val="Times New Roman"/>
        <family val="1"/>
      </rPr>
      <t xml:space="preserve">    </t>
    </r>
    <r>
      <rPr>
        <sz val="11"/>
        <color theme="1"/>
        <rFont val="Calibri"/>
        <family val="2"/>
        <scheme val="minor"/>
      </rPr>
      <t>% Change for above</t>
    </r>
  </si>
  <si>
    <r>
      <t>vi)</t>
    </r>
    <r>
      <rPr>
        <sz val="7"/>
        <color theme="1"/>
        <rFont val="Times New Roman"/>
        <family val="1"/>
      </rPr>
      <t xml:space="preserve">  </t>
    </r>
    <r>
      <rPr>
        <sz val="11"/>
        <color theme="1"/>
        <rFont val="Calibri"/>
        <family val="2"/>
        <scheme val="minor"/>
      </rPr>
      <t>Estimated Installation Cost</t>
    </r>
  </si>
  <si>
    <r>
      <t>vii)</t>
    </r>
    <r>
      <rPr>
        <sz val="7"/>
        <color theme="1"/>
        <rFont val="Times New Roman"/>
        <family val="1"/>
      </rPr>
      <t xml:space="preserve"> </t>
    </r>
    <r>
      <rPr>
        <sz val="11"/>
        <color theme="1"/>
        <rFont val="Calibri"/>
        <family val="2"/>
        <scheme val="minor"/>
      </rPr>
      <t>Project timeline</t>
    </r>
  </si>
  <si>
    <r>
      <t>viii)</t>
    </r>
    <r>
      <rPr>
        <sz val="7"/>
        <color theme="1"/>
        <rFont val="Times New Roman"/>
        <family val="1"/>
      </rPr>
      <t xml:space="preserve">  </t>
    </r>
    <r>
      <rPr>
        <sz val="11"/>
        <color theme="1"/>
        <rFont val="Calibri"/>
        <family val="2"/>
        <scheme val="minor"/>
      </rPr>
      <t>Measure Life</t>
    </r>
  </si>
  <si>
    <r>
      <t>ix)</t>
    </r>
    <r>
      <rPr>
        <sz val="7"/>
        <color theme="1"/>
        <rFont val="Times New Roman"/>
        <family val="1"/>
      </rPr>
      <t xml:space="preserve">  </t>
    </r>
    <r>
      <rPr>
        <sz val="11"/>
        <color theme="1"/>
        <rFont val="Calibri"/>
        <family val="2"/>
        <scheme val="minor"/>
      </rPr>
      <t>Simple Payback</t>
    </r>
  </si>
  <si>
    <r>
      <t>d)</t>
    </r>
    <r>
      <rPr>
        <sz val="7"/>
        <color theme="1"/>
        <rFont val="Times New Roman"/>
        <family val="1"/>
      </rPr>
      <t xml:space="preserve">   </t>
    </r>
    <r>
      <rPr>
        <sz val="11"/>
        <color theme="1"/>
        <rFont val="Calibri"/>
        <family val="2"/>
        <scheme val="minor"/>
      </rPr>
      <t>Base case information</t>
    </r>
  </si>
  <si>
    <r>
      <t>i)</t>
    </r>
    <r>
      <rPr>
        <sz val="7"/>
        <color theme="1"/>
        <rFont val="Times New Roman"/>
        <family val="1"/>
      </rPr>
      <t xml:space="preserve">     </t>
    </r>
    <r>
      <rPr>
        <sz val="11"/>
        <color theme="1"/>
        <rFont val="Calibri"/>
        <family val="2"/>
        <scheme val="minor"/>
      </rPr>
      <t xml:space="preserve">Short term/spot baseline thermal, fluid, and electrical measurements for major equipment to be changed with ECMs </t>
    </r>
  </si>
  <si>
    <r>
      <t>ii)</t>
    </r>
    <r>
      <rPr>
        <sz val="7"/>
        <color theme="1"/>
        <rFont val="Times New Roman"/>
        <family val="1"/>
      </rPr>
      <t xml:space="preserve">    </t>
    </r>
    <r>
      <rPr>
        <sz val="11"/>
        <color theme="1"/>
        <rFont val="Calibri"/>
        <family val="2"/>
        <scheme val="minor"/>
      </rPr>
      <t xml:space="preserve">Permanent metering data (This metering will qualify for additional cost assistance) </t>
    </r>
  </si>
  <si>
    <r>
      <t>iii)</t>
    </r>
    <r>
      <rPr>
        <sz val="7"/>
        <color theme="1"/>
        <rFont val="Times New Roman"/>
        <family val="1"/>
      </rPr>
      <t xml:space="preserve">  </t>
    </r>
    <r>
      <rPr>
        <sz val="11"/>
        <color theme="1"/>
        <rFont val="Calibri"/>
        <family val="2"/>
        <scheme val="minor"/>
      </rPr>
      <t>Sizing/Performance Reviews (Pump Curves, Cooling Bin Data etc.)</t>
    </r>
  </si>
  <si>
    <r>
      <t>e)</t>
    </r>
    <r>
      <rPr>
        <sz val="7"/>
        <color theme="1"/>
        <rFont val="Times New Roman"/>
        <family val="1"/>
      </rPr>
      <t xml:space="preserve">   </t>
    </r>
    <r>
      <rPr>
        <sz val="11"/>
        <color theme="1"/>
        <rFont val="Calibri"/>
        <family val="2"/>
        <scheme val="minor"/>
      </rPr>
      <t>Enhanced case information</t>
    </r>
  </si>
  <si>
    <r>
      <t>i)</t>
    </r>
    <r>
      <rPr>
        <sz val="7"/>
        <color theme="1"/>
        <rFont val="Times New Roman"/>
        <family val="1"/>
      </rPr>
      <t xml:space="preserve">     </t>
    </r>
    <r>
      <rPr>
        <sz val="11"/>
        <color theme="1"/>
        <rFont val="Calibri"/>
        <family val="2"/>
        <scheme val="minor"/>
      </rPr>
      <t>How will performance be measured in the future.</t>
    </r>
  </si>
  <si>
    <r>
      <t>ii)</t>
    </r>
    <r>
      <rPr>
        <sz val="7"/>
        <color theme="1"/>
        <rFont val="Times New Roman"/>
        <family val="1"/>
      </rPr>
      <t xml:space="preserve">    </t>
    </r>
    <r>
      <rPr>
        <sz val="11"/>
        <color theme="1"/>
        <rFont val="Calibri"/>
        <family val="2"/>
        <scheme val="minor"/>
      </rPr>
      <t xml:space="preserve">Description of where energy savings occurs (lower run time, more efficient operations etc.)  </t>
    </r>
  </si>
  <si>
    <r>
      <t>f)</t>
    </r>
    <r>
      <rPr>
        <sz val="7"/>
        <color theme="1"/>
        <rFont val="Times New Roman"/>
        <family val="1"/>
      </rPr>
      <t xml:space="preserve">    </t>
    </r>
    <r>
      <rPr>
        <sz val="11"/>
        <color theme="1"/>
        <rFont val="Calibri"/>
        <family val="2"/>
        <scheme val="minor"/>
      </rPr>
      <t xml:space="preserve">Estimated energy and demand savings associated with your proposed project </t>
    </r>
  </si>
  <si>
    <r>
      <t>i)</t>
    </r>
    <r>
      <rPr>
        <sz val="7"/>
        <color theme="1"/>
        <rFont val="Times New Roman"/>
        <family val="1"/>
      </rPr>
      <t xml:space="preserve">     </t>
    </r>
    <r>
      <rPr>
        <sz val="11"/>
        <color theme="1"/>
        <rFont val="Calibri"/>
        <family val="2"/>
        <scheme val="minor"/>
      </rPr>
      <t xml:space="preserve">Applicable figures and tables </t>
    </r>
  </si>
  <si>
    <r>
      <t>ii)</t>
    </r>
    <r>
      <rPr>
        <sz val="7"/>
        <color theme="1"/>
        <rFont val="Times New Roman"/>
        <family val="1"/>
      </rPr>
      <t xml:space="preserve">    </t>
    </r>
    <r>
      <rPr>
        <sz val="11"/>
        <color theme="1"/>
        <rFont val="Calibri"/>
        <family val="2"/>
        <scheme val="minor"/>
      </rPr>
      <t xml:space="preserve">Simple payback period and/or life cycle costs </t>
    </r>
  </si>
  <si>
    <r>
      <t>g)</t>
    </r>
    <r>
      <rPr>
        <sz val="7"/>
        <color theme="1"/>
        <rFont val="Times New Roman"/>
        <family val="1"/>
      </rPr>
      <t xml:space="preserve">   </t>
    </r>
    <r>
      <rPr>
        <sz val="11"/>
        <color theme="1"/>
        <rFont val="Calibri"/>
        <family val="2"/>
        <scheme val="minor"/>
      </rPr>
      <t xml:space="preserve">Estimated costs including design, materials, and installation </t>
    </r>
  </si>
  <si>
    <r>
      <t>3)</t>
    </r>
    <r>
      <rPr>
        <sz val="7"/>
        <color theme="1"/>
        <rFont val="Times New Roman"/>
        <family val="1"/>
      </rPr>
      <t xml:space="preserve">      </t>
    </r>
    <r>
      <rPr>
        <sz val="11"/>
        <color theme="1"/>
        <rFont val="Calibri"/>
        <family val="2"/>
        <scheme val="minor"/>
      </rPr>
      <t xml:space="preserve">Appendix </t>
    </r>
  </si>
  <si>
    <r>
      <t>a)</t>
    </r>
    <r>
      <rPr>
        <sz val="7"/>
        <color theme="1"/>
        <rFont val="Times New Roman"/>
        <family val="1"/>
      </rPr>
      <t xml:space="preserve">   </t>
    </r>
    <r>
      <rPr>
        <sz val="11"/>
        <color theme="1"/>
        <rFont val="Calibri"/>
        <family val="2"/>
        <scheme val="minor"/>
      </rPr>
      <t>Raw and Analyzed Data (Cooling Models, Field Data, Pictures, Metering Data etc.)</t>
    </r>
  </si>
  <si>
    <t>b)  Building Plans (Mechanical, Electrical Schedules, Layouts etc.)</t>
  </si>
  <si>
    <t>HVAC</t>
  </si>
  <si>
    <t>peak kW savings per ton</t>
  </si>
  <si>
    <t>annual kWh savings per ton</t>
  </si>
  <si>
    <t>(S)EER_b</t>
  </si>
  <si>
    <t>(S)EER_ee</t>
  </si>
  <si>
    <t xml:space="preserve">baseline rated efficiency, BTU/hr-W, which depends on cooling capacity of proposed equipment. 
</t>
  </si>
  <si>
    <t>see table 1</t>
  </si>
  <si>
    <t>HOURS</t>
  </si>
  <si>
    <t>equivalent full load cooling hours</t>
  </si>
  <si>
    <t>ton</t>
  </si>
  <si>
    <t>expected duration of energy savings</t>
  </si>
  <si>
    <t>Misc. Commercial</t>
  </si>
  <si>
    <t>Cold Storage</t>
  </si>
  <si>
    <t>Education</t>
  </si>
  <si>
    <t>Grocery</t>
  </si>
  <si>
    <t>Health</t>
  </si>
  <si>
    <t>Hotel/Motel</t>
  </si>
  <si>
    <t>Industrial</t>
  </si>
  <si>
    <t>Restaurant</t>
  </si>
  <si>
    <t>Retail</t>
  </si>
  <si>
    <t>Warehouse</t>
  </si>
  <si>
    <t>OUTPUTS</t>
  </si>
  <si>
    <t>RECOMMENDATIONS</t>
  </si>
  <si>
    <t>INPUT VALUES</t>
  </si>
  <si>
    <t>Reciprocating</t>
  </si>
  <si>
    <t>All</t>
  </si>
  <si>
    <t>Centrifugal</t>
  </si>
  <si>
    <t>Rotary Screw or Scroll</t>
  </si>
  <si>
    <t>&lt;150</t>
  </si>
  <si>
    <t>150-300</t>
  </si>
  <si>
    <t>&gt;300</t>
  </si>
  <si>
    <t>Size</t>
  </si>
  <si>
    <t>Type</t>
  </si>
  <si>
    <t>kW/ton</t>
  </si>
  <si>
    <t>COP</t>
  </si>
  <si>
    <t>&gt;= 150 tons</t>
  </si>
  <si>
    <t>Chiller</t>
  </si>
  <si>
    <t>Hawaii Energy assumes Honolulu code IECC 2006</t>
  </si>
  <si>
    <t>IPLV_ee</t>
  </si>
  <si>
    <t>Table 1: Chiller Program Efficiencies</t>
  </si>
  <si>
    <t>Table 1 Source: 2006 International Energy Conservation Code, Table 503.2.3(7).  kW/ton are derived from COP (unitless) using kW/ton=12/(COP*3.412)</t>
  </si>
  <si>
    <t>LF</t>
  </si>
  <si>
    <t>see Table 1</t>
  </si>
  <si>
    <t>N/A</t>
  </si>
  <si>
    <t>• All entry and lanai doors must have door switches or other technologies that will de-energize the fan coil unit (FCU) when the door remains open.
• All main rooms must have occupancy sensors that will de-energize the FCU when no movement is detected for a given period of time (not to exceed 15 minutes).
• Thermostat controls must be preset.
• Applicant must be on a Commercial Rate Schedule (reference utility bill).</t>
  </si>
  <si>
    <t>wattage of the baseline lamp</t>
  </si>
  <si>
    <t>wattage of the proposed efficient lamp</t>
  </si>
  <si>
    <t>persistence factor, % of measures installed and operating</t>
  </si>
  <si>
    <t>EFLH</t>
  </si>
  <si>
    <t>Table 1. Measure Descriptions</t>
  </si>
  <si>
    <t>Lighting Type</t>
  </si>
  <si>
    <t>4' Lamp</t>
  </si>
  <si>
    <t>2' Lamp</t>
  </si>
  <si>
    <t>8' Lamp</t>
  </si>
  <si>
    <t>LED Exit Sign</t>
  </si>
  <si>
    <t>4' retrofit kit</t>
  </si>
  <si>
    <t>5' retrofit kit</t>
  </si>
  <si>
    <t>6' retrofit kit</t>
  </si>
  <si>
    <t>Lighting</t>
  </si>
  <si>
    <t>LED: MR16</t>
  </si>
  <si>
    <t>LED: PAR20</t>
  </si>
  <si>
    <t>LED: PAR30</t>
  </si>
  <si>
    <t>LED: PAR38</t>
  </si>
  <si>
    <t>Occupancy Sensor</t>
  </si>
  <si>
    <t>CFL</t>
  </si>
  <si>
    <t>Exterior</t>
  </si>
  <si>
    <t>Demand Savings (kW)</t>
  </si>
  <si>
    <t>3' Lamp</t>
  </si>
  <si>
    <t>MR16</t>
  </si>
  <si>
    <t>1'x4' Fixture</t>
  </si>
  <si>
    <t>2'x2' Fixture</t>
  </si>
  <si>
    <t>2'x4' Fixture</t>
  </si>
  <si>
    <t>PAR20</t>
  </si>
  <si>
    <t>PAR30</t>
  </si>
  <si>
    <t>Percent of lamps incentivized that are dimmable</t>
  </si>
  <si>
    <t>Percent of lamps incentivized that are non-dimmable</t>
  </si>
  <si>
    <t>PAR38</t>
  </si>
  <si>
    <t>RTR</t>
  </si>
  <si>
    <t>Total wattage controlled by sensor</t>
  </si>
  <si>
    <t>Hours of lighting operation</t>
  </si>
  <si>
    <t>Factor reflecting impact of lighting savings on cooling load</t>
  </si>
  <si>
    <t>Expected duration of savings</t>
  </si>
  <si>
    <t>W</t>
  </si>
  <si>
    <t>Conversion factor from W to kW</t>
  </si>
  <si>
    <t>W/kW</t>
  </si>
  <si>
    <t>kW_b</t>
  </si>
  <si>
    <t>Location</t>
  </si>
  <si>
    <t>Anti-Sweat Heater Controls</t>
  </si>
  <si>
    <t>Anti-sweat heater controls sense the relative humidity in the air outside of a refrigerated display case and reduces or shuts off the glass door and/or frame anti-sweat heaters based on dew point temperature. Heat generated by an ASH is also load on the display case refrigeration system. Thus, reduction in ASH duty cycle will also have an interactive effect on the refrigeration energy. As a result, compressor run time and energy consumption are reduced.</t>
  </si>
  <si>
    <t>annual Peak kW savings from ASH per door</t>
  </si>
  <si>
    <t xml:space="preserve">SDG&amp;E Statewide Express Efficiency Program - https://www.sdge.com/sites/default/files/regulatory/Express%20and%20SBS%20Workpapers.pdf </t>
  </si>
  <si>
    <t>annual kWh savings from ASH</t>
  </si>
  <si>
    <t>annual kW savings from Compressor</t>
  </si>
  <si>
    <t>annual kWh savings from Compressor</t>
  </si>
  <si>
    <t>SVG_cooling</t>
  </si>
  <si>
    <t>=BaseWatts/door*SVG_d_Comp</t>
  </si>
  <si>
    <t>Baseline door heater power</t>
  </si>
  <si>
    <t>Baseline door heater power (3.413 Btu/h per W)</t>
  </si>
  <si>
    <t>Btu/hr/door</t>
  </si>
  <si>
    <t>EER</t>
  </si>
  <si>
    <t>Compressor energy efficiency ratio</t>
  </si>
  <si>
    <t>Compressor run time</t>
  </si>
  <si>
    <t>Typical Store relative humidity</t>
  </si>
  <si>
    <t>Total Cooling Savings:</t>
  </si>
  <si>
    <t>Total Peak Power Savings:</t>
  </si>
  <si>
    <t>kW/door</t>
  </si>
  <si>
    <t>Total Annual Energy Savings:</t>
  </si>
  <si>
    <t>kWh/door</t>
  </si>
  <si>
    <t>Per Linear Foot calculation:</t>
  </si>
  <si>
    <t>Door width</t>
  </si>
  <si>
    <t>inches</t>
  </si>
  <si>
    <t>Bottom door length</t>
  </si>
  <si>
    <t>Peak kW savings per linear foot</t>
  </si>
  <si>
    <t>Annual kWh savings per linear foot</t>
  </si>
  <si>
    <t>peak kW savings per W</t>
  </si>
  <si>
    <t>annual kWh savings per W</t>
  </si>
  <si>
    <t>Measure description</t>
  </si>
  <si>
    <t>Table 1</t>
  </si>
  <si>
    <t>annual operating hours</t>
  </si>
  <si>
    <t>Technology</t>
  </si>
  <si>
    <t>peak kW savings</t>
  </si>
  <si>
    <t>Controls can significantly reduce the energy consumption of vending machine lighting and refrigeration systems. Qualifying controls must power down these systems during periods of inactivity but, in the case of refrigerated machines, must always maintain a cool product that meets customer expectations. This measure applies to refrigerated beverage vending machines, non-refrigerated snack vending machines, and glass front refrigerated coolers. This measure should not be applied to ENERGY STAR® qualified vending machines, as they already have built-in controls.</t>
  </si>
  <si>
    <t>The baseline efficiency case is a standard efficiency refrigerated beverage vending machine, non-refrigerated snack vending machine, or glass front refrigerated cooler without a control system capable of powering down lighting and refrigeration systems during periods of inactivity.</t>
  </si>
  <si>
    <t>The high efficiency case is a standard efficiency refrigerated beverage vending machine, non-refrigerated snack vending machine, or glass front refrigerated cooler with a control system capable of powering down lighting and refrigeration systems during periods of inactivity.</t>
  </si>
  <si>
    <t>One control unit</t>
  </si>
  <si>
    <t>P</t>
  </si>
  <si>
    <t>SVG</t>
  </si>
  <si>
    <t>Operating hours</t>
  </si>
  <si>
    <t>24 hrs/day, 7 days/wk</t>
  </si>
  <si>
    <t>Similar to the timers you might use to control lights in your home, plug-in appliance timers allow you to pre-program the times that various appliances in your business are turned on and drawing electricity. So you could pre-program the water cooler so it turns on one hour before the office opens and turns off again after everyone leaves.</t>
  </si>
  <si>
    <t>No timer</t>
  </si>
  <si>
    <t>Timer installed</t>
  </si>
  <si>
    <t>One timer unit</t>
  </si>
  <si>
    <r>
      <t>·</t>
    </r>
    <r>
      <rPr>
        <sz val="7"/>
        <color theme="1"/>
        <rFont val="Times New Roman"/>
        <family val="1"/>
      </rPr>
      <t xml:space="preserve">        </t>
    </r>
    <r>
      <rPr>
        <sz val="11"/>
        <color theme="1"/>
        <rFont val="Calibri"/>
        <family val="2"/>
        <scheme val="minor"/>
      </rPr>
      <t>50% Conventional</t>
    </r>
  </si>
  <si>
    <t>It is assumed that half of all water coolers are cold only and half are hot + cold dispenser:</t>
  </si>
  <si>
    <r>
      <t>·</t>
    </r>
    <r>
      <rPr>
        <sz val="7"/>
        <color theme="1"/>
        <rFont val="Times New Roman"/>
        <family val="1"/>
      </rPr>
      <t xml:space="preserve">        </t>
    </r>
    <r>
      <rPr>
        <sz val="11"/>
        <color theme="1"/>
        <rFont val="Calibri"/>
        <family val="2"/>
        <scheme val="minor"/>
      </rPr>
      <t>50% Cold Only</t>
    </r>
  </si>
  <si>
    <r>
      <t>·</t>
    </r>
    <r>
      <rPr>
        <sz val="7"/>
        <color theme="1"/>
        <rFont val="Times New Roman"/>
        <family val="1"/>
      </rPr>
      <t xml:space="preserve">        </t>
    </r>
    <r>
      <rPr>
        <sz val="11"/>
        <color theme="1"/>
        <rFont val="Calibri"/>
        <family val="2"/>
        <scheme val="minor"/>
      </rPr>
      <t>50% Hot + Cold</t>
    </r>
  </si>
  <si>
    <t>The energy savings figure will be based on the average of the above-mentioned percentages.</t>
  </si>
  <si>
    <t>Persistence Factor = 90%</t>
  </si>
  <si>
    <t>Energy Savings = 225 x 90% = 202.5 kWh/year</t>
  </si>
  <si>
    <t>Taking a conservative approach, the demand savings will based on the following calculation and methodology:</t>
  </si>
  <si>
    <t>Demand Savings = 225 kWh/year divided by 8760 hrs/year = 0.026 kW</t>
  </si>
  <si>
    <t>Coincidence Factor = 75%</t>
  </si>
  <si>
    <t>Note:  Based on utilization of 3 of the 4 peak hours (6PM-9PM).  5PM-6PM is not counted since most offices close at 5PM and the timer should be set to turn off cooler 1 hour after office closes which is 6PM.</t>
  </si>
  <si>
    <t xml:space="preserve">Coincidence Demand Savings = 0.026 kW x .75 = 0.020 kW </t>
  </si>
  <si>
    <t>Persistence = 90% (10% of people will disconnect)</t>
  </si>
  <si>
    <t>Peak Demand Savings = 0.020 kW x .90 = 0.018 kW</t>
  </si>
  <si>
    <t>= (E_base,loss - E_he,loss) / (HRS * kVA)</t>
  </si>
  <si>
    <t>= (E_base,loss - E_he,loss) / kVA</t>
  </si>
  <si>
    <t>= CF * (P_base,loss - P_he,loss)</t>
  </si>
  <si>
    <t>annual kWh savings</t>
  </si>
  <si>
    <t>= HRS * (P_base,loss - P_he,loss)</t>
  </si>
  <si>
    <t>P_base,loss</t>
  </si>
  <si>
    <t>Power loss of baseline transformer</t>
  </si>
  <si>
    <t>P_he,loss</t>
  </si>
  <si>
    <t>Power loss of energy efficient transformer</t>
  </si>
  <si>
    <t>E_base,loss</t>
  </si>
  <si>
    <t>Annual energy loss of baseline transformer</t>
  </si>
  <si>
    <t>E_he,loss</t>
  </si>
  <si>
    <t>Annual energy loss of high efficiency transformer</t>
  </si>
  <si>
    <t>coincidence factor</t>
  </si>
  <si>
    <t>Qualified Products List (QPL)</t>
  </si>
  <si>
    <t>Transformers must be listed in CEE QPL list to be considered for incentive</t>
  </si>
  <si>
    <t>QPL Source:</t>
  </si>
  <si>
    <t>http://library.cee1.org/content/transformersqplfebruary2015/</t>
  </si>
  <si>
    <t>Source:</t>
  </si>
  <si>
    <t>http://library.cee1.org/sites/default/files/library/7905/Specification_Low_Voltage_Dry_Type_2012.pdf</t>
  </si>
  <si>
    <t>Total losses and energy savings associated with CEE Tier 1 level for single-phase transformers</t>
  </si>
  <si>
    <t>KVA</t>
  </si>
  <si>
    <t>Total Losses (kWh/yr)</t>
  </si>
  <si>
    <t>Energy Savings vs. Baseline 
(kWh/yr)</t>
  </si>
  <si>
    <t>Demand Savings vs. Baseline 
(kW)</t>
  </si>
  <si>
    <t>Tier 1</t>
  </si>
  <si>
    <t xml:space="preserve">Tier 1 </t>
  </si>
  <si>
    <t>(interpolated)</t>
  </si>
  <si>
    <t>Total losses and energy savings associated with CEE Tiers for three-phase equipment</t>
  </si>
  <si>
    <t>Energy Savings vs. Baseline (kWh/yr)</t>
  </si>
  <si>
    <t>Demand Savings vs. Baseline (kW)</t>
  </si>
  <si>
    <t>Marginal Equipment Cost: Tier 1 vs. Baseline</t>
  </si>
  <si>
    <t>Tier 2</t>
  </si>
  <si>
    <t>CEE High Performance Tiers</t>
  </si>
  <si>
    <t>Inventives (total) $</t>
  </si>
  <si>
    <t>Single-phase</t>
  </si>
  <si>
    <t>Three-phase</t>
  </si>
  <si>
    <t>WORKSHEET</t>
  </si>
  <si>
    <r>
      <rPr>
        <b/>
        <sz val="14"/>
        <color theme="1"/>
        <rFont val="Arial"/>
        <family val="2"/>
      </rPr>
      <t>High Efficiency Transformer Worksheet</t>
    </r>
    <r>
      <rPr>
        <sz val="11"/>
        <color theme="1"/>
        <rFont val="Arial"/>
        <family val="2"/>
      </rPr>
      <t xml:space="preserve">
Effective July 1, 2016; subject to availability of funds.
</t>
    </r>
    <r>
      <rPr>
        <i/>
        <sz val="9"/>
        <color theme="1"/>
        <rFont val="Arial"/>
        <family val="2"/>
      </rPr>
      <t>Hawaii Energy is a ratepayer-funded conservation and efficiency program administered by Leidos Engineering under contract with the Hawaii Public Utilities Commission serving the islands of Hawaii, Lanai, Maui, Molokai, and Oahu.</t>
    </r>
  </si>
  <si>
    <t>Measure Costs and Incentive Levels</t>
  </si>
  <si>
    <t>·         If a transformer size is not listed in table,  we will apply the lower one</t>
  </si>
  <si>
    <t>·         &gt; 1000 KVA (3-Phase) will be based on Custom Incentive Program</t>
  </si>
  <si>
    <t>·         &gt; 333 KVA (Single Phase) will be based on Custom Incentive Program</t>
  </si>
  <si>
    <t>·         Marginal (incremental) cost – see TRM Tables for 3-Phase.</t>
  </si>
  <si>
    <t>·         Incentive level is based on the following table.</t>
  </si>
  <si>
    <t xml:space="preserve">Utility Account Holder Name: </t>
  </si>
  <si>
    <t xml:space="preserve">Project / Building Name: </t>
  </si>
  <si>
    <t>Transformer Calculator</t>
  </si>
  <si>
    <t>Please Enter</t>
  </si>
  <si>
    <t>Equipment Requirement           Tier Check               (1=Tier 1, 2 = Tier 2 , 0=Not Qualify)</t>
  </si>
  <si>
    <t>Tiers Efficiency (%)</t>
  </si>
  <si>
    <t>Inventives       (total) $</t>
  </si>
  <si>
    <t>Results</t>
  </si>
  <si>
    <t>Quantity</t>
  </si>
  <si>
    <t>Efficiency (%)</t>
  </si>
  <si>
    <t xml:space="preserve">Tier 2 </t>
  </si>
  <si>
    <t>Energy Savings (kWh)</t>
  </si>
  <si>
    <t>Incentives</t>
  </si>
  <si>
    <t xml:space="preserve">Example </t>
  </si>
  <si>
    <t xml:space="preserve">                          Single-Phase</t>
  </si>
  <si>
    <t xml:space="preserve">                           Three-Phase</t>
  </si>
  <si>
    <t>Total Incentives</t>
  </si>
  <si>
    <t xml:space="preserve">Total </t>
  </si>
  <si>
    <t>PY2016HT</t>
  </si>
  <si>
    <t>Water Heating</t>
  </si>
  <si>
    <t>peak kW savings/ton</t>
  </si>
  <si>
    <t>annual kWh savings/ton</t>
  </si>
  <si>
    <t>Base WH Energy Usage</t>
  </si>
  <si>
    <t>HPWH Energy  Usage</t>
  </si>
  <si>
    <t>Energy per Day</t>
  </si>
  <si>
    <t>13.3 gallons/day/person*3.77 persons*8.34 lbs/gallon*(130 deg.F-75 deg.F)*1.0[BTU/deg. F/lb]</t>
  </si>
  <si>
    <t>Assumed in Hawaii Energy PY7 TRM, p.123</t>
  </si>
  <si>
    <t>Energy per Day per ton</t>
  </si>
  <si>
    <t>12,000 BTU/ton/3412kWh/BTU</t>
  </si>
  <si>
    <t>Days/Yr</t>
  </si>
  <si>
    <t>COP_base</t>
  </si>
  <si>
    <t>COP_HP</t>
  </si>
  <si>
    <t>CF_base</t>
  </si>
  <si>
    <t>CF_HP</t>
  </si>
  <si>
    <t>Base Power (kW/ton)</t>
  </si>
  <si>
    <t>=Base WH Energy Usage/(10 hrs/day*365 days/yr)/3650 hours/yr</t>
  </si>
  <si>
    <t>depends on baseline water heater</t>
  </si>
  <si>
    <t xml:space="preserve"> HPWH Power (kW/ton)</t>
  </si>
  <si>
    <t>=HPWH Energy Usage/(10 hrs/day*365 days/yr)/3650 hours/yr</t>
  </si>
  <si>
    <t>PY7 TRM calculates assuming 30.4 days/mth*12 months/yr</t>
  </si>
  <si>
    <t>10 years</t>
  </si>
  <si>
    <t>Table 1. Water Heater Parameters</t>
  </si>
  <si>
    <t>Base Power</t>
  </si>
  <si>
    <t>?</t>
  </si>
  <si>
    <t>Heat Pump WH replacing Resistance WH</t>
  </si>
  <si>
    <t>1. consider different basis of savings--heat pump water heaters rarely rated in tons?</t>
  </si>
  <si>
    <t>2. Define baseline heat pump water heater COP</t>
  </si>
  <si>
    <t>20 years</t>
  </si>
  <si>
    <t>Collector Tilt (degrees)</t>
  </si>
  <si>
    <t>255-270</t>
  </si>
  <si>
    <t>This program is to assist master-metered condominiums and their Association of Apartment Owners (AOAO) efforts to reduce energy consumption and implement the current submetering proposal as one that will insure both equity and fairness in allocating energy costs as well as encouraging energy conservation through direct feedback of personal energy use to tenants.
The combination of billing submeters, along with education, peer group comparisons and special equipment offerings, will assist the tenant achieve significant energy conservation and efficiency.</t>
  </si>
  <si>
    <t>The base case is no submetering.  Baseline Annual Energy Usage is the actual average usage (kWh/year) based on historical usage for past 24 months (or as appropriate) for entire condominium (master metered) divided by the number of condominium units.  Baseline demand (kW) is the Average Historical Demand divided by the number of condominium units.</t>
  </si>
  <si>
    <t>The high efficiency case is with submetering.  It is expected there will be a 10% reduction in energy usage and 8% reduction in peak demand during (5PM – 9PM).</t>
  </si>
  <si>
    <t>This program is to assist master-metered small businesses to reduce energy consumption that will insure both equity and fairness in allocating energy costs as well as encouraging energy conservation through direct feedback of personal energy use to business tenants.
The combination of billing submeters, along with education, peer group comparisons and special equipment offerings, will assist the tenant achieve significant energy conservation and efficiency.</t>
  </si>
  <si>
    <t>The base case is no submetering.</t>
  </si>
  <si>
    <t>The high efficiency case is with submetering.</t>
  </si>
  <si>
    <t>Small Business</t>
  </si>
  <si>
    <t>Demand Savings
(kW)</t>
  </si>
  <si>
    <t>Annual Energy Savings
(kWh/year)</t>
  </si>
  <si>
    <t>Adjustment Factor</t>
  </si>
  <si>
    <t>Operational Factor</t>
  </si>
  <si>
    <t>Persistence Factor (PF)</t>
  </si>
  <si>
    <t>Coincidence Factor (CF)</t>
  </si>
  <si>
    <t>Pre-commissioning operating procedures.</t>
  </si>
  <si>
    <t>Post-commissioning operating procedures.</t>
  </si>
  <si>
    <t>Re|Retro-Commissioning</t>
  </si>
  <si>
    <t>Custom</t>
  </si>
  <si>
    <t>Clothes Washer</t>
  </si>
  <si>
    <t>ENERGY STAR certified</t>
  </si>
  <si>
    <t>ΔE_lifetime</t>
  </si>
  <si>
    <t>IMEF_base</t>
  </si>
  <si>
    <t>IMEF_he</t>
  </si>
  <si>
    <t>CYCLES</t>
  </si>
  <si>
    <t>%E_wash,base</t>
  </si>
  <si>
    <t>%E_heat,base</t>
  </si>
  <si>
    <t>%E_dry,base</t>
  </si>
  <si>
    <t>%E_wash,he</t>
  </si>
  <si>
    <t>%E_heat,he</t>
  </si>
  <si>
    <t>%E_dry,he</t>
  </si>
  <si>
    <t>%DRYER_electric</t>
  </si>
  <si>
    <t>%HEATER_electric</t>
  </si>
  <si>
    <t>Tier 3</t>
  </si>
  <si>
    <t>Integrated Modified Energy Factor of baseline unit</t>
  </si>
  <si>
    <t>Integrated Modified Energy Factor of efficient unit</t>
  </si>
  <si>
    <t>Average number of washer cycles per washer per year</t>
  </si>
  <si>
    <t>Percentage of total energy consumption for clothes washer operation for a baseline model</t>
  </si>
  <si>
    <t>Percentage of total energy consumption for water heating for a baseline model</t>
  </si>
  <si>
    <t>Percentage of total energy consumption for clothes drying for a baseline model</t>
  </si>
  <si>
    <t>Percentage of total energy consumption for clothes washer operation for efficient unit</t>
  </si>
  <si>
    <t>Percentage of total energy consumption for water heating for efficient unit</t>
  </si>
  <si>
    <t>Percentage of total energy consumption for clothes drying for efficient unit</t>
  </si>
  <si>
    <t>Percentage of dryers assumed to be electric</t>
  </si>
  <si>
    <t>Percentage of water heating assumed to be electric</t>
  </si>
  <si>
    <t>Coincidence Factor</t>
  </si>
  <si>
    <t>Clothes Washer Tier 1</t>
  </si>
  <si>
    <t>Clothes Washer Tier 2</t>
  </si>
  <si>
    <t>Clothes Washer Tier 3</t>
  </si>
  <si>
    <t>Clothes Dryer</t>
  </si>
  <si>
    <t>Energy efficient clothes dryer as specified below replacing a baseline clothes dryer.</t>
  </si>
  <si>
    <t>One dryer</t>
  </si>
  <si>
    <t>Clothes dryer meeting minimum federal requirements (blended average of pre-1/1/15 and post-1/1/15 federal standards).</t>
  </si>
  <si>
    <t>LOAD</t>
  </si>
  <si>
    <t>Average total weight (lbs) of clothes per drying cycle</t>
  </si>
  <si>
    <t>Combined Energy Factor (lbs/kWh) of the baseline unit</t>
  </si>
  <si>
    <t>CEF_base</t>
  </si>
  <si>
    <t>CEF_he</t>
  </si>
  <si>
    <t>Combined Energy Factor (lbs/kWh) of the efficient unit</t>
  </si>
  <si>
    <t>Average number of dryer cycles per dryer per year</t>
  </si>
  <si>
    <t>Average run hours per dryer per year</t>
  </si>
  <si>
    <t>lbs</t>
  </si>
  <si>
    <t>Blended average of early replacement (80%) and replace on burnout (20%) baselines, using federal minimum CEF. From 1994-2014, minimum CEF was 3.01 (early replacement baseline). Since 2015, minimum CEF has been 3.73 (replace on burnout baseline).</t>
  </si>
  <si>
    <t>Based on ENERGY STAR product criteria testing.</t>
  </si>
  <si>
    <r>
      <rPr>
        <vertAlign val="superscript"/>
        <sz val="8"/>
        <rFont val="Calibri"/>
        <family val="2"/>
        <scheme val="minor"/>
      </rPr>
      <t xml:space="preserve">1 </t>
    </r>
    <r>
      <rPr>
        <sz val="8"/>
        <rFont val="Calibri"/>
        <family val="2"/>
        <scheme val="minor"/>
      </rPr>
      <t>https://www.energystar.gov/products/appliances/clothes_dryers/key_product_criteria</t>
    </r>
  </si>
  <si>
    <r>
      <rPr>
        <vertAlign val="superscript"/>
        <sz val="8"/>
        <rFont val="Calibri"/>
        <family val="2"/>
        <scheme val="minor"/>
      </rPr>
      <t xml:space="preserve">2 </t>
    </r>
    <r>
      <rPr>
        <sz val="8"/>
        <rFont val="Calibri"/>
        <family val="2"/>
        <scheme val="minor"/>
      </rPr>
      <t>https://www.neea.org/docs/default-source/reports/neea-clothes-dryer-field-study.pdf</t>
    </r>
  </si>
  <si>
    <r>
      <rPr>
        <vertAlign val="superscript"/>
        <sz val="8"/>
        <rFont val="Calibri"/>
        <family val="2"/>
        <scheme val="minor"/>
      </rPr>
      <t xml:space="preserve">3 </t>
    </r>
    <r>
      <rPr>
        <sz val="8"/>
        <rFont val="Calibri"/>
        <family val="2"/>
        <scheme val="minor"/>
      </rPr>
      <t>http://www.pnnl.gov/main/publications/external/technical_reports/PNNL-20110.pdf</t>
    </r>
  </si>
  <si>
    <r>
      <rPr>
        <vertAlign val="superscript"/>
        <sz val="8"/>
        <rFont val="Calibri"/>
        <family val="2"/>
        <scheme val="minor"/>
      </rPr>
      <t xml:space="preserve">4 </t>
    </r>
    <r>
      <rPr>
        <sz val="8"/>
        <rFont val="Calibri"/>
        <family val="2"/>
        <scheme val="minor"/>
      </rPr>
      <t>https://www.energystar.gov/sites/default/files/asset/document/ENERGY_STAR_Scoping_Report_Residential_Clothes_Dryers.pdf</t>
    </r>
  </si>
  <si>
    <t>Electronics</t>
  </si>
  <si>
    <t>= Baseline connected Watts (active)</t>
  </si>
  <si>
    <t>Baseline power consumption is drawn from ENERGY STAR “Consumer Electronics Calculator”.</t>
  </si>
  <si>
    <t>Watts_ee</t>
  </si>
  <si>
    <t>= Energy efficient connected Watts (active)</t>
  </si>
  <si>
    <t>ENERGY STAR V7.0 Program Requirements.</t>
  </si>
  <si>
    <t>= Demand Coincidence Factor</t>
  </si>
  <si>
    <t>Based on Efficiency Vermont TRM, 2015 for coincident usage between 5-7PM.</t>
  </si>
  <si>
    <t xml:space="preserve">HOURS_Active </t>
  </si>
  <si>
    <t>= Average hours of use per day in Active Mode</t>
  </si>
  <si>
    <t>6 years</t>
  </si>
  <si>
    <t>Demand Savings</t>
  </si>
  <si>
    <t>Energy Savings</t>
  </si>
  <si>
    <t xml:space="preserve"> </t>
  </si>
  <si>
    <t>Base</t>
  </si>
  <si>
    <t>Baseline Watts (active)</t>
  </si>
  <si>
    <t>Fraunhofer Center for Sustainable Energy Systems. 2014. https://www.cta.tech/CTA/media/policyImages/Energy-Consumption-of-Consumer-Electronics.pdf</t>
  </si>
  <si>
    <t>Baseline Watts (idle)</t>
  </si>
  <si>
    <t>Baseline Watts (sleep)</t>
  </si>
  <si>
    <t>Energy efficient watts (active)</t>
  </si>
  <si>
    <t>Energy Solutions Report on RPP - Citing EPA Internal Analysis of Energy Star V2.0 Soundbars - https://static1.squarespace.com/static/53c96e16e4b003bdba4f4fee/t/556d387fe4b0d8dc09b24c28/1433221247215/RPP+Methodology+for+Developing+UEC+Estimates_Final.pdf</t>
  </si>
  <si>
    <t>Energy efficient watts (idle)</t>
  </si>
  <si>
    <t>Energy efficient watts (sleep)</t>
  </si>
  <si>
    <t>Hours_Active</t>
  </si>
  <si>
    <t>Hours per year in active mode</t>
  </si>
  <si>
    <t>Hours per year in idle mode</t>
  </si>
  <si>
    <t>Hours_Sleep</t>
  </si>
  <si>
    <t>Hours per year in sleep mode</t>
  </si>
  <si>
    <t xml:space="preserve">CF </t>
  </si>
  <si>
    <t>coincidence factor, percent of time savings correspond with utility peak 5pm -9 pm</t>
  </si>
  <si>
    <t>Assuming same CF as Televisions. Based on Efficiency Vermont TRM, 2015 for coincident usage between 5-7PM.</t>
  </si>
  <si>
    <t>persistence factor (% of measures installed and operational)</t>
  </si>
  <si>
    <t>Measure_Life</t>
  </si>
  <si>
    <t>expected duration of energy savings (years)</t>
  </si>
  <si>
    <t>Energy Star Assumption - Via NEEP Mid-Atlantic TRM Version 6</t>
  </si>
  <si>
    <t>PY15_small</t>
  </si>
  <si>
    <t>From a review of PY2015 rebates processed, the average size of a small unit</t>
  </si>
  <si>
    <t>One unit</t>
  </si>
  <si>
    <t>BTU/hr</t>
  </si>
  <si>
    <t>Conversion from W to kW</t>
  </si>
  <si>
    <t>Central AC Tune Up</t>
  </si>
  <si>
    <t>Maintenance of a residential central A/C system.</t>
  </si>
  <si>
    <t>Pre-tune up central air conditioning unit</t>
  </si>
  <si>
    <t>Post-tune up central air conditioning unit</t>
  </si>
  <si>
    <t>Average AC unit EER</t>
  </si>
  <si>
    <t>Average AC unit power demand</t>
  </si>
  <si>
    <t>Residential AC Tune Up</t>
  </si>
  <si>
    <t>Average AC unit cooling capacity</t>
  </si>
  <si>
    <t>3 ton of cooling</t>
  </si>
  <si>
    <r>
      <rPr>
        <vertAlign val="superscript"/>
        <sz val="8"/>
        <color theme="1"/>
        <rFont val="Calibri"/>
        <family val="2"/>
        <scheme val="minor"/>
      </rPr>
      <t xml:space="preserve">1 </t>
    </r>
    <r>
      <rPr>
        <sz val="8"/>
        <color theme="1"/>
        <rFont val="Calibri"/>
        <family val="2"/>
        <scheme val="minor"/>
      </rPr>
      <t>Accounts for impacts to performance due to incorrect refrigerant charge, clogged AHU filter, dirty condenser coil.</t>
    </r>
  </si>
  <si>
    <r>
      <rPr>
        <vertAlign val="superscript"/>
        <sz val="8"/>
        <color rgb="FF000000"/>
        <rFont val="Calibri"/>
        <family val="2"/>
        <scheme val="minor"/>
      </rPr>
      <t xml:space="preserve">2 </t>
    </r>
    <r>
      <rPr>
        <sz val="8"/>
        <color rgb="FF000000"/>
        <rFont val="Calibri"/>
        <family val="2"/>
        <scheme val="minor"/>
      </rPr>
      <t>A reduction in run time will occur once tune up is completed, lowering coincidence factor.</t>
    </r>
  </si>
  <si>
    <t>Fan</t>
  </si>
  <si>
    <t>ENERGY STAR ceiling fan with high efficiency motor and CFL bulbs, replacing fan with standard efficiency motor and (three) integral incandescent bulbs.</t>
  </si>
  <si>
    <t>%low</t>
  </si>
  <si>
    <t>percent of time on low speed</t>
  </si>
  <si>
    <t>%med</t>
  </si>
  <si>
    <t>percent of time on medium speed</t>
  </si>
  <si>
    <t>%high</t>
  </si>
  <si>
    <t>percent of time on high speed</t>
  </si>
  <si>
    <t>Low_kW_base</t>
  </si>
  <si>
    <t>low speed baseline fan motor wattage</t>
  </si>
  <si>
    <t>Low_kW_ee</t>
  </si>
  <si>
    <t>low speed efficient fan motor wattage</t>
  </si>
  <si>
    <t>0.008 kW per current ENERGY STAR criteria and min air flow setting</t>
  </si>
  <si>
    <t>Med_kW_base</t>
  </si>
  <si>
    <t>medium speed baseline fan motor wattage</t>
  </si>
  <si>
    <t>Med_kW_ee</t>
  </si>
  <si>
    <t>medium speed efficient fan motor wattage</t>
  </si>
  <si>
    <t>0.030 kW per current criteria and min air flow setting</t>
  </si>
  <si>
    <t>High_kW_base</t>
  </si>
  <si>
    <t>high speed baseline fan motor wattage</t>
  </si>
  <si>
    <t>High_kW_ee</t>
  </si>
  <si>
    <t>high speed efficient fan motor wattage</t>
  </si>
  <si>
    <t>0.067 kW per current criteria and min air flow setting</t>
  </si>
  <si>
    <t>Inc_kW</t>
  </si>
  <si>
    <t>baseline wattage of three incandescent bulbs</t>
  </si>
  <si>
    <t>EISA general purpose baseline effective 2014</t>
  </si>
  <si>
    <t>CFL_kW</t>
  </si>
  <si>
    <t>wattage of three efficient CFL bulbs</t>
  </si>
  <si>
    <t>HOURS_fan</t>
  </si>
  <si>
    <t>hours of fan operation per year</t>
  </si>
  <si>
    <t>2.8 hours per day, 365 days per year</t>
  </si>
  <si>
    <t>HOURS_light</t>
  </si>
  <si>
    <t>hours of light operation per year</t>
  </si>
  <si>
    <t>2.3 hours per day, 365 days per year</t>
  </si>
  <si>
    <t>WHFd</t>
  </si>
  <si>
    <t>waste heat factor to account for cooling load savings from efficent lighting</t>
  </si>
  <si>
    <t>WHFee</t>
  </si>
  <si>
    <t>waste heat factor to account for cooling energy savings from efficent lighting</t>
  </si>
  <si>
    <t>5 years</t>
  </si>
  <si>
    <t>Solar Attic Fan</t>
  </si>
  <si>
    <t>%svgs_ac</t>
  </si>
  <si>
    <t>percent of a/c load savings from solar attic fan</t>
  </si>
  <si>
    <t>AC_cap</t>
  </si>
  <si>
    <t>cooling capacity of existing air conditioner</t>
  </si>
  <si>
    <t>average of PY14 window A/C units incentivized by Hawaii Energy</t>
  </si>
  <si>
    <t>full load cooling efficiency of existing air conditioner</t>
  </si>
  <si>
    <t>equivalent full load cooling hours for existing air conditioner</t>
  </si>
  <si>
    <t>Nomenclature</t>
  </si>
  <si>
    <t>Whole House Fans</t>
  </si>
  <si>
    <t xml:space="preserve">reference: KEMA-Xenergy, Inc. Impact Evaluation of the 2001 Statewide Low Income Energy Efficiency (LIEE) Program. April 8, 2003. calmac.org/publications/2001_LIEE_Impact_Evaluation.pdf </t>
  </si>
  <si>
    <t>=kW_b*CF*PF-kW_cfl*CF*PF</t>
  </si>
  <si>
    <t>=kW_b*HOURS*PF-kW_cfl*HOURS*PF</t>
  </si>
  <si>
    <t>baseline wattage of average residential bulb</t>
  </si>
  <si>
    <t>kW_cfl</t>
  </si>
  <si>
    <t>wattage of average CFL bulb</t>
  </si>
  <si>
    <t>see Table 2</t>
  </si>
  <si>
    <t>informed by 2012 EM&amp;V report?</t>
  </si>
  <si>
    <t>hours of lamp operation per year</t>
  </si>
  <si>
    <t>See Table 1</t>
  </si>
  <si>
    <t>Lamp Types</t>
  </si>
  <si>
    <t>Hours per Day, non-military</t>
  </si>
  <si>
    <t>HE Pentration %</t>
  </si>
  <si>
    <t>Hours per Day, military</t>
  </si>
  <si>
    <t>Incandescent</t>
  </si>
  <si>
    <t>Total Average Baseline Energy (kWh)</t>
  </si>
  <si>
    <t>Total Average Demand (kW)</t>
  </si>
  <si>
    <t>Table 2. Efficient Lamp Characteristics</t>
  </si>
  <si>
    <t>HE Penetration %</t>
  </si>
  <si>
    <t>Total Average Energy (kWh)</t>
  </si>
  <si>
    <t>baseline wattage of average incandescent bulb</t>
  </si>
  <si>
    <t>kW_led</t>
  </si>
  <si>
    <t>kWh_plug</t>
  </si>
  <si>
    <t>average deemed kWh per receptacle ("outlet") on the strip</t>
  </si>
  <si>
    <t>#plugs</t>
  </si>
  <si>
    <t>Number of plug outlets per power strip</t>
  </si>
  <si>
    <t>annual hours of equipment operation</t>
  </si>
  <si>
    <t>assumes no manual shutoff of equipment</t>
  </si>
  <si>
    <t>% of maximum hourly watt savings on average that were realized in a 5-9 pm time period for residential A/V equipment (see Valmiki and Corradini).</t>
  </si>
  <si>
    <t>Table 1. Deemed Savings Values for Advanced Power Strips</t>
  </si>
  <si>
    <t>Heat Pump</t>
  </si>
  <si>
    <t>Rebate applications for water heaters are provided by the retailers at the time of purchase or a customer can visit our website and download the form.  Rebate applications must include an original purchase receipt showing brand and model number.</t>
  </si>
  <si>
    <t>Solar Water Heater Tune Up</t>
  </si>
  <si>
    <t>Systems must be more than 3 years old and can only receive a tune-up incentive once every 5 years.</t>
  </si>
  <si>
    <t>Solar WH Tune Up</t>
  </si>
  <si>
    <t>Peer Group Comparison</t>
  </si>
  <si>
    <t xml:space="preserve">The Hawaii Energy/Honeywell team went in to multifamily residential buildings and offered free installation of energy efficiency devices, including light bulbs, low flow showerheads and faucet aeartors, and an advanced power strip.  The savings claim for each household depends on the type of water heating for each home, as well as the occupancy for each home (this data was collected by the team). </t>
  </si>
  <si>
    <t>100 W incandescent (replaced with 23 W CFL)
75 W incandescent (replaced with 20 W CFL)
60 W incandescent (replaced with 13 W CFL)
Showerhead = 2.5 gpm
Faucet = 2.2 gpm</t>
  </si>
  <si>
    <t>23 W CFL to replace the 100 W incandescent
20 W CFL to replace the 75 W incandescent
13 W CFL to replace the 60 W incandescent
Advanced power strip (7 plugs) for home entertainment system or home office
Low-flow showerheads = 1.5 gpm (40% reduction)
Low-flow faucet aerators = 1.5 gpm (32% reduction)</t>
  </si>
  <si>
    <t>Aerator</t>
  </si>
  <si>
    <t>P Strip</t>
  </si>
  <si>
    <r>
      <rPr>
        <vertAlign val="superscript"/>
        <sz val="8"/>
        <color theme="1"/>
        <rFont val="Calibri"/>
        <family val="2"/>
        <scheme val="minor"/>
      </rPr>
      <t xml:space="preserve">2 </t>
    </r>
    <r>
      <rPr>
        <sz val="8"/>
        <color theme="1"/>
        <rFont val="Calibri"/>
        <family val="2"/>
        <scheme val="minor"/>
      </rPr>
      <t xml:space="preserve">Given that this device was a 7-plug strip, the 7-plug strip value was used, rather than the TRM assumption of an average 6-plug unit.  </t>
    </r>
  </si>
  <si>
    <r>
      <t>Advanced Power Strip</t>
    </r>
    <r>
      <rPr>
        <vertAlign val="superscript"/>
        <sz val="11"/>
        <color theme="1"/>
        <rFont val="Calibri"/>
        <family val="2"/>
        <scheme val="minor"/>
      </rPr>
      <t>2</t>
    </r>
  </si>
  <si>
    <r>
      <rPr>
        <vertAlign val="superscript"/>
        <sz val="8"/>
        <color theme="1"/>
        <rFont val="Calibri"/>
        <family val="2"/>
        <scheme val="minor"/>
      </rPr>
      <t xml:space="preserve">1 </t>
    </r>
    <r>
      <rPr>
        <sz val="8"/>
        <color theme="1"/>
        <rFont val="Calibri"/>
        <family val="2"/>
        <scheme val="minor"/>
      </rPr>
      <t>For each bulb replaced, the reduced wattage was calculated.  Run time was assumed to be 2.3 hours per day per bulb, 365 days per year.</t>
    </r>
  </si>
  <si>
    <r>
      <t>CFL</t>
    </r>
    <r>
      <rPr>
        <vertAlign val="superscript"/>
        <sz val="11"/>
        <color theme="1"/>
        <rFont val="Calibri"/>
        <family val="2"/>
        <scheme val="minor"/>
      </rPr>
      <t>1</t>
    </r>
  </si>
  <si>
    <t>--&gt;</t>
  </si>
  <si>
    <t>For low-flow showerheads:</t>
  </si>
  <si>
    <t>For faucet aerators:</t>
  </si>
  <si>
    <t>• Given standard electric resistance water heating:  PY14 TRM value of 306 kWh for an average family size of 3.77 people.  This value was normalized on a per person basis of 81.2 kWh.  Then the value was multiplied by the actually occupancy of the household.  These values were assumed to be the same regardless of individual electric resistance water heating in the residential unit or system level electric resistance water heating in the building.  Also, these values were assumed to be the same regardless of individually metered electrical billing at the apartment or master-metered electrical billing at the building.</t>
  </si>
  <si>
    <t>• Given heat pump water heating:  Starting with the PY14 TRM value of 2460 kWh per year required for heating all water for an average family size of 3.77 people, this value was divided by an average COP of 2.26 for heat pump water heaters, for 1088 kWh per year.  Then the value was added up given 6% tank and pipe losses, for 1157 kWh per year.  Given the assumption that showers account for 28% of all hot water use, heat pump water heating consumption for an average family is 324 kWh per year.  By reducing shower water consumption by 40% with the low-flow showerhead, heat pump water heading consumption is reduced to 195 kWh per year per family, for a savings of 130 kWh per year per family.  Per person energy savings is 34.5 kWh per person per year.  Finally, the value was multiplied by the actually occupancy of the household.  Savings is assumed to be the same regardless of individual heat pump, central heat pump, individually metered billing, or master-metered billing.</t>
  </si>
  <si>
    <t>• Given on-demand electric water heating:  Starting with the PY14 TRM value of 2460 kWh per year required for heating all water for an average family size of 3.77 people, this value was divided by an average efficiency of 0.98 for on-demand/instantaneous water heaters, for 2510 kWh per year.  Then the value was added up given 2% tank and pipe losses, for 2561 kWh per year.  Given the assumption that showers account for 28% of all hot water use, heat pump water heating consumption for an average family is 717 kWh per year.  By reducing shower water consumption by 40% with the low-flow showerhead, on-demand water heading consumption is reduced to 430 kWh per year per family, for a savings of 287 kWh per year per family.  Per person energy savings is 76.1 kWh per person per year.  Finally, the value was multiplied by the actually occupancy of the household.  Savings is assumed to be the same regardless of individually metered billing or master-metered billing.  There are no central on-demand water heating systems, only individual systems.</t>
  </si>
  <si>
    <t>• Given boiler water heating:  Savings were assumed to be the same for boiler water heating as for standard electric resistance water heating because gas-fired boilers were not in the scope of this measure.  An electric-fired boiler is essentially the same as a standard electric resistance water heater.  Savings are assumed to be the same regardless of individually metered billing or master-metered billing.  There are no individual boiler water heaters in apartments, only central boilers.</t>
  </si>
  <si>
    <t>• Given standard electric-resistance water heating:  PY14 TRM value for savings per year for an average family size of 3.77 people for faucet aerators is 65 kWh (assuming 90% efficiency).  This value was normalized on a per person basis of 17.2 kWh.  Then the value was multiplied by the actually occupancy of the household.  These values were assumed to be the same regardless of individual electric resistance water heating in the residential unit or system level electric resistance water heating in the building.  Also, these values were assumed to be the same regardless of individually metered electrical billing at the apartment or master-metered electrical billing at the building.</t>
  </si>
  <si>
    <t>• Given heat pump water heating:  Starting with the PY14 TRM value of 58.44 kWh savings per year for a family of 3.77 for faucet aerators (assuming 100% efficiency), this value was divided by an average COP of 2.26 for heat pump water heaters, for 25.9 kWh per year.  Then the value was added up given 6% tank and pipe losses, for 27.6 kWh per year per family, or 7.3 kWh per year per person.  Finally, the value was multiplied by the actually occupancy of the household.  Savings is assumed to be the same regardless of individual heat pump, central heat pump, individually metered billing, or master-metered billing.</t>
  </si>
  <si>
    <t>• Given on-demand electric water heating:  Starting with the PY14 TRM value of 58.44 kWh savings per year for a family of 3.77 for faucet aerators (assuming 100% efficiency), this value was divided by an average efficiency of 98% for on-demand/instantaneous water heaters, for 59.6 kWh per year.  Then the value was added up given 2% tank and pipe losses, for 60.8 kWh per year per family, or 16.1 kWh per year per person.  Finally, the value was multiplied by the actually occupancy of the household.  Savings is assumed to be the same regardless of individually metered billing, or master-metered billing.  There is only individual on-demand water heating, no central systems.</t>
  </si>
  <si>
    <t>LFSH w/ Heat Pump</t>
  </si>
  <si>
    <r>
      <t>LFSH w/ Electric Resistance</t>
    </r>
    <r>
      <rPr>
        <vertAlign val="superscript"/>
        <sz val="11"/>
        <color theme="1"/>
        <rFont val="Calibri"/>
        <family val="2"/>
        <scheme val="minor"/>
      </rPr>
      <t>3</t>
    </r>
  </si>
  <si>
    <r>
      <rPr>
        <vertAlign val="superscript"/>
        <sz val="8"/>
        <color theme="1"/>
        <rFont val="Calibri"/>
        <family val="2"/>
        <scheme val="minor"/>
      </rPr>
      <t>4</t>
    </r>
    <r>
      <rPr>
        <sz val="8"/>
        <color theme="1"/>
        <rFont val="Calibri"/>
        <family val="2"/>
        <scheme val="minor"/>
      </rPr>
      <t xml:space="preserve"> Assumed the same as electric-resistance (conservative value)</t>
    </r>
  </si>
  <si>
    <r>
      <rPr>
        <vertAlign val="superscript"/>
        <sz val="8"/>
        <color theme="1"/>
        <rFont val="Calibri"/>
        <family val="2"/>
        <scheme val="minor"/>
      </rPr>
      <t>3</t>
    </r>
    <r>
      <rPr>
        <sz val="8"/>
        <color theme="1"/>
        <rFont val="Calibri"/>
        <family val="2"/>
        <scheme val="minor"/>
      </rPr>
      <t xml:space="preserve"> Taken from Hawai'i Energy PY14 TRM</t>
    </r>
  </si>
  <si>
    <r>
      <t>LFSH w/ On-demand</t>
    </r>
    <r>
      <rPr>
        <vertAlign val="superscript"/>
        <sz val="11"/>
        <color theme="1"/>
        <rFont val="Calibri"/>
        <family val="2"/>
        <scheme val="minor"/>
      </rPr>
      <t>4</t>
    </r>
  </si>
  <si>
    <r>
      <t>LFSH w/ Electric Resistance</t>
    </r>
    <r>
      <rPr>
        <vertAlign val="superscript"/>
        <sz val="11"/>
        <color theme="1"/>
        <rFont val="Calibri"/>
        <family val="2"/>
        <scheme val="minor"/>
      </rPr>
      <t>5</t>
    </r>
  </si>
  <si>
    <r>
      <t>LFSH w/ On-demand</t>
    </r>
    <r>
      <rPr>
        <vertAlign val="superscript"/>
        <sz val="11"/>
        <color theme="1"/>
        <rFont val="Calibri"/>
        <family val="2"/>
        <scheme val="minor"/>
      </rPr>
      <t>6</t>
    </r>
  </si>
  <si>
    <r>
      <rPr>
        <vertAlign val="superscript"/>
        <sz val="8"/>
        <color theme="1"/>
        <rFont val="Calibri"/>
        <family val="2"/>
        <scheme val="minor"/>
      </rPr>
      <t>5</t>
    </r>
    <r>
      <rPr>
        <sz val="8"/>
        <color theme="1"/>
        <rFont val="Calibri"/>
        <family val="2"/>
        <scheme val="minor"/>
      </rPr>
      <t xml:space="preserve"> Taken from Hawai'i Energy PY14 TRM</t>
    </r>
  </si>
  <si>
    <r>
      <rPr>
        <vertAlign val="superscript"/>
        <sz val="8"/>
        <color theme="1"/>
        <rFont val="Calibri"/>
        <family val="2"/>
        <scheme val="minor"/>
      </rPr>
      <t>6</t>
    </r>
    <r>
      <rPr>
        <sz val="8"/>
        <color theme="1"/>
        <rFont val="Calibri"/>
        <family val="2"/>
        <scheme val="minor"/>
      </rPr>
      <t xml:space="preserve"> Assumed the same as electric-resistance (conservative value)</t>
    </r>
  </si>
  <si>
    <r>
      <rPr>
        <b/>
        <sz val="11"/>
        <color theme="1"/>
        <rFont val="Calibri"/>
        <family val="2"/>
        <scheme val="minor"/>
      </rPr>
      <t>=</t>
    </r>
    <r>
      <rPr>
        <sz val="11"/>
        <color theme="1"/>
        <rFont val="Calibri"/>
        <family val="2"/>
        <scheme val="minor"/>
      </rPr>
      <t xml:space="preserve"> CF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0.0001 </t>
    </r>
    <r>
      <rPr>
        <b/>
        <sz val="11"/>
        <color rgb="FFC00000"/>
        <rFont val="Calibri"/>
        <family val="2"/>
        <scheme val="minor"/>
      </rPr>
      <t>/</t>
    </r>
    <r>
      <rPr>
        <sz val="11"/>
        <color theme="1"/>
        <rFont val="Calibri"/>
        <family val="2"/>
        <scheme val="minor"/>
      </rPr>
      <t xml:space="preserve"> SF</t>
    </r>
    <r>
      <rPr>
        <b/>
        <sz val="11"/>
        <color theme="1"/>
        <rFont val="Calibri"/>
        <family val="2"/>
        <scheme val="minor"/>
      </rPr>
      <t>)</t>
    </r>
  </si>
  <si>
    <r>
      <rPr>
        <b/>
        <sz val="11"/>
        <color theme="1"/>
        <rFont val="Calibri"/>
        <family val="2"/>
        <scheme val="minor"/>
      </rPr>
      <t>=</t>
    </r>
    <r>
      <rPr>
        <sz val="11"/>
        <color theme="1"/>
        <rFont val="Calibri"/>
        <family val="2"/>
        <scheme val="minor"/>
      </rPr>
      <t xml:space="preserve"> P </t>
    </r>
    <r>
      <rPr>
        <b/>
        <sz val="11"/>
        <color rgb="FFC00000"/>
        <rFont val="Calibri"/>
        <family val="2"/>
        <scheme val="minor"/>
      </rPr>
      <t>*</t>
    </r>
    <r>
      <rPr>
        <sz val="11"/>
        <color theme="1"/>
        <rFont val="Calibri"/>
        <family val="2"/>
        <scheme val="minor"/>
      </rPr>
      <t xml:space="preserve"> HRS </t>
    </r>
    <r>
      <rPr>
        <b/>
        <sz val="11"/>
        <color rgb="FFC00000"/>
        <rFont val="Calibri"/>
        <family val="2"/>
        <scheme val="minor"/>
      </rPr>
      <t>*</t>
    </r>
    <r>
      <rPr>
        <sz val="11"/>
        <color theme="1"/>
        <rFont val="Calibri"/>
        <family val="2"/>
        <scheme val="minor"/>
      </rPr>
      <t xml:space="preserve"> SVG</t>
    </r>
  </si>
  <si>
    <r>
      <rPr>
        <b/>
        <sz val="11"/>
        <color theme="1"/>
        <rFont val="Calibri"/>
        <family val="2"/>
        <scheme val="minor"/>
      </rPr>
      <t>=</t>
    </r>
    <r>
      <rPr>
        <sz val="11"/>
        <color theme="1"/>
        <rFont val="Calibri"/>
        <family val="2"/>
        <scheme val="minor"/>
      </rPr>
      <t xml:space="preserve"> ΔE </t>
    </r>
    <r>
      <rPr>
        <b/>
        <sz val="11"/>
        <color rgb="FFC00000"/>
        <rFont val="Calibri"/>
        <family val="2"/>
        <scheme val="minor"/>
      </rPr>
      <t>/</t>
    </r>
    <r>
      <rPr>
        <sz val="11"/>
        <color theme="1"/>
        <rFont val="Calibri"/>
        <family val="2"/>
        <scheme val="minor"/>
      </rPr>
      <t xml:space="preserve"> HRS</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</si>
  <si>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ΔE / HRS</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t>
    </r>
  </si>
  <si>
    <r>
      <rPr>
        <b/>
        <sz val="11"/>
        <color theme="1"/>
        <rFont val="Calibri"/>
        <family val="2"/>
        <scheme val="minor"/>
      </rPr>
      <t>=</t>
    </r>
    <r>
      <rPr>
        <sz val="11"/>
        <color theme="1"/>
        <rFont val="Calibri"/>
        <family val="2"/>
        <scheme val="minor"/>
      </rPr>
      <t xml:space="preserve"> ΔE </t>
    </r>
    <r>
      <rPr>
        <sz val="11"/>
        <color rgb="FFC00000"/>
        <rFont val="Calibri"/>
        <family val="2"/>
        <scheme val="minor"/>
      </rPr>
      <t>*</t>
    </r>
    <r>
      <rPr>
        <sz val="11"/>
        <color theme="1"/>
        <rFont val="Calibri"/>
        <family val="2"/>
        <scheme val="minor"/>
      </rPr>
      <t xml:space="preserve"> </t>
    </r>
    <r>
      <rPr>
        <b/>
        <sz val="11"/>
        <rFont val="Calibri"/>
        <family val="2"/>
        <scheme val="minor"/>
      </rPr>
      <t>(</t>
    </r>
    <r>
      <rPr>
        <sz val="11"/>
        <color theme="1"/>
        <rFont val="Calibri"/>
        <family val="2"/>
        <scheme val="minor"/>
      </rPr>
      <t>Measure Life</t>
    </r>
    <r>
      <rPr>
        <b/>
        <sz val="11"/>
        <color theme="1"/>
        <rFont val="Calibri"/>
        <family val="2"/>
        <scheme val="minor"/>
      </rPr>
      <t>)</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</si>
  <si>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LOAD </t>
    </r>
    <r>
      <rPr>
        <b/>
        <sz val="11"/>
        <color rgb="FFC00000"/>
        <rFont val="Calibri"/>
        <family val="2"/>
        <scheme val="minor"/>
      </rPr>
      <t xml:space="preserve">/ </t>
    </r>
    <r>
      <rPr>
        <sz val="11"/>
        <color theme="1"/>
        <rFont val="Calibri"/>
        <family val="2"/>
        <scheme val="minor"/>
      </rPr>
      <t>CEF_base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LOAD </t>
    </r>
    <r>
      <rPr>
        <b/>
        <sz val="11"/>
        <color rgb="FFC00000"/>
        <rFont val="Calibri"/>
        <family val="2"/>
        <scheme val="minor"/>
      </rPr>
      <t xml:space="preserve">/ </t>
    </r>
    <r>
      <rPr>
        <sz val="11"/>
        <color theme="1"/>
        <rFont val="Calibri"/>
        <family val="2"/>
        <scheme val="minor"/>
      </rPr>
      <t>CEF_he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CYCLES</t>
    </r>
  </si>
  <si>
    <t>Building Envelope</t>
  </si>
  <si>
    <t>Window Film</t>
  </si>
  <si>
    <t>Vending Miser</t>
  </si>
  <si>
    <t>Heat Pump Water Heater</t>
  </si>
  <si>
    <t>&gt;=150</t>
  </si>
  <si>
    <t>&gt;=600</t>
  </si>
  <si>
    <t>Positive Displacement</t>
  </si>
  <si>
    <t>The installation of a heat pump water heater in place of a standard electric water heater or existing less efficient heat pump water heater.</t>
  </si>
  <si>
    <t>One heat pump</t>
  </si>
  <si>
    <t>Standard electric water heater or heat pump water heater</t>
  </si>
  <si>
    <t>High efficiency heat pump water heater</t>
  </si>
  <si>
    <t>One transformer</t>
  </si>
  <si>
    <t>NEMA TP-1 (current federal minimum standard level)</t>
  </si>
  <si>
    <t>CEE Tier I (single phase)
CEE Tier II (single or three phase)</t>
  </si>
  <si>
    <t>Transformers must be listed in CEE Qualified Products List (QPL) to be considered for incentive.
QPL Source: http://library.cee1.org/content/transformersqplfebruary2015/</t>
  </si>
  <si>
    <t>Linear feet</t>
  </si>
  <si>
    <t>1. Pre-notification before project begins.
2. Controls must be installed on all doors of the refrigerator or freezer.
3. The following situations DO NOT qualify for this incentive:
     a. New refrigerators and freezers
     b. Refrigerators and freezers with existing controls being replaced with new controls
     c. Walk-in refrigerators and freezers manufactured after January 1, 2009
4. The rebate is awarded based on the total linear feet of the doors controlled by Anti-Sweat Heater Controls and incentivized at a rate of $40 per linear foot.</t>
  </si>
  <si>
    <t>No anti-sweat controls installed.</t>
  </si>
  <si>
    <t>Anti-sweat control installed.</t>
  </si>
  <si>
    <t>One ton of cooling capacity</t>
  </si>
  <si>
    <t>Variable frequency drive and control installed on full speed pumps and fans, or damped fans, used in HVAC systems.</t>
  </si>
  <si>
    <t>Motor/pump with VFD installed.</t>
  </si>
  <si>
    <t>The replacement of chillers with Energy Efficiency above the code efficiency values in place at the time of permitting the project. In multiple unit chiller plants, a review of operational chillers will be conducted to determine what fraction of installed chillers will be incentivized. This is to avoid paying for standby units.</t>
  </si>
  <si>
    <t>Equipment whose efficiency is 15% higher than IECC 2006</t>
  </si>
  <si>
    <t>Window film reduces solar heat gain, reducing load on cooling systems.</t>
  </si>
  <si>
    <t>Average daily operation</t>
  </si>
  <si>
    <t>pounds</t>
  </si>
  <si>
    <t>Conventional</t>
  </si>
  <si>
    <t>ENERGY STAR</t>
  </si>
  <si>
    <t>ASTM energy to food</t>
  </si>
  <si>
    <t>Equipment lifetime</t>
  </si>
  <si>
    <t>Annual operation</t>
  </si>
  <si>
    <t>Wh</t>
  </si>
  <si>
    <t>Daily cooking energy</t>
  </si>
  <si>
    <t>Daily idle time</t>
  </si>
  <si>
    <t>Daily idle energy</t>
  </si>
  <si>
    <t>Total daily energy</t>
  </si>
  <si>
    <t xml:space="preserve"> References</t>
  </si>
  <si>
    <t>Equipment specifications:</t>
  </si>
  <si>
    <t>- ENERGY STAR specification</t>
  </si>
  <si>
    <t>- Food Service Technology Center (FSTC) research on available models, 2009</t>
  </si>
  <si>
    <t>Operating Hours:</t>
  </si>
  <si>
    <t>- FSTC research on average use, 2009</t>
  </si>
  <si>
    <t>- FSTC research on available models, 2009</t>
  </si>
  <si>
    <t>Wh/lb</t>
  </si>
  <si>
    <t>Volume</t>
  </si>
  <si>
    <t>Typical Volume</t>
  </si>
  <si>
    <t>Efficient</t>
  </si>
  <si>
    <t>0 &lt; V 15</t>
  </si>
  <si>
    <t>15 &lt; V &lt; 30</t>
  </si>
  <si>
    <t>30 &lt; V &lt; 50</t>
  </si>
  <si>
    <t xml:space="preserve">50 &lt; V         </t>
  </si>
  <si>
    <t>Fixed Energy
(kWh)</t>
  </si>
  <si>
    <t>Adjusted Energy
(kWh/day)</t>
  </si>
  <si>
    <t>Energy Savings
(kWh/yr)</t>
  </si>
  <si>
    <t>Percentage of time in steam mode</t>
  </si>
  <si>
    <t>%_steam</t>
  </si>
  <si>
    <t>Entry for pounds cooked exceeds hourly production capacity. Change production capacity below, or change pounds, number of pans or hours on Inputs tab.</t>
  </si>
  <si>
    <t>Number of pans per unit</t>
  </si>
  <si>
    <t>boilerless</t>
  </si>
  <si>
    <t>Time in constant steam mode</t>
  </si>
  <si>
    <t>Production capacity per pan</t>
  </si>
  <si>
    <t>Wh/pound</t>
  </si>
  <si>
    <t>hour</t>
  </si>
  <si>
    <t>Notes on Modifications from Original ENERGY STAR Calculator</t>
  </si>
  <si>
    <t>Savings (3-pan)</t>
  </si>
  <si>
    <t xml:space="preserve">Table 1.V2. Chiller Baseline Minimum Efficiencies </t>
  </si>
  <si>
    <t>Published Full Load COP</t>
  </si>
  <si>
    <t>Published Units</t>
  </si>
  <si>
    <t>Published Full Load Eff Path A</t>
  </si>
  <si>
    <t>Published IPLV Path A</t>
  </si>
  <si>
    <t>Published Full Load Eff Path B</t>
  </si>
  <si>
    <t>Published IPLV Path B</t>
  </si>
  <si>
    <t>BTU/W</t>
  </si>
  <si>
    <t>Table 1 Source: 2015 International Energy Conservation Code, Table C403.2.3(7).  kW/ton are derived from COP (unitless) using kW/ton=12/(COP*3.412).Path A is intended for constant speed chillers operating at or near full load most of the time. Path B is intended for variable speed chillers operating at part load most of the time.</t>
  </si>
  <si>
    <t>&lt;150 tons</t>
  </si>
  <si>
    <t>Table 3a: Derived Cooling Hours by Building Type  and Equipment Capacity, Water Cooled</t>
  </si>
  <si>
    <t>Table 3b: Derived Cooling Hours by Building Type and Equipment Capacity, Air Cooled</t>
  </si>
  <si>
    <t>Table 2 Source: Hawaii Energy Efficiency Program Technical Reference Manual, PY 2015, July 1 2015-June 30, 2016. Measure Savings Calculations, p.106-108. See Support tab.</t>
  </si>
  <si>
    <t>Table 3 Source: 2016 Pennsylvania Technical Reference Manual cooling hours for Philadelphia, PA, adjusted for Hawaii climate using deemed cooling hours from https://www.energystar.gov/ia/business/bulk_purchasing/bpsavings_calc/Calc_CAC.xls. See Cooling Hr Proxy 2 tab</t>
  </si>
  <si>
    <t>Table 2 footnotes: 1. Hawaii Energy TRM has published unit savings tables by building type and cooling capacity range since 2011.  These tables are likely derived from California DEER database simulated savings. For the purposes of documenting applicable savings calculations, the published tables and algorithm inputs above were used here to 'back calculate' apparent coincidence factors for each combination of building type and capacity range. E.g., CF=kW savings/ton/(COP_b-COP_ee)/1 ton</t>
  </si>
  <si>
    <t>1. Eliminate CF variation by equipment size if the derived values can't be substantiated in literature or measured data.  See Cooling Hr Proxy and consider adjusting an existing set of cooling hours deemed by building type, e.g. Pennsylvania Technical Reference Manual.</t>
  </si>
  <si>
    <t xml:space="preserve">2. Check federal standards for commercial chilers at https://www.regulations.gov/#!documentDetail;D=EERE-2013-BT-STD-0007-0030. </t>
  </si>
  <si>
    <t>3. Revisit conversions from IECC to kW/ton values for IPLV_b efficiency metrics.</t>
  </si>
  <si>
    <t>4. Consider using full load efficiency to calculate kW savings and part load efficiency to calculate kWh savings as per Pennsylvania PUC Technical Reference Manual.</t>
  </si>
  <si>
    <t>Candelabra 25 W</t>
  </si>
  <si>
    <t>Candelabra 40 W</t>
  </si>
  <si>
    <t>Med Base 40 W</t>
  </si>
  <si>
    <t>Med Base 60 W</t>
  </si>
  <si>
    <t>2' Type A</t>
  </si>
  <si>
    <t>4' Type A</t>
  </si>
  <si>
    <t>Measure Savings</t>
  </si>
  <si>
    <t>Constant Volume</t>
  </si>
  <si>
    <t>Inlet Guide Vane, FC</t>
  </si>
  <si>
    <t>Inlet Damper Box</t>
  </si>
  <si>
    <t>Outlet Damper</t>
  </si>
  <si>
    <t>Eddy Current Drive</t>
  </si>
  <si>
    <t>Throttle Valve</t>
  </si>
  <si>
    <t>Case Night Cover</t>
  </si>
  <si>
    <t>peak kW savings/ft</t>
  </si>
  <si>
    <t>annual kWh savings/ft</t>
  </si>
  <si>
    <t>kW/ft</t>
  </si>
  <si>
    <t>Table 1. Power Savings Factor for Refrigerated Cases</t>
  </si>
  <si>
    <t>Low Temp (less than 0 F)</t>
  </si>
  <si>
    <t>Medium Temp (0F to 30 F)</t>
  </si>
  <si>
    <t>High Temp (35 F to 55 F)</t>
  </si>
  <si>
    <t>Refrigerated beverage vending maching (cans or bottles)</t>
  </si>
  <si>
    <t xml:space="preserve">Refrigerated  </t>
  </si>
  <si>
    <t>Non-refrigerated snack vending machine</t>
  </si>
  <si>
    <t>All (Average)</t>
  </si>
  <si>
    <t>Group</t>
  </si>
  <si>
    <t xml:space="preserve"> Subtype</t>
  </si>
  <si>
    <t>Incentive</t>
  </si>
  <si>
    <t>Design Assistance</t>
  </si>
  <si>
    <t>Energy Study</t>
  </si>
  <si>
    <t>http://www.puc.pa.gov/filing_resources/issues_laws_regulations/act_129_information/technical_reference_manual.aspx</t>
  </si>
  <si>
    <t>Source:  Pennsylvania Technical Reference Manual, Errata Update February 2017, p.403,</t>
  </si>
  <si>
    <t>Water Cooler Timer</t>
  </si>
  <si>
    <t>Transformer</t>
  </si>
  <si>
    <t>Table 1 Footnotes: 1. water cooled kW/ton IPLV values are converted from unitless IPLV for 2017.</t>
  </si>
  <si>
    <t>hrs/day</t>
  </si>
  <si>
    <t>One oven</t>
  </si>
  <si>
    <t>Energy needed to steam 1lb of food</t>
  </si>
  <si>
    <t>Idle power draw of cooking mode</t>
  </si>
  <si>
    <t>Annual Energy Use per Cooker</t>
  </si>
  <si>
    <t>≤ 20</t>
  </si>
  <si>
    <t>Federal Minimum Standard Energy Use Rate
(kWh/100 lbs)</t>
  </si>
  <si>
    <t>Air</t>
  </si>
  <si>
    <t>Cooling Method</t>
  </si>
  <si>
    <r>
      <rPr>
        <sz val="11"/>
        <color theme="1"/>
        <rFont val="Calibri"/>
        <family val="2"/>
      </rPr>
      <t>η</t>
    </r>
    <r>
      <rPr>
        <sz val="11"/>
        <color theme="1"/>
        <rFont val="Calibri"/>
        <family val="2"/>
        <scheme val="minor"/>
      </rPr>
      <t>_ee</t>
    </r>
  </si>
  <si>
    <r>
      <rPr>
        <sz val="11"/>
        <color theme="1"/>
        <rFont val="Calibri"/>
        <family val="2"/>
      </rPr>
      <t>η</t>
    </r>
    <r>
      <rPr>
        <sz val="11"/>
        <color theme="1"/>
        <rFont val="Calibri"/>
        <family val="2"/>
        <scheme val="minor"/>
      </rPr>
      <t>_bs</t>
    </r>
  </si>
  <si>
    <t>IPLV_bs</t>
  </si>
  <si>
    <t xml:space="preserve">Baseline rated full load efficiency, which depends on cooling capacity of proposed equipment. </t>
  </si>
  <si>
    <t>Proposed measure rated full load efficiency</t>
  </si>
  <si>
    <t>Baseline integrated part load value efficiency</t>
  </si>
  <si>
    <t>Proposed measure integrated part load value efficiency</t>
  </si>
  <si>
    <t>Unit of equipment cooling capacity</t>
  </si>
  <si>
    <t>Btu/hr</t>
  </si>
  <si>
    <t>Hawaii Energy applies a default 15% better than code qualifying efficiency (on kW/ton basis).</t>
  </si>
  <si>
    <t>Hawaii Energy applies a default 15% better than code qualifying efficiency.</t>
  </si>
  <si>
    <t>No Condenser</t>
  </si>
  <si>
    <t>Any</t>
  </si>
  <si>
    <t>&gt;=150 tons</t>
  </si>
  <si>
    <t>Rotary</t>
  </si>
  <si>
    <t>150-300 tons</t>
  </si>
  <si>
    <t>&gt;=300 tons</t>
  </si>
  <si>
    <t>Water</t>
  </si>
  <si>
    <t>Published IPLV</t>
  </si>
  <si>
    <t>Full HE η_bs</t>
  </si>
  <si>
    <t>Full HE η_ee</t>
  </si>
  <si>
    <r>
      <t xml:space="preserve">IPLV_bs </t>
    </r>
    <r>
      <rPr>
        <b/>
        <vertAlign val="superscript"/>
        <sz val="10"/>
        <color theme="1"/>
        <rFont val="Calibri"/>
        <family val="2"/>
        <scheme val="minor"/>
      </rPr>
      <t>1</t>
    </r>
  </si>
  <si>
    <t>Electric</t>
  </si>
  <si>
    <t>Absorbtion</t>
  </si>
  <si>
    <t>Single Effect</t>
  </si>
  <si>
    <t>Double Effect</t>
  </si>
  <si>
    <t>Indirect/Direct-fired</t>
  </si>
  <si>
    <t>Size
(tons)</t>
  </si>
  <si>
    <t>&lt;75</t>
  </si>
  <si>
    <t>&gt;=75 to  &lt;150</t>
  </si>
  <si>
    <t>&gt;=150 to &lt;300</t>
  </si>
  <si>
    <t>&gt;=300 to &lt;600</t>
  </si>
  <si>
    <t>&gt;=300 to &lt;400</t>
  </si>
  <si>
    <t>&gt;=400</t>
  </si>
  <si>
    <t>Table 4.a. Air cooled chiller: Calculated Peak kW Savings/Ton by Building Type and Equipment Size (BTU/hr)</t>
  </si>
  <si>
    <t>Table 4.b. Air cooled chiller:  Calculated Annual kWh Savings/Ton by Building Type and Equipment Size (BTU/hr)</t>
  </si>
  <si>
    <r>
      <t>Table 2a: Derived</t>
    </r>
    <r>
      <rPr>
        <b/>
        <vertAlign val="superscript"/>
        <sz val="10"/>
        <color theme="1"/>
        <rFont val="Calibri"/>
        <family val="2"/>
        <scheme val="minor"/>
      </rPr>
      <t xml:space="preserve">1 </t>
    </r>
    <r>
      <rPr>
        <b/>
        <sz val="10"/>
        <color theme="1"/>
        <rFont val="Calibri"/>
        <family val="2"/>
        <scheme val="minor"/>
      </rPr>
      <t>Coincidence Factor by Building Type and Equipment Capacity, Water Cooled</t>
    </r>
  </si>
  <si>
    <r>
      <t>Table 2b: Derived</t>
    </r>
    <r>
      <rPr>
        <b/>
        <vertAlign val="superscript"/>
        <sz val="10"/>
        <color theme="1"/>
        <rFont val="Calibri"/>
        <family val="2"/>
        <scheme val="minor"/>
      </rPr>
      <t>1</t>
    </r>
    <r>
      <rPr>
        <b/>
        <sz val="10"/>
        <color theme="1"/>
        <rFont val="Calibri"/>
        <family val="2"/>
        <scheme val="minor"/>
      </rPr>
      <t xml:space="preserve"> Coincidence Factor by Building Type and Equipment Capacity, Air Cooled</t>
    </r>
  </si>
  <si>
    <t>Table 5.a.  Water cooled chiller: Calculated Peak kW Savings/Ton by Building Type and Equipment Size (ton)</t>
  </si>
  <si>
    <t>Table 5.b. Water cooled chiller:  Calculated Annual kWh Savings/Ton by Building Type and Equipment Size (ton)</t>
  </si>
  <si>
    <t>Load factor (% of full load power in typical operation)</t>
  </si>
  <si>
    <t>Rated motor efficiency</t>
  </si>
  <si>
    <t>Demand savings factor, %. The assumed average reduction of full load enabled by the VFD as a result of lower speed or lower power need.</t>
  </si>
  <si>
    <t>Energy savings factor, %. The assumed average reduction of kWh enabled by the VFD as a result of lower speed or power operation over time.</t>
  </si>
  <si>
    <t>=1 ton capacity*[η_bs-η_ee]*CF</t>
  </si>
  <si>
    <t>=1 ton capacity*[IPLV_bs-IPLV_ee]*HOURS</t>
  </si>
  <si>
    <t>LED: Omni-Directional, A19 Screw Base</t>
  </si>
  <si>
    <t>LED: Omni-Directional, Pin Base</t>
  </si>
  <si>
    <t>Historical program data</t>
  </si>
  <si>
    <t>Persistence factor</t>
  </si>
  <si>
    <t>User Input</t>
  </si>
  <si>
    <t>Restaurants/Institutions</t>
  </si>
  <si>
    <t>Dormitories</t>
  </si>
  <si>
    <t>K-12 Schools</t>
  </si>
  <si>
    <t>boiler based</t>
  </si>
  <si>
    <t>pounds/hour/pan</t>
  </si>
  <si>
    <t>Daily pre-heat energy</t>
  </si>
  <si>
    <t>Total Energy Usage</t>
  </si>
  <si>
    <t>kWh/ft</t>
  </si>
  <si>
    <t>C_Kitchen_DCV final savings value changed from kWh/year to kWh/hp/year</t>
  </si>
  <si>
    <t>https://www.energystar.gov/sites/default/files/asset/document/commercial_kitchen_equipment_calculator.xlsx</t>
  </si>
  <si>
    <t>Oahu</t>
  </si>
  <si>
    <t>Maui</t>
  </si>
  <si>
    <t>Program</t>
  </si>
  <si>
    <t>BEEM</t>
  </si>
  <si>
    <t>Business Energy Efficiency Measures</t>
  </si>
  <si>
    <t>CBEEM</t>
  </si>
  <si>
    <t>Custom Business Energy Efficiency Measures</t>
  </si>
  <si>
    <t>BESM</t>
  </si>
  <si>
    <t>Business Energy Services and Maintenance</t>
  </si>
  <si>
    <t>BHTR</t>
  </si>
  <si>
    <t>Business Hard-to-Reach</t>
  </si>
  <si>
    <t>REEM</t>
  </si>
  <si>
    <t>Residential Energy Efficiency Measures</t>
  </si>
  <si>
    <t>CREEM</t>
  </si>
  <si>
    <t>Custom Residential Energy Efficiency Measures</t>
  </si>
  <si>
    <t>RESM</t>
  </si>
  <si>
    <t>Residential Energy Services and Maintenance</t>
  </si>
  <si>
    <t>RHTR</t>
  </si>
  <si>
    <t>Residential Hard-to-Reach</t>
  </si>
  <si>
    <t>Measure Type</t>
  </si>
  <si>
    <t>Solar Water Heating</t>
  </si>
  <si>
    <t>Heat Pumps</t>
  </si>
  <si>
    <t>Ceiling Fans</t>
  </si>
  <si>
    <t>Solar Attic Fans</t>
  </si>
  <si>
    <t>Garage Refrigerator/Freezer Bounty</t>
  </si>
  <si>
    <t>Set top box</t>
  </si>
  <si>
    <t>Pool VFD Controller Pumps</t>
  </si>
  <si>
    <t>Control Systems</t>
  </si>
  <si>
    <t>Room Occupancy Sensors &amp; Timers</t>
  </si>
  <si>
    <t>Whole House Energy Metering</t>
  </si>
  <si>
    <t>Efficiency Project Auction</t>
  </si>
  <si>
    <t>Design and Audits</t>
  </si>
  <si>
    <t>Efficiency Inside</t>
  </si>
  <si>
    <t>Central Air Conditioning Retrofit</t>
  </si>
  <si>
    <t>Hard to Reach Grants</t>
  </si>
  <si>
    <t>CFL Exchange</t>
  </si>
  <si>
    <t>Direct Install</t>
  </si>
  <si>
    <t>Energy Saving Kits</t>
  </si>
  <si>
    <t>Solar Water Heating - Electric Resistance</t>
  </si>
  <si>
    <t>Solar Water Heating - Heat Pump</t>
  </si>
  <si>
    <t>Heat Pump - conversion - Electric Resistance</t>
  </si>
  <si>
    <t>Heat Pump Upgrade</t>
  </si>
  <si>
    <t>Single Family Solar Water Heating</t>
  </si>
  <si>
    <t>LED Exit Signs</t>
  </si>
  <si>
    <t>LED Refrigerator Case Lighting</t>
  </si>
  <si>
    <t>Stairwell Bi-Level Dimming Fluorescent</t>
  </si>
  <si>
    <t>Chillers</t>
  </si>
  <si>
    <t>Chiller Plant Efficiency kW/Ton Meter</t>
  </si>
  <si>
    <t>Garage Active Ventilation Control</t>
  </si>
  <si>
    <t>Package Units</t>
  </si>
  <si>
    <t>VFR Split System – New Construction</t>
  </si>
  <si>
    <t>VFR Split System – Existing</t>
  </si>
  <si>
    <t>VFD – AHU</t>
  </si>
  <si>
    <t>VFD – Chilled Water / Condenser Water</t>
  </si>
  <si>
    <t>Water Pumping</t>
  </si>
  <si>
    <t>VFD Dom Water Booster Packages</t>
  </si>
  <si>
    <t>VFD Pool Pump</t>
  </si>
  <si>
    <t>Motors</t>
  </si>
  <si>
    <t>ECM w/ Controller – evap fan motors</t>
  </si>
  <si>
    <t>ECM – Fan Coil Fans</t>
  </si>
  <si>
    <t>Industrial Process</t>
  </si>
  <si>
    <t>Kitchen Exhaust Hood Demand Ventilation</t>
  </si>
  <si>
    <t>Refrigerated Case Night Covers</t>
  </si>
  <si>
    <t>Business Equipment</t>
  </si>
  <si>
    <t>ENERGY STAR Refrigerator</t>
  </si>
  <si>
    <t>Energy Savings Kit</t>
  </si>
  <si>
    <t>Condominium submetering</t>
  </si>
  <si>
    <t>Small Business submetering</t>
  </si>
  <si>
    <t>Custom &lt;= 5 years</t>
  </si>
  <si>
    <t>Custom &gt; 5 years</t>
  </si>
  <si>
    <t>Benchmark Metering</t>
  </si>
  <si>
    <t>Decision Maker - Real time submeters</t>
  </si>
  <si>
    <t>Energy Audit</t>
  </si>
  <si>
    <t>Energy Study Implementation - 100%</t>
  </si>
  <si>
    <t>Energy Study Assistance - 50%</t>
  </si>
  <si>
    <t>Design Assistance - 50%</t>
  </si>
  <si>
    <t>Water/Wastewater Catalyst</t>
  </si>
  <si>
    <t>Grants</t>
  </si>
  <si>
    <t>Water cooler timer</t>
  </si>
  <si>
    <t>SBDI - Kitchen Exhaust Hood Demand Ventilation</t>
  </si>
  <si>
    <t>Low flow spray rinse nozzles</t>
  </si>
  <si>
    <t>ENERGY STAR Kitchen Equipment</t>
  </si>
  <si>
    <t>Customized Retrofit</t>
  </si>
  <si>
    <t>Added definitions page</t>
  </si>
  <si>
    <t>Added Reference tables page</t>
  </si>
  <si>
    <t>Augmented definitions</t>
  </si>
  <si>
    <t>100-150</t>
  </si>
  <si>
    <t>Electric Steam Cooker</t>
  </si>
  <si>
    <t>=SVG_d,ash * W_b,door/1000 * CF</t>
  </si>
  <si>
    <t>=SVG_d,ash * W_b,door/1000 * HRS_ash</t>
  </si>
  <si>
    <t>=SVG_cooling / EER / 1000* CF</t>
  </si>
  <si>
    <t>=SVG_cooling / EER / 1000 * HRS_comp</t>
  </si>
  <si>
    <t>SVG_d,ash</t>
  </si>
  <si>
    <t>ASH demand savings factor</t>
  </si>
  <si>
    <t>SVG_d,comp</t>
  </si>
  <si>
    <t>Compressor demand savings factor</t>
  </si>
  <si>
    <t>Watt_b,door</t>
  </si>
  <si>
    <t>Btu_b,door</t>
  </si>
  <si>
    <t>Btu/hr/W</t>
  </si>
  <si>
    <t>HRS_ash</t>
  </si>
  <si>
    <t>Hours of base ASH operation per year</t>
  </si>
  <si>
    <t>HRS_comp</t>
  </si>
  <si>
    <t>RH_avg</t>
  </si>
  <si>
    <t>Annual Peak kW savings from ASH</t>
  </si>
  <si>
    <t>Annual kWh savings from ASH</t>
  </si>
  <si>
    <t>Annual Peak kW savings from Compressor</t>
  </si>
  <si>
    <t>Annual kWh savings from Compressor</t>
  </si>
  <si>
    <t>feet</t>
  </si>
  <si>
    <r>
      <t>= 0</t>
    </r>
    <r>
      <rPr>
        <vertAlign val="superscript"/>
        <sz val="11"/>
        <color theme="1"/>
        <rFont val="Calibri"/>
        <family val="2"/>
        <scheme val="minor"/>
      </rPr>
      <t>*</t>
    </r>
  </si>
  <si>
    <t>= SVG_kW * HRS</t>
  </si>
  <si>
    <r>
      <rPr>
        <vertAlign val="superscript"/>
        <sz val="8"/>
        <color theme="1"/>
        <rFont val="Calibri"/>
        <family val="2"/>
        <scheme val="minor"/>
      </rPr>
      <t xml:space="preserve">* </t>
    </r>
    <r>
      <rPr>
        <sz val="8"/>
        <color theme="1"/>
        <rFont val="Calibri"/>
        <family val="2"/>
        <scheme val="minor"/>
      </rPr>
      <t>Assumes covers are used during off peak hours--midnight to 6 am</t>
    </r>
  </si>
  <si>
    <t>SVG_kW</t>
  </si>
  <si>
    <t>Reduced power use of refrigerated display case</t>
  </si>
  <si>
    <t>Original factors from Southern Cal Edison 1997 paper</t>
  </si>
  <si>
    <t>Hours per year that cases are covered</t>
  </si>
  <si>
    <r>
      <rPr>
        <vertAlign val="superscript"/>
        <sz val="8"/>
        <color theme="1"/>
        <rFont val="Calibri"/>
        <family val="2"/>
        <scheme val="minor"/>
      </rPr>
      <t xml:space="preserve">1 </t>
    </r>
    <r>
      <rPr>
        <sz val="8"/>
        <color theme="1"/>
        <rFont val="Calibri"/>
        <family val="2"/>
        <scheme val="minor"/>
      </rPr>
      <t xml:space="preserve">Google search of refrigerated display cases yields a range of typical sizes--4', 5', 6', 6.5', 8'. </t>
    </r>
  </si>
  <si>
    <t>Loading factor--% of time pump actually operates</t>
  </si>
  <si>
    <t>kW/HP</t>
  </si>
  <si>
    <t>Source of Savings</t>
  </si>
  <si>
    <t>HP Reduction</t>
  </si>
  <si>
    <t>VFD Installation</t>
  </si>
  <si>
    <t>250 kWh per 1000 SF</t>
  </si>
  <si>
    <t>0.100 kW per 1000 SF</t>
  </si>
  <si>
    <t>hrs/yr</t>
  </si>
  <si>
    <t>Annual energy savings</t>
  </si>
  <si>
    <t>#</t>
  </si>
  <si>
    <r>
      <t>&lt;= 320 watts per ft</t>
    </r>
    <r>
      <rPr>
        <vertAlign val="superscript"/>
        <sz val="11"/>
        <color theme="1"/>
        <rFont val="Calibri"/>
        <family val="2"/>
        <scheme val="minor"/>
      </rPr>
      <t>2</t>
    </r>
  </si>
  <si>
    <t>Measure Life (yrs)</t>
  </si>
  <si>
    <t>CF*</t>
  </si>
  <si>
    <t>ESF(cool)</t>
  </si>
  <si>
    <t>Seasonal Energy Efficiency Ratio</t>
  </si>
  <si>
    <t>SEER</t>
  </si>
  <si>
    <t>CAP(cool)</t>
  </si>
  <si>
    <t>INTRODUCTION</t>
  </si>
  <si>
    <t>The TRM is intended to be a flexible and living document. New measures may be added as new program designs are implemented. These measures are often not yet characterized, so new information will be gathered through evaluations or research. Savings for current measures may change as the market evolves.</t>
  </si>
  <si>
    <t>There are four main reasons to update TRM values:</t>
  </si>
  <si>
    <t>•</t>
  </si>
  <si>
    <t>Overview of the TRM Derivation</t>
  </si>
  <si>
    <r>
      <t>·</t>
    </r>
    <r>
      <rPr>
        <sz val="7"/>
        <color theme="1"/>
        <rFont val="Times New Roman"/>
        <family val="1"/>
      </rPr>
      <t/>
    </r>
  </si>
  <si>
    <t>KEY METRICS</t>
  </si>
  <si>
    <t>Year</t>
  </si>
  <si>
    <t>Molokai</t>
  </si>
  <si>
    <t>Lanai</t>
  </si>
  <si>
    <t>Discount Rate</t>
  </si>
  <si>
    <t>The algorithms shown with each measure calculate gross customer electric savings without counting the effects of line losses from the generator to the customer or free ridership. The formula for converting gross customer-level savings to net generation-level savings are as follows:</t>
  </si>
  <si>
    <t>Net kWh :</t>
  </si>
  <si>
    <t>kWh energy savings at generation-level, net of free riders and system losses</t>
  </si>
  <si>
    <t>Net kW :</t>
  </si>
  <si>
    <t>kW savings at generation-level, net of free riders and system losses</t>
  </si>
  <si>
    <t>Gross Cust. ΔkWh :</t>
  </si>
  <si>
    <t>Gross customer level annual kWh savings for the measure</t>
  </si>
  <si>
    <t>Gross Cust. ΔkW :</t>
  </si>
  <si>
    <t>SLF :</t>
  </si>
  <si>
    <t>Residential Measures</t>
  </si>
  <si>
    <t>Commercial Measures</t>
  </si>
  <si>
    <t>SAVINGS FACTORS</t>
  </si>
  <si>
    <t>Total Resource Cost is the customer’s project or incremental cost to purchase and install the energy-efficient equipment or make operational changes above what would have been done anyway.</t>
  </si>
  <si>
    <t>The societal cost test of the TRB/TRC provides a metric of how much “return on investment” is provided by: (1) Saving energy versus generating it (kWh reductions) and (2) Avoiding the need for increased power plant capacity (Peak kW reductions).</t>
  </si>
  <si>
    <t>CORRECT</t>
  </si>
  <si>
    <t>CHECK</t>
  </si>
  <si>
    <t>REMOVE</t>
  </si>
  <si>
    <t>ADD</t>
  </si>
  <si>
    <t>MODIFY</t>
  </si>
  <si>
    <t>Action</t>
  </si>
  <si>
    <t>Detail</t>
  </si>
  <si>
    <t>Date</t>
  </si>
  <si>
    <t>Added Showerheads from v1.3.  changed MFDI pf from 0.51 to 0.96</t>
  </si>
  <si>
    <t>Added FaucetAerators from v1.3.  changed MFDI pf from 0.59 to 0.96</t>
  </si>
  <si>
    <t>GLOSSARY</t>
  </si>
  <si>
    <t>Renamed 'Definitions' tab to 'Glossary' tab</t>
  </si>
  <si>
    <t>Notes:</t>
  </si>
  <si>
    <t>Note:</t>
  </si>
  <si>
    <t>Wattage of the baseline lamp</t>
  </si>
  <si>
    <t>Wattage of the proposed efficient lamp</t>
  </si>
  <si>
    <t>= Base Power*CF_base - HPWH Power*CF_HP</t>
  </si>
  <si>
    <t>= Base WH Energy Usage - HPWH Energy Usage</t>
  </si>
  <si>
    <t>= Energy per Day per ton*Days/Yr/COP_base</t>
  </si>
  <si>
    <t>= Energy per Day per ton*Days/Yr/COP_HP</t>
  </si>
  <si>
    <t>BTU</t>
  </si>
  <si>
    <t>See table 1</t>
  </si>
  <si>
    <t>electric resistance W.H.</t>
  </si>
  <si>
    <t>heat pump W.H.</t>
  </si>
  <si>
    <r>
      <t>HPWH Power</t>
    </r>
    <r>
      <rPr>
        <b/>
        <vertAlign val="superscript"/>
        <sz val="10"/>
        <color theme="1"/>
        <rFont val="Calibri"/>
        <family val="2"/>
        <scheme val="minor"/>
      </rPr>
      <t>1</t>
    </r>
  </si>
  <si>
    <t>Hawaii Energy Efficiency Program Technical Reference Manual, PY 2015, July 1 2015-June 30, 2016. Measure Savings Calculations, p.123</t>
  </si>
  <si>
    <r>
      <t xml:space="preserve">1. Heat pump power consumption value of 0.3 kW reported in the PY7 TRM appears to be derived based on 943 kWh/ton </t>
    </r>
    <r>
      <rPr>
        <i/>
        <sz val="8"/>
        <color theme="1"/>
        <rFont val="Calibri"/>
        <family val="2"/>
        <scheme val="minor"/>
      </rPr>
      <t>savings</t>
    </r>
    <r>
      <rPr>
        <sz val="8"/>
        <color theme="1"/>
        <rFont val="Calibri"/>
        <family val="2"/>
        <scheme val="minor"/>
      </rPr>
      <t>, rather than heat pump energy usage of 367 kWh/ton.</t>
    </r>
  </si>
  <si>
    <t>Annual kWh/ton</t>
  </si>
  <si>
    <t>Peak kW/ton</t>
  </si>
  <si>
    <t>Average hours of use per day in Active Mode</t>
  </si>
  <si>
    <t xml:space="preserve">HRS_Active </t>
  </si>
  <si>
    <t>One soundbar</t>
  </si>
  <si>
    <t>ENERGY STAR v3.0 certified soundbar</t>
  </si>
  <si>
    <t>Non-ENERGY STAR v3.0 cetified soundbar</t>
  </si>
  <si>
    <t xml:space="preserve">This measure is for a midstream incentive to retailers to stock, promote, and sell soundbars which meet or exceed ENERGY STAR Version 3.0. </t>
  </si>
  <si>
    <t>Peak kW Savings/Soundbar</t>
  </si>
  <si>
    <t>Annual kWh Savings/Soundbar</t>
  </si>
  <si>
    <t>WattsBASE-ACTIVE</t>
  </si>
  <si>
    <t>WattsBASE-IDLE</t>
  </si>
  <si>
    <t>WattsBASE-SLEEP</t>
  </si>
  <si>
    <t>WattsEE-ACTIVE</t>
  </si>
  <si>
    <t>WattsEE-IDLE</t>
  </si>
  <si>
    <t>WattsEE-SLEEP</t>
  </si>
  <si>
    <t xml:space="preserve">1.https://www.cta.tech/CTA/media/policyImages/Energy-Consumption-of-Consumer-Electronics.pdf 
2.https://static1.squarespace.com/static/53c96e16e4b003bdba4f4fee/t/556d387fe4b0d8dc09b24c28/1433221247215/RPP+Methodology+for+Developing+UEC+Estimates_Final.pdf 
3.https://www.cta.tech/CTA/media/policyImages/Energy-Consumption-of-Consumer-Electronics.pdf </t>
  </si>
  <si>
    <t>BTU/hr/W</t>
  </si>
  <si>
    <t>Deemed value; 50% VRFs operational  between 5-9 pm</t>
  </si>
  <si>
    <t>Deemed value; 5 hrs per day cooling</t>
  </si>
  <si>
    <t>peak kW savings/fan</t>
  </si>
  <si>
    <t>annual kWh savings/fan</t>
  </si>
  <si>
    <t>baseline wattage of 3 incandescent bulbs</t>
  </si>
  <si>
    <t>wattage of 3 efficient CFL bulbs</t>
  </si>
  <si>
    <t>Hours of fan operation per year</t>
  </si>
  <si>
    <t>Hours of light operation per year</t>
  </si>
  <si>
    <t>Waste heat factor to account for cooling load savings from efficent lighting</t>
  </si>
  <si>
    <t>Waste heat factor to account for cooling energy savings from efficent lighting</t>
  </si>
  <si>
    <t>EISA baseline effective 2014</t>
  </si>
  <si>
    <t>Review ENERGY STAR standard at https://www.energystar.gov/products/lighting_fans/ceiling_fans/ceiling_fans_key_product_criteria for updated efficiency criteria.  At minimum allowed airflows, qualifying low, medium, high fan wattages are lower than assumed above--see notes.</t>
  </si>
  <si>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CAP</t>
    </r>
    <r>
      <rPr>
        <vertAlign val="subscript"/>
        <sz val="11"/>
        <color theme="1"/>
        <rFont val="Calibri"/>
        <family val="2"/>
        <scheme val="minor"/>
      </rPr>
      <t>.avg</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sz val="11"/>
        <color theme="1"/>
        <rFont val="Calibri"/>
        <family val="2"/>
      </rPr>
      <t>η</t>
    </r>
    <r>
      <rPr>
        <vertAlign val="subscript"/>
        <sz val="11"/>
        <color theme="1"/>
        <rFont val="Calibri"/>
        <family val="2"/>
      </rPr>
      <t>.avg</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HRS </t>
    </r>
    <r>
      <rPr>
        <b/>
        <sz val="11"/>
        <color rgb="FFC00000"/>
        <rFont val="Calibri"/>
        <family val="2"/>
        <scheme val="minor"/>
      </rPr>
      <t>*</t>
    </r>
    <r>
      <rPr>
        <sz val="11"/>
        <color theme="1"/>
        <rFont val="Calibri"/>
        <family val="2"/>
        <scheme val="minor"/>
      </rPr>
      <t xml:space="preserve"> AF</t>
    </r>
    <r>
      <rPr>
        <vertAlign val="subscript"/>
        <sz val="11"/>
        <color theme="1"/>
        <rFont val="Calibri"/>
        <family val="2"/>
        <scheme val="minor"/>
      </rPr>
      <t>.op</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1000</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</si>
  <si>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P</t>
    </r>
    <r>
      <rPr>
        <vertAlign val="subscript"/>
        <sz val="11"/>
        <color theme="1"/>
        <rFont val="Calibri"/>
        <family val="2"/>
        <scheme val="minor"/>
      </rPr>
      <t>.avg</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P</t>
    </r>
    <r>
      <rPr>
        <vertAlign val="subscript"/>
        <sz val="11"/>
        <color theme="1"/>
        <rFont val="Calibri"/>
        <family val="2"/>
        <scheme val="minor"/>
      </rPr>
      <t>.avg</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 </t>
    </r>
    <r>
      <rPr>
        <b/>
        <sz val="11"/>
        <color rgb="FFC00000"/>
        <rFont val="Calibri"/>
        <family val="2"/>
        <scheme val="minor"/>
      </rPr>
      <t>*</t>
    </r>
    <r>
      <rPr>
        <sz val="11"/>
        <color theme="1"/>
        <rFont val="Calibri"/>
        <family val="2"/>
        <scheme val="minor"/>
      </rPr>
      <t xml:space="preserve"> AF</t>
    </r>
    <r>
      <rPr>
        <vertAlign val="subscript"/>
        <sz val="11"/>
        <color theme="1"/>
        <rFont val="Calibri"/>
        <family val="2"/>
        <scheme val="minor"/>
      </rPr>
      <t>.rt</t>
    </r>
    <r>
      <rPr>
        <b/>
        <sz val="11"/>
        <color theme="1"/>
        <rFont val="Calibri"/>
        <family val="2"/>
        <scheme val="minor"/>
      </rPr>
      <t>)</t>
    </r>
  </si>
  <si>
    <t>RESIDENTIAL: CFL</t>
  </si>
  <si>
    <t>Compact Fluorescent Light</t>
  </si>
  <si>
    <t>Replacing incandescent lamp with standard screw-in, ENERGY STAR CFL.</t>
  </si>
  <si>
    <t>One lamp</t>
  </si>
  <si>
    <t>peak kW savings/lamp</t>
  </si>
  <si>
    <t>annual kWh savings/lamp</t>
  </si>
  <si>
    <r>
      <t>= (kW</t>
    </r>
    <r>
      <rPr>
        <vertAlign val="subscript"/>
        <sz val="11"/>
        <color theme="1"/>
        <rFont val="Calibri"/>
        <family val="2"/>
        <scheme val="minor"/>
      </rPr>
      <t>.base</t>
    </r>
    <r>
      <rPr>
        <sz val="11"/>
        <color theme="1"/>
        <rFont val="Calibri"/>
        <family val="2"/>
        <scheme val="minor"/>
      </rPr>
      <t xml:space="preserve"> - kW</t>
    </r>
    <r>
      <rPr>
        <vertAlign val="subscript"/>
        <sz val="11"/>
        <color theme="1"/>
        <rFont val="Calibri"/>
        <family val="2"/>
        <scheme val="minor"/>
      </rPr>
      <t>.CFL</t>
    </r>
    <r>
      <rPr>
        <sz val="11"/>
        <color theme="1"/>
        <rFont val="Calibri"/>
        <family val="2"/>
        <scheme val="minor"/>
      </rPr>
      <t>) * CF * PF</t>
    </r>
  </si>
  <si>
    <r>
      <t>= (kW</t>
    </r>
    <r>
      <rPr>
        <vertAlign val="subscript"/>
        <sz val="11"/>
        <color theme="1"/>
        <rFont val="Calibri"/>
        <family val="2"/>
        <scheme val="minor"/>
      </rPr>
      <t>.base</t>
    </r>
    <r>
      <rPr>
        <sz val="11"/>
        <color theme="1"/>
        <rFont val="Calibri"/>
        <family val="2"/>
        <scheme val="minor"/>
      </rPr>
      <t xml:space="preserve"> - kW</t>
    </r>
    <r>
      <rPr>
        <vertAlign val="subscript"/>
        <sz val="11"/>
        <color theme="1"/>
        <rFont val="Calibri"/>
        <family val="2"/>
        <scheme val="minor"/>
      </rPr>
      <t>.CFL</t>
    </r>
    <r>
      <rPr>
        <sz val="11"/>
        <color theme="1"/>
        <rFont val="Calibri"/>
        <family val="2"/>
        <scheme val="minor"/>
      </rPr>
      <t>) * HRS * PF</t>
    </r>
  </si>
  <si>
    <t>Baseline wattage of average residential bulb</t>
  </si>
  <si>
    <t>Wattage of average CFL bulb</t>
  </si>
  <si>
    <t>Hours of lamp operation per year</t>
  </si>
  <si>
    <t>Informed by 2012 EM&amp;V report</t>
  </si>
  <si>
    <t>See Table 2</t>
  </si>
  <si>
    <r>
      <t>kW</t>
    </r>
    <r>
      <rPr>
        <vertAlign val="subscript"/>
        <sz val="11"/>
        <color theme="1"/>
        <rFont val="Calibri"/>
        <family val="2"/>
        <scheme val="minor"/>
      </rPr>
      <t>.base</t>
    </r>
  </si>
  <si>
    <r>
      <t>kW</t>
    </r>
    <r>
      <rPr>
        <vertAlign val="subscript"/>
        <sz val="11"/>
        <color theme="1"/>
        <rFont val="Calibri"/>
        <family val="2"/>
        <scheme val="minor"/>
      </rPr>
      <t>.CFL</t>
    </r>
  </si>
  <si>
    <r>
      <t>Total kWh</t>
    </r>
    <r>
      <rPr>
        <b/>
        <vertAlign val="superscript"/>
        <sz val="10"/>
        <color rgb="FF000000"/>
        <rFont val="Calibri"/>
        <family val="2"/>
      </rPr>
      <t>2</t>
    </r>
    <r>
      <rPr>
        <b/>
        <sz val="10"/>
        <color rgb="FF000000"/>
        <rFont val="Calibri"/>
        <family val="2"/>
      </rPr>
      <t>, non-military</t>
    </r>
  </si>
  <si>
    <t>Total kWh, military</t>
  </si>
  <si>
    <r>
      <t>Table 1. Baseline Lamp Characteristics</t>
    </r>
    <r>
      <rPr>
        <b/>
        <vertAlign val="superscript"/>
        <sz val="11"/>
        <color rgb="FF000000"/>
        <rFont val="Calibri"/>
        <family val="2"/>
      </rPr>
      <t>1</t>
    </r>
  </si>
  <si>
    <t>Demand Baseline (kW.CFL)</t>
  </si>
  <si>
    <t>Hawaii Energy Efficiency Program Technical Reference Manual, PY 2015. Measure Savings Calculations, p.28</t>
  </si>
  <si>
    <t>1. CFL and incandescent penetration rates assume 81.8% incandescent replacement rate, and 18.2% CFL replacement rate, annually, which reflects 1 CFL burnout per every 4.5 incandescent burnout in 9000 hours of operation. 
2. Baseline kW assumptions reflect federal minimum standards for general use and specialty bulbs imposed by the Energy Independence and Security Act (EISA) for 2007 and 2020, as summarized in the 2016 Pennsylvania Technical Reference Manual (puc.pa.gov).</t>
  </si>
  <si>
    <t>Peak kW savings/lamp</t>
  </si>
  <si>
    <t>Annual kWh savings/lamp, military</t>
  </si>
  <si>
    <t>Annual kWh savings/lamp, non-military</t>
  </si>
  <si>
    <t>Demand Base '07 EISA 
(kW.bs)</t>
  </si>
  <si>
    <t>Retired Base 
(W)</t>
  </si>
  <si>
    <t>Demand Base post-2020 
(kW.b20)</t>
  </si>
  <si>
    <t>RESIDENTIAL: LED</t>
  </si>
  <si>
    <t>COMMERCIAL: Refrigerator</t>
  </si>
  <si>
    <t>COMMERCIAL: Cool Roof</t>
  </si>
  <si>
    <t>COMMERCIAL: Window Film</t>
  </si>
  <si>
    <t>COMMERCIAL: Convection Oven</t>
  </si>
  <si>
    <t>COMMERCIAL: Combination Oven</t>
  </si>
  <si>
    <t>COMMERCIAL: Electric Griddle</t>
  </si>
  <si>
    <t>COMMERCIAL: Hot Food Holding Cabinet</t>
  </si>
  <si>
    <t>COMMERCIAL: Fryer</t>
  </si>
  <si>
    <t>COMMERCIAL: Ice Machine</t>
  </si>
  <si>
    <t>COMMERCIAL: Low-Flow Spray Nozzle</t>
  </si>
  <si>
    <t>COMMERCIAL: Freezer</t>
  </si>
  <si>
    <t>COMMERCIAL: Electric Steam Cooker</t>
  </si>
  <si>
    <t>COMMERCIAL: Design Assistance</t>
  </si>
  <si>
    <t>COMMERCIAL: Energy Study</t>
  </si>
  <si>
    <t>COMMERCIAL: Chiller</t>
  </si>
  <si>
    <t>COMMERCIAL: VFD Water Pump</t>
  </si>
  <si>
    <t>COMMERCIAL: VRF</t>
  </si>
  <si>
    <t>COMMERCIAL: Energy Management System</t>
  </si>
  <si>
    <t>COMMERCIAL: Refrigerated Case Lighting</t>
  </si>
  <si>
    <t>COMMERCIAL: Light Occupancy Sensor</t>
  </si>
  <si>
    <t>COMMERCIAL: Anti-Sweat Heater Controls</t>
  </si>
  <si>
    <t>COMMERCIAL: Case Night Cover</t>
  </si>
  <si>
    <t>COMMERCIAL: Transformer</t>
  </si>
  <si>
    <t>COMMERCIAL: Vending Miser</t>
  </si>
  <si>
    <t>COMMERCIAL: Water Cooler Timer</t>
  </si>
  <si>
    <t>COMMERCIAL: Electronically Commutated Motor</t>
  </si>
  <si>
    <t>COMMERCIAL: VFD Pool  Pump</t>
  </si>
  <si>
    <t>COMMERCIAL: Condominium Submetering</t>
  </si>
  <si>
    <t>COMMERCIAL: Small Business Submetering</t>
  </si>
  <si>
    <t>COMMERCIAL: Heat Pump Water Heater</t>
  </si>
  <si>
    <t>COMMERCIAL: Solar Water Heater</t>
  </si>
  <si>
    <t>COMMERCIAL: Re/Retro-commissioning</t>
  </si>
  <si>
    <t>RESIDENTIAL: Clothes Washer</t>
  </si>
  <si>
    <t>RESIDENTIAL: Clothes Dryer</t>
  </si>
  <si>
    <t>RESIDENTIAL: Refrigerator</t>
  </si>
  <si>
    <t>RESIDENTIAL: Television</t>
  </si>
  <si>
    <t>RESIDENTIAL: Soundbar</t>
  </si>
  <si>
    <t>RESIDENTIAL: VRF Split</t>
  </si>
  <si>
    <t>RESIDENTIAL: Central A/C Retrofit</t>
  </si>
  <si>
    <t>RESIDENTIAL: Central A/C Tune Up</t>
  </si>
  <si>
    <t>RESIDENTIAL: Ceiling Fan</t>
  </si>
  <si>
    <t>RESIDENTIAL: Solar Attic Fan</t>
  </si>
  <si>
    <t>RESIDENTIAL: Whole-House Fan</t>
  </si>
  <si>
    <t>RESIDENTIAL: Lighting Occupancy Sensor</t>
  </si>
  <si>
    <t>RESIDENTIAL: Advanced Power Strips</t>
  </si>
  <si>
    <t>Plug / Process</t>
  </si>
  <si>
    <t>Annual hours of equipment operation</t>
  </si>
  <si>
    <t>Valmiki, M. and A. Corradini. Tier 2 Advanced Power Strips in Residential and Commercial Applications. San Diego Gas &amp; Electric Emerging Technologies Program, Technology Assessment Report. April 2015.  The test APS used in the study is shown with 6 controlled receptacles.</t>
  </si>
  <si>
    <t>RESIDENTIAL: VFD Pool Pump</t>
  </si>
  <si>
    <t>Pump / Motor</t>
  </si>
  <si>
    <t>RESIDENTIAL: Heat Pump Water Heater</t>
  </si>
  <si>
    <t>RESIDENTIAL: Solar Water Heater</t>
  </si>
  <si>
    <t>RESIDENTIAL: Smart Thermostat</t>
  </si>
  <si>
    <t>Equivalent full load cooling hours</t>
  </si>
  <si>
    <t>RESIDENTIAL: Direct Install Kit</t>
  </si>
  <si>
    <t>RESIDENTIAL: Solar Water Heater Tune Up</t>
  </si>
  <si>
    <t>One thermostat</t>
  </si>
  <si>
    <t>In addition to prescriptive energy conservation measures that are defined within this Technical Reference Manual, there are projects that are handled on a case-by-case basis through our custom incentive program.  Custom projects may be complex projects with multiple components, first-of-their-kind projects, or special projects that are unique to a particular customer.  A few examples of custom incentive projects from past years include:</t>
  </si>
  <si>
    <t>Custom Measures</t>
  </si>
  <si>
    <t>gpm_base</t>
  </si>
  <si>
    <t>gpm_low</t>
  </si>
  <si>
    <t>MS</t>
  </si>
  <si>
    <t>SPD</t>
  </si>
  <si>
    <t>minutes per shower</t>
  </si>
  <si>
    <t>showers per day</t>
  </si>
  <si>
    <t>flow rate of the baseline unit</t>
  </si>
  <si>
    <t>flow rate of the enhanced unit</t>
  </si>
  <si>
    <t>PH</t>
  </si>
  <si>
    <t>people per household</t>
  </si>
  <si>
    <t>shower fixtures per household</t>
  </si>
  <si>
    <t>S</t>
  </si>
  <si>
    <t>conversion factor</t>
  </si>
  <si>
    <t>T_mix</t>
  </si>
  <si>
    <t>T_inlet</t>
  </si>
  <si>
    <t>recovery efficiency</t>
  </si>
  <si>
    <t>Conversion</t>
  </si>
  <si>
    <t>Cadmus and Opinion Dynamics. Showerhead and Faucet Aerator Meter Study. Memorandum prepared for Michigan Evaluation Working Group. 2013</t>
  </si>
  <si>
    <t>Engineering constant in units of Btu/(gal˚F)</t>
  </si>
  <si>
    <t>Honolulu Board of Water Supply.</t>
  </si>
  <si>
    <t>Btu/kWh</t>
  </si>
  <si>
    <t>SERWH</t>
  </si>
  <si>
    <t>HPWH</t>
  </si>
  <si>
    <t>SWH</t>
  </si>
  <si>
    <t>engineering units</t>
  </si>
  <si>
    <t>MPD</t>
  </si>
  <si>
    <t>usage time in minutes per day</t>
  </si>
  <si>
    <t>FH</t>
  </si>
  <si>
    <t>temperature at end use</t>
  </si>
  <si>
    <t>average ground water temperature</t>
  </si>
  <si>
    <t>recovery efficiency electric resistance</t>
  </si>
  <si>
    <t>recovery efficiency heat pump water heater</t>
  </si>
  <si>
    <t>recovery efficiency solar water heater</t>
  </si>
  <si>
    <t>fixtures per household, single family</t>
  </si>
  <si>
    <t>fixtures per household, multi family</t>
  </si>
  <si>
    <t>people per household, multi family</t>
  </si>
  <si>
    <t>people per household, single family</t>
  </si>
  <si>
    <t>Remove old R_faucetaerator tab with proposed methodology</t>
  </si>
  <si>
    <t>Add new R_faucetaerator tab with new OD approved methodology</t>
  </si>
  <si>
    <t>Remove old R_showerhead tab with proposed methodology</t>
  </si>
  <si>
    <t>Add new R_showerhead tab with new OD approved methodology</t>
  </si>
  <si>
    <t>Re/Retro Commissioning</t>
  </si>
  <si>
    <t>C_Transformers tab as this measure is now custom</t>
  </si>
  <si>
    <t>Television</t>
  </si>
  <si>
    <t>Electronics Soundbar</t>
  </si>
  <si>
    <t>Faucet Aerators</t>
  </si>
  <si>
    <t>Low Flow Showerheads</t>
  </si>
  <si>
    <t>Central Air Conditioning Tune-Up</t>
  </si>
  <si>
    <t>R_CFL</t>
  </si>
  <si>
    <t>Smart Thermostats</t>
  </si>
  <si>
    <t xml:space="preserve">MODIFY </t>
  </si>
  <si>
    <t>Master EUL table. There was some inconsistency between individual entries and Table entries.</t>
  </si>
  <si>
    <t>Net Program kWh = Gross Customer Level ΔkWh × (1 + SLF) x NTGR</t>
  </si>
  <si>
    <t>Net Program kW = Gross Customer Level ΔkW × (1 + SLF) x NTGR</t>
  </si>
  <si>
    <t>NTGR :</t>
  </si>
  <si>
    <t>All BEEM Measures</t>
  </si>
  <si>
    <t>All CBEEM Measures</t>
  </si>
  <si>
    <t>All BESM Measures</t>
  </si>
  <si>
    <t>All BHTR Measures</t>
  </si>
  <si>
    <t>All other REEM Measures</t>
  </si>
  <si>
    <t>3' Type A</t>
  </si>
  <si>
    <t>8' Type A</t>
  </si>
  <si>
    <t>T5 Type A</t>
  </si>
  <si>
    <t>T5HO Type A</t>
  </si>
  <si>
    <t>LED tubes are assumed to be used in interior applications only.</t>
  </si>
  <si>
    <t>A new packaging machine for a water bottling facility.</t>
  </si>
  <si>
    <t>A condominium submetering installation with submetering on electrical consumption as well as chilled water usage at the individual condo level.</t>
  </si>
  <si>
    <t>A whole-building retro-commissioning project with “pre” and “post” metering.</t>
  </si>
  <si>
    <t xml:space="preserve">Larger chiller projects are usually quite complex, and may involve other system changes, such as controls upgrades, pump modifications, VFD upgrades and more.  Calculating savings on a prescriptive or even semi-prescriptive basis of tonnage and nameplate efficiency only would be inadequate in most cases for larger chiller projects.  </t>
  </si>
  <si>
    <t>Hawai‘i Energy acknowledges that performing true custom savings calculations is more time, cost, and labor-intensive, due to the additional requirements for pre and post metering.  These barriers may actually inhibit the feasibility of a project to move forward, and therefore Hawai‘i Energy would limit the number of custom projects per year.</t>
  </si>
  <si>
    <t>ARIES is an opt-in deployment of emerging technology and program services designed to provide significant enhancements over historical approaches with improved:</t>
  </si>
  <si>
    <t>Savings impact, measurement methods, and understanding of savings sources</t>
  </si>
  <si>
    <t>Customer interest, engagement, satisfaction, trust and overall value</t>
  </si>
  <si>
    <t xml:space="preserve">Cost structure and future curve for long term persistence and cost-effectiveness  </t>
  </si>
  <si>
    <t>The source of savings can be considered as coming from the following 4 categories of home energy impact areas, in rough order of estimated impact and cost/complexity:</t>
  </si>
  <si>
    <t>“Always On” – We estimate the average “baseline” power draw in homes to be ~250 Watts, whereas many homes have far lower continuous draws of 100W or less.  Eliminating 50 Watts of always on would amount to 6% household savings. ARIES will prioritize engaging customers to target this opportunity through gamified feedback.</t>
  </si>
  <si>
    <t>“Upgrade” – Akin to conventional program activity, ARIES customers might replace existing devices with new ones that have a different energy impact.  Out of program equipment changes can be tracked to better understand savings lifetimes, and in-program actions allow for double-counting adjustments.</t>
  </si>
  <si>
    <t>The nature and high quality of energy information and customer insights developed by ARIES affords a significant opportunity to advance other opportunities that may serve other energy system stakeholders to support public interest.</t>
  </si>
  <si>
    <t>DEER 2014</t>
  </si>
  <si>
    <t>The baseline efficiency case is the annual operation of open-display cooler cases</t>
  </si>
  <si>
    <t>The high-efficiency case is the use of night covers to protect the exposed areas of display cooler cases during unoccupied store hours.</t>
  </si>
  <si>
    <t>Linear foot of cooler space</t>
  </si>
  <si>
    <t>IPLV</t>
  </si>
  <si>
    <t>Air-cooled with condenser</t>
  </si>
  <si>
    <t>&gt;= 150 Ton</t>
  </si>
  <si>
    <t>&lt; 150 Tons</t>
  </si>
  <si>
    <t>Path B</t>
  </si>
  <si>
    <t>FL</t>
  </si>
  <si>
    <t>Path A</t>
  </si>
  <si>
    <t>Units: kW/ton</t>
  </si>
  <si>
    <t>Units: EER (Btu/W)</t>
  </si>
  <si>
    <t>FL+IPLV</t>
  </si>
  <si>
    <t>Pass/Fail Test</t>
  </si>
  <si>
    <t>&gt;= 600 tons</t>
  </si>
  <si>
    <t>&lt; 75 Tons</t>
  </si>
  <si>
    <t>IPLV_delta:</t>
  </si>
  <si>
    <t>Enter your IPLV_ee here:</t>
  </si>
  <si>
    <t>Enter your FL_ee here:</t>
  </si>
  <si>
    <t>Enter building type:</t>
  </si>
  <si>
    <t>Enter chiller type:</t>
  </si>
  <si>
    <t>kWh/yr savings:</t>
  </si>
  <si>
    <t>EFLH:</t>
  </si>
  <si>
    <t>CF:</t>
  </si>
  <si>
    <t>Step 2:  Determine if it qualifies</t>
  </si>
  <si>
    <t>Air-cooled</t>
  </si>
  <si>
    <t>PD</t>
  </si>
  <si>
    <t>Chiller Types</t>
  </si>
  <si>
    <t>C_HVAC_Chiller</t>
  </si>
  <si>
    <t>C_HVAC_AC</t>
  </si>
  <si>
    <t>C_Kitchen_Freezers</t>
  </si>
  <si>
    <t>C_Kitchen_Refrigerators</t>
  </si>
  <si>
    <t>C_HVAC_water pump</t>
  </si>
  <si>
    <t>C_Light_All</t>
  </si>
  <si>
    <t>C_Light_Dimmable</t>
  </si>
  <si>
    <t xml:space="preserve">WHEN End Hours &gt; Start Hours THEN End Hours - Start Hours                   </t>
  </si>
  <si>
    <t xml:space="preserve">WHEN End Hours &lt; Start Hours THEN End Hours - Start Hours + 24             </t>
  </si>
  <si>
    <t>WHEN End Hours = Start Hours THEN 24                                                           </t>
  </si>
  <si>
    <t>COMMERCIAL:  Stairwell Bi-level Dimming Controls</t>
  </si>
  <si>
    <t>C_PlugProcess_Night Covers</t>
  </si>
  <si>
    <t>Per tenant unit</t>
  </si>
  <si>
    <t>C_WH_HPWH</t>
  </si>
  <si>
    <t>R_HVAC_ceiling fan</t>
  </si>
  <si>
    <t>R_Light_CFL</t>
  </si>
  <si>
    <t>R_Light_Occupancy Sensor</t>
  </si>
  <si>
    <t>R_PlugProcess_Adv Power Strip</t>
  </si>
  <si>
    <t>R_WH_faucet aerators</t>
  </si>
  <si>
    <t>R_WH_showerhead</t>
  </si>
  <si>
    <t>C_Appliance_Refrigerator</t>
  </si>
  <si>
    <t>COMMERCIAL: Dimmable Lighting (Non-Linear LED)</t>
  </si>
  <si>
    <t>Cooking energy efficiency for baseline steam cookers is the average efficiency for steam generator and boiler-based cookers. Idle energy rate for baseline steam cookers is the average rate for steam generator and boiler-based cookers.</t>
  </si>
  <si>
    <t>One fryer</t>
  </si>
  <si>
    <t>One ice machine</t>
  </si>
  <si>
    <t>One freezer</t>
  </si>
  <si>
    <t>n/a</t>
  </si>
  <si>
    <t>COMMERCIAL:  Energy Advantage</t>
  </si>
  <si>
    <t>The following documents how savings are calculated for the Energy Advantage projects within Amplify.</t>
  </si>
  <si>
    <t>Introduction</t>
  </si>
  <si>
    <t>Signatures</t>
  </si>
  <si>
    <t>Glossary</t>
  </si>
  <si>
    <t>Key Metrics</t>
  </si>
  <si>
    <t>Master EUL</t>
  </si>
  <si>
    <t>Savings Factors</t>
  </si>
  <si>
    <t>COMMERCIAL/RESIDENTIAL: Measure Name</t>
  </si>
  <si>
    <t>TABLE OF CONTENTS</t>
  </si>
  <si>
    <t>Appliance</t>
  </si>
  <si>
    <t>Kitchen</t>
  </si>
  <si>
    <t>Fryer</t>
  </si>
  <si>
    <t>Freezer</t>
  </si>
  <si>
    <t>Energy Study Grant</t>
  </si>
  <si>
    <t>Sub-metering</t>
  </si>
  <si>
    <t>Condominium</t>
  </si>
  <si>
    <t>Soundbar</t>
  </si>
  <si>
    <t>Ceiling Fan</t>
  </si>
  <si>
    <t>Whole House Fan</t>
  </si>
  <si>
    <t>General Information</t>
  </si>
  <si>
    <t>SIGNATURES</t>
  </si>
  <si>
    <t>Hot Food Holding Cabinet</t>
  </si>
  <si>
    <t>General</t>
  </si>
  <si>
    <t>Anti-Sweat Heater Control</t>
  </si>
  <si>
    <t>kW calculation corrected.</t>
  </si>
  <si>
    <t>R_Light_LED</t>
  </si>
  <si>
    <t>C_Appliance_Refrigerator 
R_Appliance_Refrigerator</t>
  </si>
  <si>
    <t>C_Kitchen_Combination Oven 
C_Kitchen_Convection Oven</t>
  </si>
  <si>
    <t>C_Kitchen_DCV</t>
  </si>
  <si>
    <t>CF… should be 1.0 like other commercial kitchen?</t>
  </si>
  <si>
    <t>Demand using 70% duty cycle rather than 100%</t>
  </si>
  <si>
    <t>Added EISA baseline analysis and citations</t>
  </si>
  <si>
    <t>R_WH_LFShowerhead</t>
  </si>
  <si>
    <t>R_WH_Faucet Aerator</t>
  </si>
  <si>
    <t>C_Light_Refrigerated Case</t>
  </si>
  <si>
    <t>Added interactive factors to calculation</t>
  </si>
  <si>
    <t>R_HVAC_Window|VRF</t>
  </si>
  <si>
    <t>Split R_HVAC_Window|VRF into 2 distinct tabs</t>
  </si>
  <si>
    <t>Remove R_smart strip "average/unknown".  If not explicitely Tier 2, then it is Tier 1.</t>
  </si>
  <si>
    <t>R_Appliance_Clothes Washer</t>
  </si>
  <si>
    <t>General rounding corrections (2 decimal places for kWh, 3 for kW)</t>
  </si>
  <si>
    <t>Filled in formulas for Clothes Washers, Tier 1,2,3</t>
  </si>
  <si>
    <t>R_HVAC_Smart Thermostat</t>
  </si>
  <si>
    <t>Added tab for R_Smart Thermostat</t>
  </si>
  <si>
    <t>Definitions</t>
  </si>
  <si>
    <t>R_FaucetAerator</t>
  </si>
  <si>
    <t>R_Showerhead</t>
  </si>
  <si>
    <t>C_Transformers</t>
  </si>
  <si>
    <t>Removed R_CFL tab</t>
  </si>
  <si>
    <t>Made individual entry tab measures lives link to the Master EUL tab</t>
  </si>
  <si>
    <t>Added new measures: 3' Linear LED, 8' Linear LED, 4' T5/T5HO Linear LED</t>
  </si>
  <si>
    <t>Updated Linear LED wattages</t>
  </si>
  <si>
    <t>Updated Corn Cob wattage ranges and values</t>
  </si>
  <si>
    <t>Updated TRB table</t>
  </si>
  <si>
    <t>Added Chiller worksheet</t>
  </si>
  <si>
    <t>Added AC worksheet</t>
  </si>
  <si>
    <t>Calculations link to EFLH and Savings Factor tab, instead of in-tab table</t>
  </si>
  <si>
    <t>C_HVAC_Chiller_WKST</t>
  </si>
  <si>
    <t>C_HVAC_AC_WKST</t>
  </si>
  <si>
    <t>Added Savings Factors tab</t>
  </si>
  <si>
    <t>Added Key Metrics tab</t>
  </si>
  <si>
    <t>Added Introduction tab</t>
  </si>
  <si>
    <t>MODIFY 
REMOVE</t>
  </si>
  <si>
    <t>Added Custom section tab</t>
  </si>
  <si>
    <t>Redistributed reference tables to Savings Factors and EFLH tabs, then removed Reference tab.</t>
  </si>
  <si>
    <t xml:space="preserve">Added Master EUL tab.  Cut EUL table from Key Metrics tab.  </t>
  </si>
  <si>
    <t>CHECK 
ADD</t>
  </si>
  <si>
    <r>
      <t xml:space="preserve">For all the following, double-checked calculations and added calculations where none were present: 
    </t>
    </r>
    <r>
      <rPr>
        <sz val="11"/>
        <color theme="1"/>
        <rFont val="Calibri"/>
        <family val="2"/>
      </rPr>
      <t>◦ C_Kitchen_Freezer
    ◦ C_Kitchen_Refrigerator
    ◦ C_Spray_Nozzle -- calculations added to show how final numbers were derived
    ◦ C_IceMaker (calcs added)
    ◦ C_ElectricSteamCooker
    ◦ C_Electric Griddle (calcs added)
    ◦ C_Fryer (calcs added)
    ◦ C_Holding Cabinet
    ◦ C_Convection Oven
    ◦ C_Combination Oven</t>
    </r>
  </si>
  <si>
    <t>C_Light_Dimmable(Nonlinear LED)</t>
  </si>
  <si>
    <t xml:space="preserve"> Linked to EFLH tab and Savings Factors tab (interactive factors), then removed excess EFLH tables that are not in use.</t>
  </si>
  <si>
    <t>Updated Net-to-gross table values and reference for residential LED value change from 0.79 to 0.5</t>
  </si>
  <si>
    <t>Remove all incentive dollar values because these do not belong in TRM, they are subject to change at Program discretion.</t>
  </si>
  <si>
    <t>General format standardizations.</t>
  </si>
  <si>
    <r>
      <rPr>
        <sz val="11"/>
        <color theme="1"/>
        <rFont val="Calibri"/>
        <family val="2"/>
      </rPr>
      <t xml:space="preserve">◦ </t>
    </r>
    <r>
      <rPr>
        <sz val="11"/>
        <color theme="1"/>
        <rFont val="Calibri"/>
        <family val="2"/>
        <scheme val="minor"/>
      </rPr>
      <t>EFLH verified.  Calculations revised to use hours from PY16 TRM due to results of verification.
◦ Added new measure: 3' Linear LED
◦ Added new measure: 8' Linear LED
◦ Added new measure: 4' T5/T5 HO to Linear LED
◦ Updated wattages for remaining Linear LED measures in order to be consistent with new measures.
◦ Updated wattage ranges for LED Corn Cob in order to reflect current market and equipment trends.</t>
    </r>
  </si>
  <si>
    <t>Applicable Program Year:</t>
  </si>
  <si>
    <t>Version Number:</t>
  </si>
  <si>
    <t>Approvals:</t>
  </si>
  <si>
    <t xml:space="preserve">Name </t>
  </si>
  <si>
    <t>Title, Organization</t>
  </si>
  <si>
    <t>Independent EM&amp;V Contractor</t>
  </si>
  <si>
    <t>Hawai‘i Energy</t>
  </si>
  <si>
    <t>This measure was added back from PY15 TRM</t>
  </si>
  <si>
    <t>Energy saving value changed from 0.89% to 0.80% per EM&amp;V</t>
  </si>
  <si>
    <t>Removed this measure since kit components are addressed individually</t>
  </si>
  <si>
    <t>Removed this measure as CFLs are not included in the portfolio post-PY2017</t>
  </si>
  <si>
    <t>A chilled water or condenser water pump or HVAC fan with no VFD.</t>
  </si>
  <si>
    <t>R_HVAC_Smart thermostat</t>
  </si>
  <si>
    <t>New TRM measure in PY18</t>
  </si>
  <si>
    <t>R_Home energy kits</t>
  </si>
  <si>
    <t>R_Peer group comparison</t>
  </si>
  <si>
    <t>R_Direct install kits</t>
  </si>
  <si>
    <t>Major changes in calculation methodology and assumptions per EM&amp;V</t>
  </si>
  <si>
    <t>New prescriptive measure that debuted in PY17 but was inadvertently missing from PY17 TRM.  A very low volume of projects were rebate in PY17.</t>
  </si>
  <si>
    <t>Measure updated per EM&amp;V:  efficiency, load factor, savings by building type, EFLH and CF values modified to be consistent with SCE13HC030.1</t>
  </si>
  <si>
    <t>◦ Deemed savings method converted to semi-prescriptive method
◦ Added supplementary worksheet.</t>
  </si>
  <si>
    <t>Values changed slightly with implementation of calculations in spreadsheet.</t>
  </si>
  <si>
    <t>Removed this measure since Commercial HPWH went customized in PY2017</t>
  </si>
  <si>
    <t>C_Light_General</t>
  </si>
  <si>
    <t xml:space="preserve">C_Light_CFL </t>
  </si>
  <si>
    <t xml:space="preserve">EFFECTIVE USEFUL LIFE </t>
  </si>
  <si>
    <t>8760 minus (average of 45 Hawai‘i supermarkets open hours)</t>
  </si>
  <si>
    <t>&gt;= 75 tons &amp; &lt; 150 tons</t>
  </si>
  <si>
    <t>&gt;= 150 tons &amp; &lt; 300 tons</t>
  </si>
  <si>
    <t>&gt;= 150 Tons</t>
  </si>
  <si>
    <t>&gt;= 300 tons &amp; &lt; 400 tons</t>
  </si>
  <si>
    <t>&gt;= 300 tons &amp; &lt; 600 tons</t>
  </si>
  <si>
    <t>&gt;= 400 tons &amp; &lt; 600 tons</t>
  </si>
  <si>
    <t>kW savings:</t>
  </si>
  <si>
    <t>Step 3:  Calculate savings</t>
  </si>
  <si>
    <t>RESIDENTIAL: Faucet Aerator</t>
  </si>
  <si>
    <t>Efficient Low-Flow Aerators (bathroom and kitchen).</t>
  </si>
  <si>
    <t>Bathroom</t>
  </si>
  <si>
    <t>Enter AC type:</t>
  </si>
  <si>
    <t>RESIDENTIAL: Low-Flow Showerhead</t>
  </si>
  <si>
    <t>Electric Resistance ER from AHRI1</t>
  </si>
  <si>
    <t>˚F</t>
  </si>
  <si>
    <t>kWh per Unit, group "All"</t>
  </si>
  <si>
    <t>kWh per Unit, group "Operating"</t>
  </si>
  <si>
    <t>On Peak Demand, group "All"</t>
  </si>
  <si>
    <t>Step 1:  Enter AC nameplate data</t>
  </si>
  <si>
    <t>Executive summary of all activities included in the commissioning process.</t>
  </si>
  <si>
    <t>Introduction section, including names and contact information for the Building Owner, Building Manager, RCx Trade Ally.</t>
  </si>
  <si>
    <t>Detailed building and energy systems description, including estimates of the equipment usage profiles.</t>
  </si>
  <si>
    <t>Detailed operational scheduling of the major systems.</t>
  </si>
  <si>
    <t>Detailed report of all optimization measures identified.</t>
  </si>
  <si>
    <t>Cost estimate, energy savings estimate and simple payback for all recommended operational actions, sequencing, and equipment enhancements.</t>
  </si>
  <si>
    <t>Pre- and post-data logging.</t>
  </si>
  <si>
    <t>Testing and Balancing (TAB) of HVAC system.</t>
  </si>
  <si>
    <t>Functional testing of the EMS, if equipped.</t>
  </si>
  <si>
    <t>Detailed operations and maintenance review.</t>
  </si>
  <si>
    <t>Documentation of O&amp;M refresher training for facility staff.</t>
  </si>
  <si>
    <t>Assessment of existing equipment over-sizing and recommendations for right-sizing when HVAC equipment needs replacement, including, but not limited to recommended capital items.</t>
  </si>
  <si>
    <t>Any kWh and kW savings brought about by and verified by the retro-commissioning study, such as process optimization, schedule or set-point changes, and routine maintenance.</t>
  </si>
  <si>
    <t>Own or operate a high energy usage facility that has at least 50,000 square feet of conditioned space or that consumes at least 1,000,000 kWh/year.</t>
  </si>
  <si>
    <t>For retro-commissioning, building has been in service for at least 2 years and has never been commissioned before. For recommissioning, it has been at least 5 years since the last commissioning activity.</t>
  </si>
  <si>
    <t>Be willing to invest facility management time, typically between 8-16 hours, to support multiple site visits and data requests from the RCx consultant.</t>
  </si>
  <si>
    <t>Perform at least two weeks of metering of all major building systems prior to the implementation of any ECMs and at least two weeks of post metering. The cost of “pre” and “post” metering may be included in the total project cost by the commissioning agent. The metering plan shall be included in the proposal.</t>
  </si>
  <si>
    <t>1.</t>
  </si>
  <si>
    <t>2.</t>
  </si>
  <si>
    <t>The proposed contractor provides evidence of having completed similar commissioning projects for two or more buildings of at least 50,000 square feet (conditioned space) each, and</t>
  </si>
  <si>
    <t>All retro-commissioning work performed (to include, but not limited to, documentation and reporting) must follow guidelines recommended by an approved commissioning organization. The commissioning specialist must indicate in their report the organization’s guidelines which were followed for the retro-commissioning process.</t>
  </si>
  <si>
    <t>The cost of replacement of major end use items may be included in the total project cost from the commissioning agent. Cost of routine maintenance activities identified by the commissioning agent shall not be included in the total project.</t>
  </si>
  <si>
    <t>(Custom)</t>
  </si>
  <si>
    <t>&lt;35W</t>
  </si>
  <si>
    <t>&gt;220W</t>
  </si>
  <si>
    <t>Clothes Washer (Tier I/II/III)</t>
  </si>
  <si>
    <t>Electric Resistance, 
Dormitories</t>
  </si>
  <si>
    <t>Electric Resistance, 
K-12 Schools</t>
  </si>
  <si>
    <t>Heat Pump, 
Dormitories</t>
  </si>
  <si>
    <t>Heat Pump, 
K-12 Schools</t>
  </si>
  <si>
    <t>ASH Control</t>
  </si>
  <si>
    <t>35W-149W</t>
  </si>
  <si>
    <t>150W-220W</t>
  </si>
  <si>
    <t>Energy Management System (EMS)</t>
  </si>
  <si>
    <t>2007 EISA nominal efficiency (as defined in NEMA MG1 Table 12-12) motors.</t>
  </si>
  <si>
    <t>Efficiency of baseline motor</t>
  </si>
  <si>
    <t>kW equivalent of 1 horse power</t>
  </si>
  <si>
    <t>Efficiency of energy efficient motor</t>
  </si>
  <si>
    <t>peak kW savings per HP</t>
  </si>
  <si>
    <t>annual kWh savings per HP</t>
  </si>
  <si>
    <t>Motor Size
(hp)</t>
  </si>
  <si>
    <t>3600 RPM
(2-pole)</t>
  </si>
  <si>
    <t>1800 RPM
(4-pole)</t>
  </si>
  <si>
    <t>1200 RPM
(6-pole)</t>
  </si>
  <si>
    <t>ODP</t>
  </si>
  <si>
    <t>TEFC</t>
  </si>
  <si>
    <t>Table 1: Qualifying Motor Efficiency Table</t>
  </si>
  <si>
    <t>Per horse power</t>
  </si>
  <si>
    <r>
      <rPr>
        <b/>
        <sz val="11"/>
        <color theme="1"/>
        <rFont val="Calibri"/>
        <family val="2"/>
        <scheme val="minor"/>
      </rPr>
      <t>=</t>
    </r>
    <r>
      <rPr>
        <sz val="11"/>
        <color theme="1"/>
        <rFont val="Calibri"/>
        <family val="2"/>
        <scheme val="minor"/>
      </rPr>
      <t xml:space="preserve"> kW</t>
    </r>
    <r>
      <rPr>
        <vertAlign val="subscript"/>
        <sz val="11"/>
        <color theme="1"/>
        <rFont val="Calibri"/>
        <family val="2"/>
        <scheme val="minor"/>
      </rPr>
      <t>_perHP</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sz val="11"/>
        <color theme="1"/>
        <rFont val="Calibri"/>
        <family val="2"/>
        <scheme val="minor"/>
      </rPr>
      <t xml:space="preserve"> η</t>
    </r>
    <r>
      <rPr>
        <vertAlign val="subscript"/>
        <sz val="11"/>
        <color theme="1"/>
        <rFont val="Calibri"/>
        <family val="2"/>
        <scheme val="minor"/>
      </rPr>
      <t>_base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sz val="11"/>
        <color theme="1"/>
        <rFont val="Calibri"/>
        <family val="2"/>
        <scheme val="minor"/>
      </rPr>
      <t xml:space="preserve"> η</t>
    </r>
    <r>
      <rPr>
        <vertAlign val="subscript"/>
        <sz val="11"/>
        <color theme="1"/>
        <rFont val="Calibri"/>
        <family val="2"/>
        <scheme val="minor"/>
      </rPr>
      <t>_ee</t>
    </r>
    <r>
      <rPr>
        <b/>
        <sz val="11"/>
        <color theme="1"/>
        <rFont val="Calibri"/>
        <family val="2"/>
        <scheme val="minor"/>
      </rPr>
      <t>)]</t>
    </r>
  </si>
  <si>
    <r>
      <rPr>
        <b/>
        <sz val="11"/>
        <color theme="1"/>
        <rFont val="Calibri"/>
        <family val="2"/>
        <scheme val="minor"/>
      </rPr>
      <t>=</t>
    </r>
    <r>
      <rPr>
        <sz val="11"/>
        <color theme="1"/>
        <rFont val="Calibri"/>
        <family val="2"/>
        <scheme val="minor"/>
      </rPr>
      <t xml:space="preserve"> kW</t>
    </r>
    <r>
      <rPr>
        <vertAlign val="subscript"/>
        <sz val="11"/>
        <color theme="1"/>
        <rFont val="Calibri"/>
        <family val="2"/>
        <scheme val="minor"/>
      </rPr>
      <t>_perHP</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sz val="11"/>
        <color theme="1"/>
        <rFont val="Calibri"/>
        <family val="2"/>
        <scheme val="minor"/>
      </rPr>
      <t xml:space="preserve"> η_</t>
    </r>
    <r>
      <rPr>
        <vertAlign val="subscript"/>
        <sz val="11"/>
        <color theme="1"/>
        <rFont val="Calibri"/>
        <family val="2"/>
        <scheme val="minor"/>
      </rPr>
      <t>base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sz val="11"/>
        <color theme="1"/>
        <rFont val="Calibri"/>
        <family val="2"/>
        <scheme val="minor"/>
      </rPr>
      <t xml:space="preserve"> η</t>
    </r>
    <r>
      <rPr>
        <vertAlign val="subscript"/>
        <sz val="11"/>
        <color theme="1"/>
        <rFont val="Calibri"/>
        <family val="2"/>
        <scheme val="minor"/>
      </rPr>
      <t>_ee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LF </t>
    </r>
    <r>
      <rPr>
        <b/>
        <sz val="11"/>
        <color rgb="FFC00000"/>
        <rFont val="Calibri"/>
        <family val="2"/>
        <scheme val="minor"/>
      </rPr>
      <t>*</t>
    </r>
    <r>
      <rPr>
        <sz val="11"/>
        <color theme="1"/>
        <rFont val="Calibri"/>
        <family val="2"/>
        <scheme val="minor"/>
      </rPr>
      <t xml:space="preserve"> HRS</t>
    </r>
  </si>
  <si>
    <t>Premium Efficiency Motors</t>
  </si>
  <si>
    <t>COMMERCIAL: Premium Efficiency Motor</t>
  </si>
  <si>
    <t>C_PumpMotor_PE Motor</t>
  </si>
  <si>
    <t>Premium Efficiency Motor</t>
  </si>
  <si>
    <t>One tune up</t>
  </si>
  <si>
    <t>Standard efficiency motor with three integral incandescent bulbs.</t>
  </si>
  <si>
    <t>ENERGY STAR high efficiency motor with CFL bulbs.</t>
  </si>
  <si>
    <t>Solar-powered attic fan in air-conditioned home</t>
  </si>
  <si>
    <t>One fan.</t>
  </si>
  <si>
    <t>Fan installed.</t>
  </si>
  <si>
    <t>LED (non-military)</t>
  </si>
  <si>
    <t>LED (military)</t>
  </si>
  <si>
    <t>Code-compliant or standard efficiency power strip.</t>
  </si>
  <si>
    <r>
      <rPr>
        <b/>
        <sz val="11"/>
        <color theme="1"/>
        <rFont val="Calibri"/>
        <family val="2"/>
        <scheme val="minor"/>
      </rPr>
      <t>=</t>
    </r>
    <r>
      <rPr>
        <sz val="11"/>
        <color theme="1"/>
        <rFont val="Calibri"/>
        <family val="2"/>
        <scheme val="minor"/>
      </rPr>
      <t xml:space="preserve"> E</t>
    </r>
    <r>
      <rPr>
        <vertAlign val="subscript"/>
        <sz val="11"/>
        <color theme="1"/>
        <rFont val="Calibri"/>
        <family val="2"/>
        <scheme val="minor"/>
      </rPr>
      <t>.base</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.he</t>
    </r>
  </si>
  <si>
    <t>Per 1000 square feet of material</t>
  </si>
  <si>
    <r>
      <rPr>
        <b/>
        <sz val="11"/>
        <color theme="1"/>
        <rFont val="Calibri"/>
        <family val="2"/>
        <scheme val="minor"/>
      </rPr>
      <t>=</t>
    </r>
    <r>
      <rPr>
        <sz val="11"/>
        <color theme="1"/>
        <rFont val="Calibri"/>
        <family val="2"/>
        <scheme val="minor"/>
      </rPr>
      <t xml:space="preserve"> 250 kWh per 1000-SF</t>
    </r>
  </si>
  <si>
    <r>
      <rPr>
        <b/>
        <sz val="11"/>
        <color theme="1"/>
        <rFont val="Calibri"/>
        <family val="2"/>
        <scheme val="minor"/>
      </rPr>
      <t>=</t>
    </r>
    <r>
      <rPr>
        <sz val="11"/>
        <color theme="1"/>
        <rFont val="Calibri"/>
        <family val="2"/>
        <scheme val="minor"/>
      </rPr>
      <t xml:space="preserve"> E</t>
    </r>
    <r>
      <rPr>
        <vertAlign val="subscript"/>
        <sz val="11"/>
        <color theme="1"/>
        <rFont val="Calibri"/>
        <family val="2"/>
        <scheme val="minor"/>
      </rPr>
      <t>.cook</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.idle</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.preheat</t>
    </r>
  </si>
  <si>
    <r>
      <rPr>
        <b/>
        <sz val="11"/>
        <color theme="1"/>
        <rFont val="Calibri"/>
        <family val="2"/>
        <scheme val="minor"/>
      </rPr>
      <t>= (</t>
    </r>
    <r>
      <rPr>
        <sz val="11"/>
        <color theme="1"/>
        <rFont val="Calibri"/>
        <family val="2"/>
        <scheme val="minor"/>
      </rPr>
      <t>LBS</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sz val="11"/>
        <color theme="1"/>
        <rFont val="Calibri"/>
        <family val="2"/>
      </rPr>
      <t>η</t>
    </r>
    <r>
      <rPr>
        <vertAlign val="subscript"/>
        <sz val="11"/>
        <color theme="1"/>
        <rFont val="Calibri"/>
        <family val="2"/>
      </rPr>
      <t>.cook</t>
    </r>
    <r>
      <rPr>
        <b/>
        <sz val="11"/>
        <color theme="1"/>
        <rFont val="Calibri"/>
        <family val="2"/>
      </rPr>
      <t>)</t>
    </r>
    <r>
      <rPr>
        <sz val="11"/>
        <color theme="1"/>
        <rFont val="Calibri"/>
        <family val="2"/>
      </rPr>
      <t xml:space="preserve"> </t>
    </r>
    <r>
      <rPr>
        <b/>
        <sz val="11"/>
        <color rgb="FFC00000"/>
        <rFont val="Calibri"/>
        <family val="2"/>
      </rPr>
      <t>*</t>
    </r>
    <r>
      <rPr>
        <sz val="11"/>
        <color theme="1"/>
        <rFont val="Calibri"/>
        <family val="2"/>
      </rPr>
      <t xml:space="preserve"> DAYS</t>
    </r>
  </si>
  <si>
    <r>
      <rPr>
        <b/>
        <sz val="11"/>
        <color theme="1"/>
        <rFont val="Calibri"/>
        <family val="2"/>
        <scheme val="minor"/>
      </rPr>
      <t>=</t>
    </r>
    <r>
      <rPr>
        <sz val="11"/>
        <color theme="1"/>
        <rFont val="Calibri"/>
        <family val="2"/>
        <scheme val="minor"/>
      </rPr>
      <t xml:space="preserve"> E</t>
    </r>
    <r>
      <rPr>
        <vertAlign val="subscript"/>
        <sz val="11"/>
        <color theme="1"/>
        <rFont val="Calibri"/>
        <family val="2"/>
        <scheme val="minor"/>
      </rPr>
      <t>.preheat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DAYS</t>
    </r>
  </si>
  <si>
    <r>
      <rPr>
        <b/>
        <sz val="11"/>
        <color theme="1"/>
        <rFont val="Calibri"/>
        <family val="2"/>
        <scheme val="minor"/>
      </rPr>
      <t>=</t>
    </r>
    <r>
      <rPr>
        <sz val="11"/>
        <color theme="1"/>
        <rFont val="Calibri"/>
        <family val="2"/>
        <scheme val="minor"/>
      </rPr>
      <t xml:space="preserve"> E</t>
    </r>
    <r>
      <rPr>
        <vertAlign val="subscript"/>
        <sz val="11"/>
        <color theme="1"/>
        <rFont val="Calibri"/>
        <family val="2"/>
        <scheme val="minor"/>
      </rPr>
      <t>.idle</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HRS</t>
    </r>
    <r>
      <rPr>
        <vertAlign val="subscript"/>
        <sz val="11"/>
        <color theme="1"/>
        <rFont val="Calibri"/>
        <family val="2"/>
        <scheme val="minor"/>
      </rPr>
      <t>.daily</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LBS</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CAP</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MIN</t>
    </r>
    <r>
      <rPr>
        <vertAlign val="subscript"/>
        <sz val="11"/>
        <color theme="1"/>
        <rFont val="Calibri"/>
        <family val="2"/>
        <scheme val="minor"/>
      </rPr>
      <t>.preheat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60</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DAYS</t>
    </r>
  </si>
  <si>
    <t>(See below)</t>
  </si>
  <si>
    <r>
      <t>ΔE</t>
    </r>
    <r>
      <rPr>
        <vertAlign val="subscript"/>
        <sz val="11"/>
        <color theme="1"/>
        <rFont val="Calibri"/>
        <family val="2"/>
      </rPr>
      <t>.total</t>
    </r>
  </si>
  <si>
    <r>
      <t>ΔE</t>
    </r>
    <r>
      <rPr>
        <vertAlign val="subscript"/>
        <sz val="11"/>
        <color theme="1"/>
        <rFont val="Calibri"/>
        <family val="2"/>
      </rPr>
      <t>.base</t>
    </r>
    <r>
      <rPr>
        <sz val="11"/>
        <color theme="1"/>
        <rFont val="Calibri"/>
        <family val="2"/>
      </rPr>
      <t xml:space="preserve"> or ΔE</t>
    </r>
    <r>
      <rPr>
        <vertAlign val="subscript"/>
        <sz val="11"/>
        <color theme="1"/>
        <rFont val="Calibri"/>
        <family val="2"/>
      </rPr>
      <t>.he</t>
    </r>
  </si>
  <si>
    <r>
      <t>E</t>
    </r>
    <r>
      <rPr>
        <vertAlign val="subscript"/>
        <sz val="11"/>
        <color theme="1"/>
        <rFont val="Calibri"/>
        <family val="2"/>
      </rPr>
      <t>.cook,total</t>
    </r>
  </si>
  <si>
    <r>
      <t>E</t>
    </r>
    <r>
      <rPr>
        <vertAlign val="subscript"/>
        <sz val="11"/>
        <color theme="1"/>
        <rFont val="Calibri"/>
        <family val="2"/>
      </rPr>
      <t>.idle,total</t>
    </r>
  </si>
  <si>
    <r>
      <t>E</t>
    </r>
    <r>
      <rPr>
        <vertAlign val="subscript"/>
        <sz val="11"/>
        <color theme="1"/>
        <rFont val="Calibri"/>
        <family val="2"/>
      </rPr>
      <t>.preheat,total</t>
    </r>
  </si>
  <si>
    <r>
      <t>E</t>
    </r>
    <r>
      <rPr>
        <vertAlign val="subscript"/>
        <sz val="11"/>
        <color theme="1"/>
        <rFont val="Calibri"/>
        <family val="2"/>
        <scheme val="minor"/>
      </rPr>
      <t>.cook,total</t>
    </r>
  </si>
  <si>
    <r>
      <t>E</t>
    </r>
    <r>
      <rPr>
        <vertAlign val="subscript"/>
        <sz val="11"/>
        <color theme="1"/>
        <rFont val="Calibri"/>
        <family val="2"/>
        <scheme val="minor"/>
      </rPr>
      <t>.idle,total</t>
    </r>
  </si>
  <si>
    <r>
      <t>E</t>
    </r>
    <r>
      <rPr>
        <vertAlign val="subscript"/>
        <sz val="11"/>
        <color theme="1"/>
        <rFont val="Calibri"/>
        <family val="2"/>
        <scheme val="minor"/>
      </rPr>
      <t>.preheat,total</t>
    </r>
  </si>
  <si>
    <r>
      <rPr>
        <b/>
        <sz val="11"/>
        <color theme="1"/>
        <rFont val="Calibri"/>
        <family val="2"/>
        <scheme val="minor"/>
      </rPr>
      <t>=</t>
    </r>
    <r>
      <rPr>
        <sz val="11"/>
        <color theme="1"/>
        <rFont val="Calibri"/>
        <family val="2"/>
        <scheme val="minor"/>
      </rPr>
      <t xml:space="preserve"> LBS</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E</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sz val="11"/>
        <color theme="1"/>
        <rFont val="Calibri"/>
        <family val="2"/>
      </rPr>
      <t>η</t>
    </r>
    <r>
      <rPr>
        <vertAlign val="subscript"/>
        <sz val="11"/>
        <color theme="1"/>
        <rFont val="Calibri"/>
        <family val="2"/>
      </rPr>
      <t>.cook</t>
    </r>
    <r>
      <rPr>
        <b/>
        <sz val="11"/>
        <color theme="1"/>
        <rFont val="Calibri"/>
        <family val="2"/>
      </rPr>
      <t>)</t>
    </r>
    <r>
      <rPr>
        <sz val="11"/>
        <color theme="1"/>
        <rFont val="Calibri"/>
        <family val="2"/>
      </rPr>
      <t xml:space="preserve"> </t>
    </r>
    <r>
      <rPr>
        <b/>
        <sz val="11"/>
        <color rgb="FFC00000"/>
        <rFont val="Calibri"/>
        <family val="2"/>
      </rPr>
      <t>*</t>
    </r>
    <r>
      <rPr>
        <sz val="11"/>
        <color theme="1"/>
        <rFont val="Calibri"/>
        <family val="2"/>
      </rPr>
      <t xml:space="preserve"> DAYS</t>
    </r>
  </si>
  <si>
    <t>ΔkWh</t>
  </si>
  <si>
    <t>ΔkW</t>
  </si>
  <si>
    <r>
      <rPr>
        <b/>
        <sz val="11"/>
        <color theme="1"/>
        <rFont val="Calibri"/>
        <family val="2"/>
        <scheme val="minor"/>
      </rPr>
      <t>=</t>
    </r>
    <r>
      <rPr>
        <sz val="11"/>
        <color theme="1"/>
        <rFont val="Calibri"/>
        <family val="2"/>
        <scheme val="minor"/>
      </rPr>
      <t xml:space="preserve"> HRS</t>
    </r>
    <r>
      <rPr>
        <vertAlign val="subscript"/>
        <sz val="11"/>
        <color theme="1"/>
        <rFont val="Calibri"/>
        <family val="2"/>
        <scheme val="minor"/>
      </rPr>
      <t>.daily</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DAYS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kW</t>
    </r>
    <r>
      <rPr>
        <vertAlign val="subscript"/>
        <sz val="11"/>
        <color theme="1"/>
        <rFont val="Calibri"/>
        <family val="2"/>
        <scheme val="minor"/>
      </rPr>
      <t>.bs</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kW</t>
    </r>
    <r>
      <rPr>
        <vertAlign val="subscript"/>
        <sz val="11"/>
        <color theme="1"/>
        <rFont val="Calibri"/>
        <family val="2"/>
        <scheme val="minor"/>
      </rPr>
      <t>.he</t>
    </r>
    <r>
      <rPr>
        <b/>
        <sz val="11"/>
        <color theme="1"/>
        <rFont val="Calibri"/>
        <family val="2"/>
        <scheme val="minor"/>
      </rPr>
      <t>)</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</si>
  <si>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kW.bs </t>
    </r>
    <r>
      <rPr>
        <b/>
        <sz val="11"/>
        <color rgb="FFC00000"/>
        <rFont val="Calibri"/>
        <family val="2"/>
        <scheme val="minor"/>
      </rPr>
      <t>-</t>
    </r>
    <r>
      <rPr>
        <sz val="11"/>
        <color theme="1"/>
        <rFont val="Calibri"/>
        <family val="2"/>
        <scheme val="minor"/>
      </rPr>
      <t xml:space="preserve"> kW.he</t>
    </r>
    <r>
      <rPr>
        <b/>
        <sz val="1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t>
    </r>
  </si>
  <si>
    <t>Baseline equipment demand</t>
  </si>
  <si>
    <t>High efficiency equipment demand</t>
  </si>
  <si>
    <t>See below</t>
  </si>
  <si>
    <t>EISA 2007, avg 1 HP</t>
  </si>
  <si>
    <t>HE requirement, avg 1 HP</t>
  </si>
  <si>
    <t>This measure was added back from PY15 TRM with updated efficiency values.</t>
  </si>
  <si>
    <t>Changed efficiency values to reflect updated standards.</t>
  </si>
  <si>
    <t>Added Premium Efficiency Motor entry from PY15 TRM.</t>
  </si>
  <si>
    <t>COMMERCIAL: VFD Booster Pump</t>
  </si>
  <si>
    <t>Res. VFD Pool Pump</t>
  </si>
  <si>
    <t>Multi-family</t>
  </si>
  <si>
    <t>Induction Motor Efficiency Standards</t>
  </si>
  <si>
    <t>Prepared by Johnny Douglass, P.E.</t>
  </si>
  <si>
    <t>Washington State University</t>
  </si>
  <si>
    <t>Extension Energy Program</t>
  </si>
  <si>
    <t>925 Plum Street SE, Bldg. 4</t>
  </si>
  <si>
    <t>POB 43169</t>
  </si>
  <si>
    <t>Olympia, WA 98504-3165</t>
  </si>
  <si>
    <t>See notes at end of tables</t>
  </si>
  <si>
    <t>Enclosure</t>
  </si>
  <si>
    <t>Speed</t>
  </si>
  <si>
    <t>Horsepower</t>
  </si>
  <si>
    <t>Volt</t>
  </si>
  <si>
    <t>Old NEMA</t>
  </si>
  <si>
    <t>NEMA EPACT</t>
  </si>
  <si>
    <t>IEEE 841</t>
  </si>
  <si>
    <t>NEMA Premium</t>
  </si>
  <si>
    <t>Page 1 of 8</t>
  </si>
  <si>
    <t>Page 2 of 8</t>
  </si>
  <si>
    <t>Page 3 of 8</t>
  </si>
  <si>
    <t>Page 4 of 8</t>
  </si>
  <si>
    <t>Page 5 of 8</t>
  </si>
  <si>
    <t>Page 6 of 8</t>
  </si>
  <si>
    <t>Page 7 of 8</t>
  </si>
  <si>
    <t>Synchronous speed:  equal to 7200 / #poles</t>
  </si>
  <si>
    <t>Rated Horsepower</t>
  </si>
  <si>
    <t>Volt Code:  460 means = or &lt; 600 V; 4000 means &gt; 600 V</t>
  </si>
  <si>
    <t xml:space="preserve">Earliest NEMA standard for “Energy Efficient” label.  </t>
  </si>
  <si>
    <t>Lower than current “Energy Efficient” standard</t>
  </si>
  <si>
    <t xml:space="preserve">Current NEMA standard for “Energy Efficient” label.  </t>
  </si>
  <si>
    <t>Sames as EPAct but EPAct doesn’t exist at &gt;200 HP or &lt;1200 RPM</t>
  </si>
  <si>
    <t>IEEE 841-2001 standard</t>
  </si>
  <si>
    <t>NEMA standard for “Premium Efficient” label.</t>
  </si>
  <si>
    <t>© 2005 Washington State University Extension Energy Program. This publication contains material written and produced for public distribution.  You may reprint this written material, provided you do not use it to endorse a commercial product. Please reference by title and credit Washington State University Extension Energy Program and the Northwest Energy Efficiency Alliance.</t>
  </si>
  <si>
    <t>WSUEEP02_029 April 2002, Revised July 2002, Updated October 2005</t>
  </si>
  <si>
    <t>Page 8 of 8</t>
  </si>
  <si>
    <t>Building must have a means of mechanical cooling and cool roof must meet solar absorptance criteria.</t>
  </si>
  <si>
    <t>tons</t>
  </si>
  <si>
    <t xml:space="preserve">Vending machine must be refrigerated and/or employ an active lamp. </t>
  </si>
  <si>
    <t xml:space="preserve">Timers must be digital, include an internal rechargeable battery, and 7 day programmable on/off settings.  </t>
  </si>
  <si>
    <t xml:space="preserve">Project pre-approval required.  </t>
  </si>
  <si>
    <t>Ceiling fan must have an ENERGY STAR label and include lighting.</t>
  </si>
  <si>
    <t>Contact Hawai'i Energy's residential team for more information.</t>
  </si>
  <si>
    <t>Qualified showerheads are provided directly by Hawai‘i Energy via online store or direct-install program.</t>
  </si>
  <si>
    <t>R_HVAC_VRF Split</t>
  </si>
  <si>
    <t>Changed enhanced SEER from 16 to 18.</t>
  </si>
  <si>
    <t>Enhanced case requirement increased from 16 to 18 per Honeywell</t>
  </si>
  <si>
    <t>Tab Name</t>
  </si>
  <si>
    <t>Issues</t>
  </si>
  <si>
    <t>Resolution Status</t>
  </si>
  <si>
    <t>Resolved</t>
  </si>
  <si>
    <t>For PY18 TRM</t>
  </si>
  <si>
    <t>Overall</t>
  </si>
  <si>
    <t>Unresolved</t>
  </si>
  <si>
    <t>Status Last Updated</t>
  </si>
  <si>
    <t>Non-linear LED (~23% of PY16 portfolio)
- Revisit overall methodology
- Revisit percent incandescent/CFL mix based on market research
- Revisit baseline wattages (currently not accounting for EISA, although they do account for 80% CFL assumption for A-19, which could be overly conservative)</t>
  </si>
  <si>
    <t>Energy Management Controls (2% of PY16 portfolio) - Deemed savings are unsourced. Revisit methodology and determine best approach for revisions to this measure</t>
  </si>
  <si>
    <t>Chillers - review approach in its entirety</t>
  </si>
  <si>
    <t>VFDs (0.8% of PY16 portfolio) - review approach in its entirety</t>
  </si>
  <si>
    <t>Variable Refrigerant Flow (1.5% of PY16 portfolio) - Need to document sources for deemed savings assumptions and/or consider a revised approach</t>
  </si>
  <si>
    <t>R_WH_SWH</t>
  </si>
  <si>
    <t>Other Notes</t>
  </si>
  <si>
    <t>Per PY18 TRM Changes Log</t>
  </si>
  <si>
    <t>Per EEM talking points for AEG team</t>
  </si>
  <si>
    <t>For all the following, double-checked calculations and added calculations where none were present: 
    ◦ C_Kitchen_Freezer
    ◦ C_Kitchen_Refrigerator
    ◦ C_Spray_Nozzle -- calculations added to show how final numbers were derived
    ◦ C_IceMaker (calcs added)
    ◦ C_ElectricSteamCooker
    ◦ C_Electric Griddle (calcs added)
    ◦ C_Fryer (calcs added)
    ◦ C_Holding Cabinet
    ◦ C_Convection Oven
    ◦ C_Combination Oven</t>
  </si>
  <si>
    <t>TBD</t>
  </si>
  <si>
    <t>Linked to EFLH tab and Savings Factors tab (interactive factors), then removed excess EFLH tables that are not in use.</t>
  </si>
  <si>
    <t>From "Revision Log (internal" tab hidden in PY18 TRM</t>
  </si>
  <si>
    <t>TOC</t>
  </si>
  <si>
    <t>C_HVAC_VFD Water Pump</t>
  </si>
  <si>
    <t>C_HVAC_VRF</t>
  </si>
  <si>
    <t>C_HVAC_EMS</t>
  </si>
  <si>
    <t>C_Lighting_Refrigerated Case</t>
  </si>
  <si>
    <t>C_Light_Occupancy Sensor</t>
  </si>
  <si>
    <t>C_Light_Stairwell Bi-Level</t>
  </si>
  <si>
    <t>C_Light_Energy Advantage</t>
  </si>
  <si>
    <t>C_PumpMotor_VFD Booster Pump</t>
  </si>
  <si>
    <t>C_PumpMotor_VFD Pool Pump</t>
  </si>
  <si>
    <t>C_WH_Solar</t>
  </si>
  <si>
    <t>R_Appliance_Refrigerator</t>
  </si>
  <si>
    <t>R_PumpMotor_VFD Pool Pump</t>
  </si>
  <si>
    <t>R_WH_SWH Tune Up</t>
  </si>
  <si>
    <t>R_Other_Peer Group Comparison</t>
  </si>
  <si>
    <t xml:space="preserve">State of Minnesota, Technical Reference Manual for Energy Conservation Improvement Programs, Version 2.2, May 2, 2018. </t>
  </si>
  <si>
    <t>Michigan Energy Measure Database, 2018 MEMD Master Database, https://www.michigan.gov/mpsc/0,4639,7-159-52495_55129---,00.html. Spreadsheet.</t>
  </si>
  <si>
    <t>Northwest Power Conservation Council (NWPCC), Commercial Data Centers, Version 6 - Seventh Power Plan Conservation Supply Workbooks, February 25, 2016. Spreadsheet.
Northwest Power Conservation Council (NWPCC), Industrial Tool, Version 9 - Seventh Power Plan Conservation Supply Workbooks, February 25, 2016. Spreadsheet.</t>
  </si>
  <si>
    <t>Transformer Replacement Program, Low-Voltage Dry-Type 25-300 KVA Transformers, Implementation Manual, Version 2, National Grid, January 24, 2018.</t>
  </si>
  <si>
    <t>Net to gross ratios with consideration of spillover, market effects, market transformation. Update using secondary information for PY19 TRM.</t>
  </si>
  <si>
    <t>Consider leveraging 2019 Baseline Study to survey participants and non-participants.</t>
  </si>
  <si>
    <t>Solar hot water heater (1.6% of PY16 portfolio) - Revisit baseline and methodology and make consistent with other input assumptions in TRM (e.g., people per house, hot water temperature assumptions, hot water usage assumptions)</t>
  </si>
  <si>
    <t xml:space="preserve">Review/update EULs and, where applicable, RULs. </t>
  </si>
  <si>
    <t>Address formal definition of demand savings (currently not consistent between measures) and calculation of such demand savings.</t>
  </si>
  <si>
    <t>COMMERCIAL_Lighting</t>
  </si>
  <si>
    <t>Review/update</t>
  </si>
  <si>
    <t>Per PY19 prioritization</t>
  </si>
  <si>
    <t>C_HVAC_Chiller, C_HVAC_Chiller_WKST</t>
  </si>
  <si>
    <t>Custom Measures - Transformers</t>
  </si>
  <si>
    <t>ISSUES LOG</t>
  </si>
  <si>
    <t>Title 10: Energy, PART 431—ENERGY EFFICIENCY PROGRAM FOR CERTAIN COMMERCIAL AND INDUSTRIAL EQUIPMENT, Subpart K—Distribution Transformers, §431.196 Energy conservation standards and their effective dates, Electronic Code of Federal Regulations, U.S. Government Publishing Office.</t>
  </si>
  <si>
    <t>OVERVIEW</t>
  </si>
  <si>
    <t>UPDATE STATUS</t>
  </si>
  <si>
    <t>Residential New Construction</t>
  </si>
  <si>
    <t>Advanced Residential Intelligent Efficiency Services (ARIES)</t>
  </si>
  <si>
    <t>“Adjustments &amp; Maintenance” – Changing setting and schedules, or habits associated with devices like electronics and appliances. The savings potential in this category is higher for large electric uses like heat pumps, water and space heaters, etc. Depending upon customer context, could represent additional 5% savings or more. ARIES will assess customer-specific savings potential and act accordingly with informational interventions.</t>
  </si>
  <si>
    <t>“Eliminate” – Many households accumulate energy-using products or equipment over time that they may not need. ARIES will help enhance customers’ visibility and awareness of vestigial device usage and encourage them to consider whether customers have an opportunities to reduce their energy clutter.</t>
  </si>
  <si>
    <t>1)</t>
  </si>
  <si>
    <t>2)</t>
  </si>
  <si>
    <t>3)</t>
  </si>
  <si>
    <t>The age of the transformer exceeds the EUL,</t>
  </si>
  <si>
    <t>The transformer is no longer functioning, or</t>
  </si>
  <si>
    <t xml:space="preserve">The pre-existing transformer is functioning with remaining useful life of &gt; 0 years (based on the EUL), and </t>
  </si>
  <si>
    <t>The vintage (and therefore RUL) of the pre-existing transformer can be ascertained and is well-documented.</t>
  </si>
  <si>
    <t>It is a new construction project.</t>
  </si>
  <si>
    <r>
      <t>CAP</t>
    </r>
    <r>
      <rPr>
        <vertAlign val="subscript"/>
        <sz val="10.5"/>
        <color theme="1"/>
        <rFont val="Calibri"/>
        <family val="2"/>
        <scheme val="minor"/>
      </rPr>
      <t>.cool</t>
    </r>
  </si>
  <si>
    <r>
      <t>ESF</t>
    </r>
    <r>
      <rPr>
        <vertAlign val="subscript"/>
        <sz val="10.5"/>
        <color theme="1"/>
        <rFont val="Calibri"/>
        <family val="2"/>
        <scheme val="minor"/>
      </rPr>
      <t>.cool</t>
    </r>
  </si>
  <si>
    <r>
      <t>%</t>
    </r>
    <r>
      <rPr>
        <vertAlign val="subscript"/>
        <sz val="10.5"/>
        <color theme="1"/>
        <rFont val="Calibri"/>
        <family val="2"/>
        <scheme val="minor"/>
      </rPr>
      <t>.low</t>
    </r>
  </si>
  <si>
    <r>
      <t>%</t>
    </r>
    <r>
      <rPr>
        <vertAlign val="subscript"/>
        <sz val="10.5"/>
        <color theme="1"/>
        <rFont val="Calibri"/>
        <family val="2"/>
        <scheme val="minor"/>
      </rPr>
      <t>.med</t>
    </r>
  </si>
  <si>
    <r>
      <t>%</t>
    </r>
    <r>
      <rPr>
        <vertAlign val="subscript"/>
        <sz val="10.5"/>
        <color theme="1"/>
        <rFont val="Calibri"/>
        <family val="2"/>
        <scheme val="minor"/>
      </rPr>
      <t>.high</t>
    </r>
  </si>
  <si>
    <r>
      <t>Low</t>
    </r>
    <r>
      <rPr>
        <vertAlign val="subscript"/>
        <sz val="10.5"/>
        <color theme="1"/>
        <rFont val="Calibri"/>
        <family val="2"/>
        <scheme val="minor"/>
      </rPr>
      <t>.kW,base</t>
    </r>
  </si>
  <si>
    <r>
      <t>Low</t>
    </r>
    <r>
      <rPr>
        <vertAlign val="subscript"/>
        <sz val="10.5"/>
        <color theme="1"/>
        <rFont val="Calibri"/>
        <family val="2"/>
      </rPr>
      <t>.kW,ee</t>
    </r>
  </si>
  <si>
    <r>
      <t>Med</t>
    </r>
    <r>
      <rPr>
        <vertAlign val="subscript"/>
        <sz val="10.5"/>
        <color theme="1"/>
        <rFont val="Calibri"/>
        <family val="2"/>
      </rPr>
      <t>.kW,base</t>
    </r>
  </si>
  <si>
    <r>
      <t>Med</t>
    </r>
    <r>
      <rPr>
        <vertAlign val="subscript"/>
        <sz val="10.5"/>
        <color theme="1"/>
        <rFont val="Calibri"/>
        <family val="2"/>
        <scheme val="minor"/>
      </rPr>
      <t>.kW,ee</t>
    </r>
  </si>
  <si>
    <r>
      <t>High</t>
    </r>
    <r>
      <rPr>
        <vertAlign val="subscript"/>
        <sz val="10.5"/>
        <color theme="1"/>
        <rFont val="Calibri"/>
        <family val="2"/>
        <scheme val="minor"/>
      </rPr>
      <t>.kW,base</t>
    </r>
  </si>
  <si>
    <r>
      <t>High</t>
    </r>
    <r>
      <rPr>
        <vertAlign val="subscript"/>
        <sz val="10.5"/>
        <color theme="1"/>
        <rFont val="Calibri"/>
        <family val="2"/>
        <scheme val="minor"/>
      </rPr>
      <t>.kW,ee</t>
    </r>
  </si>
  <si>
    <r>
      <t>Inc</t>
    </r>
    <r>
      <rPr>
        <vertAlign val="subscript"/>
        <sz val="10.5"/>
        <color theme="1"/>
        <rFont val="Calibri"/>
        <family val="2"/>
        <scheme val="minor"/>
      </rPr>
      <t>.kW</t>
    </r>
  </si>
  <si>
    <r>
      <t>CFL</t>
    </r>
    <r>
      <rPr>
        <vertAlign val="subscript"/>
        <sz val="10.5"/>
        <color theme="1"/>
        <rFont val="Calibri"/>
        <family val="2"/>
        <scheme val="minor"/>
      </rPr>
      <t>.kW</t>
    </r>
  </si>
  <si>
    <r>
      <t>HRS</t>
    </r>
    <r>
      <rPr>
        <vertAlign val="subscript"/>
        <sz val="10.5"/>
        <color theme="1"/>
        <rFont val="Calibri"/>
        <family val="2"/>
        <scheme val="minor"/>
      </rPr>
      <t>.fan</t>
    </r>
  </si>
  <si>
    <r>
      <t>HRS</t>
    </r>
    <r>
      <rPr>
        <vertAlign val="subscript"/>
        <sz val="10.5"/>
        <color theme="1"/>
        <rFont val="Calibri"/>
        <family val="2"/>
        <scheme val="minor"/>
      </rPr>
      <t>.light</t>
    </r>
  </si>
  <si>
    <r>
      <t>WHF</t>
    </r>
    <r>
      <rPr>
        <vertAlign val="subscript"/>
        <sz val="10.5"/>
        <color theme="1"/>
        <rFont val="Calibri"/>
        <family val="2"/>
        <scheme val="minor"/>
      </rPr>
      <t>.d</t>
    </r>
  </si>
  <si>
    <r>
      <t>WHF</t>
    </r>
    <r>
      <rPr>
        <vertAlign val="subscript"/>
        <sz val="10.5"/>
        <color theme="1"/>
        <rFont val="Calibri"/>
        <family val="2"/>
      </rPr>
      <t>.e</t>
    </r>
  </si>
  <si>
    <r>
      <t>CAP</t>
    </r>
    <r>
      <rPr>
        <vertAlign val="subscript"/>
        <sz val="10.5"/>
        <color theme="1"/>
        <rFont val="Calibri"/>
        <family val="2"/>
        <scheme val="minor"/>
      </rPr>
      <t>.avg</t>
    </r>
  </si>
  <si>
    <r>
      <t>P</t>
    </r>
    <r>
      <rPr>
        <vertAlign val="subscript"/>
        <sz val="10.5"/>
        <color theme="1"/>
        <rFont val="Calibri"/>
        <family val="2"/>
        <scheme val="minor"/>
      </rPr>
      <t>.avg</t>
    </r>
  </si>
  <si>
    <r>
      <t>η</t>
    </r>
    <r>
      <rPr>
        <vertAlign val="subscript"/>
        <sz val="10.5"/>
        <color theme="1"/>
        <rFont val="Calibri"/>
        <family val="2"/>
      </rPr>
      <t>.avg</t>
    </r>
  </si>
  <si>
    <r>
      <t>AF</t>
    </r>
    <r>
      <rPr>
        <vertAlign val="subscript"/>
        <sz val="10.5"/>
        <color theme="1"/>
        <rFont val="Calibri"/>
        <family val="2"/>
      </rPr>
      <t>.op</t>
    </r>
  </si>
  <si>
    <r>
      <t>Adjustment factor for operational problems</t>
    </r>
    <r>
      <rPr>
        <vertAlign val="superscript"/>
        <sz val="10.5"/>
        <color theme="1"/>
        <rFont val="Calibri"/>
        <family val="2"/>
        <scheme val="minor"/>
      </rPr>
      <t>1</t>
    </r>
  </si>
  <si>
    <r>
      <t>AF</t>
    </r>
    <r>
      <rPr>
        <vertAlign val="subscript"/>
        <sz val="10.5"/>
        <color theme="1"/>
        <rFont val="Calibri"/>
        <family val="2"/>
        <scheme val="minor"/>
      </rPr>
      <t>.rt</t>
    </r>
  </si>
  <si>
    <r>
      <t>Adjustment factor for post tune-up run time</t>
    </r>
    <r>
      <rPr>
        <vertAlign val="superscript"/>
        <sz val="10.5"/>
        <color theme="1"/>
        <rFont val="Calibri"/>
        <family val="2"/>
        <scheme val="minor"/>
      </rPr>
      <t>2</t>
    </r>
  </si>
  <si>
    <r>
      <t>Watts</t>
    </r>
    <r>
      <rPr>
        <vertAlign val="subscript"/>
        <sz val="10.5"/>
        <color theme="1"/>
        <rFont val="Calibri"/>
        <family val="2"/>
        <scheme val="minor"/>
      </rPr>
      <t>_bs,active</t>
    </r>
  </si>
  <si>
    <r>
      <t>Fraunhofer Center for Sustainable Energy Systems. 2014.</t>
    </r>
    <r>
      <rPr>
        <vertAlign val="superscript"/>
        <sz val="10.5"/>
        <color theme="1"/>
        <rFont val="Calibri"/>
        <family val="2"/>
        <scheme val="minor"/>
      </rPr>
      <t>1</t>
    </r>
  </si>
  <si>
    <r>
      <t>Watts</t>
    </r>
    <r>
      <rPr>
        <vertAlign val="subscript"/>
        <sz val="10.5"/>
        <color theme="1"/>
        <rFont val="Calibri"/>
        <family val="2"/>
        <scheme val="minor"/>
      </rPr>
      <t>_bs,idle</t>
    </r>
  </si>
  <si>
    <r>
      <t>Watt</t>
    </r>
    <r>
      <rPr>
        <vertAlign val="subscript"/>
        <sz val="10.5"/>
        <color theme="1"/>
        <rFont val="Calibri"/>
        <family val="2"/>
        <scheme val="minor"/>
      </rPr>
      <t>_bs,sleep</t>
    </r>
  </si>
  <si>
    <r>
      <t>Watt</t>
    </r>
    <r>
      <rPr>
        <vertAlign val="subscript"/>
        <sz val="10.5"/>
        <color theme="1"/>
        <rFont val="Calibri"/>
        <family val="2"/>
        <scheme val="minor"/>
      </rPr>
      <t>_ee,active</t>
    </r>
  </si>
  <si>
    <r>
      <t>Watt</t>
    </r>
    <r>
      <rPr>
        <vertAlign val="subscript"/>
        <sz val="10.5"/>
        <color theme="1"/>
        <rFont val="Calibri"/>
        <family val="2"/>
        <scheme val="minor"/>
      </rPr>
      <t>_ee,idle</t>
    </r>
  </si>
  <si>
    <r>
      <t>Watt</t>
    </r>
    <r>
      <rPr>
        <vertAlign val="subscript"/>
        <sz val="10.5"/>
        <color theme="1"/>
        <rFont val="Calibri"/>
        <family val="2"/>
        <scheme val="minor"/>
      </rPr>
      <t>_ee,sleep</t>
    </r>
  </si>
  <si>
    <r>
      <t>HRS</t>
    </r>
    <r>
      <rPr>
        <vertAlign val="subscript"/>
        <sz val="10.5"/>
        <color theme="1"/>
        <rFont val="Calibri"/>
        <family val="2"/>
        <scheme val="minor"/>
      </rPr>
      <t>_active</t>
    </r>
  </si>
  <si>
    <r>
      <t>Fraunhofer Center for Sustainable Energy Systems. 2014.</t>
    </r>
    <r>
      <rPr>
        <vertAlign val="superscript"/>
        <sz val="10.5"/>
        <color theme="1"/>
        <rFont val="Calibri"/>
        <family val="2"/>
        <scheme val="minor"/>
      </rPr>
      <t>3</t>
    </r>
  </si>
  <si>
    <r>
      <t>HRS</t>
    </r>
    <r>
      <rPr>
        <vertAlign val="subscript"/>
        <sz val="10.5"/>
        <color theme="1"/>
        <rFont val="Calibri"/>
        <family val="2"/>
        <scheme val="minor"/>
      </rPr>
      <t>_idle</t>
    </r>
  </si>
  <si>
    <r>
      <t>HRS</t>
    </r>
    <r>
      <rPr>
        <vertAlign val="subscript"/>
        <sz val="10.5"/>
        <color theme="1"/>
        <rFont val="Calibri"/>
        <family val="2"/>
        <scheme val="minor"/>
      </rPr>
      <t>_sleep</t>
    </r>
  </si>
  <si>
    <r>
      <t xml:space="preserve">Baseline power consumption is drawn from ENERGY STAR “Consumer Electronics Calculator”. </t>
    </r>
    <r>
      <rPr>
        <vertAlign val="superscript"/>
        <sz val="10.5"/>
        <color theme="1"/>
        <rFont val="Calibri"/>
        <family val="2"/>
        <scheme val="minor"/>
      </rPr>
      <t>1</t>
    </r>
  </si>
  <si>
    <r>
      <t>Based on ENERGY STAR product criteria testing.</t>
    </r>
    <r>
      <rPr>
        <vertAlign val="superscript"/>
        <sz val="10.5"/>
        <color theme="1"/>
        <rFont val="Calibri"/>
        <family val="2"/>
        <scheme val="minor"/>
      </rPr>
      <t>1</t>
    </r>
  </si>
  <si>
    <r>
      <t>NEEA Dryer Field Study, 2014.</t>
    </r>
    <r>
      <rPr>
        <vertAlign val="superscript"/>
        <sz val="10.5"/>
        <color theme="1"/>
        <rFont val="Calibri"/>
        <family val="2"/>
        <scheme val="minor"/>
      </rPr>
      <t>2</t>
    </r>
  </si>
  <si>
    <r>
      <t>56 minutes/cycle based on NEEA Dryer Field Study, 2014.</t>
    </r>
    <r>
      <rPr>
        <vertAlign val="superscript"/>
        <sz val="10.5"/>
        <color theme="1"/>
        <rFont val="Calibri"/>
        <family val="2"/>
        <scheme val="minor"/>
      </rPr>
      <t>2</t>
    </r>
  </si>
  <si>
    <r>
      <t>ENERGY STAR Market &amp; Industry Scoping Report, 2011.</t>
    </r>
    <r>
      <rPr>
        <vertAlign val="superscript"/>
        <sz val="10.5"/>
        <color theme="1"/>
        <rFont val="Calibri"/>
        <family val="2"/>
        <scheme val="minor"/>
      </rPr>
      <t>4</t>
    </r>
  </si>
  <si>
    <t>The proposed contractor submits at least two verifiable and satisfactory references from customers or clients who used the contractor to complete the similar projects.</t>
  </si>
  <si>
    <t>This measure relates to the installation of premium efficiency three phase Open Drip Proof (ODP) and Totally Enclosed Fan-Cooled (TEFC) motors less than or equal to 200 HP, meeting minimum qualifying efficiency for the following HVAC applications: supply fans, return fans, exhaust fans, chilled water pumps, and boiler feed water pumps.</t>
  </si>
  <si>
    <r>
      <t>kW</t>
    </r>
    <r>
      <rPr>
        <vertAlign val="subscript"/>
        <sz val="10.5"/>
        <color theme="1"/>
        <rFont val="Calibri"/>
        <family val="2"/>
        <scheme val="minor"/>
      </rPr>
      <t>_perHP</t>
    </r>
  </si>
  <si>
    <r>
      <t>η</t>
    </r>
    <r>
      <rPr>
        <vertAlign val="subscript"/>
        <sz val="10.5"/>
        <color theme="1"/>
        <rFont val="Calibri"/>
        <family val="2"/>
      </rPr>
      <t>_base</t>
    </r>
  </si>
  <si>
    <r>
      <t>η</t>
    </r>
    <r>
      <rPr>
        <vertAlign val="subscript"/>
        <sz val="10.5"/>
        <color theme="1"/>
        <rFont val="Calibri"/>
        <family val="2"/>
      </rPr>
      <t>_ee</t>
    </r>
  </si>
  <si>
    <t>Installation of night covers on existing, open-type refrigerated display cases to reduce extra cooling load caused by infiltration and radiation. Unit of measure is 1 foot of case opening width to be covered.</t>
  </si>
  <si>
    <r>
      <t>kW/ft</t>
    </r>
    <r>
      <rPr>
        <b/>
        <vertAlign val="superscript"/>
        <sz val="10.5"/>
        <color theme="1"/>
        <rFont val="Calibri"/>
        <family val="2"/>
        <scheme val="minor"/>
      </rPr>
      <t>1</t>
    </r>
  </si>
  <si>
    <r>
      <t>kW</t>
    </r>
    <r>
      <rPr>
        <vertAlign val="subscript"/>
        <sz val="10.5"/>
        <color theme="1"/>
        <rFont val="Calibri"/>
        <family val="2"/>
        <scheme val="minor"/>
      </rPr>
      <t>.bs</t>
    </r>
  </si>
  <si>
    <r>
      <t>kW</t>
    </r>
    <r>
      <rPr>
        <vertAlign val="subscript"/>
        <sz val="10.5"/>
        <color theme="1"/>
        <rFont val="Calibri"/>
        <family val="2"/>
        <scheme val="minor"/>
      </rPr>
      <t>.he</t>
    </r>
  </si>
  <si>
    <r>
      <t>HRS</t>
    </r>
    <r>
      <rPr>
        <vertAlign val="subscript"/>
        <sz val="10.5"/>
        <color theme="1"/>
        <rFont val="Calibri"/>
        <family val="2"/>
        <scheme val="minor"/>
      </rPr>
      <t>.daily</t>
    </r>
  </si>
  <si>
    <r>
      <t>MIN</t>
    </r>
    <r>
      <rPr>
        <vertAlign val="subscript"/>
        <sz val="10.5"/>
        <color theme="1"/>
        <rFont val="Calibri"/>
        <family val="2"/>
        <scheme val="minor"/>
      </rPr>
      <t>.preheat</t>
    </r>
  </si>
  <si>
    <r>
      <t>E</t>
    </r>
    <r>
      <rPr>
        <vertAlign val="subscript"/>
        <sz val="10.5"/>
        <color theme="1"/>
        <rFont val="Calibri"/>
        <family val="2"/>
        <scheme val="minor"/>
      </rPr>
      <t>.food</t>
    </r>
  </si>
  <si>
    <r>
      <t>η</t>
    </r>
    <r>
      <rPr>
        <vertAlign val="subscript"/>
        <sz val="10.5"/>
        <color theme="1"/>
        <rFont val="Calibri"/>
        <family val="2"/>
      </rPr>
      <t>.cook</t>
    </r>
  </si>
  <si>
    <r>
      <t>E</t>
    </r>
    <r>
      <rPr>
        <vertAlign val="subscript"/>
        <sz val="10.5"/>
        <color theme="1"/>
        <rFont val="Calibri"/>
        <family val="2"/>
        <scheme val="minor"/>
      </rPr>
      <t>.idle</t>
    </r>
  </si>
  <si>
    <r>
      <t>E</t>
    </r>
    <r>
      <rPr>
        <vertAlign val="subscript"/>
        <sz val="10.5"/>
        <color theme="1"/>
        <rFont val="Calibri"/>
        <family val="2"/>
        <scheme val="minor"/>
      </rPr>
      <t>.preheat</t>
    </r>
  </si>
  <si>
    <r>
      <t>LBS</t>
    </r>
    <r>
      <rPr>
        <vertAlign val="subscript"/>
        <sz val="10.5"/>
        <color theme="1"/>
        <rFont val="Calibri"/>
        <family val="2"/>
        <scheme val="minor"/>
      </rPr>
      <t>.food</t>
    </r>
  </si>
  <si>
    <t>Meets ENERGY STAR efficiency requirements. Requirements apply to single and double-sided griddles.</t>
  </si>
  <si>
    <r>
      <t>Peak power demand reduction per ft</t>
    </r>
    <r>
      <rPr>
        <vertAlign val="superscript"/>
        <sz val="10.5"/>
        <color theme="1"/>
        <rFont val="Calibri"/>
        <family val="2"/>
        <scheme val="minor"/>
      </rPr>
      <t>2</t>
    </r>
  </si>
  <si>
    <r>
      <t>Annual energy reduction per ft</t>
    </r>
    <r>
      <rPr>
        <vertAlign val="superscript"/>
        <sz val="10.5"/>
        <color theme="1"/>
        <rFont val="Calibri"/>
        <family val="2"/>
        <scheme val="minor"/>
      </rPr>
      <t>2</t>
    </r>
  </si>
  <si>
    <t>Return to TOC</t>
  </si>
  <si>
    <t>Peak demand coincidence factor</t>
  </si>
  <si>
    <r>
      <t>EF</t>
    </r>
    <r>
      <rPr>
        <vertAlign val="subscript"/>
        <sz val="10.5"/>
        <color theme="1"/>
        <rFont val="Calibri"/>
        <family val="2"/>
        <scheme val="minor"/>
      </rPr>
      <t>base</t>
    </r>
  </si>
  <si>
    <t>(1)</t>
  </si>
  <si>
    <t>(2)</t>
  </si>
  <si>
    <t>(3)</t>
  </si>
  <si>
    <t>Source/Notes</t>
  </si>
  <si>
    <r>
      <t>GPD</t>
    </r>
    <r>
      <rPr>
        <vertAlign val="subscript"/>
        <sz val="10.5"/>
        <color theme="1"/>
        <rFont val="Calibri"/>
        <family val="2"/>
        <scheme val="minor"/>
      </rPr>
      <t>Occ</t>
    </r>
  </si>
  <si>
    <t xml:space="preserve">Daily hot water use per occupant </t>
  </si>
  <si>
    <t>#Occ</t>
  </si>
  <si>
    <t>Average number of occupants per Home</t>
  </si>
  <si>
    <t>ρ</t>
  </si>
  <si>
    <t>Density of water</t>
  </si>
  <si>
    <r>
      <t>lb</t>
    </r>
    <r>
      <rPr>
        <vertAlign val="subscript"/>
        <sz val="10.5"/>
        <color theme="1"/>
        <rFont val="Calibri"/>
        <family val="2"/>
        <scheme val="minor"/>
      </rPr>
      <t>m</t>
    </r>
    <r>
      <rPr>
        <sz val="10.5"/>
        <color theme="1"/>
        <rFont val="Calibri"/>
        <family val="2"/>
        <scheme val="minor"/>
      </rPr>
      <t>/gal</t>
    </r>
  </si>
  <si>
    <r>
      <t>Btu/lbm</t>
    </r>
    <r>
      <rPr>
        <sz val="10.5"/>
        <color theme="1"/>
        <rFont val="Calibri"/>
        <family val="2"/>
      </rPr>
      <t>°</t>
    </r>
    <r>
      <rPr>
        <sz val="10.5"/>
        <color theme="1"/>
        <rFont val="Calibri"/>
        <family val="2"/>
        <scheme val="minor"/>
      </rPr>
      <t>F</t>
    </r>
  </si>
  <si>
    <r>
      <t>c</t>
    </r>
    <r>
      <rPr>
        <i/>
        <vertAlign val="subscript"/>
        <sz val="10.5"/>
        <color theme="1"/>
        <rFont val="Calibri"/>
        <family val="2"/>
        <scheme val="minor"/>
      </rPr>
      <t>p</t>
    </r>
  </si>
  <si>
    <t>Specific heat capacity of water</t>
  </si>
  <si>
    <r>
      <t>T</t>
    </r>
    <r>
      <rPr>
        <vertAlign val="subscript"/>
        <sz val="10.5"/>
        <color theme="1"/>
        <rFont val="Calibri"/>
        <family val="2"/>
        <scheme val="minor"/>
      </rPr>
      <t>out</t>
    </r>
  </si>
  <si>
    <r>
      <t>T</t>
    </r>
    <r>
      <rPr>
        <vertAlign val="subscript"/>
        <sz val="10.5"/>
        <color theme="1"/>
        <rFont val="Calibri"/>
        <family val="2"/>
        <scheme val="minor"/>
      </rPr>
      <t>in</t>
    </r>
  </si>
  <si>
    <t>Outlet temperature of the water heater</t>
  </si>
  <si>
    <t>Incoming water temperature from the water main</t>
  </si>
  <si>
    <t xml:space="preserve">°F </t>
  </si>
  <si>
    <t>No change from PY18 TRM</t>
  </si>
  <si>
    <t>No. of Occupants</t>
  </si>
  <si>
    <t>Unspecified</t>
  </si>
  <si>
    <t xml:space="preserve">Type of Home </t>
  </si>
  <si>
    <t>Maui Non-Military 
(SF or MF)</t>
  </si>
  <si>
    <t>Military 
(SF or MF)</t>
  </si>
  <si>
    <t>SF Non-Military 
(Any County)</t>
  </si>
  <si>
    <t>MF Non-Military 
(Any County)</t>
  </si>
  <si>
    <t>SF = single family home</t>
  </si>
  <si>
    <t>MF = multifamily home</t>
  </si>
  <si>
    <t>Factor</t>
  </si>
  <si>
    <t>County</t>
  </si>
  <si>
    <t>Deemed Savings (based on default values for key parameters)</t>
  </si>
  <si>
    <t>Semi-Prescriptive Savings Calculator (based on customer-specific values for key parameters)</t>
  </si>
  <si>
    <r>
      <t xml:space="preserve">Energy Factor of Baseline Equipment (Electric Storage Water Heater </t>
    </r>
    <r>
      <rPr>
        <b/>
        <i/>
        <sz val="11"/>
        <color theme="1"/>
        <rFont val="Calibri"/>
        <family val="2"/>
      </rPr>
      <t>≤ 55 gallons)</t>
    </r>
  </si>
  <si>
    <t>EF=</t>
  </si>
  <si>
    <t xml:space="preserve">EFLH = </t>
  </si>
  <si>
    <t>CF =</t>
  </si>
  <si>
    <t>ENERGY STAR websites and resources: https://www.energy.gov/energysaver/water-heating/solar-water-heaters, https://www.energy.gov/energysaver/estimating-cost-and-energy-efficiency-solar-water-heater, https://www.energystar.gov/ia/partners/prod_development/new_specs/downloads/water_heaters/WaterHeaterAnalysis_Final.pdf</t>
  </si>
  <si>
    <t>Technical Reference Manual, State of Pennsylvania, Act 129 Energy Efficiency and Conservation Program &amp; Act 213 Alternative Energy Portfolio Standards, June 2016.</t>
  </si>
  <si>
    <t xml:space="preserve">Title 10: Energy, PART 430—ENERGY CONSERVATION PROGRAM FOR CONSUMER PRODUCTS, Subpart C—Energy and Water Conservation Standards, §430.32   Energy and water conservation standards and their compliance dates, (d) Water heaters. </t>
  </si>
  <si>
    <t xml:space="preserve">International Code Council (ICC) and Solar Rating &amp; Certification Corporation (SRCC), 2015 ICC 900/SRCC 300-2015 Solar, Thermal System Standard, https://codes.iccsafe.org/content/ICC9002015/toc. </t>
  </si>
  <si>
    <t>ENERGY STAR Program Requirement for Residential Water Heaters, v3.0, April 2015, https://www.energystar.gov/products/water_heaters/residential_water_heaters_key_product_criteria.</t>
  </si>
  <si>
    <t>Energy and Peak Demand Impact Evaluation Report of the 2005-2007 Demand Management Programs – (KEMA 2005-07)</t>
  </si>
  <si>
    <t xml:space="preserve">Connecticut's 2018 Program Savings Document, 13th Edition, filed December 15, 2017. https://www.energizect.com/sites/default/files/2018-PSD-FINAL-121217.pdf. </t>
  </si>
  <si>
    <t xml:space="preserve">Tennessee Valley Authority Technical Reference Manual, Version 6.0, Oct. 1, 2017. </t>
  </si>
  <si>
    <t>Title 10: Energy, PART 430—ENERGY CONSERVATION PROGRAM FOR CONSUMER PRODUCTS, Subpart B—Test Procedures, Appendix E to Subpart B of Part 430—Uniform Test Method for Measuring the Energy Consumption of Water Heaters, https://www.ecfr.gov/cgi-bin/text-idx?SID=80dfa785ea350ebeee184bb0ae03e7f0&amp;mc=true&amp;node=ap10.3.430_127.e&amp;rgn=div9</t>
  </si>
  <si>
    <t xml:space="preserve">Regional Technical Forum. Residential Heat Pump Water Heater  - Unit Energy Savings Workbook, Version 4.1. Northwest Power and Conservation Council. April 19, 2018. Spreadsheet. "ResHPWH_v4_1.xlsm." Uses SEEM Simulation Model  Version 0.98 build May 29 2015 13:41:19. </t>
  </si>
  <si>
    <t>System Advisor Model (SAM) is a performance and financial model designed to facilitate decision making for people involved in the renewable energy industry, https://sam.nrel.gov/.</t>
  </si>
  <si>
    <t>RESOURCES</t>
  </si>
  <si>
    <t>This measure is applicable to both the REEM and RHTR programs.</t>
  </si>
  <si>
    <t xml:space="preserve">The replacement LED lamp must have an ENERGY STAR label. </t>
  </si>
  <si>
    <t>(4)</t>
  </si>
  <si>
    <t>AEG's Fall 2018 Benchmarking</t>
  </si>
  <si>
    <r>
      <t>kW</t>
    </r>
    <r>
      <rPr>
        <vertAlign val="subscript"/>
        <sz val="10.5"/>
        <color theme="1"/>
        <rFont val="Calibri"/>
        <family val="2"/>
        <scheme val="minor"/>
      </rPr>
      <t>base,1</t>
    </r>
  </si>
  <si>
    <r>
      <t>kW</t>
    </r>
    <r>
      <rPr>
        <vertAlign val="subscript"/>
        <sz val="10.5"/>
        <color theme="1"/>
        <rFont val="Calibri"/>
        <family val="2"/>
        <scheme val="minor"/>
      </rPr>
      <t>base,2</t>
    </r>
  </si>
  <si>
    <t>ISR</t>
  </si>
  <si>
    <t>In-service rate</t>
  </si>
  <si>
    <t>HOU</t>
  </si>
  <si>
    <t>Average hours of use per day</t>
  </si>
  <si>
    <t>No change from PY18 TRM; values confirmed with AEG's Fall 2018 Benchmarking</t>
  </si>
  <si>
    <t>Footnote 1</t>
  </si>
  <si>
    <r>
      <t>IE</t>
    </r>
    <r>
      <rPr>
        <vertAlign val="subscript"/>
        <sz val="10.5"/>
        <color theme="1"/>
        <rFont val="Calibri"/>
        <family val="2"/>
        <scheme val="minor"/>
      </rPr>
      <t>C,D</t>
    </r>
  </si>
  <si>
    <r>
      <t>IE</t>
    </r>
    <r>
      <rPr>
        <vertAlign val="subscript"/>
        <sz val="10.5"/>
        <color theme="1"/>
        <rFont val="Calibri"/>
        <family val="2"/>
        <scheme val="minor"/>
      </rPr>
      <t>C,E</t>
    </r>
  </si>
  <si>
    <t>Interactive effects factor to account for cooling energy savings due to reducing waste heat with efficient lighting</t>
  </si>
  <si>
    <t>Interactive effects factor to account for cooling demand savings due to reducing waste heat with efficient lighting</t>
  </si>
  <si>
    <r>
      <t>%</t>
    </r>
    <r>
      <rPr>
        <vertAlign val="subscript"/>
        <sz val="10.5"/>
        <color theme="1"/>
        <rFont val="Calibri"/>
        <family val="2"/>
        <scheme val="minor"/>
      </rPr>
      <t>Cool</t>
    </r>
  </si>
  <si>
    <t>Share of homes with electric cooling</t>
  </si>
  <si>
    <t>Equivalent full load hours of equipment operation</t>
  </si>
  <si>
    <t>Table 1. Baseline and Energy Efficient Wattages</t>
  </si>
  <si>
    <t>Traditional Incandescent Equivalent (W)</t>
  </si>
  <si>
    <t>310 - 749 lm</t>
  </si>
  <si>
    <t>750 - 1049 lm</t>
  </si>
  <si>
    <t>1050 - 1489 lm</t>
  </si>
  <si>
    <t>1490 - 2600 lm</t>
  </si>
  <si>
    <r>
      <rPr>
        <vertAlign val="superscript"/>
        <sz val="9"/>
        <color theme="1"/>
        <rFont val="Calibri"/>
        <family val="2"/>
      </rPr>
      <t>1</t>
    </r>
    <r>
      <rPr>
        <sz val="9"/>
        <color theme="1"/>
        <rFont val="Calibri"/>
        <family val="2"/>
      </rPr>
      <t xml:space="preserve"> EISA Tier 2 wattages area calculated based on 45 lumen/W and midpoint of lumen range</t>
    </r>
  </si>
  <si>
    <t>Non-Military</t>
  </si>
  <si>
    <t>Military</t>
  </si>
  <si>
    <r>
      <t>%</t>
    </r>
    <r>
      <rPr>
        <b/>
        <vertAlign val="subscript"/>
        <sz val="11"/>
        <color rgb="FF000000"/>
        <rFont val="Calibri"/>
        <family val="2"/>
      </rPr>
      <t>Cool</t>
    </r>
  </si>
  <si>
    <t>Table 2. Key Parameters for Non-Military and Military Homes</t>
  </si>
  <si>
    <t>Weighted average (default)</t>
  </si>
  <si>
    <t>EISA 
Lumen Bin</t>
  </si>
  <si>
    <t>Lifetime 
Energy Savings</t>
  </si>
  <si>
    <r>
      <t>EUL</t>
    </r>
    <r>
      <rPr>
        <vertAlign val="subscript"/>
        <sz val="10.5"/>
        <color theme="1"/>
        <rFont val="Calibri"/>
        <family val="2"/>
        <scheme val="minor"/>
      </rPr>
      <t>1st</t>
    </r>
  </si>
  <si>
    <t>(5)</t>
  </si>
  <si>
    <t>(6)</t>
  </si>
  <si>
    <r>
      <t>kW</t>
    </r>
    <r>
      <rPr>
        <vertAlign val="subscript"/>
        <sz val="11"/>
        <color theme="1"/>
        <rFont val="Calibri"/>
        <family val="2"/>
        <scheme val="minor"/>
      </rPr>
      <t>base</t>
    </r>
    <r>
      <rPr>
        <sz val="11"/>
        <color theme="1"/>
        <rFont val="Calibri"/>
        <family val="2"/>
        <scheme val="minor"/>
      </rPr>
      <t>=</t>
    </r>
  </si>
  <si>
    <r>
      <t>kW</t>
    </r>
    <r>
      <rPr>
        <vertAlign val="subscript"/>
        <sz val="11"/>
        <color theme="1"/>
        <rFont val="Calibri"/>
        <family val="2"/>
        <scheme val="minor"/>
      </rPr>
      <t>LED</t>
    </r>
    <r>
      <rPr>
        <sz val="11"/>
        <color theme="1"/>
        <rFont val="Calibri"/>
        <family val="2"/>
        <scheme val="minor"/>
      </rPr>
      <t>=</t>
    </r>
  </si>
  <si>
    <t>Semi-Prescriptive Savings Calculator (based on equivalent traditional incandescent wattage)</t>
  </si>
  <si>
    <t xml:space="preserve">Incandescent Wattage </t>
  </si>
  <si>
    <t>Enter Equivalent Incandescent Wattage</t>
  </si>
  <si>
    <t>Arkansas Technical Reference Manual, Version 7.0, Arkansas Public Service Commission, 2017.</t>
  </si>
  <si>
    <t>Connecticut's 2018 Program Savings Document, 13th Edition, filed December 15, 2017.</t>
  </si>
  <si>
    <t xml:space="preserve">Illinois Statewide Technical Reference Manual for Energy Efficiency, Version 6.0, Volume 3: Residential Measures, FINAL, Feb. 8, 2017. </t>
  </si>
  <si>
    <t xml:space="preserve">Mid-Atlantic Technical Reference Manual, Version 8, Final, May 2018. </t>
  </si>
  <si>
    <t xml:space="preserve">New Mexico Technical Resource Manual for the Calculation of Energy Efficiency Savings, 2016. </t>
  </si>
  <si>
    <t>Regional Technical Forum. Residential Lighting - Unit Energy Savings Workbook, Version 6.1 (ResLighting_v6_1). Northwest Power and Conservation Council. April 4, 2018. Spreadsheet.</t>
  </si>
  <si>
    <t xml:space="preserve">Regulatory Advisory Appliance Efficiency Regulations for Lamps: Effective Dates, California Energy Commission, 2017. </t>
  </si>
  <si>
    <t>RLPNC Study 17-9, 2017-18 Residential Lighting Market Assessment Study, Submitted to the Electric and Gas Program Administrators of Massachusetts, Submitted by NMR Group, March 28, 2018. Table 14, page 38.</t>
  </si>
  <si>
    <t>State of Pennsylvania Technical Reference Manual, Pennsylvania Public Utilities Commission, June 2016.</t>
  </si>
  <si>
    <t>Uniform Methods Project, Chapter 6: Residential Lighting Evaluation Protocol, S. Dimetrosky, K. Parkinson, and N. Lieb, Apex Analytics, C. Kurnik, National Renewable Energy Laboratory, October 2017.</t>
  </si>
  <si>
    <t>Yes</t>
  </si>
  <si>
    <t>EISA legislation, effective dates of 2012-2014</t>
  </si>
  <si>
    <t>This measure is applicable to both the BEEM and BHTR programs.</t>
  </si>
  <si>
    <t xml:space="preserve">For BEEM, lighting is delivered through a midstream approach; the most applicable baseline is replace on burnout (ROB). For BHTR, lighting is delivered through the Small Business Direct Install Lighting (SBDIL) program; since lighting is directly installed, the most applicable baseline is early replacement. </t>
  </si>
  <si>
    <t>Lifetime Energy Savings, kWh (Single Baseline)</t>
  </si>
  <si>
    <t>Wattage of the first baseline lamp</t>
  </si>
  <si>
    <t>Wattage of the second baseline lamp</t>
  </si>
  <si>
    <t>ROB: Current federal standard
Early replacement: Pre-existing</t>
  </si>
  <si>
    <t>ROB: Future federal standard
Early replacement: Current/future federal standard</t>
  </si>
  <si>
    <t>DLC QPL and other benchmarking performed in 2018</t>
  </si>
  <si>
    <t>See Table 3</t>
  </si>
  <si>
    <t>See Table 4</t>
  </si>
  <si>
    <t>Average hours of use per year</t>
  </si>
  <si>
    <t>hr/yr</t>
  </si>
  <si>
    <t>hr/day</t>
  </si>
  <si>
    <t>See Table 5</t>
  </si>
  <si>
    <t>Footnote 3</t>
  </si>
  <si>
    <r>
      <rPr>
        <vertAlign val="superscript"/>
        <sz val="9"/>
        <color theme="1"/>
        <rFont val="Calibri"/>
        <family val="2"/>
        <scheme val="minor"/>
      </rPr>
      <t>3</t>
    </r>
    <r>
      <rPr>
        <sz val="9"/>
        <color theme="1"/>
        <rFont val="Calibri"/>
        <family val="2"/>
        <scheme val="minor"/>
      </rPr>
      <t xml:space="preserve"> Use value of PF=1 until more data is available on PF of LEDs relative to baseline lighting.</t>
    </r>
  </si>
  <si>
    <t>Remaining Useful Life (only applicable to Early Replacement)</t>
  </si>
  <si>
    <t>Lifetime Energy Savings, kWh (Dual Baseline, ROB)</t>
  </si>
  <si>
    <t>Lifetime Energy Savings, kWh (Dual Baseline, Early Replacement)</t>
  </si>
  <si>
    <t>(7)</t>
  </si>
  <si>
    <t>(8)</t>
  </si>
  <si>
    <t>RUL</t>
  </si>
  <si>
    <t>Effective useful life of efficient lamp</t>
  </si>
  <si>
    <t>Effective useful life of first baseline lamp</t>
  </si>
  <si>
    <t>Remaining useful life of pre-existing lamp</t>
  </si>
  <si>
    <t>Effective useful life of pre-existing lamp</t>
  </si>
  <si>
    <t>See Table 6</t>
  </si>
  <si>
    <t>See Table 7</t>
  </si>
  <si>
    <t>See Table 8</t>
  </si>
  <si>
    <r>
      <t>BEEM: DEER2020</t>
    </r>
    <r>
      <rPr>
        <vertAlign val="superscript"/>
        <sz val="10"/>
        <rFont val="Calibri"/>
        <family val="2"/>
        <scheme val="minor"/>
      </rPr>
      <t>1</t>
    </r>
    <r>
      <rPr>
        <sz val="10"/>
        <rFont val="Calibri"/>
        <family val="2"/>
        <scheme val="minor"/>
      </rPr>
      <t xml:space="preserve"> hours of use for San Diego (CA's southern-most latitude); no occupancy sensor  
BHTR/SBDIL: Custom hours</t>
    </r>
  </si>
  <si>
    <t>Assumes EUL of fluorescent T12/T8 blend is equal to EUL of Fluorescent lamps listed in Table 6</t>
  </si>
  <si>
    <t>LED Linear (T8), 8'</t>
  </si>
  <si>
    <t>LED Linear (T8), 4'</t>
  </si>
  <si>
    <t>LED Linear (T8), 3'</t>
  </si>
  <si>
    <t>LED Linear (T8), 2'</t>
  </si>
  <si>
    <t>LED Linear (T5), 4'</t>
  </si>
  <si>
    <t>LED Linear (T5 HO), 4'</t>
  </si>
  <si>
    <t>LED--Omni-Directional lamp, Screw Base</t>
  </si>
  <si>
    <t>LED--Omni-Directional lamp, Pin Base</t>
  </si>
  <si>
    <t>LED--MR16 lamp</t>
  </si>
  <si>
    <t>LED--PAR20 lamp</t>
  </si>
  <si>
    <t>LED--PAR30 lamp</t>
  </si>
  <si>
    <t>LED--PAR38 lamp</t>
  </si>
  <si>
    <t>LED-Decorative Candelabra 25W equivalent</t>
  </si>
  <si>
    <t>LED-Decorative Candelabra 40W equivalent</t>
  </si>
  <si>
    <t>LED-Decorative Med Base 40W equivalent</t>
  </si>
  <si>
    <t>LED-Decorative Med Base 60W equivalent</t>
  </si>
  <si>
    <t>LED Troffer, 1 ft. x 4 ft.</t>
  </si>
  <si>
    <t>LED Troffer, 2 ft. x 2 ft.</t>
  </si>
  <si>
    <t>LED Troffer, 2 ft. x 4 ft.</t>
  </si>
  <si>
    <t>(2) LED 2' linear replace (2) Fl. U-bend</t>
  </si>
  <si>
    <t>(2) LED U-bend replace (2) Fl. U-bend)</t>
  </si>
  <si>
    <t>LED: HID replacement, &lt;35W</t>
  </si>
  <si>
    <t>LED: HID replacement, 35W-149W</t>
  </si>
  <si>
    <t>LED: HID replacement, 150W-220W</t>
  </si>
  <si>
    <t>LED: HID replacement, &gt;220W</t>
  </si>
  <si>
    <t>8', various ballast types, 70% F96T8 &amp; 30% F96T12</t>
  </si>
  <si>
    <t>4', various ballast types, 70% F32T8 &amp; 30% F40T12</t>
  </si>
  <si>
    <t>3', various ballast types, 70% F25T8 &amp; 30% F30T12</t>
  </si>
  <si>
    <t>2', various ballast types, 70% F17T8 &amp; 30% F20T12</t>
  </si>
  <si>
    <t>4' F28T5, electronic ballast</t>
  </si>
  <si>
    <t>4' F54T5 HO, electronic ballast</t>
  </si>
  <si>
    <t>Fixture with (2) 4' F32T8</t>
  </si>
  <si>
    <t>Fixture with (2) FU31T8/6</t>
  </si>
  <si>
    <t>(2) FU31T8/6</t>
  </si>
  <si>
    <t xml:space="preserve">(2) FU31T8/6 </t>
  </si>
  <si>
    <t>HID 50W-100W Baseline:
64W, 86W, 128W</t>
  </si>
  <si>
    <t>HID 150W-250W Baseline:
188W, 240W, 295W</t>
  </si>
  <si>
    <t>HID 310W-600W Baseline:
365W, 457W, 665W</t>
  </si>
  <si>
    <t>HID 750W-1000W Baseline:
840W, 1100W</t>
  </si>
  <si>
    <t>8' F96T8, electronic ballast</t>
  </si>
  <si>
    <t>4' F32T8, electronic ballast</t>
  </si>
  <si>
    <t>3' F25T8, electronic ballast</t>
  </si>
  <si>
    <t>2' F17T8, electronic ballast</t>
  </si>
  <si>
    <t>Wtd. Avg. EISA Tier 2</t>
  </si>
  <si>
    <t>EISA Tier 2</t>
  </si>
  <si>
    <t>Single</t>
  </si>
  <si>
    <t>Baseline #1, kW</t>
  </si>
  <si>
    <t>Baseline #2, kW</t>
  </si>
  <si>
    <t>Pre-Existing 
(SBDIL only)</t>
  </si>
  <si>
    <t>Base-line</t>
  </si>
  <si>
    <t>Source</t>
  </si>
  <si>
    <t>Benchmarking; no change from PY18 TRM</t>
  </si>
  <si>
    <t>Linear LED, kW</t>
  </si>
  <si>
    <t>LED-Decorative Candelabra 25W eq.</t>
  </si>
  <si>
    <t>LED-Decorative Med Base 40W eq.</t>
  </si>
  <si>
    <t>LED-Decorative Med Base 60W eq.</t>
  </si>
  <si>
    <r>
      <t>Type 
A</t>
    </r>
    <r>
      <rPr>
        <b/>
        <vertAlign val="superscript"/>
        <sz val="9.5"/>
        <color theme="1"/>
        <rFont val="Calibri"/>
        <family val="2"/>
        <scheme val="minor"/>
      </rPr>
      <t>1</t>
    </r>
  </si>
  <si>
    <r>
      <t>Type B</t>
    </r>
    <r>
      <rPr>
        <b/>
        <vertAlign val="superscript"/>
        <sz val="9.5"/>
        <color theme="1"/>
        <rFont val="Calibri"/>
        <family val="2"/>
        <scheme val="minor"/>
      </rPr>
      <t>2</t>
    </r>
    <r>
      <rPr>
        <b/>
        <sz val="9.5"/>
        <color theme="1"/>
        <rFont val="Calibri"/>
        <family val="2"/>
        <scheme val="minor"/>
      </rPr>
      <t xml:space="preserve"> 
and
Type C</t>
    </r>
    <r>
      <rPr>
        <b/>
        <vertAlign val="superscript"/>
        <sz val="9.5"/>
        <color theme="1"/>
        <rFont val="Calibri"/>
        <family val="2"/>
        <scheme val="minor"/>
      </rPr>
      <t>3</t>
    </r>
  </si>
  <si>
    <r>
      <rPr>
        <vertAlign val="superscript"/>
        <sz val="9"/>
        <color theme="1"/>
        <rFont val="Calibri"/>
        <family val="2"/>
        <scheme val="minor"/>
      </rPr>
      <t>1</t>
    </r>
    <r>
      <rPr>
        <sz val="9"/>
        <color theme="1"/>
        <rFont val="Calibri"/>
        <family val="2"/>
        <scheme val="minor"/>
      </rPr>
      <t xml:space="preserve"> Type A installation: Ballast left in place, reduced savings due to losses. </t>
    </r>
  </si>
  <si>
    <r>
      <rPr>
        <vertAlign val="superscript"/>
        <sz val="9"/>
        <color theme="1"/>
        <rFont val="Calibri"/>
        <family val="2"/>
        <scheme val="minor"/>
      </rPr>
      <t>2</t>
    </r>
    <r>
      <rPr>
        <sz val="9"/>
        <color theme="1"/>
        <rFont val="Calibri"/>
        <family val="2"/>
        <scheme val="minor"/>
      </rPr>
      <t xml:space="preserve"> Type B installation: Bypassing fluorescent ballast and utilizing internal LED driver. </t>
    </r>
  </si>
  <si>
    <r>
      <rPr>
        <vertAlign val="superscript"/>
        <sz val="9"/>
        <color theme="1"/>
        <rFont val="Calibri"/>
        <family val="2"/>
        <scheme val="minor"/>
      </rPr>
      <t>3</t>
    </r>
    <r>
      <rPr>
        <sz val="9"/>
        <color theme="1"/>
        <rFont val="Calibri"/>
        <family val="2"/>
        <scheme val="minor"/>
      </rPr>
      <t xml:space="preserve"> Type C installation: Removing fluorescent ballast and utilizing an external driver; more efficient than the Type B internal driver, however also consumes a little more power. </t>
    </r>
  </si>
  <si>
    <t xml:space="preserve">Therefore, this Program assumes Types B &amp; C energy and demand savings to be equivalent. However, a Type C installation is preferred for longevity due to use of an external LED driver and complete removal of the fluorescent ballast. </t>
  </si>
  <si>
    <t>Exit Sign</t>
  </si>
  <si>
    <t>Omni-Directional, Directional, and Decorative</t>
  </si>
  <si>
    <t>High Bay</t>
  </si>
  <si>
    <t xml:space="preserve">a. The CF values were derived using a three step process: </t>
  </si>
  <si>
    <r>
      <t>3) Adjustment of the OpenEI CF values to specific lighting types (bulbs, highbay, linear lamps) using DEER's annual HOUs for San Diego. The adjustment equation is CF</t>
    </r>
    <r>
      <rPr>
        <vertAlign val="subscript"/>
        <sz val="9.5"/>
        <color theme="1"/>
        <rFont val="Calibri"/>
        <family val="2"/>
        <scheme val="minor"/>
      </rPr>
      <t>OpenEI</t>
    </r>
    <r>
      <rPr>
        <sz val="9.5"/>
        <color theme="1"/>
        <rFont val="Calibri"/>
        <family val="2"/>
        <scheme val="minor"/>
      </rPr>
      <t>*(HOU</t>
    </r>
    <r>
      <rPr>
        <vertAlign val="subscript"/>
        <sz val="9.5"/>
        <color theme="1"/>
        <rFont val="Calibri"/>
        <family val="2"/>
        <scheme val="minor"/>
      </rPr>
      <t>SD</t>
    </r>
    <r>
      <rPr>
        <sz val="9.5"/>
        <color theme="1"/>
        <rFont val="Calibri"/>
        <family val="2"/>
        <scheme val="minor"/>
      </rPr>
      <t>/EFLH</t>
    </r>
    <r>
      <rPr>
        <vertAlign val="subscript"/>
        <sz val="9.5"/>
        <color theme="1"/>
        <rFont val="Calibri"/>
        <family val="2"/>
        <scheme val="minor"/>
      </rPr>
      <t>OpenEI</t>
    </r>
    <r>
      <rPr>
        <sz val="9.5"/>
        <color theme="1"/>
        <rFont val="Calibri"/>
        <family val="2"/>
        <scheme val="minor"/>
      </rPr>
      <t>).</t>
    </r>
  </si>
  <si>
    <r>
      <t>LED--MR16 lamp</t>
    </r>
    <r>
      <rPr>
        <vertAlign val="superscript"/>
        <sz val="9.5"/>
        <color theme="1"/>
        <rFont val="Calibri"/>
        <family val="2"/>
        <scheme val="minor"/>
      </rPr>
      <t>4</t>
    </r>
  </si>
  <si>
    <r>
      <t>LED--PAR20 lamp</t>
    </r>
    <r>
      <rPr>
        <vertAlign val="superscript"/>
        <sz val="9.5"/>
        <color theme="1"/>
        <rFont val="Calibri"/>
        <family val="2"/>
        <scheme val="minor"/>
      </rPr>
      <t>4</t>
    </r>
  </si>
  <si>
    <r>
      <t>LED--PAR30 lamp</t>
    </r>
    <r>
      <rPr>
        <vertAlign val="superscript"/>
        <sz val="9.5"/>
        <color theme="1"/>
        <rFont val="Calibri"/>
        <family val="2"/>
        <scheme val="minor"/>
      </rPr>
      <t>4</t>
    </r>
  </si>
  <si>
    <r>
      <t>LED--PAR38 lamp</t>
    </r>
    <r>
      <rPr>
        <vertAlign val="superscript"/>
        <sz val="9.5"/>
        <color theme="1"/>
        <rFont val="Calibri"/>
        <family val="2"/>
        <scheme val="minor"/>
      </rPr>
      <t>4</t>
    </r>
  </si>
  <si>
    <r>
      <t>IE</t>
    </r>
    <r>
      <rPr>
        <b/>
        <vertAlign val="subscript"/>
        <sz val="9.5"/>
        <color theme="1"/>
        <rFont val="Calibri"/>
        <family val="2"/>
        <scheme val="minor"/>
      </rPr>
      <t>C,D</t>
    </r>
  </si>
  <si>
    <r>
      <t>IE</t>
    </r>
    <r>
      <rPr>
        <b/>
        <vertAlign val="subscript"/>
        <sz val="9.5"/>
        <color theme="1"/>
        <rFont val="Calibri"/>
        <family val="2"/>
        <scheme val="minor"/>
      </rPr>
      <t>C,E</t>
    </r>
  </si>
  <si>
    <t>1) Tabulation of DEER's IE factors for San Diego (IECC CZ 3B);</t>
  </si>
  <si>
    <t xml:space="preserve">a. The IE values were derived using a four step process: </t>
  </si>
  <si>
    <r>
      <rPr>
        <vertAlign val="superscript"/>
        <sz val="9"/>
        <color theme="1"/>
        <rFont val="Calibri"/>
        <family val="2"/>
        <scheme val="minor"/>
      </rPr>
      <t>5</t>
    </r>
    <r>
      <rPr>
        <sz val="9"/>
        <color theme="1"/>
        <rFont val="Calibri"/>
        <family val="2"/>
        <scheme val="minor"/>
      </rPr>
      <t xml:space="preserve"> Wattages are from DLC QPL and other benchmarking performed in 2018.</t>
    </r>
  </si>
  <si>
    <r>
      <t>Other LED, kW</t>
    </r>
    <r>
      <rPr>
        <b/>
        <vertAlign val="superscript"/>
        <sz val="9.5"/>
        <color theme="1"/>
        <rFont val="Calibri"/>
        <family val="2"/>
        <scheme val="minor"/>
      </rPr>
      <t>5</t>
    </r>
  </si>
  <si>
    <r>
      <t>Table 2. High Efficiency Wattages, kW</t>
    </r>
    <r>
      <rPr>
        <b/>
        <vertAlign val="subscript"/>
        <sz val="11"/>
        <rFont val="Calibri"/>
        <family val="2"/>
        <scheme val="minor"/>
      </rPr>
      <t>EE</t>
    </r>
    <r>
      <rPr>
        <b/>
        <sz val="11"/>
        <rFont val="Calibri"/>
        <family val="2"/>
        <scheme val="minor"/>
      </rPr>
      <t xml:space="preserve"> </t>
    </r>
  </si>
  <si>
    <r>
      <t>Table 1. Baseline Wattages, kW</t>
    </r>
    <r>
      <rPr>
        <b/>
        <vertAlign val="subscript"/>
        <sz val="11"/>
        <rFont val="Calibri"/>
        <family val="2"/>
        <scheme val="minor"/>
      </rPr>
      <t>base,1</t>
    </r>
    <r>
      <rPr>
        <b/>
        <sz val="11"/>
        <rFont val="Calibri"/>
        <family val="2"/>
        <scheme val="minor"/>
      </rPr>
      <t xml:space="preserve"> and kW</t>
    </r>
    <r>
      <rPr>
        <b/>
        <vertAlign val="subscript"/>
        <sz val="11"/>
        <rFont val="Calibri"/>
        <family val="2"/>
        <scheme val="minor"/>
      </rPr>
      <t>base,2</t>
    </r>
  </si>
  <si>
    <r>
      <t>Table 5. Annual Hours of Use, HOU</t>
    </r>
    <r>
      <rPr>
        <b/>
        <vertAlign val="subscript"/>
        <sz val="11"/>
        <rFont val="Calibri"/>
        <family val="2"/>
        <scheme val="minor"/>
      </rPr>
      <t>year</t>
    </r>
  </si>
  <si>
    <t>Fluorescent Linear, U-bend, Troffer</t>
  </si>
  <si>
    <t>HID</t>
  </si>
  <si>
    <t>Incandescent Exit Sign</t>
  </si>
  <si>
    <t xml:space="preserve">Source: DEER2020 hours of use for San Diego IOU; no occupancy sensor. HOU were originally developed for DEER2016.  </t>
  </si>
  <si>
    <t>LED Linear, 
U-Tube, Troffer</t>
  </si>
  <si>
    <t>Linear, 
U-Tube, Troffer</t>
  </si>
  <si>
    <t>High Bay, Linear, U-Bend, Troffer</t>
  </si>
  <si>
    <t>Linear, U-Bend, Troffer</t>
  </si>
  <si>
    <t>LED Omni-Directional, Directional, and Decorative</t>
  </si>
  <si>
    <t>LED High Bay</t>
  </si>
  <si>
    <r>
      <t>Table 6. Effective Useful Life of Baseline Lamp (Dual Baseline, ROB), EUL</t>
    </r>
    <r>
      <rPr>
        <b/>
        <vertAlign val="subscript"/>
        <sz val="11"/>
        <rFont val="Calibri"/>
        <family val="2"/>
        <scheme val="minor"/>
      </rPr>
      <t>1st</t>
    </r>
  </si>
  <si>
    <r>
      <t>Table 7. Effective Useful Life of Efficient Lamp, EUL</t>
    </r>
    <r>
      <rPr>
        <b/>
        <vertAlign val="subscript"/>
        <sz val="11"/>
        <rFont val="Calibri"/>
        <family val="2"/>
        <scheme val="minor"/>
      </rPr>
      <t>EE</t>
    </r>
  </si>
  <si>
    <r>
      <t>Source: Calculated by dividing rated lamp life by HOU</t>
    </r>
    <r>
      <rPr>
        <vertAlign val="subscript"/>
        <sz val="9"/>
        <rFont val="Calibri"/>
        <family val="2"/>
      </rPr>
      <t>year</t>
    </r>
    <r>
      <rPr>
        <sz val="9"/>
        <rFont val="Calibri"/>
        <family val="2"/>
      </rPr>
      <t xml:space="preserve"> and setting upperbound EUL = 25 yr and lowerbound EUL = 1 yr. Sources of rated lamp life include DEER, DLC, and other benchmarking.  </t>
    </r>
  </si>
  <si>
    <t>Table 8. Remaining Useful Life of Pre-Existing Lamp, RUL</t>
  </si>
  <si>
    <t>First Year Savings: Delamping</t>
  </si>
  <si>
    <t>Note: Assumes the baseline is a fluorescent T8 lamp with electronic ballast that meets current federal standard.</t>
  </si>
  <si>
    <t>Lifetime Savings: Delamping</t>
  </si>
  <si>
    <t>First Year Savings: Exit Signs</t>
  </si>
  <si>
    <t>Lifetime Savings: Exit Signs</t>
  </si>
  <si>
    <t>Table 11. Calculated First Year Unit Savings: LED Exit Signs (8760 HOURS)</t>
  </si>
  <si>
    <t>Table 12. Calculated Lifetime Unit Savings: LED Exit Signs (8760 HOURS)</t>
  </si>
  <si>
    <t>First Year Savings: LED Troffers</t>
  </si>
  <si>
    <t>Lifetime Savings: LED Troffers</t>
  </si>
  <si>
    <t>2' Type B/C</t>
  </si>
  <si>
    <t>3' Type B/C</t>
  </si>
  <si>
    <t>4' Type B/C</t>
  </si>
  <si>
    <t>8' Type B/C</t>
  </si>
  <si>
    <t>Lifetime Energy Savings (kWh)</t>
  </si>
  <si>
    <t>Table 10. Calculated Lifetime Unit Savings: Delamping (With or Without Reflector)</t>
  </si>
  <si>
    <t>Table 9. Calculated First Year Unit Savings: Delamping (With or Without Reflector)</t>
  </si>
  <si>
    <t>First Year Savings: T8 Linear LED Lamps, ROB, Single Baseline</t>
  </si>
  <si>
    <t>Lifetime Savings: T8 Linear LED Lamps, ROB, Single Baseline</t>
  </si>
  <si>
    <t>First Year Savings: T8 Linear LED Lamps, Early Replacement, Dual Baseline</t>
  </si>
  <si>
    <t>Note: This table matches Table 19a, but is used as second baseline period for early replacement projects (SBDIL).</t>
  </si>
  <si>
    <t>Lifetime Savings: T8 Linear LED Lamps, Early Replacement, Dual Baseline</t>
  </si>
  <si>
    <t>First Year Savings: T5 Linear LED Lamps, ROB, Single Baseline</t>
  </si>
  <si>
    <t>Lifetime Savings: T5 Linear LED Lamps, ROB, Single Baseline</t>
  </si>
  <si>
    <t>T5 Type B/C</t>
  </si>
  <si>
    <t>T5HO Type B/C</t>
  </si>
  <si>
    <t>(2) x U-Bend Type A</t>
  </si>
  <si>
    <t>(2) x U-Bend Type B/C</t>
  </si>
  <si>
    <t>(2) X 2' 
Type A</t>
  </si>
  <si>
    <t>(2) X 2' 
Type B/C</t>
  </si>
  <si>
    <t>First Year Savings: U-Bend LED Replacement, ROB, Single Baseline</t>
  </si>
  <si>
    <t>Lifetime Savings: U-Bend LED Replacement, ROB, Single Baseline</t>
  </si>
  <si>
    <t>Delamping</t>
  </si>
  <si>
    <t>First Year Savings</t>
  </si>
  <si>
    <t>Lifetime Savings</t>
  </si>
  <si>
    <t>Exit Signs</t>
  </si>
  <si>
    <t>Decorative LEDs</t>
  </si>
  <si>
    <t>Single Baseline</t>
  </si>
  <si>
    <t>Dual Baseline</t>
  </si>
  <si>
    <t>LED Troffers</t>
  </si>
  <si>
    <t>T8 Linear (ROB)</t>
  </si>
  <si>
    <t>T5 Linear</t>
  </si>
  <si>
    <t>U-Bend Replacements</t>
  </si>
  <si>
    <t>Pin-Based Omni-Directional</t>
  </si>
  <si>
    <t>First Year Savings: Pin-Base Omni-Directional, ROB, Single Baseline</t>
  </si>
  <si>
    <t>Lifetime Savings: Pin-Base Omni-Directional, ROB, Single Baseline</t>
  </si>
  <si>
    <t>Omni-Screw</t>
  </si>
  <si>
    <r>
      <t>T8 Linear (Early Replacement)</t>
    </r>
    <r>
      <rPr>
        <vertAlign val="superscript"/>
        <sz val="9.5"/>
        <color theme="1"/>
        <rFont val="Calibri"/>
        <family val="2"/>
        <scheme val="minor"/>
      </rPr>
      <t>1</t>
    </r>
  </si>
  <si>
    <t>Menu of Deemed Savings Tables (click to navigate to correct savings tables)</t>
  </si>
  <si>
    <t>Directional &amp; Screw Base Omni</t>
  </si>
  <si>
    <t>First Year kW (Pre-Existing)</t>
  </si>
  <si>
    <t>First Year kW (Federal Standard)</t>
  </si>
  <si>
    <r>
      <rPr>
        <vertAlign val="superscript"/>
        <sz val="9"/>
        <color theme="1"/>
        <rFont val="Calibri"/>
        <family val="2"/>
        <scheme val="minor"/>
      </rPr>
      <t>1</t>
    </r>
    <r>
      <rPr>
        <sz val="9"/>
        <color theme="1"/>
        <rFont val="Calibri"/>
        <family val="2"/>
        <scheme val="minor"/>
      </rPr>
      <t xml:space="preserve"> First year and lifetime kWh calculations for SBDIL early replacement use custom HOU, so no deemed savings are provided.</t>
    </r>
  </si>
  <si>
    <t>Avg. Commercial</t>
  </si>
  <si>
    <r>
      <t>LED--Omni-Direct. lamp, Screw Base</t>
    </r>
    <r>
      <rPr>
        <vertAlign val="superscript"/>
        <sz val="9.5"/>
        <color theme="1"/>
        <rFont val="Calibri"/>
        <family val="2"/>
        <scheme val="minor"/>
      </rPr>
      <t>4</t>
    </r>
  </si>
  <si>
    <r>
      <t>LED--Omni-Direct. lamp, Pin Base</t>
    </r>
    <r>
      <rPr>
        <vertAlign val="superscript"/>
        <sz val="9.5"/>
        <color theme="1"/>
        <rFont val="Calibri"/>
        <family val="2"/>
        <scheme val="minor"/>
      </rPr>
      <t>4</t>
    </r>
  </si>
  <si>
    <t>LED: HID replace, 35W-149W</t>
  </si>
  <si>
    <t>LED: HID replace, 150W-220W</t>
  </si>
  <si>
    <t>LED: HID replace, &lt;35W</t>
  </si>
  <si>
    <t>LED: HID replace, &gt;220W</t>
  </si>
  <si>
    <t>LED Troffer, 1 ft x 4 ft</t>
  </si>
  <si>
    <t>LED Troffer, 2 ft x 2 ft</t>
  </si>
  <si>
    <t>LED Troffer, 2 ft x 4 ft</t>
  </si>
  <si>
    <t>(2) LED U-bend replace (2) Fl. U-bend</t>
  </si>
  <si>
    <t>COMMERCIAL: Interior Lighting</t>
  </si>
  <si>
    <t>COMMERCIAL: Exterior Lighting</t>
  </si>
  <si>
    <t>Exterior HID fixture.</t>
  </si>
  <si>
    <t>Lifetime Energy Savings, kWh</t>
  </si>
  <si>
    <t>Assumes replace on burnout (ROB)</t>
  </si>
  <si>
    <t>AEG's analysis of average annual sunset time in Honolulu (6:32 PM) and overlap with the 5-9 PM peak demand period.</t>
  </si>
  <si>
    <r>
      <rPr>
        <vertAlign val="superscript"/>
        <sz val="9"/>
        <color theme="1"/>
        <rFont val="Calibri"/>
        <family val="2"/>
        <scheme val="minor"/>
      </rPr>
      <t>1</t>
    </r>
    <r>
      <rPr>
        <sz val="9"/>
        <color theme="1"/>
        <rFont val="Calibri"/>
        <family val="2"/>
        <scheme val="minor"/>
      </rPr>
      <t xml:space="preserve"> Use value of PF=1 until more data is available on PF of LEDs relative to baseline lighting.</t>
    </r>
  </si>
  <si>
    <r>
      <rPr>
        <vertAlign val="superscript"/>
        <sz val="9"/>
        <color theme="1"/>
        <rFont val="Calibri"/>
        <family val="2"/>
        <scheme val="minor"/>
      </rPr>
      <t>2</t>
    </r>
    <r>
      <rPr>
        <sz val="9"/>
        <color theme="1"/>
        <rFont val="Calibri"/>
        <family val="2"/>
        <scheme val="minor"/>
      </rPr>
      <t xml:space="preserve"> Source of rated lamp life includes DEER, DLC, and other benchmarking.</t>
    </r>
  </si>
  <si>
    <r>
      <t>Table 1. Wattages, kW</t>
    </r>
    <r>
      <rPr>
        <b/>
        <vertAlign val="subscript"/>
        <sz val="11"/>
        <rFont val="Calibri"/>
        <family val="2"/>
        <scheme val="minor"/>
      </rPr>
      <t>base</t>
    </r>
    <r>
      <rPr>
        <b/>
        <sz val="11"/>
        <rFont val="Calibri"/>
        <family val="2"/>
        <scheme val="minor"/>
      </rPr>
      <t xml:space="preserve"> and kW</t>
    </r>
    <r>
      <rPr>
        <b/>
        <vertAlign val="subscript"/>
        <sz val="11"/>
        <rFont val="Calibri"/>
        <family val="2"/>
        <scheme val="minor"/>
      </rPr>
      <t>EE</t>
    </r>
  </si>
  <si>
    <t>First Year Savings: LED Exterior Fixtures, ROB, Single Baseline</t>
  </si>
  <si>
    <t>Lifetime Savings: LED Exterior Fixtures, ROB, Single Baseline</t>
  </si>
  <si>
    <t>Table 3. Calculated First Year Unit Energy Savings</t>
  </si>
  <si>
    <t>Table 4. Calculated Lifetime Unit Savings</t>
  </si>
  <si>
    <t>Table 2. Calculated First Year Unit Demand Savings</t>
  </si>
  <si>
    <t>HECO Rate Schedule F, 2018. Assumes no motion sensors.</t>
  </si>
  <si>
    <t xml:space="preserve">The replacement LED fixture must be on the Consortium for Energy Efficiency's (CEE's) most recent Commercial Lighting Qualifying Products List, have an ENERGY STAR label, or be on DesignLights Consortium's Qualified Product List (DLC QPL). </t>
  </si>
  <si>
    <t>All lighting (27% of PY16 portfolio)
- Separate Exterior Lighting from Interior Lighting and create new spreadsheet Tab
- Need general update of all parameters
- Need to revisit/document source of cooling load interactive factors (tracked back to PY15 TRM and they are unsourced)</t>
  </si>
  <si>
    <t>Lifetime Energy Savings</t>
  </si>
  <si>
    <t>Efficiency Vermont Technical Reference User Manual, Measure Savings Algorithms and Cost Assumptions, 2015.</t>
  </si>
  <si>
    <t>SBDIL Custom Hours Investigation Results, Memorandum, Submitted by Opinion Dynamics, Submitted to Energy Efficiency Manager, Dec. 12, 2017.</t>
  </si>
  <si>
    <t>Hawaiian Electric Company, Rate Schedule F, Public Street Lighting, Highway Lighting and Park and Playground Floodlighting, Revised Sheet No. 59, Effective September 1, 2018.</t>
  </si>
  <si>
    <t xml:space="preserve">Illinois Statewide Technical Reference Manual for Energy Efficiency, Version 6.0, Volume 2: Commercial and Industrial Measures, FINAL, Feb. 8, 2017. </t>
  </si>
  <si>
    <t>10 CFR 430.32(n) General service fluorescent lamps and incandescent reflector lamps. Paragraph (4).</t>
  </si>
  <si>
    <t>Rhode Island Technical Reference Manual – 2018 Program Year, National Grid, 2017.</t>
  </si>
  <si>
    <t xml:space="preserve">2016 Statewide Customized Offering Procedures Manual for Business. Appendix B: Table of Standard Fixture Wattages. July 2014, Version 6.0. </t>
  </si>
  <si>
    <t>ENERGY STAR, https://www.energystar.gov/.</t>
  </si>
  <si>
    <t>Consortium of Energy Efficiency (CEE), Commercial Lighting Qualifying Product Lists, August 2018 T8 Replacement Lamps.xlsx, https://library.cee1.org/content/commercial-lighting-qualifying-products-lists.</t>
  </si>
  <si>
    <t>U.S. Department of Energy, Appliance and Equipment Standards Rulemakings and Notices, General Service Fluorescent Lamps, accessed 11/4/2018, https://www1.eere.energy.gov/buildings/appliance_standards/standards.aspx?productid=22&amp;redirect=true.</t>
  </si>
  <si>
    <t>DesignLights Consortium (DLC), https://www.designlights.org, https://www.designlights.org/solid-state-lighting/qualification-requirements/technical-requirements/.</t>
  </si>
  <si>
    <t>California Public Utilities Commission (CPUC), DEER2020, Ex Ante database Support Table Export, EUL_basis, 1/1/2013 - 1/1/2021, available here: http://www.deeresources.com.</t>
  </si>
  <si>
    <t>California Public Utilities Commission (CPUC), DEER2016, Interior Lighting Hours-of-Use (HOU), Peak Period Coincident Demand (CDF), and HVAC Interactive Effects (IE) for San Diego, CA, Updated May 27, 2015, available here: http://www.deeresources.com. (There were no additional updates to interior lighting HOU, CDF, and IE factors in DEER2020.)</t>
  </si>
  <si>
    <r>
      <t xml:space="preserve">ACEEE, "Lighting/HVAC Interactions and Their Effects on Annual and Peak HVAC Requirements in Commercial Buildings," Sezgen, A. O., Y. J. Huang, Lawrence Berkeley Laboratory, </t>
    </r>
    <r>
      <rPr>
        <i/>
        <sz val="11"/>
        <rFont val="Calibri"/>
        <family val="2"/>
        <scheme val="minor"/>
      </rPr>
      <t>ACEEE Summer Study</t>
    </r>
    <r>
      <rPr>
        <sz val="11"/>
        <rFont val="Calibri"/>
        <family val="2"/>
        <scheme val="minor"/>
      </rPr>
      <t>, 1994.</t>
    </r>
  </si>
  <si>
    <t>Uniform Methods Project, Chapter 2: Commercial and Industrial Lighting Evaluation Protocol, D. Gowans, Left Fork Energy, and C. Telarico, DNV GL, C. Kurnik, National Renewable Energy Laboratory, October 2017.</t>
  </si>
  <si>
    <r>
      <t>Source: Calculated by dividing rated lamp life by HOU</t>
    </r>
    <r>
      <rPr>
        <vertAlign val="subscript"/>
        <sz val="9"/>
        <rFont val="Calibri"/>
        <family val="2"/>
      </rPr>
      <t>year</t>
    </r>
    <r>
      <rPr>
        <sz val="9"/>
        <rFont val="Calibri"/>
        <family val="2"/>
      </rPr>
      <t xml:space="preserve"> and setting upperbound EUL = 25 yr and lowerbound EUL = 1 yr. Sources of rated lamp life include DEER, DLC, Lighting Research Center, and other benchmarking.</t>
    </r>
  </si>
  <si>
    <t>Lighting Research Center, Publications, 061Incandescent, page 114, Halogen A, https://www.lrc.rpi.edu/resources/publications/lpbh/061Incandescent.pdf, accessed 11/7/2018.</t>
  </si>
  <si>
    <r>
      <t>EUL</t>
    </r>
    <r>
      <rPr>
        <b/>
        <vertAlign val="subscript"/>
        <sz val="11"/>
        <color rgb="FF000000"/>
        <rFont val="Calibri"/>
        <family val="2"/>
      </rPr>
      <t>1st</t>
    </r>
  </si>
  <si>
    <t>Lifetime in-service rate</t>
  </si>
  <si>
    <t>Appendix B SFW, average across incandescent exit signs</t>
  </si>
  <si>
    <t>Appendix B SFW, per lamp averages across fixture types</t>
  </si>
  <si>
    <r>
      <rPr>
        <vertAlign val="superscript"/>
        <sz val="9"/>
        <color theme="1"/>
        <rFont val="Calibri"/>
        <family val="2"/>
        <scheme val="minor"/>
      </rPr>
      <t>4</t>
    </r>
    <r>
      <rPr>
        <sz val="9"/>
        <color theme="1"/>
        <rFont val="Calibri"/>
        <family val="2"/>
        <scheme val="minor"/>
      </rPr>
      <t xml:space="preserve"> Wattages represent a blend of dimmable and non-dimmable equipment.  See C_Light_Dimmable(Nonlinear LED) for details.</t>
    </r>
  </si>
  <si>
    <t>ENERGY STAR, https://www.energystar.gov/, https://www.energystar.gov/products/lighting_fans/light_bulbs, accessed 10/24/2018.</t>
  </si>
  <si>
    <t>National Renewable Energy Laboratory. Building Energy Optimization (BEopt) Software. Version 2.8.0.0. U.S. Department of Energy. January 2018. Available at: https://beopt.nrel.gov/.</t>
  </si>
  <si>
    <t xml:space="preserve">Wilson, E. et. al., 2014 Building America House Simulation Protocols. National Renewable Energy Laboratory. March 2014. Available at: https://www.nrel.gov/docs/fy14osti/60988.pdf.  </t>
  </si>
  <si>
    <t>Incentivized LED lamps must be ENERGY STAR labeled or Design Lights Consortium (DLC) listed.</t>
  </si>
  <si>
    <t>For direct install projects, the replacement lamps must be of equivalent brightness (measured in lumens) as the baseline lamps. In the case of the delamping measure, the replacement lamp (with an added reflector as needed) must be of sufficient brightness to meet the requirements of the space. For delamping, the lamp and lamp holder ("tombstone") must be permanently removed.</t>
  </si>
  <si>
    <t>Replacement of non-linear EISA-compliant omni-directional and directional lamps with LED lamps in existing buildings. A percentage of the replacement LED lamps are assumed to be dimmable.</t>
  </si>
  <si>
    <t>Manufacturer data</t>
  </si>
  <si>
    <t>Wattage of High Efficiency Case</t>
  </si>
  <si>
    <t>Wattage of high efficiency case, including dimmable blend consideration</t>
  </si>
  <si>
    <t>Wattage of high efficiency case, undimmed</t>
  </si>
  <si>
    <t>Percent savings from dimming lamps</t>
  </si>
  <si>
    <r>
      <t>IE</t>
    </r>
    <r>
      <rPr>
        <vertAlign val="subscript"/>
        <sz val="10.5"/>
        <color theme="1"/>
        <rFont val="Calibri"/>
        <family val="2"/>
      </rPr>
      <t>C,D</t>
    </r>
  </si>
  <si>
    <r>
      <t>IE</t>
    </r>
    <r>
      <rPr>
        <vertAlign val="subscript"/>
        <sz val="10.5"/>
        <color theme="1"/>
        <rFont val="Calibri"/>
        <family val="2"/>
      </rPr>
      <t>C,E</t>
    </r>
  </si>
  <si>
    <t>See C_Light_
General tab, Table 4</t>
  </si>
  <si>
    <t>See C_Light_
General tab, Table 3</t>
  </si>
  <si>
    <r>
      <t>HOU</t>
    </r>
    <r>
      <rPr>
        <vertAlign val="subscript"/>
        <sz val="10.5"/>
        <color theme="1"/>
        <rFont val="Calibri"/>
        <family val="2"/>
      </rPr>
      <t>year</t>
    </r>
  </si>
  <si>
    <t>See C_Light_
General tab, Table 5</t>
  </si>
  <si>
    <r>
      <t>EUL</t>
    </r>
    <r>
      <rPr>
        <vertAlign val="subscript"/>
        <sz val="10.5"/>
        <color theme="1"/>
        <rFont val="Calibri"/>
        <family val="2"/>
        <scheme val="minor"/>
      </rPr>
      <t>EE</t>
    </r>
  </si>
  <si>
    <t>See C_Light_
General tab, Table 7</t>
  </si>
  <si>
    <t>Wattages represent a weighted average by lamp type (EISA lumen bin). See R_Light_LED for details.</t>
  </si>
  <si>
    <t>Base: Pin base CFL; EE: Replacement LED product</t>
  </si>
  <si>
    <t>First Year Savings: Pin-Base Omni-Directional, Single Baseline</t>
  </si>
  <si>
    <t>Table 2. Calculated First Year Unit Savings: Pin-Base Omni-Directional</t>
  </si>
  <si>
    <t>Public Utility Commission of Texas, Texas Technical Reference Manual, Version 5.0, Volume 2: Residential Measures, Program Year (PY) 2018, October 2017.</t>
  </si>
  <si>
    <t>Lighting/HVAC Interactions and Their Effects on Annual and Peak HVAC Requirements in Commercial Buildings, Sezgen, A. O., Y. J. Huang, Lawrence Berkeley Laboratory, ACEEE Summer Study, 1994.</t>
  </si>
  <si>
    <t>Public Utility Commission of Texas, Texas Technical Reference Manual, Version 5.0, Volume 3: Nonresidential Measures, Program Year (PY) 2018, October 2017.</t>
  </si>
  <si>
    <r>
      <t>DEER2020</t>
    </r>
    <r>
      <rPr>
        <vertAlign val="superscript"/>
        <sz val="10.5"/>
        <color theme="1"/>
        <rFont val="Calibri"/>
        <family val="2"/>
        <scheme val="minor"/>
      </rPr>
      <t>2</t>
    </r>
    <r>
      <rPr>
        <sz val="10.5"/>
        <color theme="1"/>
        <rFont val="Calibri"/>
        <family val="2"/>
        <scheme val="minor"/>
      </rPr>
      <t xml:space="preserve"> hours of use for San Diego (CA's southern-most latitude); no occupancy sensor  </t>
    </r>
  </si>
  <si>
    <r>
      <t>Calculated by dividing rated lamp life</t>
    </r>
    <r>
      <rPr>
        <vertAlign val="superscript"/>
        <sz val="10.5"/>
        <color theme="1"/>
        <rFont val="Calibri"/>
        <family val="2"/>
        <scheme val="minor"/>
      </rPr>
      <t>5</t>
    </r>
    <r>
      <rPr>
        <sz val="10.5"/>
        <color theme="1"/>
        <rFont val="Calibri"/>
        <family val="2"/>
        <scheme val="minor"/>
      </rPr>
      <t xml:space="preserve"> by HOU</t>
    </r>
    <r>
      <rPr>
        <vertAlign val="subscript"/>
        <sz val="10.5"/>
        <color theme="1"/>
        <rFont val="Calibri"/>
        <family val="2"/>
        <scheme val="minor"/>
      </rPr>
      <t>year</t>
    </r>
    <r>
      <rPr>
        <sz val="10.5"/>
        <color theme="1"/>
        <rFont val="Calibri"/>
        <family val="2"/>
        <scheme val="minor"/>
      </rPr>
      <t xml:space="preserve"> and setting upperbound EUL = 25 yr and lowerbound EUL = 1 yr</t>
    </r>
  </si>
  <si>
    <t>Footnote 4</t>
  </si>
  <si>
    <r>
      <rPr>
        <vertAlign val="superscript"/>
        <sz val="9"/>
        <color theme="1"/>
        <rFont val="Calibri"/>
        <family val="2"/>
        <scheme val="minor"/>
      </rPr>
      <t>2</t>
    </r>
    <r>
      <rPr>
        <sz val="9"/>
        <color theme="1"/>
        <rFont val="Calibri"/>
        <family val="2"/>
        <scheme val="minor"/>
      </rPr>
      <t xml:space="preserve"> The DEER interactive effect factors and hours of use were developed for DEER2016 and they are still applicable to DEER2020.</t>
    </r>
  </si>
  <si>
    <r>
      <rPr>
        <vertAlign val="superscript"/>
        <sz val="9"/>
        <color theme="1"/>
        <rFont val="Calibri"/>
        <family val="2"/>
        <scheme val="minor"/>
      </rPr>
      <t>3</t>
    </r>
    <r>
      <rPr>
        <sz val="9"/>
        <color theme="1"/>
        <rFont val="Calibri"/>
        <family val="2"/>
        <scheme val="minor"/>
      </rPr>
      <t xml:space="preserve"> "Lighting/HVAC Interactions and Their Effects on Annual and Peak HVAC Requirements in Commercial Buildings," Sezgen, A. O., Y. J. Huang, Lawrence Berkeley Laboratory, ACEEE Summer Study, 1994.</t>
    </r>
  </si>
  <si>
    <t xml:space="preserve">State of Pennsylvania Technical Reference Manual, Pennsylvania Public Utilities Commission, June 2016. </t>
  </si>
  <si>
    <t xml:space="preserve">Williams, Alison, Atkinson, Barbara, Garbesi, Karina, &amp; Rubinstein, Francis, “A Meta-Analysis of Energy Savings from Lighting Controls in Commercial Buildings”. Lawrence Berkeley National Laboratory. September 2011. </t>
  </si>
  <si>
    <t xml:space="preserve">Freezer </t>
  </si>
  <si>
    <t>DEER 2020</t>
  </si>
  <si>
    <t>Depends on HOU</t>
  </si>
  <si>
    <t>AEG 2018 Analysis</t>
  </si>
  <si>
    <t>Not updated</t>
  </si>
  <si>
    <t>EUL (years)</t>
  </si>
  <si>
    <t>LED (See R_Light_LED, Table 2)</t>
  </si>
  <si>
    <t>Varies</t>
  </si>
  <si>
    <t>Effective Useful Life (EUL) is the median length of time (in years) that an energy efficiency measure is functional. The EUL estimated for each measure is shown in the following table:</t>
  </si>
  <si>
    <t>LED Street and Parking Lot Fixture</t>
  </si>
  <si>
    <t>Lamp Life/8760</t>
  </si>
  <si>
    <t>Lamp Life/4100</t>
  </si>
  <si>
    <t>c) For all PY19 priority measures (except lamp replacement), conducted new EUL benchmarking analysis using AEG's DEEM tool (Database of Energy Efficiency Measures) and additional research of TRMs and best practices (see Resources listed below). The EULs for most lamp measures are based on the lamp life and hours of use of the lighting, which varies by building type.</t>
  </si>
  <si>
    <t>d) For all priority measures, used the median or average value of sources reviewed in Step c as the new PY19 updated EUL. (The median was used in most cases, except for when the average value appeared most representative.)</t>
  </si>
  <si>
    <t>e) For other non-priority measures for which there was an EUL in DEER2020, used the DEER2020 value as the new PY19 updated EUL.</t>
  </si>
  <si>
    <t xml:space="preserve">California Public Utilities Commission, Database of Energy Efficiency Resources, 2020 update, (DEER2020), READI v.2.5.0, Ex Ante Database Support Table Export, EUL_basis, created on 8/24/2018, available here: www.deeresources.com/index.php/homepage. Spreadsheet. </t>
  </si>
  <si>
    <t>CEE High Efficiency Residential Swimming Pool Initiative, Consortium for Energy Efficiency, Boston, MA, January 2013, page 18. States life of 5-7 years for motor when used year-round per personal communication with Regal Beloit, Aug. 12.</t>
  </si>
  <si>
    <t>ENERGY STAR, Pool Pump Calculator, last updated 2013, accessed Fall 2018, available here: https://www.energystar.gov/products/other/pool_pumps. Spreadsheet.</t>
  </si>
  <si>
    <t xml:space="preserve">Hagerman, Joseph, Department of Energy Building Technologies Program, Presentation: "Circulator Pumps, Appliance Standards and Rulemaking", Federal Advisory Committee (ASRAC) Working Group, Fifth Meeting, July 12-13, 2016. EERE-2016-BT-STD-0004. </t>
  </si>
  <si>
    <t>IESO Prescriptive Measures and Assumptions List. Independent Electricity System Operator. January 1, 2015. Document.</t>
  </si>
  <si>
    <t>Michigan Energy Measure Database, v. 2018, https://www.michigan.gov/mpsc/0,4639,7-159-52495_55129---,00.html, filename: "mi_master_measure_database_2018-112917_609672_7"</t>
  </si>
  <si>
    <t>Navigant Consulting, Inc. EIA Appendix A - Technology Forecast Updates - Residential and Commercial Building Technologies - 2011 Reference Case. U.S. Energy Information Administration, U.S. Department of Energy. September 22, 2011. Document.</t>
  </si>
  <si>
    <t>Navigant Consulting, Inc. EIA Appendix A - Technology Forecast Updates - Residential and Commercial Building Technologies - Reference Case. U.S. Energy Information Administration, U.S. Department of Energy. March 2014. Document.</t>
  </si>
  <si>
    <t>New Mexico Technical Resource Manual for the Calculation of Energy Efficiency Savings, 2016. Section 3.5. p.31. Cites DEER 2008 as source for EUL.</t>
  </si>
  <si>
    <t>Northwest Power Conservation Council (NWPCC). Residential Single Family Heat Pump, Version 5 - Seventh Power Plan Conservation Supply Workbooks. February 25, 2016. Spreadsheet</t>
  </si>
  <si>
    <t>Pool Pumps Summary - Calmac.org, www.calmac.org/publications/Pool_Pumps_RSW_II_6-15-2015_FINAL.xlsx. Spreadsheet.</t>
  </si>
  <si>
    <t>Public Service Company of Colorado. 2017/2018 Demand-Side Management Plan. Colorado Public Utilities Commission. July 1, 2016. Document.</t>
  </si>
  <si>
    <t>Regional Technical Forum. Air Source Heat Pump Upgrades SF  - Unit Energy Savings Workbook, Version 4.2. Northwest Power and Conservation Council. December 05, 2017. Spreadsheet.</t>
  </si>
  <si>
    <t>Regional Technical Forum. Commercial Grocery Display Case Lighting - Unit Energy Savings Workbook, Version 1.1. Northwest Power and Conservation Council. Oct. 1, 2018. Spreadsheet.</t>
  </si>
  <si>
    <t xml:space="preserve">Regional Technical Forum. ComResCirculatorPumps_1_2.xlsm. Northwest Power and Conservation Council. Sep 26, 2017. Spreadsheet. </t>
  </si>
  <si>
    <t>Regional Technical Forum. New Manufactured Homes and HVAC - Unit Energy Savings Workbook, Version 3.4. Northwest Power and Conservation Council. June 15, 2017. Spreadsheet.</t>
  </si>
  <si>
    <t>Regional Technical Forum. ResFridgeFreezeDecommissioning_v5_1.xlsm. Northwest Power and Conservation Council. January 12, 2018. Spreadsheet. RULs are from 2018 analysis of detailed RUL data in DOE Technical Support Document, REFRIGERATORS, REFRIGERATOR-FREEZERS, AND FREEZERS, November 2009.</t>
  </si>
  <si>
    <t>Regional Technical Forum. Residential Refrigerator and Freezers - Unit Energy Savings Workbook, Version 4.3. Northwest Power and Conservation Council. December 5, 2016. Spreadsheet.</t>
  </si>
  <si>
    <t xml:space="preserve">Savings Calculator for ENERGY STAR Appliances, Available at: https://www.energystar.gov/sites/default/files/asset/document/appliance_calculator.xlsx. Accessed October 16, 2018. </t>
  </si>
  <si>
    <t>Southern California Edison. Non-DEER Workpaper - Smart/Connected Refrigerator, SCE17AP009 Version 0. California Public Utilities Commission Database of Energy Efficiency Resources. March 17, 2017. Document.</t>
  </si>
  <si>
    <t>Southern California Edison. Non-DEER Workpaper - VFD Retrofit to Central Plant Systems, SCE17HC039 Version 0. California Public Utilities Commission Database of Energy Efficiency Resources. January 01, 2017. Document.</t>
  </si>
  <si>
    <t>U.S. Energy Information Administration. Annual Energy Outlook 2018, National Energy Modeling System (NEMS) Input Files. U.S. Department of Energy. February 6, 2018. Spreadsheet.</t>
  </si>
  <si>
    <t>Vermont Energy Investment Corporation. Illinois Statewide Technical Reference Manual for Energy Efficiency, Version 5.0. Illinois Energy Efficiency Stakeholder Advisory Group. February 2016. Document.</t>
  </si>
  <si>
    <t>Northwest Power Conservation Council (NWPCC). Commercial VRF, Version 6 - Seventh Power Plan Conservation Supply Workbooks. February 25, 2016. Spreadsheet.</t>
  </si>
  <si>
    <t>Northwest Power Conservation Council (NWPCC). Residential Refrigerator/Freezer, Version 4 - Seventh Power Plan Conservation Supply Workbooks. February 25, 2016. Spreadsheet.</t>
  </si>
  <si>
    <t>SBDI - Lighting, Pre-Existing Baseline RUL (See C_Light_General, Table 8)</t>
  </si>
  <si>
    <t>Depends on HOU; RUL = 1/3 EUL</t>
  </si>
  <si>
    <t>General, Baseline 
(See C_Light_General, Table 6)</t>
  </si>
  <si>
    <t>General, Efficient Case
(See C_Light_General, Table 7)</t>
  </si>
  <si>
    <t>SBDI - Lighting, Efficient Case 
(See C_Light_General, Table 7)</t>
  </si>
  <si>
    <t>Regional Technical Forum. Non-Residential Lighting, Midstream - Unit Energy Savings Workbook, Version 1.3 (NonResLightingMidstream_v1.3.xlsm). Northwest Power and Conservation Council. April 10, 2018. Spreadsheet.</t>
  </si>
  <si>
    <t>Lifetime Energy Savings, kWh (Single Baseline, ROB)</t>
  </si>
  <si>
    <t>Waste Heat Factors due to Interaction with Building Space Cooling System</t>
  </si>
  <si>
    <t>(9)</t>
  </si>
  <si>
    <t>Waste Heat Factors due to Interaction with Case Refrigeration System</t>
  </si>
  <si>
    <t>(10)</t>
  </si>
  <si>
    <t>(11)</t>
  </si>
  <si>
    <r>
      <t>kW</t>
    </r>
    <r>
      <rPr>
        <vertAlign val="subscript"/>
        <sz val="10.5"/>
        <color theme="1"/>
        <rFont val="Calibri"/>
        <family val="2"/>
        <scheme val="minor"/>
      </rPr>
      <t>EE</t>
    </r>
  </si>
  <si>
    <r>
      <t>EER</t>
    </r>
    <r>
      <rPr>
        <vertAlign val="subscript"/>
        <sz val="10.5"/>
        <color theme="1"/>
        <rFont val="Calibri"/>
        <family val="2"/>
        <scheme val="minor"/>
      </rPr>
      <t>R</t>
    </r>
  </si>
  <si>
    <r>
      <t>EUL</t>
    </r>
    <r>
      <rPr>
        <vertAlign val="subscript"/>
        <sz val="10.5"/>
        <color theme="1"/>
        <rFont val="Calibri"/>
        <family val="2"/>
        <scheme val="minor"/>
      </rPr>
      <t>pre-existing</t>
    </r>
  </si>
  <si>
    <t>Waste heat factor due to lighting interaction with building space cooling system demand</t>
  </si>
  <si>
    <t>Waste heat factor due to lighting interaction with case refrigeration system demand</t>
  </si>
  <si>
    <t>Energy efficiency ratio of case refrigeration system</t>
  </si>
  <si>
    <t>kBtu/ kWh</t>
  </si>
  <si>
    <r>
      <t>HOU</t>
    </r>
    <r>
      <rPr>
        <vertAlign val="subscript"/>
        <sz val="10.5"/>
        <color theme="1"/>
        <rFont val="Calibri"/>
        <family val="2"/>
        <scheme val="minor"/>
      </rPr>
      <t>year</t>
    </r>
  </si>
  <si>
    <r>
      <t>WH</t>
    </r>
    <r>
      <rPr>
        <vertAlign val="subscript"/>
        <sz val="10.5"/>
        <color theme="1"/>
        <rFont val="Calibri"/>
        <family val="2"/>
        <scheme val="minor"/>
      </rPr>
      <t>C,D</t>
    </r>
  </si>
  <si>
    <r>
      <t>WH</t>
    </r>
    <r>
      <rPr>
        <vertAlign val="subscript"/>
        <sz val="10.5"/>
        <color theme="1"/>
        <rFont val="Calibri"/>
        <family val="2"/>
        <scheme val="minor"/>
      </rPr>
      <t>C,E</t>
    </r>
  </si>
  <si>
    <r>
      <t>WH</t>
    </r>
    <r>
      <rPr>
        <vertAlign val="subscript"/>
        <sz val="10.5"/>
        <color theme="1"/>
        <rFont val="Calibri"/>
        <family val="2"/>
        <scheme val="minor"/>
      </rPr>
      <t>R,D</t>
    </r>
  </si>
  <si>
    <r>
      <t>WH</t>
    </r>
    <r>
      <rPr>
        <vertAlign val="subscript"/>
        <sz val="10.5"/>
        <color theme="1"/>
        <rFont val="Calibri"/>
        <family val="2"/>
        <scheme val="minor"/>
      </rPr>
      <t>R,E</t>
    </r>
  </si>
  <si>
    <r>
      <rPr>
        <vertAlign val="superscript"/>
        <sz val="9"/>
        <color theme="1"/>
        <rFont val="Calibri"/>
        <family val="2"/>
        <scheme val="minor"/>
      </rPr>
      <t>1</t>
    </r>
    <r>
      <rPr>
        <sz val="9"/>
        <color theme="1"/>
        <rFont val="Calibri"/>
        <family val="2"/>
        <scheme val="minor"/>
      </rPr>
      <t xml:space="preserve"> Regional Technical Forum. Commercial Grocery Display Case Lighting - Unit Energy Savings Workbook, Version 1.1. Northwest Power and Conservation Council. Oct. 1, 2018. Spreadsheet.</t>
    </r>
  </si>
  <si>
    <r>
      <t>Adjustment of AEG's general lighting CF for the Grocery segment by ratio of HOU</t>
    </r>
    <r>
      <rPr>
        <vertAlign val="subscript"/>
        <sz val="10.5"/>
        <color theme="1"/>
        <rFont val="Calibri"/>
        <family val="2"/>
        <scheme val="minor"/>
      </rPr>
      <t>refrig_case</t>
    </r>
    <r>
      <rPr>
        <sz val="10.5"/>
        <color theme="1"/>
        <rFont val="Calibri"/>
        <family val="2"/>
        <scheme val="minor"/>
      </rPr>
      <t>/HOU</t>
    </r>
    <r>
      <rPr>
        <vertAlign val="subscript"/>
        <sz val="10.5"/>
        <color theme="1"/>
        <rFont val="Calibri"/>
        <family val="2"/>
        <scheme val="minor"/>
      </rPr>
      <t>gen_grocery_light</t>
    </r>
  </si>
  <si>
    <r>
      <t>No change from PY18 TRM</t>
    </r>
    <r>
      <rPr>
        <vertAlign val="superscript"/>
        <sz val="10.5"/>
        <color theme="1"/>
        <rFont val="Calibri"/>
        <family val="2"/>
        <scheme val="minor"/>
      </rPr>
      <t>2</t>
    </r>
  </si>
  <si>
    <r>
      <rPr>
        <vertAlign val="superscript"/>
        <sz val="9"/>
        <color theme="1"/>
        <rFont val="Calibri"/>
        <family val="2"/>
        <scheme val="minor"/>
      </rPr>
      <t>2</t>
    </r>
    <r>
      <rPr>
        <sz val="9"/>
        <color theme="1"/>
        <rFont val="Calibri"/>
        <family val="2"/>
        <scheme val="minor"/>
      </rPr>
      <t xml:space="preserve"> The original source is Theobald, M. A., Emerging Technologies Program: Application Assessment Report #0608, LED Supermarket Case Lighting Grocery Store, Northern California, Pacific Gas and Electric Company, January 2006. Assumes refrigerated case lighting typically operates 17 hours per day, 365 days per year. Benchmarking results indicate that refrigerated case lighting is not tied to general store lighting.</t>
    </r>
  </si>
  <si>
    <t>Waste heat factor due to lighting interaction with building space cooling system energy use</t>
  </si>
  <si>
    <t>Waste heat factor due to lighting interaction with case refrigeration system energy use</t>
  </si>
  <si>
    <t>From C_Light_General tab, Table 4</t>
  </si>
  <si>
    <r>
      <t>See Equation 8; assumes 50% of lighting impacts general space cooling demand</t>
    </r>
    <r>
      <rPr>
        <vertAlign val="superscript"/>
        <sz val="10.5"/>
        <color theme="1"/>
        <rFont val="Calibri"/>
        <family val="2"/>
        <scheme val="minor"/>
      </rPr>
      <t>4</t>
    </r>
  </si>
  <si>
    <r>
      <t>See Equation 9; assumes 50% of lighting impacts general space cooling energy use</t>
    </r>
    <r>
      <rPr>
        <vertAlign val="superscript"/>
        <sz val="10.5"/>
        <color theme="1"/>
        <rFont val="Calibri"/>
        <family val="2"/>
        <scheme val="minor"/>
      </rPr>
      <t>4</t>
    </r>
  </si>
  <si>
    <r>
      <t>Assumes 50% of lighting impacts case refrigeration demand</t>
    </r>
    <r>
      <rPr>
        <vertAlign val="superscript"/>
        <sz val="10.5"/>
        <color theme="1"/>
        <rFont val="Calibri"/>
        <family val="2"/>
        <scheme val="minor"/>
      </rPr>
      <t>4</t>
    </r>
  </si>
  <si>
    <r>
      <t>Assumes 50% of lighting impacts case refrigeration energy use</t>
    </r>
    <r>
      <rPr>
        <vertAlign val="superscript"/>
        <sz val="10.5"/>
        <color theme="1"/>
        <rFont val="Calibri"/>
        <family val="2"/>
        <scheme val="minor"/>
      </rPr>
      <t>4</t>
    </r>
  </si>
  <si>
    <r>
      <t>From RTF 2018</t>
    </r>
    <r>
      <rPr>
        <vertAlign val="superscript"/>
        <sz val="10.5"/>
        <color theme="1"/>
        <rFont val="Calibri"/>
        <family val="2"/>
        <scheme val="minor"/>
      </rPr>
      <t>1</t>
    </r>
  </si>
  <si>
    <r>
      <t>Per Equation 7, assumes 1/3 EUL</t>
    </r>
    <r>
      <rPr>
        <vertAlign val="subscript"/>
        <sz val="10.5"/>
        <color theme="1"/>
        <rFont val="Calibri"/>
        <family val="2"/>
        <scheme val="minor"/>
      </rPr>
      <t>pre-existing</t>
    </r>
    <r>
      <rPr>
        <sz val="10.5"/>
        <color theme="1"/>
        <rFont val="Calibri"/>
        <family val="2"/>
        <scheme val="minor"/>
      </rPr>
      <t>, rounded to nearest year</t>
    </r>
  </si>
  <si>
    <t>Assumes lamp life of 24,000 hours</t>
  </si>
  <si>
    <t>Assumes lamp life of 50,000 hours</t>
  </si>
  <si>
    <r>
      <t>kW</t>
    </r>
    <r>
      <rPr>
        <b/>
        <vertAlign val="subscript"/>
        <sz val="10.5"/>
        <color theme="1"/>
        <rFont val="Calibri"/>
        <family val="2"/>
        <scheme val="minor"/>
      </rPr>
      <t>EE</t>
    </r>
  </si>
  <si>
    <r>
      <t>kW</t>
    </r>
    <r>
      <rPr>
        <b/>
        <vertAlign val="subscript"/>
        <sz val="10.5"/>
        <color theme="1"/>
        <rFont val="Calibri"/>
        <family val="2"/>
        <scheme val="minor"/>
      </rPr>
      <t>base,2</t>
    </r>
  </si>
  <si>
    <r>
      <t>kW</t>
    </r>
    <r>
      <rPr>
        <b/>
        <vertAlign val="subscript"/>
        <sz val="10.5"/>
        <color theme="1"/>
        <rFont val="Calibri"/>
        <family val="2"/>
        <scheme val="minor"/>
      </rPr>
      <t>base,1</t>
    </r>
  </si>
  <si>
    <r>
      <t>Manufacturer catalogs; includes ballast power factor of 0.98 for T8 and 0.90 for T12, as cited in RTF 2018 workbook</t>
    </r>
    <r>
      <rPr>
        <vertAlign val="superscript"/>
        <sz val="10.5"/>
        <color theme="1"/>
        <rFont val="Calibri"/>
        <family val="2"/>
        <scheme val="minor"/>
      </rPr>
      <t>1</t>
    </r>
  </si>
  <si>
    <r>
      <t>Manufacturer catalogs; includes ballast power factor of 0.98 for T8, as cited in RTF 2018 workbook</t>
    </r>
    <r>
      <rPr>
        <vertAlign val="superscript"/>
        <sz val="10.5"/>
        <color theme="1"/>
        <rFont val="Calibri"/>
        <family val="2"/>
        <scheme val="minor"/>
      </rPr>
      <t>1</t>
    </r>
  </si>
  <si>
    <t>Table 1. Measure Descriptions: Wattages</t>
  </si>
  <si>
    <t>Table 2. Waste Heat Factors for Refrigeration</t>
  </si>
  <si>
    <t>Case Type</t>
  </si>
  <si>
    <t>Medium Temperature (Refrigerators/Coolers)</t>
  </si>
  <si>
    <t>Low Temperature (Freezers)</t>
  </si>
  <si>
    <t>Medium Temperature (Refrigerators/ Coolers)</t>
  </si>
  <si>
    <r>
      <t>WH</t>
    </r>
    <r>
      <rPr>
        <b/>
        <vertAlign val="subscript"/>
        <sz val="10.5"/>
        <color theme="1"/>
        <rFont val="Calibri"/>
        <family val="2"/>
        <scheme val="minor"/>
      </rPr>
      <t>R,D</t>
    </r>
  </si>
  <si>
    <r>
      <t>EER</t>
    </r>
    <r>
      <rPr>
        <b/>
        <vertAlign val="subscript"/>
        <sz val="10.5"/>
        <color theme="1"/>
        <rFont val="Calibri"/>
        <family val="2"/>
        <scheme val="minor"/>
      </rPr>
      <t>R</t>
    </r>
    <r>
      <rPr>
        <b/>
        <vertAlign val="superscript"/>
        <sz val="10.5"/>
        <color theme="1"/>
        <rFont val="Calibri"/>
        <family val="2"/>
        <scheme val="minor"/>
      </rPr>
      <t>1</t>
    </r>
  </si>
  <si>
    <r>
      <t>WH</t>
    </r>
    <r>
      <rPr>
        <b/>
        <vertAlign val="subscript"/>
        <sz val="10.5"/>
        <color theme="1"/>
        <rFont val="Calibri"/>
        <family val="2"/>
        <scheme val="minor"/>
      </rPr>
      <t>R,E</t>
    </r>
    <r>
      <rPr>
        <b/>
        <vertAlign val="superscript"/>
        <sz val="10.5"/>
        <color theme="1"/>
        <rFont val="Calibri"/>
        <family val="2"/>
        <scheme val="minor"/>
      </rPr>
      <t>2</t>
    </r>
  </si>
  <si>
    <t>Lifetime Savings: Early Replacement, Dual Baseline</t>
  </si>
  <si>
    <t>Lifetime Savings: Replace on Burnout, Single Baseline</t>
  </si>
  <si>
    <t>California Public Utilities Commission, Database of Energy Efficiency Resources, 2020 update, (DEER2020), READI v.2.5.0, Ex Ante Database Support Table Export, EUL_basis, created on 8/24/2018, available here: www.deeresources.com/index.php/homepage. Spreadsheet.</t>
  </si>
  <si>
    <t xml:space="preserve">Theobald, M. A., Emerging Technologies Program: Application Assessment Report #0608, LED Supermarket Case Lighting Grocery Store, Northern California, Pacific Gas and Electric Company, January 2006. </t>
  </si>
  <si>
    <t xml:space="preserve">Department of Energy, TSD for Commercial Refrigeration, Table 5.6.1. "Fraction of lighting power into case for lighting outside of air curtain (W/W)" (https://www1.eere.energy.gov/buildings/appliance_standards/pdfs/cre2_nopr_tsd_2013_08_28.pdf). </t>
  </si>
  <si>
    <r>
      <rPr>
        <vertAlign val="superscript"/>
        <sz val="9"/>
        <color theme="1"/>
        <rFont val="Calibri"/>
        <family val="2"/>
        <scheme val="minor"/>
      </rPr>
      <t>2</t>
    </r>
    <r>
      <rPr>
        <sz val="9"/>
        <color theme="1"/>
        <rFont val="Calibri"/>
        <family val="2"/>
        <scheme val="minor"/>
      </rPr>
      <t xml:space="preserve"> Assume the energy and demand waste heat factors for refrigeration are equivalent. This is consistent with other sources reviewed.</t>
    </r>
  </si>
  <si>
    <t>Peer Program</t>
  </si>
  <si>
    <t>The Description says the reports are monthly. The Program Criteria is incorrect (has information for solar WH tune-ups). Update text, but not savings.</t>
  </si>
  <si>
    <t>Cadmus and Opinion Dynamics. Showerhead and Faucet Aerator Meter Study. Memorandum prepared for Michigan Evaluation Working Group. 2013.</t>
  </si>
  <si>
    <r>
      <t>AEG 2018 Analysis</t>
    </r>
    <r>
      <rPr>
        <vertAlign val="superscript"/>
        <sz val="10"/>
        <color theme="1"/>
        <rFont val="Calibri"/>
        <family val="2"/>
        <scheme val="minor"/>
      </rPr>
      <t>1</t>
    </r>
  </si>
  <si>
    <r>
      <t>DEER 2020</t>
    </r>
    <r>
      <rPr>
        <vertAlign val="superscript"/>
        <sz val="10"/>
        <color theme="1"/>
        <rFont val="Calibri"/>
        <family val="2"/>
        <scheme val="minor"/>
      </rPr>
      <t>2</t>
    </r>
  </si>
  <si>
    <r>
      <t>Depends on HOU</t>
    </r>
    <r>
      <rPr>
        <vertAlign val="superscript"/>
        <sz val="10"/>
        <color theme="1"/>
        <rFont val="Calibri"/>
        <family val="2"/>
        <scheme val="minor"/>
      </rPr>
      <t>3</t>
    </r>
  </si>
  <si>
    <r>
      <rPr>
        <vertAlign val="superscript"/>
        <sz val="9"/>
        <color theme="1"/>
        <rFont val="Calibri"/>
        <family val="2"/>
        <scheme val="minor"/>
      </rPr>
      <t>1</t>
    </r>
    <r>
      <rPr>
        <sz val="9"/>
        <color theme="1"/>
        <rFont val="Calibri"/>
        <family val="2"/>
        <scheme val="minor"/>
      </rPr>
      <t xml:space="preserve"> AEG 2018 Analysis:</t>
    </r>
  </si>
  <si>
    <r>
      <rPr>
        <vertAlign val="superscript"/>
        <sz val="9"/>
        <color theme="1"/>
        <rFont val="Calibri"/>
        <family val="2"/>
        <scheme val="minor"/>
      </rPr>
      <t>2</t>
    </r>
    <r>
      <rPr>
        <sz val="9"/>
        <color theme="1"/>
        <rFont val="Calibri"/>
        <family val="2"/>
        <scheme val="minor"/>
      </rPr>
      <t xml:space="preserve"> DEER 2020: EUL was verified/updated to DEER 2020 value.</t>
    </r>
  </si>
  <si>
    <r>
      <rPr>
        <vertAlign val="superscript"/>
        <sz val="9"/>
        <color theme="1"/>
        <rFont val="Calibri"/>
        <family val="2"/>
        <scheme val="minor"/>
      </rPr>
      <t>3</t>
    </r>
    <r>
      <rPr>
        <sz val="9"/>
        <color theme="1"/>
        <rFont val="Calibri"/>
        <family val="2"/>
        <scheme val="minor"/>
      </rPr>
      <t xml:space="preserve"> Depends on HOU: EUL depends on the rated lamp life and HOU for each specific building type.</t>
    </r>
  </si>
  <si>
    <r>
      <t>= [(%</t>
    </r>
    <r>
      <rPr>
        <vertAlign val="subscript"/>
        <sz val="10.5"/>
        <color theme="1"/>
        <rFont val="Calibri"/>
        <family val="2"/>
        <scheme val="minor"/>
      </rPr>
      <t>.low</t>
    </r>
    <r>
      <rPr>
        <sz val="10.5"/>
        <color theme="1"/>
        <rFont val="Calibri"/>
        <family val="2"/>
        <scheme val="minor"/>
      </rPr>
      <t xml:space="preserve"> * (Low</t>
    </r>
    <r>
      <rPr>
        <vertAlign val="subscript"/>
        <sz val="10.5"/>
        <color theme="1"/>
        <rFont val="Calibri"/>
        <family val="2"/>
        <scheme val="minor"/>
      </rPr>
      <t xml:space="preserve">.kW,base </t>
    </r>
    <r>
      <rPr>
        <sz val="10.5"/>
        <color theme="1"/>
        <rFont val="Calibri"/>
        <family val="2"/>
        <scheme val="minor"/>
      </rPr>
      <t>- Low</t>
    </r>
    <r>
      <rPr>
        <vertAlign val="subscript"/>
        <sz val="10.5"/>
        <color theme="1"/>
        <rFont val="Calibri"/>
        <family val="2"/>
        <scheme val="minor"/>
      </rPr>
      <t>.kW,ee</t>
    </r>
    <r>
      <rPr>
        <sz val="10.5"/>
        <color theme="1"/>
        <rFont val="Calibri"/>
        <family val="2"/>
        <scheme val="minor"/>
      </rPr>
      <t>) + %</t>
    </r>
    <r>
      <rPr>
        <vertAlign val="subscript"/>
        <sz val="10.5"/>
        <color theme="1"/>
        <rFont val="Calibri"/>
        <family val="2"/>
        <scheme val="minor"/>
      </rPr>
      <t xml:space="preserve">.med </t>
    </r>
    <r>
      <rPr>
        <sz val="10.5"/>
        <color theme="1"/>
        <rFont val="Calibri"/>
        <family val="2"/>
        <scheme val="minor"/>
      </rPr>
      <t>* (Med</t>
    </r>
    <r>
      <rPr>
        <vertAlign val="subscript"/>
        <sz val="10.5"/>
        <color theme="1"/>
        <rFont val="Calibri"/>
        <family val="2"/>
        <scheme val="minor"/>
      </rPr>
      <t xml:space="preserve">.kW,base </t>
    </r>
    <r>
      <rPr>
        <sz val="10.5"/>
        <color theme="1"/>
        <rFont val="Calibri"/>
        <family val="2"/>
        <scheme val="minor"/>
      </rPr>
      <t>- Med</t>
    </r>
    <r>
      <rPr>
        <vertAlign val="subscript"/>
        <sz val="10.5"/>
        <color theme="1"/>
        <rFont val="Calibri"/>
        <family val="2"/>
        <scheme val="minor"/>
      </rPr>
      <t>.kW,ee</t>
    </r>
    <r>
      <rPr>
        <sz val="10.5"/>
        <color theme="1"/>
        <rFont val="Calibri"/>
        <family val="2"/>
        <scheme val="minor"/>
      </rPr>
      <t>) + %</t>
    </r>
    <r>
      <rPr>
        <vertAlign val="subscript"/>
        <sz val="10.5"/>
        <color theme="1"/>
        <rFont val="Calibri"/>
        <family val="2"/>
        <scheme val="minor"/>
      </rPr>
      <t xml:space="preserve">.high </t>
    </r>
    <r>
      <rPr>
        <sz val="10.5"/>
        <color theme="1"/>
        <rFont val="Calibri"/>
        <family val="2"/>
        <scheme val="minor"/>
      </rPr>
      <t>* (High</t>
    </r>
    <r>
      <rPr>
        <vertAlign val="subscript"/>
        <sz val="10.5"/>
        <color theme="1"/>
        <rFont val="Calibri"/>
        <family val="2"/>
        <scheme val="minor"/>
      </rPr>
      <t xml:space="preserve">.kW,base </t>
    </r>
    <r>
      <rPr>
        <sz val="10.5"/>
        <color theme="1"/>
        <rFont val="Calibri"/>
        <family val="2"/>
        <scheme val="minor"/>
      </rPr>
      <t>- High</t>
    </r>
    <r>
      <rPr>
        <vertAlign val="subscript"/>
        <sz val="10.5"/>
        <color theme="1"/>
        <rFont val="Calibri"/>
        <family val="2"/>
        <scheme val="minor"/>
      </rPr>
      <t>.kW,ee</t>
    </r>
    <r>
      <rPr>
        <sz val="10.5"/>
        <color theme="1"/>
        <rFont val="Calibri"/>
        <family val="2"/>
        <scheme val="minor"/>
      </rPr>
      <t>)) + ((Inc</t>
    </r>
    <r>
      <rPr>
        <vertAlign val="subscript"/>
        <sz val="10.5"/>
        <color theme="1"/>
        <rFont val="Calibri"/>
        <family val="2"/>
        <scheme val="minor"/>
      </rPr>
      <t xml:space="preserve">.kW </t>
    </r>
    <r>
      <rPr>
        <sz val="10.5"/>
        <color theme="1"/>
        <rFont val="Calibri"/>
        <family val="2"/>
        <scheme val="minor"/>
      </rPr>
      <t>- CFL</t>
    </r>
    <r>
      <rPr>
        <vertAlign val="subscript"/>
        <sz val="10.5"/>
        <color theme="1"/>
        <rFont val="Calibri"/>
        <family val="2"/>
        <scheme val="minor"/>
      </rPr>
      <t>.kW</t>
    </r>
    <r>
      <rPr>
        <sz val="10.5"/>
        <color theme="1"/>
        <rFont val="Calibri"/>
        <family val="2"/>
        <scheme val="minor"/>
      </rPr>
      <t>) * WHF</t>
    </r>
    <r>
      <rPr>
        <vertAlign val="subscript"/>
        <sz val="10.5"/>
        <color theme="1"/>
        <rFont val="Calibri"/>
        <family val="2"/>
        <scheme val="minor"/>
      </rPr>
      <t>.d</t>
    </r>
    <r>
      <rPr>
        <sz val="10.5"/>
        <color theme="1"/>
        <rFont val="Calibri"/>
        <family val="2"/>
        <scheme val="minor"/>
      </rPr>
      <t>)] * CF</t>
    </r>
  </si>
  <si>
    <r>
      <t>= [(%</t>
    </r>
    <r>
      <rPr>
        <vertAlign val="subscript"/>
        <sz val="10.5"/>
        <color theme="1"/>
        <rFont val="Calibri"/>
        <family val="2"/>
        <scheme val="minor"/>
      </rPr>
      <t xml:space="preserve">.low </t>
    </r>
    <r>
      <rPr>
        <sz val="10.5"/>
        <color theme="1"/>
        <rFont val="Calibri"/>
        <family val="2"/>
        <scheme val="minor"/>
      </rPr>
      <t>* (Low</t>
    </r>
    <r>
      <rPr>
        <vertAlign val="subscript"/>
        <sz val="10.5"/>
        <color theme="1"/>
        <rFont val="Calibri"/>
        <family val="2"/>
        <scheme val="minor"/>
      </rPr>
      <t xml:space="preserve">.kW,base </t>
    </r>
    <r>
      <rPr>
        <sz val="10.5"/>
        <color theme="1"/>
        <rFont val="Calibri"/>
        <family val="2"/>
        <scheme val="minor"/>
      </rPr>
      <t>- Low</t>
    </r>
    <r>
      <rPr>
        <vertAlign val="subscript"/>
        <sz val="10.5"/>
        <color theme="1"/>
        <rFont val="Calibri"/>
        <family val="2"/>
        <scheme val="minor"/>
      </rPr>
      <t>.kW,ee</t>
    </r>
    <r>
      <rPr>
        <sz val="10.5"/>
        <color theme="1"/>
        <rFont val="Calibri"/>
        <family val="2"/>
        <scheme val="minor"/>
      </rPr>
      <t>) + %</t>
    </r>
    <r>
      <rPr>
        <vertAlign val="subscript"/>
        <sz val="10.5"/>
        <color theme="1"/>
        <rFont val="Calibri"/>
        <family val="2"/>
        <scheme val="minor"/>
      </rPr>
      <t xml:space="preserve">.med </t>
    </r>
    <r>
      <rPr>
        <sz val="10.5"/>
        <color theme="1"/>
        <rFont val="Calibri"/>
        <family val="2"/>
        <scheme val="minor"/>
      </rPr>
      <t>* (Med</t>
    </r>
    <r>
      <rPr>
        <vertAlign val="subscript"/>
        <sz val="10.5"/>
        <color theme="1"/>
        <rFont val="Calibri"/>
        <family val="2"/>
        <scheme val="minor"/>
      </rPr>
      <t xml:space="preserve">.kW,base </t>
    </r>
    <r>
      <rPr>
        <sz val="10.5"/>
        <color theme="1"/>
        <rFont val="Calibri"/>
        <family val="2"/>
        <scheme val="minor"/>
      </rPr>
      <t>- Med</t>
    </r>
    <r>
      <rPr>
        <vertAlign val="subscript"/>
        <sz val="10.5"/>
        <color theme="1"/>
        <rFont val="Calibri"/>
        <family val="2"/>
        <scheme val="minor"/>
      </rPr>
      <t>.kW,ee</t>
    </r>
    <r>
      <rPr>
        <sz val="10.5"/>
        <color theme="1"/>
        <rFont val="Calibri"/>
        <family val="2"/>
        <scheme val="minor"/>
      </rPr>
      <t>) + %</t>
    </r>
    <r>
      <rPr>
        <vertAlign val="subscript"/>
        <sz val="10.5"/>
        <color theme="1"/>
        <rFont val="Calibri"/>
        <family val="2"/>
        <scheme val="minor"/>
      </rPr>
      <t xml:space="preserve">.high </t>
    </r>
    <r>
      <rPr>
        <sz val="10.5"/>
        <color theme="1"/>
        <rFont val="Calibri"/>
        <family val="2"/>
        <scheme val="minor"/>
      </rPr>
      <t>* (High</t>
    </r>
    <r>
      <rPr>
        <vertAlign val="subscript"/>
        <sz val="10.5"/>
        <color theme="1"/>
        <rFont val="Calibri"/>
        <family val="2"/>
        <scheme val="minor"/>
      </rPr>
      <t xml:space="preserve">.kW,base </t>
    </r>
    <r>
      <rPr>
        <sz val="10.5"/>
        <color theme="1"/>
        <rFont val="Calibri"/>
        <family val="2"/>
        <scheme val="minor"/>
      </rPr>
      <t>- High</t>
    </r>
    <r>
      <rPr>
        <vertAlign val="subscript"/>
        <sz val="10.5"/>
        <color theme="1"/>
        <rFont val="Calibri"/>
        <family val="2"/>
        <scheme val="minor"/>
      </rPr>
      <t>.kW,ee</t>
    </r>
    <r>
      <rPr>
        <sz val="10.5"/>
        <color theme="1"/>
        <rFont val="Calibri"/>
        <family val="2"/>
        <scheme val="minor"/>
      </rPr>
      <t>)) * HRS</t>
    </r>
    <r>
      <rPr>
        <vertAlign val="subscript"/>
        <sz val="10.5"/>
        <color theme="1"/>
        <rFont val="Calibri"/>
        <family val="2"/>
        <scheme val="minor"/>
      </rPr>
      <t xml:space="preserve">.fan </t>
    </r>
    <r>
      <rPr>
        <sz val="10.5"/>
        <color theme="1"/>
        <rFont val="Calibri"/>
        <family val="2"/>
        <scheme val="minor"/>
      </rPr>
      <t>+ ((Inc</t>
    </r>
    <r>
      <rPr>
        <vertAlign val="subscript"/>
        <sz val="10.5"/>
        <color theme="1"/>
        <rFont val="Calibri"/>
        <family val="2"/>
        <scheme val="minor"/>
      </rPr>
      <t xml:space="preserve">.kW </t>
    </r>
    <r>
      <rPr>
        <sz val="10.5"/>
        <color theme="1"/>
        <rFont val="Calibri"/>
        <family val="2"/>
        <scheme val="minor"/>
      </rPr>
      <t>- CFL</t>
    </r>
    <r>
      <rPr>
        <vertAlign val="subscript"/>
        <sz val="10.5"/>
        <color theme="1"/>
        <rFont val="Calibri"/>
        <family val="2"/>
        <scheme val="minor"/>
      </rPr>
      <t>.kW</t>
    </r>
    <r>
      <rPr>
        <sz val="10.5"/>
        <color theme="1"/>
        <rFont val="Calibri"/>
        <family val="2"/>
        <scheme val="minor"/>
      </rPr>
      <t>) * WHF</t>
    </r>
    <r>
      <rPr>
        <vertAlign val="subscript"/>
        <sz val="10.5"/>
        <color theme="1"/>
        <rFont val="Calibri"/>
        <family val="2"/>
        <scheme val="minor"/>
      </rPr>
      <t>.e</t>
    </r>
    <r>
      <rPr>
        <sz val="10.5"/>
        <color theme="1"/>
        <rFont val="Calibri"/>
        <family val="2"/>
        <scheme val="minor"/>
      </rPr>
      <t>) * HRS</t>
    </r>
    <r>
      <rPr>
        <vertAlign val="subscript"/>
        <sz val="10.5"/>
        <color theme="1"/>
        <rFont val="Calibri"/>
        <family val="2"/>
        <scheme val="minor"/>
      </rPr>
      <t>.light</t>
    </r>
    <r>
      <rPr>
        <sz val="10.5"/>
        <color theme="1"/>
        <rFont val="Calibri"/>
        <family val="2"/>
        <scheme val="minor"/>
      </rPr>
      <t>] * CF</t>
    </r>
  </si>
  <si>
    <r>
      <t>= PF x [(Watts</t>
    </r>
    <r>
      <rPr>
        <vertAlign val="subscript"/>
        <sz val="10.5"/>
        <color theme="1"/>
        <rFont val="Calibri"/>
        <family val="2"/>
        <scheme val="minor"/>
      </rPr>
      <t>_bs,active</t>
    </r>
    <r>
      <rPr>
        <sz val="10.5"/>
        <color theme="1"/>
        <rFont val="Calibri"/>
        <family val="2"/>
        <scheme val="minor"/>
      </rPr>
      <t xml:space="preserve"> - Watts</t>
    </r>
    <r>
      <rPr>
        <vertAlign val="subscript"/>
        <sz val="10.5"/>
        <color theme="1"/>
        <rFont val="Calibri"/>
        <family val="2"/>
        <scheme val="minor"/>
      </rPr>
      <t>_ee,active</t>
    </r>
    <r>
      <rPr>
        <sz val="10.5"/>
        <color theme="1"/>
        <rFont val="Calibri"/>
        <family val="2"/>
        <scheme val="minor"/>
      </rPr>
      <t>) /1000] x CF</t>
    </r>
  </si>
  <si>
    <r>
      <t>= PF x {[(Watts</t>
    </r>
    <r>
      <rPr>
        <vertAlign val="subscript"/>
        <sz val="10.5"/>
        <color theme="1"/>
        <rFont val="Calibri"/>
        <family val="2"/>
        <scheme val="minor"/>
      </rPr>
      <t xml:space="preserve">_bs,active </t>
    </r>
    <r>
      <rPr>
        <sz val="10.5"/>
        <color theme="1"/>
        <rFont val="Calibri"/>
        <family val="2"/>
        <scheme val="minor"/>
      </rPr>
      <t>- Watts</t>
    </r>
    <r>
      <rPr>
        <vertAlign val="subscript"/>
        <sz val="10.5"/>
        <color theme="1"/>
        <rFont val="Calibri"/>
        <family val="2"/>
        <scheme val="minor"/>
      </rPr>
      <t>_ee,active</t>
    </r>
    <r>
      <rPr>
        <sz val="10.5"/>
        <color theme="1"/>
        <rFont val="Calibri"/>
        <family val="2"/>
        <scheme val="minor"/>
      </rPr>
      <t>) * HRS</t>
    </r>
    <r>
      <rPr>
        <vertAlign val="subscript"/>
        <sz val="10.5"/>
        <color theme="1"/>
        <rFont val="Calibri"/>
        <family val="2"/>
        <scheme val="minor"/>
      </rPr>
      <t>_active</t>
    </r>
    <r>
      <rPr>
        <sz val="10.5"/>
        <color theme="1"/>
        <rFont val="Calibri"/>
        <family val="2"/>
        <scheme val="minor"/>
      </rPr>
      <t>] + [Watts</t>
    </r>
    <r>
      <rPr>
        <vertAlign val="subscript"/>
        <sz val="10.5"/>
        <color theme="1"/>
        <rFont val="Calibri"/>
        <family val="2"/>
        <scheme val="minor"/>
      </rPr>
      <t xml:space="preserve">_bs,idle </t>
    </r>
    <r>
      <rPr>
        <sz val="10.5"/>
        <color theme="1"/>
        <rFont val="Calibri"/>
        <family val="2"/>
        <scheme val="minor"/>
      </rPr>
      <t>- Watts</t>
    </r>
    <r>
      <rPr>
        <vertAlign val="subscript"/>
        <sz val="10.5"/>
        <color theme="1"/>
        <rFont val="Calibri"/>
        <family val="2"/>
        <scheme val="minor"/>
      </rPr>
      <t>_ee,idle</t>
    </r>
    <r>
      <rPr>
        <sz val="10.5"/>
        <color theme="1"/>
        <rFont val="Calibri"/>
        <family val="2"/>
        <scheme val="minor"/>
      </rPr>
      <t>) * HRS</t>
    </r>
    <r>
      <rPr>
        <vertAlign val="subscript"/>
        <sz val="10.5"/>
        <color theme="1"/>
        <rFont val="Calibri"/>
        <family val="2"/>
        <scheme val="minor"/>
      </rPr>
      <t>_idle</t>
    </r>
    <r>
      <rPr>
        <sz val="10.5"/>
        <color theme="1"/>
        <rFont val="Calibri"/>
        <family val="2"/>
        <scheme val="minor"/>
      </rPr>
      <t>] + [Watts</t>
    </r>
    <r>
      <rPr>
        <vertAlign val="subscript"/>
        <sz val="10.5"/>
        <color theme="1"/>
        <rFont val="Calibri"/>
        <family val="2"/>
        <scheme val="minor"/>
      </rPr>
      <t xml:space="preserve">_bs,sleep </t>
    </r>
    <r>
      <rPr>
        <sz val="10.5"/>
        <color theme="1"/>
        <rFont val="Calibri"/>
        <family val="2"/>
        <scheme val="minor"/>
      </rPr>
      <t>- Watts</t>
    </r>
    <r>
      <rPr>
        <vertAlign val="subscript"/>
        <sz val="10.5"/>
        <color theme="1"/>
        <rFont val="Calibri"/>
        <family val="2"/>
        <scheme val="minor"/>
      </rPr>
      <t>_ee,sleep</t>
    </r>
    <r>
      <rPr>
        <sz val="10.5"/>
        <color theme="1"/>
        <rFont val="Calibri"/>
        <family val="2"/>
        <scheme val="minor"/>
      </rPr>
      <t>) * HRS</t>
    </r>
    <r>
      <rPr>
        <vertAlign val="subscript"/>
        <sz val="10.5"/>
        <color theme="1"/>
        <rFont val="Calibri"/>
        <family val="2"/>
        <scheme val="minor"/>
      </rPr>
      <t>_sleep</t>
    </r>
    <r>
      <rPr>
        <sz val="10.5"/>
        <color theme="1"/>
        <rFont val="Calibri"/>
        <family val="2"/>
        <scheme val="minor"/>
      </rPr>
      <t>]}/1000</t>
    </r>
  </si>
  <si>
    <r>
      <t>ENERGY STAR certified electric clothes dryer ≥ 4.4 ft</t>
    </r>
    <r>
      <rPr>
        <vertAlign val="superscript"/>
        <sz val="11"/>
        <color theme="1"/>
        <rFont val="Calibri"/>
        <family val="2"/>
        <scheme val="minor"/>
      </rPr>
      <t>3</t>
    </r>
  </si>
  <si>
    <t>COMMERCIAL: VFD Pool Pump</t>
  </si>
  <si>
    <t>The qualified efficiency table includes motors that are 1-200 hp NEMA Design A/B, 460 volts, TEFC or ODP, and 1200 rpm, 1800 rpm, or 3600 rpm.</t>
  </si>
  <si>
    <t>Savings factor for connected equipment</t>
  </si>
  <si>
    <t>Rated power of connected equipment</t>
  </si>
  <si>
    <t>inches/ft</t>
  </si>
  <si>
    <t>Lamp Life/6205</t>
  </si>
  <si>
    <r>
      <t>Cooking Energy Efficiency (</t>
    </r>
    <r>
      <rPr>
        <sz val="10.5"/>
        <color theme="1"/>
        <rFont val="Calibri"/>
        <family val="2"/>
      </rPr>
      <t>η_cook)</t>
    </r>
  </si>
  <si>
    <t>Equipment life:</t>
  </si>
  <si>
    <t>Check consistency/links between Master EUL table and individual measure entries.</t>
  </si>
  <si>
    <t>This measure applies to existing buildings. New construction is not eligible because the current ANSI/ASHRAE/IES Standard 90.1 requires that stairwell lighting be controlled so that lighting power can be reduced by at least 50% within 30 minutes of the stairwell space becoming unoccupied.</t>
  </si>
  <si>
    <t>Ultrasonic and infrared sensors are eligible. Lighting must be ENERGY STAR labeled or Design Lights Consortium (DLC) listed and UL compliant.</t>
  </si>
  <si>
    <t>First Baseline Annual Energy Savings, kWh/yr</t>
  </si>
  <si>
    <t>Second Baseline Annual Energy Savings, kWh/yr</t>
  </si>
  <si>
    <t>Annual Energy Savings, kWh/yr</t>
  </si>
  <si>
    <r>
      <t>kW</t>
    </r>
    <r>
      <rPr>
        <vertAlign val="subscript"/>
        <sz val="10.5"/>
        <color theme="1"/>
        <rFont val="Calibri"/>
        <family val="2"/>
        <scheme val="minor"/>
      </rPr>
      <t>base</t>
    </r>
  </si>
  <si>
    <r>
      <t>kW</t>
    </r>
    <r>
      <rPr>
        <vertAlign val="subscript"/>
        <sz val="10.5"/>
        <color theme="1"/>
        <rFont val="Calibri"/>
        <family val="2"/>
        <scheme val="minor"/>
      </rPr>
      <t>EE,dim</t>
    </r>
  </si>
  <si>
    <r>
      <t>kW</t>
    </r>
    <r>
      <rPr>
        <vertAlign val="subscript"/>
        <sz val="10.5"/>
        <color theme="1"/>
        <rFont val="Calibri"/>
        <family val="2"/>
        <scheme val="minor"/>
      </rPr>
      <t>EE,full</t>
    </r>
  </si>
  <si>
    <t>kW load of stairwell fixture in full power mode when occupied</t>
  </si>
  <si>
    <t>Fraction of time stairwell fixture is in dim or low level mode when unoccupied</t>
  </si>
  <si>
    <t>Fraction of time stairwell fixture is in full power mode when occupied</t>
  </si>
  <si>
    <t>Hours of use per year</t>
  </si>
  <si>
    <t>Assumes stairwell lighting must remain on 24 hr/day, 365 day/yr; value is consistent with AEG's Fall 2018 Benchmarking results</t>
  </si>
  <si>
    <t>Assumes that occupancy patterns during peak hours of 5-9 PM are consistent (on average) with occupancy during the rest of the day</t>
  </si>
  <si>
    <t>Assumes negligible interaction with cooling equipment; conservative assumption, but reasonable since not all stairwells are conditioned</t>
  </si>
  <si>
    <t xml:space="preserve">Assumes installations will be verified </t>
  </si>
  <si>
    <t>Assumes that savings persistence is accounted for in the EUL</t>
  </si>
  <si>
    <r>
      <t>AEG's Fall 2018 Benchmarking</t>
    </r>
    <r>
      <rPr>
        <vertAlign val="superscript"/>
        <sz val="10.5"/>
        <color theme="1"/>
        <rFont val="Calibri"/>
        <family val="2"/>
        <scheme val="minor"/>
      </rPr>
      <t>1</t>
    </r>
  </si>
  <si>
    <t>Fixture Type</t>
  </si>
  <si>
    <t>F32T8</t>
  </si>
  <si>
    <t>Note: Entries in red are for illustrative purposes only</t>
  </si>
  <si>
    <r>
      <t>kW</t>
    </r>
    <r>
      <rPr>
        <vertAlign val="subscript"/>
        <sz val="10.5"/>
        <color theme="1"/>
        <rFont val="Calibri"/>
        <family val="2"/>
        <scheme val="minor"/>
      </rPr>
      <t>base</t>
    </r>
    <r>
      <rPr>
        <sz val="10.5"/>
        <color theme="1"/>
        <rFont val="Calibri"/>
        <family val="2"/>
        <scheme val="minor"/>
      </rPr>
      <t xml:space="preserve"> =</t>
    </r>
  </si>
  <si>
    <t>Full Power Mode Wattage, kW</t>
  </si>
  <si>
    <t>Low Power Mode Wattage, kW</t>
  </si>
  <si>
    <r>
      <t>kW</t>
    </r>
    <r>
      <rPr>
        <vertAlign val="subscript"/>
        <sz val="10.5"/>
        <color theme="1"/>
        <rFont val="Calibri"/>
        <family val="2"/>
        <scheme val="minor"/>
      </rPr>
      <t>EE,full</t>
    </r>
    <r>
      <rPr>
        <sz val="10.5"/>
        <color theme="1"/>
        <rFont val="Calibri"/>
        <family val="2"/>
        <scheme val="minor"/>
      </rPr>
      <t xml:space="preserve"> =</t>
    </r>
  </si>
  <si>
    <r>
      <t>kW</t>
    </r>
    <r>
      <rPr>
        <vertAlign val="subscript"/>
        <sz val="10.5"/>
        <color theme="1"/>
        <rFont val="Calibri"/>
        <family val="2"/>
        <scheme val="minor"/>
      </rPr>
      <t>EE,dim</t>
    </r>
    <r>
      <rPr>
        <sz val="10.5"/>
        <color theme="1"/>
        <rFont val="Calibri"/>
        <family val="2"/>
        <scheme val="minor"/>
      </rPr>
      <t xml:space="preserve"> =</t>
    </r>
  </si>
  <si>
    <t>Stairwell Bi-Level Dimming</t>
  </si>
  <si>
    <t>Effective useful life of measure</t>
  </si>
  <si>
    <t>Effective useful life of LED</t>
  </si>
  <si>
    <t>Baseline kW load of continuous operation stairwell fixtures</t>
  </si>
  <si>
    <t>kW load of stairwell fixtures in dim or low level mode when unoccupied</t>
  </si>
  <si>
    <t>This is calculated based on user input of fixture wattages and fixture quantities</t>
  </si>
  <si>
    <t>This is calculated based on user input of fixture wattages in low power mode and fixture quantities</t>
  </si>
  <si>
    <t>This is calculated based on user input of fixture wattages in full power mode and fixture quantities</t>
  </si>
  <si>
    <t>Semi-Prescriptive Savings Calculator (based on user input of fixture wattages and quantities)</t>
  </si>
  <si>
    <t>1. Enter Baseline Fixture Wattage and Quantity (up to 3 types of fixtures)</t>
  </si>
  <si>
    <t>2. Enter Energy Efficient Fixture Wattages and Quantity (up to 3 types of fixtures)</t>
  </si>
  <si>
    <r>
      <rPr>
        <vertAlign val="superscript"/>
        <sz val="9"/>
        <color theme="1"/>
        <rFont val="Calibri"/>
        <family val="2"/>
        <scheme val="minor"/>
      </rPr>
      <t>1</t>
    </r>
    <r>
      <rPr>
        <sz val="9"/>
        <color theme="1"/>
        <rFont val="Calibri"/>
        <family val="2"/>
        <scheme val="minor"/>
      </rPr>
      <t xml:space="preserve"> Benchmarking yielded a median value of 79% for the percentage of time stairwells with bi-level occupancy control are in low power mode, and 21% for the percentage of time they are in full power mode. Values for low power mode varied from 62% to 97%, depending on the day of the week, building type, and stairwell type. AEG rounded to 80% and 20%.</t>
    </r>
  </si>
  <si>
    <t>F17T8</t>
  </si>
  <si>
    <t>Public Service Company of Colorado. Xcel Energy. 2019/2020 Demand-Side Management Plan. Colorado Public Utilities Commission. August 31, 2018.</t>
  </si>
  <si>
    <t>Massachusetts Technical Reference Manual, 2013-2015 Program Years, October 2012.</t>
  </si>
  <si>
    <t>Lighting Research Program, Project 5.1 Bi-Level Stairwell Fixture Performance, Final Report, prepared for California Energy Commission, Public Interest Energy Research Program, October 2015, CEC-500-2005-141-A16, Tables 2 and 3, https://www.energy.ca.gov/2005publications/CEC-500-2005-141/CEC-500-2005-141-A16.PDF</t>
  </si>
  <si>
    <t xml:space="preserve">Part-load efficiency of baseline chiller expressed as Integrated Part Load Value (IPLV), </t>
  </si>
  <si>
    <t>Part-load efficiency of installed high efficiency chiller</t>
  </si>
  <si>
    <t>Peak efficiency of baseline chiller at full load</t>
  </si>
  <si>
    <t>TONS</t>
  </si>
  <si>
    <t>Chiller nominal cooling capacity, in tons</t>
  </si>
  <si>
    <r>
      <t>IPLV</t>
    </r>
    <r>
      <rPr>
        <vertAlign val="subscript"/>
        <sz val="10.5"/>
        <rFont val="Calibri"/>
        <family val="2"/>
        <scheme val="minor"/>
      </rPr>
      <t>BL</t>
    </r>
  </si>
  <si>
    <r>
      <t>IPLV</t>
    </r>
    <r>
      <rPr>
        <vertAlign val="subscript"/>
        <sz val="10.5"/>
        <rFont val="Calibri"/>
        <family val="2"/>
        <scheme val="minor"/>
      </rPr>
      <t>EE</t>
    </r>
  </si>
  <si>
    <r>
      <t>PE</t>
    </r>
    <r>
      <rPr>
        <vertAlign val="subscript"/>
        <sz val="10.5"/>
        <rFont val="Calibri"/>
        <family val="2"/>
        <scheme val="minor"/>
      </rPr>
      <t>BL</t>
    </r>
  </si>
  <si>
    <r>
      <t>PE</t>
    </r>
    <r>
      <rPr>
        <vertAlign val="subscript"/>
        <sz val="10.5"/>
        <rFont val="Calibri"/>
        <family val="2"/>
        <scheme val="minor"/>
      </rPr>
      <t>EE</t>
    </r>
  </si>
  <si>
    <t>Higher than ASHRAE:</t>
  </si>
  <si>
    <t>10% Higher?</t>
  </si>
  <si>
    <t>20% Higher?</t>
  </si>
  <si>
    <t>Path A:</t>
  </si>
  <si>
    <t>Path B:</t>
  </si>
  <si>
    <t>Range</t>
  </si>
  <si>
    <t>Column Match</t>
  </si>
  <si>
    <t>Row Match</t>
  </si>
  <si>
    <t>Use:</t>
  </si>
  <si>
    <t>A</t>
  </si>
  <si>
    <t>B</t>
  </si>
  <si>
    <t>ASHRAE 90.1 Baseline</t>
  </si>
  <si>
    <t>FL_base</t>
  </si>
  <si>
    <t>IP</t>
  </si>
  <si>
    <t>IPLV_base</t>
  </si>
  <si>
    <t>Lifetime kWh:</t>
  </si>
  <si>
    <t>FL_delta</t>
  </si>
  <si>
    <t>Meets</t>
  </si>
  <si>
    <t>Tier 1 (ASHRAE + 10%)</t>
  </si>
  <si>
    <t>Tier 2 (ASHRAE + 20%)</t>
  </si>
  <si>
    <t>ASHRAE 90.1-2016 + 10% 
(Efficient Case Minimum)</t>
  </si>
  <si>
    <t>Positive Displacement (Reciprocating, Rotary Screw, Scroll)</t>
  </si>
  <si>
    <t>path a/path b values + 10%</t>
  </si>
  <si>
    <t>Path A+10%</t>
  </si>
  <si>
    <t>Path B+10%</t>
  </si>
  <si>
    <t>https://codes.iccsafe.org/content/IECC2015/chapter-4-ce-commercial-energy-efficiency</t>
  </si>
  <si>
    <t>ASHRAE 90.1-2016
(Efficient Case Tier 2)</t>
  </si>
  <si>
    <t>Possible Tier 2: 20% Higher than IECC 2015?</t>
  </si>
  <si>
    <t>Path A + 20% pass/fail:</t>
  </si>
  <si>
    <t>Path B + 20% pass/fail:</t>
  </si>
  <si>
    <t>ASHRAE 90.1-2016 
(Baseline)</t>
  </si>
  <si>
    <t xml:space="preserve">The following is a semi-prescriptive method for calculating chiller savings for one-for-one replacements of standalone chillers.  </t>
  </si>
  <si>
    <r>
      <t xml:space="preserve">The following chiller retrofits should be evaluated as custom projects: water-cooled chillers </t>
    </r>
    <r>
      <rPr>
        <sz val="11"/>
        <rFont val="Calibri"/>
        <family val="2"/>
      </rPr>
      <t>larger than or equal to</t>
    </r>
    <r>
      <rPr>
        <sz val="9.35"/>
        <rFont val="Calibri"/>
        <family val="2"/>
      </rPr>
      <t xml:space="preserve"> </t>
    </r>
    <r>
      <rPr>
        <sz val="11"/>
        <rFont val="Calibri"/>
        <family val="2"/>
        <scheme val="minor"/>
      </rPr>
      <t>600 tons, air-cooled chillers larger than or equal to 300 tons, and any chiller part of a larger, multi-system plant.</t>
    </r>
    <r>
      <rPr>
        <vertAlign val="superscript"/>
        <sz val="11"/>
        <rFont val="Calibri"/>
        <family val="2"/>
        <scheme val="minor"/>
      </rPr>
      <t>1</t>
    </r>
    <r>
      <rPr>
        <sz val="11"/>
        <rFont val="Calibri"/>
        <family val="2"/>
        <scheme val="minor"/>
      </rPr>
      <t xml:space="preserve"> In addition, a custom approach should be used for early retirement chiller projects and chillers installed in industrial or cold storage applications.</t>
    </r>
  </si>
  <si>
    <t>High efficiency equipment must exceed ASHRAE efficiencies by 10% or more. An additional tier (20% above ASHRAE) has also been included for this measure. Actual nameplate data for rated efficiency will be compared against ASHRAE standard efficiency.</t>
  </si>
  <si>
    <t>Peak efficiency of installed high efficiency chiller at full load</t>
  </si>
  <si>
    <t>See Chiller Worksheet</t>
  </si>
  <si>
    <r>
      <rPr>
        <sz val="10.5"/>
        <rFont val="Calibri"/>
        <family val="2"/>
      </rPr>
      <t>≤</t>
    </r>
    <r>
      <rPr>
        <sz val="10.5"/>
        <rFont val="Calibri"/>
        <family val="2"/>
        <scheme val="minor"/>
      </rPr>
      <t>600 tons for water-cooled; ≤300 tons for air-cooled</t>
    </r>
  </si>
  <si>
    <t>Equal to the minimum efficiency requirements of the ASHRAE 90.1-2016 standard</t>
  </si>
  <si>
    <t>At least 10% better than the ASHRAE 90.1-2016 standard</t>
  </si>
  <si>
    <t>(C_HVAC_Chiller_WKST)</t>
  </si>
  <si>
    <t xml:space="preserve">See accompanying Chiller Worksheet: </t>
  </si>
  <si>
    <t>Median of various sources from AEG's Fall 2018 Benchmarking</t>
  </si>
  <si>
    <t>Coincidence factor for commercial cooling with chiller</t>
  </si>
  <si>
    <t>Equivalent full load hours for commercial cooling with chiller</t>
  </si>
  <si>
    <r>
      <t>Based on analysis of clothes dryer loadshape curve from DOE PNNL study. See Tab 2 for calculation.</t>
    </r>
    <r>
      <rPr>
        <vertAlign val="superscript"/>
        <sz val="10.5"/>
        <color theme="1"/>
        <rFont val="Calibri"/>
        <family val="2"/>
        <scheme val="minor"/>
      </rPr>
      <t>3</t>
    </r>
  </si>
  <si>
    <t>SAVINGS DESCRIPTION</t>
  </si>
  <si>
    <t>In addition, Amplify does allow for the possibility that each space may have its own unique operating schedule.    </t>
  </si>
  <si>
    <t>$/kW</t>
  </si>
  <si>
    <t>$/kWh</t>
  </si>
  <si>
    <t>System Loss Factor (see Table 7 in the "System Loss Factor" section below)</t>
  </si>
  <si>
    <t>NTGR</t>
  </si>
  <si>
    <t>TABLE OF VALUES</t>
  </si>
  <si>
    <t>SYSTEM LOSS FACTOR (SLF)</t>
  </si>
  <si>
    <t>GROSS-TO-NET CALCULATIONS</t>
  </si>
  <si>
    <t>TOTAL RESOURCE BENEFIT (TRB)</t>
  </si>
  <si>
    <t>DEVELOPMENT OF AVOIDED COSTS</t>
  </si>
  <si>
    <t>KEMA's solar water heating study involved metering energy and peak demand for a sample of 260 solar water heaters. Of these, 18 (7%) were considered to be in a state of disrepair that made them essentially "inoperable" as solar water heaters. In this "inoperable" state, they used an average of 3,925 kWh/yr, which is more than the current baseline energy use. Additional details about the study, including characteristics of the units tested (age, capacity, maintenance history, etc.) and the metering approach (equipment used, time of year, measurement period, etc.) were not provided in the past TRMs, so these details about the approach could not be verified by AEG. In addition, due to the general lack of published data on solar water heater savings persistence, AEG was unable to find benchmarking information to help validate KEMA's findings. As such, the persistence factor was reviewed, but not updated, for the PY19 TRM. As more data becomes available on savings degradation of solar water heating systems relative to baseline equipment, the persistence factor should be reevaluated for future TRMs.</t>
  </si>
  <si>
    <t>Single
Dual</t>
  </si>
  <si>
    <t>The savings approach for this measure assumes the occupancy sensors are installed in existing buildings that have not yet been required to comply with current ANSI/ASHRAE/IES Standard 90.1 requirements for occupancy sensors.</t>
  </si>
  <si>
    <t xml:space="preserve">Ultrasonic and infrared sensors are eligible. </t>
  </si>
  <si>
    <t>First Baseline Peak Demand Reduction, kW</t>
  </si>
  <si>
    <t>Second Baseline Peak Demand Reduction, kW</t>
  </si>
  <si>
    <t>Peak Demand Reduction, kW</t>
  </si>
  <si>
    <t>Actual (default = 56.32)</t>
  </si>
  <si>
    <t>AEG's Fall 2018 Benchmarking; median of 16 reviewed sources</t>
  </si>
  <si>
    <r>
      <t>P</t>
    </r>
    <r>
      <rPr>
        <vertAlign val="subscript"/>
        <sz val="10.5"/>
        <color theme="1"/>
        <rFont val="Calibri"/>
        <family val="2"/>
        <scheme val="minor"/>
      </rPr>
      <t>ctrl</t>
    </r>
  </si>
  <si>
    <t>Effective useful life of occupancy sensor measure</t>
  </si>
  <si>
    <t>Default is 2L F32T8 with 0.88 ballast factor controlled by one sensor</t>
  </si>
  <si>
    <t>Values tie back to C_Light_General tab, Tables 3, 4, and 5.</t>
  </si>
  <si>
    <t>Weighted averages based on kWh savings by building type associated with actual PY17 occupancy sensor projects.</t>
  </si>
  <si>
    <r>
      <t>IE</t>
    </r>
    <r>
      <rPr>
        <b/>
        <vertAlign val="subscript"/>
        <sz val="10.5"/>
        <color theme="1"/>
        <rFont val="Calibri"/>
        <family val="2"/>
        <scheme val="minor"/>
      </rPr>
      <t>C,D</t>
    </r>
  </si>
  <si>
    <t>Weights</t>
  </si>
  <si>
    <t>a. Assumes linear, U-bend, or troffer lamps are controlled. (Values would be different for omni-directional, directional, decorative, or high bay lighting.)</t>
  </si>
  <si>
    <r>
      <t>IE</t>
    </r>
    <r>
      <rPr>
        <b/>
        <vertAlign val="subscript"/>
        <sz val="10.5"/>
        <color theme="1"/>
        <rFont val="Calibri"/>
        <family val="2"/>
        <scheme val="minor"/>
      </rPr>
      <t>C,E</t>
    </r>
  </si>
  <si>
    <r>
      <t>Semi-Prescriptive Savings Calculator (based on user input of P</t>
    </r>
    <r>
      <rPr>
        <b/>
        <i/>
        <vertAlign val="subscript"/>
        <sz val="11"/>
        <color theme="1"/>
        <rFont val="Calibri"/>
        <family val="2"/>
        <scheme val="minor"/>
      </rPr>
      <t>ctrl</t>
    </r>
    <r>
      <rPr>
        <b/>
        <i/>
        <sz val="11"/>
        <color theme="1"/>
        <rFont val="Calibri"/>
        <family val="2"/>
        <scheme val="minor"/>
      </rPr>
      <t>)</t>
    </r>
  </si>
  <si>
    <r>
      <t>Deemed Savings (based on default value for P</t>
    </r>
    <r>
      <rPr>
        <b/>
        <i/>
        <vertAlign val="subscript"/>
        <sz val="11"/>
        <color theme="1"/>
        <rFont val="Calibri"/>
        <family val="2"/>
        <scheme val="minor"/>
      </rPr>
      <t>ctrl</t>
    </r>
    <r>
      <rPr>
        <b/>
        <i/>
        <sz val="11"/>
        <color theme="1"/>
        <rFont val="Calibri"/>
        <family val="2"/>
        <scheme val="minor"/>
      </rPr>
      <t>)</t>
    </r>
  </si>
  <si>
    <r>
      <t>Enter total wattage controlled by sensor, P</t>
    </r>
    <r>
      <rPr>
        <vertAlign val="subscript"/>
        <sz val="11"/>
        <color theme="1"/>
        <rFont val="Calibri"/>
        <family val="2"/>
        <scheme val="minor"/>
      </rPr>
      <t>ctrl</t>
    </r>
  </si>
  <si>
    <t xml:space="preserve">b. The CF values were derived using the three step process described in the C_Light_General tab. </t>
  </si>
  <si>
    <t xml:space="preserve">d. The IE values were derived using the four step process described in the C_Light_General tab.  </t>
  </si>
  <si>
    <t>c. Baseline HRS are from DEER2020 hours of use for San Diego IOU for no occupancy sensor case.</t>
  </si>
  <si>
    <t>Easy Lighting Calculator, Version 3, eLC_V3, Southern California Edison, Custom Lighting Tool, updated 12/07/2016.</t>
  </si>
  <si>
    <t>Massachusetts Technical Reference Manual, 2016-2018 Program Years, October 2015.</t>
  </si>
  <si>
    <t>Northwest Power Conservation Council (NWPCC). Commercial Interior Lighting Controls, Version 10 - Seventh Power Plan Conservation Supply Workbooks. February 25, 2016. Spreadsheet.</t>
  </si>
  <si>
    <t xml:space="preserve">Public Service Company of Colorado. 2019/2020 Demand-Side Management Plan. Colorado Public Utilities Commission. Aug 31, 2018. </t>
  </si>
  <si>
    <t xml:space="preserve">Vermont Energy Investment Corporation. Illinois Statewide Technical Reference Manual for Energy Efficiency, Version 5.0. Illinois Energy Efficiency Stakeholder Advisory Group. February 11, 2016. </t>
  </si>
  <si>
    <t>DNV KEMA, Retrofit Lighting Controls Measures Summary of Findings, FINAL REPORT, 2014.</t>
  </si>
  <si>
    <t>Maniccia, D., B. Von Neida, and A. Tweed. An analysis of the energy and cost savings potential of occupancy sensors for commercial lighting systems, Illuminating Engineering Society of North America 2000 Annual Conference: Proceedings. IESNA: New York, NY, pp. 433-459.</t>
  </si>
  <si>
    <t>New Mexico Technical Resource Manual for the Calculation of Energy Efficiency Savings, 2016, Section 3.5. p.31.</t>
  </si>
  <si>
    <t xml:space="preserve">KEMA 2005-2007 report </t>
  </si>
  <si>
    <r>
      <t>KEMA 2005-2007 report</t>
    </r>
    <r>
      <rPr>
        <vertAlign val="superscript"/>
        <sz val="10.5"/>
        <color theme="1"/>
        <rFont val="Calibri"/>
        <family val="2"/>
        <scheme val="minor"/>
      </rPr>
      <t>1</t>
    </r>
  </si>
  <si>
    <t>On Peak Demand, group "Operating"</t>
  </si>
  <si>
    <t>Maintenance and repair of residential solar water heating systems for optimum performance.</t>
  </si>
  <si>
    <t>Average per unit energy use (kWh) and on-peak demand (kW) for the baseline solar water heater was estimated by KEMA using field measurements on a sample of 260 solar water heaters. The baseline values represent a blend of 242 "operable" and 18 "inoperable" systems, where "inoperable" refers to systems requiring maintenance and repair. Inoperable systems are defined as systems that use more than an average of 5 kWh per day.</t>
  </si>
  <si>
    <t>Average per unit energy use (kWh) and on-peak demand (kW) for the high efficiency solar water heater was estimated by KEMA using field measurements on the 242 "operable" systems within the sample of 260 solar water heaters tested.</t>
  </si>
  <si>
    <t>KEMA 2005-2007 report</t>
  </si>
  <si>
    <t>Factor accounts for savings degradation between tune-ups; the value of 0.5 assumes linear degradation of savings across measure life.</t>
  </si>
  <si>
    <r>
      <t>P</t>
    </r>
    <r>
      <rPr>
        <vertAlign val="subscript"/>
        <sz val="10.5"/>
        <color theme="1"/>
        <rFont val="Calibri"/>
        <family val="2"/>
        <scheme val="minor"/>
      </rPr>
      <t>base</t>
    </r>
  </si>
  <si>
    <r>
      <t>P</t>
    </r>
    <r>
      <rPr>
        <vertAlign val="subscript"/>
        <sz val="10.5"/>
        <color theme="1"/>
        <rFont val="Calibri"/>
        <family val="2"/>
        <scheme val="minor"/>
      </rPr>
      <t>op</t>
    </r>
  </si>
  <si>
    <r>
      <t>E</t>
    </r>
    <r>
      <rPr>
        <vertAlign val="subscript"/>
        <sz val="10.5"/>
        <color theme="1"/>
        <rFont val="Calibri"/>
        <family val="2"/>
        <scheme val="minor"/>
      </rPr>
      <t>base</t>
    </r>
  </si>
  <si>
    <r>
      <t>E</t>
    </r>
    <r>
      <rPr>
        <vertAlign val="subscript"/>
        <sz val="10.5"/>
        <color theme="1"/>
        <rFont val="Calibri"/>
        <family val="2"/>
        <scheme val="minor"/>
      </rPr>
      <t>op</t>
    </r>
  </si>
  <si>
    <t>KEMA's solar water heating study involved metering energy and peak demand for a sample of 260 solar water heaters. Of these, 18 (7%) were considered to be in a state of disrepair that made them essentially "inoperable" as solar water heaters. Additional details about the study, including characteristics of the units tested (age, capacity, maintenance history, etc.) and the metering approach (equipment used, time of year, measurement period, etc.) were not provided in the past TRMs, so these details about the approach could not be verified by AEG. In addition, due to the general lack of published data on savings from solar water heater maintenance and repair measures, AEG was unable to find benchmarking information to help validate KEMA's findings. As such, the energy and peak demand values for the baseline and high efficiency cases were reviewed, but not updated, for the PY19 TRM. However, AEG did add a persistence factor to the algorithms to account for gradual degradation of savings between tune-ups. As new data becomes available on savings from tune-ups, this measure entry should be reevaluated for future TRMs.</t>
  </si>
  <si>
    <t>Solar Hot Water System Specifications and Requirements, Form: SHW102, Environmental Protection Agency, https://www.epa.gov/sites/production/files/2016-01/documents/webinar_20140416_systemspecifications.pdf.</t>
  </si>
  <si>
    <t>Solar Water Heating System Maintenance and Repair, Energy Saver webpage, Department of Energy, accessed 11/21/2018, https://www.energy.gov/energysaver/solar-water-heating-system-maintenance-and-repair.</t>
  </si>
  <si>
    <r>
      <t>%</t>
    </r>
    <r>
      <rPr>
        <vertAlign val="subscript"/>
        <sz val="10.5"/>
        <color theme="1"/>
        <rFont val="Calibri"/>
        <family val="2"/>
        <scheme val="minor"/>
      </rPr>
      <t>Int</t>
    </r>
  </si>
  <si>
    <t>Share of interior light bulbs</t>
  </si>
  <si>
    <t>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Table 4.4.</t>
  </si>
  <si>
    <t>The occupancy sensors must be UL listed.</t>
  </si>
  <si>
    <t>All types of wall switch sensors (e.g. infrared, ultrasonic) are eligible.</t>
  </si>
  <si>
    <t>The enhanced case is assumed to be the same base case lamps in operation with a 30% reduction in runtime.</t>
  </si>
  <si>
    <t>Effective useful life of occupancy sensor</t>
  </si>
  <si>
    <r>
      <t>kW</t>
    </r>
    <r>
      <rPr>
        <vertAlign val="subscript"/>
        <sz val="10.5"/>
        <color theme="1"/>
        <rFont val="Calibri"/>
        <family val="2"/>
        <scheme val="minor"/>
      </rPr>
      <t>ctrl,1</t>
    </r>
  </si>
  <si>
    <t>EISA Tier 1 Wattage; two (2) 43W bulbs</t>
  </si>
  <si>
    <t>EISA Tier 2 Wattage; two (2) 20W bulbs (Wattage calculated using middle of 750 - 1049 lm range)</t>
  </si>
  <si>
    <r>
      <t>kW</t>
    </r>
    <r>
      <rPr>
        <vertAlign val="subscript"/>
        <sz val="10.5"/>
        <color theme="1"/>
        <rFont val="Calibri"/>
        <family val="2"/>
        <scheme val="minor"/>
      </rPr>
      <t>ctrl,2</t>
    </r>
  </si>
  <si>
    <t>This measure is for wall switch sensors that control the use of lighting in areas around the home with variable use, such as laundry, storage, garage, bedrooms or spare areas. The default deemed savings approach assumes each occupancy sensor controls two omni-directional lamps in a non-military home. A semi-prescriptive savings calculator is also provided to allow custom entry of the controlled wattage.</t>
  </si>
  <si>
    <t>Runtime reduction factor from sensor</t>
  </si>
  <si>
    <t>AEG's Fall 2018 Benchmarking; median of 6 sources</t>
  </si>
  <si>
    <t>No change from PY18 TRM; non-military home</t>
  </si>
  <si>
    <t>Based on average lamp life of 15,000 hours</t>
  </si>
  <si>
    <t>Residential Lighting Occupancy Sensor</t>
  </si>
  <si>
    <t>SEMI-PRESCRIPTIVE SAVINGS</t>
  </si>
  <si>
    <t>Semi-Prescriptive Savings Calculator (based on user input wattage for energy efficient lamps)</t>
  </si>
  <si>
    <t>No</t>
  </si>
  <si>
    <t>Are controlled lamps energy efficient</t>
  </si>
  <si>
    <t>Are the lamps installed in an air-conditioned space?</t>
  </si>
  <si>
    <t>Does the efficacy of the lamps controlled by the occupancy sensor meet or exceed 45 lumen/W? (For example, are they LEDs, CFLs, T5 or T8 lamps?)</t>
  </si>
  <si>
    <r>
      <t xml:space="preserve">Enter Total Wattage Controlled by Occupancy Sensor in </t>
    </r>
    <r>
      <rPr>
        <u/>
        <sz val="11"/>
        <color theme="1"/>
        <rFont val="Calibri"/>
        <family val="2"/>
        <scheme val="minor"/>
      </rPr>
      <t>Watts</t>
    </r>
  </si>
  <si>
    <t xml:space="preserve">Replacement of an Electric Storage Water Heater with a Solar Water Heater for Service Water Heating in an existing commercial building. Solar Water Heating systems use solar thermal energy to meet most of the water heating load and continue to utilize electricity to operate the circulation pump and provide heating through an electric resistance element when needed. </t>
  </si>
  <si>
    <r>
      <t xml:space="preserve">Energy Factor of Baseline Equipment (Electric Storage Water Heater </t>
    </r>
    <r>
      <rPr>
        <b/>
        <i/>
        <sz val="11"/>
        <color theme="1"/>
        <rFont val="Calibri"/>
        <family val="2"/>
      </rPr>
      <t>&gt; 55 gallons)</t>
    </r>
  </si>
  <si>
    <t>V</t>
  </si>
  <si>
    <t>gal</t>
  </si>
  <si>
    <t>See Eq'ns 1 or 2</t>
  </si>
  <si>
    <r>
      <t>HW</t>
    </r>
    <r>
      <rPr>
        <vertAlign val="subscript"/>
        <sz val="10.5"/>
        <color theme="1"/>
        <rFont val="Calibri"/>
        <family val="2"/>
        <scheme val="minor"/>
      </rPr>
      <t>per SqFt</t>
    </r>
  </si>
  <si>
    <t>Average annual hot water use per square foot of building space</t>
  </si>
  <si>
    <t>gal/SqFt</t>
  </si>
  <si>
    <t>Table 1. Key Parameters for Semi-Prescriptive Approach</t>
  </si>
  <si>
    <r>
      <t>HW</t>
    </r>
    <r>
      <rPr>
        <b/>
        <vertAlign val="subscript"/>
        <sz val="11"/>
        <color theme="1"/>
        <rFont val="Calibri"/>
        <family val="2"/>
        <scheme val="minor"/>
      </rPr>
      <t>per SqFt</t>
    </r>
    <r>
      <rPr>
        <b/>
        <sz val="11"/>
        <color theme="1"/>
        <rFont val="Calibri"/>
        <family val="2"/>
        <scheme val="minor"/>
      </rPr>
      <t xml:space="preserve"> (gal/ft</t>
    </r>
    <r>
      <rPr>
        <b/>
        <vertAlign val="superscript"/>
        <sz val="11"/>
        <color theme="1"/>
        <rFont val="Calibri"/>
        <family val="2"/>
        <scheme val="minor"/>
      </rPr>
      <t>2</t>
    </r>
    <r>
      <rPr>
        <b/>
        <sz val="11"/>
        <color theme="1"/>
        <rFont val="Calibri"/>
        <family val="2"/>
        <scheme val="minor"/>
      </rPr>
      <t>-yr)</t>
    </r>
  </si>
  <si>
    <t>Square footage of area served by new Solar Water Heater</t>
  </si>
  <si>
    <t>SqFt</t>
  </si>
  <si>
    <t>Enter Square Footage of Area Served by Solar Water Heater, A</t>
  </si>
  <si>
    <t>Enter Equivalent Rated Storage Volume in gallons for Electric Storage Water Heater, V</t>
  </si>
  <si>
    <t>Rated Storage Volume of baseline Electric Storage Water Heater tank</t>
  </si>
  <si>
    <t>Building Type for Semi-Prescriptive Approach</t>
  </si>
  <si>
    <t>Select Building Type from Dropdown List</t>
  </si>
  <si>
    <r>
      <t>HW</t>
    </r>
    <r>
      <rPr>
        <vertAlign val="subscript"/>
        <sz val="11"/>
        <color theme="1"/>
        <rFont val="Calibri"/>
        <family val="2"/>
        <scheme val="minor"/>
      </rPr>
      <t>per SqFt</t>
    </r>
    <r>
      <rPr>
        <sz val="11"/>
        <color theme="1"/>
        <rFont val="Calibri"/>
        <family val="2"/>
        <scheme val="minor"/>
      </rPr>
      <t xml:space="preserve"> = </t>
    </r>
  </si>
  <si>
    <r>
      <t xml:space="preserve">Note: Savings in </t>
    </r>
    <r>
      <rPr>
        <sz val="9"/>
        <color rgb="FF0070C0"/>
        <rFont val="Calibri"/>
        <family val="2"/>
        <scheme val="minor"/>
      </rPr>
      <t>blue</t>
    </r>
    <r>
      <rPr>
        <sz val="9"/>
        <color theme="1"/>
        <rFont val="Calibri"/>
        <family val="2"/>
        <scheme val="minor"/>
      </rPr>
      <t xml:space="preserve"> result from sample entries above. </t>
    </r>
    <r>
      <rPr>
        <b/>
        <u/>
        <sz val="9"/>
        <color theme="1"/>
        <rFont val="Calibri"/>
        <family val="2"/>
        <scheme val="minor"/>
      </rPr>
      <t>They are for illustrative purposes only.</t>
    </r>
  </si>
  <si>
    <t>Residential 
Solar Water Heater</t>
  </si>
  <si>
    <t>Commercial 
Solar Water Heater</t>
  </si>
  <si>
    <r>
      <t>Orientation (</t>
    </r>
    <r>
      <rPr>
        <sz val="11"/>
        <color theme="1"/>
        <rFont val="Calibri"/>
        <family val="2"/>
      </rPr>
      <t>°</t>
    </r>
    <r>
      <rPr>
        <sz val="11"/>
        <color theme="1"/>
        <rFont val="Calibri"/>
        <family val="2"/>
        <scheme val="minor"/>
      </rPr>
      <t xml:space="preserve"> to true North)</t>
    </r>
  </si>
  <si>
    <t>55-59</t>
  </si>
  <si>
    <t>14-39</t>
  </si>
  <si>
    <t>40-44</t>
  </si>
  <si>
    <t>45-49</t>
  </si>
  <si>
    <t>50-54</t>
  </si>
  <si>
    <t>90-104</t>
  </si>
  <si>
    <t>105-114</t>
  </si>
  <si>
    <t>115-124</t>
  </si>
  <si>
    <t>225-234</t>
  </si>
  <si>
    <t>235-244</t>
  </si>
  <si>
    <t>245-254</t>
  </si>
  <si>
    <t>125-134</t>
  </si>
  <si>
    <t>135-224</t>
  </si>
  <si>
    <r>
      <rPr>
        <sz val="11"/>
        <color theme="1"/>
        <rFont val="Calibri"/>
        <family val="2"/>
      </rPr>
      <t>°</t>
    </r>
    <r>
      <rPr>
        <sz val="11"/>
        <color theme="1"/>
        <rFont val="Calibri"/>
        <family val="2"/>
        <scheme val="minor"/>
      </rPr>
      <t>F</t>
    </r>
  </si>
  <si>
    <t>2015 International Energy Conservation Code, Chapter 4: Commercial Energy Efficiency, Section C404: Service Water Heating (Mandatory), https://codes.iccsafe.org/content/IECC2015/chapter-4-ce-commercial-energy-efficiency.</t>
  </si>
  <si>
    <t>A.O. Smith responses to ENERGY STAR 2.0 framework specification for water heaters, ENERGY STAR Water Heaters Product Specification Framework May 2011, Questions for Discussion, Q9: "9. How does the SEF metric compare to EF metric? Could they be considered equivalent compared?..."  https://www.energystar.gov/sites/default/files/specs/AOSmith%20Comments_0.pdf.</t>
  </si>
  <si>
    <t xml:space="preserve">DEER 2015 Small Storage and Small Instantaneous Water Heater Energy Use Calculator. Filename: "DEER-WaterHeater-Calculator-v1.1.xlsm," "TechCalc" sheet. Spreadsheet dated 11/29/2014. AEG used for analysis of hot water usage (Gal/SqFt-yr) by building type. </t>
  </si>
  <si>
    <t>Update TOC; add hyperlink in each sheet to return to TOC to ease navigation</t>
  </si>
  <si>
    <t>Update Introduction</t>
  </si>
  <si>
    <t>Update Signature sheet</t>
  </si>
  <si>
    <t>Review, update, and add definitions to Glossary as needed</t>
  </si>
  <si>
    <t>Review/update values/approach for avoided costs and total resource benefits</t>
  </si>
  <si>
    <t>Review/update system loss factors</t>
  </si>
  <si>
    <t>Update Issues Log</t>
  </si>
  <si>
    <t>Update and rename Changes sheet</t>
  </si>
  <si>
    <t>2) Tabulation of IE factors from LBNL 1994 study for IECC CZ 3B and IECC CZ 1A;</t>
  </si>
  <si>
    <t>AEG's Fall 2018 Benchmarking (ISR = 1 for delamping measure and early replacement (BHTR))</t>
  </si>
  <si>
    <r>
      <rPr>
        <vertAlign val="superscript"/>
        <sz val="9"/>
        <color theme="1"/>
        <rFont val="Calibri"/>
        <family val="2"/>
        <scheme val="minor"/>
      </rPr>
      <t>4</t>
    </r>
    <r>
      <rPr>
        <sz val="9"/>
        <color theme="1"/>
        <rFont val="Calibri"/>
        <family val="2"/>
        <scheme val="minor"/>
      </rPr>
      <t xml:space="preserve"> Based on a ratio of 0.5 used in the Department of Energy TSD for Commercial Refrigeration, Table 5.6.1. "Fraction of lighting power into case for lighting outside of air curtain (W/W)" (https://www1.eere.energy.gov/buildings/appliance_standards/pdfs/cre2_nopr_tsd_2013_08_28.pdf). The same logic implies the fraction of lighting power outside of the refrigerated case for lighting that is inside of the case is 50%. So, the assumption is that 50% of lighting affects general cooling load and 50% of lighting affects case refrigeration load.</t>
    </r>
  </si>
  <si>
    <t>RESIDENTIAL: Refrigerator and Freezer</t>
  </si>
  <si>
    <t>Unit Replacement Annual Energy Savings, kWh/yr</t>
  </si>
  <si>
    <t>Unit Replacement Peak Demand Reduction, kW</t>
  </si>
  <si>
    <t>Unit Replacement with Turn-In Peak Demand Reduction, kW</t>
  </si>
  <si>
    <t>2nd Unit Turn-In Only Peak Demand Reduction, kW</t>
  </si>
  <si>
    <t>Unit Replacement Lifetime Energy Savings, kWh</t>
  </si>
  <si>
    <t>Unit Replacement with Turn-In Lifetime Energy Savings, kWh</t>
  </si>
  <si>
    <t>2nd Unit Turn-In Only Lifetime Energy Savings, kWh</t>
  </si>
  <si>
    <t>Effective useful life of new refrigerator</t>
  </si>
  <si>
    <t>Effective useful life of new freezer</t>
  </si>
  <si>
    <t>Remaining useful life of turned-in refrigerator</t>
  </si>
  <si>
    <t>Remaining useful life of turned-in freezer</t>
  </si>
  <si>
    <r>
      <t>E</t>
    </r>
    <r>
      <rPr>
        <vertAlign val="subscript"/>
        <sz val="10.5"/>
        <color theme="1"/>
        <rFont val="Calibri"/>
        <family val="2"/>
        <scheme val="minor"/>
      </rPr>
      <t>EE</t>
    </r>
  </si>
  <si>
    <r>
      <t>E</t>
    </r>
    <r>
      <rPr>
        <vertAlign val="subscript"/>
        <sz val="10.5"/>
        <color theme="1"/>
        <rFont val="Calibri"/>
        <family val="2"/>
        <scheme val="minor"/>
      </rPr>
      <t>Base</t>
    </r>
  </si>
  <si>
    <t>See Tables 1 and 2</t>
  </si>
  <si>
    <t>Conservative assumption when used to estimate peak demand savings</t>
  </si>
  <si>
    <t>Fresh volume</t>
  </si>
  <si>
    <t>Freezer volume</t>
  </si>
  <si>
    <t>cu ft</t>
  </si>
  <si>
    <t>Fresh volume of new refrigerator</t>
  </si>
  <si>
    <t>Freezer volume of new refrigerator or freezer</t>
  </si>
  <si>
    <t>User entry</t>
  </si>
  <si>
    <t>Default = 26.0</t>
  </si>
  <si>
    <r>
      <t>AV</t>
    </r>
    <r>
      <rPr>
        <vertAlign val="subscript"/>
        <sz val="10.5"/>
        <color theme="1"/>
        <rFont val="Calibri"/>
        <family val="2"/>
        <scheme val="minor"/>
      </rPr>
      <t>F</t>
    </r>
  </si>
  <si>
    <r>
      <t>AV</t>
    </r>
    <r>
      <rPr>
        <vertAlign val="subscript"/>
        <sz val="10.5"/>
        <color theme="1"/>
        <rFont val="Calibri"/>
        <family val="2"/>
        <scheme val="minor"/>
      </rPr>
      <t>R</t>
    </r>
  </si>
  <si>
    <t>Based on actual unit; used to calculate AV in Equations 1 and 2</t>
  </si>
  <si>
    <t>Based on actual unit; used to calculate AV in Equation 1</t>
  </si>
  <si>
    <t>ENERGY STAR as of September 15, 2014</t>
  </si>
  <si>
    <t>See Footnote 2 for Default assumption</t>
  </si>
  <si>
    <t>Annual energy usage of baseline unit</t>
  </si>
  <si>
    <t>Annual energy usage of new efficient unit</t>
  </si>
  <si>
    <t>Product Category</t>
  </si>
  <si>
    <t>Equation Term:</t>
  </si>
  <si>
    <t>Manual Defrost w/ and w/o TDD, All Configurations</t>
  </si>
  <si>
    <t>Auto Defrost w/o TDD, Top Freezer and Single Door Refrigerators</t>
  </si>
  <si>
    <t>Auto Defrost w/o TDD, Side by Side</t>
  </si>
  <si>
    <t>Auto Defrost w/o TDD, Bottom Freezer</t>
  </si>
  <si>
    <t>Auto Defrost w/ TDD, Bottom Freezer</t>
  </si>
  <si>
    <t>Auto Defrost w/ TDD, Top Freezer</t>
  </si>
  <si>
    <t>"Average" Refrigerator</t>
  </si>
  <si>
    <t>a</t>
  </si>
  <si>
    <t>b</t>
  </si>
  <si>
    <t>Upright Freezers, Manual Defrost</t>
  </si>
  <si>
    <t>Upright Freezers, Auto Defrost, w/o Auto Icemaker</t>
  </si>
  <si>
    <t>Upright Freezers, Auto Defrost, w/ Auto Icemaker</t>
  </si>
  <si>
    <t>Built-in Freezers, Auto Defrost, w/o Auto Icemaker</t>
  </si>
  <si>
    <t>Built-in Freezers, Auto Defrost, w/ Auto Icemaker</t>
  </si>
  <si>
    <t>Chest Freezers and All Other Freezers, except Compact Freezers</t>
  </si>
  <si>
    <t>Chest Freezers with Auto Defrost</t>
  </si>
  <si>
    <t>"Average" Freezer</t>
  </si>
  <si>
    <r>
      <rPr>
        <vertAlign val="superscript"/>
        <sz val="9"/>
        <rFont val="Calibri"/>
        <family val="2"/>
        <scheme val="minor"/>
      </rPr>
      <t>2</t>
    </r>
    <r>
      <rPr>
        <sz val="9"/>
        <rFont val="Calibri"/>
        <family val="2"/>
        <scheme val="minor"/>
      </rPr>
      <t xml:space="preserve"> ENERGY STAR Program Requirements for Residential Refrigerators and Freezers. Eligibility Criteria, V5.0, https://www.energystar.gov/ia/partners/product_specs/program_reqs/Refrigerators_and_Freezers_Program_Requirements_V5.0.pdf, accessed December 17, 2018.</t>
    </r>
  </si>
  <si>
    <r>
      <rPr>
        <vertAlign val="superscript"/>
        <sz val="9"/>
        <rFont val="Calibri"/>
        <family val="2"/>
        <scheme val="minor"/>
      </rPr>
      <t>1</t>
    </r>
    <r>
      <rPr>
        <sz val="9"/>
        <rFont val="Calibri"/>
        <family val="2"/>
        <scheme val="minor"/>
      </rPr>
      <t xml:space="preserve"> Electronic Code of Federal Regulations, PART 430—ENERGY CONSERVATION PROGRAM FOR CONSUMER PRODUCTS, Subpart C—Energy and Water Conservation Standards, §430.32  Energy and water conservation standards and their compliance dates. (a) Refrigerators/refrigerator-freezers/freezers, current as of December 13, 2018, accessed December 17, 2018.</t>
    </r>
  </si>
  <si>
    <r>
      <t xml:space="preserve">"Average" Freezer </t>
    </r>
    <r>
      <rPr>
        <vertAlign val="superscript"/>
        <sz val="11"/>
        <color theme="1"/>
        <rFont val="Calibri"/>
        <family val="2"/>
        <scheme val="minor"/>
      </rPr>
      <t>3</t>
    </r>
  </si>
  <si>
    <r>
      <rPr>
        <vertAlign val="superscript"/>
        <sz val="9"/>
        <rFont val="Calibri"/>
        <family val="2"/>
        <scheme val="minor"/>
      </rPr>
      <t>3</t>
    </r>
    <r>
      <rPr>
        <sz val="9"/>
        <rFont val="Calibri"/>
        <family val="2"/>
        <scheme val="minor"/>
      </rPr>
      <t xml:space="preserve"> Recommend updating with weighted average by type using program data or baseline data in future TRM update.</t>
    </r>
  </si>
  <si>
    <t>Deemed Savings (based on default value for Adjusted Volume, AV): Refrigerator w/o Turn-In</t>
  </si>
  <si>
    <t>Refrigerator w/o Turn-In
Product Category</t>
  </si>
  <si>
    <t>Freezer w/o Turn-In
Product Category</t>
  </si>
  <si>
    <r>
      <t xml:space="preserve">"Average" Refrigerator </t>
    </r>
    <r>
      <rPr>
        <vertAlign val="superscript"/>
        <sz val="11"/>
        <color theme="1"/>
        <rFont val="Calibri"/>
        <family val="2"/>
        <scheme val="minor"/>
      </rPr>
      <t>3</t>
    </r>
  </si>
  <si>
    <t>Deemed Savings (based on default value for Adjusted Volume, AV): Freezer w/o Turn-In</t>
  </si>
  <si>
    <t>Deemed Savings (based on default value for Adjusted Volume, AV): Refrigerator w/ Turn-In</t>
  </si>
  <si>
    <t>Deemed Savings (based on default value for Adjusted Volume, AV): Freezer w/ Turn-In</t>
  </si>
  <si>
    <t>Deemed Savings: Refrigerator or Freezer Turn-In Only</t>
  </si>
  <si>
    <t>Refrigerator w/ Turn-In
Product Category</t>
  </si>
  <si>
    <t>Freezer w/ Turn-In
Product Category</t>
  </si>
  <si>
    <r>
      <t xml:space="preserve">Table 2. Base and Efficient Case Freezer Standards, Total Volume </t>
    </r>
    <r>
      <rPr>
        <b/>
        <sz val="11"/>
        <color theme="1"/>
        <rFont val="Calibri"/>
        <family val="2"/>
      </rPr>
      <t>≥ 7.75 cu ft and &lt; 39 cu ft</t>
    </r>
    <r>
      <rPr>
        <b/>
        <sz val="11"/>
        <color theme="1"/>
        <rFont val="Calibri"/>
        <family val="2"/>
        <scheme val="minor"/>
      </rPr>
      <t>, Equation: E = a*AV + b</t>
    </r>
  </si>
  <si>
    <r>
      <t xml:space="preserve">Table 1. Base and Efficient Case Refrigerator Standards, Total Volume </t>
    </r>
    <r>
      <rPr>
        <b/>
        <sz val="11"/>
        <color theme="1"/>
        <rFont val="Calibri"/>
        <family val="2"/>
      </rPr>
      <t>≥ 7.75 cu ft and &lt; 39 cu ft</t>
    </r>
    <r>
      <rPr>
        <b/>
        <sz val="11"/>
        <color theme="1"/>
        <rFont val="Calibri"/>
        <family val="2"/>
        <scheme val="minor"/>
      </rPr>
      <t>, Equation: E = a*AV + b</t>
    </r>
  </si>
  <si>
    <r>
      <t>E</t>
    </r>
    <r>
      <rPr>
        <b/>
        <vertAlign val="subscript"/>
        <sz val="11"/>
        <color theme="1"/>
        <rFont val="Calibri"/>
        <family val="2"/>
        <scheme val="minor"/>
      </rPr>
      <t>base</t>
    </r>
    <r>
      <rPr>
        <b/>
        <sz val="11"/>
        <color theme="1"/>
        <rFont val="Calibri"/>
        <family val="2"/>
        <scheme val="minor"/>
      </rPr>
      <t xml:space="preserve">, Federal Standard, Maximum kWh/yr </t>
    </r>
    <r>
      <rPr>
        <b/>
        <vertAlign val="superscript"/>
        <sz val="11"/>
        <color theme="1"/>
        <rFont val="Calibri"/>
        <family val="2"/>
        <scheme val="minor"/>
      </rPr>
      <t>1</t>
    </r>
  </si>
  <si>
    <r>
      <t>E</t>
    </r>
    <r>
      <rPr>
        <b/>
        <vertAlign val="subscript"/>
        <sz val="11"/>
        <color theme="1"/>
        <rFont val="Calibri"/>
        <family val="2"/>
        <scheme val="minor"/>
      </rPr>
      <t>EE</t>
    </r>
    <r>
      <rPr>
        <b/>
        <sz val="11"/>
        <color theme="1"/>
        <rFont val="Calibri"/>
        <family val="2"/>
        <scheme val="minor"/>
      </rPr>
      <t xml:space="preserve">, ENERGY STAR, Maximum kWh/yr </t>
    </r>
    <r>
      <rPr>
        <b/>
        <vertAlign val="superscript"/>
        <sz val="11"/>
        <color theme="1"/>
        <rFont val="Calibri"/>
        <family val="2"/>
        <scheme val="minor"/>
      </rPr>
      <t>2</t>
    </r>
  </si>
  <si>
    <t>Semi-Prescriptive Savings (based on user entry): Refrigerator w/o Turn-In</t>
  </si>
  <si>
    <t>Semi-Prescriptive Savings (based on user entry): Freezer w/o Turn-In</t>
  </si>
  <si>
    <t>Semi-Prescriptive Savings (based on user entry): Refrigerator w/ Turn-In</t>
  </si>
  <si>
    <t>Semi-Prescriptive Savings (based on user entry): Freezer w/ Turn-In</t>
  </si>
  <si>
    <t>SAVINGS - DEEMED</t>
  </si>
  <si>
    <t>Freezer w/o Turn-In, AV = 26.0 cu ft
Product Category</t>
  </si>
  <si>
    <t>Freezer w/ Turn-In, AV = 26.0 cu ft
Product Category</t>
  </si>
  <si>
    <t>Freezer Turn-In Only, AV = 26.0 cu ft
Product Category</t>
  </si>
  <si>
    <t>Enter Fresh Volume</t>
  </si>
  <si>
    <t>Enter Frozen Volume</t>
  </si>
  <si>
    <r>
      <t>AV</t>
    </r>
    <r>
      <rPr>
        <vertAlign val="subscript"/>
        <sz val="11"/>
        <color theme="1"/>
        <rFont val="Calibri"/>
        <family val="2"/>
        <scheme val="minor"/>
      </rPr>
      <t>R</t>
    </r>
    <r>
      <rPr>
        <sz val="11"/>
        <color theme="1"/>
        <rFont val="Calibri"/>
        <family val="2"/>
        <scheme val="minor"/>
      </rPr>
      <t xml:space="preserve"> = </t>
    </r>
  </si>
  <si>
    <r>
      <t>AV</t>
    </r>
    <r>
      <rPr>
        <vertAlign val="subscript"/>
        <sz val="11"/>
        <color theme="1"/>
        <rFont val="Calibri"/>
        <family val="2"/>
        <scheme val="minor"/>
      </rPr>
      <t>F</t>
    </r>
    <r>
      <rPr>
        <sz val="11"/>
        <color theme="1"/>
        <rFont val="Calibri"/>
        <family val="2"/>
        <scheme val="minor"/>
      </rPr>
      <t xml:space="preserve"> = </t>
    </r>
  </si>
  <si>
    <t>SAVINGS - SEMI-PRESCRIPTIVE CALCULATOR</t>
  </si>
  <si>
    <t>per Equation 1</t>
  </si>
  <si>
    <t>per Equation 2</t>
  </si>
  <si>
    <t>Electronic Code of Federal Regulations, PART 430—ENERGY CONSERVATION PROGRAM FOR CONSUMER PRODUCTS, Subpart C—Energy and Water Conservation Standards, §430.32  Energy and water conservation standards and their compliance dates. (a) Refrigerators/refrigerator-freezers/freezers, current as of December 13, 2018, accessed December 17, 2018.</t>
  </si>
  <si>
    <t>ENERGY STAR Program Requirements for Residential Refrigerators and Freezers. Eligibility Criteria, V5.0, https://www.energystar.gov/ia/partners/product_specs/program_reqs/ Refrigerators_and_Freezers_Program_Requirements_V5.0.pdf, accessed December 17, 2018.</t>
  </si>
  <si>
    <t>Auto Defrost w/ TDD, Side by Side</t>
  </si>
  <si>
    <t>ENERGY STAR, Key Product Criteria, https://www.energystar.gov/products/appliances/refrigerators/key_product_criteria.</t>
  </si>
  <si>
    <t>Energy Information Administration, Residential Energy Consumption Survey, 2015, Table CE3.5: Annual household site end-use consumption in the West--totals and averages, 2015, https://www.eia.gov/consumption/residential/data/2015/c&amp;e/pdf/ce3.5.pdf, accessed December 17, 2018.</t>
  </si>
  <si>
    <t>Customer level energy and peak demand estimates are a function of many variables. When practical, assumptions for key variables used in the estimation approaches are based on Hawai‘i specific data. Where Hawai‘i data is not available or it is cost-prohibitive to obtain, data from similar programs in similar climate zones is used with appropriate adjustments based on engineering judgment.</t>
  </si>
  <si>
    <t>The savings estimates used in the initial Hawai‘i Energy TRM were drawn largely from the KEMA Evaluation Report for 2005 through 2007. At that time, the KEMA report was the most recent information available on specific markets. The values contained within that report were built upon previous evaluation reports and in-field measurements.</t>
  </si>
  <si>
    <t>Because that report used “average” field measured data instead of generalizable engineering equations to estimate savings for many measures, the approaches provided in the TRM attempted to develop savings calculations based on typical measure characteristics. The primary use of the KEMA report values was to guide development of the first TRM, including market assumptions, especially for the baseline energy use, to more accurately estimate the typical savings.</t>
  </si>
  <si>
    <t>Uniform Methods Project</t>
  </si>
  <si>
    <t>U.S. Department of Energy</t>
  </si>
  <si>
    <t>Environmental Protection Agency</t>
  </si>
  <si>
    <t>American Society of Heating, Refrigerating and Air-Conditioning Engineers (ASHRAE)</t>
  </si>
  <si>
    <t>International Energy Conservation Code</t>
  </si>
  <si>
    <t>California Public Utilities Commission, Database for Energy Efficiency Resources (DEER)</t>
  </si>
  <si>
    <t>Regional Technical Forum, Library of Unit Energy Savings Measures</t>
  </si>
  <si>
    <t>Multiple Technical Reference Manuals for jurisdictions across the U.S.</t>
  </si>
  <si>
    <t xml:space="preserve">Various memorandums prepared by former EM&amp;V Consultant, Opinion Dynamics </t>
  </si>
  <si>
    <t>Additionally, the primary sources the AEG team used to update key parameters with Hawai‘i-specific data are listed below:</t>
  </si>
  <si>
    <t>Commercial and Residential Hourly Load Profiles for all TMY3 Locations in the United States, OpenEI Datasets, Open Data Catalog, Office of Energy Efficiency and Renewable Energy, U.S. Department of Energy. Available at: https://openei.org/doe-opendata/dataset/commercial-and-residential-hourly-load-profiles-for-all-tmy3-locations-in-the-united-states.</t>
  </si>
  <si>
    <t>National Renewable Energy Laboratory’s Building Energy Optimization (BEopt) Software. Version 2.8.0.0. U.S. Department of Energy. January 2018. Available at: https://beopt.nrel.gov/. AEG developed a prototype home and ran various simulations using Honolulu weather data.</t>
  </si>
  <si>
    <t>TERM</t>
  </si>
  <si>
    <t>DEFINITION</t>
  </si>
  <si>
    <t>Annual Operating Hours (AOH)</t>
  </si>
  <si>
    <t>See “Operating Hours” definition. Also referred to as “Hours of Use.”</t>
  </si>
  <si>
    <t>Avoided Costs</t>
  </si>
  <si>
    <t xml:space="preserve">Essentially the marginal cost for a public utility to produce one more unit of power. Because Qualifying Facilities (QFs) reduce the utility's need to produce this additional power themselves, the price utilities pay for QF power has been set to the avoided, or marginal, cost. </t>
  </si>
  <si>
    <t xml:space="preserve">Baseline </t>
  </si>
  <si>
    <t>Conditions, such as energy consumption and demand, which would have occurred without implementation of the subject energy efficiency measure. Baseline conditions are sometimes referred to as the counterfactual. There are several baseline options and a range of definitions for these options used in the efficiency industry.</t>
  </si>
  <si>
    <t>Coefficient of Variation</t>
  </si>
  <si>
    <t>The sample standard deviation divided by the sample mean (Cv = σ/μ).</t>
  </si>
  <si>
    <t>Coincident Demand</t>
  </si>
  <si>
    <t xml:space="preserve">The demand of a device, circuit, end-use, building, or population that occurs at the same time as the utility’s system peak load. </t>
  </si>
  <si>
    <t xml:space="preserve">Coincidence Factor (CF) </t>
  </si>
  <si>
    <t>Coincident Peak Demand Reduction</t>
  </si>
  <si>
    <t xml:space="preserve">The reduction in peak electricity use in units of kW from the baseline to the use associated with the energy-efficient measure installation, where the reduction in peak electricity use occurs simultaneously with the servicing utility system’s maximum use during a specific period. Hawai‘i Energy’s current definition for coincident peak demand savings is the average demand savings that occur, from implementation of an efficiency measure, during the non-holiday, weekday hours between 5 and 9 PM. This aligns with HECO’s System Peak Period. See also “System Peak Period” definition. </t>
  </si>
  <si>
    <t>Common Practice</t>
  </si>
  <si>
    <t xml:space="preserve">The predominant technology(ies) implemented or practice(s) undertaken in a particular region or sector. Common practices can be used to define a baseline. </t>
  </si>
  <si>
    <t xml:space="preserve">Connected Load </t>
  </si>
  <si>
    <t>The maximum wattage of the equipment, under normal operating conditions.</t>
  </si>
  <si>
    <t>Cost-effectiveness</t>
  </si>
  <si>
    <t xml:space="preserve">An indicator of the relative performance or economic attractiveness of any energy efficiency investment or practice. The present value of the estimated benefits produced by an energy efficiency program is compared to the estimated total costs to determine if the proposed investment or measure is desirable from a variety of perspectives (e.g., whether the estimated benefits exceed the estimated costs from a societal perspective). </t>
  </si>
  <si>
    <t xml:space="preserve">Energy efficiency measures that provide efficiency solutions to unique situations that are not amendable to fully deemed savings values or for which an individualized savings determination approach is preferable. Custom measures rely on site-specific information (e.g., hours of operation, horsepower, existing equipment efficiency) that determines their impacts (e.g., energy savings). </t>
  </si>
  <si>
    <t>Deemed Calculation</t>
  </si>
  <si>
    <t>Agreed-to engineering algorithm(s) used to calculate energy and/or demand savings associated with installed efficiency measure(s). Referred to in some TRMs as stipulated algorithm(s), standard protocols, or site-specific protocols. Deemed calculations that use only deemed variables or factors define fully deemed savings values. Deemed calculations are used to determine partially deemed savings values when used with a combination of (1) deemed variables/factors and (2) site- or project-specific variables/factors.</t>
  </si>
  <si>
    <t>Deemed Savings Method</t>
  </si>
  <si>
    <t>The process used to derive fully deemed savings values.</t>
  </si>
  <si>
    <t>Deemed Savings Values</t>
  </si>
  <si>
    <t xml:space="preserve">Predetermined estimates of energy or peak demand savings attributable to individual energy efficiency measures implemented in a particular type of building, application, climate zone, etc. Referred to in some TRMs as unit energy savings or stipulated savings values. These are documented, numerical values for specific energy efficiency measures, often in the form of per-unit savings that define the agreed-upon performance of an individual energy efficiency measure. Deemed savings values may be either:
</t>
  </si>
  <si>
    <t xml:space="preserve">•	</t>
  </si>
  <si>
    <r>
      <rPr>
        <b/>
        <sz val="11"/>
        <color theme="1"/>
        <rFont val="Calibri"/>
        <family val="2"/>
        <scheme val="minor"/>
      </rPr>
      <t>Fully deemed savings values</t>
    </r>
    <r>
      <rPr>
        <sz val="11"/>
        <color theme="1"/>
        <rFont val="Calibri"/>
        <family val="2"/>
        <scheme val="minor"/>
      </rPr>
      <t>—values that are fixed regardless of any site- or project-specific conditions, variables, or factors, or</t>
    </r>
  </si>
  <si>
    <r>
      <rPr>
        <b/>
        <sz val="11"/>
        <color theme="1"/>
        <rFont val="Calibri"/>
        <family val="2"/>
        <scheme val="minor"/>
      </rPr>
      <t>Partially deemed (semi-prescriptive) savings values</t>
    </r>
    <r>
      <rPr>
        <sz val="11"/>
        <color theme="1"/>
        <rFont val="Calibri"/>
        <family val="2"/>
        <scheme val="minor"/>
      </rPr>
      <t>—values determined with algorithms, which have as inputs some combination of (1) deemed variables or factors and (2) site- or project-specific conditions, variables, and factors.</t>
    </r>
  </si>
  <si>
    <t>Deemed Variable</t>
  </si>
  <si>
    <t>Values for input assumptions that determine the performance of an energy efficiency measure under different operating conditions, applications, climates, etc. Also referred to as a stipulated variable.</t>
  </si>
  <si>
    <t xml:space="preserve">Default Value </t>
  </si>
  <si>
    <t>When a measure indicates that an input to a prescriptive savings algorithm may take on a range of values, an average value is also provided in many cases. This value is considered the default input to the algorithm, and should be used when the other alternatives listed in the measure are not applicable.</t>
  </si>
  <si>
    <t xml:space="preserve">See the “Coincident Peak Demand Reduction” definition. </t>
  </si>
  <si>
    <t>Demand-Side Management</t>
  </si>
  <si>
    <t>Strategies used to manage energy demand, including energy efficiency, load management, fuel substitution, and load building.</t>
  </si>
  <si>
    <t>Energy Efficiency</t>
  </si>
  <si>
    <t>"Energy efficiency" refers to measures that reduce the amount of energy required to achieve a given task or end use.</t>
  </si>
  <si>
    <t>Reduction in energy use as compared to a baseline consumption. Electricity savings are generally expressed in units of kWh.</t>
  </si>
  <si>
    <t xml:space="preserve">Effective Useful Life (EUL) </t>
  </si>
  <si>
    <t>The median number of years that a measure is in place and operational after installation. This definition implicitly includes equipment life and measure persistence (defined below) but not savings persistence. (Definition is from the Uniform Methods Project.)  See also “Savings Persistence” definition.</t>
  </si>
  <si>
    <r>
      <rPr>
        <b/>
        <sz val="11"/>
        <color theme="1"/>
        <rFont val="Calibri"/>
        <family val="2"/>
        <scheme val="minor"/>
      </rPr>
      <t>"Equipment life”</t>
    </r>
    <r>
      <rPr>
        <sz val="11"/>
        <color theme="1"/>
        <rFont val="Calibri"/>
        <family val="2"/>
        <scheme val="minor"/>
      </rPr>
      <t xml:space="preserve"> is the number of years installed equipment will operate before it fails. </t>
    </r>
  </si>
  <si>
    <r>
      <rPr>
        <b/>
        <sz val="11"/>
        <color theme="1"/>
        <rFont val="Calibri"/>
        <family val="2"/>
        <scheme val="minor"/>
      </rPr>
      <t>"Measure persistence”</t>
    </r>
    <r>
      <rPr>
        <sz val="11"/>
        <color theme="1"/>
        <rFont val="Calibri"/>
        <family val="2"/>
        <scheme val="minor"/>
      </rPr>
      <t xml:space="preserve"> takes into account business turnover, early retirement or failure of the installed equipment, and any other reason the measure would be removed or discontinued. </t>
    </r>
  </si>
  <si>
    <t>Equivalent Full Load Hours (EFLH)</t>
  </si>
  <si>
    <t>The equivalent hours that equipment would need to operate at its peak capacity in order to consume its estimated annual kWh consumption (annual kWh/connected kW).</t>
  </si>
  <si>
    <t xml:space="preserve">Evaluation is an applied inquiry process for collecting and synthesizing evidence that culminates in conclusions about the state of affairs, accomplishments, value, merit, worth, significance, or quality of a program, product, person, policy, proposal, or plan. Impact evaluation in the energy efficiency arena is an investigation process to determine energy or demand impacts achieved through the program activities, encompassing, but not limited to: savings verification, measure level research, and program level research. Additionally, evaluation may occur outside of the bounds of this TRM structure to assess the design and implementation of the program. </t>
  </si>
  <si>
    <t xml:space="preserve">Evaluation 
or 
Evaluation, Measurement and Verification (EM&amp;V) </t>
  </si>
  <si>
    <t>Failure and Failure Rate</t>
  </si>
  <si>
    <t xml:space="preserve">“Failure” is defined as an instance where an implementation contractor reports that a measure has been installed, but a subsequent inspection finds that the equipment is non-operational and/or not properly installed and that difference has not been accounted for elsewhere.
</t>
  </si>
  <si>
    <t xml:space="preserve">“Failure rate” should be defined as the percent of inspected installation sites where any equipment fails inspection (i.e., the equipment is either not installed or not operating) and that possibility has not been otherwise accounted for.
</t>
  </si>
  <si>
    <t>Note, the definition of failure is intended to not count issues related to persistence or normal measure lives.</t>
  </si>
  <si>
    <t xml:space="preserve">High Efficiency </t>
  </si>
  <si>
    <t>General term for technologies and processes that require less energy, water, or other inputs to operate.</t>
  </si>
  <si>
    <t>Hours of Use (HOU)</t>
  </si>
  <si>
    <t>See “Operating Hours” definition. Also referred to as “Annual Operating Hours.”</t>
  </si>
  <si>
    <t>Impact Evaluation</t>
  </si>
  <si>
    <t>An assessment of the program-specific, directly or indirectly induced changes (e.g., changes in energy use and/or demand) associated with an energy efficiency program.</t>
  </si>
  <si>
    <t>Some measure types require special attention because ISRs, or installation rates, have been found to be relatively low. For example, the ISR represents the percentage of incented residential lighting products that are ultimately installed by program participants. ISRs vary substantially based on the program delivery mechanism, but they are particularly important in giveaway or upstream programs where the customer is responsible for installation. ISRs should be included in TRM calculations for relevant measure types.</t>
  </si>
  <si>
    <t>In-Service Rate (ISR)</t>
  </si>
  <si>
    <t>Key Stakeholder Group</t>
  </si>
  <si>
    <t>Lifetime</t>
  </si>
  <si>
    <t>The number of years (or hours) that the new high efficiency equipment is expected to function. These are generally based on engineering lives, but sometimes adjusted based on expectations about frequency of removal, remodeling or demolition. Two important distinctions fall under this definition: Effective Useful Life (EUL) and Remaining Useful Life (RUL). See the “Effective Useful Life” and “Remaining Useful Life” definitions.</t>
  </si>
  <si>
    <t>Savings may vary over the lifetime of a measure. Savings estimate should typically apply throughout the period between measure delivery and the end of the measure lifetime. If the RUL of a pre-conditions measure is expected to be greater than 0 years but less than 25 years (0&lt;RUL&lt;25 years), then two baselines must be used in estimating lifetime savings. The first baseline applies between measure-delivery and when the RUL of the pre-condition expires. The second baseline applies between expiration of the RUL and the end of the measure lifetime. For example, an air compressor might be scheduled for replacement in 3 years, but is replaced sooner with a more efficient model. The lifetime of the efficient air compressor might be 20 years; however, the RUL would be 3. The first baseline applies to years 1 through 3. A second baseline is applied in years 4 through 20.</t>
  </si>
  <si>
    <t xml:space="preserve">Load Factor (LF) </t>
  </si>
  <si>
    <t>The fraction of full load (wattage) for which the equipment is typically run.</t>
  </si>
  <si>
    <t>Logic Model</t>
  </si>
  <si>
    <t>A graphical depiction and description of the logical relationships between the inputs, activities, outputs, and outcomes of a program.</t>
  </si>
  <si>
    <t>Market Effects</t>
  </si>
  <si>
    <t xml:space="preserve">Changes in the structure of a market or the behavior of participants in a market that is reflective of an increase in the adoption of energy efficient products, services, or practices and is causally related to market intervention(s) (e.g., programs). </t>
  </si>
  <si>
    <t>Market Penetration</t>
  </si>
  <si>
    <t>A measure of the diffusion of a technology, product, or practice in a defined market, as represented by the percentage of annual sales for a product or practice, the percentage of the existing installed stock for a product or category of products, or the percentage of existing installed stock that uses a practice.</t>
  </si>
  <si>
    <t>Market Saturation</t>
  </si>
  <si>
    <t>A percentage indicating the proportion of a specified end-user market that contains a particular product. An example would be the percentage of all households in a given geographical area that have a certain appliance.</t>
  </si>
  <si>
    <t xml:space="preserve">Market Transformation Programs </t>
  </si>
  <si>
    <t xml:space="preserve">Hawai‘i Energy’s EE portfolio includes a suite of programs labeled as “Market Transformation.” These programs aim to provide strategic interventions in the market in order to create lasting efficiencies and ultimately pave the way for the integration of clean energy solutions. </t>
  </si>
  <si>
    <t>A high efficiency technology or procedure that results in energy savings as compared to the baseline efficiency.</t>
  </si>
  <si>
    <t>Measure</t>
  </si>
  <si>
    <t xml:space="preserve">Measure Cost </t>
  </si>
  <si>
    <t>The incremental (for time of sale measures) or full cost (both capital and labor for retrofit measures) of implementing the High Efficiency measure.</t>
  </si>
  <si>
    <t xml:space="preserve">Measure Description </t>
  </si>
  <si>
    <t>A detailed description of the technology or procedure and the criteria it must meet to be eligible as an energy efficient measure.</t>
  </si>
  <si>
    <t>Measure Level Research</t>
  </si>
  <si>
    <t>An evaluation process that takes a deeper look into measure level savings achieved through program activities driven by the goal of providing Hawai‘i-specific research to facilitate updating measure-specific TRM input values or algorithms.</t>
  </si>
  <si>
    <t>The hours that equipment is expected to operate in a given period of time (e.g., day, month, year).</t>
  </si>
  <si>
    <t>Operating Hours</t>
  </si>
  <si>
    <t>Peak Demand</t>
  </si>
  <si>
    <t>The average demand savings that occur from implementation of an energy efficiency measure during the non-holiday, weekday hours between 5 and 9 PM. This aligns with HECO’s System Peak Period: 5-9 PM on the average weekday throughout the year, regardless of the season or month.</t>
  </si>
  <si>
    <t xml:space="preserve">Persistence Factor (PF) </t>
  </si>
  <si>
    <t>The metric used to measure Savings Persistence. Range = 0-100%.  See also “Savings Persistence” definition.</t>
  </si>
  <si>
    <t>Persistence Study</t>
  </si>
  <si>
    <t xml:space="preserve">A study to assess changes in program impacts over time (including retention and degradation). </t>
  </si>
  <si>
    <t>Portfolio</t>
  </si>
  <si>
    <t>Either (a) a collection of similar programs addressing the same market (e.g., a portfolio of residential programs), technology (e.g., motor-efficiency programs), or mechanisms (e.g., loan programs) or (b) the set of all programs conducted by one organization, such as a utility (and which could include programs that cover multiple markets, technologies, etc.).</t>
  </si>
  <si>
    <t>Potential Studies</t>
  </si>
  <si>
    <t>Studies conducted to assess market baselines and savings potentials for different technologies and customer markets. Potential is typically defined in terms of technical potential, market potential, and economic potential.</t>
  </si>
  <si>
    <t>Prescriptive Measures</t>
  </si>
  <si>
    <t>See “Deemed” measure definitions.</t>
  </si>
  <si>
    <t>A group of projects, with similar characteristics and installed in similar applications. Examples could include a utility program to install energy-efficient lighting in commercial buildings, a developer’s program to build a subdivision of homes that have photovoltaic systems, or a state residential energy efficiency code program.</t>
  </si>
  <si>
    <t>Program Year (PY)</t>
  </si>
  <si>
    <t>The time period approved for program implementation. The Hawai‘i Energy program year runs from July 1st to the following June 30th.</t>
  </si>
  <si>
    <t>Regression Analysis</t>
  </si>
  <si>
    <t>Analysis of the relationship between a dependent variable (response variable) to specified independent variables (explanatory variables). The mathematical model of their relationship is the regression equation.</t>
  </si>
  <si>
    <t>Remaining Useful Life (RUL)</t>
  </si>
  <si>
    <t>Applies to retrofit or replacement measures. For example, if an existing working refrigerator is replaced with a high efficiency unit, the RUL is an assumption of how many more years the existing unit would have lasted. If the RUL cannot be determined from the age of the measure, the RUL is usually assumed to be 1/3 of the EUL.</t>
  </si>
  <si>
    <t>Replace on Burnout</t>
  </si>
  <si>
    <t>When a piece of equipment has stopped working and is being replaced, this is referred to as "replace on burnout." The benefits are calculated as the cost of the energy saved by using the efficient measure as compared with the energy that would have been used by an off the shelf (less efficient) "stock" version of the measure.</t>
  </si>
  <si>
    <t>Retrofit Isolation</t>
  </si>
  <si>
    <t>The savings measurement approach defined in IPMVP Options A and B, as well as ASHRAE Guideline 14, that determines energy or demand savings through the use of meters to isolate the energy flows for the system(s) under consideration. IPMVP Option A involves “Key Parameter Measurement” and IPMVP Option B involves “All Parameter Measurement.”</t>
  </si>
  <si>
    <t xml:space="preserve">Savings Persistence </t>
  </si>
  <si>
    <t xml:space="preserve">The percentage of change in expected savings due to changed operating hours, changed process operations, and/or the performance degradation of equipment efficiency relative to the baseline efficiency option. For example, an industrial plant that reduces operation from two shifts to one shift may then have a savings persistence factor of 50%, as only half of the projected energy savings would be realized. Also, improper operation of the equipment may negatively affect savings persistence, so training and commissioning could improve savings persistence. Finally, most equipment efficiency degrades over time, so annual energy savings may increase or decrease relative to the efficiency degradation of the baseline efficiency option. (Definition is from the Uniform Methods Project.) </t>
  </si>
  <si>
    <t>Spillover</t>
  </si>
  <si>
    <t>Spillover refers to energy savings that are due to the influence of a program but are not counted in program records. Spillover can be broken out in three categories: 1) Participant Internal Spillover; 2) Participant External Spillover; and 3) Non-Participant Spillover.</t>
  </si>
  <si>
    <t xml:space="preserve">System Loss Factor (SLF) </t>
  </si>
  <si>
    <t>System Peak Period</t>
  </si>
  <si>
    <t>HECO’s current definition of system peak period is 5-9 PM on the average non-holiday weekday throughout the year, regardless of the season or month.</t>
  </si>
  <si>
    <t>Technical Advisory Group</t>
  </si>
  <si>
    <t>TRM and TRM Framework development is guided by a spirit of collaboration and shared goals. The Technical Advisory Group (“TAG”) provides input to this process. The TAG is made up of a broader group of stakeholders, including utilities, the consumer advocate, consultants, and other credible resources.</t>
  </si>
  <si>
    <t>Technical Reference Manual</t>
  </si>
  <si>
    <t>A resource that contains energy efficiency measure information used in program planning, implementation, tracking, and reporting and evaluation of impacts associated with the subject measures.</t>
  </si>
  <si>
    <t xml:space="preserve">Total Resource Benefit (TRB) </t>
  </si>
  <si>
    <t>Total Resource Benefit is the present value of avoided utility costs over the life of the efficiency measures installed through the program. The utilities’ total avoided cost of all saved energy and capacity avoided is called the Total Resource Benefit.</t>
  </si>
  <si>
    <t xml:space="preserve">Total Resource Cost (TRC) </t>
  </si>
  <si>
    <t xml:space="preserve">TRB-TRC Ratio </t>
  </si>
  <si>
    <t>Energy effects from an energy efficiency measure that occur outside the measurement boundary of the individual measure. For example, there are interactive effects between lighting and HVAC equipment, since efficient lighting installed in conditioned spaces decreases air conditioning loads, but increases heating loads.</t>
  </si>
  <si>
    <t>Interactive Effects Factor (IE, IEF, or IF)</t>
  </si>
  <si>
    <t>Interactive Effects</t>
  </si>
  <si>
    <t>The metric used to measure interactive effects.  See also "Interactive Effects."</t>
  </si>
  <si>
    <t>A ratio of the net impacts to the gross impacts of an energy efficiency measure or program.</t>
  </si>
  <si>
    <t>Net Savings</t>
  </si>
  <si>
    <t>Gross Savings</t>
  </si>
  <si>
    <t>The difference in energy consumption with the energy efficiency measures promoted by the program in place versus what consumption would have been without those measures in place. (Definition is from Uniform Methods Project.)</t>
  </si>
  <si>
    <t>The difference in energy consumption with the program in place versus what consumption would have been without the program in place. The factors most often considered in net savings calculations are free-ridership, spillover (both participant and nonparticipant), and market effects. (Definition is from Uniform Methods Project.)</t>
  </si>
  <si>
    <t>Free-ridership</t>
  </si>
  <si>
    <t>Program savings attributable to free-riders (program participants who would have implemented a program measure or practice in the absence of the program). (Definition is from Uniform Methods Project.)</t>
  </si>
  <si>
    <t xml:space="preserve">As a guideline, Hawai‘i Energy has established an upper threshold of 200 horsepower for prescriptive rebates on variable frequency drives.  This value was chosen after a literature review.  The NEEP VSD Load shape Project (2014) determined a savings metric for prescriptive energy and demand savings for VSDs on various applications for motors up to 200 hp.  In addition, the NREL Chapter 18 VFD Evaluation Protocol (2017) recommended this method for prescriptive evaluation.  The NREL Chapter stated that a customized evaluation “is more common for facilities that are applying incentives for a variety of measures in a building.”  VFD projects that are part of a larger project with a variety of efficiency measures being installed simultaneously would be a candidate for Custom evaluation, at the discretion of Hawai‘i Energy.  </t>
  </si>
  <si>
    <t>Inclusion of guidance for non-deemed savings calculation methods for certain measures</t>
  </si>
  <si>
    <t>Based on average lamp life of 2,500 hours</t>
  </si>
  <si>
    <t>AEG's Analysis of Sunset Data for Honolulu, HI. Source: Sunrise-Sunset online tool, accessed 11/4/2018, https://sunrise-sunset.org/.</t>
  </si>
  <si>
    <t>The Uniform Methods Project. Chapter 14: Chiller Evaluation Protocol. September 2014. Available electronically at: &lt;https://energy.gov/eere/about-us/ump-protocols&gt;.</t>
  </si>
  <si>
    <t>Southern California Edison. Air-Cooled Constant Speed Screw Chiller. Workpaper SCE17HC030, Revision 1. November 16, 2017. Available at: &lt;http://www.deeresources.net/workpapers&gt;.</t>
  </si>
  <si>
    <t>Southern California Edison. Water Cooled Chiller. Workpaper SCE17HC043, Revision 0. November 14, 2017. Available at: &lt;http://www.deeresources.net/workpapers&gt;.</t>
  </si>
  <si>
    <t xml:space="preserve">Office of Energy Efficiency and Renewable Energy. Commercial and Residential Hourly Load Profiles for All TMY3 Locations in the United States. U.S. Department of Energy Open Data Catalog. Available at: &lt;https://openei.org/doe-opendata/dataset/commercial-and-residential-hourly-load-profiles-for-all-tmy3-locations-in-the-united-states&gt;. </t>
  </si>
  <si>
    <t>AEG's 2018 Analysis File titled "AEG HPUC Update of Com-Lighting Measures - Analysis file."</t>
  </si>
  <si>
    <t xml:space="preserve">AEG's 2018 Analysis File titled "AEG HPUC Update of Residential Measures - Analysis file." </t>
  </si>
  <si>
    <t xml:space="preserve">AEG's 2018 Analysis File titled "AEG HPUC EUL Analysis." </t>
  </si>
  <si>
    <t>Net-to-Gross Ratio (NTGR)</t>
  </si>
  <si>
    <t>All CREEM Measures</t>
  </si>
  <si>
    <t>All RESM Measures</t>
  </si>
  <si>
    <t>All RHTR Measures</t>
  </si>
  <si>
    <t>Sources:</t>
  </si>
  <si>
    <t>Net-to-Gross (NTG) Ratio
or NTGR</t>
  </si>
  <si>
    <t>The lighting hours of use and coincidence factors were updated for the PY19 TRM. Refer to these AEG analysis files for more information: "AEG HPUC Update of Com-Lighting Measures - Analysis file" and "AEG HPUC EFLH and CF Analysis - Non-Holiday Weekdays."</t>
  </si>
  <si>
    <t>EQUIPMENT OPERATING HOURS AND COINCIDENCE FACTORS</t>
  </si>
  <si>
    <t>General Commercial Lighting Hours of Use (HOU) &amp; Coincidence Factor (CF)</t>
  </si>
  <si>
    <t>The general cooling equivalent full load hours and coincidence factors were updated for the PY19 TRM. Refer to these AEG analysis files for more information: "AEG HPUC Update of Commercial Chillers - Analysis File" and "AEG HPUC EFLH and CF Analysis - Non-Holiday Weekdays."</t>
  </si>
  <si>
    <t>General Commercial Cooling Equivalent Full Load Hours (EFLH) and Coincident Factor (CF)</t>
  </si>
  <si>
    <t>Commercial Water Heating Equivalent Full Load Hours (EFLH) and Coincident Factor (CF)</t>
  </si>
  <si>
    <t>The commercial water heating equivalent full load hours and coincidence factors were updated for the PY19 TRM. Refer to these AEG analysis files for more information: "AEG HPUC Update of Com-Solar Water Heater - Analysis file" and "AEG HPUC EFLH and CF Analysis - Non-Holiday Weekdays."</t>
  </si>
  <si>
    <t>Table 2.  General Commercial Cooling: Equivalent Full Load Hours &amp; Coincidence Factors</t>
  </si>
  <si>
    <t>Table 4.  General Commercial Water Heating: Equivalent Full Load Hours &amp; Coincidence Factors</t>
  </si>
  <si>
    <t>Misc./Avg. Commercial</t>
  </si>
  <si>
    <t>Use custom approach for entries noted as "Varies."</t>
  </si>
  <si>
    <t>Table 1a.  General Commercial Lighting: Annual Hours of Use</t>
  </si>
  <si>
    <t>Table 1b.  General Commercial Lighting: Coincidence Factors</t>
  </si>
  <si>
    <t>The TRM provides specific savings algorithms for many prescriptive measures. When a customer installs a prescriptive measure, the savings are determined according to these algorithms. In some cases these algorithms include the effects of interactions with other measures or end-uses.</t>
  </si>
  <si>
    <t>Measure Interactive Effects</t>
  </si>
  <si>
    <t xml:space="preserve">Lighting/Cooling Interactive Effects Factors (IE) </t>
  </si>
  <si>
    <r>
      <t>IE</t>
    </r>
    <r>
      <rPr>
        <b/>
        <vertAlign val="subscript"/>
        <sz val="11"/>
        <color theme="1"/>
        <rFont val="Calibri"/>
        <family val="2"/>
        <scheme val="minor"/>
      </rPr>
      <t>C,D</t>
    </r>
  </si>
  <si>
    <r>
      <t>IE</t>
    </r>
    <r>
      <rPr>
        <b/>
        <vertAlign val="subscript"/>
        <sz val="11"/>
        <color theme="1"/>
        <rFont val="Calibri"/>
        <family val="2"/>
        <scheme val="minor"/>
      </rPr>
      <t>C,E</t>
    </r>
  </si>
  <si>
    <r>
      <t>Table 1: Lighting/Cooling Load Interactive Effects Factors by Building Type, IE</t>
    </r>
    <r>
      <rPr>
        <b/>
        <vertAlign val="subscript"/>
        <sz val="11"/>
        <color theme="1"/>
        <rFont val="Calibri"/>
        <family val="2"/>
        <scheme val="minor"/>
      </rPr>
      <t>C,D</t>
    </r>
    <r>
      <rPr>
        <b/>
        <sz val="11"/>
        <color theme="1"/>
        <rFont val="Calibri"/>
        <family val="2"/>
        <scheme val="minor"/>
      </rPr>
      <t xml:space="preserve"> and IE</t>
    </r>
    <r>
      <rPr>
        <b/>
        <vertAlign val="subscript"/>
        <sz val="11"/>
        <color theme="1"/>
        <rFont val="Calibri"/>
        <family val="2"/>
        <scheme val="minor"/>
      </rPr>
      <t xml:space="preserve">C,E </t>
    </r>
  </si>
  <si>
    <r>
      <t>The lighting/cooling interactive effects factors for demand (IE</t>
    </r>
    <r>
      <rPr>
        <vertAlign val="subscript"/>
        <sz val="11"/>
        <color theme="1"/>
        <rFont val="Calibri"/>
        <family val="2"/>
        <scheme val="minor"/>
      </rPr>
      <t>C,D</t>
    </r>
    <r>
      <rPr>
        <sz val="11"/>
        <color theme="1"/>
        <rFont val="Calibri"/>
        <family val="2"/>
        <scheme val="minor"/>
      </rPr>
      <t>) and energy (IE</t>
    </r>
    <r>
      <rPr>
        <vertAlign val="subscript"/>
        <sz val="11"/>
        <color theme="1"/>
        <rFont val="Calibri"/>
        <family val="2"/>
        <scheme val="minor"/>
      </rPr>
      <t>C,E</t>
    </r>
    <r>
      <rPr>
        <sz val="11"/>
        <color theme="1"/>
        <rFont val="Calibri"/>
        <family val="2"/>
        <scheme val="minor"/>
      </rPr>
      <t>) were updated for the PY19 TRM. Refer to the AEG analysis file titled "AEG HPUC Update of Com-Lighting Measures - Analysis file" for more information.</t>
    </r>
  </si>
  <si>
    <t>Persistence factors may be used to reduce lifetime measure savings in recognition that initial engineering estimates of annual savings may not persist long term due to changed operating hours, changed process operations, and/or the performance degradation of equipment efficiency relative to the baseline efficiency option.</t>
  </si>
  <si>
    <t>Many of the measure algorithms contain an entry for persistence factor. The default value if none is indicated is 1.00 (100%). A value lower than 1.00 will result in a downward adjustment of the first year savings, lifetime savings, and total resource benefits.</t>
  </si>
  <si>
    <t>Refrigerator Turn-In (Remaining Useful Life)</t>
  </si>
  <si>
    <t>Freezer Turn-In (Remaining Useful Life)</t>
  </si>
  <si>
    <t>b. Assume no interactive effects for exit signs due to lack of representative data.</t>
  </si>
  <si>
    <t>Table 3. Calculated Lifetime Unit Savings: Pin-Base Omni-Directional</t>
  </si>
  <si>
    <t>Remove R_smart strip "average/unknown".  If not explicitly Tier 2, then it is Tier 1.</t>
  </si>
  <si>
    <t>United Nations Framework Convention of Climate Change, Small-scale Methodology: Solar water heating systems, Version 02.0, Sectoral scope(s): 01, Clean Development Mechanism, AMS-I.J, Aug. 31, 2018, available for download here: &lt;https://cdm.unfccc.int/methodologies/DB/7FWC9VI15EMP2EOCF44OUZH9XHLL5W&gt;.</t>
  </si>
  <si>
    <t>Refrigerator Adjusted Volume (AV), cu ft</t>
  </si>
  <si>
    <t>Freezer Adjusted Volume (AV), cu ft</t>
  </si>
  <si>
    <r>
      <t>Baseline Wattage, kW</t>
    </r>
    <r>
      <rPr>
        <b/>
        <vertAlign val="subscript"/>
        <sz val="10.5"/>
        <color theme="1"/>
        <rFont val="Calibri"/>
        <family val="2"/>
        <scheme val="minor"/>
      </rPr>
      <t>base</t>
    </r>
  </si>
  <si>
    <r>
      <t>Efficient Wattage, kW</t>
    </r>
    <r>
      <rPr>
        <b/>
        <vertAlign val="subscript"/>
        <sz val="10.5"/>
        <color theme="1"/>
        <rFont val="Calibri"/>
        <family val="2"/>
        <scheme val="minor"/>
      </rPr>
      <t>EE</t>
    </r>
  </si>
  <si>
    <t>HID 310W-600W Baseline: 365W, 457W, 665W</t>
  </si>
  <si>
    <t>HID 50W-100W Baseline: 64W, 86W, 128W</t>
  </si>
  <si>
    <t>HID 150W-250W Baseline: 188W, 240W, 295W</t>
  </si>
  <si>
    <t>HID 750W-1000W Baseline: 840W, 1100W</t>
  </si>
  <si>
    <t>COMMERCIAL: VFD HVAC Water Pump and Fan</t>
  </si>
  <si>
    <r>
      <t>LBNL</t>
    </r>
    <r>
      <rPr>
        <vertAlign val="superscript"/>
        <sz val="10.5"/>
        <color theme="1"/>
        <rFont val="Calibri"/>
        <family val="2"/>
        <scheme val="minor"/>
      </rPr>
      <t>1</t>
    </r>
    <r>
      <rPr>
        <sz val="10.5"/>
        <color theme="1"/>
        <rFont val="Calibri"/>
        <family val="2"/>
        <scheme val="minor"/>
      </rPr>
      <t xml:space="preserve"> </t>
    </r>
  </si>
  <si>
    <r>
      <rPr>
        <vertAlign val="superscript"/>
        <sz val="9"/>
        <color theme="1"/>
        <rFont val="Calibri"/>
        <family val="2"/>
        <scheme val="minor"/>
      </rPr>
      <t>1</t>
    </r>
    <r>
      <rPr>
        <sz val="9"/>
        <color theme="1"/>
        <rFont val="Calibri"/>
        <family val="2"/>
        <scheme val="minor"/>
      </rPr>
      <t xml:space="preserve"> Improving Motor and Drive System Performance: A Sourcebook for Industry, Prepared by Lawrence Berkeley National Laboratory and Resource Dynamics Corporation, Prepared for U.S. Department of Energy, September 2008, pg 15, available here: &lt;https://www1.eere.energy.gov/manufacturing/tech_assistance/pdfs/motor.pdf&gt;.</t>
    </r>
  </si>
  <si>
    <t xml:space="preserve">Updated in Fall 2018 for PY19 TRM. </t>
  </si>
  <si>
    <t>One VFD.</t>
  </si>
  <si>
    <t>Annual equivalent full load operating hours of fan or pump</t>
  </si>
  <si>
    <t>HP</t>
  </si>
  <si>
    <t>Nameplate horsepower</t>
  </si>
  <si>
    <t>See "C_HVAC_VFD Water Pump Reference" table if nameplate efficiency is missing</t>
  </si>
  <si>
    <r>
      <t xml:space="preserve">Derived using CMUA calculator cited below. </t>
    </r>
    <r>
      <rPr>
        <vertAlign val="superscript"/>
        <sz val="10.5"/>
        <color theme="1"/>
        <rFont val="Calibri"/>
        <family val="2"/>
        <scheme val="minor"/>
      </rPr>
      <t>2</t>
    </r>
  </si>
  <si>
    <r>
      <t xml:space="preserve">CMUA TRM401 Energy Savings Calculator for Pump and Fan VFD </t>
    </r>
    <r>
      <rPr>
        <vertAlign val="superscript"/>
        <sz val="10.5"/>
        <color theme="1"/>
        <rFont val="Calibri"/>
        <family val="2"/>
        <scheme val="minor"/>
      </rPr>
      <t>3</t>
    </r>
  </si>
  <si>
    <r>
      <rPr>
        <vertAlign val="superscript"/>
        <sz val="9"/>
        <color theme="1"/>
        <rFont val="Calibri"/>
        <family val="2"/>
        <scheme val="minor"/>
      </rPr>
      <t>3</t>
    </r>
    <r>
      <rPr>
        <sz val="9"/>
        <color theme="1"/>
        <rFont val="Calibri"/>
        <family val="2"/>
        <scheme val="minor"/>
      </rPr>
      <t xml:space="preserve"> The calculator is available for download here: https://www.cmua.org/energy-efficiency-technical-reference-manual. Click "TRM Spreadsheet 3 - 300 through 505" and then the file is named "TRM401_energy savings calculator_pump and fan VFD_v4_1_14"</t>
    </r>
  </si>
  <si>
    <t>Project specific</t>
  </si>
  <si>
    <r>
      <rPr>
        <vertAlign val="superscript"/>
        <sz val="9"/>
        <color theme="1"/>
        <rFont val="Calibri"/>
        <family val="2"/>
        <scheme val="minor"/>
      </rPr>
      <t>4</t>
    </r>
    <r>
      <rPr>
        <sz val="9"/>
        <color theme="1"/>
        <rFont val="Calibri"/>
        <family val="2"/>
        <scheme val="minor"/>
      </rPr>
      <t xml:space="preserve"> The coincidence factor cannot be stipulated based on the cooling system CF, since it will have an inverse relationship to cooling system CF. For example, if a chiller operates at full load during the entire peak demand period, its CF will be high (1.0), but the VFD's CF will be 0 (there will actually be demand penalty due to efficiency losses with addition of VFD controller operating at 100% flow). Therefore, the CF for the VFD measure must be determined by a custom method that ideally takes into account a difference in the load shapes before and after installation of the VFD. In absence of project-specific CF, assume CF = 0.5, since it is reasonable to expect that the VFD demand savings occur during half of the 5-9 pm peak demand period.</t>
    </r>
  </si>
  <si>
    <t>EUL</t>
  </si>
  <si>
    <t>No change from PY18 TRM; EUL was verified during AEG's 2018 benchmarking</t>
  </si>
  <si>
    <t>The most typical VFD operation (at 60-80% of rated flow) reduces load from 100% to 43%.  However, at 0% flow the VFD is still drawing 5% load in the fan case and 27% load in the pump case.</t>
  </si>
  <si>
    <r>
      <t>SVG</t>
    </r>
    <r>
      <rPr>
        <vertAlign val="subscript"/>
        <sz val="10.5"/>
        <color theme="1"/>
        <rFont val="Calibri"/>
        <family val="2"/>
        <scheme val="minor"/>
      </rPr>
      <t>d</t>
    </r>
  </si>
  <si>
    <r>
      <t>SVG</t>
    </r>
    <r>
      <rPr>
        <vertAlign val="subscript"/>
        <sz val="10.5"/>
        <color theme="1"/>
        <rFont val="Calibri"/>
        <family val="2"/>
        <scheme val="minor"/>
      </rPr>
      <t>e</t>
    </r>
  </si>
  <si>
    <r>
      <t>kW</t>
    </r>
    <r>
      <rPr>
        <vertAlign val="subscript"/>
        <sz val="10.5"/>
        <color theme="1"/>
        <rFont val="Calibri"/>
        <family val="2"/>
      </rPr>
      <t>perHP</t>
    </r>
  </si>
  <si>
    <r>
      <t>Table 1. Percent Demand and Energy Savings from VFD Given Various Baseline Controls, SVG</t>
    </r>
    <r>
      <rPr>
        <b/>
        <vertAlign val="subscript"/>
        <sz val="10"/>
        <color theme="1"/>
        <rFont val="Calibri"/>
        <family val="2"/>
        <scheme val="minor"/>
      </rPr>
      <t>d</t>
    </r>
    <r>
      <rPr>
        <b/>
        <sz val="10"/>
        <color theme="1"/>
        <rFont val="Calibri"/>
        <family val="2"/>
        <scheme val="minor"/>
      </rPr>
      <t xml:space="preserve"> and SVG</t>
    </r>
    <r>
      <rPr>
        <b/>
        <vertAlign val="subscript"/>
        <sz val="10"/>
        <color theme="1"/>
        <rFont val="Calibri"/>
        <family val="2"/>
        <scheme val="minor"/>
      </rPr>
      <t>e</t>
    </r>
  </si>
  <si>
    <t>Select whether the VFD is for a fan or pump</t>
  </si>
  <si>
    <t>Select the type of baseline controls</t>
  </si>
  <si>
    <t>Baseline controls</t>
  </si>
  <si>
    <t>Project type</t>
  </si>
  <si>
    <t>Enter the annual equivalent full load operating hours of the pre-existing fan or pump</t>
  </si>
  <si>
    <t>Enter the coincidence factor</t>
  </si>
  <si>
    <t>Fan VFD</t>
  </si>
  <si>
    <t>Pump VFD</t>
  </si>
  <si>
    <t>Fan kW (typical)</t>
  </si>
  <si>
    <t>Fan kWh (total)</t>
  </si>
  <si>
    <t>Pump kW</t>
  </si>
  <si>
    <t>Pump kWh</t>
  </si>
  <si>
    <r>
      <t>SVG</t>
    </r>
    <r>
      <rPr>
        <vertAlign val="subscript"/>
        <sz val="11"/>
        <color theme="1"/>
        <rFont val="Calibri"/>
        <family val="2"/>
        <scheme val="minor"/>
      </rPr>
      <t>d</t>
    </r>
    <r>
      <rPr>
        <sz val="11"/>
        <color theme="1"/>
        <rFont val="Calibri"/>
        <family val="2"/>
        <scheme val="minor"/>
      </rPr>
      <t xml:space="preserve"> = </t>
    </r>
  </si>
  <si>
    <r>
      <t>SVG</t>
    </r>
    <r>
      <rPr>
        <vertAlign val="subscript"/>
        <sz val="11"/>
        <color theme="1"/>
        <rFont val="Calibri"/>
        <family val="2"/>
        <scheme val="minor"/>
      </rPr>
      <t>e</t>
    </r>
    <r>
      <rPr>
        <sz val="11"/>
        <color theme="1"/>
        <rFont val="Calibri"/>
        <family val="2"/>
        <scheme val="minor"/>
      </rPr>
      <t xml:space="preserve"> = </t>
    </r>
  </si>
  <si>
    <t>Enter the rated motor efficiency, %</t>
  </si>
  <si>
    <t>Enter the nameplate horsepower, HP</t>
  </si>
  <si>
    <r>
      <rPr>
        <vertAlign val="superscript"/>
        <sz val="9"/>
        <color theme="1"/>
        <rFont val="Calibri"/>
        <family val="2"/>
        <scheme val="minor"/>
      </rPr>
      <t>2</t>
    </r>
    <r>
      <rPr>
        <sz val="9"/>
        <color theme="1"/>
        <rFont val="Calibri"/>
        <family val="2"/>
        <scheme val="minor"/>
      </rPr>
      <t xml:space="preserve"> Approach for demand savings factors is not specified in PY18 TRM, but during the PY19 TRM update, AEG found the values to be reasonable based on the energy savings factors.</t>
    </r>
  </si>
  <si>
    <t>CMUA TRM401 Energy Savings Calculator for Pump and Fan VFD. The calculator is available for download here: https://www.cmua.org/energy-efficiency-technical-reference-manual. Click "TRM Spreadsheet 3 - 300 through 505" and then the file is named "TRM401_energy savings calculator_pump and fan VFD_v4_1_14"</t>
  </si>
  <si>
    <t xml:space="preserve">CMUA 2017 TRM, Section 8.1 Pump and Fan Variable Frequency Drive Control Measure, pg. 8.1, available here: &lt;https://www.cmua.org/files/CMUA-POU-TRM_2017_FINAL_12-5-2017%20-%20Copy.pdf&gt;. References the TRM401 pump and fan calculator for savings. </t>
  </si>
  <si>
    <t>Improving Motor and Drive System Performance: A Sourcebook for Industry, Prepared by Lawrence Berkeley National Laboratory and Resource Dynamics Corporation, Prepared for U.S. Department of Energy, September 2008, pg 15, available here: &lt;https://www1.eere.energy.gov/manufacturing/tech_assistance/pdfs/motor.pdf&gt;.</t>
  </si>
  <si>
    <t>COMMERCIAL: VFD Water Pump / Fan Reference Attachment</t>
  </si>
  <si>
    <t>AEG's Analysis File titled "AEG HPUC Update - Com-VFD Water Pump - Analysis file."</t>
  </si>
  <si>
    <r>
      <t xml:space="preserve">Not accurately stipulated; a custom input is recommended </t>
    </r>
    <r>
      <rPr>
        <vertAlign val="superscript"/>
        <sz val="10.5"/>
        <rFont val="Calibri"/>
        <family val="2"/>
        <scheme val="minor"/>
      </rPr>
      <t>4</t>
    </r>
  </si>
  <si>
    <r>
      <t xml:space="preserve">Not accurately stipulated; a custom input is recommended </t>
    </r>
    <r>
      <rPr>
        <vertAlign val="superscript"/>
        <sz val="10.5"/>
        <rFont val="Calibri"/>
        <family val="2"/>
        <scheme val="minor"/>
      </rPr>
      <t>5</t>
    </r>
  </si>
  <si>
    <t>User input (Table 2 if unknown)</t>
  </si>
  <si>
    <t>User input (CF = 0.5 if unknown)</t>
  </si>
  <si>
    <r>
      <rPr>
        <vertAlign val="superscript"/>
        <sz val="9"/>
        <color theme="1"/>
        <rFont val="Calibri"/>
        <family val="2"/>
        <scheme val="minor"/>
      </rPr>
      <t xml:space="preserve">5 </t>
    </r>
    <r>
      <rPr>
        <sz val="9"/>
        <color theme="1"/>
        <rFont val="Calibri"/>
        <family val="2"/>
        <scheme val="minor"/>
      </rPr>
      <t>Equation 2 requires the annual equivalent full load operating hours of the fan or pump. These hours will vary by fan/pump operating hours, pre-existing control type, and load shape and cannot be accurately stipulated based on cooling system EFLHs. In absence of project-specific HRS, use either 1) the TRM401 calculator to estimate energy savings (preferred), or 2) the EFLHs in Table 2.</t>
    </r>
  </si>
  <si>
    <t>Demand Savings Fan (kW/HP)</t>
  </si>
  <si>
    <t>Energy Savings Fan (kWh/HP)</t>
  </si>
  <si>
    <t>Preferred Approach: Semi-Prescriptive Savings Calculator</t>
  </si>
  <si>
    <t xml:space="preserve"> (Based on user input of project-specific parameters)</t>
  </si>
  <si>
    <t>Estimate using project-specific information (preferred). 
If unknown, use CF = 0.5.</t>
  </si>
  <si>
    <r>
      <t xml:space="preserve">If equivalent full load hours for the fan or pump are unknown, use either: 1) the CMUA TRM410 calculator and enter fan or pump </t>
    </r>
    <r>
      <rPr>
        <u/>
        <sz val="11"/>
        <color theme="1"/>
        <rFont val="Calibri"/>
        <family val="2"/>
        <scheme val="minor"/>
      </rPr>
      <t>total operating hours</t>
    </r>
    <r>
      <rPr>
        <sz val="11"/>
        <color theme="1"/>
        <rFont val="Calibri"/>
        <family val="2"/>
        <scheme val="minor"/>
      </rPr>
      <t xml:space="preserve"> and other project parameters to calculate energy (kWh) savings (preferred), or 2) enter the EFLH for cooling for the correct building type from Table 2.</t>
    </r>
  </si>
  <si>
    <t>Alternative Approach: Deemed Per-HP Savings</t>
  </si>
  <si>
    <r>
      <t>HRS</t>
    </r>
    <r>
      <rPr>
        <b/>
        <vertAlign val="superscript"/>
        <sz val="9"/>
        <color rgb="FF000000"/>
        <rFont val="Calibri"/>
        <family val="2"/>
      </rPr>
      <t>1</t>
    </r>
  </si>
  <si>
    <t>Demand Savings Chilled Water Pump (kW/hp)</t>
  </si>
  <si>
    <t>Energy Savings Chilled Water Pump (kWh/hp)</t>
  </si>
  <si>
    <t>Demand Savings Condenser Water Pump (kW/hp)</t>
  </si>
  <si>
    <t>Energy Savings Condenser Water Pump (kWh/hp)</t>
  </si>
  <si>
    <t>Table 2. Fan and Pump VFD: Deemed Energy and Demand Savings per HP 
(Use Rated Motor Efficiency or Water Pump Reference table for η)</t>
  </si>
  <si>
    <t>The baseline efficiency equipment is a single-speed or dual-speed self-priming pool filter pump.</t>
  </si>
  <si>
    <t>Sources/Notes</t>
  </si>
  <si>
    <t>Peak demand reduction</t>
  </si>
  <si>
    <r>
      <t>kWh</t>
    </r>
    <r>
      <rPr>
        <vertAlign val="subscript"/>
        <sz val="10"/>
        <color theme="1"/>
        <rFont val="Calibri"/>
        <family val="2"/>
        <scheme val="minor"/>
      </rPr>
      <t>Daily,Base</t>
    </r>
  </si>
  <si>
    <t>Daily energy consumption of baseline pump (depends on pump horsepower)</t>
  </si>
  <si>
    <t>Single-Speed Pumps</t>
  </si>
  <si>
    <t>&gt; 0 to ≤ 1 hp</t>
  </si>
  <si>
    <t>&gt; 1 to ≤ 2 hp</t>
  </si>
  <si>
    <t>&gt; 2 to ≤ 3 hp</t>
  </si>
  <si>
    <t>&gt; 3 to ≤ 4 hp</t>
  </si>
  <si>
    <t>Dual-Speed Pumps</t>
  </si>
  <si>
    <r>
      <t>kWh</t>
    </r>
    <r>
      <rPr>
        <vertAlign val="subscript"/>
        <sz val="10"/>
        <color theme="1"/>
        <rFont val="Calibri"/>
        <family val="2"/>
        <scheme val="minor"/>
      </rPr>
      <t xml:space="preserve">Daily,Eff </t>
    </r>
  </si>
  <si>
    <t>Daily energy consumption of variable-speed pump (depends on pump horsepower)</t>
  </si>
  <si>
    <t>Variable-Speed Pumps</t>
  </si>
  <si>
    <t>Days</t>
  </si>
  <si>
    <t>Number of days the pump operates in a year</t>
  </si>
  <si>
    <t>Days/yr</t>
  </si>
  <si>
    <r>
      <rPr>
        <sz val="10"/>
        <color theme="1"/>
        <rFont val="Calibri"/>
        <family val="2"/>
        <scheme val="minor"/>
      </rPr>
      <t>Hours</t>
    </r>
    <r>
      <rPr>
        <vertAlign val="subscript"/>
        <sz val="10"/>
        <color theme="1"/>
        <rFont val="Calibri"/>
        <family val="2"/>
        <scheme val="minor"/>
      </rPr>
      <t>Daily,Base</t>
    </r>
  </si>
  <si>
    <t>Daily runtime of baseline pump (depends on pump horsepower)</t>
  </si>
  <si>
    <t>Hrs/day</t>
  </si>
  <si>
    <r>
      <t>Hours</t>
    </r>
    <r>
      <rPr>
        <vertAlign val="subscript"/>
        <sz val="10"/>
        <color theme="1"/>
        <rFont val="Calibri"/>
        <family val="2"/>
        <scheme val="minor"/>
      </rPr>
      <t xml:space="preserve">Daily,Eff </t>
    </r>
  </si>
  <si>
    <t>Daily runtime of variable-speed pump (depends on pump horsepower)</t>
  </si>
  <si>
    <r>
      <rPr>
        <sz val="10"/>
        <color theme="1"/>
        <rFont val="Calibri"/>
        <family val="2"/>
        <scheme val="minor"/>
      </rPr>
      <t>CF</t>
    </r>
    <r>
      <rPr>
        <vertAlign val="subscript"/>
        <sz val="10"/>
        <color theme="1"/>
        <rFont val="Calibri"/>
        <family val="2"/>
        <scheme val="minor"/>
      </rPr>
      <t>Base</t>
    </r>
  </si>
  <si>
    <t>Coincidence factor of baseline pump (depends on pump horsepower)</t>
  </si>
  <si>
    <r>
      <t>CF</t>
    </r>
    <r>
      <rPr>
        <vertAlign val="subscript"/>
        <sz val="10"/>
        <color theme="1"/>
        <rFont val="Calibri"/>
        <family val="2"/>
        <scheme val="minor"/>
      </rPr>
      <t xml:space="preserve">Eff </t>
    </r>
  </si>
  <si>
    <t>Coincidence factor of variable-speed pump (depends on pump horsepower)</t>
  </si>
  <si>
    <t>Single-speed to variable speed:  &gt; 0 to ≤ 1 hp</t>
  </si>
  <si>
    <t>Single-speed to variable speed:  &gt; 1 to ≤ 2 hp</t>
  </si>
  <si>
    <t>Single-speed to variable speed:  &gt; 2 to ≤ 3 hp</t>
  </si>
  <si>
    <t>Single-speed to variable speed:  &gt; 3 to ≤ 4 hp</t>
  </si>
  <si>
    <t>Dual-speed to variable speed:  &gt; 0 to ≤ 1 hp</t>
  </si>
  <si>
    <t>Dual-speed to variable speed:  &gt; 1 to ≤ 2 hp</t>
  </si>
  <si>
    <t>Dual-speed to variable speed:  &gt; 2 to ≤ 3 hp</t>
  </si>
  <si>
    <t>Dual-speed to variable speed:  &gt; 3 to ≤ 4 hp</t>
  </si>
  <si>
    <t>No change from PY18 TRM.</t>
  </si>
  <si>
    <t>AEG's estimate, obtained by dividing the number of daily operation hours of pump by 24 hours.</t>
  </si>
  <si>
    <t>Com. VFD Pool Pump</t>
  </si>
  <si>
    <t xml:space="preserve">Regional Technical Forum. Efficient Pool Pumps - Unit Energy Savings Workbook, Version 2.1. Northwest Power and Conservation Council. February 27, 2018. Spreadsheet. </t>
  </si>
  <si>
    <t xml:space="preserve">Regional Technical Forum. Efficient Pool Pumps - Unit Energy Savings Workbook, Version 2.1. Northwest Power and Conservation Council. February 27, 2018. Spreadsheet. Available online at:  https://rtf.nwcouncil.org/measure/efficient-pool-pumps. </t>
  </si>
  <si>
    <t>DOE National Impact Analysis (NIA) for Dedicated Purpose Pool Pumps ("NIA_PoolPumps_2016-12-19_ForPublication_v2.xlsm"), available online at: https://www.regulations.gov/document?D=EERE-2015-BT-STD-0008-0107.</t>
  </si>
  <si>
    <t>No change from PY18 TRM; EUL was verified during AEG's 2018 benchmarking.</t>
  </si>
  <si>
    <t>AEG's 2018 Analysis File titled "AEG HPUC Update of Res Pool Pump VFD - Analysis File."</t>
  </si>
  <si>
    <t>AEG's 2018 Analysis File titled "AEG HPUC Update of Com Pool Pump VFD - Analysis File."</t>
  </si>
  <si>
    <t>• Booster pump applications require pre-notification before equipment is purchased and installed. 
• The new Booster Pump System’s total horsepower must be equal to or less than that of the existing system. 
• The system horsepower reduction must be between 0 to 129 hp. For projects with greater than 129 hp, please contact the program.  Booster pump applications do not apply to new construction.</t>
  </si>
  <si>
    <t>Assumed to be an optimized pumping system meeting applicable program efficiency requirements.  The proposed booster pump system must be a more efficient design than the existing system (i.e. Installed with VFD controls).  All pump motors must meet NEMA Premium Efficiency standards. As in the base case, enhanced pumps are assumed to run 60% of the time.  Savings result from two aspects:  (1) reduced horsepower and (2) reduced speed on the motor due to VFD controls.</t>
  </si>
  <si>
    <t>Pump Horsepower Reduction</t>
  </si>
  <si>
    <t>Annual Energy Savings, kWh/yr per hp</t>
  </si>
  <si>
    <t>Peak Demand Reduction, kW per hp</t>
  </si>
  <si>
    <t>Lifetime Energy Savings, kWh per hp</t>
  </si>
  <si>
    <t>ΔkWh per hp</t>
  </si>
  <si>
    <t>Annual energy savings per horsepower</t>
  </si>
  <si>
    <t>kWh/yr/hp</t>
  </si>
  <si>
    <t>ΔkW per hp</t>
  </si>
  <si>
    <t>Peak demand reduction per horsepower</t>
  </si>
  <si>
    <t>kW/hp</t>
  </si>
  <si>
    <t>Conversion from horsepower to kW</t>
  </si>
  <si>
    <t>Hours</t>
  </si>
  <si>
    <t>Loading factor - % of time pump actually operates</t>
  </si>
  <si>
    <r>
      <t>AF</t>
    </r>
    <r>
      <rPr>
        <vertAlign val="subscript"/>
        <sz val="10.5"/>
        <color theme="1"/>
        <rFont val="Calibri"/>
        <family val="2"/>
        <scheme val="minor"/>
      </rPr>
      <t>CS</t>
    </r>
  </si>
  <si>
    <t>Adjustment factor for constant-speed pump - accounts for pumping system efficiency and load profile</t>
  </si>
  <si>
    <r>
      <t>AF</t>
    </r>
    <r>
      <rPr>
        <vertAlign val="subscript"/>
        <sz val="10.5"/>
        <color theme="1"/>
        <rFont val="Calibri"/>
        <family val="2"/>
        <scheme val="minor"/>
      </rPr>
      <t>VS</t>
    </r>
  </si>
  <si>
    <t>Adjustment factor for variable-speed pump - accounts for pumping system efficiency and load profile</t>
  </si>
  <si>
    <t>AEG's 2018 Analysis File titled "AEG HPUC Update of Com Booster Pump VFD - Analysis File."</t>
  </si>
  <si>
    <t>DOE, Technical Support Document: Energy Efficiency Program for Consumer Products and Commercial and Industrial Equipment: Pumps, U.S. Department of Energy, Washington DC: December 2015. Available for download here: https://www.regulations.gov/document?D=EERE-2011-BT-STD-0031-0056.</t>
  </si>
  <si>
    <t>AEG derived the value from the Regional Technical Forum's (RTF) original analysis contained in the unit energy savings measure workbook for Efficient Pumps</t>
  </si>
  <si>
    <t>AEG's estimate, obtained by dividing the number of daily operation hours of pump by 24 hours</t>
  </si>
  <si>
    <t>Regional Technical Forum. Efficient Pumps - Unit Energy Savings Measure Workbook, Version 1.1. Northwest Power and Conservation Council. June 14, 2017. Spreadsheet. Available online at:  https://rtf.nwcouncil.org/measure/efficient-pumps.</t>
  </si>
  <si>
    <t xml:space="preserve">* Require pre-notification before projects begin.
* The program reserves the right to perform on-site verifications, both pre- and post-installation.
* Existing equipment must not have a VFD (i.e. – incentives are not available for replacement).
* VFDs on pumps larger than 200 hp may be analyzed on a fully custom basis. 
* The VFDs must actively control and vary the pump speed.
* Since VFDs are required by code for a variety of HVAC applications, this measure is only eligible if a VFD would not have been required otherwise. </t>
  </si>
  <si>
    <t xml:space="preserve">Source: Table 1 is derived from CMUA Energy Savings Calculator-Pump and Fan VFD Retrofit. The calculator is available for download here: https://www.cmua.org/energy-efficiency-technical-reference-manual. Click "TRM Spreadsheet 3 - 300 through 505" and then the file is named "TRM401_energy savings calculator_pump and fan VFD_v4_1_14". This calculator is cited in the CMUA 2017 TRM. </t>
  </si>
  <si>
    <t>Note: This measure has a single baseline. For deemed lifetime energy savings, multiply the energy savings by the EUL.</t>
  </si>
  <si>
    <r>
      <t>DEER 2015 "DEER-WaterHeater-Calculator-v1.1.xlsm"</t>
    </r>
    <r>
      <rPr>
        <vertAlign val="superscript"/>
        <sz val="10.5"/>
        <color theme="1"/>
        <rFont val="Calibri"/>
        <family val="2"/>
        <scheme val="minor"/>
      </rPr>
      <t>2</t>
    </r>
  </si>
  <si>
    <t xml:space="preserve">Federal Register, Energy Conservation Program for Consumer Products: Definitions for Residential Water Heaters, April 8, 2015, available here: https://www.federalregister.gov/documents/2015/04/08/2015-07956/energy-conservation-program-for-consumer-products-definitions-for-residential-water-heaters. </t>
  </si>
  <si>
    <r>
      <rPr>
        <vertAlign val="superscript"/>
        <sz val="9"/>
        <color theme="1"/>
        <rFont val="Calibri"/>
        <family val="2"/>
        <scheme val="minor"/>
      </rPr>
      <t>1</t>
    </r>
    <r>
      <rPr>
        <sz val="9"/>
        <color theme="1"/>
        <rFont val="Calibri"/>
        <family val="2"/>
        <scheme val="minor"/>
      </rPr>
      <t xml:space="preserve"> Federal Register, Energy Conservation Program for Consumer Products: Definitions for Residential Water Heaters, Table I.2, April 8, 2015, available here: https://www.federalregister.gov/documents/2015/04/08/2015-07956/energy-conservation-program-for-consumer-products-definitions-for-residential-water-heaters. Applies to residential and non-residential water heaters that are ≤12 kW.</t>
    </r>
  </si>
  <si>
    <t>ENERGY STAR Program Requirement for Residential Water Heaters, v3.0, April 2015. https://www.energystar.gov/products/water_heaters/residential_water_heaters_key_product_criteria.</t>
  </si>
  <si>
    <t>Title 10: Energy, PART 430—ENERGY CONSERVATION PROGRAM FOR CONSUMER PRODUCTS, Subpart B—Test Procedures, Appendix E to Subpart B of Part 430—Uniform Test Method for Measuring the Energy Consumption of Water Heaters, https://www.ecfr.gov/cgi-bin/text-idx?SID=80dfa785ea350ebeee184bb0ae03e7f0&amp;mc=true&amp;node=ap10.3.430_127.e&amp;rgn=div9.</t>
  </si>
  <si>
    <t>Acceptable if used along with 8760 hours</t>
  </si>
  <si>
    <r>
      <t>RUL</t>
    </r>
    <r>
      <rPr>
        <vertAlign val="subscript"/>
        <sz val="10.5"/>
        <color theme="1"/>
        <rFont val="Calibri"/>
        <family val="2"/>
        <scheme val="minor"/>
      </rPr>
      <t>Turn-In,R</t>
    </r>
  </si>
  <si>
    <r>
      <t>RUL</t>
    </r>
    <r>
      <rPr>
        <vertAlign val="subscript"/>
        <sz val="10.5"/>
        <color theme="1"/>
        <rFont val="Calibri"/>
        <family val="2"/>
        <scheme val="minor"/>
      </rPr>
      <t>Turn-In,F</t>
    </r>
  </si>
  <si>
    <r>
      <t>EUL</t>
    </r>
    <r>
      <rPr>
        <vertAlign val="subscript"/>
        <sz val="10.5"/>
        <color theme="1"/>
        <rFont val="Calibri"/>
        <family val="2"/>
        <scheme val="minor"/>
      </rPr>
      <t>Replace,R</t>
    </r>
  </si>
  <si>
    <r>
      <t>EUL</t>
    </r>
    <r>
      <rPr>
        <vertAlign val="subscript"/>
        <sz val="10.5"/>
        <color theme="1"/>
        <rFont val="Calibri"/>
        <family val="2"/>
        <scheme val="minor"/>
      </rPr>
      <t>Replace,F</t>
    </r>
  </si>
  <si>
    <t>ENERGY STAR, Savings Calculator for ENERGY STAR Appliances, available at: https://www.energystar.gov/sites/default/files/asset/document/appliance_calculator.xlsx, accessed December 15, 2018.</t>
  </si>
  <si>
    <t>Default = 25.4</t>
  </si>
  <si>
    <t>See Footnote 3 for Default assumption</t>
  </si>
  <si>
    <t>See Footnote 5</t>
  </si>
  <si>
    <r>
      <t xml:space="preserve">AEG's Fall 2018 Benchmarking </t>
    </r>
    <r>
      <rPr>
        <vertAlign val="superscript"/>
        <sz val="10.5"/>
        <color theme="1"/>
        <rFont val="Calibri"/>
        <family val="2"/>
        <scheme val="minor"/>
      </rPr>
      <t>6</t>
    </r>
  </si>
  <si>
    <r>
      <rPr>
        <vertAlign val="superscript"/>
        <sz val="9"/>
        <rFont val="Calibri"/>
        <family val="2"/>
        <scheme val="minor"/>
      </rPr>
      <t>5</t>
    </r>
    <r>
      <rPr>
        <sz val="9"/>
        <rFont val="Calibri"/>
        <family val="2"/>
        <scheme val="minor"/>
      </rPr>
      <t xml:space="preserve"> Use value of PF=1 until more data is available on savings persistence of ENERGY STAR units relative to baseline units.</t>
    </r>
  </si>
  <si>
    <r>
      <rPr>
        <vertAlign val="superscript"/>
        <sz val="9"/>
        <rFont val="Calibri"/>
        <family val="2"/>
        <scheme val="minor"/>
      </rPr>
      <t>6</t>
    </r>
    <r>
      <rPr>
        <sz val="9"/>
        <rFont val="Calibri"/>
        <family val="2"/>
        <scheme val="minor"/>
      </rPr>
      <t xml:space="preserve"> See analysis file titled "AEG HPUC EUL Analysis."</t>
    </r>
  </si>
  <si>
    <r>
      <rPr>
        <vertAlign val="superscript"/>
        <sz val="9"/>
        <rFont val="Calibri"/>
        <family val="2"/>
        <scheme val="minor"/>
      </rPr>
      <t>1</t>
    </r>
    <r>
      <rPr>
        <sz val="9"/>
        <rFont val="Calibri"/>
        <family val="2"/>
        <scheme val="minor"/>
      </rPr>
      <t xml:space="preserve"> Source of AV equations is ENERGY STAR, Savings Calculator for ENERGY STAR Appliances, available at: https://www.energystar.gov/sites/default/files/asset/document/appliance_calculator.xlsx, accessed December 15, 2018.</t>
    </r>
  </si>
  <si>
    <r>
      <t>Adjusted volume of refrigerator</t>
    </r>
    <r>
      <rPr>
        <vertAlign val="superscript"/>
        <sz val="10.5"/>
        <color theme="1"/>
        <rFont val="Calibri"/>
        <family val="2"/>
        <scheme val="minor"/>
      </rPr>
      <t>1</t>
    </r>
  </si>
  <si>
    <r>
      <t>Adjusted volume of freezer</t>
    </r>
    <r>
      <rPr>
        <vertAlign val="superscript"/>
        <sz val="10.5"/>
        <color theme="1"/>
        <rFont val="Calibri"/>
        <family val="2"/>
        <scheme val="minor"/>
      </rPr>
      <t>1</t>
    </r>
  </si>
  <si>
    <t>Refrigerator w/o Turn-In, AV = 25.4 cu ft
Product Category</t>
  </si>
  <si>
    <t>Refrigerator w/ Turn-In, AV = 25.4 cu ft
Product Category</t>
  </si>
  <si>
    <t>Refrigerator Turn-In Only, AV = 25.4 cu ft
Product Category</t>
  </si>
  <si>
    <t xml:space="preserve">Federal Register, Energy Conservation Program for Consumer Products: Definitions for Residential Water Heaters, Table I.2, April 8, 2015, available here: https://www.federalregister.gov/documents/2015/04/08/2015-07956/energy-conservation-program-for-consumer-products-definitions-for-residential-water-heaters. </t>
  </si>
  <si>
    <t>gal/day-person</t>
  </si>
  <si>
    <t>persons</t>
  </si>
  <si>
    <t>As a guideline, the following chiller retrofits should be evaluated as custom projects: water-cooled chillers larger than or equal to 600 tons, air-cooled chillers larger than or equal to 300 tons, and any chiller part of a larger, multi-system plant. Projects that are part of a larger project with a variety of efficiency measures being installed simultaneously, or other unique projects, would be a candidate for custom evaluation, at the discretion of Hawai‘i Energy.  This threshold was set for the following reasons:</t>
  </si>
  <si>
    <t>Hawai‘i Energy opted for a cut-off tonnage that aligns with the tonnage break points in IECC code for chiller efficiency, i.e. 300/600 tons.</t>
  </si>
  <si>
    <t xml:space="preserve">As a guideline, commercial VRF retrofits for systems with capacities greater than 240,000 Btu/h should be evaluated as custom projects. Projects that are part of a larger project with a variety of efficiency measures being installed simultaneously, or other unique projects, would be a candidate for custom evaluation, at the discretion of Hawai‘i Energy.  This threshold was chosen based on capacity break points in ASHRAE and IECC code for air-cooled AC and heat pump efficiencies; evaluating a VRF system on a prescriptive or even semi-prescriptive basis would be inadequate for most larger projects at this capacity. </t>
  </si>
  <si>
    <t>FOOTNOTES</t>
  </si>
  <si>
    <t>ADDITIONAL RESOURCES</t>
  </si>
  <si>
    <t>Oversizing of HVAC System: Signatures and Penalties, University of Idaho, Integrated Design Lab-Boise, available here: &lt;http://www.idlboise.com/pdf/papers/ENB_3018_RTU_Measurement_accepted.pdf&gt;. Used to determine correct HVAC oversizing adjustment for EFLH and CF analysis.</t>
  </si>
  <si>
    <t>Measure impacts are calculated per system.</t>
  </si>
  <si>
    <t>Capacity</t>
  </si>
  <si>
    <t>Based on installed unit</t>
  </si>
  <si>
    <t>Btu/h</t>
  </si>
  <si>
    <t>As installed</t>
  </si>
  <si>
    <t>Btu/Wh</t>
  </si>
  <si>
    <t>System Type</t>
  </si>
  <si>
    <t>Capacity Bin</t>
  </si>
  <si>
    <t>Part-Load Efficiency</t>
  </si>
  <si>
    <t>Full Load</t>
  </si>
  <si>
    <t>IEER</t>
  </si>
  <si>
    <t>&lt; 65,000 Btu/h</t>
  </si>
  <si>
    <t>--</t>
  </si>
  <si>
    <t>Air-Source HP</t>
  </si>
  <si>
    <r>
      <t>EER</t>
    </r>
    <r>
      <rPr>
        <vertAlign val="subscript"/>
        <sz val="10.5"/>
        <rFont val="Calibri"/>
        <family val="2"/>
        <scheme val="minor"/>
      </rPr>
      <t>BL</t>
    </r>
  </si>
  <si>
    <r>
      <t>EER</t>
    </r>
    <r>
      <rPr>
        <vertAlign val="subscript"/>
        <sz val="10.5"/>
        <rFont val="Calibri"/>
        <family val="2"/>
        <scheme val="minor"/>
      </rPr>
      <t>EE</t>
    </r>
  </si>
  <si>
    <r>
      <rPr>
        <sz val="11"/>
        <rFont val="Calibri"/>
        <family val="2"/>
      </rPr>
      <t>≥</t>
    </r>
    <r>
      <rPr>
        <sz val="11"/>
        <rFont val="Calibri"/>
        <family val="2"/>
        <scheme val="minor"/>
      </rPr>
      <t xml:space="preserve"> 65,000 and &lt; 135,000 Btu/h</t>
    </r>
  </si>
  <si>
    <r>
      <rPr>
        <sz val="11"/>
        <rFont val="Calibri"/>
        <family val="2"/>
      </rPr>
      <t>≥</t>
    </r>
    <r>
      <rPr>
        <sz val="11"/>
        <rFont val="Calibri"/>
        <family val="2"/>
        <scheme val="minor"/>
      </rPr>
      <t xml:space="preserve"> 135,000 and &lt; 240,000 Btu/h</t>
    </r>
  </si>
  <si>
    <r>
      <rPr>
        <sz val="11"/>
        <rFont val="Calibri"/>
        <family val="2"/>
      </rPr>
      <t>≥</t>
    </r>
    <r>
      <rPr>
        <sz val="11"/>
        <rFont val="Calibri"/>
        <family val="2"/>
        <scheme val="minor"/>
      </rPr>
      <t xml:space="preserve"> 240,000 Btu/h</t>
    </r>
  </si>
  <si>
    <t>For calculations specific to the unit in question, please see the accompanying VRF calculation worksheet:</t>
  </si>
  <si>
    <t xml:space="preserve"> (C_HVAC_VRF_WKST)</t>
  </si>
  <si>
    <t>Commercial: HVAC Savings Calculator - Variable Refrigerant Flow Systems</t>
  </si>
  <si>
    <t>Lookup/Data Validation Tables</t>
  </si>
  <si>
    <t>Part Load</t>
  </si>
  <si>
    <t>SEER or IEER?</t>
  </si>
  <si>
    <t>Enter Full Load Efficiency:</t>
  </si>
  <si>
    <t>Capacity Bin:</t>
  </si>
  <si>
    <t>Enter Part-Load Efficiency:</t>
  </si>
  <si>
    <t xml:space="preserve">Corresponding Baseline Efficiency (Full Load): </t>
  </si>
  <si>
    <t xml:space="preserve">Corresponding Baseline Efficiency (Part-Load): </t>
  </si>
  <si>
    <t>Full Load Efficiency</t>
  </si>
  <si>
    <t>Concatenation</t>
  </si>
  <si>
    <t>RESIDENTIAL: Ductless Split Systems</t>
  </si>
  <si>
    <t>Savings are calculated per split system unit.</t>
  </si>
  <si>
    <t>Persistence Factor</t>
  </si>
  <si>
    <t>≥8,000 Btu/h and &lt;14,000 Btu/h</t>
  </si>
  <si>
    <t>≥14,000 Btu/h and &lt;20,000 Btu/h</t>
  </si>
  <si>
    <r>
      <rPr>
        <sz val="11"/>
        <rFont val="Calibri"/>
        <family val="2"/>
      </rPr>
      <t>≥8,</t>
    </r>
    <r>
      <rPr>
        <sz val="11"/>
        <rFont val="Calibri"/>
        <family val="2"/>
        <scheme val="minor"/>
      </rPr>
      <t>000 Btu/h and &lt;14,000 Btu/h</t>
    </r>
  </si>
  <si>
    <r>
      <rPr>
        <sz val="11"/>
        <rFont val="Calibri"/>
        <family val="2"/>
      </rPr>
      <t>≥14,</t>
    </r>
    <r>
      <rPr>
        <sz val="11"/>
        <rFont val="Calibri"/>
        <family val="2"/>
        <scheme val="minor"/>
      </rPr>
      <t>000 Btu/h and &lt;20,000 Btu/h</t>
    </r>
  </si>
  <si>
    <r>
      <t>SEER</t>
    </r>
    <r>
      <rPr>
        <vertAlign val="subscript"/>
        <sz val="10.5"/>
        <rFont val="Calibri"/>
        <family val="2"/>
        <scheme val="minor"/>
      </rPr>
      <t>EE</t>
    </r>
  </si>
  <si>
    <t>Ductless Split System</t>
  </si>
  <si>
    <t>R_HVAC_AC_WKST</t>
  </si>
  <si>
    <t>PF:</t>
  </si>
  <si>
    <t>kW reduction:</t>
  </si>
  <si>
    <t>Consistency, formatting for priority measures throughout document:
- Standardize demand language (coincident peak) 
- Clean up language that refers to incorrect tables, numbers, values, etc.
- Include sources for all deemed savings assumptions
- Fix cell sizes so no text is hidden (also apply this to entire workbook)
- S/R Hawaii with Hawai‘i, Energy Star with ENERGY STAR
- Add asterisks to tabs that have been updated
- Check bullet format
- Complete QC checklists</t>
  </si>
  <si>
    <t>Annual 
Energy Savings</t>
  </si>
  <si>
    <t>Peak Demand Savings (kW)</t>
  </si>
  <si>
    <t>Annual Energy Savings (kWh/year)</t>
  </si>
  <si>
    <t>Annual Energy Savings (kWh/yr)</t>
  </si>
  <si>
    <t>Peak 
Demand Savings</t>
  </si>
  <si>
    <t>Annual
Energy Savings</t>
  </si>
  <si>
    <t xml:space="preserve">Peak Demand Savings </t>
  </si>
  <si>
    <t>First Baseline Peak Demand Savings (kW)</t>
  </si>
  <si>
    <t>Review/update HOU/EFLH values using Hawai‘i-specific load shape data where possible.</t>
  </si>
  <si>
    <t>Review/update CF values using Hawai‘i-specific load shape data where possible.</t>
  </si>
  <si>
    <t xml:space="preserve">Review/update lighting/cooling interactive effect factors using Hawai‘i-specific load shape data for residential and benchmarking with secondary data for commercial. </t>
  </si>
  <si>
    <t>Net to gross ratios with consideration of spillover, market effects, market transformation. Update using primary data for Hawai‘i for future TRM.</t>
  </si>
  <si>
    <t>Hawai‘i</t>
  </si>
  <si>
    <t>2. Evaluation of the Hawai‘i Energy Conservation and Efficiency Programs, Program Year 2011, Evergreen Economics, June 20, 2013, Appendix D: Net-to-Gross Assessment Memo. NTG benchmarking analysis covered four resources: Wisconsin Focus on Energy (2011), CPUC DEER (2006-2007), Massachusetts Energy Efficiency Advisory Council (2010), and NYSERDA (2011-12).</t>
  </si>
  <si>
    <t>3. Opinion Dynamics, Hawai‘i Baseline and Net-to-Gross Framework, Memorandum, Submitted to Steve Schiller, June 27, 2018.</t>
  </si>
  <si>
    <t xml:space="preserve">a) Compared all of the EULs in the Hawai‘i Energy PY18 TRM's Master EUL list to DEER2020 EUL values. </t>
  </si>
  <si>
    <t>b) Compared EULs for all applicable measures in the Hawai‘i Energy PY18 TRM's Master EUL list to EUL analysis conducted by AEG for the residential sector in Fall 2017 and for the commercial sector in Spring 2017. (The previous analysis was performed for two other utility clients, both on the mainland U.S.).</t>
  </si>
  <si>
    <t>For “custom” measures, Hawai‘i Energy performs site-specific customized calculations. In this case, Hawai‘i Energy takes into account interactions between measures (e.g., individual savings from installation of window film and replacement of a chiller are not additive because the first measure reduces the cooling load met by the second measure).</t>
  </si>
  <si>
    <t>Hawai‘i Energy will calculate total savings for the package of custom measures being installed, considering interactive effects, either as a single package or in rank order of prescriptive and custom measures. That is, if a project includes both prescriptive and custom measures, the prescriptive measures will be calculated in the normal manner. However, the prescriptive measures will be assumed to be installed prior to determining the impacts for the custom measures.</t>
  </si>
  <si>
    <t xml:space="preserve">3) Mapping of DEER and LBNL building types to Hawai‘i Energy's building types listed above; </t>
  </si>
  <si>
    <r>
      <t>4) Adjustment of the DEER IE factors for CZ 3B using ratio of LBNL factors for CZ 1A and CZ 3B to determine IE factors for Hawai‘i (CZ 1A). The equation is:
IE</t>
    </r>
    <r>
      <rPr>
        <vertAlign val="subscript"/>
        <sz val="9"/>
        <color theme="1"/>
        <rFont val="Calibri"/>
        <family val="2"/>
        <scheme val="minor"/>
      </rPr>
      <t>Hawaii</t>
    </r>
    <r>
      <rPr>
        <sz val="9"/>
        <color theme="1"/>
        <rFont val="Calibri"/>
        <family val="2"/>
        <scheme val="minor"/>
      </rPr>
      <t xml:space="preserve"> = IE</t>
    </r>
    <r>
      <rPr>
        <vertAlign val="subscript"/>
        <sz val="9"/>
        <color theme="1"/>
        <rFont val="Calibri"/>
        <family val="2"/>
        <scheme val="minor"/>
      </rPr>
      <t>DEER, 3B</t>
    </r>
    <r>
      <rPr>
        <sz val="9"/>
        <color theme="1"/>
        <rFont val="Calibri"/>
        <family val="2"/>
        <scheme val="minor"/>
      </rPr>
      <t>*(IE</t>
    </r>
    <r>
      <rPr>
        <vertAlign val="subscript"/>
        <sz val="9"/>
        <color theme="1"/>
        <rFont val="Calibri"/>
        <family val="2"/>
        <scheme val="minor"/>
      </rPr>
      <t>LBNL,1A</t>
    </r>
    <r>
      <rPr>
        <sz val="9"/>
        <color theme="1"/>
        <rFont val="Calibri"/>
        <family val="2"/>
        <scheme val="minor"/>
      </rPr>
      <t>/IE</t>
    </r>
    <r>
      <rPr>
        <vertAlign val="subscript"/>
        <sz val="9"/>
        <color theme="1"/>
        <rFont val="Calibri"/>
        <family val="2"/>
        <scheme val="minor"/>
      </rPr>
      <t>LBNL,3B</t>
    </r>
    <r>
      <rPr>
        <sz val="9"/>
        <color theme="1"/>
        <rFont val="Calibri"/>
        <family val="2"/>
        <scheme val="minor"/>
      </rPr>
      <t>).</t>
    </r>
  </si>
  <si>
    <t xml:space="preserve">2) Mapping of OpenEI's and DEER's building types to Hawai‘i Energy's building types listed above; </t>
  </si>
  <si>
    <t>Source: AEG's analysis of DOE's OpenEI load shapes using Hawai‘i-specific prototypes, weather data, and peak demand period.</t>
  </si>
  <si>
    <t>1) AEG analysis of DOE's OpenEI general lighting load shapes simulated with Hawai‘i-specific prototypes, weather data, and peak demand period to determine i) unadjusted CF values for general lighting during Hawai‘i's peak demand period of 5-9 pm on non-holiday weekdays, and ii) unadjusted EFLH values for general lighting (= annual lighting energy use in kWh divided by maximum lighting demand in kW).</t>
  </si>
  <si>
    <t>Design Assistance is available to building owners and their design teams to encourage the implementation of energy efficient building systems.  Considering energy efficiency during the initial phases of planning and design greatly increase the feasibility of implementation.  Incentives for energy efficiency are project-specific and offered as upfront assistance for additional costs incurred during the design phase.  The long-term benefits include energy use reduction for the state of Hawai‘i and a reduction in operating costs, equipment lifecycle improvement for building owners, and improved comfort for building users.</t>
  </si>
  <si>
    <t>• Application with written pre-approval from Hawai‘i Energy
• Project in planning or initial design phase
• Total resource benefit ratio greater than or equal to 1</t>
  </si>
  <si>
    <t>The baseline efficiency case assumes compliance with the efficiency requirements as mandated by the Hawai‘i State Energy Code or industry accepted standard practice.</t>
  </si>
  <si>
    <t>The Energy Study is an indirect impact product that offers Hawai‘i businesses with analysis services to identify energy saving opportunities. The goal of the energy study is to provide a method for commercial and industrial customers to learn how their business uses energy today and to identify measures that will help them save energy and reduce operating costs in the future. The focus is on a customer’s core energy efficiency opportunities.</t>
  </si>
  <si>
    <t>AEG's analysis of DOE's OpenEI load shapes using Hawai‘i-specific prototypes, weather data, and peak demand period</t>
  </si>
  <si>
    <t>AEG's analysis of DOE's OpenEI load shapes using Hawai‘i-specific prototypes and weather data</t>
  </si>
  <si>
    <t>Table 1: Equivalent Full Load Hours and Coincidence Factors for Commercial Cooling in Hawai‘i</t>
  </si>
  <si>
    <t>1 These are EFLH values from AEG's analysis of DOE's OpenEI load shapes for the Cooling end-use using Hawai‘i-specific prototypes and weather data. Use as a proxy for "HRS" for the HVAC VFD measure only if project-specific data is not available.</t>
  </si>
  <si>
    <t>Code baseline specification based on Hawai‘i Energy: &lt;https://hawaiienergy.com/resources#hawaii-codes&gt; and &lt;http://energy.hawaii.gov/hawaii-energy-building-code/2015-iecc-update&gt;. 
All equipment is expected to meet minimum ASHRAE standards. ASHRAE requires a subscription to see the standard in full; AEG used staff subscriptions to ASHRAE to obtain the latest 90.1-2016 standard. The minimum efficiency levels are also summarized in various publicly available sources, including this one from Trane: &lt;https://www.trane.com/content/dam/Trane/Commercial/global/products-systems/education-training/engineers-newsletters/standards-codes/ADMAPN053EN_0315.pdf&gt;</t>
  </si>
  <si>
    <t>AEG's analysis of DOE's OpenEI load shapes using Hawai‘i-specific prototypes, weather data, and peak demand period, adjusted to specific lighting types</t>
  </si>
  <si>
    <t>Table 3. Coincidence Factors, CF 
(Applicable to Counties of Oahu, Maui, and Hawai‘i)</t>
  </si>
  <si>
    <t>Table 4. Interactive Effects Factors, IEC,D and IEC,E 
(Applicable to Counties of Oahu, Maui, and Hawai‘i)</t>
  </si>
  <si>
    <t>AEG's 2018 Analysis of U.S. Department of Energy's OpenEI Commercial Hourly Load Profiles using Hawai‘i-specific data. OpenEI data files available here: https://openei.org/doe-opendata/dataset/commercial-and-residential-hourly-load-profiles-for-all-tmy3-locations-in-the-united-states.</t>
  </si>
  <si>
    <t>Hawai‘i Energy PY17 Program Data for BEEM. Filename: "EMV Extract UPDATED 20181015." Spreadsheet. AEG used data to develop shares of participant energy savings (kWh) by building type. The shares were then used to estimate weighted averages of key parameters for the average commercial building type ("Avg. Commercial").</t>
  </si>
  <si>
    <t>Program Year 2017 (PY17) Program Tracking Data for Hawai‘i Energy's BEEM program.</t>
  </si>
  <si>
    <t>Program Year 2017 (PY17) Program Tracking Data for Hawai‘i Energy's LED Refrigerated Case Lighting projects.</t>
  </si>
  <si>
    <t>Table 1. Key Parameters for Occupancy Sensor Measure
(Applicable to Counties of Oahu, Maui, and Hawai‘i)</t>
  </si>
  <si>
    <t>Hawai‘i Energy PY17 Program Data for Commercial Occupancy Sensor Projects. Filename: "EMV Extract UPDATED 20181015". Spreadsheet.</t>
  </si>
  <si>
    <t>Program Year 2017 (PY17) Program Tracking Data for Hawai‘i Energy's business programs, occupancy sensor projects.</t>
  </si>
  <si>
    <t xml:space="preserve">• Incentives apply to both ODP and TEFC enclosures with 1200 RPM, 1800 RPM or 3600 RPM motors.
• Motors must meet minimum efficiency requirements as shown in the Table below.
• Motors greater than 200 hp will be given consideration under the Hawai‘i Energy Customized Program.
• If motors are not listed, submit manufacturer specifications, motor curve and performance data to Hawai‘i Energy for consideration </t>
  </si>
  <si>
    <t>Hawai‘i Energy PY15 TRM</t>
  </si>
  <si>
    <t>Hawai‘i Energy PY15 TRM, 6 hours per day</t>
  </si>
  <si>
    <t>The manufacturer’s submetering system model type to be installed (meter and CTs) must have been tested by an independent third party that is Nationally Rated Testing Laboratory certified for ANSI C12.1. The certification documentation must be provided to the Program prior to installation. Additionally, manufacturers must have a factory-quality compliance procedure in place to ensure meter accuracy. Documentation of this procedure must be available to the Program upon request.  The submeter must be UL, CSA or ETL listed (Electrical Safety).
Requirements:
• The metering system must remain in place and billing to occur for a period of at least five (5) years or a pro-rated portion of the incentive will be recovered by Hawai‘i Energy.  Provide Hawai‘i Energy with energy meter data for analysis purposes.
• A joint educational and monitoring program will be undertaken with AOAO to assist in the verification of savings and development of an ongoing energy incentive offering for other condominiums in Hawai‘i.</t>
  </si>
  <si>
    <t>The manufacturer’s submetering system model type to be installed (meter and CTs) must have been tested by an independent third party that is Nationally Rated Testing Laboratory certified for ANSI C12.1. The certification documentation must be provided to the Program prior to installation. Additionally, manufacturers must have a factory-quality compliance procedure in place to ensure meter accuracy. Documentation of this procedure must be available to the Program upon request.  The submeter must be UL, CSA or ETL listed (Electrical Safety).
Requirements:
• The metering system must remain in place and billing to occur for a period of at least five (5) years or a pro-rated portion of the incentive will be recovered by Hawai‘i Energy.  Provide Hawai‘i Energy with energy meter data for analysis purposes.
• A joint educational and monitoring program will be undertaken with the businesses to assist in the verification of savings and development of an ongoing energy incentive offering for other condominiums in Hawai‘i.</t>
  </si>
  <si>
    <t>AEG's Hawai‘i-specific analysis of U.S. DOE OpenEI Load shapes for Commercial Water Heating</t>
  </si>
  <si>
    <t>AEG's Hawai‘i-specific analysis of U.S. DOE OpenEI Load shapes for Commercial Water Heating; peak period defined as non-holiday weekdays from 5-9 pm</t>
  </si>
  <si>
    <t>AEG's 2018 Analysis of U.S. DOE OpenEI Load shapes for Commercial Water Heating. Analyzed 16 commercial building types (based off the DOE commercial reference building models) for IECC Zone 1A and Hawai‘i weather stations (Keahole-Kona.Intl.AP, Honolulu.Intl.AP, Kahului.AP). Prototype data available here: https://openei.org/doe-opendata/dataset/commercial-and-residential-hourly-load-profiles-for-all-tmy3-locations-in-the-united-states.</t>
  </si>
  <si>
    <t>Hawai‘i Energy PY17 Program Data for BEEM. Filename: "EMV Extract UPDATED 20181015." Spreadsheet. AEG used data to develop shares of participant energy savings (kWh) by building type. The shares were then used to estimate weighted averages of key parameters (HWper SQFT, EFLH, and CF) for the average commercial building type ("Avg. Commercial").</t>
  </si>
  <si>
    <t>Hawai‘i Energy incentivizes the actions of building owners to evaluate the effectiveness and efficiency of current building systems to optimize performance.
These actions will be documented in a Commissioning Report that shall include:</t>
  </si>
  <si>
    <t>Program pre-approval is required prior to the start of any energy consumption analysis. Projects can be whole building or by system if determined cost-effective by Hawai‘i Energy. 
Eligible program participants must:</t>
  </si>
  <si>
    <t>Be willing to commit up to 100% of the incentive value to implement energy conservation measures (ECMs) found to have a 2- year or less payback. Any implemented ECMs are eligible for Hawai‘i Energy’s prescriptive and custom incentives.</t>
  </si>
  <si>
    <t>Grant Hawai‘i Energy access to their facility’s billing data and other required data to establish an initial benchmark rating via ENERGY STAR Portfolio Manager®.</t>
  </si>
  <si>
    <t>Grant Hawai‘i Energy access to the facility itself for on-going program assessment, monitoring and measurement purposes.</t>
  </si>
  <si>
    <t>The participant’s commissioning specialist shall be certified by a nationally recognized building commissioning organization such as the American Society of Heating, Refrigeration and Air Conditioning Engineers (ASHRAE), AABC Commissioning Group (ACG), Building Commissioning Association (BCA), National Environmental Balancing Bureau (NEBB) or similar organization acceptable to Hawai‘i Energy.</t>
  </si>
  <si>
    <t>If participant wishes to use a non-certified contractor to perform the Retro-Commissioning or Enhanced Commissioning project, an exception may be granted at Hawai‘i Energy’s sole discretion if:</t>
  </si>
  <si>
    <t>Hawai‘i Energy Efficiency Program Technical Reference Manual, PY 2015. Measure Savings Calculations, pp. 43</t>
  </si>
  <si>
    <t>ENERGY STAR LED Wattage (typical values from Hawai‘i Energy program data)</t>
  </si>
  <si>
    <t>AEG's Hawai‘i-specific simulation modeling</t>
  </si>
  <si>
    <t xml:space="preserve">AEG's 2018 Hawai‘i-specific building energy simulations of single family home prototypes in BEopt™ with EnergyPlus v8.8 as the simulation engine. Used Hawai‘i weather data and developed prototypes based on a mixture of assumptions from the 2014 State of Hawai‘i Baseline Report, 2014 Building America House Simulation Protocols, and building characteristics from a survey of suburban homes in Google Maps. Homes were simulated with a variety of HVAC system types and four different lighting consumption levels. House leakage was also varied to vary the efficiency of the home. AEG used the analysis to determine coincidence factors (CFs), as well as interactive effects factors (IEFs) that account for cooling demand and energy savings due to reducing waste heat with efficient lighting. </t>
  </si>
  <si>
    <t>Hawai‘i PUC LED Baseline Memo, Opinion Dynamics, April 9, 2018.</t>
  </si>
  <si>
    <t>AEG's Hawai‘i-specific analysis of U.S. DOE OpenEI Load shapes for Residential Electric Water Heating</t>
  </si>
  <si>
    <t>AEG's Hawai‘i-specific analysis of U.S. DOE OpenEI Load shapes for Residential Electric Water Heating; peak period defined as non-holiday weekdays from 5-9 pm</t>
  </si>
  <si>
    <t>Hawai‘i Non-Military 
(SF or MF)</t>
  </si>
  <si>
    <t>AEG's 2018 analysis of U.S. DOE OpenEI Load shapes for Residential Electric Water Heating. Used B10 Benchmark, Base Load prototype for IECC Zone 1A and Hawai‘i weather stations (Keahole-Kona.Intl.AP, Honolulu.Intl.AP, Kahului.AP). Prototype data available here: https://openei.org/doe-opendata/dataset/commercial-and-residential-hourly-load-profiles-for-all-tmy3-locations-in-the-united-states.</t>
  </si>
  <si>
    <t>Energy.gov, Solar Water Heating Requirement for New Residential Construction, State of Hawai‘i, https://www.energy.gov/savings/solar-water-heating-requirement-new-residential-construction.</t>
  </si>
  <si>
    <t>STATE OF HAWAI‘I SOLAR WATER HEATING IMPACT ASSESSMENT (1992 - 2011) Prepared For: Department of Business and Economic Development and Tourism (DBEDT) State of Hawai‘i FINAL December 18, 2012 Prepared by:  InSynergy Engineering, Inc. Honolulu, HI.</t>
  </si>
  <si>
    <t>Hawai‘i Energy Efficiency Program, Program Year 3, July 2011 through June 2012, Technical Reference Manual, No. 2011, Measure Savings Calculations.</t>
  </si>
  <si>
    <t>b. San Diego is a good proxy for Hawai‘i for lighting usage. The OpenEI prototypes yield the same energy, demand, EFLH, and CF factors for San Diego, Honolulu, Kahului, and Keahole-Kona weather stations. (Therefore, the same results are applicable to all Hawaiian counties.)</t>
  </si>
  <si>
    <t>Receive electric service from Hawaiian Electric Companies (e.g., HECO, MECO or HELCO) and pay a Hawai‘i public benefits fund surcharge on their electric bill.</t>
  </si>
  <si>
    <t>The IECC 2015 with Hawai‘i Amendments Commercial Reviewer and Designer Checklist requires efficient HVAC equipment to be 10% better than the minimum efficiency. Available at: &lt;https://hawaiienergy.com/files/resources/2015-IECC_CommercialReviewer_Checklist.pdf&gt;</t>
  </si>
  <si>
    <t xml:space="preserve">All energy efficiency programs need to estimate the amount of energy and demand that is saved for standard measures. This allows an effective program to promote these standard measures across markets with an incentive amount that is appropriate for the amount of energy and/or demand that is saved. Hawai‘i Energy maintains these energy saving estimates in the TRM. </t>
  </si>
  <si>
    <t>Technical Reference Manual (TRM)</t>
  </si>
  <si>
    <t>Energy Efficiency Manager (EEM)</t>
  </si>
  <si>
    <t xml:space="preserve">The Energy Efficiency Manager team is an independent contractor team that assists the Commission with the administration of contracts with the Program Administrator and the EM&amp;V Contractor. </t>
  </si>
  <si>
    <r>
      <rPr>
        <i/>
        <sz val="11"/>
        <color theme="1"/>
        <rFont val="Calibri"/>
        <family val="2"/>
        <scheme val="minor"/>
      </rPr>
      <t xml:space="preserve">Third-Party EM&amp;V Consultant TRM Review </t>
    </r>
    <r>
      <rPr>
        <sz val="11"/>
        <color theme="1"/>
        <rFont val="Calibri"/>
        <family val="2"/>
        <scheme val="minor"/>
      </rPr>
      <t>– Periodically, the EM&amp;V Consultant will provide a review of the current TRM and make recommendations based on current market research, in-field savings verification of measures, and evolving program priorities. Updates and improvements are then made in collaboration with the EEM, Hawai‘i Energy, and the Commission and then implemented in the subsequent program year.</t>
    </r>
  </si>
  <si>
    <t>EM&amp;V Contractor</t>
  </si>
  <si>
    <t>The EM&amp;V Contractor is an entity designated by the Commission to provide independent evaluation, measurement, and verification services for the Public Benefits Fee (PBF) Programs, Energy Efficiency Portfolio Standard (EEPS) and other programs and/or activities as directed by the Commission. The EM&amp;V Contractor reports to the EEM.</t>
  </si>
  <si>
    <t>Commission</t>
  </si>
  <si>
    <t>Hawai‘i Energy is the brand name for the third-party administered ratepayer-funded conservation and energy efficiency programs for Hawai‘i, Honolulu and Maui counties.</t>
  </si>
  <si>
    <t xml:space="preserve">The Hawai‘i TRM development and update process is guided by a group of key stakeholders—Hawai‘i Energy, the Commission, the EEM, and the EM&amp;V Consultant (“Key Stakeholder Group”). This group oversees and manages the project, comments on work products, and ensures that the TRM meets the needs of the Hawai‘i stakeholders. The Key Stakeholder Group participates in every aspect of the development of the TRM and the TRM Framework. Group members provide data and technical input, review draft savings calculations, and attend teleconferences to review, comment, and participate in the development of the TRM and TRM Framework. </t>
  </si>
  <si>
    <r>
      <rPr>
        <i/>
        <sz val="11"/>
        <color theme="1"/>
        <rFont val="Calibri"/>
        <family val="2"/>
        <scheme val="minor"/>
      </rPr>
      <t xml:space="preserve">New Measure Additions </t>
    </r>
    <r>
      <rPr>
        <sz val="11"/>
        <color theme="1"/>
        <rFont val="Calibri"/>
        <family val="2"/>
        <scheme val="minor"/>
      </rPr>
      <t>– As new technologies are introduced to the Hawai‘i Energy portfolio, they will be characterized and added to the manual. In addition, new program design and new areas of interest (e.g., Market Transformation) may result in the need for new measure characterization.</t>
    </r>
  </si>
  <si>
    <r>
      <rPr>
        <i/>
        <sz val="11"/>
        <color theme="1"/>
        <rFont val="Calibri"/>
        <family val="2"/>
        <scheme val="minor"/>
      </rPr>
      <t xml:space="preserve">Retiring Existing Measures </t>
    </r>
    <r>
      <rPr>
        <sz val="11"/>
        <color theme="1"/>
        <rFont val="Calibri"/>
        <family val="2"/>
        <scheme val="minor"/>
      </rPr>
      <t>– Existing TRM measures may be removed from the Hawai‘i Energy portfolio when the economics of a measure become such that it is no longer cost-effective or the free-rider rate is too high, or for other reasons. Before retiring an existing TRM measure, there should be agreement among the Commission, EEM, Hawai‘i Energy, and the EM&amp;V Consultant.</t>
    </r>
  </si>
  <si>
    <t xml:space="preserve">The following subsection describes how the TRM was developed and the key assumptions that were used in estimating the energy (kWh) savings and peak demand (kW) reduction impacts claimed by the Program. </t>
  </si>
  <si>
    <t>Each measure in the TRM includes a description of the baseline case and the high-efficiency case for the measure. The energy saved is the difference between the energy use for the baseline case and the energy use for the high-efficiency case. Similarly, the peak demand reduction is the difference between the coincident peak demand for the baseline case and the coincident peak demand for the high-efficiency case. For some measures and program delivery approaches, a dual baseline is needed to account for baseline changes that occur during the life of the measure. Lifetime energy savings reflect the cumulative saving accrued for the life of the measure.</t>
  </si>
  <si>
    <t>Issues Log</t>
  </si>
  <si>
    <t>Updates</t>
  </si>
  <si>
    <t>System Loss Factors</t>
  </si>
  <si>
    <t>Table 7. System Loss Factors by Island</t>
  </si>
  <si>
    <t xml:space="preserve">Energy savings at the customer level are equivalent to even greater savings at the power plant busbar (where the electrons enter the grid) due to energy losses during transmission and distribution. The system loss factor (SLF) is defined as marginal electricity losses from the busbar to the customer meter – expressed as a percent of meter-level savings. Each island in Hawai‘i has a different SLF due to differences in infrastructure. SLF values are derived using island-level loss data published for HECO, MECO, and HELCO. The customer-level electricity savings are multiplied by (1+SLF) to get the system-level savings, or savings at the power plant busbar. </t>
  </si>
  <si>
    <t>Adjusting the loss factors in Step 2 to remove losses due to theft and the utility's own electricity consumption in its building and facilities, so that the losses only reflect transmission and distribution losses. An engineering estimate of 0.1% off of each of the values from Step 2 was used for the adjustment.</t>
  </si>
  <si>
    <t>3.</t>
  </si>
  <si>
    <t>COMMERCIAL: Guest Room Energy Management System</t>
  </si>
  <si>
    <t>A Guest Room Energy Management System uses a passive infrared occupancy sensor to sense whether the guest room in a hotel/motel is occupied or unoccupied, and then powers down or adjusts the setpoints of the HVAC unit during periods of no occupancy.  The controller may be physically located in a separate control box, jointly with an occupancy sensor, or jointly with a thermostat depending on the vendor and existing site parameters.</t>
  </si>
  <si>
    <t>Peak Demand Reduction, kW/room</t>
  </si>
  <si>
    <t>Annual Energy Savings, kWh/yr-room</t>
  </si>
  <si>
    <t>Lifetime Energy Savings, kWh/room</t>
  </si>
  <si>
    <t>Deemed annual energy savings per room, per unit</t>
  </si>
  <si>
    <t>Deemed demand reduction per room, per unit</t>
  </si>
  <si>
    <t>Table 1: Deemed Savings per Room/Unit for Guest Room Energy Management System</t>
  </si>
  <si>
    <t xml:space="preserve">Office of Energy Efficiency and Renewable Energy. Commercial and Residential Hourly Load Profiles for All TMY3 Locations in the United States. U.S. Department of Energy Open Data Catalog. Available at: https://openei.org/doe-opendata/dataset/commercial-and-residential-hourly-load-profiles-for-all-tmy3-locations-in-the-united-states. </t>
  </si>
  <si>
    <r>
      <rPr>
        <sz val="10.5"/>
        <rFont val="Tahoma"/>
        <family val="2"/>
      </rPr>
      <t>∆</t>
    </r>
    <r>
      <rPr>
        <sz val="8.9499999999999993"/>
        <rFont val="Calibri"/>
        <family val="2"/>
      </rPr>
      <t>kWh per Room</t>
    </r>
  </si>
  <si>
    <r>
      <rPr>
        <sz val="10.5"/>
        <rFont val="Tahoma"/>
        <family val="2"/>
      </rPr>
      <t>∆</t>
    </r>
    <r>
      <rPr>
        <sz val="8.9499999999999993"/>
        <rFont val="Calibri"/>
        <family val="2"/>
      </rPr>
      <t>kW per Room</t>
    </r>
  </si>
  <si>
    <t>See Footnote 1</t>
  </si>
  <si>
    <t>Pacific Gas and Electric Company. PTAC/PTHP/Split AC Controller. Work Paper PGE3PHVC149 Revision 2, Measure Code HA82. January 1, 2016. Available at: http://www.deeresources.net/workpapers.</t>
  </si>
  <si>
    <t>DOE New Construction Commercial Reference Building Prototype Summary Files. Version 1.3_5.0. September 27, 2010. Available as part of the compressed files at: https://www.energy.gov/eere/buildings/new-construction-commercial-reference-buildings.</t>
  </si>
  <si>
    <t>Add update status for each measure that has been revised for PY19.</t>
  </si>
  <si>
    <t xml:space="preserve">Technical Reference Manual (TRM) </t>
  </si>
  <si>
    <t xml:space="preserve">Measure Savings Calculations </t>
  </si>
  <si>
    <t xml:space="preserve">Hawai‘i Energy Efficiency Program </t>
  </si>
  <si>
    <t>Waste Heat Factors due to Interaction with Space Cooling System</t>
  </si>
  <si>
    <t>Waste heat factor due to lighting interaction with space cooling system demand</t>
  </si>
  <si>
    <t>Waste heat factor due to lighting interaction with space cooling system energy use</t>
  </si>
  <si>
    <t>See Equation 7; applicable to lighting installed in locations with space cooling</t>
  </si>
  <si>
    <t>See Equation 8; applicable to lighting installed in locations with space cooling</t>
  </si>
  <si>
    <r>
      <rPr>
        <vertAlign val="superscript"/>
        <sz val="9"/>
        <rFont val="Calibri"/>
        <family val="2"/>
        <scheme val="minor"/>
      </rPr>
      <t>2</t>
    </r>
    <r>
      <rPr>
        <sz val="9"/>
        <rFont val="Calibri"/>
        <family val="2"/>
        <scheme val="minor"/>
      </rPr>
      <t xml:space="preserve"> Based on average of default values for Total Model Volume for refrigerators from ENERGY STAR calculator (20.5 cu ft), and assuming 68.6% of volume is refrigerator (fresh volume),  which is default in ENERGY STAR calculator. Recommendation for future update: Determine average AV of units installed through Hawai‘i program.</t>
    </r>
  </si>
  <si>
    <r>
      <rPr>
        <vertAlign val="superscript"/>
        <sz val="9"/>
        <rFont val="Calibri"/>
        <family val="2"/>
        <scheme val="minor"/>
      </rPr>
      <t>3</t>
    </r>
    <r>
      <rPr>
        <sz val="9"/>
        <rFont val="Calibri"/>
        <family val="2"/>
        <scheme val="minor"/>
      </rPr>
      <t xml:space="preserve"> Based on average of default values for Total Model Volume for freezers (non-compact ) from ENERGY STAR calculator (15.0 cu ft). Recommendation for future update: Determine average AV of units installed through Hawai‘i program.</t>
    </r>
  </si>
  <si>
    <r>
      <rPr>
        <vertAlign val="superscript"/>
        <sz val="9"/>
        <color theme="1"/>
        <rFont val="Calibri"/>
        <family val="2"/>
        <scheme val="minor"/>
      </rPr>
      <t>1</t>
    </r>
    <r>
      <rPr>
        <sz val="9"/>
        <color theme="1"/>
        <rFont val="Calibri"/>
        <family val="2"/>
        <scheme val="minor"/>
      </rPr>
      <t xml:space="preserve"> This KEMA report has been referenced in Hawai‘i Energy's TRM algorithms for solar water heating since the PY11 TRM, and may have been in use to estimate savings prior to PY11. The report is cited as "KEMA 2005-2007 Energy and Peak Demand Impact Evaluation Report" and appears to describe a water heating study conducted by KEMA. AEG and the EEM were unable to locate the original KEMA evaluation report, despite inquiring directly with DNV GL (KEMA is now a part of DNV GL). From what AEG can ascertain from the past Hawai‘i Energy TRMs, "inoperable" was defined by KEMA as solar water heating systems that use more than an average of 5 kWh per day. The reference for the definition of "inoperable" is cited in past Hawai‘i Energy TRMs as: "Impact Evaluation Report of the 2001-2003 Demand Side Management Programs," KEMA, page 2-36, 2004. </t>
    </r>
  </si>
  <si>
    <t>R_WH_Solar</t>
  </si>
  <si>
    <t>ENERGY STAR v5.0 certified refrigerator/freezer as specified below replacing a non-ENERGY STAR refrigerator/freezer and turning in the existing refrigerator/freezer to be recycled. Also, turn-in only refrigerator/freezer rebate available.</t>
  </si>
  <si>
    <t>LED-Decorative Candelabra 40W eq.</t>
  </si>
  <si>
    <t>Savings are calculated per chiller.</t>
  </si>
  <si>
    <r>
      <t>Table 1: Baseline Efficiency Specifications</t>
    </r>
    <r>
      <rPr>
        <b/>
        <vertAlign val="superscript"/>
        <sz val="11"/>
        <rFont val="Calibri"/>
        <family val="2"/>
        <scheme val="minor"/>
      </rPr>
      <t>1</t>
    </r>
  </si>
  <si>
    <t>Assumed to be a non-optimized existing pumping system with a constant speed motor.  Baseline pumps are assumed to run 60% of the time.</t>
  </si>
  <si>
    <t>The purpose of this measure is to reduce energy consumption through more efficient domestic water booster systems by installing a VFD with or without also reducing pump HP. Pump improvements can be done to optimize the design and control of water pumping systems.</t>
  </si>
  <si>
    <r>
      <rPr>
        <vertAlign val="superscript"/>
        <sz val="9"/>
        <rFont val="Calibri"/>
        <family val="2"/>
        <scheme val="minor"/>
      </rPr>
      <t>1</t>
    </r>
    <r>
      <rPr>
        <sz val="9"/>
        <rFont val="Calibri"/>
        <family val="2"/>
        <scheme val="minor"/>
      </rPr>
      <t xml:space="preserve"> Savings were determined using an average savings percentage of 35% from five (5) PTAC case studies documented in a 2016 Pacific Gas &amp; Electric (PG&amp;E) Non-DEER Workpaper applied to consumption estimates from Hawai‘i commercial prototype hourly load profiles from the U.S. DOE OpenEI Data Catalog. Demand reductions were then determined using the method recommended by the PG&amp;E workpaper and coincidence factors determined from Hawai‘i hourly load profiles.</t>
    </r>
  </si>
  <si>
    <t>FEMP Case Study.  The Music Road Hotel, “Demonstration and Evaluation of HVAC Controller for Lodging Facilities”, July 2002.</t>
  </si>
  <si>
    <t>QuEST PTAC Controls Program, Technical Work Paper (PG&amp;E): HOSPITALITY – PTAC QUEST).doc</t>
  </si>
  <si>
    <t>BC Hydro M&amp;V Study.  The Blue Horizon Hotel, “Two Passive Infrared Motion Sensor Systems for in Room Energy Hotel Management” November 2007.</t>
  </si>
  <si>
    <t>KEMA Focus On Energy Evaluation, WI:  bpdeemedsavingsmanuav10_evaluationreport.pdf.</t>
  </si>
  <si>
    <r>
      <rPr>
        <vertAlign val="superscript"/>
        <sz val="9"/>
        <color theme="1"/>
        <rFont val="Calibri"/>
        <family val="2"/>
        <scheme val="minor"/>
      </rPr>
      <t>1</t>
    </r>
    <r>
      <rPr>
        <sz val="9"/>
        <color theme="1"/>
        <rFont val="Calibri"/>
        <family val="2"/>
        <scheme val="minor"/>
      </rPr>
      <t xml:space="preserve">  Weighting assumes 8% 100W eq., 29% 75W eq., 57% 60W eq., 6% 40W eq. based on former Hawai‘i Energy program data for similar lamp types.</t>
    </r>
  </si>
  <si>
    <t>Pin base CFL lamp</t>
  </si>
  <si>
    <t>Incandescent sign, various types ranging from 1x5W to 2x50W</t>
  </si>
  <si>
    <t>Fixture wattage from benchmarking; no change from PY18 TRM</t>
  </si>
  <si>
    <t xml:space="preserve">Hawai‘i Energy offers several types of prescriptive lighting measures for Commercial buildings through the BEEM and BHTR programs. The measures related to replacing lamps and fixtures with LED alternatives of comparable brightness (lumens) are covered here. </t>
  </si>
  <si>
    <t>This measure involves retrofitting the linear fluorescent lighting system within an existing low or medium temperature refrigerated case with efficient LED refrigerated case lighting.</t>
  </si>
  <si>
    <t>New refrigerated cases do not qualify for this measure. The qualifying technology must be specifically designed for refrigerated case lighting applications. For example, lamps in the DLC "General Application: Case Lighting" category qualify. An equivalent category of lamps rated by ENERGY STAR or Lighting Facts may qualify as well, pending Program approval.</t>
  </si>
  <si>
    <r>
      <t>The pre-existing baseline (kW</t>
    </r>
    <r>
      <rPr>
        <vertAlign val="subscript"/>
        <sz val="9"/>
        <color theme="1"/>
        <rFont val="Calibri"/>
        <family val="2"/>
        <scheme val="minor"/>
      </rPr>
      <t>base,1</t>
    </r>
    <r>
      <rPr>
        <sz val="9"/>
        <color theme="1"/>
        <rFont val="Calibri"/>
        <family val="2"/>
        <scheme val="minor"/>
      </rPr>
      <t>) consists of a 60%/40% T8/T12 blend.</t>
    </r>
  </si>
  <si>
    <r>
      <rPr>
        <vertAlign val="superscript"/>
        <sz val="9"/>
        <color theme="1"/>
        <rFont val="Calibri"/>
        <family val="2"/>
        <scheme val="minor"/>
      </rPr>
      <t>1</t>
    </r>
    <r>
      <rPr>
        <sz val="9"/>
        <color theme="1"/>
        <rFont val="Calibri"/>
        <family val="2"/>
        <scheme val="minor"/>
      </rPr>
      <t xml:space="preserve"> From RTF 2018 Workbook. EERs are the regional weighted averages from Standard Information Workbook v3.2. A future update to the Hawai‘i TRM should include Hawai‘i-specific EER data from market research.</t>
    </r>
  </si>
  <si>
    <r>
      <t>Based on Rated Lamp Life</t>
    </r>
    <r>
      <rPr>
        <vertAlign val="superscript"/>
        <sz val="10.5"/>
        <color theme="1"/>
        <rFont val="Calibri"/>
        <family val="2"/>
        <scheme val="minor"/>
      </rPr>
      <t>2</t>
    </r>
    <r>
      <rPr>
        <sz val="10.5"/>
        <color theme="1"/>
        <rFont val="Calibri"/>
        <family val="2"/>
        <scheme val="minor"/>
      </rPr>
      <t xml:space="preserve"> of 50,000 hr and HOU of 4,100 hr/yr</t>
    </r>
  </si>
  <si>
    <r>
      <t>DEER2020</t>
    </r>
    <r>
      <rPr>
        <vertAlign val="superscript"/>
        <sz val="10.5"/>
        <color theme="1"/>
        <rFont val="Calibri"/>
        <family val="2"/>
        <scheme val="minor"/>
      </rPr>
      <t>2</t>
    </r>
    <r>
      <rPr>
        <sz val="10.5"/>
        <color theme="1"/>
        <rFont val="Calibri"/>
        <family val="2"/>
        <scheme val="minor"/>
      </rPr>
      <t xml:space="preserve"> interactive effect factors for San Diego, adjusted to Hawai‘i's weather zone using LBNL simulation results;</t>
    </r>
    <r>
      <rPr>
        <vertAlign val="superscript"/>
        <sz val="10.5"/>
        <color theme="1"/>
        <rFont val="Calibri"/>
        <family val="2"/>
        <scheme val="minor"/>
      </rPr>
      <t>3</t>
    </r>
    <r>
      <rPr>
        <sz val="10.5"/>
        <color theme="1"/>
        <rFont val="Calibri"/>
        <family val="2"/>
        <scheme val="minor"/>
      </rPr>
      <t xml:space="preserve"> Assumes 50% of spaces with occupancy sensors are air conditioned</t>
    </r>
  </si>
  <si>
    <r>
      <t>AEG's analysis of DOE's OpenEI load shapes using Hawai‘i-specific prototypes, weather data, and peak demand period, adjusted to specific lighting types</t>
    </r>
    <r>
      <rPr>
        <vertAlign val="superscript"/>
        <sz val="10.5"/>
        <color theme="1"/>
        <rFont val="Calibri"/>
        <family val="2"/>
        <scheme val="minor"/>
      </rPr>
      <t>1</t>
    </r>
  </si>
  <si>
    <r>
      <t>DEER2020</t>
    </r>
    <r>
      <rPr>
        <vertAlign val="superscript"/>
        <sz val="10.5"/>
        <color theme="1"/>
        <rFont val="Calibri"/>
        <family val="2"/>
        <scheme val="minor"/>
      </rPr>
      <t>2</t>
    </r>
    <r>
      <rPr>
        <sz val="10.5"/>
        <color theme="1"/>
        <rFont val="Calibri"/>
        <family val="2"/>
        <scheme val="minor"/>
      </rPr>
      <t xml:space="preserve"> hours of use with no occupancy sensors for San Diego (CA's southern-most latitude)</t>
    </r>
  </si>
  <si>
    <r>
      <rPr>
        <vertAlign val="superscript"/>
        <sz val="9"/>
        <color theme="1"/>
        <rFont val="Calibri"/>
        <family val="2"/>
        <scheme val="minor"/>
      </rPr>
      <t>1</t>
    </r>
    <r>
      <rPr>
        <sz val="9"/>
        <color theme="1"/>
        <rFont val="Calibri"/>
        <family val="2"/>
        <scheme val="minor"/>
      </rPr>
      <t xml:space="preserve"> This approach assumes that the occupancy pattern during 5-9 pm is consistent with rest of day, which may not be the case for some building types (e.g., offices). Overall, this is likely to yield conservative values for CF.</t>
    </r>
  </si>
  <si>
    <t xml:space="preserve">Hawai‘i Energy has moved the Residential New Construction incentive from previous TRM versions to a custom incentive due to the complex and unique nature of these projects.  Residential homes vary in size, orientation, construction, and equipment and therefore require a customized approach when estimating energy savings.  Residential New Construction projects may include a subset of prescriptive measures, such as ENERGY STAR appliances, which may still be rebated on a prescriptive basis.  </t>
  </si>
  <si>
    <t>It is assumed that half of all water coolers are ENERGY STAR and half are not:</t>
  </si>
  <si>
    <t>·        50% ENERGY STAR</t>
  </si>
  <si>
    <t>ENERGY STAR Product Specifications for Pool Pumps, Version 2.0, available online at: https://www.energystar.gov/sites/default/files/ENERGY%20STAR%20Final%20Version%202.0%20Pool%20Pumps%20Specification.pdf.</t>
  </si>
  <si>
    <t>Energy Solutions Report on RPP - Citing EPA Internal Analysis of ENERGY STAR V2.0 Soundbars.2</t>
  </si>
  <si>
    <t>ENERGY STAR Assumption - Via NEEP Mid-Atlantic TRM Version 6</t>
  </si>
  <si>
    <t>Replacement of exterior High Intensity Discharge (HID) fixtures with LED luminaires in outdoor street and exterior area applications. Other types of exterior lighting may be addressed with a custom approach.</t>
  </si>
  <si>
    <t>This measure is for wall switch sensors that control the use of lighting in areas around the facility with variable use.</t>
  </si>
  <si>
    <t>Stairwell lighting typically operates continuously at full output despite very low, intermittent use. Bi-level stairwell dimming lights utilize either an ultrasonic or infrared motion sensor to detect motion in stairwells. Solid state controls are used to dim fixtures to lower light levels when a space is unoccupied. This measure may also include the installation of a new efficient fixture along with bi-level dimming controls.</t>
  </si>
  <si>
    <r>
      <t>%</t>
    </r>
    <r>
      <rPr>
        <vertAlign val="subscript"/>
        <sz val="10.5"/>
        <color theme="1"/>
        <rFont val="Calibri"/>
        <family val="2"/>
        <scheme val="minor"/>
      </rPr>
      <t>time,full</t>
    </r>
  </si>
  <si>
    <r>
      <t>%</t>
    </r>
    <r>
      <rPr>
        <vertAlign val="subscript"/>
        <sz val="10.5"/>
        <color theme="1"/>
        <rFont val="Calibri"/>
        <family val="2"/>
        <scheme val="minor"/>
      </rPr>
      <t>time,dim</t>
    </r>
  </si>
  <si>
    <r>
      <t>Hawai‘i Energy PY17 installation data for measure; assumes LED driver efficiency of 0.89 (driver efficiency from RTF 2018 workbook</t>
    </r>
    <r>
      <rPr>
        <vertAlign val="superscript"/>
        <sz val="10.5"/>
        <color theme="1"/>
        <rFont val="Calibri"/>
        <family val="2"/>
        <scheme val="minor"/>
      </rPr>
      <t>1</t>
    </r>
    <r>
      <rPr>
        <sz val="10.5"/>
        <color theme="1"/>
        <rFont val="Calibri"/>
        <family val="2"/>
        <scheme val="minor"/>
      </rPr>
      <t>)</t>
    </r>
  </si>
  <si>
    <t>High efficiency equipment is a new Solar Water Heater with electric backup designed for a 90% Solar Fraction. The Solar Water Heating collectors must meet the Solar Rating and Certification Corporation (SRCC™) OG-100 standard. OG-300 certification for the solar water heating system is not required. Solar Water Heating systems use solar thermal energy to meet most of the water heating load and continue to utilize electricity to operate the circulation pump and provide heating through an electric resistance element when needed.</t>
  </si>
  <si>
    <t>Baseline Annual Energy Use, kWh/hr</t>
  </si>
  <si>
    <t>Efficient Case Annual Energy Use, kWh/hr</t>
  </si>
  <si>
    <t>SF</t>
  </si>
  <si>
    <t>Solar fraction</t>
  </si>
  <si>
    <r>
      <t>EF</t>
    </r>
    <r>
      <rPr>
        <vertAlign val="subscript"/>
        <sz val="10.5"/>
        <color theme="1"/>
        <rFont val="Calibri"/>
        <family val="2"/>
      </rPr>
      <t>SWH</t>
    </r>
  </si>
  <si>
    <t>Typical value for electric resistance water heating; equal to efficiency assumption of 0.9 from PY18 TRM</t>
  </si>
  <si>
    <r>
      <t>kW</t>
    </r>
    <r>
      <rPr>
        <vertAlign val="subscript"/>
        <sz val="10.5"/>
        <color theme="1"/>
        <rFont val="Calibri"/>
        <family val="2"/>
      </rPr>
      <t>pump</t>
    </r>
  </si>
  <si>
    <t>Circulation pump demand</t>
  </si>
  <si>
    <r>
      <t>HOU</t>
    </r>
    <r>
      <rPr>
        <vertAlign val="subscript"/>
        <sz val="10.5"/>
        <color theme="1"/>
        <rFont val="Calibri"/>
        <family val="2"/>
      </rPr>
      <t>pump</t>
    </r>
  </si>
  <si>
    <t>Pump hours of operation</t>
  </si>
  <si>
    <t>Energy factor of solar water heater when using back-up electric resistance heating</t>
  </si>
  <si>
    <t>User input (default = 0.9)</t>
  </si>
  <si>
    <t>Program requirement is 0.9</t>
  </si>
  <si>
    <t>Honolulu</t>
  </si>
  <si>
    <t>Honolulu Non-Military 
(SF or MF)</t>
  </si>
  <si>
    <t>Enter Solar Fraction for new Solar Water Heater (default of 0.9)</t>
  </si>
  <si>
    <t>Enter County (default of Honolulu)</t>
  </si>
  <si>
    <r>
      <t>T</t>
    </r>
    <r>
      <rPr>
        <vertAlign val="subscript"/>
        <sz val="11"/>
        <color theme="1"/>
        <rFont val="Calibri"/>
        <family val="2"/>
        <scheme val="minor"/>
      </rPr>
      <t>in</t>
    </r>
    <r>
      <rPr>
        <sz val="11"/>
        <color theme="1"/>
        <rFont val="Calibri"/>
        <family val="2"/>
        <scheme val="minor"/>
      </rPr>
      <t xml:space="preserve"> =</t>
    </r>
  </si>
  <si>
    <r>
      <t xml:space="preserve">The semi-prescriptive approach presented here is reserved for smaller, simpler systems where the baseline Electric Storage Water Heater has an input rating of 12 kW (40,950 Btu/hr) or less and the square footage of the building or area served by the solar water heating system is known. </t>
    </r>
    <r>
      <rPr>
        <b/>
        <i/>
        <sz val="11"/>
        <color theme="1"/>
        <rFont val="Calibri"/>
        <family val="2"/>
        <scheme val="minor"/>
      </rPr>
      <t>A fully custom approach should be used for larger or more complex installations, and/or when the water heating load served by the solar water heater is more accurately known.</t>
    </r>
  </si>
  <si>
    <t xml:space="preserve">The Solar Water Heating collectors must meet the Solar Rating and Certification Corporation (SRCC™) OG-100 standard. OG-300 certification for the solar water heating system is not required. </t>
  </si>
  <si>
    <r>
      <t xml:space="preserve">Program requirement of </t>
    </r>
    <r>
      <rPr>
        <sz val="10.5"/>
        <rFont val="Calibri"/>
        <family val="2"/>
      </rPr>
      <t>0.9</t>
    </r>
  </si>
  <si>
    <r>
      <t>Source: KEMA 2005-2007; consistent with residential solar water heating measure</t>
    </r>
    <r>
      <rPr>
        <vertAlign val="superscript"/>
        <sz val="10.5"/>
        <rFont val="Calibri"/>
        <family val="2"/>
        <scheme val="minor"/>
      </rPr>
      <t>3</t>
    </r>
  </si>
  <si>
    <r>
      <rPr>
        <vertAlign val="superscript"/>
        <sz val="9"/>
        <color theme="1"/>
        <rFont val="Calibri"/>
        <family val="2"/>
        <scheme val="minor"/>
      </rPr>
      <t>2</t>
    </r>
    <r>
      <rPr>
        <sz val="9"/>
        <color theme="1"/>
        <rFont val="Calibri"/>
        <family val="2"/>
        <scheme val="minor"/>
      </rPr>
      <t xml:space="preserve"> AEG assumes average hot water use per square footage of commercial building space is similar in California and Hawai‘i.</t>
    </r>
  </si>
  <si>
    <r>
      <rPr>
        <vertAlign val="superscript"/>
        <sz val="9"/>
        <color theme="1"/>
        <rFont val="Calibri"/>
        <family val="2"/>
        <scheme val="minor"/>
      </rPr>
      <t>3</t>
    </r>
    <r>
      <rPr>
        <sz val="9"/>
        <color theme="1"/>
        <rFont val="Calibri"/>
        <family val="2"/>
        <scheme val="minor"/>
      </rPr>
      <t xml:space="preserve"> See "R_WH_SWH" tab for more details. The kW</t>
    </r>
    <r>
      <rPr>
        <vertAlign val="subscript"/>
        <sz val="9"/>
        <color theme="1"/>
        <rFont val="Calibri"/>
        <family val="2"/>
        <scheme val="minor"/>
      </rPr>
      <t>pump</t>
    </r>
    <r>
      <rPr>
        <sz val="9"/>
        <color theme="1"/>
        <rFont val="Calibri"/>
        <family val="2"/>
        <scheme val="minor"/>
      </rPr>
      <t>, HOU</t>
    </r>
    <r>
      <rPr>
        <vertAlign val="subscript"/>
        <sz val="9"/>
        <color theme="1"/>
        <rFont val="Calibri"/>
        <family val="2"/>
        <scheme val="minor"/>
      </rPr>
      <t>pump</t>
    </r>
    <r>
      <rPr>
        <sz val="9"/>
        <color theme="1"/>
        <rFont val="Calibri"/>
        <family val="2"/>
        <scheme val="minor"/>
      </rPr>
      <t>, and PF values should be updated as better data specific to the commercial sector becomes available.</t>
    </r>
  </si>
  <si>
    <t>Enter Solar Fraction for new Solar Water Heater (default of 0.9), SF</t>
  </si>
  <si>
    <r>
      <t>Enter inlet temperature of the water heater, T</t>
    </r>
    <r>
      <rPr>
        <vertAlign val="subscript"/>
        <sz val="11"/>
        <color theme="1"/>
        <rFont val="Calibri"/>
        <family val="2"/>
        <scheme val="minor"/>
      </rPr>
      <t>in</t>
    </r>
    <r>
      <rPr>
        <sz val="11"/>
        <color theme="1"/>
        <rFont val="Calibri"/>
        <family val="2"/>
        <scheme val="minor"/>
      </rPr>
      <t xml:space="preserve"> </t>
    </r>
  </si>
  <si>
    <r>
      <t>(default of 75</t>
    </r>
    <r>
      <rPr>
        <sz val="11"/>
        <color theme="1"/>
        <rFont val="Calibri"/>
        <family val="2"/>
      </rPr>
      <t>°</t>
    </r>
    <r>
      <rPr>
        <sz val="11"/>
        <color theme="1"/>
        <rFont val="Calibri"/>
        <family val="2"/>
        <scheme val="minor"/>
      </rPr>
      <t>F for Honolulu and Hawai‘i Counties, and 71°F for Maui County)</t>
    </r>
  </si>
  <si>
    <r>
      <t>Enter outlet temperature of the water heater (default of 130°F), T</t>
    </r>
    <r>
      <rPr>
        <vertAlign val="subscript"/>
        <sz val="11"/>
        <color theme="1"/>
        <rFont val="Calibri"/>
        <family val="2"/>
        <scheme val="minor"/>
      </rPr>
      <t>out</t>
    </r>
  </si>
  <si>
    <t>Energy factor of the baseline equipment</t>
  </si>
  <si>
    <t>M</t>
  </si>
  <si>
    <r>
      <t xml:space="preserve">1.0 for </t>
    </r>
    <r>
      <rPr>
        <sz val="10.5"/>
        <color theme="1"/>
        <rFont val="Calibri"/>
        <family val="2"/>
      </rPr>
      <t>small; 1.5 for medium</t>
    </r>
  </si>
  <si>
    <t>Multiplier to scale circulation pump energy use for medium-sized systems</t>
  </si>
  <si>
    <r>
      <rPr>
        <vertAlign val="superscript"/>
        <sz val="9"/>
        <color theme="1"/>
        <rFont val="Calibri"/>
        <family val="2"/>
        <scheme val="minor"/>
      </rPr>
      <t>4</t>
    </r>
    <r>
      <rPr>
        <sz val="9"/>
        <color theme="1"/>
        <rFont val="Calibri"/>
        <family val="2"/>
        <scheme val="minor"/>
      </rPr>
      <t xml:space="preserve"> Small systems are defined as those with a baseline electric storage water heater of </t>
    </r>
    <r>
      <rPr>
        <sz val="9"/>
        <color theme="1"/>
        <rFont val="Calibri"/>
        <family val="2"/>
      </rPr>
      <t>≤ 55 gal. Medium systems are defined as those with a baseline electric storage water heater of &gt;55 gal and input rating ≤ 12 kW. Larger systems are to be treated with a custom approach. The approach to estimate circulation pump energy use for commercial applications should be updated as better data specific to the commercial sector becomes available.</t>
    </r>
  </si>
  <si>
    <t>M=</t>
  </si>
  <si>
    <t>AEG's 2018 Analysis Files titled 1) "AEG HPUC Update of Com-Solar Water Heater - Analysis file" and 2) "R&amp;C Solar Water Heater - v2 Solar Fraction."</t>
  </si>
  <si>
    <r>
      <t>Assumes small commercial systems have same circulation pump energy requirements as residential systems and medium commercial systems have greater (1.5X) circulation pump energy requirements</t>
    </r>
    <r>
      <rPr>
        <vertAlign val="superscript"/>
        <sz val="10.5"/>
        <rFont val="Calibri"/>
        <family val="2"/>
        <scheme val="minor"/>
      </rPr>
      <t>4</t>
    </r>
  </si>
  <si>
    <t>If nameplate rated motor efficiency is missing, this table may be used as a source of motor efficiency. Many motors manufactured after Jun 1, 2016 must now meet NEMA premium efficiency requirements. (For the current Federal codes, see https://www.ecfr.gov/cgi-bin/retrieveECFR?n=pt10.3.431#se10.3.431_125.)</t>
  </si>
  <si>
    <t>Early replacement projects require a dual baseline. The first baseline is the pre-existing equipment, which has been estimated as a blend of 40% T12 and 60% T8 fluorescent lamps. The pre-existing equipment is assumed to have a remaining useful life (RUL) of one-third of the Effective Useful Life (EUL) of the fluorescent lamps. The second baseline must comply with the current federal code for general service fluorescent lamps that took effect on January 26, 2018 (10 CFR 430.32(n), paragraph (4)). Only lamps that are in working order at the time of the replacement qualify for early replacement. If the pre-existing lamps cannot be verified to be in working order, a replace on burnout (ROB) baseline must be used.</t>
  </si>
  <si>
    <r>
      <t xml:space="preserve">Baseline equipment for the semi-prescriptive approach is an Electric Storage Water Heater with an input rating of 12 kW (40,950 Btu/hr) or less that meets current Federal codes and standards, which were effective April 16, 2015. (Commercial water heaters with an input rating of </t>
    </r>
    <r>
      <rPr>
        <sz val="11"/>
        <color theme="1"/>
        <rFont val="Calibri"/>
        <family val="2"/>
      </rPr>
      <t xml:space="preserve">≤ 12 kW must meet the Residential standards per a ruling by the Department of Energy.) </t>
    </r>
  </si>
  <si>
    <t xml:space="preserve">ROB projects have a single baseline. The baseline must comply with current federal codes and standards for general service fluorescent lamps, which took effect January 26, 2018. </t>
  </si>
  <si>
    <t>The base case for the new unit is the current federal requirement (National Appliance Energy Conservation Act, or NAECA, 2011) for a refrigerator/freezer, effective as of September 15, 2014.  The base case for a turned-in unit is the pre-existing refrigerator/freezer.</t>
  </si>
  <si>
    <t xml:space="preserve">The efficient case for the new unit is an ENERGY STAR v5.0 qualified refrigerator/freezer, which has an efficiency criteria of 10 percent less energy use than minimum federal requirements.  </t>
  </si>
  <si>
    <t>The base case (minimum federal requirement) and efficient case (ENERGY STAR) for a new refrigerator/freezer are based on the adjusted volume (AV) in cubic feet of the unit. The adjusted volume is calculated as follows (see Equations 1 and 2):</t>
  </si>
  <si>
    <t>Federal requirements as of September 15, 2014</t>
  </si>
  <si>
    <r>
      <t>Minimum federal requirements effective April 16, 2015</t>
    </r>
    <r>
      <rPr>
        <vertAlign val="superscript"/>
        <sz val="10.5"/>
        <rFont val="Calibri"/>
        <family val="2"/>
        <scheme val="minor"/>
      </rPr>
      <t>1</t>
    </r>
  </si>
  <si>
    <t>The factor used to determine the coincident peak demand reduction. It represents the fraction of the full load demand that corresponds with utility system peak period. Range = 0-1. See also “System Peak Period” and “Coincident Peak Demand Reduction” definitions.</t>
  </si>
  <si>
    <t>RESIDENTIAL: Window AC</t>
  </si>
  <si>
    <t>Dehumidifier</t>
  </si>
  <si>
    <t>Air Purifier</t>
  </si>
  <si>
    <t>RESIDENTIAL: Air Purifier</t>
  </si>
  <si>
    <t>Energy efficient domestic room air purifier.</t>
  </si>
  <si>
    <t>Air purifier must be ENERGY STAR certified.</t>
  </si>
  <si>
    <t>CADR</t>
  </si>
  <si>
    <t>Baseline efficiency rating</t>
  </si>
  <si>
    <t>CADR/W</t>
  </si>
  <si>
    <t>ENERGY STAR: EPA research on available models, 2011.</t>
  </si>
  <si>
    <t>High efficiency rating</t>
  </si>
  <si>
    <t>Baseline standby power</t>
  </si>
  <si>
    <t>High efficiency standby power</t>
  </si>
  <si>
    <t>Equipment annual operating hours</t>
  </si>
  <si>
    <t>Enhanced</t>
  </si>
  <si>
    <t>Operating power</t>
  </si>
  <si>
    <t>Operating energy</t>
  </si>
  <si>
    <t>Standby energy</t>
  </si>
  <si>
    <t>Total energy</t>
  </si>
  <si>
    <t>Room Air Purifier</t>
  </si>
  <si>
    <t>Watt/Kilowatts conversion</t>
  </si>
  <si>
    <t>RESIDENTIAL: Dehumidifier</t>
  </si>
  <si>
    <t>The deployment of an energy efficient domestic dehumidifier.</t>
  </si>
  <si>
    <t>Dehumidifier must be ENERGY STAR certified.</t>
  </si>
  <si>
    <t>See Table</t>
  </si>
  <si>
    <t>pints/day</t>
  </si>
  <si>
    <t>L/kWh</t>
  </si>
  <si>
    <t>Coincidence factor, percent of time equipment load corresponds with utility peak.</t>
  </si>
  <si>
    <t>NREL: Measure Guideline: Supplemental Dehumidification in Warm-Humid Climates. Miami (Climate Zone 1) hours at 60% set point.</t>
  </si>
  <si>
    <t>Liters/pints conversion</t>
  </si>
  <si>
    <t>L/pt</t>
  </si>
  <si>
    <t>Capacity 
(pints/day)</t>
  </si>
  <si>
    <t>Baseline kWh</t>
  </si>
  <si>
    <t>Enhanced kWh</t>
  </si>
  <si>
    <t>Savings kWh</t>
  </si>
  <si>
    <t>≤25</t>
  </si>
  <si>
    <t>&gt; 25 to ≤35</t>
  </si>
  <si>
    <t>&gt; 35 to ≤45</t>
  </si>
  <si>
    <t>&gt; 45 to ≤ 54</t>
  </si>
  <si>
    <t>&gt; 54 to ≤ 75</t>
  </si>
  <si>
    <t>&gt; 75 to ≤ 185</t>
  </si>
  <si>
    <t>1,2. Weighted average of capacities based on units listed in ENERGY STAR Certified Product List. Accessed 2018/09/21.
3. Federal minimum standard efficiency. 
4. ENERGY STAR program criteria efficiency.</t>
  </si>
  <si>
    <t>Window AC w/ and w/o recycling</t>
  </si>
  <si>
    <t>One dehumidifier.</t>
  </si>
  <si>
    <t>Non-ENERGY STAR dehumidifier.</t>
  </si>
  <si>
    <t>ENERGY STAR certified dehumidifier.</t>
  </si>
  <si>
    <t>One unit.</t>
  </si>
  <si>
    <t>Updated in Spring 2019 for PY19 TRM.</t>
  </si>
  <si>
    <t>One lamp.</t>
  </si>
  <si>
    <r>
      <t>η</t>
    </r>
    <r>
      <rPr>
        <vertAlign val="subscript"/>
        <sz val="10.5"/>
        <rFont val="Calibri"/>
        <family val="2"/>
        <scheme val="minor"/>
      </rPr>
      <t>.bs</t>
    </r>
  </si>
  <si>
    <r>
      <t>η</t>
    </r>
    <r>
      <rPr>
        <vertAlign val="subscript"/>
        <sz val="10.5"/>
        <rFont val="Calibri"/>
        <family val="2"/>
        <scheme val="minor"/>
      </rPr>
      <t>.he</t>
    </r>
  </si>
  <si>
    <r>
      <rPr>
        <b/>
        <sz val="10.5"/>
        <rFont val="Calibri"/>
        <family val="2"/>
        <scheme val="minor"/>
      </rPr>
      <t>ΔkW</t>
    </r>
    <r>
      <rPr>
        <b/>
        <vertAlign val="subscript"/>
        <sz val="10.5"/>
        <rFont val="Calibri"/>
        <family val="2"/>
        <scheme val="minor"/>
      </rPr>
      <t>.peak</t>
    </r>
    <r>
      <rPr>
        <sz val="10.5"/>
        <rFont val="Calibri"/>
        <family val="2"/>
        <scheme val="minor"/>
      </rPr>
      <t xml:space="preserve"> =</t>
    </r>
  </si>
  <si>
    <r>
      <t xml:space="preserve">[(CAP </t>
    </r>
    <r>
      <rPr>
        <b/>
        <sz val="10.5"/>
        <color rgb="FFC00000"/>
        <rFont val="Calibri"/>
        <family val="2"/>
        <scheme val="minor"/>
      </rPr>
      <t>*</t>
    </r>
    <r>
      <rPr>
        <sz val="10.5"/>
        <rFont val="Calibri"/>
        <family val="2"/>
        <scheme val="minor"/>
      </rPr>
      <t xml:space="preserve"> 0.473) </t>
    </r>
    <r>
      <rPr>
        <b/>
        <sz val="10.5"/>
        <color rgb="FFC00000"/>
        <rFont val="Calibri"/>
        <family val="2"/>
        <scheme val="minor"/>
      </rPr>
      <t>/</t>
    </r>
    <r>
      <rPr>
        <sz val="10.5"/>
        <rFont val="Calibri"/>
        <family val="2"/>
        <scheme val="minor"/>
      </rPr>
      <t xml:space="preserve"> 24]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.bs</t>
    </r>
    <r>
      <rPr>
        <sz val="10.5"/>
        <rFont val="Calibri"/>
        <family val="2"/>
        <scheme val="minor"/>
      </rPr>
      <t xml:space="preserve">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.he</t>
    </r>
    <r>
      <rPr>
        <sz val="10.5"/>
        <rFont val="Calibri"/>
        <family val="2"/>
        <scheme val="minor"/>
      </rPr>
      <t xml:space="preserve">) </t>
    </r>
    <r>
      <rPr>
        <b/>
        <sz val="10.5"/>
        <color rgb="FFC00000"/>
        <rFont val="Calibri"/>
        <family val="2"/>
        <scheme val="minor"/>
      </rPr>
      <t>*</t>
    </r>
    <r>
      <rPr>
        <sz val="10.5"/>
        <rFont val="Calibri"/>
        <family val="2"/>
        <scheme val="minor"/>
      </rPr>
      <t xml:space="preserve"> CF</t>
    </r>
  </si>
  <si>
    <r>
      <rPr>
        <b/>
        <sz val="10.5"/>
        <rFont val="Calibri"/>
        <family val="2"/>
        <scheme val="minor"/>
      </rPr>
      <t>ΔkWh</t>
    </r>
    <r>
      <rPr>
        <b/>
        <vertAlign val="subscript"/>
        <sz val="10.5"/>
        <rFont val="Calibri"/>
        <family val="2"/>
        <scheme val="minor"/>
      </rPr>
      <t>.annual</t>
    </r>
    <r>
      <rPr>
        <sz val="10.5"/>
        <rFont val="Calibri"/>
        <family val="2"/>
        <scheme val="minor"/>
      </rPr>
      <t xml:space="preserve"> =</t>
    </r>
  </si>
  <si>
    <r>
      <t xml:space="preserve">[(CAP </t>
    </r>
    <r>
      <rPr>
        <b/>
        <sz val="10.5"/>
        <color rgb="FFC00000"/>
        <rFont val="Calibri"/>
        <family val="2"/>
        <scheme val="minor"/>
      </rPr>
      <t>*</t>
    </r>
    <r>
      <rPr>
        <sz val="10.5"/>
        <rFont val="Calibri"/>
        <family val="2"/>
        <scheme val="minor"/>
      </rPr>
      <t xml:space="preserve"> 0.473) </t>
    </r>
    <r>
      <rPr>
        <b/>
        <sz val="10.5"/>
        <color rgb="FFC00000"/>
        <rFont val="Calibri"/>
        <family val="2"/>
        <scheme val="minor"/>
      </rPr>
      <t>/</t>
    </r>
    <r>
      <rPr>
        <sz val="10.5"/>
        <rFont val="Calibri"/>
        <family val="2"/>
        <scheme val="minor"/>
      </rPr>
      <t xml:space="preserve"> 24]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.bs</t>
    </r>
    <r>
      <rPr>
        <sz val="10.5"/>
        <rFont val="Calibri"/>
        <family val="2"/>
        <scheme val="minor"/>
      </rPr>
      <t xml:space="preserve">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.he</t>
    </r>
    <r>
      <rPr>
        <sz val="10.5"/>
        <rFont val="Calibri"/>
        <family val="2"/>
        <scheme val="minor"/>
      </rPr>
      <t xml:space="preserve">) </t>
    </r>
    <r>
      <rPr>
        <b/>
        <sz val="10.5"/>
        <color rgb="FFC00000"/>
        <rFont val="Calibri"/>
        <family val="2"/>
        <scheme val="minor"/>
      </rPr>
      <t>*</t>
    </r>
    <r>
      <rPr>
        <sz val="10.5"/>
        <rFont val="Calibri"/>
        <family val="2"/>
        <scheme val="minor"/>
      </rPr>
      <t xml:space="preserve"> HRS</t>
    </r>
  </si>
  <si>
    <r>
      <rPr>
        <b/>
        <sz val="10.5"/>
        <rFont val="Calibri"/>
        <family val="2"/>
        <scheme val="minor"/>
      </rPr>
      <t>ΔkWh</t>
    </r>
    <r>
      <rPr>
        <b/>
        <vertAlign val="subscript"/>
        <sz val="10.5"/>
        <rFont val="Calibri"/>
        <family val="2"/>
        <scheme val="minor"/>
      </rPr>
      <t>.lifetime</t>
    </r>
    <r>
      <rPr>
        <sz val="10.5"/>
        <rFont val="Calibri"/>
        <family val="2"/>
        <scheme val="minor"/>
      </rPr>
      <t xml:space="preserve"> =</t>
    </r>
  </si>
  <si>
    <r>
      <t xml:space="preserve">Avg. Capacity </t>
    </r>
    <r>
      <rPr>
        <b/>
        <u/>
        <vertAlign val="superscript"/>
        <sz val="10.5"/>
        <rFont val="Calibri"/>
        <family val="2"/>
        <scheme val="minor"/>
      </rPr>
      <t>1</t>
    </r>
    <r>
      <rPr>
        <b/>
        <u/>
        <sz val="10.5"/>
        <rFont val="Calibri"/>
        <family val="2"/>
        <scheme val="minor"/>
      </rPr>
      <t xml:space="preserve">
(pints/day)</t>
    </r>
  </si>
  <si>
    <r>
      <t xml:space="preserve">ENERGY STAR Product % </t>
    </r>
    <r>
      <rPr>
        <b/>
        <u/>
        <vertAlign val="superscript"/>
        <sz val="10.5"/>
        <rFont val="Calibri"/>
        <family val="2"/>
        <scheme val="minor"/>
      </rPr>
      <t>2</t>
    </r>
  </si>
  <si>
    <r>
      <t xml:space="preserve">Baseline Efficiency </t>
    </r>
    <r>
      <rPr>
        <b/>
        <vertAlign val="superscript"/>
        <sz val="10.5"/>
        <rFont val="Calibri"/>
        <family val="2"/>
        <scheme val="minor"/>
      </rPr>
      <t>3</t>
    </r>
    <r>
      <rPr>
        <b/>
        <sz val="10.5"/>
        <rFont val="Calibri"/>
        <family val="2"/>
        <scheme val="minor"/>
      </rPr>
      <t xml:space="preserve">
(≥ L/kWh)</t>
    </r>
  </si>
  <si>
    <r>
      <t xml:space="preserve">Enhanced Efficiency </t>
    </r>
    <r>
      <rPr>
        <b/>
        <vertAlign val="superscript"/>
        <sz val="10.5"/>
        <rFont val="Calibri"/>
        <family val="2"/>
        <scheme val="minor"/>
      </rPr>
      <t>4</t>
    </r>
    <r>
      <rPr>
        <b/>
        <sz val="10.5"/>
        <rFont val="Calibri"/>
        <family val="2"/>
        <scheme val="minor"/>
      </rPr>
      <t xml:space="preserve">
(≥ L/kWh)</t>
    </r>
  </si>
  <si>
    <r>
      <rPr>
        <vertAlign val="superscript"/>
        <sz val="9"/>
        <color theme="1"/>
        <rFont val="Calibri"/>
        <family val="2"/>
      </rPr>
      <t>1</t>
    </r>
    <r>
      <rPr>
        <sz val="9"/>
        <color theme="1"/>
        <rFont val="Calibri"/>
        <family val="2"/>
      </rPr>
      <t xml:space="preserve"> Per the approach in previous versions of the Hawai‘i TRM, the Non-Military HOU has been multiplied by a factor of 1.5 to obtain the Military HOU .</t>
    </r>
  </si>
  <si>
    <r>
      <rPr>
        <vertAlign val="superscript"/>
        <sz val="9"/>
        <color theme="1"/>
        <rFont val="Calibri"/>
        <family val="2"/>
      </rPr>
      <t>2</t>
    </r>
    <r>
      <rPr>
        <sz val="9"/>
        <color theme="1"/>
        <rFont val="Calibri"/>
        <family val="2"/>
      </rPr>
      <t xml:space="preserve"> LED wattages and % breakdowns by lighting type are from actual Hawai‘i Energy Program Data (per description in PY15-PY18 TRMs)</t>
    </r>
  </si>
  <si>
    <t>3,185 hrs / 8,760 hrs</t>
  </si>
  <si>
    <t xml:space="preserve">AEG's 2019 Analysis File titled "New Residential Measures Summary - AEG Analysis file." </t>
  </si>
  <si>
    <t>U.S. Department of Energy, Energy Efficiency &amp; Renewable Energy, Building Technologies Office, Measure Guideline: Supplemental Dehumidification in Warm-Humid Climates, Armin Rudd, Building Science Corporation, October 2014, available here: https://www.nrel.gov/docs/fy15osti/62677.pdf.</t>
  </si>
  <si>
    <t>ENERGY STAR, Dehumidifiers, webpage, https://www.energystar.gov/products/appliances/dehumidifiers.</t>
  </si>
  <si>
    <t>ENERGY STAR, Appliance Calculator, available here: https://www.energystar.gov/sites/default/files/asset/.../appliance_calculator.xlsx.</t>
  </si>
  <si>
    <t>ENERGY STAR Appliance Calculator: EPA Research, 2012.</t>
  </si>
  <si>
    <t>Code of Federal Regulations, Title 10, Part 430, Subpart C.</t>
  </si>
  <si>
    <t>One air purifier.</t>
  </si>
  <si>
    <t>Non-ENERGY STAR air purifier.</t>
  </si>
  <si>
    <t>ENERGY STAR certified air purifier.</t>
  </si>
  <si>
    <r>
      <t xml:space="preserve">{CAP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.bs</t>
    </r>
    <r>
      <rPr>
        <sz val="10.5"/>
        <rFont val="Calibri"/>
        <family val="2"/>
        <scheme val="minor"/>
      </rPr>
      <t xml:space="preserve">) </t>
    </r>
    <r>
      <rPr>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.he</t>
    </r>
    <r>
      <rPr>
        <sz val="10.5"/>
        <rFont val="Calibri"/>
        <family val="2"/>
        <scheme val="minor"/>
      </rPr>
      <t xml:space="preserve">)]} </t>
    </r>
    <r>
      <rPr>
        <b/>
        <sz val="10.5"/>
        <color rgb="FFC00000"/>
        <rFont val="Calibri"/>
        <family val="2"/>
        <scheme val="minor"/>
      </rPr>
      <t>/</t>
    </r>
    <r>
      <rPr>
        <sz val="10.5"/>
        <rFont val="Calibri"/>
        <family val="2"/>
        <scheme val="minor"/>
      </rPr>
      <t xml:space="preserve"> 1000 </t>
    </r>
    <r>
      <rPr>
        <b/>
        <sz val="10.5"/>
        <color rgb="FFC00000"/>
        <rFont val="Calibri"/>
        <family val="2"/>
        <scheme val="minor"/>
      </rPr>
      <t>*</t>
    </r>
    <r>
      <rPr>
        <sz val="10.5"/>
        <rFont val="Calibri"/>
        <family val="2"/>
        <scheme val="minor"/>
      </rPr>
      <t xml:space="preserve"> CF</t>
    </r>
  </si>
  <si>
    <r>
      <t xml:space="preserve">{HRS </t>
    </r>
    <r>
      <rPr>
        <b/>
        <sz val="10.5"/>
        <color rgb="FFC00000"/>
        <rFont val="Calibri"/>
        <family val="2"/>
        <scheme val="minor"/>
      </rPr>
      <t>*</t>
    </r>
    <r>
      <rPr>
        <sz val="10.5"/>
        <rFont val="Calibri"/>
        <family val="2"/>
        <scheme val="minor"/>
      </rPr>
      <t xml:space="preserve"> CAP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.bs</t>
    </r>
    <r>
      <rPr>
        <sz val="10.5"/>
        <rFont val="Calibri"/>
        <family val="2"/>
        <scheme val="minor"/>
      </rPr>
      <t xml:space="preserve">)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.he</t>
    </r>
    <r>
      <rPr>
        <sz val="10.5"/>
        <rFont val="Calibri"/>
        <family val="2"/>
        <scheme val="minor"/>
      </rPr>
      <t xml:space="preserve">)] </t>
    </r>
    <r>
      <rPr>
        <b/>
        <sz val="10.5"/>
        <color rgb="FFC00000"/>
        <rFont val="Calibri"/>
        <family val="2"/>
        <scheme val="minor"/>
      </rPr>
      <t>+</t>
    </r>
    <r>
      <rPr>
        <sz val="10.5"/>
        <rFont val="Calibri"/>
        <family val="2"/>
        <scheme val="minor"/>
      </rPr>
      <t xml:space="preserve"> (8760 </t>
    </r>
    <r>
      <rPr>
        <b/>
        <sz val="10.5"/>
        <rFont val="Calibri"/>
        <family val="2"/>
        <scheme val="minor"/>
      </rPr>
      <t>-</t>
    </r>
    <r>
      <rPr>
        <sz val="10.5"/>
        <rFont val="Calibri"/>
        <family val="2"/>
        <scheme val="minor"/>
      </rPr>
      <t xml:space="preserve"> HRS) </t>
    </r>
    <r>
      <rPr>
        <b/>
        <sz val="10.5"/>
        <color rgb="FFC00000"/>
        <rFont val="Calibri"/>
        <family val="2"/>
        <scheme val="minor"/>
      </rPr>
      <t>*</t>
    </r>
    <r>
      <rPr>
        <sz val="10.5"/>
        <rFont val="Calibri"/>
        <family val="2"/>
        <scheme val="minor"/>
      </rPr>
      <t xml:space="preserve"> (P</t>
    </r>
    <r>
      <rPr>
        <vertAlign val="subscript"/>
        <sz val="10.5"/>
        <rFont val="Calibri"/>
        <family val="2"/>
        <scheme val="minor"/>
      </rPr>
      <t>.stdby,bs</t>
    </r>
    <r>
      <rPr>
        <sz val="10.5"/>
        <rFont val="Calibri"/>
        <family val="2"/>
        <scheme val="minor"/>
      </rPr>
      <t xml:space="preserve"> </t>
    </r>
    <r>
      <rPr>
        <b/>
        <sz val="10.5"/>
        <color rgb="FFC00000"/>
        <rFont val="Calibri"/>
        <family val="2"/>
        <scheme val="minor"/>
      </rPr>
      <t>-</t>
    </r>
    <r>
      <rPr>
        <sz val="10.5"/>
        <rFont val="Calibri"/>
        <family val="2"/>
        <scheme val="minor"/>
      </rPr>
      <t xml:space="preserve"> P</t>
    </r>
    <r>
      <rPr>
        <vertAlign val="subscript"/>
        <sz val="10.5"/>
        <rFont val="Calibri"/>
        <family val="2"/>
        <scheme val="minor"/>
      </rPr>
      <t>.stdby,he</t>
    </r>
    <r>
      <rPr>
        <sz val="10.5"/>
        <rFont val="Calibri"/>
        <family val="2"/>
        <scheme val="minor"/>
      </rPr>
      <t xml:space="preserve">)} </t>
    </r>
    <r>
      <rPr>
        <b/>
        <sz val="10.5"/>
        <color rgb="FFC00000"/>
        <rFont val="Calibri"/>
        <family val="2"/>
        <scheme val="minor"/>
      </rPr>
      <t>/</t>
    </r>
    <r>
      <rPr>
        <sz val="10.5"/>
        <rFont val="Calibri"/>
        <family val="2"/>
        <scheme val="minor"/>
      </rPr>
      <t xml:space="preserve"> 1000</t>
    </r>
  </si>
  <si>
    <r>
      <t>P</t>
    </r>
    <r>
      <rPr>
        <vertAlign val="subscript"/>
        <sz val="10.5"/>
        <rFont val="Calibri"/>
        <family val="2"/>
        <scheme val="minor"/>
      </rPr>
      <t>.stdby,bs</t>
    </r>
  </si>
  <si>
    <r>
      <t>P</t>
    </r>
    <r>
      <rPr>
        <vertAlign val="subscript"/>
        <sz val="10.5"/>
        <rFont val="Calibri"/>
        <family val="2"/>
        <scheme val="minor"/>
      </rPr>
      <t>.stdby,he</t>
    </r>
  </si>
  <si>
    <t>ENERGY STAR v5.0 certified.</t>
  </si>
  <si>
    <t>One refrigerator/freezer.</t>
  </si>
  <si>
    <t>ENERGY STAR Appliance Calculator.</t>
  </si>
  <si>
    <t>ENERGY STAR Appliance Calculator: EPA research on available models, 2011.</t>
  </si>
  <si>
    <t>ENERGY STAR Appliance Calculator: 16 hrs/day, 365 days/year.</t>
  </si>
  <si>
    <t>Based on 16 hrs/day.</t>
  </si>
  <si>
    <t>DEER 2020 for "Res-AirCleaner" measure.</t>
  </si>
  <si>
    <t>Default capacity in ENERGY STAR Appliance Calculator.</t>
  </si>
  <si>
    <t>ENERGY STAR, Air Purifiers (Cleaners), webpage, https://www.energystar.gov/products/appliances/air_purifiers_cleaners.</t>
  </si>
  <si>
    <r>
      <t>ΔkWh</t>
    </r>
    <r>
      <rPr>
        <vertAlign val="subscript"/>
        <sz val="10.5"/>
        <rFont val="Calibri"/>
        <family val="2"/>
        <scheme val="minor"/>
      </rPr>
      <t>.annual</t>
    </r>
    <r>
      <rPr>
        <sz val="10.5"/>
        <rFont val="Calibri"/>
        <family val="2"/>
        <scheme val="minor"/>
      </rPr>
      <t xml:space="preserve"> </t>
    </r>
    <r>
      <rPr>
        <b/>
        <sz val="10.5"/>
        <color rgb="FFC00000"/>
        <rFont val="Calibri"/>
        <family val="2"/>
        <scheme val="minor"/>
      </rPr>
      <t>*</t>
    </r>
    <r>
      <rPr>
        <sz val="10.5"/>
        <color rgb="FFC00000"/>
        <rFont val="Calibri"/>
        <family val="2"/>
        <scheme val="minor"/>
      </rPr>
      <t xml:space="preserve"> </t>
    </r>
    <r>
      <rPr>
        <sz val="10.5"/>
        <rFont val="Calibri"/>
        <family val="2"/>
        <scheme val="minor"/>
      </rPr>
      <t>EUL</t>
    </r>
  </si>
  <si>
    <r>
      <t>ΔkWh</t>
    </r>
    <r>
      <rPr>
        <vertAlign val="subscript"/>
        <sz val="10.5"/>
        <rFont val="Calibri"/>
        <family val="2"/>
        <scheme val="minor"/>
      </rPr>
      <t>.annual</t>
    </r>
    <r>
      <rPr>
        <sz val="10.5"/>
        <rFont val="Calibri"/>
        <family val="2"/>
        <scheme val="minor"/>
      </rPr>
      <t xml:space="preserve"> </t>
    </r>
    <r>
      <rPr>
        <b/>
        <sz val="10.5"/>
        <color rgb="FFC00000"/>
        <rFont val="Calibri"/>
        <family val="2"/>
        <scheme val="minor"/>
      </rPr>
      <t>*</t>
    </r>
    <r>
      <rPr>
        <sz val="10.5"/>
        <rFont val="Calibri"/>
        <family val="2"/>
        <scheme val="minor"/>
      </rPr>
      <t xml:space="preserve"> EUL</t>
    </r>
  </si>
  <si>
    <t>Product</t>
  </si>
  <si>
    <t>Standby Devices per Household</t>
  </si>
  <si>
    <t>Power (W)</t>
  </si>
  <si>
    <t>Energy (kWh/yr)</t>
  </si>
  <si>
    <t>Probability</t>
  </si>
  <si>
    <t>Averages:</t>
  </si>
  <si>
    <t>Cooktop,electric</t>
  </si>
  <si>
    <t>Dishwasher</t>
  </si>
  <si>
    <t>Amplifier</t>
  </si>
  <si>
    <t>AudioMinisystem</t>
  </si>
  <si>
    <t>CDPlayer</t>
  </si>
  <si>
    <t>CDPlayer,portable</t>
  </si>
  <si>
    <t>Charger,digitalmusicplayer</t>
  </si>
  <si>
    <t>Equalizer(audio)</t>
  </si>
  <si>
    <t>Hometheatersystem</t>
  </si>
  <si>
    <t>Karaokemachine</t>
  </si>
  <si>
    <t>Musicalkeyboard</t>
  </si>
  <si>
    <t>Radio,table</t>
  </si>
  <si>
    <t>Receiver(audio)</t>
  </si>
  <si>
    <t>Speakers,powered</t>
  </si>
  <si>
    <t>Speakers,wireless(basestation)</t>
  </si>
  <si>
    <t>Speakers,wireless(speakers)</t>
  </si>
  <si>
    <t>Stereo,portable</t>
  </si>
  <si>
    <t>Subwoofer</t>
  </si>
  <si>
    <t>Tuner</t>
  </si>
  <si>
    <t>Turntable(audio)</t>
  </si>
  <si>
    <t>Computer,desktop</t>
  </si>
  <si>
    <t>Computer,integrated(all)</t>
  </si>
  <si>
    <t>Computer,notebook</t>
  </si>
  <si>
    <t>Dock,notebook</t>
  </si>
  <si>
    <t>Computerdisplay,LCD</t>
  </si>
  <si>
    <t>Projector,video</t>
  </si>
  <si>
    <t>Television,LCD</t>
  </si>
  <si>
    <t>Television,plasma</t>
  </si>
  <si>
    <t>Television,rearprojection</t>
  </si>
  <si>
    <t>Clock,alarm</t>
  </si>
  <si>
    <t>Clock,radio</t>
  </si>
  <si>
    <t>Coffeemaker,residential</t>
  </si>
  <si>
    <t>Oven,microwave</t>
  </si>
  <si>
    <t>Ricecooker</t>
  </si>
  <si>
    <t>Toaster</t>
  </si>
  <si>
    <t>Toasteroven</t>
  </si>
  <si>
    <t>Vacuum,central</t>
  </si>
  <si>
    <t>Vacuum,rechargeable</t>
  </si>
  <si>
    <t>Exerciseequipment</t>
  </si>
  <si>
    <t>Ride-ontoycar</t>
  </si>
  <si>
    <t>Spa/hottub</t>
  </si>
  <si>
    <t>Aircleaner,portable</t>
  </si>
  <si>
    <t>Airconditioner,room/wall</t>
  </si>
  <si>
    <t>Ceilingfan</t>
  </si>
  <si>
    <t>Fan,portable</t>
  </si>
  <si>
    <t>Copier</t>
  </si>
  <si>
    <t>Fax,inkjet</t>
  </si>
  <si>
    <t>Fax,laser</t>
  </si>
  <si>
    <t>Fax,thermal</t>
  </si>
  <si>
    <t>Multi-functiondevice,inkjet</t>
  </si>
  <si>
    <t>Multi-functiondevice,laser</t>
  </si>
  <si>
    <t>Printer,inkjet</t>
  </si>
  <si>
    <t>Printer,laser</t>
  </si>
  <si>
    <t>Printer,photo</t>
  </si>
  <si>
    <t>Scanner,flatbed</t>
  </si>
  <si>
    <t>Garagedooropener</t>
  </si>
  <si>
    <t>Motionsensor,interior</t>
  </si>
  <si>
    <t>Nightlight,interior</t>
  </si>
  <si>
    <t>Timer,interior</t>
  </si>
  <si>
    <t>Hub,ethernet</t>
  </si>
  <si>
    <t>Hub,USB</t>
  </si>
  <si>
    <t>Modem,cable</t>
  </si>
  <si>
    <t>Modem,DSL</t>
  </si>
  <si>
    <t>Modem,POTS</t>
  </si>
  <si>
    <t>Modem,satellite</t>
  </si>
  <si>
    <t>Router,ethernet</t>
  </si>
  <si>
    <t>Wirelessaccesspoint</t>
  </si>
  <si>
    <t>Charger,hedgetrimmer</t>
  </si>
  <si>
    <t>Charger,weedtrimmer</t>
  </si>
  <si>
    <t>Lawnmower</t>
  </si>
  <si>
    <t>Timer,irrigation</t>
  </si>
  <si>
    <t>Dock,PDA</t>
  </si>
  <si>
    <t>Externaldrive</t>
  </si>
  <si>
    <t>Speakers,computer</t>
  </si>
  <si>
    <t>Massager</t>
  </si>
  <si>
    <t>Shaver,men's</t>
  </si>
  <si>
    <t>Shaver,women's</t>
  </si>
  <si>
    <t>Toothbrush</t>
  </si>
  <si>
    <t>Securitysystem</t>
  </si>
  <si>
    <t>Set-topbox,analogcable</t>
  </si>
  <si>
    <t>Set-topbox,digitalcable</t>
  </si>
  <si>
    <t>Set-topbox,digitalcablewithPVR</t>
  </si>
  <si>
    <t>Set-topbox,gameconsolewithinternetconnectivity</t>
  </si>
  <si>
    <t>Set-topbox,internet</t>
  </si>
  <si>
    <t>Set-topbox,satellite</t>
  </si>
  <si>
    <t>Set-topbox,satellitewithPVR</t>
  </si>
  <si>
    <t>CallerIDunit</t>
  </si>
  <si>
    <t>Charger,cordlessphonehandset</t>
  </si>
  <si>
    <t>Charger,mobilephone</t>
  </si>
  <si>
    <t>Phone,conference</t>
  </si>
  <si>
    <t>Phone,cordless</t>
  </si>
  <si>
    <t>Golfcart</t>
  </si>
  <si>
    <t>Wheelchair</t>
  </si>
  <si>
    <t>Charger,battery</t>
  </si>
  <si>
    <t>Powertool,cordless</t>
  </si>
  <si>
    <t>Charger,stillcamera</t>
  </si>
  <si>
    <t>Charger,videocamera</t>
  </si>
  <si>
    <t>DVDplayer</t>
  </si>
  <si>
    <t>Gameconsole</t>
  </si>
  <si>
    <t>Video,PVR(nomultifunctionality)</t>
  </si>
  <si>
    <t>Lawrence Berkeley National Laboratory: Low-Power Mode Energy Consumption in California Homes, 2008.</t>
  </si>
  <si>
    <t>Category</t>
  </si>
  <si>
    <t>Audio</t>
  </si>
  <si>
    <t>Computer</t>
  </si>
  <si>
    <t>Display</t>
  </si>
  <si>
    <t>ElectricHousewares</t>
  </si>
  <si>
    <t>Hobby/leisure</t>
  </si>
  <si>
    <t>Imaging</t>
  </si>
  <si>
    <t>Infrastructure</t>
  </si>
  <si>
    <t>Networking</t>
  </si>
  <si>
    <t>OutdoorAppliances</t>
  </si>
  <si>
    <t>Peripherals</t>
  </si>
  <si>
    <t>PersonalCare</t>
  </si>
  <si>
    <t>Power</t>
  </si>
  <si>
    <t>Security</t>
  </si>
  <si>
    <t>Set-top</t>
  </si>
  <si>
    <t>Telephony</t>
  </si>
  <si>
    <t>Transportation</t>
  </si>
  <si>
    <t>Utility</t>
  </si>
  <si>
    <t>Video</t>
  </si>
  <si>
    <t>UninterruptiblePowerSupply(UPS)</t>
  </si>
  <si>
    <t>RESIDENTIAL: Switch Plug</t>
  </si>
  <si>
    <t>A power switch that acts as the interface between the wall outlet and the appliance. It prevents phantom energy drain by disconnecting the attached appliance without having to remove the power cord.</t>
  </si>
  <si>
    <r>
      <t>= (W</t>
    </r>
    <r>
      <rPr>
        <vertAlign val="subscript"/>
        <sz val="11"/>
        <color theme="1"/>
        <rFont val="Calibri"/>
        <family val="2"/>
        <scheme val="minor"/>
      </rPr>
      <t>.stby</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 </t>
    </r>
    <r>
      <rPr>
        <b/>
        <sz val="11"/>
        <color rgb="FFC00000"/>
        <rFont val="Calibri"/>
        <family val="2"/>
        <scheme val="minor"/>
      </rPr>
      <t>/</t>
    </r>
    <r>
      <rPr>
        <sz val="11"/>
        <color theme="1"/>
        <rFont val="Calibri"/>
        <family val="2"/>
        <scheme val="minor"/>
      </rPr>
      <t xml:space="preserve"> 1000</t>
    </r>
  </si>
  <si>
    <r>
      <t>= kWh</t>
    </r>
    <r>
      <rPr>
        <vertAlign val="subscript"/>
        <sz val="11"/>
        <color theme="1"/>
        <rFont val="Calibri"/>
        <family val="2"/>
        <scheme val="minor"/>
      </rPr>
      <t>.stby</t>
    </r>
  </si>
  <si>
    <t>Standby power draw of attached load</t>
  </si>
  <si>
    <t>Annual standby energy consumption of attached load</t>
  </si>
  <si>
    <t>Conversion constant</t>
  </si>
  <si>
    <t>1. Based on data from Lawrence Berkeley National Laboratory: Low-Power Mode Energy Consumption in California Homes, 2008. See accompanying Power Switch Calculation (R_PlugProcess_Power Switch_CALC).</t>
  </si>
  <si>
    <t>Switch Plug</t>
  </si>
  <si>
    <t>One switch.</t>
  </si>
  <si>
    <t>No switch installed.</t>
  </si>
  <si>
    <t>Switch plug installed.</t>
  </si>
  <si>
    <t>lifetime kWh savings</t>
  </si>
  <si>
    <r>
      <t>= kWh</t>
    </r>
    <r>
      <rPr>
        <vertAlign val="subscript"/>
        <sz val="11"/>
        <color theme="1"/>
        <rFont val="Calibri"/>
        <family val="2"/>
        <scheme val="minor"/>
      </rPr>
      <t>.stby</t>
    </r>
    <r>
      <rPr>
        <b/>
        <sz val="11"/>
        <color rgb="FFC00000"/>
        <rFont val="Calibri"/>
        <family val="2"/>
        <scheme val="minor"/>
      </rPr>
      <t xml:space="preserve"> *</t>
    </r>
    <r>
      <rPr>
        <sz val="11"/>
        <color theme="1"/>
        <rFont val="Calibri"/>
        <family val="2"/>
        <scheme val="minor"/>
      </rPr>
      <t xml:space="preserve"> EUL</t>
    </r>
  </si>
  <si>
    <r>
      <t>W</t>
    </r>
    <r>
      <rPr>
        <vertAlign val="subscript"/>
        <sz val="10.5"/>
        <color theme="1"/>
        <rFont val="Calibri"/>
        <family val="2"/>
        <scheme val="minor"/>
      </rPr>
      <t>.stby</t>
    </r>
  </si>
  <si>
    <r>
      <t xml:space="preserve">Determined based on probability of attached equipment type. </t>
    </r>
    <r>
      <rPr>
        <vertAlign val="superscript"/>
        <sz val="10.5"/>
        <rFont val="Calibri"/>
        <family val="2"/>
        <scheme val="minor"/>
      </rPr>
      <t>1</t>
    </r>
  </si>
  <si>
    <r>
      <t>kWh</t>
    </r>
    <r>
      <rPr>
        <vertAlign val="subscript"/>
        <sz val="10.5"/>
        <color theme="1"/>
        <rFont val="Calibri"/>
        <family val="2"/>
        <scheme val="minor"/>
      </rPr>
      <t>.stby</t>
    </r>
  </si>
  <si>
    <t>DEER 2020 for "Res-Plug-AdvPwrStrip" measure.</t>
  </si>
  <si>
    <t>AEG's analysis of DOE's OpenEI load shapes using Hawai‘i-specific prototypes, weather data, and peak demand period.</t>
  </si>
  <si>
    <t>AEG's 2018 Analysis of U.S. Department of Energy's OpenEI Commercial Hourly Load Profiles using Hawai‘i-specific data. OpenEI data files available here: https://openei.org/doe-opendata/dataset/commercial-and-residential-hourly-load-profiles-for-all-tmy3-locations-in-the-united-states. AEG used the residential end-use load profile data for "Miscellaneous" interior equipment for this Switch Plug measure. (See file named "AEG HPUC EFLH and CF Analysis - Non-Holiday Weekdays" for results.)</t>
  </si>
  <si>
    <t>Advanced Power Strip and Switch Plug</t>
  </si>
  <si>
    <t>RESIDENTIAL: Dishwasher</t>
  </si>
  <si>
    <t>An energy efficient, ENERGY STAR-certified dishwasher for use in residential applications.</t>
  </si>
  <si>
    <t>Must have ENERGY STAR certification.</t>
  </si>
  <si>
    <t>Non-ENERGY STAR dishwasher that meets the federal standard.</t>
  </si>
  <si>
    <t>ENERGY STAR certified dishwasher that exceeds the federal standard.</t>
  </si>
  <si>
    <t>Annual energy usage of standard non-ES dishwasher.</t>
  </si>
  <si>
    <t>DOE standard effective May 30, 2013.</t>
  </si>
  <si>
    <t>Annual energy usage of standard ES dishwasher.</t>
  </si>
  <si>
    <t>Cycles</t>
  </si>
  <si>
    <t>Number of cycles per year.</t>
  </si>
  <si>
    <t>cycle</t>
  </si>
  <si>
    <t>Hours per dishwashing cycle.</t>
  </si>
  <si>
    <t>hrs / cycle</t>
  </si>
  <si>
    <t>Efficiency Vermont TRM 2015.</t>
  </si>
  <si>
    <r>
      <t>= [</t>
    </r>
    <r>
      <rPr>
        <sz val="11"/>
        <color theme="1"/>
        <rFont val="Calibri"/>
        <family val="2"/>
      </rPr>
      <t>Δ</t>
    </r>
    <r>
      <rPr>
        <sz val="11"/>
        <color theme="1"/>
        <rFont val="Calibri"/>
        <family val="2"/>
        <scheme val="minor"/>
      </rPr>
      <t xml:space="preserve">kWh </t>
    </r>
    <r>
      <rPr>
        <b/>
        <sz val="11"/>
        <color rgb="FFC00000"/>
        <rFont val="Calibri"/>
        <family val="2"/>
        <scheme val="minor"/>
      </rPr>
      <t xml:space="preserve">/ </t>
    </r>
    <r>
      <rPr>
        <sz val="11"/>
        <color theme="1"/>
        <rFont val="Calibri"/>
        <family val="2"/>
        <scheme val="minor"/>
      </rPr>
      <t>(Cycles</t>
    </r>
    <r>
      <rPr>
        <b/>
        <sz val="11"/>
        <color rgb="FFC00000"/>
        <rFont val="Calibri"/>
        <family val="2"/>
        <scheme val="minor"/>
      </rPr>
      <t xml:space="preserve"> *</t>
    </r>
    <r>
      <rPr>
        <sz val="11"/>
        <color theme="1"/>
        <rFont val="Calibri"/>
        <family val="2"/>
        <scheme val="minor"/>
      </rPr>
      <t xml:space="preserve"> HRS</t>
    </r>
    <r>
      <rPr>
        <vertAlign val="subscript"/>
        <sz val="11"/>
        <color theme="1"/>
        <rFont val="Calibri"/>
        <family val="2"/>
        <scheme val="minor"/>
      </rPr>
      <t>.cycle</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t>
    </r>
  </si>
  <si>
    <r>
      <t xml:space="preserve">annual kWh savings, </t>
    </r>
    <r>
      <rPr>
        <b/>
        <sz val="11"/>
        <color theme="1"/>
        <rFont val="Calibri"/>
        <family val="2"/>
      </rPr>
      <t>Δ</t>
    </r>
    <r>
      <rPr>
        <b/>
        <sz val="11"/>
        <color theme="1"/>
        <rFont val="Calibri"/>
        <family val="2"/>
        <scheme val="minor"/>
      </rPr>
      <t>kWh</t>
    </r>
  </si>
  <si>
    <r>
      <t>= (kWh</t>
    </r>
    <r>
      <rPr>
        <vertAlign val="subscript"/>
        <sz val="11"/>
        <color theme="1"/>
        <rFont val="Calibri"/>
        <family val="2"/>
        <scheme val="minor"/>
      </rPr>
      <t>.base,yr</t>
    </r>
    <r>
      <rPr>
        <b/>
        <sz val="11"/>
        <color rgb="FFC00000"/>
        <rFont val="Calibri"/>
        <family val="2"/>
        <scheme val="minor"/>
      </rPr>
      <t xml:space="preserve"> - </t>
    </r>
    <r>
      <rPr>
        <sz val="11"/>
        <color theme="1"/>
        <rFont val="Calibri"/>
        <family val="2"/>
        <scheme val="minor"/>
      </rPr>
      <t>kWh</t>
    </r>
    <r>
      <rPr>
        <vertAlign val="subscript"/>
        <sz val="11"/>
        <color theme="1"/>
        <rFont val="Calibri"/>
        <family val="2"/>
        <scheme val="minor"/>
      </rPr>
      <t>.ee,yr</t>
    </r>
    <r>
      <rPr>
        <sz val="11"/>
        <color theme="1"/>
        <rFont val="Calibri"/>
        <family val="2"/>
        <scheme val="minor"/>
      </rPr>
      <t>)</t>
    </r>
    <r>
      <rPr>
        <b/>
        <sz val="11"/>
        <color rgb="FFC00000"/>
        <rFont val="Calibri"/>
        <family val="2"/>
        <scheme val="minor"/>
      </rPr>
      <t xml:space="preserve"> * </t>
    </r>
    <r>
      <rPr>
        <sz val="11"/>
        <color theme="1"/>
        <rFont val="Calibri"/>
        <family val="2"/>
        <scheme val="minor"/>
      </rPr>
      <t>(%kWh</t>
    </r>
    <r>
      <rPr>
        <vertAlign val="subscript"/>
        <sz val="11"/>
        <color theme="1"/>
        <rFont val="Calibri"/>
        <family val="2"/>
        <scheme val="minor"/>
      </rPr>
      <t>.Op</t>
    </r>
    <r>
      <rPr>
        <b/>
        <sz val="11"/>
        <color rgb="FFC00000"/>
        <rFont val="Calibri"/>
        <family val="2"/>
        <scheme val="minor"/>
      </rPr>
      <t xml:space="preserve"> + </t>
    </r>
    <r>
      <rPr>
        <sz val="11"/>
        <color theme="1"/>
        <rFont val="Calibri"/>
        <family val="2"/>
        <scheme val="minor"/>
      </rPr>
      <t>%kWh</t>
    </r>
    <r>
      <rPr>
        <vertAlign val="subscript"/>
        <sz val="11"/>
        <color theme="1"/>
        <rFont val="Calibri"/>
        <family val="2"/>
        <scheme val="minor"/>
      </rPr>
      <t>.heat</t>
    </r>
    <r>
      <rPr>
        <b/>
        <vertAlign val="subscript"/>
        <sz val="11"/>
        <color rgb="FFC00000"/>
        <rFont val="Calibri"/>
        <family val="2"/>
        <scheme val="minor"/>
      </rPr>
      <t xml:space="preserve"> </t>
    </r>
    <r>
      <rPr>
        <b/>
        <sz val="11"/>
        <color rgb="FFC00000"/>
        <rFont val="Calibri"/>
        <family val="2"/>
        <scheme val="minor"/>
      </rPr>
      <t xml:space="preserve">* </t>
    </r>
    <r>
      <rPr>
        <sz val="11"/>
        <color theme="1"/>
        <rFont val="Calibri"/>
        <family val="2"/>
        <scheme val="minor"/>
      </rPr>
      <t>%DHW</t>
    </r>
    <r>
      <rPr>
        <vertAlign val="subscript"/>
        <sz val="11"/>
        <color theme="1"/>
        <rFont val="Calibri"/>
        <family val="2"/>
        <scheme val="minor"/>
      </rPr>
      <t>.electric</t>
    </r>
    <r>
      <rPr>
        <sz val="11"/>
        <color theme="1"/>
        <rFont val="Calibri"/>
        <family val="2"/>
        <scheme val="minor"/>
      </rPr>
      <t>)</t>
    </r>
  </si>
  <si>
    <r>
      <t>= ΔkWh</t>
    </r>
    <r>
      <rPr>
        <b/>
        <sz val="11"/>
        <color rgb="FFC00000"/>
        <rFont val="Calibri"/>
        <family val="2"/>
        <scheme val="minor"/>
      </rPr>
      <t xml:space="preserve"> * </t>
    </r>
    <r>
      <rPr>
        <sz val="11"/>
        <color theme="1"/>
        <rFont val="Calibri"/>
        <family val="2"/>
        <scheme val="minor"/>
      </rPr>
      <t>EUL</t>
    </r>
  </si>
  <si>
    <r>
      <t>kWh</t>
    </r>
    <r>
      <rPr>
        <vertAlign val="subscript"/>
        <sz val="10.5"/>
        <color theme="1"/>
        <rFont val="Calibri"/>
        <family val="2"/>
        <scheme val="minor"/>
      </rPr>
      <t>.base,yr</t>
    </r>
  </si>
  <si>
    <r>
      <t>kWh</t>
    </r>
    <r>
      <rPr>
        <vertAlign val="subscript"/>
        <sz val="10.5"/>
        <color theme="1"/>
        <rFont val="Calibri"/>
        <family val="2"/>
        <scheme val="minor"/>
      </rPr>
      <t>.ee,yr</t>
    </r>
  </si>
  <si>
    <r>
      <t>HRS</t>
    </r>
    <r>
      <rPr>
        <vertAlign val="subscript"/>
        <sz val="10.5"/>
        <color theme="1"/>
        <rFont val="Calibri"/>
        <family val="2"/>
        <scheme val="minor"/>
      </rPr>
      <t>.cycle</t>
    </r>
  </si>
  <si>
    <t>ENERGY STAR Residential Dishwasher Specification Version 6.0.</t>
  </si>
  <si>
    <t>Representative average dishwasher use in 10 CFR 430, Subpart B, Appendix C1 - Uniform Test Method for Measuring the Energy Consumption of Dishwashers.</t>
  </si>
  <si>
    <t>In the absence of a true region-specific system peak coincidence factor for the end-use, use a run-time average factor calculated as hours of use divided by 8,760 hours per year.</t>
  </si>
  <si>
    <t>DEER2020.</t>
  </si>
  <si>
    <r>
      <t>%kWh</t>
    </r>
    <r>
      <rPr>
        <vertAlign val="subscript"/>
        <sz val="10.5"/>
        <color theme="1"/>
        <rFont val="Calibri"/>
        <family val="2"/>
        <scheme val="minor"/>
      </rPr>
      <t>.Op</t>
    </r>
  </si>
  <si>
    <r>
      <t>%kWh</t>
    </r>
    <r>
      <rPr>
        <vertAlign val="subscript"/>
        <sz val="10.5"/>
        <color theme="1"/>
        <rFont val="Calibri"/>
        <family val="2"/>
        <scheme val="minor"/>
      </rPr>
      <t>.heat</t>
    </r>
  </si>
  <si>
    <r>
      <t>%DHW</t>
    </r>
    <r>
      <rPr>
        <vertAlign val="subscript"/>
        <sz val="10.5"/>
        <color theme="1"/>
        <rFont val="Calibri"/>
        <family val="2"/>
        <scheme val="minor"/>
      </rPr>
      <t xml:space="preserve">.electric </t>
    </r>
  </si>
  <si>
    <t>Percentage of dishwasher energy consumption used for unit operation.</t>
  </si>
  <si>
    <t>Assume default of 44% (0.44) per the ENERGY STAR Appliance Calculator.</t>
  </si>
  <si>
    <t xml:space="preserve">Percentage of dishwasher energy consumption used for water heating. </t>
  </si>
  <si>
    <t>Assume default of 56% (0.56) per the ENERGY STAR Appliance Calculator.</t>
  </si>
  <si>
    <t xml:space="preserve">Percentage of domestic hot water assumed to be electric. </t>
  </si>
  <si>
    <t>ENERGY STAR, Dishwashers, webpage, https://www.energystar.gov/products/appliances/dishwashers.</t>
  </si>
  <si>
    <t>Code of Federal Regulations, 10 CFR 430, Subpart B, Appendix C1 - Uniform Test Method for Measuring the Energy Consumption of Dishwashers.</t>
  </si>
  <si>
    <t>ENERGY STAR, Residential Dishwasher Specification Version 6.0, available here: https://www.energystar.gov/products/spec/residential_dishwasher_specification_version_6_0_pd.</t>
  </si>
  <si>
    <t>One pump.</t>
  </si>
  <si>
    <t xml:space="preserve">Updated in January 2019 for PY19 TRM. </t>
  </si>
  <si>
    <t>One system.</t>
  </si>
  <si>
    <t>Updated in Fall 2018 for PY19 TRM.</t>
  </si>
  <si>
    <t>Per room/unit controlled by EMS.</t>
  </si>
  <si>
    <t>No Guest Room EMS controls.</t>
  </si>
  <si>
    <t>Guest Room EMS controls.</t>
  </si>
  <si>
    <t>One fixture.</t>
  </si>
  <si>
    <t>One retrofit kit.</t>
  </si>
  <si>
    <t>One sensor.</t>
  </si>
  <si>
    <t>Manual switch.</t>
  </si>
  <si>
    <t>Occupancy sensor installed.</t>
  </si>
  <si>
    <t>Varies with scale of project.</t>
  </si>
  <si>
    <t>No bi-level dimming lights with occupancy sensors.</t>
  </si>
  <si>
    <t>Bi-level dimming lights with occupancy sensors.</t>
  </si>
  <si>
    <t>R_Appliance_Dishwasher</t>
  </si>
  <si>
    <t>R_PlugProcess_Switch Plug, R_PlugProcess_Switch_Plug_CALC</t>
  </si>
  <si>
    <t>R_Appliance_Air Purifier</t>
  </si>
  <si>
    <t xml:space="preserve">R_HVAC_Dehumidifier </t>
  </si>
  <si>
    <t>This is a new measure for PY19</t>
  </si>
  <si>
    <t>This measure was added mid-year during PY18</t>
  </si>
  <si>
    <t>Consider adding tables of annual ISR and PF values for measures, as applicable, in future TRM update</t>
  </si>
  <si>
    <t>Consider including residential dishwasher, switch plug, air purifier, dehumidifier and window AC measure in PY20 TRM prioritization process since only a light review was conducted for PY19</t>
  </si>
  <si>
    <t>Due to small program-level savings expected from these measures and the fact that they were reviewed (albeit lightly) for PY19 TRM, the priority may be low.</t>
  </si>
  <si>
    <t xml:space="preserve">Consider pros and cons of billing analysis approach for solar water heater and tune-up measures </t>
  </si>
  <si>
    <t>Include a review of Evergreen’s 2012 billing analysis results to assess reasonableness of using findings for a new deemed savings value</t>
  </si>
  <si>
    <t>R_WH_SWH, R_WH_SWH Tune Up</t>
  </si>
  <si>
    <t>RESIDENTIAL: Solar Water Heater, Solar Water Heater Tune Up</t>
  </si>
  <si>
    <t>Apply findings from the AEG baseline study to update TRM measure savings assumptions, as appropriate</t>
  </si>
  <si>
    <t>Add measures to the RESIDENTIAL: HVAC Savings Calculator</t>
  </si>
  <si>
    <t>RESIDENTIAL: Window AC, Central A/C Retrofit</t>
  </si>
  <si>
    <t>R_HVAC_Window AC, R_HVAC_Central AC Retrofit</t>
  </si>
  <si>
    <t>Currently we are using lifetime values and applying the same factors to first year and lifetime savings</t>
  </si>
  <si>
    <t>R_PlugProcess_Switch Plug, R_PlugProcess_Adv Power Strip</t>
  </si>
  <si>
    <t>RESIDENTIAL: Switch Plug, Advanced Power Strip</t>
  </si>
  <si>
    <t>An ISR of less than 1 would likely be appropriate for these measures</t>
  </si>
  <si>
    <t>Consider researching and adding an in-service rate to the savings algorithms for these measures</t>
  </si>
  <si>
    <t>Baseline Energy Appliance, Equipment and Building Characteristics Study Report, Prepared for the State of Hawaii Public Utilities Commission, November 6, 2013, With errata February 26, 2014, Evergreen Economics.</t>
  </si>
  <si>
    <t xml:space="preserve">Saying Mahalo to Solar Savings: A Billing Analysis of Solar Water Heaters in Hawai‘i, Jenny Yaillen, Evergreen Economics, Chris Ann Dickerson, CAD Consulting, Wendy Takanish and John Cole, Hawaii Public Utilities Commission, ©2012 ACEEE Summer Study on Energy Efficiency in Buildings.  </t>
  </si>
  <si>
    <t>Baseline Energy Appliance, Equipment and Building Characteristics Study Report, Prepared for the State of Hawaii Public Utilities Commission, Prepared by Evergreen Economics, February 26, 2014.</t>
  </si>
  <si>
    <t>Hawaii Public Utilities Commission</t>
  </si>
  <si>
    <t xml:space="preserve">The State of Hawaii Public Utilities Commission (HPUC) is a quasi-judicial body responsible for guiding the development of state utility policies that best serve the long-term interest of Hawai‘i utility ratepayers, with the goal of the provision of high quality public utility service in Hawai‘i at reasonable costs. </t>
  </si>
  <si>
    <t>Baseline Energy Appliance, Equipment and Building Characteristics Study Report, Prepared for the State of Hawaii Public Utilities Commission, November 6, 2013, With errata February 26, 2014, Evergreen Economics, Figure 87.</t>
  </si>
  <si>
    <t>One window AC unit.</t>
  </si>
  <si>
    <t>First Baseline Peak Demand Reduction, kW (Early Replacement Only)</t>
  </si>
  <si>
    <t>Second Baseline Peak Demand Reduction, kW (or, Single Baseline for Replace on Burnout)</t>
  </si>
  <si>
    <t>First Baseline Annual Energy Savings, kWh/yr (Early Replacement Only)</t>
  </si>
  <si>
    <t>Second Baseline Annual Energy Savings, kWh/yr (or, Single Baseline for Replace on Burnout)</t>
  </si>
  <si>
    <t>Early Replacement Lifetime Energy Savings, kWh</t>
  </si>
  <si>
    <t>Replace on Burnout Lifetime Energy Savings, kWh</t>
  </si>
  <si>
    <t>Federal minimum requirement for units manufactured as of Jun. 1, 2014.</t>
  </si>
  <si>
    <t>Federal minimum requirement for units manufactured between Oct. 1, 2000 and May 31, 2014.</t>
  </si>
  <si>
    <t>As installed.</t>
  </si>
  <si>
    <t>EFLH determined as average of residential EnergyPlus prototype simulations with room AC cooling system by dividing total cooling kWh by maximum kW (proxy for capacity, adjusted for oversizing).</t>
  </si>
  <si>
    <t>CF corresponding with system peak of 5-9pm on non-holiday weekdays. Determined based on EnergyPlus prototype simulations with Room AC systems.</t>
  </si>
  <si>
    <r>
      <t>CEER</t>
    </r>
    <r>
      <rPr>
        <vertAlign val="subscript"/>
        <sz val="10.5"/>
        <color theme="1"/>
        <rFont val="Calibri"/>
        <family val="2"/>
        <scheme val="minor"/>
      </rPr>
      <t>BL,1</t>
    </r>
  </si>
  <si>
    <r>
      <t>CEER</t>
    </r>
    <r>
      <rPr>
        <vertAlign val="subscript"/>
        <sz val="10.5"/>
        <color theme="1"/>
        <rFont val="Calibri"/>
        <family val="2"/>
        <scheme val="minor"/>
      </rPr>
      <t>BL,2</t>
    </r>
  </si>
  <si>
    <r>
      <t>EER</t>
    </r>
    <r>
      <rPr>
        <vertAlign val="subscript"/>
        <sz val="10.5"/>
        <color theme="1"/>
        <rFont val="Calibri"/>
        <family val="2"/>
        <scheme val="minor"/>
      </rPr>
      <t>BL,1</t>
    </r>
  </si>
  <si>
    <r>
      <t>EER</t>
    </r>
    <r>
      <rPr>
        <vertAlign val="subscript"/>
        <sz val="10.5"/>
        <color theme="1"/>
        <rFont val="Calibri"/>
        <family val="2"/>
        <scheme val="minor"/>
      </rPr>
      <t>BL,2</t>
    </r>
  </si>
  <si>
    <r>
      <t>CEER</t>
    </r>
    <r>
      <rPr>
        <vertAlign val="subscript"/>
        <sz val="10.5"/>
        <color theme="1"/>
        <rFont val="Calibri"/>
        <family val="2"/>
        <scheme val="minor"/>
      </rPr>
      <t>EE</t>
    </r>
  </si>
  <si>
    <r>
      <t>EER</t>
    </r>
    <r>
      <rPr>
        <vertAlign val="subscript"/>
        <sz val="10.5"/>
        <color theme="1"/>
        <rFont val="Calibri"/>
        <family val="2"/>
        <scheme val="minor"/>
      </rPr>
      <t>EE</t>
    </r>
  </si>
  <si>
    <t>DEER 2020.</t>
  </si>
  <si>
    <t>Watt/kilowatt conversion</t>
  </si>
  <si>
    <t>Remaining useful life of measure</t>
  </si>
  <si>
    <t>Assumed to be 1/3 EUL.</t>
  </si>
  <si>
    <t>Code of Federal Regulations, 10 CFR 430.32, Subpart C, Energy and Water Conservation Standards and Their Effective Dates, (b) Room Air Conditioners, page 472, available here: &lt;https://www.govinfo.gov/content/pkg/CFR-2012-title10-vol3/pdf/CFR-2012-title10-vol3-sec430-32.pdf&gt;.</t>
  </si>
  <si>
    <t>ENERGY STAR Version 4.1 Room Air Conditioners Program Requirements, available here: &lt;https://www.energystar.gov/products/heating_cooling/air_conditioning_room/partners&gt;.</t>
  </si>
  <si>
    <t>See the accompanying AC worksheet:</t>
  </si>
  <si>
    <t>One central AC unit.</t>
  </si>
  <si>
    <t xml:space="preserve">First Baseline Peak Demand Reduction, kW </t>
  </si>
  <si>
    <t xml:space="preserve">Second Baseline Peak Demand Reduction, kW </t>
  </si>
  <si>
    <t xml:space="preserve">Second Baseline Annual Energy Savings, kWh/yr </t>
  </si>
  <si>
    <t>See Note 2.</t>
  </si>
  <si>
    <t>See Note 1.</t>
  </si>
  <si>
    <r>
      <t>SEER</t>
    </r>
    <r>
      <rPr>
        <vertAlign val="subscript"/>
        <sz val="10.5"/>
        <rFont val="Calibri"/>
        <family val="2"/>
        <scheme val="minor"/>
      </rPr>
      <t>BL,1</t>
    </r>
  </si>
  <si>
    <t>Full load energy efficiency ratio of baseline unit</t>
  </si>
  <si>
    <t>Full load energy efficiency ratio of installed high efficiency unit</t>
  </si>
  <si>
    <t>Seasonal energy efficiency ratio of installed high efficiency unit</t>
  </si>
  <si>
    <t>Energy efficiency ratio of baseline unit for first baseline period (early replacement)</t>
  </si>
  <si>
    <t>Energy efficiency ratio of baseline unit for second baseline period (early replacement) or for single baseline (replace on burnout)</t>
  </si>
  <si>
    <t>Energy efficiency ratio of installed high efficiency unit</t>
  </si>
  <si>
    <t>Combined energy efficiency ratio of baseline unit for first baseline period (early replacement)</t>
  </si>
  <si>
    <t>Combined energy efficiency ratio of baseline unit for second baseline period (early replacement) or for single baseline (replace on burnout)</t>
  </si>
  <si>
    <t>Combined energy efficiency ratio of installed high efficiency unit</t>
  </si>
  <si>
    <t>As installed (&lt; 65,000 Btu/h).</t>
  </si>
  <si>
    <t>EFLH determined as average of residential EnergyPlus prototype simulations with central AC cooling system by dividing total cooling kWh by maximum kW (proxy for capacity, adjusted for oversizing).</t>
  </si>
  <si>
    <t>CF corresponding with system peak of 5-9pm on non-holiday weekdays. Determined based on EnergyPlus prototype simulations with Central AC systems.</t>
  </si>
  <si>
    <t>Hawai‘i-specific energy simulations of single family home prototypes in BEopt™ with EnergyPlus v8.8 as the simulation engine.</t>
  </si>
  <si>
    <t>Room AC w/o recycling (8,000-13,999 Btu/h)</t>
  </si>
  <si>
    <t>Enter Full Load Efficiency:*</t>
  </si>
  <si>
    <t>Enter Part-Load Efficiency:**</t>
  </si>
  <si>
    <t>Only for early replacement</t>
  </si>
  <si>
    <t>kW reduction (ER):</t>
  </si>
  <si>
    <t>Only for early replacement; this is savings during first baseline period</t>
  </si>
  <si>
    <t>kWh/yr savings (ER):</t>
  </si>
  <si>
    <t xml:space="preserve">Baseline Specifications </t>
  </si>
  <si>
    <t>Replace on Burnout (Single Baseline)</t>
  </si>
  <si>
    <t>Ductless Split System by Capacity Bin</t>
  </si>
  <si>
    <t>Early Replacement (First Baseline)</t>
  </si>
  <si>
    <t>Central AC and Room AC</t>
  </si>
  <si>
    <t>Room AC w/ recycling (8,000-13,999 Btu/h)</t>
  </si>
  <si>
    <t>Minimum EE Qualifications and Parameters Table</t>
  </si>
  <si>
    <t>Replace on Burnout 
(or, Second Baseline for Early Replacement)</t>
  </si>
  <si>
    <t>Early removal of an existing inefficient central air conditioning unit from service, prior to its measure and natural end of life, and replacement with a higher efficiency unit.</t>
  </si>
  <si>
    <t>Coincidence Factor for &lt;30,000 Btu/h units</t>
  </si>
  <si>
    <r>
      <t xml:space="preserve">Coincidence Factor for </t>
    </r>
    <r>
      <rPr>
        <sz val="10.5"/>
        <rFont val="Calibri"/>
        <family val="2"/>
      </rPr>
      <t>≥</t>
    </r>
    <r>
      <rPr>
        <sz val="10.5"/>
        <rFont val="Calibri"/>
        <family val="2"/>
        <scheme val="minor"/>
      </rPr>
      <t>30,000 Btu/h units</t>
    </r>
  </si>
  <si>
    <t>Equivalent full load cooling hours for &lt;30,000 Btu/h units</t>
  </si>
  <si>
    <t>Equivalent full load cooling hours for ≥30,000 Btu/h units</t>
  </si>
  <si>
    <t>EFLH determined as median of residential EnergyPlus prototype simulations with room AC systems by dividing total cooling kWh by maximum kW (proxy for capacity, adjusted for oversizing).</t>
  </si>
  <si>
    <t>EFLH determined as median of residential EnergyPlus prototype simulations with central AC systems by dividing total cooling kWh by maximum kW (proxy for capacity, adjusted for oversizing).</t>
  </si>
  <si>
    <t>ENERGY STAR Version 3.0 Room Air Conditioners Program Requirements, available here: &lt;https://www.energystar.gov/products/spec/room_air_conditioners_specification_version_3_0_pd&gt;.</t>
  </si>
  <si>
    <t>For early replacement with recycling projects, documentation must be provided to show that the pre-existing unit was operating and had a meaningful remaining useful life prior to replacement.</t>
  </si>
  <si>
    <r>
      <t>Assumed to be CEER</t>
    </r>
    <r>
      <rPr>
        <vertAlign val="subscript"/>
        <sz val="10.5"/>
        <color theme="1"/>
        <rFont val="Calibri"/>
        <family val="2"/>
        <scheme val="minor"/>
      </rPr>
      <t>BL,2</t>
    </r>
    <r>
      <rPr>
        <sz val="10.5"/>
        <color theme="1"/>
        <rFont val="Calibri"/>
        <family val="2"/>
        <scheme val="minor"/>
      </rPr>
      <t xml:space="preserve"> * 1.01 per ENERGY STAR data.</t>
    </r>
    <r>
      <rPr>
        <vertAlign val="superscript"/>
        <sz val="10.5"/>
        <color theme="1"/>
        <rFont val="Calibri"/>
        <family val="2"/>
        <scheme val="minor"/>
      </rPr>
      <t>2</t>
    </r>
  </si>
  <si>
    <r>
      <t>Assumed to be EER</t>
    </r>
    <r>
      <rPr>
        <vertAlign val="subscript"/>
        <sz val="10.5"/>
        <color theme="1"/>
        <rFont val="Calibri"/>
        <family val="2"/>
        <scheme val="minor"/>
      </rPr>
      <t>BL,1</t>
    </r>
    <r>
      <rPr>
        <sz val="10.5"/>
        <color theme="1"/>
        <rFont val="Calibri"/>
        <family val="2"/>
        <scheme val="minor"/>
      </rPr>
      <t xml:space="preserve"> / 1.01 per ENERGY STAR data.</t>
    </r>
    <r>
      <rPr>
        <vertAlign val="superscript"/>
        <sz val="10.5"/>
        <color theme="1"/>
        <rFont val="Calibri"/>
        <family val="2"/>
        <scheme val="minor"/>
      </rPr>
      <t>2</t>
    </r>
  </si>
  <si>
    <r>
      <rPr>
        <vertAlign val="superscript"/>
        <sz val="9"/>
        <color theme="1"/>
        <rFont val="Calibri"/>
        <family val="2"/>
        <scheme val="minor"/>
      </rPr>
      <t>1</t>
    </r>
    <r>
      <rPr>
        <sz val="9"/>
        <color theme="1"/>
        <rFont val="Calibri"/>
        <family val="2"/>
        <scheme val="minor"/>
      </rPr>
      <t xml:space="preserve"> For room AC units outside of this capacity range, use a custom approach to calculate impacts.</t>
    </r>
  </si>
  <si>
    <t>Hawai‘i Energy Solar Water Heating Program Handbook: Design Guidelines, Volume 5, October 2018, available for download here: &lt;https://hawaiienergy.com/files/for-homes/swh_handbook.pdf&gt;.</t>
  </si>
  <si>
    <t>PY19-PY21 Avoided Capacity and Energy Cost Calculations, Analysis Spreadsheet, Prepared by Steve Schiller, Energy Efficiency Manager and Kelly Parmenter, Applied Energy Group, April 28, 2019.</t>
  </si>
  <si>
    <t>PY</t>
  </si>
  <si>
    <t>PY20</t>
  </si>
  <si>
    <t>PY21</t>
  </si>
  <si>
    <t>Hawaii</t>
  </si>
  <si>
    <r>
      <t xml:space="preserve">Value </t>
    </r>
    <r>
      <rPr>
        <vertAlign val="superscript"/>
        <sz val="11"/>
        <color theme="1"/>
        <rFont val="Calibri"/>
        <family val="2"/>
        <scheme val="minor"/>
      </rPr>
      <t>1</t>
    </r>
  </si>
  <si>
    <t>1. HECO 2018 Electric Utility System Cost Data Report, submitted to HPUC per Section 6-74-17, June 29, 2018.</t>
  </si>
  <si>
    <t>2. MECO 2018 Electric Utility System Cost Data Report, submitted to HPUC per Section 6-74-17, June 29, 2018.</t>
  </si>
  <si>
    <t>3. HELCO 2018 Electric Utility System Cost Data Report, submitted to HPUC per Section 6-74-17, June 29, 2018.</t>
  </si>
  <si>
    <t>Table 1. Annualized Avoided Capacity Costs</t>
  </si>
  <si>
    <t>/yr, from HECO and MECO 2018 Electric Utility System Cost Data Reports.</t>
  </si>
  <si>
    <t>Proxy Avoided Costs</t>
  </si>
  <si>
    <t>Table 2. Average Annual Avoided Energy Costs</t>
  </si>
  <si>
    <t>Measure Year</t>
  </si>
  <si>
    <t>Avoided Capacity Costs
Discounted Annual $/kW-yr</t>
  </si>
  <si>
    <t>$/kW-yr</t>
  </si>
  <si>
    <t>$/kWh-yr</t>
  </si>
  <si>
    <t>Avoided Energy Costs
Discounted Annual $/kWh-yr</t>
  </si>
  <si>
    <t>Avoided Capacity Costs
NPV Cumulative from Final Year</t>
  </si>
  <si>
    <t>Avoided Energy Costs
NPV Cumulative from Final Year</t>
  </si>
  <si>
    <r>
      <rPr>
        <vertAlign val="superscript"/>
        <sz val="9"/>
        <color theme="1"/>
        <rFont val="Calibri"/>
        <family val="2"/>
        <scheme val="minor"/>
      </rPr>
      <t>1</t>
    </r>
    <r>
      <rPr>
        <sz val="9"/>
        <color theme="1"/>
        <rFont val="Calibri"/>
        <family val="2"/>
        <scheme val="minor"/>
      </rPr>
      <t>Escalation Factor</t>
    </r>
  </si>
  <si>
    <t>Recommendations for Avoided Costs for the Sole Purpose of Providing Interim Updates for Calculation of Hawai‘i Energy Program Total Resource Benefits, Memorandum, Prepared for Hawaii Public Utilities Commission, Hawaiian Electric Companies, and Hawai‘i Energy, Prepared by Steve Schiller, Energy Efficiency Manager and Kelly Parmenter, Applied Energy Group, April 25, 2019.</t>
  </si>
  <si>
    <t>Economic benefits to the State of Hawaii from efficiency include the avoided costs associated with the energy that is saved. The value of the energy that is saved is called the Total Resource Benefit (TRB). To estimate the TRB for individual measures, programs or the whole portfolio, future avoided energy costs ($/kWh) and avoided capacity costs ($/kW) need to be estimated.</t>
  </si>
  <si>
    <t>R__WH_LFShowerhead</t>
  </si>
  <si>
    <t>C_HVAC_Window AC, C_HVAC_WindowAC_WKST</t>
  </si>
  <si>
    <t>R_HVAC_Window AC, R_HVAC_AC_WKST</t>
  </si>
  <si>
    <t>R_HVAC_Central AC Retrofit, R_HVAC_AC_WKST</t>
  </si>
  <si>
    <t>R_Light_Linear LED</t>
  </si>
  <si>
    <t>R_Light_Security Light</t>
  </si>
  <si>
    <t>R_Light_Holiday String Light</t>
  </si>
  <si>
    <t>RESIDENTIAL: Linear LED</t>
  </si>
  <si>
    <t>RESIDENTIAL: Security Light</t>
  </si>
  <si>
    <t>RESIDENTIAL: Holiday String Light</t>
  </si>
  <si>
    <t>COMMERCIAL: Window AC</t>
  </si>
  <si>
    <t xml:space="preserve">Equipment is assumed to be a window AC unit without reverse cycle, with louvered sides, and a capacity range of less than 28,000 Btu/h. For window AC units not meeting this type or capacity range, confirm program eligibility with Hawai'i Energy and use a custom approach to calculate impacts. </t>
  </si>
  <si>
    <t>For early replacement with recycling, a dual baseline is required to estimate impacts. The efficiency during the first baseline period corresponds to federal minimum requirements for units manufactured between Oct. 1, 2000 and May 31, 2014 and the efficiency during the second baseline period corresponds to federal minimum requirements for units manufactured as of Jun. 1, 2014. (See Table 1.)</t>
  </si>
  <si>
    <t>For addition of new systems without recycling a previous unit, or for replacement on burnout of a pre-existing unit, a single baseline that corresponds to federal minimum requirements for units manufactured as of Jun. 1, 2014 is used. (See Table 1.)</t>
  </si>
  <si>
    <t>High efficiency equipment is a new window AC unit without reverse cycle, with louvered sides, and a capacity range of less than 28,000 Btu/h that meets or exceeds the minimum requirements per the ENERGY STAR Product Specification for Room Air Conditioners, Version 4.1. (See Table 1.) This measure includes dual inverter window AC units that are ENERGY STAR certified.</t>
  </si>
  <si>
    <t>Capacity Bin (Btu/h)</t>
  </si>
  <si>
    <r>
      <t>1st Baseline</t>
    </r>
    <r>
      <rPr>
        <b/>
        <vertAlign val="superscript"/>
        <sz val="11"/>
        <rFont val="Calibri"/>
        <family val="2"/>
        <scheme val="minor"/>
      </rPr>
      <t>1</t>
    </r>
  </si>
  <si>
    <r>
      <t>2nd Baseline</t>
    </r>
    <r>
      <rPr>
        <b/>
        <vertAlign val="superscript"/>
        <sz val="11"/>
        <rFont val="Calibri"/>
        <family val="2"/>
        <scheme val="minor"/>
      </rPr>
      <t>2</t>
    </r>
  </si>
  <si>
    <r>
      <t>ENERGY STAR</t>
    </r>
    <r>
      <rPr>
        <b/>
        <vertAlign val="superscript"/>
        <sz val="11"/>
        <rFont val="Calibri"/>
        <family val="2"/>
        <scheme val="minor"/>
      </rPr>
      <t>3</t>
    </r>
  </si>
  <si>
    <r>
      <t>CEER</t>
    </r>
    <r>
      <rPr>
        <b/>
        <vertAlign val="subscript"/>
        <sz val="11"/>
        <rFont val="Calibri"/>
        <family val="2"/>
        <scheme val="minor"/>
      </rPr>
      <t>BL,1</t>
    </r>
  </si>
  <si>
    <r>
      <t>EER</t>
    </r>
    <r>
      <rPr>
        <b/>
        <vertAlign val="subscript"/>
        <sz val="11"/>
        <rFont val="Calibri"/>
        <family val="2"/>
        <scheme val="minor"/>
      </rPr>
      <t>BL,1</t>
    </r>
  </si>
  <si>
    <r>
      <t>CEER</t>
    </r>
    <r>
      <rPr>
        <b/>
        <vertAlign val="subscript"/>
        <sz val="11"/>
        <rFont val="Calibri"/>
        <family val="2"/>
        <scheme val="minor"/>
      </rPr>
      <t>BL,2</t>
    </r>
  </si>
  <si>
    <r>
      <t>EER</t>
    </r>
    <r>
      <rPr>
        <b/>
        <vertAlign val="subscript"/>
        <sz val="11"/>
        <rFont val="Calibri"/>
        <family val="2"/>
        <scheme val="minor"/>
      </rPr>
      <t>BL,2</t>
    </r>
  </si>
  <si>
    <r>
      <t>CEER</t>
    </r>
    <r>
      <rPr>
        <b/>
        <vertAlign val="subscript"/>
        <sz val="11"/>
        <rFont val="Calibri"/>
        <family val="2"/>
        <scheme val="minor"/>
      </rPr>
      <t>Base</t>
    </r>
  </si>
  <si>
    <r>
      <t>EER</t>
    </r>
    <r>
      <rPr>
        <b/>
        <vertAlign val="subscript"/>
        <sz val="11"/>
        <rFont val="Calibri"/>
        <family val="2"/>
        <scheme val="minor"/>
      </rPr>
      <t>Base</t>
    </r>
  </si>
  <si>
    <r>
      <t>CEER</t>
    </r>
    <r>
      <rPr>
        <b/>
        <vertAlign val="subscript"/>
        <sz val="11"/>
        <rFont val="Calibri"/>
        <family val="2"/>
        <scheme val="minor"/>
      </rPr>
      <t>Min</t>
    </r>
  </si>
  <si>
    <r>
      <t>EER</t>
    </r>
    <r>
      <rPr>
        <b/>
        <vertAlign val="subscript"/>
        <sz val="11"/>
        <rFont val="Calibri"/>
        <family val="2"/>
        <scheme val="minor"/>
      </rPr>
      <t>Min</t>
    </r>
  </si>
  <si>
    <t>&lt; 8,000</t>
  </si>
  <si>
    <t>8,000 to 13,999</t>
  </si>
  <si>
    <t>14,000 to 19,999</t>
  </si>
  <si>
    <t>20,000 to 27,999</t>
  </si>
  <si>
    <r>
      <rPr>
        <vertAlign val="superscript"/>
        <sz val="9"/>
        <rFont val="Calibri"/>
        <family val="2"/>
        <scheme val="minor"/>
      </rPr>
      <t>1</t>
    </r>
    <r>
      <rPr>
        <sz val="9"/>
        <rFont val="Calibri"/>
        <family val="2"/>
        <scheme val="minor"/>
      </rPr>
      <t xml:space="preserve"> See federal minimum EER</t>
    </r>
    <r>
      <rPr>
        <vertAlign val="subscript"/>
        <sz val="9"/>
        <rFont val="Calibri"/>
        <family val="2"/>
        <scheme val="minor"/>
      </rPr>
      <t>BL,1</t>
    </r>
    <r>
      <rPr>
        <sz val="9"/>
        <rFont val="Calibri"/>
        <family val="2"/>
        <scheme val="minor"/>
      </rPr>
      <t xml:space="preserve"> requirements for units manufactured between Oct. 1, 2000 to May 31, 2014 at &lt;https://www.govinfo.gov/content/pkg/CFR-2012-title10-vol3/pdf/CFR-2012-title10-vol3-sec430-32.pdf&gt;, paragraph (b) on page 472. CEER</t>
    </r>
    <r>
      <rPr>
        <vertAlign val="subscript"/>
        <sz val="9"/>
        <rFont val="Calibri"/>
        <family val="2"/>
        <scheme val="minor"/>
      </rPr>
      <t>BL,1</t>
    </r>
    <r>
      <rPr>
        <sz val="9"/>
        <rFont val="Calibri"/>
        <family val="2"/>
        <scheme val="minor"/>
      </rPr>
      <t xml:space="preserve"> is assumed to be EER</t>
    </r>
    <r>
      <rPr>
        <vertAlign val="subscript"/>
        <sz val="9"/>
        <rFont val="Calibri"/>
        <family val="2"/>
        <scheme val="minor"/>
      </rPr>
      <t>BL,1</t>
    </r>
    <r>
      <rPr>
        <sz val="9"/>
        <rFont val="Calibri"/>
        <family val="2"/>
        <scheme val="minor"/>
      </rPr>
      <t xml:space="preserve"> / 1.01.</t>
    </r>
  </si>
  <si>
    <r>
      <rPr>
        <vertAlign val="superscript"/>
        <sz val="9"/>
        <rFont val="Calibri"/>
        <family val="2"/>
        <scheme val="minor"/>
      </rPr>
      <t>2</t>
    </r>
    <r>
      <rPr>
        <sz val="9"/>
        <rFont val="Calibri"/>
        <family val="2"/>
        <scheme val="minor"/>
      </rPr>
      <t xml:space="preserve"> See federal minimum CEER</t>
    </r>
    <r>
      <rPr>
        <vertAlign val="subscript"/>
        <sz val="9"/>
        <rFont val="Calibri"/>
        <family val="2"/>
        <scheme val="minor"/>
      </rPr>
      <t>BL,2</t>
    </r>
    <r>
      <rPr>
        <sz val="9"/>
        <rFont val="Calibri"/>
        <family val="2"/>
        <scheme val="minor"/>
      </rPr>
      <t xml:space="preserve"> requirements for units manufactured as of Jun. 1, 2014 at &lt;https://www.govinfo.gov/content/pkg/CFR-2012-title10-vol3/pdf/CFR-2012-title10-vol3-sec430-32.pdf&gt;, paragraph (b) on page 472. EER</t>
    </r>
    <r>
      <rPr>
        <vertAlign val="subscript"/>
        <sz val="9"/>
        <rFont val="Calibri"/>
        <family val="2"/>
        <scheme val="minor"/>
      </rPr>
      <t>BL,2</t>
    </r>
    <r>
      <rPr>
        <sz val="9"/>
        <rFont val="Calibri"/>
        <family val="2"/>
        <scheme val="minor"/>
      </rPr>
      <t xml:space="preserve"> is assumed to be CEER</t>
    </r>
    <r>
      <rPr>
        <vertAlign val="subscript"/>
        <sz val="9"/>
        <rFont val="Calibri"/>
        <family val="2"/>
        <scheme val="minor"/>
      </rPr>
      <t>BL,2</t>
    </r>
    <r>
      <rPr>
        <sz val="9"/>
        <rFont val="Calibri"/>
        <family val="2"/>
        <scheme val="minor"/>
      </rPr>
      <t xml:space="preserve"> * 1.01.</t>
    </r>
  </si>
  <si>
    <r>
      <rPr>
        <vertAlign val="superscript"/>
        <sz val="9"/>
        <rFont val="Calibri"/>
        <family val="2"/>
        <scheme val="minor"/>
      </rPr>
      <t>3</t>
    </r>
    <r>
      <rPr>
        <sz val="9"/>
        <rFont val="Calibri"/>
        <family val="2"/>
        <scheme val="minor"/>
      </rPr>
      <t xml:space="preserve"> See ENERGY STAR Version 4.1 Room Air Conditioners Program Requirements, available here: &lt;https://www.energystar.gov/products/heating_cooling/air_conditioning_room/partners&gt;. EER is assumed to be CEER * 1.01.</t>
    </r>
  </si>
  <si>
    <r>
      <t>Assumes capacity of &lt; 28,000 Btu/h.</t>
    </r>
    <r>
      <rPr>
        <vertAlign val="superscript"/>
        <sz val="10.5"/>
        <rFont val="Calibri"/>
        <family val="2"/>
        <scheme val="minor"/>
      </rPr>
      <t>1</t>
    </r>
  </si>
  <si>
    <r>
      <t>Assumed to be CEER</t>
    </r>
    <r>
      <rPr>
        <vertAlign val="subscript"/>
        <sz val="10.5"/>
        <rFont val="Calibri"/>
        <family val="2"/>
        <scheme val="minor"/>
      </rPr>
      <t>BL,2</t>
    </r>
    <r>
      <rPr>
        <sz val="10.5"/>
        <rFont val="Calibri"/>
        <family val="2"/>
        <scheme val="minor"/>
      </rPr>
      <t xml:space="preserve"> * 1.01 per ENERGY STAR data.</t>
    </r>
    <r>
      <rPr>
        <vertAlign val="superscript"/>
        <sz val="10.5"/>
        <rFont val="Calibri"/>
        <family val="2"/>
        <scheme val="minor"/>
      </rPr>
      <t>2</t>
    </r>
  </si>
  <si>
    <r>
      <t>Assumed to be EER</t>
    </r>
    <r>
      <rPr>
        <vertAlign val="subscript"/>
        <sz val="10.5"/>
        <rFont val="Calibri"/>
        <family val="2"/>
        <scheme val="minor"/>
      </rPr>
      <t>BL,1</t>
    </r>
    <r>
      <rPr>
        <sz val="10.5"/>
        <rFont val="Calibri"/>
        <family val="2"/>
        <scheme val="minor"/>
      </rPr>
      <t xml:space="preserve"> / 1.01 per ENERGY STAR data.</t>
    </r>
    <r>
      <rPr>
        <vertAlign val="superscript"/>
        <sz val="10.5"/>
        <rFont val="Calibri"/>
        <family val="2"/>
        <scheme val="minor"/>
      </rPr>
      <t>2</t>
    </r>
  </si>
  <si>
    <t>AEG's analysis of DOE's OpenEI load shapes using Hawai‘i-specific prototypes and weather data.</t>
  </si>
  <si>
    <r>
      <rPr>
        <vertAlign val="superscript"/>
        <sz val="9"/>
        <rFont val="Calibri"/>
        <family val="2"/>
        <scheme val="minor"/>
      </rPr>
      <t>2</t>
    </r>
    <r>
      <rPr>
        <sz val="9"/>
        <rFont val="Calibri"/>
        <family val="2"/>
        <scheme val="minor"/>
      </rPr>
      <t xml:space="preserve"> ENERGY STAR specification provided equivalent EER and CEER ratings. For the most popular size band, the EER rating is approximately 1% higher than the CEER. See ENERGY STAR Version 3.0 Room Air Conditioners Program Requirements.</t>
    </r>
  </si>
  <si>
    <r>
      <rPr>
        <vertAlign val="superscript"/>
        <sz val="9"/>
        <rFont val="Calibri"/>
        <family val="2"/>
        <scheme val="minor"/>
      </rPr>
      <t>3</t>
    </r>
    <r>
      <rPr>
        <sz val="9"/>
        <rFont val="Calibri"/>
        <family val="2"/>
        <scheme val="minor"/>
      </rPr>
      <t xml:space="preserve"> ENERGY STAR has a CEER allowance for connected systems, where CEER</t>
    </r>
    <r>
      <rPr>
        <vertAlign val="subscript"/>
        <sz val="9"/>
        <rFont val="Calibri"/>
        <family val="2"/>
        <scheme val="minor"/>
      </rPr>
      <t>Min</t>
    </r>
    <r>
      <rPr>
        <sz val="9"/>
        <rFont val="Calibri"/>
        <family val="2"/>
        <scheme val="minor"/>
      </rPr>
      <t xml:space="preserve"> = CEER</t>
    </r>
    <r>
      <rPr>
        <vertAlign val="subscript"/>
        <sz val="9"/>
        <rFont val="Calibri"/>
        <family val="2"/>
        <scheme val="minor"/>
      </rPr>
      <t>Base</t>
    </r>
    <r>
      <rPr>
        <sz val="9"/>
        <rFont val="Calibri"/>
        <family val="2"/>
        <scheme val="minor"/>
      </rPr>
      <t xml:space="preserve"> - 0.05 * CEER</t>
    </r>
    <r>
      <rPr>
        <vertAlign val="subscript"/>
        <sz val="9"/>
        <rFont val="Calibri"/>
        <family val="2"/>
        <scheme val="minor"/>
      </rPr>
      <t>Base</t>
    </r>
    <r>
      <rPr>
        <sz val="9"/>
        <rFont val="Calibri"/>
        <family val="2"/>
        <scheme val="minor"/>
      </rPr>
      <t>. Per ENERGY STAR, connected systems "shall include the appliance plus all elements (hardware, software) required to enable communication in response to consumer-authorized energy related commands (not including third-party remote management which may be made available solely at the discretion of the manufacturer). These elements may be resident inside or outside of the appliance. This capability shall be supported through one or more means, as identified in Section 4.B.2" of ENERGY STAR Version 4.1 Room Air Conditioners Program Requirements, available here: &lt;https://www.energystar.gov/products/heating_cooling/air_conditioning_room/partners&gt;.</t>
    </r>
  </si>
  <si>
    <t>See the accompanying Window AC worksheet:</t>
  </si>
  <si>
    <t>The following equivalent full load hours and coincidence factors are recommended per building type based on simulations of DOE prototypes with Honolulu weather (OpenEI datasets). Applicable building types for this Window AC measure are Education, Grocery, Hotel/Motel, Office, Restaurant, and Retail.</t>
  </si>
  <si>
    <t>Table 2: Equivalent Full Load Hours and Coincidence Factors for Commercial Cooling in Hawai‘i</t>
  </si>
  <si>
    <t>NA</t>
  </si>
  <si>
    <t>NA = Building type is not applicable for window AC measure.</t>
  </si>
  <si>
    <t xml:space="preserve">AEG's Analysis File titled "AEG HPUC Mid-Year PY19 TRM Updates_Analysis File." In addition, the files titled "AEG HPUC Update of Commercial Chillers - Analysis File" and "AEG HPUC EFLH and CF Analysis - Non-Holiday Weekdays" include Hawai‘i-specific simulation results for determining air conditioning EFLH and CF. </t>
  </si>
  <si>
    <t>Efficiency Vermont, Technical Reference User Manual, Measure Savings Algorithms and Cost Assumptions, No. 2014-87, Mar. 16, 2015.</t>
  </si>
  <si>
    <t>Michigan Energy Measure Database, v. 2018, https://www.michigan.gov/mpsc/0,4639,7-159-52495_55129---,00.html, filename: "mi_master_measure_database_2018-112917_609672_7."</t>
  </si>
  <si>
    <t xml:space="preserve">Open EI Datasets. Office of Energy Efficiency and Renewable Energy. Commercial and Residential Hourly Load Profiles for All TMY3 Locations in the United States. U.S. Department of Energy Open Data Catalog. Available at: &lt;https://openei.org/doe-opendata/dataset/commercial-and-residential-hourly-load-profiles-for-all-tmy3-locations-in-the-united-states&gt;. </t>
  </si>
  <si>
    <t xml:space="preserve">Pennsylvania Technical Reference Manual, State of Pennsylvania, June 2016. </t>
  </si>
  <si>
    <t>Texas Technical Reference Manual, Version 6.0, Volume 3: Nonresidential Measures, Program Year 2019, Public Utility Commission of Texas, November 2018.</t>
  </si>
  <si>
    <t>2020 Illinois Statewide Technical Reference Manual for Energy Efficiency, Version 8.0, Volume 2: Commercial and Industrial Measures, Final, Oct. 17, 2019, Effective Jan. 1, 2020, page 195.</t>
  </si>
  <si>
    <t>Enter Building Type:</t>
  </si>
  <si>
    <t>Room AC w/ recycling (&lt; 8,000 Btu/h)</t>
  </si>
  <si>
    <t>* If EER is unknown, use EER = 1.01 * CEER</t>
  </si>
  <si>
    <t>**If CEER is unknown, use CEER = EER / 1.01</t>
  </si>
  <si>
    <t>Room AC w/o recycling (&lt; 8,000 Btu/h)</t>
  </si>
  <si>
    <t>Room AC w/ recycling (14,000-19,999 Btu/h)</t>
  </si>
  <si>
    <t>Room AC w/o recycling (14,000-19,999 Btu/h)</t>
  </si>
  <si>
    <t>Room AC w/ recycling (20,000-27,999 Btu/h)</t>
  </si>
  <si>
    <t>Room AC w/o recycling (20,000-27,999 Btu/h)</t>
  </si>
  <si>
    <t>COMMERCIAL: Window AC Savings Calculator</t>
  </si>
  <si>
    <t>One aerator.</t>
  </si>
  <si>
    <t>gal/min</t>
  </si>
  <si>
    <t>Efficient flow rate</t>
  </si>
  <si>
    <t>Usage time</t>
  </si>
  <si>
    <t>Conversion factor</t>
  </si>
  <si>
    <t>Temperature at end use</t>
  </si>
  <si>
    <t>Average ground water temperature</t>
  </si>
  <si>
    <t>Solar</t>
  </si>
  <si>
    <t>Single-family</t>
  </si>
  <si>
    <t>Btu/gal/ ˚F</t>
  </si>
  <si>
    <t>People per household, multi-family</t>
  </si>
  <si>
    <t>People per household, single-family</t>
  </si>
  <si>
    <t>Fixtures per household, multi-family</t>
  </si>
  <si>
    <t>Fixtures per household, single-family</t>
  </si>
  <si>
    <t>MPS</t>
  </si>
  <si>
    <t>Minutes per shower</t>
  </si>
  <si>
    <t>Average showers per day, per person</t>
  </si>
  <si>
    <t xml:space="preserve">FH </t>
  </si>
  <si>
    <t>LF Showerhead</t>
  </si>
  <si>
    <t>Efficient Low-Flow Showerheads (fixed or handheld).</t>
  </si>
  <si>
    <t>One showerhead.</t>
  </si>
  <si>
    <t>Shower fixtures per household, multi-family</t>
  </si>
  <si>
    <t>Shower fixtures per household, single-family</t>
  </si>
  <si>
    <t>Engineering constant.</t>
  </si>
  <si>
    <t>Updated in Fall 2019 for PY19 TRM v2.0.</t>
  </si>
  <si>
    <t>AEG's Analysis File titled "AEG HPUC Update - Guest Room EMS - Analysis File" and "AEG HPUC Mid-Year PY19 TRM Updates_Analysis File."</t>
  </si>
  <si>
    <t>Table 1: Baseline and ENERGY STAR Specifications</t>
  </si>
  <si>
    <t xml:space="preserve">Window AC </t>
  </si>
  <si>
    <t>(C_HVAC_WindowAC_WKST)</t>
  </si>
  <si>
    <t>See Note 4.</t>
  </si>
  <si>
    <t>See Note 5.</t>
  </si>
  <si>
    <t>3. 11.0 SEER is a conservative assumption since federal requirements for equipment manufactured after Jan. 1, 1993 and before Jan. 23, 2006 were 10.0 SEER for split-systems and 9.7 SEER for single-package systems. See &lt;https://www.govinfo.gov/content/pkg/CFR-2012-title10-vol3/pdf/CFR-2012-title10-vol3-sec430-32.pdf&gt;, paragraph (c) (1) on page 472-473.</t>
  </si>
  <si>
    <t>4. The minimum is 13.0 SEER for split-system central AC and single-package central AC systems manufactured after Jan. 23, 2006 and before Jan. 1, 2015 and installed in Hawai'i.  See &lt;https://www.govinfo.gov/content/pkg/CFR-2012-title10-vol3/pdf/CFR-2012-title10-vol3-sec430-32.pdf&gt;, paragraph (2) on page 473.</t>
  </si>
  <si>
    <t>CF corresponding with system peak of 5-9pm on non-holiday weekdays. Determined based on EnergyPlus prototype simulations with room AC systems.</t>
  </si>
  <si>
    <r>
      <rPr>
        <vertAlign val="superscript"/>
        <sz val="9"/>
        <color theme="1"/>
        <rFont val="Calibri"/>
        <family val="2"/>
        <scheme val="minor"/>
      </rPr>
      <t>1</t>
    </r>
    <r>
      <rPr>
        <sz val="9"/>
        <color theme="1"/>
        <rFont val="Calibri"/>
        <family val="2"/>
        <scheme val="minor"/>
      </rPr>
      <t xml:space="preserve"> For window AC units outside of this capacity range, use a custom approach to calculate impacts.</t>
    </r>
  </si>
  <si>
    <r>
      <rPr>
        <vertAlign val="superscript"/>
        <sz val="9"/>
        <color theme="1"/>
        <rFont val="Calibri"/>
        <family val="2"/>
        <scheme val="minor"/>
      </rPr>
      <t>2</t>
    </r>
    <r>
      <rPr>
        <sz val="9"/>
        <color theme="1"/>
        <rFont val="Calibri"/>
        <family val="2"/>
        <scheme val="minor"/>
      </rPr>
      <t xml:space="preserve"> ENERGY STAR specification provided equivalent EER and CEER ratings. For the most popular size band, the EER rating is approximately 1% higher than the CEER. See ENERGY STAR Version 3.0 Room Air Conditioners Program Requirements and 2020 Illinois Statewide Technical Reference Manual, v8.0, Vol. 3: Residential Measures, Oct. 17, 2019, pg. 37.</t>
    </r>
  </si>
  <si>
    <t>AEG's Analysis Files titled "AEG HPUC Res HVAC Calculator - Analysis File" and "AEG HPUC Mid-Year PY19 TRM Updates_Analysis File." In addition, the file titled "AEG HPUC Update - Ductless Systems - Analysis file," worksheet tab named "Res_HVAC Key Parameters," includes Hawai‘i-specific simulation results for determining Room AC EFLH and CF.</t>
  </si>
  <si>
    <t>2020 Illinois Statewide Technical Reference Manual for Energy Efficiency, Version 8.0, Volume 3: Residential Measures, FINAL, Oct. 17, 2019, page 37.</t>
  </si>
  <si>
    <t>Enter Vintage of Existing AC Unit</t>
  </si>
  <si>
    <t>2006 and Later</t>
  </si>
  <si>
    <t>Only used for Central AC early replacement</t>
  </si>
  <si>
    <t>Pre-2006</t>
  </si>
  <si>
    <t>Add blended savings for online marketplace</t>
  </si>
  <si>
    <t>Added table of deemed savings for online marketplace for PY19 TRM v2.0</t>
  </si>
  <si>
    <t>Clarify definition for large and small hotel</t>
  </si>
  <si>
    <t>Fix errors in hidden Cells P6 and P7</t>
  </si>
  <si>
    <t>Added definitions in PY19 TRM v2.0: Large = 100+ rooms, Small &lt;100 rooms</t>
  </si>
  <si>
    <t>Made corrections in PY19 TRM v2.0</t>
  </si>
  <si>
    <t>Added to PY19 TRM v2.0</t>
  </si>
  <si>
    <t>Add new measure and calculation worksheet; have it be applicable for dual inverter driven window AC</t>
  </si>
  <si>
    <t>Add additional capacity bins to measure and calculation worksheet; expansion should be applicable for dual inverter driven window AC</t>
  </si>
  <si>
    <t>Expand measure and calculation worksheet to allow for retrofit of pre-2006 vintage AC units</t>
  </si>
  <si>
    <t>Made change in PY19 TRM v2.0</t>
  </si>
  <si>
    <t xml:space="preserve">Review and add new measure </t>
  </si>
  <si>
    <t xml:space="preserve">Introduced in Fall 2019 for PY19 TRM. </t>
  </si>
  <si>
    <t>Efficient equipment must be Design Light Consortium (DLC) listed.</t>
  </si>
  <si>
    <t>Baseline Wattage</t>
  </si>
  <si>
    <t>Appendix B SFW, per lamp averages across fixture types.</t>
  </si>
  <si>
    <t xml:space="preserve">LED Wattage </t>
  </si>
  <si>
    <t>Typical values from retailers.</t>
  </si>
  <si>
    <t>General service linear: Share of lamps installed in spaces with electric cooling</t>
  </si>
  <si>
    <t>Shop light: Share of lamps installed in spaces with electric cooling</t>
  </si>
  <si>
    <t>Assumes shop lights are installed in unconditioned shops and garages.</t>
  </si>
  <si>
    <t>AEG's Hawai‘i-specific simulation modeling.</t>
  </si>
  <si>
    <t>Annual hours of use</t>
  </si>
  <si>
    <t>DOE 2012 Residential Lighting End-Use Consumption Study.</t>
  </si>
  <si>
    <t>Table 1: Baseline and Energy Efficient Wattages</t>
  </si>
  <si>
    <t>Linear LED</t>
  </si>
  <si>
    <t>Shop Light</t>
  </si>
  <si>
    <t>AEG's 2019 Analysis File titled "PY19 TRM - Residential Additions - Draft_20191113 AEG reviewed."</t>
  </si>
  <si>
    <t>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https://www1.eere.energy.gov/buildings/publications/pdfs/ssl/2012_residential-lighting-study.pdf, Table 4.4.</t>
  </si>
  <si>
    <r>
      <t>W</t>
    </r>
    <r>
      <rPr>
        <vertAlign val="subscript"/>
        <sz val="10.5"/>
        <rFont val="Calibri"/>
        <family val="2"/>
        <scheme val="minor"/>
      </rPr>
      <t>base</t>
    </r>
  </si>
  <si>
    <r>
      <t>W</t>
    </r>
    <r>
      <rPr>
        <vertAlign val="subscript"/>
        <sz val="10.5"/>
        <rFont val="Calibri"/>
        <family val="2"/>
        <scheme val="minor"/>
      </rPr>
      <t>LED</t>
    </r>
  </si>
  <si>
    <r>
      <t>AEG's Fall 2018 Benchmarking for Residential LED measure.</t>
    </r>
    <r>
      <rPr>
        <vertAlign val="superscript"/>
        <sz val="10.5"/>
        <rFont val="Calibri"/>
        <family val="2"/>
        <scheme val="minor"/>
      </rPr>
      <t>1</t>
    </r>
  </si>
  <si>
    <r>
      <t>%</t>
    </r>
    <r>
      <rPr>
        <vertAlign val="subscript"/>
        <sz val="10.5"/>
        <rFont val="Calibri"/>
        <family val="2"/>
        <scheme val="minor"/>
      </rPr>
      <t>Cool</t>
    </r>
  </si>
  <si>
    <r>
      <t>IE</t>
    </r>
    <r>
      <rPr>
        <vertAlign val="subscript"/>
        <sz val="10.5"/>
        <rFont val="Calibri"/>
        <family val="2"/>
        <scheme val="minor"/>
      </rPr>
      <t>C,D</t>
    </r>
  </si>
  <si>
    <r>
      <t>IE</t>
    </r>
    <r>
      <rPr>
        <vertAlign val="subscript"/>
        <sz val="10.5"/>
        <rFont val="Calibri"/>
        <family val="2"/>
        <scheme val="minor"/>
      </rPr>
      <t>C,E</t>
    </r>
  </si>
  <si>
    <r>
      <t xml:space="preserve">AEG's Hawai‘i-specific simulation modeling. </t>
    </r>
    <r>
      <rPr>
        <vertAlign val="superscript"/>
        <sz val="10.5"/>
        <rFont val="Calibri"/>
        <family val="2"/>
        <scheme val="minor"/>
      </rPr>
      <t>2</t>
    </r>
  </si>
  <si>
    <r>
      <t xml:space="preserve">PF </t>
    </r>
    <r>
      <rPr>
        <vertAlign val="superscript"/>
        <sz val="10.5"/>
        <rFont val="Calibri"/>
        <family val="2"/>
      </rPr>
      <t>3</t>
    </r>
  </si>
  <si>
    <r>
      <t>EUL</t>
    </r>
    <r>
      <rPr>
        <vertAlign val="subscript"/>
        <sz val="10.5"/>
        <rFont val="Calibri"/>
        <family val="2"/>
        <scheme val="minor"/>
      </rPr>
      <t>LED</t>
    </r>
  </si>
  <si>
    <r>
      <rPr>
        <vertAlign val="superscript"/>
        <sz val="9"/>
        <rFont val="Calibri"/>
        <family val="2"/>
        <scheme val="minor"/>
      </rPr>
      <t>1</t>
    </r>
    <r>
      <rPr>
        <sz val="9"/>
        <rFont val="Calibri"/>
        <family val="2"/>
        <scheme val="minor"/>
      </rPr>
      <t xml:space="preserve"> AEG's ISR benchmarking was done specifically for the Residential LED measure, which applies to omnidirectional LED bulbs. Until further research can be carried out for linear LEDs, assume the ISRs for both measures would be similar.</t>
    </r>
  </si>
  <si>
    <r>
      <rPr>
        <vertAlign val="superscript"/>
        <sz val="9"/>
        <rFont val="Calibri"/>
        <family val="2"/>
        <scheme val="minor"/>
      </rPr>
      <t>2</t>
    </r>
    <r>
      <rPr>
        <sz val="9"/>
        <rFont val="Calibri"/>
        <family val="2"/>
        <scheme val="minor"/>
      </rPr>
      <t xml:space="preserve"> CF for general service linear assumes non-military home (CF=0.16). CF for shop light measure was reduced by 25% relative to general lighting value as a conservative assumption (CF=0.12).</t>
    </r>
  </si>
  <si>
    <r>
      <rPr>
        <vertAlign val="superscript"/>
        <sz val="9"/>
        <rFont val="Calibri"/>
        <family val="2"/>
        <scheme val="minor"/>
      </rPr>
      <t>3</t>
    </r>
    <r>
      <rPr>
        <sz val="9"/>
        <rFont val="Calibri"/>
        <family val="2"/>
        <scheme val="minor"/>
      </rPr>
      <t xml:space="preserve"> Use value of PF=1 until more data is available on PF of LEDs.</t>
    </r>
  </si>
  <si>
    <r>
      <t>W</t>
    </r>
    <r>
      <rPr>
        <b/>
        <i/>
        <vertAlign val="subscript"/>
        <sz val="10.5"/>
        <rFont val="Calibri"/>
        <family val="2"/>
        <scheme val="minor"/>
      </rPr>
      <t>base</t>
    </r>
  </si>
  <si>
    <r>
      <t>W</t>
    </r>
    <r>
      <rPr>
        <b/>
        <i/>
        <vertAlign val="subscript"/>
        <sz val="10.5"/>
        <rFont val="Calibri"/>
        <family val="2"/>
        <scheme val="minor"/>
      </rPr>
      <t>LED</t>
    </r>
  </si>
  <si>
    <t>LED Wattage</t>
  </si>
  <si>
    <t>2020 Illinois Statewide TRM.</t>
  </si>
  <si>
    <t>Based on rated lamp life and HOU.</t>
  </si>
  <si>
    <t>Security Light</t>
  </si>
  <si>
    <t>Porch Light</t>
  </si>
  <si>
    <t>AEG's 2018 Analysis Files titled "AEG HPUC Update of Residential Measures - Analysis file."</t>
  </si>
  <si>
    <t>2020 Illinois Statewide Technical Reference Manual, v8.0, Vol. 3: Residential Measures, Oct. 17, 2019, pg. 241.</t>
  </si>
  <si>
    <r>
      <rPr>
        <vertAlign val="superscript"/>
        <sz val="9"/>
        <rFont val="Calibri"/>
        <family val="2"/>
        <scheme val="minor"/>
      </rPr>
      <t>1</t>
    </r>
    <r>
      <rPr>
        <sz val="9"/>
        <rFont val="Calibri"/>
        <family val="2"/>
        <scheme val="minor"/>
      </rPr>
      <t xml:space="preserve"> AEG's ISR benchmarking was done specifically for the Residential LED measure, which applies to omnidirectional LED bulbs. Until further research can be carried out for PAR38 LEDs, assume the ISRs for both measures would be similar.</t>
    </r>
  </si>
  <si>
    <r>
      <rPr>
        <vertAlign val="superscript"/>
        <sz val="9"/>
        <rFont val="Calibri"/>
        <family val="2"/>
        <scheme val="minor"/>
      </rPr>
      <t>2</t>
    </r>
    <r>
      <rPr>
        <sz val="9"/>
        <rFont val="Calibri"/>
        <family val="2"/>
        <scheme val="minor"/>
      </rPr>
      <t xml:space="preserve"> Use value of PF=1 until more data is available on PF of LEDs.</t>
    </r>
  </si>
  <si>
    <t>The replacement of incandescent decorative holiday string lights with LED string lights .</t>
  </si>
  <si>
    <t>One bulb.</t>
  </si>
  <si>
    <t>String lighting with multiple incandescent mini bulbs.</t>
  </si>
  <si>
    <t>String lighting with LED mini bulbs.</t>
  </si>
  <si>
    <t>Benchmark of incandescent string lights at retail.</t>
  </si>
  <si>
    <t>Benchmark of LED string lights at retail.</t>
  </si>
  <si>
    <t>Reasonable estimate of EUL based on typical use and storage.</t>
  </si>
  <si>
    <r>
      <t xml:space="preserve">PF </t>
    </r>
    <r>
      <rPr>
        <vertAlign val="superscript"/>
        <sz val="10.5"/>
        <rFont val="Calibri"/>
        <family val="2"/>
      </rPr>
      <t>2</t>
    </r>
  </si>
  <si>
    <r>
      <rPr>
        <vertAlign val="superscript"/>
        <sz val="9"/>
        <rFont val="Calibri"/>
        <family val="2"/>
        <scheme val="minor"/>
      </rPr>
      <t>1</t>
    </r>
    <r>
      <rPr>
        <sz val="9"/>
        <rFont val="Calibri"/>
        <family val="2"/>
        <scheme val="minor"/>
      </rPr>
      <t xml:space="preserve"> AEG's ISR benchmarking was done specifically for the Residential LED measure, which applies to omnidirectional LED bulbs. Until further research can be carried out for string lights, assume the ISRs for both measures would be similar.</t>
    </r>
  </si>
  <si>
    <t>LED String Lights</t>
  </si>
  <si>
    <t>Engr. Estimate</t>
  </si>
  <si>
    <t>Capped at 25 yr</t>
  </si>
  <si>
    <t>LED Security Light</t>
  </si>
  <si>
    <t>Based on HOU</t>
  </si>
  <si>
    <t>Based on average lamp life, limited to 25 yrs.</t>
  </si>
  <si>
    <t xml:space="preserve">Type A installation: Ballast left in place; reduced savings due to losses and lifetime reduced to remaining useful life of existing ballast. </t>
  </si>
  <si>
    <t xml:space="preserve">Type B installation: Bypassing fluorescent ballast and utilizing internal LED driver. </t>
  </si>
  <si>
    <t xml:space="preserve">Type C installation: Removing fluorescent ballast and utilizing an external driver. </t>
  </si>
  <si>
    <t>Linear LED, Type A</t>
  </si>
  <si>
    <t>Linear LED, Type B or Type C</t>
  </si>
  <si>
    <r>
      <t xml:space="preserve">Linear LED, Type A 
</t>
    </r>
    <r>
      <rPr>
        <i/>
        <sz val="11"/>
        <rFont val="Calibri"/>
        <family val="2"/>
        <scheme val="minor"/>
      </rPr>
      <t>(Use if type is unknown)</t>
    </r>
  </si>
  <si>
    <t>Linear LED, Type B or C</t>
  </si>
  <si>
    <r>
      <rPr>
        <u/>
        <sz val="11"/>
        <rFont val="Calibri"/>
        <family val="2"/>
        <scheme val="minor"/>
      </rPr>
      <t>General service linear</t>
    </r>
    <r>
      <rPr>
        <sz val="11"/>
        <rFont val="Calibri"/>
        <family val="2"/>
        <scheme val="minor"/>
      </rPr>
      <t>: One-lamp 4' F32T8 fixture with electronic ballast.</t>
    </r>
  </si>
  <si>
    <r>
      <rPr>
        <u/>
        <sz val="11"/>
        <rFont val="Calibri"/>
        <family val="2"/>
        <scheme val="minor"/>
      </rPr>
      <t>Shop light</t>
    </r>
    <r>
      <rPr>
        <sz val="11"/>
        <rFont val="Calibri"/>
        <family val="2"/>
        <scheme val="minor"/>
      </rPr>
      <t>: Two-lamp 4' F32T8 fixture with electronic ballast.</t>
    </r>
  </si>
  <si>
    <r>
      <rPr>
        <u/>
        <sz val="11"/>
        <rFont val="Calibri"/>
        <family val="2"/>
        <scheme val="minor"/>
      </rPr>
      <t>Shop light</t>
    </r>
    <r>
      <rPr>
        <sz val="11"/>
        <rFont val="Calibri"/>
        <family val="2"/>
        <scheme val="minor"/>
      </rPr>
      <t>: One (1) 4' Integrated LED light with equivalent lumen output to a two-lamp 4' F32T8 fixture.</t>
    </r>
  </si>
  <si>
    <t>1st BL</t>
  </si>
  <si>
    <t>2nd BL</t>
  </si>
  <si>
    <t>Semi-Prescriptive Savings Calculator (based on count of mini bulbs per string)</t>
  </si>
  <si>
    <t>Number of bulbs/string</t>
  </si>
  <si>
    <t>Holiday String Light, per string</t>
  </si>
  <si>
    <t>Holiday String Light, per bulb</t>
  </si>
  <si>
    <t>Deemed Savings (per mini bulb)</t>
  </si>
  <si>
    <t>Efficient equipment must be Design Light Consortium (DLC) listed. Mini bulb count per string should be documented.</t>
  </si>
  <si>
    <t>Energy efficiency ratio of baseline unit for first (early replacement) baseline period, Vintage = pre-2006</t>
  </si>
  <si>
    <t>Energy efficiency ratio of baseline unit for first (early replacement) baseline period, Vintage = 2006 or later</t>
  </si>
  <si>
    <t>Seasonal energy efficiency ratio of baseline unit for first (early replacement) baseline period, Vintage = pre-2006</t>
  </si>
  <si>
    <t>Seasonal energy efficiency ratio of baseline unit for first (early replacement) baseline period, Vintage = 2006 or later</t>
  </si>
  <si>
    <t>Only used for Room AC</t>
  </si>
  <si>
    <r>
      <t>EER</t>
    </r>
    <r>
      <rPr>
        <b/>
        <vertAlign val="subscript"/>
        <sz val="11"/>
        <rFont val="Calibri"/>
        <family val="2"/>
        <scheme val="minor"/>
      </rPr>
      <t>BL</t>
    </r>
  </si>
  <si>
    <r>
      <t>SEER/CEER</t>
    </r>
    <r>
      <rPr>
        <b/>
        <vertAlign val="subscript"/>
        <sz val="11"/>
        <rFont val="Calibri"/>
        <family val="2"/>
        <scheme val="minor"/>
      </rPr>
      <t>BL,1</t>
    </r>
  </si>
  <si>
    <t xml:space="preserve">Notes: </t>
  </si>
  <si>
    <t>EER_EE_Min</t>
  </si>
  <si>
    <t>EER_EE_Base</t>
  </si>
  <si>
    <t>Is Room AC a Connected (Smart) System?</t>
  </si>
  <si>
    <t>The early removal and recycling of a pre-existing inefficient window air conditioning unit and replacement with a new ENERGY STAR qualifying unit, or the installation of a new ENERGY STAR unit without recycling a previous unit through the program. This measure applies to ENERGY STAR dual inverter driven window AC systems.</t>
  </si>
  <si>
    <t xml:space="preserve">High efficiency equipment is a new window AC unit without reverse cycle, with louvered sides, and a capacity range of less than 28,000 Btu/h that meets or exceeds the minimum requirements per the ENERGY STAR Product Specification for Room Air Conditioners, Version 4.1. (See Table 1.) This measure includes dual inverter window AC units that are ENERGY STAR certified. </t>
  </si>
  <si>
    <r>
      <t>The following equivalent full load hours and coincidence factors are recommended per building type based on EnergyPlus simulations of DOE prototypes with Honolulu weather (OpenEI datasets).</t>
    </r>
    <r>
      <rPr>
        <vertAlign val="superscript"/>
        <sz val="11"/>
        <rFont val="Calibri"/>
        <family val="2"/>
        <scheme val="minor"/>
      </rPr>
      <t>4</t>
    </r>
    <r>
      <rPr>
        <sz val="11"/>
        <rFont val="Calibri"/>
        <family val="2"/>
        <scheme val="minor"/>
      </rPr>
      <t xml:space="preserve"> Retrofits in cold storage and industrial facilities should be evaluated as custom measures unless the equipment is used for HVAC and not process cooling loads.</t>
    </r>
  </si>
  <si>
    <t>COMMERCIAL: Chiller Savings Calculator</t>
  </si>
  <si>
    <t>CEER_EE_Min</t>
  </si>
  <si>
    <t>CEER_EE_Base</t>
  </si>
  <si>
    <t>Large Hotel,
 100+ Rooms</t>
  </si>
  <si>
    <t>Small Hotel/Motel, 
&lt;100 Rooms</t>
  </si>
  <si>
    <t>Early Retirement; Early Replacement</t>
  </si>
  <si>
    <t>When equipment that is still functioning is replaced early because of a program intervention and energy savings benefits, this is referred to as "early retirement" or "early replacement." The remaining life of the existing equipment is estimated and adjustments are made to the benefits and the costs. An early retirement scenario occurs when existing, functional, actively used equipment is replaced with similar, higher efficiency equipment. The equipment being replaced should have at least one year of remaining useful life (RUL). In this case, a dual baseline will have to be considered, which uses the pre-existing equipment as the baseline for savings during the RUL period, and code requirement/industry standard practice baseline for estimating the balance of the EUL period for the new equipment.</t>
  </si>
  <si>
    <t>people/ house</t>
  </si>
  <si>
    <t>fixtures/ house</t>
  </si>
  <si>
    <t>Example only. Hawai'i Energy to fill in based on bulbs in incented strings.</t>
  </si>
  <si>
    <t xml:space="preserve">Qualified low-flow bathroom aerators and kitchen swivel aerators are provided directly by Hawai‘i Energy via online store or direct-install program. </t>
  </si>
  <si>
    <t>Unit Replacement with Turn-In Annual Energy Savings, kWh/yr</t>
  </si>
  <si>
    <t>2nd Unit Turn-In Only Annual Energy Savings, kWh/yr</t>
  </si>
  <si>
    <t>Replacement of linear 4-ft fluorescent lamps with linear LED lamps. Residential linear LEDs will be implemented through Hawai'i Energy's direct install program. Linear LEDs will also be a part of the upstream lighting program.</t>
  </si>
  <si>
    <r>
      <rPr>
        <u/>
        <sz val="11"/>
        <rFont val="Calibri"/>
        <family val="2"/>
        <scheme val="minor"/>
      </rPr>
      <t>General service linear</t>
    </r>
    <r>
      <rPr>
        <sz val="11"/>
        <rFont val="Calibri"/>
        <family val="2"/>
        <scheme val="minor"/>
      </rPr>
      <t>: One (1) 4' T8 LED with Type A, Type B, or Type C installation.*</t>
    </r>
  </si>
  <si>
    <t>*Note: As of January 2020, Hawai'i Energy plans for installations through the direct install program to be Type A. In addition, the installation type for LEDs purchased through the upstream program will be unknown, with a default of Type A. However, deemed savings for all options are included to keep the measure entry as generally applicable as possible in case the delivery approach changes in the future.</t>
  </si>
  <si>
    <r>
      <rPr>
        <u/>
        <sz val="11"/>
        <rFont val="Calibri"/>
        <family val="2"/>
        <scheme val="minor"/>
      </rPr>
      <t>Security Lights:</t>
    </r>
    <r>
      <rPr>
        <sz val="11"/>
        <rFont val="Calibri"/>
        <family val="2"/>
        <scheme val="minor"/>
      </rPr>
      <t xml:space="preserve"> (2) PAR38 ENERGY STAR LED </t>
    </r>
  </si>
  <si>
    <r>
      <rPr>
        <u/>
        <sz val="11"/>
        <rFont val="Calibri"/>
        <family val="2"/>
        <scheme val="minor"/>
      </rPr>
      <t>Porch Lights:</t>
    </r>
    <r>
      <rPr>
        <sz val="11"/>
        <rFont val="Calibri"/>
        <family val="2"/>
        <scheme val="minor"/>
      </rPr>
      <t xml:space="preserve"> (1) Omni-directional A19 ENERGY STAR LED </t>
    </r>
  </si>
  <si>
    <r>
      <t>EUL</t>
    </r>
    <r>
      <rPr>
        <b/>
        <i/>
        <vertAlign val="subscript"/>
        <sz val="10.5"/>
        <rFont val="Calibri"/>
        <family val="2"/>
        <scheme val="minor"/>
      </rPr>
      <t>LED</t>
    </r>
  </si>
  <si>
    <t>Update NTG ratio for upstream LEDs to include market effects</t>
  </si>
  <si>
    <t>Revised in PY19 TRM v2.0</t>
  </si>
  <si>
    <t>Energy Efficiency Manager</t>
  </si>
  <si>
    <r>
      <rPr>
        <vertAlign val="superscript"/>
        <sz val="9"/>
        <rFont val="Calibri"/>
        <family val="2"/>
      </rPr>
      <t>i</t>
    </r>
    <r>
      <rPr>
        <sz val="9"/>
        <rFont val="Calibri"/>
        <family val="2"/>
      </rPr>
      <t xml:space="preserve"> This value was updated for the PY19 TRM, v2.0 during the mid-year update. See the following memorandum for more information: LED Market Transformation Attribution to Hawai’i Energy, Memorandum, Prepared for Energy Efficiency Manager and Hawaii Public Utilities Commission, Prepared by Applied Energy Group, December 15, 2019.</t>
    </r>
  </si>
  <si>
    <t>4. LED Market Transformation Attribution to Hawai’i Energy, Memorandum, Prepared for Energy Efficiency Manager and Hawaii Public Utilities Commission, Prepared by Applied Energy Group, December 15, 2019.</t>
  </si>
  <si>
    <t>Assume average of 6 hours per day for 5 weeks.</t>
  </si>
  <si>
    <t>Average percentage of hours after sunset within 5pm to 9pm peak period. (Assumes average sunset time of 5:54 pm during holiday season.)</t>
  </si>
  <si>
    <r>
      <t xml:space="preserve">The Total Resource Benefit (TRB) is the estimated total net present value (NPV) of the avoided cost for the utility from the reduced lifetime demand (kW) and energy (kWh) from energy efficiency projects and measures. </t>
    </r>
    <r>
      <rPr>
        <b/>
        <sz val="11"/>
        <color theme="1"/>
        <rFont val="Calibri"/>
        <family val="2"/>
        <scheme val="minor"/>
      </rPr>
      <t xml:space="preserve">The avoided cost values should be multiplied by </t>
    </r>
    <r>
      <rPr>
        <b/>
        <u/>
        <sz val="11"/>
        <color theme="1"/>
        <rFont val="Calibri"/>
        <family val="2"/>
        <scheme val="minor"/>
      </rPr>
      <t>net customer-level savings</t>
    </r>
    <r>
      <rPr>
        <b/>
        <sz val="11"/>
        <color theme="1"/>
        <rFont val="Calibri"/>
        <family val="2"/>
        <scheme val="minor"/>
      </rPr>
      <t xml:space="preserve"> instead of net system-level savings for estimating the TRB.  This is because the avoided costs already account for transmission and distribution (T&amp;D) losses. </t>
    </r>
    <r>
      <rPr>
        <sz val="11"/>
        <color theme="1"/>
        <rFont val="Calibri"/>
        <family val="2"/>
        <scheme val="minor"/>
      </rPr>
      <t xml:space="preserve"> Per an email from Lisa Giang, HECO, to Steven Schiller dated 12/11/18 “T&amp;D losses are accounted for in the Companies estimates of the net generation required to meet customer demand.  The Companies electricity sales forecasts (e.g. kWh) are assumed to be energy consumption at an end user’s site.  The T&amp;D losses incurred to supply electricity to our customers are accounted for in the quantity of generation required by utility and independent power producers by adjusting or increasing the sales forecast by an estimated T&amp;D loss factor.”</t>
    </r>
  </si>
  <si>
    <t>Must meet 16 SEER minimum.</t>
  </si>
  <si>
    <r>
      <t>For PY19, all window AC units must meet or exceed the CEER</t>
    </r>
    <r>
      <rPr>
        <vertAlign val="subscript"/>
        <sz val="11"/>
        <color theme="1"/>
        <rFont val="Calibri"/>
        <family val="2"/>
        <scheme val="minor"/>
      </rPr>
      <t>Min</t>
    </r>
    <r>
      <rPr>
        <sz val="11"/>
        <color theme="1"/>
        <rFont val="Calibri"/>
        <family val="2"/>
        <scheme val="minor"/>
      </rPr>
      <t xml:space="preserve"> ENERGY STAR qualifications.</t>
    </r>
  </si>
  <si>
    <r>
      <t>For PY20 and later, standard window AC units that are not "Connected" (or, "Smart") must meet or exceed the CEER</t>
    </r>
    <r>
      <rPr>
        <vertAlign val="subscript"/>
        <sz val="11"/>
        <color theme="1"/>
        <rFont val="Calibri"/>
        <family val="2"/>
        <scheme val="minor"/>
      </rPr>
      <t>Base</t>
    </r>
    <r>
      <rPr>
        <sz val="11"/>
        <color theme="1"/>
        <rFont val="Calibri"/>
        <family val="2"/>
        <scheme val="minor"/>
      </rPr>
      <t xml:space="preserve"> qualifications. Connected (Smart) window ACs must meet or exceed the CEER</t>
    </r>
    <r>
      <rPr>
        <vertAlign val="subscript"/>
        <sz val="11"/>
        <color theme="1"/>
        <rFont val="Calibri"/>
        <family val="2"/>
        <scheme val="minor"/>
      </rPr>
      <t>Min</t>
    </r>
    <r>
      <rPr>
        <sz val="11"/>
        <color theme="1"/>
        <rFont val="Calibri"/>
        <family val="2"/>
        <scheme val="minor"/>
      </rPr>
      <t xml:space="preserve"> ENERGY STAR qualifications.</t>
    </r>
  </si>
  <si>
    <r>
      <t>EER</t>
    </r>
    <r>
      <rPr>
        <vertAlign val="subscript"/>
        <sz val="10.5"/>
        <rFont val="Calibri"/>
        <family val="2"/>
        <scheme val="minor"/>
      </rPr>
      <t>EE</t>
    </r>
    <r>
      <rPr>
        <sz val="10.5"/>
        <rFont val="Calibri"/>
        <family val="2"/>
        <scheme val="minor"/>
      </rPr>
      <t xml:space="preserve"> is assumed to be CEER</t>
    </r>
    <r>
      <rPr>
        <vertAlign val="subscript"/>
        <sz val="10.5"/>
        <rFont val="Calibri"/>
        <family val="2"/>
        <scheme val="minor"/>
      </rPr>
      <t>EE</t>
    </r>
    <r>
      <rPr>
        <sz val="10.5"/>
        <rFont val="Calibri"/>
        <family val="2"/>
        <scheme val="minor"/>
      </rPr>
      <t xml:space="preserve"> * 1.01 per ENERGY STAR data.</t>
    </r>
    <r>
      <rPr>
        <vertAlign val="superscript"/>
        <sz val="10.5"/>
        <rFont val="Calibri"/>
        <family val="2"/>
        <scheme val="minor"/>
      </rPr>
      <t xml:space="preserve">2 </t>
    </r>
  </si>
  <si>
    <r>
      <t>Must meet ENERGY STAR Version 4.1 minimum. For PY19, CEER</t>
    </r>
    <r>
      <rPr>
        <vertAlign val="subscript"/>
        <sz val="10.5"/>
        <rFont val="Calibri"/>
        <family val="2"/>
        <scheme val="minor"/>
      </rPr>
      <t>EE</t>
    </r>
    <r>
      <rPr>
        <sz val="10.5"/>
        <rFont val="Calibri"/>
        <family val="2"/>
        <scheme val="minor"/>
      </rPr>
      <t xml:space="preserve"> ≥ CEER</t>
    </r>
    <r>
      <rPr>
        <vertAlign val="subscript"/>
        <sz val="10.5"/>
        <rFont val="Calibri"/>
        <family val="2"/>
        <scheme val="minor"/>
      </rPr>
      <t>Min</t>
    </r>
    <r>
      <rPr>
        <sz val="10.5"/>
        <rFont val="Calibri"/>
        <family val="2"/>
        <scheme val="minor"/>
      </rPr>
      <t xml:space="preserve"> for all systems. For PY20 and later, CEER</t>
    </r>
    <r>
      <rPr>
        <vertAlign val="subscript"/>
        <sz val="10.5"/>
        <rFont val="Calibri"/>
        <family val="2"/>
        <scheme val="minor"/>
      </rPr>
      <t>EE</t>
    </r>
    <r>
      <rPr>
        <sz val="10.5"/>
        <rFont val="Calibri"/>
        <family val="2"/>
        <scheme val="minor"/>
      </rPr>
      <t xml:space="preserve"> ≥ CEER</t>
    </r>
    <r>
      <rPr>
        <vertAlign val="subscript"/>
        <sz val="10.5"/>
        <rFont val="Calibri"/>
        <family val="2"/>
        <scheme val="minor"/>
      </rPr>
      <t>Min</t>
    </r>
    <r>
      <rPr>
        <sz val="10.5"/>
        <rFont val="Calibri"/>
        <family val="2"/>
        <scheme val="minor"/>
      </rPr>
      <t xml:space="preserve"> for connected systems and  CEER</t>
    </r>
    <r>
      <rPr>
        <vertAlign val="subscript"/>
        <sz val="10.5"/>
        <rFont val="Calibri"/>
        <family val="2"/>
        <scheme val="minor"/>
      </rPr>
      <t>EE</t>
    </r>
    <r>
      <rPr>
        <sz val="10.5"/>
        <rFont val="Calibri"/>
        <family val="2"/>
        <scheme val="minor"/>
      </rPr>
      <t xml:space="preserve"> ≥ CEER</t>
    </r>
    <r>
      <rPr>
        <vertAlign val="subscript"/>
        <sz val="10.5"/>
        <rFont val="Calibri"/>
        <family val="2"/>
        <scheme val="minor"/>
      </rPr>
      <t>Base</t>
    </r>
    <r>
      <rPr>
        <sz val="10.5"/>
        <rFont val="Calibri"/>
        <family val="2"/>
        <scheme val="minor"/>
      </rPr>
      <t xml:space="preserve"> for standard systems.</t>
    </r>
    <r>
      <rPr>
        <vertAlign val="superscript"/>
        <sz val="10.5"/>
        <rFont val="Calibri"/>
        <family val="2"/>
        <scheme val="minor"/>
      </rPr>
      <t>3</t>
    </r>
    <r>
      <rPr>
        <sz val="10.5"/>
        <rFont val="Calibri"/>
        <family val="2"/>
        <scheme val="minor"/>
      </rPr>
      <t xml:space="preserve"> See Table 1.</t>
    </r>
  </si>
  <si>
    <r>
      <t>For PY19, all window AC units must meet or exceed the CEER</t>
    </r>
    <r>
      <rPr>
        <vertAlign val="subscript"/>
        <sz val="11"/>
        <rFont val="Calibri"/>
        <family val="2"/>
        <scheme val="minor"/>
      </rPr>
      <t>Min</t>
    </r>
    <r>
      <rPr>
        <sz val="11"/>
        <rFont val="Calibri"/>
        <family val="2"/>
        <scheme val="minor"/>
      </rPr>
      <t xml:space="preserve"> ENERGY STAR qualifications.</t>
    </r>
  </si>
  <si>
    <r>
      <t>For PY20 and later, standard window AC units that are not "Connected" (or, "Smart") must meet or exceed the CEER</t>
    </r>
    <r>
      <rPr>
        <vertAlign val="subscript"/>
        <sz val="11"/>
        <rFont val="Calibri"/>
        <family val="2"/>
        <scheme val="minor"/>
      </rPr>
      <t>Base</t>
    </r>
    <r>
      <rPr>
        <sz val="11"/>
        <rFont val="Calibri"/>
        <family val="2"/>
        <scheme val="minor"/>
      </rPr>
      <t xml:space="preserve"> qualifications. Connected (Smart) window ACs must meet or exceed the CEER</t>
    </r>
    <r>
      <rPr>
        <vertAlign val="subscript"/>
        <sz val="11"/>
        <rFont val="Calibri"/>
        <family val="2"/>
        <scheme val="minor"/>
      </rPr>
      <t>Min</t>
    </r>
    <r>
      <rPr>
        <sz val="11"/>
        <rFont val="Calibri"/>
        <family val="2"/>
        <scheme val="minor"/>
      </rPr>
      <t xml:space="preserve"> ENERGY STAR qualifications.</t>
    </r>
  </si>
  <si>
    <t>Note: CEER_EE_Base represents the minimum ENERGY STAR efficiency for standard Room AC systems, while CEER_EE_Min represents the minimum ENERGY STAR efficiency for "Connected" (Smart) Room AC systems. The stricter CEER_EE_Base requirements for standard Room AC systems will only apply for PY20 and later. For PY19, the CEER_EE_Min values will apply for both standard and "Connected" Room AC systems.</t>
  </si>
  <si>
    <t>Added to PY19 TRM v2.0; updated for v2.1 to clarify min. efficiency requirement</t>
  </si>
  <si>
    <t>Revised from one bin (8,000-13,999 Btu/h) to multiple bins for PY19 TRM v2.0; updated for v2.1 to clarify min. efficiency requirement</t>
  </si>
  <si>
    <t>R_HVAC_Ductless</t>
  </si>
  <si>
    <t>Change the minimum SEER to 16 SEER</t>
  </si>
  <si>
    <t>Revised in PY19 TRM v2.1</t>
  </si>
  <si>
    <t>An air-cooled VRF system is assumed to replace an air-cooled AC or air-source HP system, while a water-source VRF system is assumed to replace a water-source HP system.</t>
  </si>
  <si>
    <t>Systems with capacities ≥ 240,000 Btu/h in total</t>
  </si>
  <si>
    <t xml:space="preserve">Early retirement (ER) projects </t>
  </si>
  <si>
    <t>Water-Source HP</t>
  </si>
  <si>
    <t>&lt; 17,000 Btu/h</t>
  </si>
  <si>
    <t>≥ 17,000 and &lt; 65,000 Btu/h</t>
  </si>
  <si>
    <t>≥ 65,000 and &lt; 135,000 Btu/h</t>
  </si>
  <si>
    <r>
      <rPr>
        <sz val="11"/>
        <rFont val="Calibri"/>
        <family val="2"/>
      </rPr>
      <t>≥</t>
    </r>
    <r>
      <rPr>
        <sz val="11"/>
        <rFont val="Calibri"/>
        <family val="2"/>
        <scheme val="minor"/>
      </rPr>
      <t xml:space="preserve"> 135,000 Btu/h</t>
    </r>
  </si>
  <si>
    <t>Table 4: Equivalent Full Load Hours and Coincident Factors for Commercial Cooling in Hawai‘i</t>
  </si>
  <si>
    <t>COMMERCIAL: AC &amp; Heat Pump</t>
  </si>
  <si>
    <t>Like-for-like replacement of air conditioner (AC) and heat pump (HP) systems with higher efficiency models. Technologies include the following:</t>
  </si>
  <si>
    <t>Packaged terminal air conditioner (PTAC), standard and non-standard</t>
  </si>
  <si>
    <t>Packaged terminal heat pump (PTHP), standard and non-standard</t>
  </si>
  <si>
    <t>The following AC and HP projects should be evaluated using a custom approach:</t>
  </si>
  <si>
    <t>Split/single package AC and air-source HP systems with capacities ≥ 240,000 Btu/h in total</t>
  </si>
  <si>
    <t>Vertical AC and HP systems with capacities ≥ 240,000 Btu/h in total</t>
  </si>
  <si>
    <t>Water-source HP systems with capacities ≥ 135,000 Btu/h in total</t>
  </si>
  <si>
    <t>If not like-for-like replacement</t>
  </si>
  <si>
    <t>Installations in industrial or cold storage applications</t>
  </si>
  <si>
    <t>The baseline assumes the customer would install the minimum efficiency alternative in a like-for-like replacement.</t>
  </si>
  <si>
    <t>See Table 1 in C_HVAC_AC_HP_WKST</t>
  </si>
  <si>
    <t>See Table 4 in C_HVAC_AC_HP_WKST</t>
  </si>
  <si>
    <t>For calculations specific to the unit in question, please see the accompanying AC and HP calculation worksheet:</t>
  </si>
  <si>
    <t xml:space="preserve"> (C_HVAC_AC_HP_WKST)</t>
  </si>
  <si>
    <t>Commercial: Air Conditioning &amp; Heat Pump Savings Worksheet</t>
  </si>
  <si>
    <t>Enter AC or HP Type:</t>
  </si>
  <si>
    <t>PTHP (Non-Std)</t>
  </si>
  <si>
    <t>PTAC (Std)</t>
  </si>
  <si>
    <t>PTAC (Non-Std)</t>
  </si>
  <si>
    <t>PTHP (Std)</t>
  </si>
  <si>
    <t>Vertical AC or HP</t>
  </si>
  <si>
    <r>
      <rPr>
        <i/>
        <sz val="11"/>
        <color theme="1"/>
        <rFont val="Calibri"/>
        <family val="2"/>
        <scheme val="minor"/>
      </rPr>
      <t xml:space="preserve">Existing Measure Updates </t>
    </r>
    <r>
      <rPr>
        <sz val="11"/>
        <color theme="1"/>
        <rFont val="Calibri"/>
        <family val="2"/>
        <scheme val="minor"/>
      </rPr>
      <t>– Updates will be required for a number of reasons. Examples include increase in the federal or state code or standard for efficiency of a measure; new information from field tests; altered qualification criteria; increase in measure priority; changes in program delivery (e.g., direct installation to point-of-sale); move from custom to deemed or vice versa; decrease in measure cost; or a new evaluation that provides a better value of an assumption for a variable. As programs mature, characterizations need to be updated to meet the changes in the market and the program.</t>
    </r>
  </si>
  <si>
    <t>2019 Hawaii Statewide Baseline Energy Use Study, Prepared for the Hawaii Public Utilities Commission, Prepared by Applied Energy Group, 2020.</t>
  </si>
  <si>
    <t>EFLH &amp; CF</t>
  </si>
  <si>
    <t>Variable Frequency Drive Water Pump</t>
  </si>
  <si>
    <t>Energy Management System</t>
  </si>
  <si>
    <t>Variable Frequency Drive Booster Pump</t>
  </si>
  <si>
    <t>Holiday String Light</t>
  </si>
  <si>
    <t>Switch Plug Calculation</t>
  </si>
  <si>
    <t>Stairwell Bi-Level</t>
  </si>
  <si>
    <t>Changes from PY19</t>
  </si>
  <si>
    <t>List of changes made for PY20 TRM</t>
  </si>
  <si>
    <t>Cover Page</t>
  </si>
  <si>
    <t>Update of cover page for PY20 TRM</t>
  </si>
  <si>
    <t>C&amp;S Tracking</t>
  </si>
  <si>
    <t>Addition of Codes &amp; Standards tracking sheet</t>
  </si>
  <si>
    <t>Addition of detail to clarify how the TRB is calculated for single and dual baseline measures</t>
  </si>
  <si>
    <t>C_HVAC_AC &amp; Heat Pump, C_HVAC_AC_HP_WKST</t>
  </si>
  <si>
    <t>Complete review and update of measure description and calculation worksheet</t>
  </si>
  <si>
    <t>Addition of water-source VRFs to measure description and calculation worksheet</t>
  </si>
  <si>
    <t>C_HVAC_VRF, C_HVAC_VRF_WKST</t>
  </si>
  <si>
    <t>Update of dual baseline measures to clarify two baseline periods; update of measures affected by EISA legislation to address recent rulings</t>
  </si>
  <si>
    <t>Update to address recent rulings related to EISA</t>
  </si>
  <si>
    <t>Update to clarify two baseline periods</t>
  </si>
  <si>
    <t>Addition of detail to clarify how savings are calculated for this measure</t>
  </si>
  <si>
    <t>Update of shares of homes with electric clothes dryers and electric water heating</t>
  </si>
  <si>
    <t>Update of shares of homes with electric water heating</t>
  </si>
  <si>
    <t>Clarification of the dual baseline savings as well as adjustments to savings for units turned in through the program</t>
  </si>
  <si>
    <t>R_HVAC_Whole House Fan</t>
  </si>
  <si>
    <t>R_HVAC_Solar Attic Fan</t>
  </si>
  <si>
    <t>Complete review and update of measure</t>
  </si>
  <si>
    <t>Update of shares of homes with air conditioning</t>
  </si>
  <si>
    <t>Update to address recent rulings related to EISA; update of shares of homes with air conditioning</t>
  </si>
  <si>
    <t>Updated counts of audio / visual and computing equipment; unhid row</t>
  </si>
  <si>
    <t>R_WH_Heat Pump</t>
  </si>
  <si>
    <t>Update of average number of occupants by home type and county</t>
  </si>
  <si>
    <t xml:space="preserve">Annual energy usage of turned-in refrigerator </t>
  </si>
  <si>
    <t>Annual energy usage of turned-in freezer</t>
  </si>
  <si>
    <r>
      <rPr>
        <b/>
        <u/>
        <sz val="9"/>
        <color rgb="FFFF0000"/>
        <rFont val="Calibri"/>
        <family val="2"/>
        <scheme val="minor"/>
      </rPr>
      <t>NOTE</t>
    </r>
    <r>
      <rPr>
        <b/>
        <sz val="9"/>
        <color rgb="FFFF0000"/>
        <rFont val="Calibri"/>
        <family val="2"/>
        <scheme val="minor"/>
      </rPr>
      <t>:</t>
    </r>
    <r>
      <rPr>
        <sz val="9"/>
        <color rgb="FFFF0000"/>
        <rFont val="Calibri"/>
        <family val="2"/>
        <scheme val="minor"/>
      </rPr>
      <t xml:space="preserve"> Lifetime Energy Savings and Total Resource Benefits (TRBs) must be calculated using a combination of two baseline periods: 1) new refrigerator (EUL = 14 yr) and 2) turned-in refrigerator (RUL = 8 yr).</t>
    </r>
  </si>
  <si>
    <t xml:space="preserve">Peak Demand Savings, kW </t>
  </si>
  <si>
    <r>
      <rPr>
        <b/>
        <u/>
        <sz val="9"/>
        <color rgb="FFFF0000"/>
        <rFont val="Calibri"/>
        <family val="2"/>
        <scheme val="minor"/>
      </rPr>
      <t>NOTE</t>
    </r>
    <r>
      <rPr>
        <b/>
        <sz val="9"/>
        <color rgb="FFFF0000"/>
        <rFont val="Calibri"/>
        <family val="2"/>
        <scheme val="minor"/>
      </rPr>
      <t>:</t>
    </r>
    <r>
      <rPr>
        <sz val="9"/>
        <color rgb="FFFF0000"/>
        <rFont val="Calibri"/>
        <family val="2"/>
        <scheme val="minor"/>
      </rPr>
      <t xml:space="preserve"> Lifetime Energy Savings and Total Resource Benefits (TRBs) must be calculated using a combination of two baseline periods: 1) new freezer (EUL = 17 yr) and 2) turned-in freezer (RUL = 7 yr).</t>
    </r>
  </si>
  <si>
    <t xml:space="preserve">AEG's Analysis Files titled "AEG HPUC Dual BL and TRB - Analysis File" and "AEG HPUC Update of Residential Measures - Analysis file." </t>
  </si>
  <si>
    <t>ENERGY STAR, Flip Your Fridge Calculator, https://www.energystar.gov/index.cfm?fuseaction=refrig.calculator, accessed January 21, 2020.</t>
  </si>
  <si>
    <r>
      <t>E</t>
    </r>
    <r>
      <rPr>
        <vertAlign val="subscript"/>
        <sz val="10.5"/>
        <rFont val="Calibri"/>
        <family val="2"/>
        <scheme val="minor"/>
      </rPr>
      <t>Turn-in</t>
    </r>
  </si>
  <si>
    <r>
      <t xml:space="preserve">ENERGY STAR "Flip Your Fridge Calculator" </t>
    </r>
    <r>
      <rPr>
        <vertAlign val="superscript"/>
        <sz val="10.5"/>
        <rFont val="Calibri"/>
        <family val="2"/>
        <scheme val="minor"/>
      </rPr>
      <t>4</t>
    </r>
  </si>
  <si>
    <r>
      <rPr>
        <vertAlign val="superscript"/>
        <sz val="9"/>
        <rFont val="Calibri"/>
        <family val="2"/>
        <scheme val="minor"/>
      </rPr>
      <t>4</t>
    </r>
    <r>
      <rPr>
        <sz val="9"/>
        <rFont val="Calibri"/>
        <family val="2"/>
        <scheme val="minor"/>
      </rPr>
      <t xml:space="preserve"> Source: ENERGY STAR "Flip Your Fridge" calculator, &lt;https://www.energystar.gov/index.cfm?fuseaction=refrig.calculator&gt;, accessed on January 21, 2020. Average of five refrigerator types (top, bottom, side, French, 4-door); capacity: 19.0-21.4 cu ft; model year: 2001-2010. Average of two freezer types (upright, chest); capacity: &lt; 16.5 cu ft; model year: 2001-2010. Recommend updating with Hawai‘i-specific data on the types/ages of units turned-in through the program in future TRM update.</t>
    </r>
  </si>
  <si>
    <r>
      <t xml:space="preserve">1st BL: New + Turn-in </t>
    </r>
    <r>
      <rPr>
        <b/>
        <vertAlign val="superscript"/>
        <sz val="10.5"/>
        <rFont val="Calibri"/>
        <family val="2"/>
        <scheme val="minor"/>
      </rPr>
      <t>1</t>
    </r>
  </si>
  <si>
    <r>
      <t xml:space="preserve">2nd BL: New Only </t>
    </r>
    <r>
      <rPr>
        <b/>
        <vertAlign val="superscript"/>
        <sz val="10.5"/>
        <rFont val="Calibri"/>
        <family val="2"/>
        <scheme val="minor"/>
      </rPr>
      <t>2</t>
    </r>
  </si>
  <si>
    <r>
      <rPr>
        <vertAlign val="superscript"/>
        <sz val="9"/>
        <rFont val="Calibri"/>
        <family val="2"/>
        <scheme val="minor"/>
      </rPr>
      <t>1</t>
    </r>
    <r>
      <rPr>
        <sz val="9"/>
        <rFont val="Calibri"/>
        <family val="2"/>
        <scheme val="minor"/>
      </rPr>
      <t xml:space="preserve"> Use for Years 1 through 8 in TRB calculation.</t>
    </r>
  </si>
  <si>
    <r>
      <rPr>
        <vertAlign val="superscript"/>
        <sz val="9"/>
        <rFont val="Calibri"/>
        <family val="2"/>
        <scheme val="minor"/>
      </rPr>
      <t>2</t>
    </r>
    <r>
      <rPr>
        <sz val="9"/>
        <rFont val="Calibri"/>
        <family val="2"/>
        <scheme val="minor"/>
      </rPr>
      <t xml:space="preserve"> Use for Years 9 through 14 in TRB calculation.</t>
    </r>
  </si>
  <si>
    <r>
      <rPr>
        <vertAlign val="superscript"/>
        <sz val="9"/>
        <rFont val="Calibri"/>
        <family val="2"/>
        <scheme val="minor"/>
      </rPr>
      <t>1</t>
    </r>
    <r>
      <rPr>
        <sz val="9"/>
        <rFont val="Calibri"/>
        <family val="2"/>
        <scheme val="minor"/>
      </rPr>
      <t xml:space="preserve"> Use for Years 1 through 7 in TRB calculation.</t>
    </r>
  </si>
  <si>
    <r>
      <rPr>
        <vertAlign val="superscript"/>
        <sz val="9"/>
        <rFont val="Calibri"/>
        <family val="2"/>
        <scheme val="minor"/>
      </rPr>
      <t>2</t>
    </r>
    <r>
      <rPr>
        <sz val="9"/>
        <rFont val="Calibri"/>
        <family val="2"/>
        <scheme val="minor"/>
      </rPr>
      <t xml:space="preserve"> Use for Years 8 through 17 in TRB calculation.</t>
    </r>
  </si>
  <si>
    <t>Annual Savings: Early Replacement, Dual Baseline</t>
  </si>
  <si>
    <t>Annual Savings: Replace on Burnout, Single Baseline</t>
  </si>
  <si>
    <t>The Energy Advantage program provides qualifying participants with lighting upgrades at significantly reduced prices. This program falls under Hawai'i Energy's Business Hard to Reach (BHTR) program and is sometimes referred to as the Small Business Direct Install Lighting (SBDIL) program. It uses a software tool referred to as "Amplify" for tracking projects and calculating energy and demand savings.</t>
  </si>
  <si>
    <t>Qualifying participants are as follows:</t>
  </si>
  <si>
    <t>Restaurants.</t>
  </si>
  <si>
    <t>See &lt;https://hawaiienergy.com/for-businesses/energy-advantage-program&gt; for more information.</t>
  </si>
  <si>
    <t xml:space="preserve">The replacement lighting must be on the Consortium for Energy Efficiency's (CEE's) most recent Commercial Lighting Qualifying Products List, have an ENERGY STAR label, or be on DesignLights Consortium's Qualified Product List (DLC QPL). </t>
  </si>
  <si>
    <t>Custom number of lamps/fixtures.</t>
  </si>
  <si>
    <t>All early retirement projects require a dual baseline. The first baseline is the pre-existing lighting fixtures and controls. The pre-existing equipment is assumed to have a remaining useful life (RUL) of one-third of the Effective Useful Life (EUL) of the pre-existing lamp fixtures and controls. The second baseline must comply with the federal requirements in effect at the end of the pre-existing equipment's RUL. Only lighting systems that are in working order at the time of the replacement qualify for early retirement. If the pre-existing lighting cannot be verified to be in working order, a replace on burnout (ROB) baseline must be used.</t>
  </si>
  <si>
    <t xml:space="preserve">The high efficiency case is an upgraded lighting system that meets program criteria and exceeds minimum federal requirements. </t>
  </si>
  <si>
    <t>Hours of Use per Year, hr/yr</t>
  </si>
  <si>
    <t xml:space="preserve">Lifetime Energy Savings, kWh </t>
  </si>
  <si>
    <t>Remaining Useful Life</t>
  </si>
  <si>
    <t>Wattage of pre-existing lighting fixture</t>
  </si>
  <si>
    <t>Wattage of a comparable lighting fixture that meets minimum federal requirements</t>
  </si>
  <si>
    <t>Must meet federal requirements in effect as of end of the pre-existing fixture's RUL.</t>
  </si>
  <si>
    <t>Wattage of installed energy efficient lighting fixture</t>
  </si>
  <si>
    <t>Must meet program criteria.</t>
  </si>
  <si>
    <t>Number of pre-existing fixtures</t>
  </si>
  <si>
    <t>Number of installed efficient fixtures</t>
  </si>
  <si>
    <t>Runtime reduction factor from pre-existing lighting controls</t>
  </si>
  <si>
    <t>Default for occupancy sensors is RTR = 0.24. (See "C_Light_Occupancy Sensor" sheet.)</t>
  </si>
  <si>
    <t>Runtime reduction factor from lighting controls that meet minimum federal requirements</t>
  </si>
  <si>
    <t>Runtime reduction factor from installed lighting controls</t>
  </si>
  <si>
    <t>For default CF values, see Table 3 of "C_Light_General" sheet.</t>
  </si>
  <si>
    <t>Effective useful life of pre-existing lighting</t>
  </si>
  <si>
    <t>Remaining useful life of pre-existing lighting</t>
  </si>
  <si>
    <t>Effective useful life of efficient lighting</t>
  </si>
  <si>
    <t>KEY VARIABLES FROM AMPLIFY TOOL</t>
  </si>
  <si>
    <t>A number of variables are tracked in the Amplify database. As of PY18, the key variables used to estimate demand and energy savings for a given Rebate ID are listed below:</t>
  </si>
  <si>
    <t>Amplify Variable</t>
  </si>
  <si>
    <t>RebateId</t>
  </si>
  <si>
    <t>Rebate ID</t>
  </si>
  <si>
    <t>Equipment_Id</t>
  </si>
  <si>
    <t>Equipment ID; there may be more than one equipment ID per rebate</t>
  </si>
  <si>
    <t>predominant_space_type</t>
  </si>
  <si>
    <t>The predominant space type, which generally maps to building types</t>
  </si>
  <si>
    <t>Application_Status__c</t>
  </si>
  <si>
    <t>Status of the application (e.g., check mailed, cancelled)</t>
  </si>
  <si>
    <t>Is_Exterior</t>
  </si>
  <si>
    <t>Indicator for exterior lighting</t>
  </si>
  <si>
    <t>area_cooling_description</t>
  </si>
  <si>
    <t>Description of type of cooling in the space</t>
  </si>
  <si>
    <t>pre_control_factor_type</t>
  </si>
  <si>
    <t>Type of pre-existing controls</t>
  </si>
  <si>
    <t>post_control_factor_type</t>
  </si>
  <si>
    <t>Type of installed controls</t>
  </si>
  <si>
    <t>pre_fixture_wattage</t>
  </si>
  <si>
    <t>pre_fixture_quantity</t>
  </si>
  <si>
    <t>post_fixture_wattage</t>
  </si>
  <si>
    <t>post_fixture_quantity</t>
  </si>
  <si>
    <t>eflh</t>
  </si>
  <si>
    <t>Coincidence factor, CF</t>
  </si>
  <si>
    <t>Interactive_Factor_Value_Demand</t>
  </si>
  <si>
    <t>Interactive_Factor_Value_Energy</t>
  </si>
  <si>
    <t>pre_control_factor</t>
  </si>
  <si>
    <t>post_control_factor</t>
  </si>
  <si>
    <t>Tetra Tech's summary of the PY18 Energy Advantage verification process. Filename: "Energy Advantage Lighting Verification Methodology_30Dec2019 V1."</t>
  </si>
  <si>
    <t>Hawai'i Energy's Energy Advantage webpage, &lt;https://hawaiienergy.com/for-businesses/energy-advantage-program&gt;, accessed Jan. 2, 2020.</t>
  </si>
  <si>
    <t>In the case of the delamping measure, the replacement lamp (with an added reflector as needed) must be of sufficient brightness to meet the requirements of the space. For delamping, the lamp and lamp holder ("tombstone") must be permanently removed.</t>
  </si>
  <si>
    <t>Prior to installation of the lighting upgrades, participants must sign an Energy Advantage Program Project Commitment Letter, which states the following: “I have been given an on-site demonstration by (Contractor) of the replacement lighting that I will be receiving, and it appears that the lighting level, intensity, and color will be a suitable replacement for the lighting currently in place.”</t>
  </si>
  <si>
    <r>
      <t xml:space="preserve">Each Energy Advantage application contains one or more Spaces, which represent different parts of a building affected by a project. Within each space the user selects the existing lighting equipment (e.g. base case) and the new lighting equipment (e.g. enhanced case) from the Amplify database, which has wattage values sourced from the product’s specification.  </t>
    </r>
    <r>
      <rPr>
        <b/>
        <sz val="11"/>
        <rFont val="Calibri"/>
        <family val="2"/>
        <scheme val="minor"/>
      </rPr>
      <t>Direct install or other early retirement projects that use pre-existing equipment for the baseline must use a dual baseline approach for lifetime savings to account for recent and forthcoming changes in federal requirements.</t>
    </r>
  </si>
  <si>
    <r>
      <t xml:space="preserve">Where: </t>
    </r>
    <r>
      <rPr>
        <i/>
        <sz val="11"/>
        <rFont val="Calibri"/>
        <family val="2"/>
        <scheme val="minor"/>
      </rPr>
      <t>Hours</t>
    </r>
    <r>
      <rPr>
        <i/>
        <vertAlign val="subscript"/>
        <sz val="11"/>
        <rFont val="Calibri"/>
        <family val="2"/>
        <scheme val="minor"/>
      </rPr>
      <t>day of week</t>
    </r>
    <r>
      <rPr>
        <sz val="11"/>
        <rFont val="Calibri"/>
        <family val="2"/>
        <scheme val="minor"/>
      </rPr>
      <t xml:space="preserve"> is evaluated for each day of the week and is equal to:</t>
    </r>
  </si>
  <si>
    <r>
      <t>HOU</t>
    </r>
    <r>
      <rPr>
        <vertAlign val="subscript"/>
        <sz val="10.5"/>
        <rFont val="Calibri"/>
        <family val="2"/>
        <scheme val="minor"/>
      </rPr>
      <t>year</t>
    </r>
  </si>
  <si>
    <r>
      <t>kW</t>
    </r>
    <r>
      <rPr>
        <vertAlign val="subscript"/>
        <sz val="10.5"/>
        <rFont val="Calibri"/>
        <family val="2"/>
        <scheme val="minor"/>
      </rPr>
      <t>pre</t>
    </r>
  </si>
  <si>
    <r>
      <t>kW</t>
    </r>
    <r>
      <rPr>
        <vertAlign val="subscript"/>
        <sz val="10.5"/>
        <rFont val="Calibri"/>
        <family val="2"/>
        <scheme val="minor"/>
      </rPr>
      <t>Fed</t>
    </r>
  </si>
  <si>
    <r>
      <t>kW</t>
    </r>
    <r>
      <rPr>
        <vertAlign val="subscript"/>
        <sz val="10.5"/>
        <rFont val="Calibri"/>
        <family val="2"/>
        <scheme val="minor"/>
      </rPr>
      <t>EE</t>
    </r>
  </si>
  <si>
    <r>
      <t>#fixture</t>
    </r>
    <r>
      <rPr>
        <vertAlign val="subscript"/>
        <sz val="10.5"/>
        <rFont val="Calibri"/>
        <family val="2"/>
        <scheme val="minor"/>
      </rPr>
      <t>pre</t>
    </r>
  </si>
  <si>
    <r>
      <t>#fixture</t>
    </r>
    <r>
      <rPr>
        <vertAlign val="subscript"/>
        <sz val="10.5"/>
        <rFont val="Calibri"/>
        <family val="2"/>
        <scheme val="minor"/>
      </rPr>
      <t>post</t>
    </r>
  </si>
  <si>
    <r>
      <t>RTR</t>
    </r>
    <r>
      <rPr>
        <vertAlign val="subscript"/>
        <sz val="10.5"/>
        <rFont val="Calibri"/>
        <family val="2"/>
        <scheme val="minor"/>
      </rPr>
      <t>pre</t>
    </r>
  </si>
  <si>
    <r>
      <t>RTR</t>
    </r>
    <r>
      <rPr>
        <vertAlign val="subscript"/>
        <sz val="10.5"/>
        <rFont val="Calibri"/>
        <family val="2"/>
        <scheme val="minor"/>
      </rPr>
      <t>Fed</t>
    </r>
  </si>
  <si>
    <r>
      <t>RTR</t>
    </r>
    <r>
      <rPr>
        <vertAlign val="subscript"/>
        <sz val="10.5"/>
        <rFont val="Calibri"/>
        <family val="2"/>
        <scheme val="minor"/>
      </rPr>
      <t>post</t>
    </r>
  </si>
  <si>
    <r>
      <t>For default IE</t>
    </r>
    <r>
      <rPr>
        <vertAlign val="subscript"/>
        <sz val="10.5"/>
        <rFont val="Calibri"/>
        <family val="2"/>
        <scheme val="minor"/>
      </rPr>
      <t>C,D</t>
    </r>
    <r>
      <rPr>
        <sz val="10.5"/>
        <rFont val="Calibri"/>
        <family val="2"/>
        <scheme val="minor"/>
      </rPr>
      <t xml:space="preserve"> values, see Table 4 of "C_Light_General" sheet.</t>
    </r>
  </si>
  <si>
    <r>
      <t>EUL</t>
    </r>
    <r>
      <rPr>
        <vertAlign val="subscript"/>
        <sz val="10.5"/>
        <rFont val="Calibri"/>
        <family val="2"/>
        <scheme val="minor"/>
      </rPr>
      <t>pre-existing</t>
    </r>
  </si>
  <si>
    <r>
      <t>Calculated by dividing rated lamp life by HOU</t>
    </r>
    <r>
      <rPr>
        <vertAlign val="subscript"/>
        <sz val="10.5"/>
        <rFont val="Calibri"/>
        <family val="2"/>
        <scheme val="minor"/>
      </rPr>
      <t>year</t>
    </r>
    <r>
      <rPr>
        <sz val="10.5"/>
        <rFont val="Calibri"/>
        <family val="2"/>
        <scheme val="minor"/>
      </rPr>
      <t xml:space="preserve"> and setting upperbound EUL = 25 yr and lowerbound EUL = 1 yr.</t>
    </r>
  </si>
  <si>
    <r>
      <t>Calculated with Equation 7 based on EUL</t>
    </r>
    <r>
      <rPr>
        <vertAlign val="subscript"/>
        <sz val="10.5"/>
        <rFont val="Calibri"/>
        <family val="2"/>
        <scheme val="minor"/>
      </rPr>
      <t>pre-existing</t>
    </r>
    <r>
      <rPr>
        <sz val="10.5"/>
        <rFont val="Calibri"/>
        <family val="2"/>
        <scheme val="minor"/>
      </rPr>
      <t>.</t>
    </r>
  </si>
  <si>
    <r>
      <t>EUL</t>
    </r>
    <r>
      <rPr>
        <vertAlign val="subscript"/>
        <sz val="10.5"/>
        <rFont val="Calibri"/>
        <family val="2"/>
        <scheme val="minor"/>
      </rPr>
      <t>EE</t>
    </r>
  </si>
  <si>
    <r>
      <t>Pre-existing fixture wattage, kW</t>
    </r>
    <r>
      <rPr>
        <vertAlign val="subscript"/>
        <sz val="11"/>
        <rFont val="Calibri"/>
        <family val="2"/>
        <scheme val="minor"/>
      </rPr>
      <t>pre</t>
    </r>
    <r>
      <rPr>
        <sz val="11"/>
        <rFont val="Calibri"/>
        <family val="2"/>
        <scheme val="minor"/>
      </rPr>
      <t>/1000</t>
    </r>
  </si>
  <si>
    <r>
      <t>Pre-existing fixture quantity, #fixture</t>
    </r>
    <r>
      <rPr>
        <vertAlign val="subscript"/>
        <sz val="11"/>
        <rFont val="Calibri"/>
        <family val="2"/>
        <scheme val="minor"/>
      </rPr>
      <t>pre</t>
    </r>
  </si>
  <si>
    <r>
      <t>Installed fixture wattage, kW</t>
    </r>
    <r>
      <rPr>
        <vertAlign val="subscript"/>
        <sz val="11"/>
        <rFont val="Calibri"/>
        <family val="2"/>
        <scheme val="minor"/>
      </rPr>
      <t>post</t>
    </r>
    <r>
      <rPr>
        <sz val="11"/>
        <rFont val="Calibri"/>
        <family val="2"/>
        <scheme val="minor"/>
      </rPr>
      <t>/1000</t>
    </r>
  </si>
  <si>
    <r>
      <t>Installed fixture quantity, #fixture</t>
    </r>
    <r>
      <rPr>
        <vertAlign val="subscript"/>
        <sz val="11"/>
        <rFont val="Calibri"/>
        <family val="2"/>
        <scheme val="minor"/>
      </rPr>
      <t>post</t>
    </r>
  </si>
  <si>
    <r>
      <t>Annual hours of use, HOU</t>
    </r>
    <r>
      <rPr>
        <vertAlign val="subscript"/>
        <sz val="11"/>
        <rFont val="Calibri"/>
        <family val="2"/>
        <scheme val="minor"/>
      </rPr>
      <t>year</t>
    </r>
  </si>
  <si>
    <r>
      <rPr>
        <sz val="7"/>
        <rFont val="Times New Roman"/>
        <family val="1"/>
      </rPr>
      <t>C</t>
    </r>
    <r>
      <rPr>
        <sz val="11"/>
        <rFont val="Calibri"/>
        <family val="2"/>
        <scheme val="minor"/>
      </rPr>
      <t>oincidence_factor</t>
    </r>
  </si>
  <si>
    <r>
      <t>Interactive effects factor for demand minus 1, IE</t>
    </r>
    <r>
      <rPr>
        <vertAlign val="subscript"/>
        <sz val="11"/>
        <rFont val="Calibri"/>
        <family val="2"/>
        <scheme val="minor"/>
      </rPr>
      <t>C,D</t>
    </r>
    <r>
      <rPr>
        <sz val="11"/>
        <rFont val="Calibri"/>
        <family val="2"/>
        <scheme val="minor"/>
      </rPr>
      <t xml:space="preserve"> - 1</t>
    </r>
  </si>
  <si>
    <r>
      <t>Interactive effects factor for energy minus 1, IE</t>
    </r>
    <r>
      <rPr>
        <vertAlign val="subscript"/>
        <sz val="11"/>
        <rFont val="Calibri"/>
        <family val="2"/>
        <scheme val="minor"/>
      </rPr>
      <t>C,E</t>
    </r>
    <r>
      <rPr>
        <sz val="11"/>
        <rFont val="Calibri"/>
        <family val="2"/>
        <scheme val="minor"/>
      </rPr>
      <t xml:space="preserve"> - 1</t>
    </r>
  </si>
  <si>
    <r>
      <t>Runtime reduction factor for pre-existing controls, RTR</t>
    </r>
    <r>
      <rPr>
        <vertAlign val="subscript"/>
        <sz val="11"/>
        <rFont val="Calibri"/>
        <family val="2"/>
        <scheme val="minor"/>
      </rPr>
      <t>pre</t>
    </r>
  </si>
  <si>
    <r>
      <t>Runtime reduction factor for installed controls, RTR</t>
    </r>
    <r>
      <rPr>
        <vertAlign val="subscript"/>
        <sz val="11"/>
        <rFont val="Calibri"/>
        <family val="2"/>
        <scheme val="minor"/>
      </rPr>
      <t>post</t>
    </r>
  </si>
  <si>
    <r>
      <t>Additional variables will be needed to estimate savings using the dual baseline approach, including kW</t>
    </r>
    <r>
      <rPr>
        <vertAlign val="subscript"/>
        <sz val="11"/>
        <rFont val="Calibri"/>
        <family val="2"/>
        <scheme val="minor"/>
      </rPr>
      <t>Fed</t>
    </r>
    <r>
      <rPr>
        <sz val="11"/>
        <rFont val="Calibri"/>
        <family val="2"/>
        <scheme val="minor"/>
      </rPr>
      <t>, RTR</t>
    </r>
    <r>
      <rPr>
        <vertAlign val="subscript"/>
        <sz val="11"/>
        <rFont val="Calibri"/>
        <family val="2"/>
        <scheme val="minor"/>
      </rPr>
      <t>Fed</t>
    </r>
    <r>
      <rPr>
        <sz val="11"/>
        <rFont val="Calibri"/>
        <family val="2"/>
        <scheme val="minor"/>
      </rPr>
      <t>, EUL</t>
    </r>
    <r>
      <rPr>
        <vertAlign val="subscript"/>
        <sz val="11"/>
        <rFont val="Calibri"/>
        <family val="2"/>
        <scheme val="minor"/>
      </rPr>
      <t>pre-existing</t>
    </r>
    <r>
      <rPr>
        <sz val="11"/>
        <rFont val="Calibri"/>
        <family val="2"/>
        <scheme val="minor"/>
      </rPr>
      <t>, and EUL</t>
    </r>
    <r>
      <rPr>
        <vertAlign val="subscript"/>
        <sz val="11"/>
        <rFont val="Calibri"/>
        <family val="2"/>
        <scheme val="minor"/>
      </rPr>
      <t>EE</t>
    </r>
    <r>
      <rPr>
        <sz val="11"/>
        <rFont val="Calibri"/>
        <family val="2"/>
        <scheme val="minor"/>
      </rPr>
      <t>.</t>
    </r>
  </si>
  <si>
    <t>2019 Hawaii Statewide Baseline Energy Use Study, Prepared for Hawaii Public Utilities Commission, Prepared by Applied Energy Group, 2020. Derived from responses to Q20, Q27, Q35, and Q40L of the residential phone / audit survey.</t>
  </si>
  <si>
    <t>2019 Hawaii Statewide Baseline Energy Use Study, Prepared for Hawaii Public Utilities Commission, Prepared by Applied Energy Group, 2020. Derived from responses to Q47 of the residential phone / audit survey.</t>
  </si>
  <si>
    <t>2019 Hawaii Statewide Baseline Energy Use Study, Prepared for Hawaii Public Utilities Commission, Prepared by Applied Energy Group, 2020. Derived from Figure 3-9.</t>
  </si>
  <si>
    <t>Enter Occupancy of Home (default of 3.16 people)</t>
  </si>
  <si>
    <t>Source: 2019 Hawaii Statewide Baseline Energy Use Study, Prepared for Hawaii Public Utilities Commission, Prepared by Applied Energy Group, 2020. Derived from responses to Q71 of the residential phone / audit survey. (Military occupancy is from Evergreen Economics Baseline Study, 2014.)</t>
  </si>
  <si>
    <t>2019 Hawaii Statewide Baseline Energy Use Study, Prepared for Hawaii Public Utilities Commission, Prepared by Applied Energy Group, 2020. Derived from responses to Q71 of the residential phone / audit survey. (Military occupancy is from Evergreen Economics Baseline Study, 2014.) Default is occupancy for non-military single family homes.</t>
  </si>
  <si>
    <t>AEG's Analysis Files titled 1) "AEG HPUC Update of Residential Measures - Analysis file," 2) "R&amp;C Solar Water Heater - v2 Solar Fraction," and 3) "AEG HPUC Baseline Study Data - Analysis File."</t>
  </si>
  <si>
    <t xml:space="preserve"> 2019 Hawaii Statewide Baseline Energy Use Study, Prepared for Hawaii Public Utilities Commission, Prepared by Applied Energy Group, 2020.</t>
  </si>
  <si>
    <t>AEG's Analysis Files titled 1) "New Residential Measures Summary - AEG Analysis file" and 2)  "AEG HPUC Baseline Study Data - Analysis File."</t>
  </si>
  <si>
    <t xml:space="preserve">2019 Hawaii Statewide Baseline Energy Use Study, Prepared for Hawaii Public Utilities Commission, Prepared by Applied Energy Group, 2020. </t>
  </si>
  <si>
    <r>
      <t>UEF</t>
    </r>
    <r>
      <rPr>
        <vertAlign val="subscript"/>
        <sz val="10.5"/>
        <color theme="1"/>
        <rFont val="Calibri"/>
        <family val="2"/>
        <scheme val="minor"/>
      </rPr>
      <t>base</t>
    </r>
  </si>
  <si>
    <t>Uniform Energy Factor of the most common Heat Pump Water Heaters sized less than or equal to 55 gallons according to the ENERGY STAR database</t>
  </si>
  <si>
    <t>Average number of occupants per home</t>
  </si>
  <si>
    <t>Criteria</t>
  </si>
  <si>
    <t>Uniform Energy Factor</t>
  </si>
  <si>
    <t>First-Hour Rating</t>
  </si>
  <si>
    <t>FHR ≥ 45 gallons per hour</t>
  </si>
  <si>
    <t>Warranty</t>
  </si>
  <si>
    <t>Warranty ≥ 6 years on sealed system</t>
  </si>
  <si>
    <t>Safety</t>
  </si>
  <si>
    <t>UL 174 and UL 1995</t>
  </si>
  <si>
    <t>Lower Compressor Cut-Off Temperature
(Reporting Requirement Only)</t>
  </si>
  <si>
    <t>Report ambient temperature below which the compressor cuts off and electric resistance
only operation begins</t>
  </si>
  <si>
    <t>Residential 
Heat Pump Water Heater</t>
  </si>
  <si>
    <t>Electronic Code of Federal Regulations: Title 10: Energy, Part 430 - Energy Conservation Program for Consumer Products. Subpart C - Energy and Water Conservation Standards. Section 6d. https://www.ecfr.gov/cgi-bin/text-idx?SID=80dfa785ea350ebeee184bb0ae03e7f0&amp;mc=true&amp;node=se10.3.430_132&amp;rgn=div8]</t>
  </si>
  <si>
    <t>AEG's 2020 Analysis File titled "AEG HPUC WHF SAF and HPWH PY20 Updates - Analysis File."</t>
  </si>
  <si>
    <t xml:space="preserve">This measure involves the installation of a whole house fan. The fan draws cool outdoor air inside through open windows and exhausts hot indoor air through the attic to the outside. Running a whole house fan whenever outdoor temperatures are lower than indoor temperatures will cool a house. This measure results in savings by replacing the cooling load with the whole house fan load when the outside air temperature is below the set point temperature of the AC system. Measure savings are calculated from two baselines. The first being a single family home with a cooling system installed and the second being a home with no AC system installed. Savings from the second baseline are the load that would be displaced if the home were to install a cooling system. In both cases there was no whole house fan installed previously. Only single family homes are eligible for rebates from this measure. </t>
  </si>
  <si>
    <t>(1) No fan and no cooling system installed.
(2) No fan system installed and a pre-existing Central AC system.
(3) No fan system installed and a pre-existing Room ACs.
(4) No fan system and a pre-existing Ductless Mini Splits.
(5) No fan system and an unknown pre-existing cooling system.</t>
  </si>
  <si>
    <r>
      <t>%</t>
    </r>
    <r>
      <rPr>
        <vertAlign val="subscript"/>
        <sz val="10.5"/>
        <rFont val="Calibri"/>
        <family val="2"/>
        <scheme val="minor"/>
      </rPr>
      <t>svgs,ac</t>
    </r>
  </si>
  <si>
    <t>Percent of AC load reduced by a whole house fan</t>
  </si>
  <si>
    <r>
      <t>AEG looked at hourly TMY3 data for Honolulu, HI and calculated the wetbulb temperature of 68°F at an interior setpoint of 76°F and a relative humidity of 65% (ASHRAE-recommended limit). It was then assumed that air could be brought into the home at or below this wetbulb temperature via the whole house fan and replace the cooling load while still providing the same comfort.</t>
    </r>
    <r>
      <rPr>
        <vertAlign val="superscript"/>
        <sz val="10.5"/>
        <rFont val="Calibri"/>
        <family val="2"/>
        <scheme val="minor"/>
      </rPr>
      <t>1</t>
    </r>
  </si>
  <si>
    <r>
      <t>AC</t>
    </r>
    <r>
      <rPr>
        <vertAlign val="subscript"/>
        <sz val="10.5"/>
        <rFont val="Calibri"/>
        <family val="2"/>
        <scheme val="minor"/>
      </rPr>
      <t>cap</t>
    </r>
  </si>
  <si>
    <t>Average cooling capacity in home with Room ACs or a Ductless Mini Split AC</t>
  </si>
  <si>
    <t>Average sizing of a central AC system.</t>
  </si>
  <si>
    <t>Assumed a 36,000 Btu/h (3 Ton) system in the average home in Hawaii.</t>
  </si>
  <si>
    <t>Full load cooling efficiency of existing central air conditioner</t>
  </si>
  <si>
    <r>
      <t>The minimum is 13.0 SEER for split-system central AC and single-package central AC systems manufactured after Jan. 23, 2006 and before Jan. 1,  2015 and installed in Hawai'i.</t>
    </r>
    <r>
      <rPr>
        <vertAlign val="superscript"/>
        <sz val="10.5"/>
        <rFont val="Calibri"/>
        <family val="2"/>
        <scheme val="minor"/>
      </rPr>
      <t>2</t>
    </r>
  </si>
  <si>
    <t>Minimum federal standard of full load cooling efficiency for a new central air conditioner</t>
  </si>
  <si>
    <r>
      <t>The minimum is 14.0 SEER for split-system central AC and single-package central AC systems manufactured on or after Jan. 1, 2015 and installed in Hawai'i.</t>
    </r>
    <r>
      <rPr>
        <vertAlign val="superscript"/>
        <sz val="10.5"/>
        <rFont val="Calibri"/>
        <family val="2"/>
        <scheme val="minor"/>
      </rPr>
      <t>3</t>
    </r>
  </si>
  <si>
    <t>Combined energy efficiency ratio of an average Ductless Mini-Split AC</t>
  </si>
  <si>
    <t>Federal minimum requirement for 20,000-29,000 Btu/h room AC units manufactured as of Jun. 1, 2014.</t>
  </si>
  <si>
    <t>CEER</t>
  </si>
  <si>
    <t>Combined energy efficiency ratio of baseline unit for existing Room ACs</t>
  </si>
  <si>
    <r>
      <t>Assumed to be EER</t>
    </r>
    <r>
      <rPr>
        <vertAlign val="subscript"/>
        <sz val="10.5"/>
        <rFont val="Calibri"/>
        <family val="2"/>
        <scheme val="minor"/>
      </rPr>
      <t>BL,1</t>
    </r>
    <r>
      <rPr>
        <sz val="10.5"/>
        <rFont val="Calibri"/>
        <family val="2"/>
        <scheme val="minor"/>
      </rPr>
      <t xml:space="preserve"> / 1.01 per ENERGY STAR data.</t>
    </r>
    <r>
      <rPr>
        <vertAlign val="superscript"/>
        <sz val="10.5"/>
        <rFont val="Calibri"/>
        <family val="2"/>
        <scheme val="minor"/>
      </rPr>
      <t>4</t>
    </r>
    <r>
      <rPr>
        <sz val="10.5"/>
        <rFont val="Calibri"/>
        <family val="2"/>
        <scheme val="minor"/>
      </rPr>
      <t xml:space="preserve"> Federal standard for pre-Jun 1 2014 value for 8000-13999 Btu/h systems.</t>
    </r>
  </si>
  <si>
    <t>Minimum federal standard of the combined energy efficiency ratio of new Room ACs</t>
  </si>
  <si>
    <t>Federal minimum requirement for 8,000-13,999 Btu/h units manufactured as of Jun. 1, 2014.</t>
  </si>
  <si>
    <t>Equivalent full load cooling hours for existing central air conditioner</t>
  </si>
  <si>
    <t>Equivalent full load cooling hours of a Room AC and Ductless Mini Split</t>
  </si>
  <si>
    <t>EFLH determined as average of residential EnergyPlus prototype simulations with room AC/ductless mini split cooling system by dividing total cooling kWh by maximum kW (proxy for capacity, adjusted for oversizing).</t>
  </si>
  <si>
    <r>
      <t>kWh</t>
    </r>
    <r>
      <rPr>
        <vertAlign val="subscript"/>
        <sz val="10.5"/>
        <rFont val="Calibri"/>
        <family val="2"/>
        <scheme val="minor"/>
      </rPr>
      <t>WHF</t>
    </r>
  </si>
  <si>
    <t>Whole House Fan Annual Energy Usage</t>
  </si>
  <si>
    <t>Calculated based on HOU of whole house fan in Hawaii and wattage's of standard fans installed in Hawaii.</t>
  </si>
  <si>
    <r>
      <t>kW</t>
    </r>
    <r>
      <rPr>
        <vertAlign val="subscript"/>
        <sz val="10.5"/>
        <rFont val="Calibri"/>
        <family val="2"/>
        <scheme val="minor"/>
      </rPr>
      <t>WHF</t>
    </r>
  </si>
  <si>
    <t>Whole House Fan Wattage</t>
  </si>
  <si>
    <r>
      <t>Calculated by analyzing the savings load shape specific to this measure.</t>
    </r>
    <r>
      <rPr>
        <vertAlign val="superscript"/>
        <sz val="10.5"/>
        <rFont val="Calibri"/>
        <family val="2"/>
        <scheme val="minor"/>
      </rPr>
      <t>1</t>
    </r>
  </si>
  <si>
    <t>Table 1: Distribution of AC Type for Homes with AC System</t>
  </si>
  <si>
    <t>Central AC Homes:</t>
  </si>
  <si>
    <t>Room AC Homes:</t>
  </si>
  <si>
    <t>Ductless Mini Split AC Homes:</t>
  </si>
  <si>
    <r>
      <t>Source: 2019 Baseline Study</t>
    </r>
    <r>
      <rPr>
        <vertAlign val="superscript"/>
        <sz val="10.5"/>
        <rFont val="Calibri"/>
        <family val="2"/>
        <scheme val="minor"/>
      </rPr>
      <t>5</t>
    </r>
  </si>
  <si>
    <t>1. AEG created a Hawaii-specific 8760 hourly model to calculate the savings effect of the whole house fan measure. See AEG's Analysis File titled "WHF SAF and HPWH PY20 Updates."
2. AEG's research of the AHRI database (Oct 2018 extract) showed that 11.0 EER represents the 1st quartile (and median) of EER values corresponding to 13 SEER. Since it is reasonable to want all high efficiency systems to be more efficient than the 1st quartile (or median) EER value, 11.0 EER was used for 13 SEER baseline units.
3. AEG's research of the AHRI database (Oct 2018 extract) showed that 11.5 EER represents the 1st quartile of EER values corresponding to 14 SEER. Since it is reasonable to want all high efficiency systems to be more efficient than the 1st quartile EER value, 11.5 EER was used for 14 SEER baseline units.
4. ENERGY STAR specification provided equivalent EER and CEER ratings. For the most popular size band (8,000-13,999 Btu/h), the EER rating is approximately 1% higher than the CEER. See ENERGY STAR Version 3.0 Room Air Conditioners Program Requirements and IL TRM v6.0 Vol. 3, Feb 8, 2017, pg. 35.
5. This data is used in the unknown scenario to average the savings between the three cooling types.</t>
  </si>
  <si>
    <t>AC Type</t>
  </si>
  <si>
    <t>Central AC</t>
  </si>
  <si>
    <t>Room AC</t>
  </si>
  <si>
    <t>Ductless Mini Split</t>
  </si>
  <si>
    <t>Unknown AC</t>
  </si>
  <si>
    <t>No AC</t>
  </si>
  <si>
    <t>Enter Type of Cooling System:</t>
  </si>
  <si>
    <t>Enter of Cooling System Capacity (Btu/hr):</t>
  </si>
  <si>
    <t>Enter Existing Efficiency Rating (SEER/CEER):</t>
  </si>
  <si>
    <t>AEG Cooling Loadshape for Hawaii. "HI_1681S_ACH7_CAC13_ltg1000.csv."</t>
  </si>
  <si>
    <t>D. Springer, B. Dakin, and A. German, Measure Guideline: Ventilation Cooling, Energy Efficiency &amp; Renewable Energy, U.S. Department of Energy, April 2012, https://www.nrel.gov/docs/fy12osti/54241.pdf.</t>
  </si>
  <si>
    <t>Electronic Code of Federal Regulations: Title 10: Energy, Part 430 - Energy Conservation Program for Consumer Products. Subpart C - Energy and Water Conservation Standards. Section 6d. https://www.ecfr.gov/cgi-bin/text-idx?SID=80dfa785ea350ebeee184bb0ae03e7f0&amp;mc=true&amp;node=se10.3.430_132&amp;rgn=div8].</t>
  </si>
  <si>
    <t>"HSEO's EEB - Suggestions for Hawaii Energy PY 2020 TRM Update (002)," Word document containing update ideas for the PY20 TRM.</t>
  </si>
  <si>
    <t>Savings Estimation Technical Reference Manual 2017, Third Edition, California Municipal Utilities Association, https://www.cmua.org/files/CMUA-POU-TRM_2017_FINAL_12-5-2017%20-%20Copy.pdf.</t>
  </si>
  <si>
    <t>Whole House Fan, Technology Fact Sheet, NREL, DOE/GO-10099-745, March 1999, https://www.nrel.gov/docs/fy99osti/26291.pdf.</t>
  </si>
  <si>
    <t>Whole House Fan, Work Paper PGECOHVC134, Revision #3, Pacific Gas &amp; Electric Company, Customer Energy Solutions, June 21, 2012.</t>
  </si>
  <si>
    <t xml:space="preserve">Updated in January 2020 for PY20 TRM </t>
  </si>
  <si>
    <t xml:space="preserve">Solar-powered attic fan reduce the existing air conditioning load and energy usage by reducing the attic temperature. Only single family homes are eligible for rebates from this measure. </t>
  </si>
  <si>
    <t>Solar Attic Fan sized to attic</t>
  </si>
  <si>
    <t>(1) No fan system installed and a pre-existing Central AC system.
(2) No fan system installed and a pre-existing Room ACs.
(3) No fan system and a pre-existing Ductless Mini Splits.
(4) No fan system and an unknown pre-existing cooling system.</t>
  </si>
  <si>
    <r>
      <t>%</t>
    </r>
    <r>
      <rPr>
        <vertAlign val="subscript"/>
        <sz val="10.5"/>
        <rFont val="Calibri"/>
        <family val="2"/>
        <scheme val="minor"/>
      </rPr>
      <t>.svgs,ac</t>
    </r>
  </si>
  <si>
    <t>Percent of AC load reduced by solar attic fan in a house built before 2010</t>
  </si>
  <si>
    <r>
      <t>AEG Research.</t>
    </r>
    <r>
      <rPr>
        <vertAlign val="superscript"/>
        <sz val="10.5"/>
        <rFont val="Calibri"/>
        <family val="2"/>
        <scheme val="minor"/>
      </rPr>
      <t>1</t>
    </r>
    <r>
      <rPr>
        <sz val="10.5"/>
        <rFont val="Calibri"/>
        <family val="2"/>
        <scheme val="minor"/>
      </rPr>
      <t xml:space="preserve"> Values differ due to varying Attic Insulation values in each model. Default uses weighted average based on home vintage data in Table 2 below.</t>
    </r>
  </si>
  <si>
    <t>Percent of AC load reduced by solar attic fan in a house built 2010 and after</t>
  </si>
  <si>
    <r>
      <t>AC</t>
    </r>
    <r>
      <rPr>
        <vertAlign val="subscript"/>
        <sz val="10.5"/>
        <rFont val="Calibri"/>
        <family val="2"/>
        <scheme val="minor"/>
      </rPr>
      <t>.cap</t>
    </r>
  </si>
  <si>
    <r>
      <t>Federal minimum requirement for 20,000-29,000 Btu/h room AC units manufactured as of Jun. 1, 2014.</t>
    </r>
    <r>
      <rPr>
        <vertAlign val="superscript"/>
        <sz val="10.5"/>
        <rFont val="Calibri"/>
        <family val="2"/>
        <scheme val="minor"/>
      </rPr>
      <t>3</t>
    </r>
  </si>
  <si>
    <r>
      <t>Assumed to be EER</t>
    </r>
    <r>
      <rPr>
        <vertAlign val="subscript"/>
        <sz val="10.5"/>
        <color theme="1"/>
        <rFont val="Calibri"/>
        <family val="2"/>
        <scheme val="minor"/>
      </rPr>
      <t>BL,1</t>
    </r>
    <r>
      <rPr>
        <sz val="10.5"/>
        <color theme="1"/>
        <rFont val="Calibri"/>
        <family val="2"/>
        <scheme val="minor"/>
      </rPr>
      <t xml:space="preserve"> / 1.01 per ENERGY STAR data.</t>
    </r>
    <r>
      <rPr>
        <vertAlign val="superscript"/>
        <sz val="10.5"/>
        <color theme="1"/>
        <rFont val="Calibri"/>
        <family val="2"/>
        <scheme val="minor"/>
      </rPr>
      <t>4</t>
    </r>
  </si>
  <si>
    <r>
      <t>Calculated by analyzing the savings load shape specific to this measure.</t>
    </r>
    <r>
      <rPr>
        <vertAlign val="superscript"/>
        <sz val="10.5"/>
        <color theme="1"/>
        <rFont val="Calibri"/>
        <family val="2"/>
        <scheme val="minor"/>
      </rPr>
      <t>1</t>
    </r>
  </si>
  <si>
    <t>Cooling System Distribution</t>
  </si>
  <si>
    <t>Table 2: Distribution of Homes by Vintage</t>
  </si>
  <si>
    <t>Single Family Housing Vintage Distribution</t>
  </si>
  <si>
    <t>Before 2010</t>
  </si>
  <si>
    <t>2010 and after</t>
  </si>
  <si>
    <t>1. AEG created a Hawaii-specific 8760 hourly heat transfer model to calculate the effect that attic temperature has on the cooling load. See AEG's 2020 Analysis File titled "WHF SAF and HPWH PY20 Updates.
2. AEG's research of the AHRI database (Oct 2018 extract) showed that 11.0 EER represents the 1st quartile (and median) of EER values corresponding to 13 SEER. Since it is reasonable to want all high efficiency systems to be more efficient than the 1st quartile (or median) EER value, 11.0 EER was used for 13 SEER baseline units.
3. Federal Standard Specifications. https://www.govinfo.gov/content/pkg/CFR-2012-title10-vol3/pdf/CFR-2012-title10-vol3-sec430-32.pdf
4. ENERGY STAR specification provided equivalent EER and CEER ratings. For the most popular size band (8,000-13,999 Btu/h), the EER rating is approximately 1% higher than the CEER. See ENERGY STAR Version 3.0 Room Air Conditioners Program Requirements and IL TRM v6.0 Vol. 3, Feb 8, 2017, pg. 35.
5. This data is used in the unknown scenario to average the savings between the three cooling types.</t>
  </si>
  <si>
    <t>Enter Year of Construction:</t>
  </si>
  <si>
    <t>Performance Assessment of Photovoltaic Attic Ventilator Fans. Danny S. Parker, John R. Sherwin. Florida Solar Energy Center. http://www.fsec.ucf.edu/en/publications/html/fsec-gp-171-00/</t>
  </si>
  <si>
    <t>Hawaii Energy - Technical Resource Manual No. 2014. Section 8.3.4 Solar Attic Fans.</t>
  </si>
  <si>
    <t>Principles of  Attic Ventilation. Air Vent Inc. http://www.airvent.com/index.php/ventilation-resources/literature-sales-tools/professionals/121-principles-of-attic-ventilation-course/file</t>
  </si>
  <si>
    <t>About Attic Ventilation. ENERGY STAR Website. https://www.energystar.gov/campaign/seal_insulate/do_it_yourself_guide/about_attic_ventilation</t>
  </si>
  <si>
    <t>AEG Cooling Loadshape for Hawaii. "HI_1681S_ACH7_CAC13_ltg1000.csv"</t>
  </si>
  <si>
    <t xml:space="preserve">Hawaii Energy Building Code. https://energy.hawaii.gov/hawaii-energy-building-code/pre-2015-iecc. </t>
  </si>
  <si>
    <t>Heat Transfer Equation Sheet. https://faculty.utrgv.edu/constantine.tarawneh/Heat%20Transfer/HeatTransferBooklet.pdf</t>
  </si>
  <si>
    <t>2019 Hawaii Statewide Baseline Energy Use Study, Prepared for Hawaii Public Utilities Commission, Prepared by Applied Energy Group, 2020.</t>
  </si>
  <si>
    <t xml:space="preserve">For the direct-install program, the savings approach assumes early retirement (ER). A dual baseline approach is used since Hawaii adopted new state standards for faucets and aerators in 2019, which will be effective as of 1/1/2021. The first baseline will be a 2.2 gpm aerator per current Federal regulations in effect since 1994. The second baseline will be 1.2 gpm for bathroom faucet aerators and 1.8 gpm for kitchen faucet aerators per Hawaii's new state standards. </t>
  </si>
  <si>
    <t>For the online marketplace, the savings approach assumes replace-on-burnout (ROB). A single baseline approach is used. For July 1 - December 31, 2020, the online marketplace baseline will be 2.2 gpm per current Federal regulations in effect since 1994. After January 1, 2021, the baseline will be 1.2 gpm for bathroom faucet aerators and 1.8 gpm for kitchen faucet aerators per Hawaii's new state standards.</t>
  </si>
  <si>
    <t>1.0 gpm bathroom faucet aerator or 1.5 gpm kitchen swivel aerator.</t>
  </si>
  <si>
    <t>Dual baseline (Direct-Install):</t>
  </si>
  <si>
    <t>Single baseline (Online Marketplace, July 1 - December 31, 2020):</t>
  </si>
  <si>
    <t>Single baseline (Online Marketplace, January 1, 2021 and later):</t>
  </si>
  <si>
    <t>Peak kW / Annual kWh</t>
  </si>
  <si>
    <t>Ratio of Peak kW to Annual kWh</t>
  </si>
  <si>
    <t>1/hr</t>
  </si>
  <si>
    <t>1st baseline flow rate</t>
  </si>
  <si>
    <t>Federal Regulations.</t>
  </si>
  <si>
    <t>2nd baseline flow rate</t>
  </si>
  <si>
    <t>Hawaii State Standards, effective January 1, 2021.</t>
  </si>
  <si>
    <t>Products offered on Hawai'i Energy's online marketplace.</t>
  </si>
  <si>
    <t>min/day /person</t>
  </si>
  <si>
    <t>EF</t>
  </si>
  <si>
    <t xml:space="preserve">Energy Factor, storage electric resistance (SERWH) </t>
  </si>
  <si>
    <t>Default Energy Factor for storage electric resistance WH baseline in Solar WH measure (R_WH_SWH).</t>
  </si>
  <si>
    <t>Energy Factor, tankless electric resistance (TERWH)</t>
  </si>
  <si>
    <t>Typical EFs for tankless electric resistance WHs range from 0.96 to 0.99 per DOE.</t>
  </si>
  <si>
    <t>Energy Factor, heat pump water heater (HPWH)</t>
  </si>
  <si>
    <t>Average of Uniform Energy Factor for baseline case and EE case from Heat Pump WH measure (R_WH_Heat Pump). Assumes 56 gal storage tank.</t>
  </si>
  <si>
    <t>Equivalent Energy Factor, solar water heater (SWH)</t>
  </si>
  <si>
    <t>An equivalent EF derived from Solar WH energy use since EF doesn't directly apply (R_WH_SWH).</t>
  </si>
  <si>
    <t>Lifetime in-service rate, direct-install</t>
  </si>
  <si>
    <t>Lifetime in-service rate, online marketplace</t>
  </si>
  <si>
    <t>Assumes customers who purchase products online have a need for the product and will install them and keep them installed.</t>
  </si>
  <si>
    <t>Assumed to be 1/3 of the EUL, rounded to nearest year.</t>
  </si>
  <si>
    <t>Table 1: Residential Water Heating Type Distribution, Online Marketplace</t>
  </si>
  <si>
    <t>Water Heater Type</t>
  </si>
  <si>
    <t>Total</t>
  </si>
  <si>
    <t>Single Family</t>
  </si>
  <si>
    <t>Multi- Family</t>
  </si>
  <si>
    <t xml:space="preserve">Storage Electric Resistance </t>
  </si>
  <si>
    <t xml:space="preserve">Tankless Electric Resistance </t>
  </si>
  <si>
    <t>Gas/Propane</t>
  </si>
  <si>
    <t>Table 2: Residential Home Type Distribution, Online Marketplace</t>
  </si>
  <si>
    <t>Multi-Family</t>
  </si>
  <si>
    <t>Source: Total Housing Units, State of Hawaii, TableID:DP04, 2018: ACS 5-year Estimates Data Profiles, American Community Survey, U.S. Census Bureau, &lt;https://www.census.gov/acs/www/data/data-tables-and-tools/data-profiles/&gt;, accessed 12/31/2019.</t>
  </si>
  <si>
    <t>Direct Install Program - Dual Baseline</t>
  </si>
  <si>
    <t>Table 3: Detailed Savings by Category</t>
  </si>
  <si>
    <t>First Baseline</t>
  </si>
  <si>
    <t>Second Baseline</t>
  </si>
  <si>
    <t>TERWH</t>
  </si>
  <si>
    <t>Online Marketplace, July 1 - December 31, 2020</t>
  </si>
  <si>
    <t>Table 4: Online Marketplace Blended Savings, July 1 - December 31, 2020</t>
  </si>
  <si>
    <t>Online Marketplace, January 1, 2021 and later</t>
  </si>
  <si>
    <t>Table 5: Online Marketplace Blended Savings, January 1, 2021 and later</t>
  </si>
  <si>
    <t xml:space="preserve">Assumes that the high efficiency case remains at 1.0 gpm for bathroom faucet aerators and 1.5 gpm for kitchen faucet aerators after January 1, 2021. </t>
  </si>
  <si>
    <t xml:space="preserve">AEG's Analysis Files titled "AEG HPUC Water Saving Measures - Analysis file," "AEG HPUC Baseline Study Data - Analysis File," and  "AEG HPUC EUL Analysis." </t>
  </si>
  <si>
    <t>Analysis of raw data from responses to select questions from 2019 Baseline Study, Residential Phone / Audit (P/A) Survey, Analysis by Kirk Voegtlin, December 30. 2019.</t>
  </si>
  <si>
    <t>Appliance Standards Awareness Project, accessed Jan. 11, 2020, &lt;https://appliance-standards.org/state-legislation/hawaii-2019-5-products&gt;.</t>
  </si>
  <si>
    <t>Arkansas TRM Version 7.0 Vol. 2, &lt;http://www.apscservices.info/EEInfo/TRMv7.0.pdf&gt;.</t>
  </si>
  <si>
    <t>Electronic Code of Federal Regulations, Title 10: Energy, PART 430—ENERGY CONSERVATION PROGRAM FOR CONSUMER PRODUCTS, Subpart C—Energy and Water Conservation Standards, §430.32   Energy and water conservation standards and their compliance dates, (o) Faucets and (p) Showerheads.</t>
  </si>
  <si>
    <t>ENERGY STAR Residential Water Heaters: Final Criteria Analysis, Department of Energy, April 1, 2008. Lists typical range of EFs for tankless electric resistance water heaters.  &lt;https://www.energystar.gov/ia/partners/prod_development/new_specs/downloads/water_heaters/waterheateranalysis_final.pdf&gt;.</t>
  </si>
  <si>
    <t>Hawaii House Bill 556 (Prior Session Legislation), A Bill for an Act, Relating to Energy Efficiency, Passed 7/1/2019, Act 141 6/26/2019, access text here: &lt;https://legiscan.com/HI/text/HB556/id/2003415/Hawaii-2019-HB556-Amended.html&gt;.</t>
  </si>
  <si>
    <t>Illume: Overview of Energy Savings "Kit" Programs: Background, Challenges, and Opportunities, White Paper, ILLUME Advising LLC, Jan. 15, 2015. &lt;https://illumeadvising.com/files/2016/08/KitsWhitePaper_Final.pdf&gt;.</t>
  </si>
  <si>
    <t>Massachusetts 2019-2021 Plan TRM, Effective from 12/31/2018 to 12/30/2021, electronic TRM, accessed on Jan 3, 2020, &lt;https://etrm.anbetrack.com/#/workarea/trm/MADPU/RES-WH-FA/2019-2021%20Plan%20TRM/version/1?measureName=Hot%20Water%20-%20Faucet%20Aerator&gt;.</t>
  </si>
  <si>
    <t>Navigant, ComEd-Nicor Gas EPY4/GPY1 Multifamily Home Energy Savings Program Evaluation Report FINAL 2013-06-05.</t>
  </si>
  <si>
    <t>Regional Technical Forum, Bathroom and Kitchen Faucet Aerators, workbook, Aerators v1.1, Aug. 22, 2018, worksheet named "In Service Rates," available here &lt;https://nwcouncil.app.box.com/v/Aeratorsv1-1&gt;.</t>
  </si>
  <si>
    <t>Residential End Uses of Water Study, Version 2, Water Research Foundation, April 2016. The study investigated a sample of 23,749 single family homes across the US and Canada, with water use logged in 762 of those homes.</t>
  </si>
  <si>
    <t xml:space="preserve">Texas TRM, v6.0, Vol 2 Residential Measures, Nov. 7, 2018. </t>
  </si>
  <si>
    <t>Total Housing Units, State of Hawaii, TableID:DP04, 2018: ACS 5-year Estimates Data Profiles, American Community Survey, U.S. Census Bureau, &lt;https://www.census.gov/acs/www/data/data-tables-and-tools/data-profiles/&gt;, accessed 12/31/2019.</t>
  </si>
  <si>
    <r>
      <t>AEG's approach to calculate this parameter for Hawaii is similar to the Texas TRM v6.0 and Arkansas TRM v7.0 approaches, except modified to reflect Hawaii's peak demand period of 5-9 PM non-holiday weekdays. The approach for Hawaii also uses daily water use profiles from the Water Research Foundation's 2016 Residential End Use of Water study.</t>
    </r>
    <r>
      <rPr>
        <vertAlign val="superscript"/>
        <sz val="10"/>
        <rFont val="Calibri"/>
        <family val="2"/>
        <scheme val="minor"/>
      </rPr>
      <t>1</t>
    </r>
  </si>
  <si>
    <r>
      <t>gpm</t>
    </r>
    <r>
      <rPr>
        <vertAlign val="subscript"/>
        <sz val="10"/>
        <rFont val="Calibri"/>
        <family val="2"/>
        <scheme val="minor"/>
      </rPr>
      <t>base1</t>
    </r>
  </si>
  <si>
    <r>
      <t>gpm</t>
    </r>
    <r>
      <rPr>
        <vertAlign val="subscript"/>
        <sz val="10"/>
        <rFont val="Calibri"/>
        <family val="2"/>
        <scheme val="minor"/>
      </rPr>
      <t>base2</t>
    </r>
  </si>
  <si>
    <r>
      <t>gpm</t>
    </r>
    <r>
      <rPr>
        <vertAlign val="subscript"/>
        <sz val="10"/>
        <rFont val="Calibri"/>
        <family val="2"/>
        <scheme val="minor"/>
      </rPr>
      <t>EE</t>
    </r>
  </si>
  <si>
    <r>
      <t>2019 Hawaii Statewide Baseline Energy Use Study.</t>
    </r>
    <r>
      <rPr>
        <vertAlign val="superscript"/>
        <sz val="10"/>
        <rFont val="Calibri"/>
        <family val="2"/>
        <scheme val="minor"/>
      </rPr>
      <t>2</t>
    </r>
  </si>
  <si>
    <r>
      <t>2019 Hawaii Statewide Baseline Energy Use Study.</t>
    </r>
    <r>
      <rPr>
        <vertAlign val="superscript"/>
        <sz val="10"/>
        <rFont val="Calibri"/>
        <family val="2"/>
        <scheme val="minor"/>
      </rPr>
      <t>3</t>
    </r>
  </si>
  <si>
    <r>
      <t>T</t>
    </r>
    <r>
      <rPr>
        <vertAlign val="subscript"/>
        <sz val="10"/>
        <rFont val="Calibri"/>
        <family val="2"/>
        <scheme val="minor"/>
      </rPr>
      <t>mix</t>
    </r>
  </si>
  <si>
    <r>
      <t>T</t>
    </r>
    <r>
      <rPr>
        <vertAlign val="subscript"/>
        <sz val="10"/>
        <rFont val="Calibri"/>
        <family val="2"/>
        <scheme val="minor"/>
      </rPr>
      <t>inlet</t>
    </r>
  </si>
  <si>
    <r>
      <t xml:space="preserve">Hawai‘i Energy Solar Water Heating Program Handbook, Table 2, for Hawaii and Honolulu counties. (Maui county average temperature is 71 </t>
    </r>
    <r>
      <rPr>
        <sz val="10"/>
        <rFont val="Calibri"/>
        <family val="2"/>
      </rPr>
      <t>°F</t>
    </r>
    <r>
      <rPr>
        <sz val="10"/>
        <rFont val="Calibri"/>
        <family val="2"/>
        <scheme val="minor"/>
      </rPr>
      <t>).</t>
    </r>
  </si>
  <si>
    <r>
      <t>AEG's Winter 2020 Benchmarking.</t>
    </r>
    <r>
      <rPr>
        <vertAlign val="superscript"/>
        <sz val="10"/>
        <rFont val="Calibri"/>
        <family val="2"/>
        <scheme val="minor"/>
      </rPr>
      <t>1</t>
    </r>
  </si>
  <si>
    <r>
      <t>AEG 2018 Analysis.</t>
    </r>
    <r>
      <rPr>
        <vertAlign val="superscript"/>
        <sz val="10"/>
        <rFont val="Calibri"/>
        <family val="2"/>
        <scheme val="minor"/>
      </rPr>
      <t>4</t>
    </r>
  </si>
  <si>
    <r>
      <rPr>
        <vertAlign val="superscript"/>
        <sz val="9"/>
        <rFont val="Calibri"/>
        <family val="2"/>
        <scheme val="minor"/>
      </rPr>
      <t>1</t>
    </r>
    <r>
      <rPr>
        <sz val="9"/>
        <rFont val="Calibri"/>
        <family val="2"/>
        <scheme val="minor"/>
      </rPr>
      <t xml:space="preserve"> AEG's 2020 Analysis File titled "AEG HPUC Water Saving Measures - Analysis file," see sheet named "Benchmarking Analysis."</t>
    </r>
  </si>
  <si>
    <r>
      <rPr>
        <vertAlign val="superscript"/>
        <sz val="9"/>
        <rFont val="Calibri"/>
        <family val="2"/>
        <scheme val="minor"/>
      </rPr>
      <t>3</t>
    </r>
    <r>
      <rPr>
        <sz val="9"/>
        <rFont val="Calibri"/>
        <family val="2"/>
        <scheme val="minor"/>
      </rPr>
      <t xml:space="preserve"> Derived by AEG from raw survey responses to Questions 15, 22, and 29 for bathroom faucets and Question 13b for kitchen faucets, Residential Phone / Audit Survey, AEG's 2019 Hawaii Statewide Baseline Energy Use Study.</t>
    </r>
  </si>
  <si>
    <r>
      <rPr>
        <vertAlign val="superscript"/>
        <sz val="9"/>
        <rFont val="Calibri"/>
        <family val="2"/>
        <scheme val="minor"/>
      </rPr>
      <t>4</t>
    </r>
    <r>
      <rPr>
        <sz val="9"/>
        <rFont val="Calibri"/>
        <family val="2"/>
        <scheme val="minor"/>
      </rPr>
      <t xml:space="preserve"> AEG's 2018 Analysis File titled "AEG HPUC EUL Analysis." </t>
    </r>
  </si>
  <si>
    <r>
      <rPr>
        <b/>
        <sz val="11"/>
        <rFont val="Calibri"/>
        <family val="2"/>
      </rPr>
      <t>Δ</t>
    </r>
    <r>
      <rPr>
        <b/>
        <sz val="11"/>
        <rFont val="Calibri"/>
        <family val="2"/>
        <scheme val="minor"/>
      </rPr>
      <t>kW</t>
    </r>
    <r>
      <rPr>
        <b/>
        <vertAlign val="subscript"/>
        <sz val="11"/>
        <rFont val="Calibri"/>
        <family val="2"/>
        <scheme val="minor"/>
      </rPr>
      <t>1</t>
    </r>
  </si>
  <si>
    <r>
      <t>ΔkWh</t>
    </r>
    <r>
      <rPr>
        <b/>
        <vertAlign val="subscript"/>
        <sz val="11"/>
        <rFont val="Calibri"/>
        <family val="2"/>
        <scheme val="minor"/>
      </rPr>
      <t>1</t>
    </r>
  </si>
  <si>
    <r>
      <rPr>
        <b/>
        <sz val="11"/>
        <rFont val="Calibri"/>
        <family val="2"/>
      </rPr>
      <t>Δ</t>
    </r>
    <r>
      <rPr>
        <b/>
        <sz val="11"/>
        <rFont val="Calibri"/>
        <family val="2"/>
        <scheme val="minor"/>
      </rPr>
      <t>kW</t>
    </r>
    <r>
      <rPr>
        <b/>
        <vertAlign val="subscript"/>
        <sz val="11"/>
        <rFont val="Calibri"/>
        <family val="2"/>
        <scheme val="minor"/>
      </rPr>
      <t>2</t>
    </r>
  </si>
  <si>
    <r>
      <t>ΔkWh</t>
    </r>
    <r>
      <rPr>
        <b/>
        <vertAlign val="subscript"/>
        <sz val="11"/>
        <rFont val="Calibri"/>
        <family val="2"/>
        <scheme val="minor"/>
      </rPr>
      <t>2</t>
    </r>
  </si>
  <si>
    <r>
      <t>ΔkWh</t>
    </r>
    <r>
      <rPr>
        <b/>
        <vertAlign val="subscript"/>
        <sz val="11"/>
        <rFont val="Calibri"/>
        <family val="2"/>
        <scheme val="minor"/>
      </rPr>
      <t>dual</t>
    </r>
  </si>
  <si>
    <r>
      <t>ΔkWh</t>
    </r>
    <r>
      <rPr>
        <b/>
        <vertAlign val="subscript"/>
        <sz val="11"/>
        <rFont val="Calibri"/>
        <family val="2"/>
        <scheme val="minor"/>
      </rPr>
      <t>single1</t>
    </r>
  </si>
  <si>
    <r>
      <t>ΔkWh</t>
    </r>
    <r>
      <rPr>
        <b/>
        <vertAlign val="subscript"/>
        <sz val="11"/>
        <rFont val="Calibri"/>
        <family val="2"/>
        <scheme val="minor"/>
      </rPr>
      <t>single2</t>
    </r>
  </si>
  <si>
    <r>
      <rPr>
        <vertAlign val="superscript"/>
        <sz val="9"/>
        <rFont val="Calibri"/>
        <family val="2"/>
        <scheme val="minor"/>
      </rPr>
      <t xml:space="preserve">2 </t>
    </r>
    <r>
      <rPr>
        <sz val="9"/>
        <rFont val="Calibri"/>
        <family val="2"/>
        <scheme val="minor"/>
      </rPr>
      <t>2019 Hawaii Statewide Baseline Energy Use Study, Prepared for Hawaii Public Utilities Commission, Prepared by Applied Energy Group, 2020. (Responses to Question 71 of the Residential Phone / Audit Survey.)</t>
    </r>
  </si>
  <si>
    <t>Source: 2019 Hawaii Statewide Baseline Energy Use Study, Prepared for Hawaii Public Utilities Commission, Prepared by Applied Energy Group, 2020. Data from Figure 3-13 of the report and from responses to Question 47b of the Residential Phone / Audit Survey.</t>
  </si>
  <si>
    <t>For the direct-install program, the savings approach assumes early retirement (ER). A dual baseline approach is used since Hawaii adopted new state standards for showerheads, which will be effective as of 1/1/2021. The first baseline will be 2.5 gpm per current Federal regulations in effect since 1994. The second BL will be 1.8 gpm per Hawaii's new state standards.</t>
  </si>
  <si>
    <t>For the online marketplace, the savings approach assumes replace-on-burnout (ROB). A single baseline approach is used. For July 1 - December 31, 2020, the online marketplace baseline will be 2.5 gpm per current Federal regulations in effect since 1994. After January 1, 2021, the baseline will be 1.8 gpm per Hawaii's new state standards.</t>
  </si>
  <si>
    <t>min/ shower</t>
  </si>
  <si>
    <t>Residential End Uses of Water Study, Version 2, Executive Report, Water Research Foundation, April 2016, page 9.</t>
  </si>
  <si>
    <t>shower/ day/ person</t>
  </si>
  <si>
    <t>Gauley, B. and J. Koeller, Shower-Based Water Savings, Flow Rate vs. Duration vs. Volume, an Independent Maximum Performance (MaP) Research Report, January 2017.</t>
  </si>
  <si>
    <t>Hawai‘i Energy Solar Water Heating Program Handbook, Table 2, for Hawaii and Honolulu counties. (Maui county average temperature is 71 °F).</t>
  </si>
  <si>
    <t>Energy Factor, storage electric resistance (SERWH)</t>
  </si>
  <si>
    <t xml:space="preserve">Energy Factor, tankless electric resistance (TERWH) </t>
  </si>
  <si>
    <t>Direct Install Program</t>
  </si>
  <si>
    <t>Online Marketplace, January 1, 2021 and Later</t>
  </si>
  <si>
    <t>Table 5: Online Marketplace Blended Savings, January 1, 2021 and Later</t>
  </si>
  <si>
    <t xml:space="preserve">Assumes that the high efficiency case remains at 1.5 gpm per showerhead. </t>
  </si>
  <si>
    <t>Gauley, B. and J. Koeller, Shower-Based Water Savings, Flow Rate vs. Duration vs. Volume, an Independent Maximum Performance (MaP) Research Report, January 2017, &lt;https://www.map-testing.com/assets/reports/Shower-Based%20Water%20Savings%20Report%20Final%20revised%20March%2010,%202017.pdf&gt;.</t>
  </si>
  <si>
    <t>Regional Technical Forum, Commercial and Residential Showerheads, workbook, Showerheads v4.3, Oct. 23, 2019, worksheet named "Adjustments_Installation Rates," available here &lt;https://rtf.nwcouncil.org/measure/showerheads&gt;.</t>
  </si>
  <si>
    <t>1.5 gpm showerhead.</t>
  </si>
  <si>
    <r>
      <t>T</t>
    </r>
    <r>
      <rPr>
        <vertAlign val="subscript"/>
        <sz val="10"/>
        <rFont val="Calibri"/>
        <family val="2"/>
        <scheme val="minor"/>
      </rPr>
      <t>_mix</t>
    </r>
  </si>
  <si>
    <r>
      <t>T</t>
    </r>
    <r>
      <rPr>
        <vertAlign val="subscript"/>
        <sz val="10"/>
        <rFont val="Calibri"/>
        <family val="2"/>
        <scheme val="minor"/>
      </rPr>
      <t>_inlet</t>
    </r>
  </si>
  <si>
    <r>
      <rPr>
        <vertAlign val="superscript"/>
        <sz val="9"/>
        <rFont val="Calibri"/>
        <family val="2"/>
        <scheme val="minor"/>
      </rPr>
      <t xml:space="preserve">3 </t>
    </r>
    <r>
      <rPr>
        <sz val="9"/>
        <rFont val="Calibri"/>
        <family val="2"/>
        <scheme val="minor"/>
      </rPr>
      <t>2019 Hawaii Statewide Baseline Energy Use Study, Report, Prepared for Hawaii Public Utilities Commission, Prepared by Applied Energy Group, 2020, Table 3-1.</t>
    </r>
  </si>
  <si>
    <t>2019 Hawaii Statewide Baseline Energy Use Study, Report, Prepared for Hawaii Public Utilities Commission, Prepared by Applied Energy Group, 2020.</t>
  </si>
  <si>
    <t>Review/update of text for PY20 TRM</t>
  </si>
  <si>
    <t>Update of TOC to include new and modified content for PY20 TRM</t>
  </si>
  <si>
    <t>Update of Signature sheet for PY20 TRM</t>
  </si>
  <si>
    <t>Update of Issues Log for PY20 TRM</t>
  </si>
  <si>
    <t>COMMERCIAL: AC &amp; Heat Pump, AC &amp; HP Worksheet</t>
  </si>
  <si>
    <t>Consider page numbers if published format will be PDF; remove proprietary language from header/footer</t>
  </si>
  <si>
    <t>Revised in PY20 TRM</t>
  </si>
  <si>
    <t>Commercial: VRF; Commercial: HVAC Savings Calculator - Variable Refrigerant Flow Systems</t>
  </si>
  <si>
    <t>Added equations and detailed explanations in the TRB section of the Key Metrics sheet to show how the TRB is to be calculated for single baseline measures and dual baseline measures; Added a table that lists measures with dual baselines</t>
  </si>
  <si>
    <t>Added packaged terminal AC/heat pump (PTAC/PTHP), vertical heat pump, and water source heat pump technologies to the measure and calculation worksheets; Revised baseline and efficient cases to reflect current efficiency standards</t>
  </si>
  <si>
    <t>Added an option for water-source VRFs to measure and calculation worksheet; Clarified the baseline conditions</t>
  </si>
  <si>
    <t>Updates add clarity to two baseline periods</t>
  </si>
  <si>
    <t>Added Measure Details and Algorithms to clarify the savings estimation approaches; Added section to map key variables from the Amplify tool to variables in the savings algorithms</t>
  </si>
  <si>
    <t>Updated data from Evergreen's baseline study with data from AEG's 2019 baseline study</t>
  </si>
  <si>
    <t>Updates add clarity to two baseline periods and revise savings approach for tuned in units</t>
  </si>
  <si>
    <t>Updated savings approach using Hawaii-specific model</t>
  </si>
  <si>
    <t>Revised the baseline assumptions to meet current federal standards; updated overall approach to be consistent with best practices and SWH measure</t>
  </si>
  <si>
    <t>This measure is affected by the new state standards for faucet aerators and low-flow showerheads; Revised the baseline definition to assume early retirement with a dual baseline for the direct install program and replace on burnout with a single baseline for the online marketplace</t>
  </si>
  <si>
    <t>Codes and Standards Applicable to the Hawai'i Energy TRM</t>
  </si>
  <si>
    <t>Hawai'i Energy Measure(s)</t>
  </si>
  <si>
    <t>Capacity/Size</t>
  </si>
  <si>
    <t>Next Effective Date</t>
  </si>
  <si>
    <t>Source(s)</t>
  </si>
  <si>
    <t>General Service Fluorescent Lamps</t>
  </si>
  <si>
    <t>92.4 lm/W</t>
  </si>
  <si>
    <t>88.7 lm/W</t>
  </si>
  <si>
    <t>2-ft U-shaped, ≤ 4,500K</t>
  </si>
  <si>
    <t>85.0 lm/W</t>
  </si>
  <si>
    <t>2-ft U-shaped, &gt; 4,500K and ≤ 7,000K</t>
  </si>
  <si>
    <t>83.3 lm/W</t>
  </si>
  <si>
    <t>8-ft slimline, ≤ 4,500K</t>
  </si>
  <si>
    <t>97.0 lm/W</t>
  </si>
  <si>
    <t>8-ft slimline, &gt; 4,500K and ≤ 7,000K</t>
  </si>
  <si>
    <t>93.0 lm/W</t>
  </si>
  <si>
    <t>8-ft high output, ≤ 4,500K</t>
  </si>
  <si>
    <t>92.0 lm/W</t>
  </si>
  <si>
    <t>8-ft high output, &gt; 4,500K and ≤ 7,000K</t>
  </si>
  <si>
    <t>88.0 lm/W</t>
  </si>
  <si>
    <t>4-ft miniature bipin standard output, ≤ 4,500K</t>
  </si>
  <si>
    <t>95.0 lm/W</t>
  </si>
  <si>
    <t>4-ft miniature bipin standard output, &gt; 4,500K and ≤ 7,000K</t>
  </si>
  <si>
    <t>89.3 lm/W</t>
  </si>
  <si>
    <t>4-ft miniature bipin high output, ≤ 4,500K</t>
  </si>
  <si>
    <t>82.7 lm/W</t>
  </si>
  <si>
    <t>4-ft miniature bipin high output, &gt; 4,500K and ≤ 7,000K</t>
  </si>
  <si>
    <t>76.9 lm/W</t>
  </si>
  <si>
    <t>General Service Incandescent Lamps</t>
  </si>
  <si>
    <t>1490-2600 lm</t>
  </si>
  <si>
    <t>1050-1489 lm</t>
  </si>
  <si>
    <t>750-1049 lm</t>
  </si>
  <si>
    <t>310-749 lm</t>
  </si>
  <si>
    <t xml:space="preserve">Various </t>
  </si>
  <si>
    <t>≤ 5 W per face</t>
  </si>
  <si>
    <t>10 CFR 431.206</t>
  </si>
  <si>
    <t>Ceiling Fan and Ceiling Fan Light Kit</t>
  </si>
  <si>
    <t>R_HVAC_Ceiling Fan</t>
  </si>
  <si>
    <t>Very small-diameter (VSD), D ≤ 12 in</t>
  </si>
  <si>
    <t>21 cfm/W (as of Jan. 21, 2020)</t>
  </si>
  <si>
    <t>10 CFR 430.32 (s)</t>
  </si>
  <si>
    <t>Very small-diameter (VSD), D &gt; 12 in</t>
  </si>
  <si>
    <t>3.16 D −17.04 (as of Jan. 21, 2020)</t>
  </si>
  <si>
    <t>0.65 D + 38.03 (as of Jan. 21, 2020)</t>
  </si>
  <si>
    <t>Hugger</t>
  </si>
  <si>
    <t>0.29 D + 34.46 (as of Jan. 21, 2020)</t>
  </si>
  <si>
    <t>High-speed small-diameter (HSSD)</t>
  </si>
  <si>
    <t>4.16 D + 0.02 (as of Jan. 21, 2020)</t>
  </si>
  <si>
    <t>Large-diameter</t>
  </si>
  <si>
    <t>0.91 D−30.00 (as of Jan. 21, 2020)</t>
  </si>
  <si>
    <t>Ceiling fan light kits, &lt; 120 lm</t>
  </si>
  <si>
    <t>50 lm/W (as of Jan. 21, 2020)</t>
  </si>
  <si>
    <t>Ceiling fan light kits, ≥ 120 lm</t>
  </si>
  <si>
    <t>Central AC Split and Single Package</t>
  </si>
  <si>
    <t>R_HVAC_Central AC Retrofit</t>
  </si>
  <si>
    <t xml:space="preserve">10 CFR 430.32 (c) </t>
  </si>
  <si>
    <t>C_HVAC_AC &amp; Heat Pump</t>
  </si>
  <si>
    <t>Air-Source Heat Pump</t>
  </si>
  <si>
    <t>14 SEER</t>
  </si>
  <si>
    <t xml:space="preserve">Water-Source Heat Pump </t>
  </si>
  <si>
    <t>12.2 EER</t>
  </si>
  <si>
    <t>ASHRAE 90.1 2016</t>
  </si>
  <si>
    <t>13.0 EER</t>
  </si>
  <si>
    <t>PTAC</t>
  </si>
  <si>
    <t>EER = 14.0 − 0.3 * Cap / 1000</t>
  </si>
  <si>
    <t xml:space="preserve">EER = 10.9 − 0.213 * Cap / 1000 </t>
  </si>
  <si>
    <t>PTHP</t>
  </si>
  <si>
    <t xml:space="preserve">EER = 10.8 − 0.213 * Cap / 1000 </t>
  </si>
  <si>
    <t>Vertical AC and Heat Pump</t>
  </si>
  <si>
    <t>10.0 EER</t>
  </si>
  <si>
    <t>R_HVAC_Window AC</t>
  </si>
  <si>
    <t>11.0 CEER</t>
  </si>
  <si>
    <t>C_HVAC_Window AC</t>
  </si>
  <si>
    <t>10.9 CEER</t>
  </si>
  <si>
    <t>10.7 CEER</t>
  </si>
  <si>
    <t>9.4 CEER</t>
  </si>
  <si>
    <t>R_HVAC_Dehumidifier</t>
  </si>
  <si>
    <t>Portable,  ≤ 25 pints/day</t>
  </si>
  <si>
    <t>IEF = 1.30 (as of Jun. 13, 2019)</t>
  </si>
  <si>
    <t>10 CFR 430.32 (v)</t>
  </si>
  <si>
    <t>Portable,  25.01 - 50.00 pints/day</t>
  </si>
  <si>
    <t>IEF = 1.60 (as of Jun. 13, 2019)</t>
  </si>
  <si>
    <t>Portable,  &gt; 50 pints/day</t>
  </si>
  <si>
    <t>IEF = 2.80 (as of Jun. 13, 2019)</t>
  </si>
  <si>
    <t>Whole-home, ≤ 8.0 cu ft case volume</t>
  </si>
  <si>
    <t>IEF = 1.77 (as of Jun. 13, 2019)</t>
  </si>
  <si>
    <t>Whole-home, &gt; 8.0 cu ft case volume</t>
  </si>
  <si>
    <t>IEF = 2.41 (as of Jun. 13, 2019)</t>
  </si>
  <si>
    <t xml:space="preserve">Residential Electric Storage Water Heater </t>
  </si>
  <si>
    <t>≥ 20 and ≤ 55 gal, Very Small</t>
  </si>
  <si>
    <t>10 CFR 430.32 (d)</t>
  </si>
  <si>
    <t>≥ 20 and ≤ 55 gal, Low</t>
  </si>
  <si>
    <t>≥ 20 and ≤ 55 gal, Medium</t>
  </si>
  <si>
    <t>≥ 20 and ≤ 55 gal, High</t>
  </si>
  <si>
    <t>&gt; 55 and ≤ 120 gal, Very Small</t>
  </si>
  <si>
    <t>&gt; 55 and ≤ 120 gal, Low</t>
  </si>
  <si>
    <t>&gt; 55 and ≤ 120 gal, Medium</t>
  </si>
  <si>
    <t>&gt; 55 and ≤ 120 gal, High</t>
  </si>
  <si>
    <t>≤ 55 gal</t>
  </si>
  <si>
    <t>10 CFR 430.32 (d), previous metric</t>
  </si>
  <si>
    <t>&gt; 55 gal</t>
  </si>
  <si>
    <t xml:space="preserve">Commercial Electric Water Heater </t>
  </si>
  <si>
    <t>Residential-duty ≤ 12 kW, Resistance, Storage</t>
  </si>
  <si>
    <t>Same as residential</t>
  </si>
  <si>
    <t>Residential-duty ≤ 24 amps and ≤ 250 volts, Heat Pump, Storage</t>
  </si>
  <si>
    <t>Residential-duty &gt; 12 kW, Resistance, Instantaneous</t>
  </si>
  <si>
    <t>UEF = 0.80</t>
  </si>
  <si>
    <t>10 CFR 431.110</t>
  </si>
  <si>
    <t>Commercial-duty, All Sizes</t>
  </si>
  <si>
    <t>Faucet Aerator</t>
  </si>
  <si>
    <t>Lavatory faucets and replacement aerators</t>
  </si>
  <si>
    <t>10 CFR 430.32 (o); Hawaii HB 556, Act 141 6/26/2019</t>
  </si>
  <si>
    <t>Kitchen faucets and replacement aerators</t>
  </si>
  <si>
    <t>Low-Flow Showerhead</t>
  </si>
  <si>
    <t>Showerheads, flowing pressure of 80 psi</t>
  </si>
  <si>
    <t>Compact Dishwasher</t>
  </si>
  <si>
    <t>EF = 0.62 (max of 222 kWh/yr)</t>
  </si>
  <si>
    <t>10 CFR 430.32 (f)</t>
  </si>
  <si>
    <t>Standard Dishwasher</t>
  </si>
  <si>
    <t>EF = 0.46 (max of 307 kWh/yr)</t>
  </si>
  <si>
    <t>IMEF = 1.15</t>
  </si>
  <si>
    <t>10 CFR 430.32 (g)</t>
  </si>
  <si>
    <t>IMEF = 1.57</t>
  </si>
  <si>
    <t>IMEF = 1.13</t>
  </si>
  <si>
    <t>IMEF = 1.84</t>
  </si>
  <si>
    <t>R_Appliance_Clothes Dryer</t>
  </si>
  <si>
    <t>CEF = 3.73</t>
  </si>
  <si>
    <t>10 CFR 430.32 (i)</t>
  </si>
  <si>
    <t>CEF = 3.61</t>
  </si>
  <si>
    <t>CEF = 3.27</t>
  </si>
  <si>
    <t>Vented Gas</t>
  </si>
  <si>
    <t>CEF = 3.3</t>
  </si>
  <si>
    <t>CEF = 2.55</t>
  </si>
  <si>
    <t>Ventless Electric, Combination Washer-Dryer</t>
  </si>
  <si>
    <t>CEF = 2.08</t>
  </si>
  <si>
    <t>Refrigerator/Freezer</t>
  </si>
  <si>
    <t>Refrigerators and refrigerator-freezers, ≤ 39 cu ft</t>
  </si>
  <si>
    <t>Varies (see Standard effective Sep. 15, 2014)</t>
  </si>
  <si>
    <t>10 CFR 430.32 (a)</t>
  </si>
  <si>
    <t>Freezers, ≤ 30 cu ft</t>
  </si>
  <si>
    <t>Commercial Refrigeration/Freezers</t>
  </si>
  <si>
    <t>C_Kitchen_Refrigerator</t>
  </si>
  <si>
    <t>Various</t>
  </si>
  <si>
    <t>See standards effective Mar. 27, 2017</t>
  </si>
  <si>
    <t>10 CFR 431.66</t>
  </si>
  <si>
    <t>C_Kitchen_Freezer</t>
  </si>
  <si>
    <t>Commercial Ice Maker</t>
  </si>
  <si>
    <t>C_Kitchen_Ice Machine</t>
  </si>
  <si>
    <t>See standards effective Jan. 28, 2018</t>
  </si>
  <si>
    <t>10 CFR 431.136</t>
  </si>
  <si>
    <t>Vending Machine</t>
  </si>
  <si>
    <t>C_PlugProcess_Vending Miser</t>
  </si>
  <si>
    <t>Class A</t>
  </si>
  <si>
    <t>Max kWh/day = 0.052 × V + 2.43</t>
  </si>
  <si>
    <t>10 CFR 431.296</t>
  </si>
  <si>
    <t>Class B</t>
  </si>
  <si>
    <t>Max kWh/day = 0.052 × V + 2.20.</t>
  </si>
  <si>
    <t>Combination A</t>
  </si>
  <si>
    <t>Max kWh/day = 0.086 × V + 2.66.</t>
  </si>
  <si>
    <t>Combination B</t>
  </si>
  <si>
    <t>Max kWh/day = 0.111 × V + 2.04.</t>
  </si>
  <si>
    <t>C_PumpMotor_ECM</t>
  </si>
  <si>
    <t>See standards effective Jun. 1, 2016</t>
  </si>
  <si>
    <t>10 CFR 431.25</t>
  </si>
  <si>
    <t>Pool Filter Pump</t>
  </si>
  <si>
    <t>Self-priming pool filter pumps, 0.711 hp ≤ hhp &lt; 2.5 hp, single phase</t>
  </si>
  <si>
    <t>Self-priming pool filter pumps, hhp ≤ 0.13 hp, single phase</t>
  </si>
  <si>
    <t>Self-priming pool filter pumps, 0.13 hp &lt; hhp &lt; 0.711 hp, single phase</t>
  </si>
  <si>
    <t>Non-self-priming pool filter pumps, hhp ≤ 0.13 hp</t>
  </si>
  <si>
    <t>Non-self-priming pool filter pumps, 0.13 hp &lt; hhp &lt; 2.5 hp</t>
  </si>
  <si>
    <t>Pressure cleaner booster pumps</t>
  </si>
  <si>
    <t>Pumps</t>
  </si>
  <si>
    <t>See standards effective Jan. 27, 2020</t>
  </si>
  <si>
    <t>10 CFR 431.465 (b)</t>
  </si>
  <si>
    <t>Distribution Transformer</t>
  </si>
  <si>
    <t>See standards effective Jan. 1, 2016</t>
  </si>
  <si>
    <t>10 CFR 431.196</t>
  </si>
  <si>
    <t>New Construction / Major Renovation</t>
  </si>
  <si>
    <t>Single Baseline Measures</t>
  </si>
  <si>
    <t>Where:</t>
  </si>
  <si>
    <t>Dual Baseline Measures</t>
  </si>
  <si>
    <t>Deemed and semi-prescriptive measures requiring a dual baseline approach are listed below, with hyperlinks to the applicable measure sheets.</t>
  </si>
  <si>
    <t>Deemed and Semi-Prescriptive:</t>
  </si>
  <si>
    <t>Residential</t>
  </si>
  <si>
    <t>Commercial</t>
  </si>
  <si>
    <t>- Window AC w/ Recycling</t>
  </si>
  <si>
    <t>- T8 Linear (Early Replacement)**</t>
  </si>
  <si>
    <t>C_Light_Energy Advantage**</t>
  </si>
  <si>
    <t>- Refrigerator w/ Turn-In*</t>
  </si>
  <si>
    <t>- Refrigerated Case (Early Replacement)</t>
  </si>
  <si>
    <t>- Freezer w/ Turn-In*</t>
  </si>
  <si>
    <t>*These refrigerator/freezer measures have a combination of two savings pieces, each with different lifetimes</t>
  </si>
  <si>
    <t>** SBDIL / Energy Advantage lighting projects use custom hours of use (HOU)</t>
  </si>
  <si>
    <t>Some fully custom measures will also require a dual baseline approach, including the following:</t>
  </si>
  <si>
    <t>Commercial Chiller, AC, Heat Pump, or VRF with Early Replacement</t>
  </si>
  <si>
    <r>
      <rPr>
        <b/>
        <sz val="11"/>
        <rFont val="Calibri"/>
        <family val="2"/>
        <scheme val="minor"/>
      </rPr>
      <t>NTGR</t>
    </r>
    <r>
      <rPr>
        <b/>
        <vertAlign val="subscript"/>
        <sz val="11"/>
        <rFont val="Calibri"/>
        <family val="2"/>
        <scheme val="minor"/>
      </rPr>
      <t>Prog</t>
    </r>
    <r>
      <rPr>
        <sz val="11"/>
        <rFont val="Calibri"/>
        <family val="2"/>
        <scheme val="minor"/>
      </rPr>
      <t xml:space="preserve"> = Net-to-gross ratio for the applicable program. See Table 6 below.</t>
    </r>
  </si>
  <si>
    <r>
      <rPr>
        <b/>
        <sz val="11"/>
        <rFont val="Calibri"/>
        <family val="2"/>
      </rPr>
      <t>ΔkWh</t>
    </r>
    <r>
      <rPr>
        <b/>
        <vertAlign val="subscript"/>
        <sz val="11"/>
        <rFont val="Calibri"/>
        <family val="2"/>
      </rPr>
      <t>1st yr Gross Cust_Meas</t>
    </r>
    <r>
      <rPr>
        <sz val="11"/>
        <rFont val="Calibri"/>
        <family val="2"/>
        <scheme val="minor"/>
      </rPr>
      <t xml:space="preserve"> = Sum of first year gross customer level energy savings for the measure by County.</t>
    </r>
  </si>
  <si>
    <r>
      <rPr>
        <b/>
        <sz val="11"/>
        <rFont val="Calibri"/>
        <family val="2"/>
      </rPr>
      <t>ΔkW</t>
    </r>
    <r>
      <rPr>
        <b/>
        <vertAlign val="subscript"/>
        <sz val="11"/>
        <rFont val="Calibri"/>
        <family val="2"/>
      </rPr>
      <t>1st yr Gross Cust_Meas</t>
    </r>
    <r>
      <rPr>
        <sz val="11"/>
        <rFont val="Calibri"/>
        <family val="2"/>
        <scheme val="minor"/>
      </rPr>
      <t xml:space="preserve"> = Sum of first year gross customer level peak demand savings for the measure by County.</t>
    </r>
  </si>
  <si>
    <t>For measures with a dual baseline, the NPV values must be used differently since there are two separate savings periods. One way is to use annual NPV values. For example, if the duration of the first baseline period is 2 years, the annual NPV values for Measure Year 1 and Measure Year 2 would be used in the calculations along with the annual impacts associated with that first 2-year baseline period. Then, if the second baseline period is 6 years (for a total measure life of 8 years), the annual values for Measure Years 3 through 8 would be used with the annual impacts associated with the second 6-year baseline period. Another way is to use the cumulative NPV values in a special manner that accounts for the two separate baseline periods. Equation 2 below shows the algorithm for calculating the TRB for a dual baseline measure using cumulative NPV values.</t>
  </si>
  <si>
    <r>
      <rPr>
        <b/>
        <sz val="11"/>
        <rFont val="Calibri"/>
        <family val="2"/>
      </rPr>
      <t>ΔkWh</t>
    </r>
    <r>
      <rPr>
        <b/>
        <vertAlign val="subscript"/>
        <sz val="11"/>
        <rFont val="Calibri"/>
        <family val="2"/>
      </rPr>
      <t>1st BL Gross Cust_Meas</t>
    </r>
    <r>
      <rPr>
        <sz val="11"/>
        <rFont val="Calibri"/>
        <family val="2"/>
        <scheme val="minor"/>
      </rPr>
      <t xml:space="preserve"> = Sum of the first baseline first year gross customer level energy savings for the measure by County.</t>
    </r>
  </si>
  <si>
    <r>
      <rPr>
        <b/>
        <sz val="11"/>
        <rFont val="Calibri"/>
        <family val="2"/>
      </rPr>
      <t>ΔkW</t>
    </r>
    <r>
      <rPr>
        <b/>
        <vertAlign val="subscript"/>
        <sz val="11"/>
        <rFont val="Calibri"/>
        <family val="2"/>
      </rPr>
      <t>1st BL Gross Cust_Meas</t>
    </r>
    <r>
      <rPr>
        <sz val="11"/>
        <rFont val="Calibri"/>
        <family val="2"/>
        <scheme val="minor"/>
      </rPr>
      <t xml:space="preserve"> = Sum of the first baseline first year gross customer level peak demand savings for the measure by County.</t>
    </r>
  </si>
  <si>
    <r>
      <rPr>
        <b/>
        <sz val="11"/>
        <rFont val="Calibri"/>
        <family val="2"/>
      </rPr>
      <t>ΔkWh</t>
    </r>
    <r>
      <rPr>
        <b/>
        <vertAlign val="subscript"/>
        <sz val="11"/>
        <rFont val="Calibri"/>
        <family val="2"/>
      </rPr>
      <t>2nd BL Gross Cust_Meas</t>
    </r>
    <r>
      <rPr>
        <sz val="11"/>
        <rFont val="Calibri"/>
        <family val="2"/>
        <scheme val="minor"/>
      </rPr>
      <t xml:space="preserve"> = Sum of the second baseline first year gross customer level energy savings for the measure by County.</t>
    </r>
  </si>
  <si>
    <r>
      <rPr>
        <b/>
        <sz val="11"/>
        <rFont val="Calibri"/>
        <family val="2"/>
      </rPr>
      <t>ΔkW</t>
    </r>
    <r>
      <rPr>
        <b/>
        <vertAlign val="subscript"/>
        <sz val="11"/>
        <rFont val="Calibri"/>
        <family val="2"/>
      </rPr>
      <t>2nd BL Gross Cust_Meas</t>
    </r>
    <r>
      <rPr>
        <sz val="11"/>
        <rFont val="Calibri"/>
        <family val="2"/>
        <scheme val="minor"/>
      </rPr>
      <t xml:space="preserve"> = Sum of the second baseline first year gross customer level peak demand savings for the measure by County.</t>
    </r>
  </si>
  <si>
    <r>
      <t xml:space="preserve">Note: First Year </t>
    </r>
    <r>
      <rPr>
        <b/>
        <u/>
        <sz val="11"/>
        <color rgb="FF002060"/>
        <rFont val="Calibri"/>
        <family val="2"/>
        <scheme val="minor"/>
      </rPr>
      <t>Energy Savings</t>
    </r>
    <r>
      <rPr>
        <b/>
        <sz val="11"/>
        <color rgb="FF002060"/>
        <rFont val="Calibri"/>
        <family val="2"/>
        <scheme val="minor"/>
      </rPr>
      <t xml:space="preserve"> for SBDIL are to be calculated with custom HOU using Equation (3) for the first (Pre-Existing) baseline period. See the "C_Light_Energy Advantage" sheet for more detail.</t>
    </r>
  </si>
  <si>
    <r>
      <t xml:space="preserve">Note: First Year </t>
    </r>
    <r>
      <rPr>
        <b/>
        <u/>
        <sz val="11"/>
        <color rgb="FF002060"/>
        <rFont val="Calibri"/>
        <family val="2"/>
        <scheme val="minor"/>
      </rPr>
      <t>Energy Savings</t>
    </r>
    <r>
      <rPr>
        <b/>
        <sz val="11"/>
        <color rgb="FF002060"/>
        <rFont val="Calibri"/>
        <family val="2"/>
        <scheme val="minor"/>
      </rPr>
      <t xml:space="preserve"> for SBDIL are to be calculated with custom HOU using Equation (4) for the second (Federal Standard) baseline period. See the "C_Light_Energy Advantage" sheet for more detail.</t>
    </r>
  </si>
  <si>
    <r>
      <t xml:space="preserve">Note: </t>
    </r>
    <r>
      <rPr>
        <b/>
        <u/>
        <sz val="11"/>
        <color rgb="FF002060"/>
        <rFont val="Calibri"/>
        <family val="2"/>
        <scheme val="minor"/>
      </rPr>
      <t>Lifetime Energy Savings</t>
    </r>
    <r>
      <rPr>
        <b/>
        <sz val="11"/>
        <color rgb="FF002060"/>
        <rFont val="Calibri"/>
        <family val="2"/>
        <scheme val="minor"/>
      </rPr>
      <t xml:space="preserve"> for SBDIL are to be calculated with custom HOU using Equation (6). See the "C_Light_Energy Advantage" sheet for more detail.</t>
    </r>
  </si>
  <si>
    <t>(See item #154)</t>
  </si>
  <si>
    <t xml:space="preserve">Publication Date: </t>
  </si>
  <si>
    <t>Assumed two 12,000 Btu/h Room ACs per home or one 24,000 Btu/h Ductless Mini Split AC per home.</t>
  </si>
  <si>
    <t>Assumed two 12,000 Btu/h Room ACs per home or one 24,000 Btu/h Ductless Mini Split ACs per home.</t>
  </si>
  <si>
    <r>
      <rPr>
        <b/>
        <sz val="11"/>
        <rFont val="Calibri"/>
        <family val="2"/>
        <scheme val="minor"/>
      </rPr>
      <t>[Cumul. NPV avoided energy cost]</t>
    </r>
    <r>
      <rPr>
        <b/>
        <vertAlign val="subscript"/>
        <sz val="11"/>
        <rFont val="Calibri"/>
        <family val="2"/>
        <scheme val="minor"/>
      </rPr>
      <t>Meas yr=EUL</t>
    </r>
    <r>
      <rPr>
        <sz val="11"/>
        <rFont val="Calibri"/>
        <family val="2"/>
        <scheme val="minor"/>
      </rPr>
      <t xml:space="preserve"> = Cumulative NPV for avoided energy cost for the final year of the EUL. See Tables 3 through 5 below. Select correct program year. Select value for Measure Year = EUL and for correct County.</t>
    </r>
  </si>
  <si>
    <r>
      <rPr>
        <b/>
        <sz val="11"/>
        <rFont val="Calibri"/>
        <family val="2"/>
        <scheme val="minor"/>
      </rPr>
      <t>[Cumul. NPV avoided capacity cost]</t>
    </r>
    <r>
      <rPr>
        <b/>
        <vertAlign val="subscript"/>
        <sz val="11"/>
        <rFont val="Calibri"/>
        <family val="2"/>
        <scheme val="minor"/>
      </rPr>
      <t>Meas yr=EUL</t>
    </r>
    <r>
      <rPr>
        <b/>
        <sz val="11"/>
        <rFont val="Calibri"/>
        <family val="2"/>
        <scheme val="minor"/>
      </rPr>
      <t xml:space="preserve"> </t>
    </r>
    <r>
      <rPr>
        <sz val="11"/>
        <rFont val="Calibri"/>
        <family val="2"/>
        <scheme val="minor"/>
      </rPr>
      <t>= Cumulative NPV for avoided capacity cost for the final year of the EUL. See Tables 3 through 5 below. Select correct program year. Select value for Measure Year = EUL and for correct County.</t>
    </r>
  </si>
  <si>
    <r>
      <rPr>
        <b/>
        <sz val="11"/>
        <rFont val="Calibri"/>
        <family val="2"/>
        <scheme val="minor"/>
      </rPr>
      <t>[Cumulative NPV avoided energy cost]</t>
    </r>
    <r>
      <rPr>
        <b/>
        <vertAlign val="subscript"/>
        <sz val="11"/>
        <rFont val="Calibri"/>
        <family val="2"/>
        <scheme val="minor"/>
      </rPr>
      <t>Meas yr=RUL</t>
    </r>
    <r>
      <rPr>
        <sz val="11"/>
        <rFont val="Calibri"/>
        <family val="2"/>
        <scheme val="minor"/>
      </rPr>
      <t xml:space="preserve"> = 
a) Early Replacement Projects: Cumulative NPV for avoided energy cost for the final year of the RUL of the pre-existing equipment, </t>
    </r>
    <r>
      <rPr>
        <b/>
        <i/>
        <sz val="11"/>
        <rFont val="Calibri"/>
        <family val="2"/>
        <scheme val="minor"/>
      </rPr>
      <t xml:space="preserve">OR </t>
    </r>
    <r>
      <rPr>
        <sz val="11"/>
        <rFont val="Calibri"/>
        <family val="2"/>
        <scheme val="minor"/>
      </rPr>
      <t xml:space="preserve">
b) Replace-on-Burnout Projects Subject to Upcoming Codes and Standards: Cumulative NPV for avoided energy cost for the final year of the EUL of the first baseline equipment. 
See Tables 3 through 5 below. Select correct program year. Select value for correct County and for Measure Year = RUL or first baseline period EUL.</t>
    </r>
  </si>
  <si>
    <r>
      <rPr>
        <b/>
        <sz val="11"/>
        <rFont val="Calibri"/>
        <family val="2"/>
        <scheme val="minor"/>
      </rPr>
      <t>[Cumulative NPV avoided capacity cost]</t>
    </r>
    <r>
      <rPr>
        <b/>
        <vertAlign val="subscript"/>
        <sz val="11"/>
        <rFont val="Calibri"/>
        <family val="2"/>
        <scheme val="minor"/>
      </rPr>
      <t>Meas yr=RUL</t>
    </r>
    <r>
      <rPr>
        <b/>
        <sz val="11"/>
        <rFont val="Calibri"/>
        <family val="2"/>
        <scheme val="minor"/>
      </rPr>
      <t xml:space="preserve"> </t>
    </r>
    <r>
      <rPr>
        <sz val="11"/>
        <rFont val="Calibri"/>
        <family val="2"/>
        <scheme val="minor"/>
      </rPr>
      <t xml:space="preserve">= 
a) </t>
    </r>
    <r>
      <rPr>
        <u/>
        <sz val="11"/>
        <rFont val="Calibri"/>
        <family val="2"/>
        <scheme val="minor"/>
      </rPr>
      <t>Early Replacement Projects</t>
    </r>
    <r>
      <rPr>
        <sz val="11"/>
        <rFont val="Calibri"/>
        <family val="2"/>
        <scheme val="minor"/>
      </rPr>
      <t xml:space="preserve">: Cumulative NPV for avoided capacity cost for the final year of the RUL of the pre-existing equipment, </t>
    </r>
    <r>
      <rPr>
        <b/>
        <i/>
        <sz val="11"/>
        <rFont val="Calibri"/>
        <family val="2"/>
        <scheme val="minor"/>
      </rPr>
      <t xml:space="preserve">OR </t>
    </r>
    <r>
      <rPr>
        <sz val="11"/>
        <rFont val="Calibri"/>
        <family val="2"/>
        <scheme val="minor"/>
      </rPr>
      <t xml:space="preserve">
b) </t>
    </r>
    <r>
      <rPr>
        <u/>
        <sz val="11"/>
        <rFont val="Calibri"/>
        <family val="2"/>
        <scheme val="minor"/>
      </rPr>
      <t>Replace-on-Burnout Projects Subject to Upcoming Codes and Standards</t>
    </r>
    <r>
      <rPr>
        <sz val="11"/>
        <rFont val="Calibri"/>
        <family val="2"/>
        <scheme val="minor"/>
      </rPr>
      <t>: Cumulative NPV for avoided capacity cost for the final year of the EUL of the first baseline equipment. 
See Tables 3 through 5 below. Select correct program year. Select value for correct County and for Measure Year = RUL or first baseline period EUL.</t>
    </r>
  </si>
  <si>
    <r>
      <rPr>
        <b/>
        <sz val="11"/>
        <rFont val="Calibri"/>
        <family val="2"/>
        <scheme val="minor"/>
      </rPr>
      <t>[Cumulative NPV avoided energy cost]</t>
    </r>
    <r>
      <rPr>
        <b/>
        <vertAlign val="subscript"/>
        <sz val="11"/>
        <rFont val="Calibri"/>
        <family val="2"/>
        <scheme val="minor"/>
      </rPr>
      <t>Meas yr=EUL</t>
    </r>
    <r>
      <rPr>
        <sz val="11"/>
        <rFont val="Calibri"/>
        <family val="2"/>
        <scheme val="minor"/>
      </rPr>
      <t xml:space="preserve"> = Cumulative NPV for avoided energy cost for the final year of the high efficiency equipment's EUL. See Tables 3 through 5 below. Select correct program year. Select value for correct County and for Measure Year = high efficiency case EUL.</t>
    </r>
  </si>
  <si>
    <r>
      <rPr>
        <b/>
        <sz val="11"/>
        <rFont val="Calibri"/>
        <family val="2"/>
        <scheme val="minor"/>
      </rPr>
      <t>[Cumulative NPV avoided capacity cost]</t>
    </r>
    <r>
      <rPr>
        <b/>
        <vertAlign val="subscript"/>
        <sz val="11"/>
        <rFont val="Calibri"/>
        <family val="2"/>
        <scheme val="minor"/>
      </rPr>
      <t>Meas yr=EUL</t>
    </r>
    <r>
      <rPr>
        <b/>
        <sz val="11"/>
        <rFont val="Calibri"/>
        <family val="2"/>
        <scheme val="minor"/>
      </rPr>
      <t xml:space="preserve"> </t>
    </r>
    <r>
      <rPr>
        <sz val="11"/>
        <rFont val="Calibri"/>
        <family val="2"/>
        <scheme val="minor"/>
      </rPr>
      <t>= Cumulative NPV value for avoided capacity cost for the final year of the high efficiency equipment's EUL. See Tables 3 through 5 below. Select correct program year. Select value for correct County and for Measure Year = high efficiency case EUL.</t>
    </r>
  </si>
  <si>
    <t>Refrigeration</t>
  </si>
  <si>
    <t>Adding Doors to Refrigerated Cases</t>
  </si>
  <si>
    <t>Floating Head Pressure Controls</t>
  </si>
  <si>
    <t>COMMERCIAL: Evaporator Motor Controls</t>
  </si>
  <si>
    <t>Introduced in Fall 2020 for PY20 TRM v2.0.</t>
  </si>
  <si>
    <t xml:space="preserve">By installing evaporator fan motor controls on existing evaporator fans, the continuous full speed operation of cooler and freezer evaporator fans can be avoided. This measure assumes the motor controls will cycle the evaporator fans on and off to meet the current need of the refrigeration system, thus conserving energy. </t>
  </si>
  <si>
    <t xml:space="preserve">Equipping already existing shaded pole (SP) motors or electronically commutated motors (ECMs) on evaporator fans with fan motor controls.                                                                     </t>
  </si>
  <si>
    <t>Walk-in coolers and freezers and refrigerated warehouse applications are eligible.</t>
  </si>
  <si>
    <t>Per evaporator fan motor controlled, where the total number of controlled evaporator fans with a given motor horsepower is a custom entry.</t>
  </si>
  <si>
    <t>Evaporator fans with no motor controls.</t>
  </si>
  <si>
    <t>Evaporator fans with motor controls equipped.</t>
  </si>
  <si>
    <t>where</t>
  </si>
  <si>
    <t>SP</t>
  </si>
  <si>
    <t>ECM</t>
  </si>
  <si>
    <r>
      <t>N</t>
    </r>
    <r>
      <rPr>
        <vertAlign val="subscript"/>
        <sz val="10.5"/>
        <color theme="1"/>
        <rFont val="Calibri"/>
        <family val="2"/>
        <scheme val="minor"/>
      </rPr>
      <t>fans</t>
    </r>
  </si>
  <si>
    <t>Number of evaporator fans</t>
  </si>
  <si>
    <t>Fans</t>
  </si>
  <si>
    <t>hp</t>
  </si>
  <si>
    <t>Horsepower rating of evaporator fan</t>
  </si>
  <si>
    <t>Table 2</t>
  </si>
  <si>
    <t>Motor efficiency</t>
  </si>
  <si>
    <r>
      <t>DC</t>
    </r>
    <r>
      <rPr>
        <vertAlign val="subscript"/>
        <sz val="10.5"/>
        <color theme="1"/>
        <rFont val="Calibri"/>
        <family val="2"/>
        <scheme val="minor"/>
      </rPr>
      <t>comp</t>
    </r>
  </si>
  <si>
    <r>
      <t xml:space="preserve">Duty cycle of compressor used in </t>
    </r>
    <r>
      <rPr>
        <u/>
        <sz val="10.5"/>
        <color theme="1"/>
        <rFont val="Calibri"/>
        <family val="2"/>
        <scheme val="minor"/>
      </rPr>
      <t>Coolers</t>
    </r>
    <r>
      <rPr>
        <sz val="10.5"/>
        <color theme="1"/>
        <rFont val="Calibri"/>
        <family val="2"/>
        <scheme val="minor"/>
      </rPr>
      <t xml:space="preserve"> (medium temperature refrigeration)</t>
    </r>
  </si>
  <si>
    <r>
      <t xml:space="preserve">Assumes on/off cycling. Value is based on benchmarking review of typical compressor operation for Coolers. </t>
    </r>
    <r>
      <rPr>
        <vertAlign val="superscript"/>
        <sz val="10.5"/>
        <color theme="1"/>
        <rFont val="Calibri"/>
        <family val="2"/>
        <scheme val="minor"/>
      </rPr>
      <t>1</t>
    </r>
  </si>
  <si>
    <r>
      <t xml:space="preserve">Duty cycle of compressor used in </t>
    </r>
    <r>
      <rPr>
        <u/>
        <sz val="10.5"/>
        <color theme="1"/>
        <rFont val="Calibri"/>
        <family val="2"/>
        <scheme val="minor"/>
      </rPr>
      <t>Freezers</t>
    </r>
    <r>
      <rPr>
        <sz val="10.5"/>
        <color theme="1"/>
        <rFont val="Calibri"/>
        <family val="2"/>
        <scheme val="minor"/>
      </rPr>
      <t xml:space="preserve"> (low temperature refrigeration)</t>
    </r>
  </si>
  <si>
    <r>
      <t xml:space="preserve">Assumes on/off cycling. Value is based on benchmarking review of typical compressor operation for Freezers. </t>
    </r>
    <r>
      <rPr>
        <vertAlign val="superscript"/>
        <sz val="10.5"/>
        <color theme="1"/>
        <rFont val="Calibri"/>
        <family val="2"/>
        <scheme val="minor"/>
      </rPr>
      <t>1</t>
    </r>
  </si>
  <si>
    <r>
      <t>DC</t>
    </r>
    <r>
      <rPr>
        <vertAlign val="subscript"/>
        <sz val="10.5"/>
        <color theme="1"/>
        <rFont val="Calibri"/>
        <family val="2"/>
        <scheme val="minor"/>
      </rPr>
      <t>evap</t>
    </r>
  </si>
  <si>
    <r>
      <t xml:space="preserve">Duty cycle of evaporator fan used in </t>
    </r>
    <r>
      <rPr>
        <u/>
        <sz val="10.5"/>
        <color theme="1"/>
        <rFont val="Calibri"/>
        <family val="2"/>
        <scheme val="minor"/>
      </rPr>
      <t>Coolers</t>
    </r>
    <r>
      <rPr>
        <sz val="10.5"/>
        <color theme="1"/>
        <rFont val="Calibri"/>
        <family val="2"/>
        <scheme val="minor"/>
      </rPr>
      <t xml:space="preserve"> (base case)</t>
    </r>
  </si>
  <si>
    <r>
      <t xml:space="preserve">Duty cycle of evaporator fan used in </t>
    </r>
    <r>
      <rPr>
        <u/>
        <sz val="10.5"/>
        <color theme="1"/>
        <rFont val="Calibri"/>
        <family val="2"/>
        <scheme val="minor"/>
      </rPr>
      <t>Freezers</t>
    </r>
    <r>
      <rPr>
        <sz val="10.5"/>
        <color theme="1"/>
        <rFont val="Calibri"/>
        <family val="2"/>
        <scheme val="minor"/>
      </rPr>
      <t xml:space="preserve"> (base case)</t>
    </r>
  </si>
  <si>
    <r>
      <t xml:space="preserve">Even without evaporator fan motor controls, evaporator fans in freezers do not run 100% of the time because of defrost control settings. The assumed value of 94% is based on benchmarking review. </t>
    </r>
    <r>
      <rPr>
        <vertAlign val="superscript"/>
        <sz val="10.5"/>
        <color theme="1"/>
        <rFont val="Calibri"/>
        <family val="2"/>
        <scheme val="minor"/>
      </rPr>
      <t>1</t>
    </r>
  </si>
  <si>
    <t>BF</t>
  </si>
  <si>
    <r>
      <t xml:space="preserve">Bonus factor for reduced thermal load in </t>
    </r>
    <r>
      <rPr>
        <u/>
        <sz val="10.5"/>
        <color theme="1"/>
        <rFont val="Calibri"/>
        <family val="2"/>
        <scheme val="minor"/>
      </rPr>
      <t>Coolers</t>
    </r>
    <r>
      <rPr>
        <sz val="10.5"/>
        <color theme="1"/>
        <rFont val="Calibri"/>
        <family val="2"/>
        <scheme val="minor"/>
      </rPr>
      <t>, due to reduced fan usage</t>
    </r>
  </si>
  <si>
    <r>
      <t xml:space="preserve">Bonus factor for reduced thermal load in </t>
    </r>
    <r>
      <rPr>
        <u/>
        <sz val="10.5"/>
        <color theme="1"/>
        <rFont val="Calibri"/>
        <family val="2"/>
        <scheme val="minor"/>
      </rPr>
      <t>Freezers</t>
    </r>
    <r>
      <rPr>
        <sz val="10.5"/>
        <color theme="1"/>
        <rFont val="Calibri"/>
        <family val="2"/>
        <scheme val="minor"/>
      </rPr>
      <t>, due to reduced fan usage</t>
    </r>
  </si>
  <si>
    <r>
      <t>(1-DC</t>
    </r>
    <r>
      <rPr>
        <vertAlign val="subscript"/>
        <sz val="10.5"/>
        <color theme="1"/>
        <rFont val="Calibri"/>
        <family val="2"/>
        <scheme val="minor"/>
      </rPr>
      <t>comp</t>
    </r>
    <r>
      <rPr>
        <sz val="10.5"/>
        <color theme="1"/>
        <rFont val="Calibri"/>
        <family val="2"/>
        <scheme val="minor"/>
      </rPr>
      <t>)*DC</t>
    </r>
    <r>
      <rPr>
        <vertAlign val="subscript"/>
        <sz val="10.5"/>
        <color theme="1"/>
        <rFont val="Calibri"/>
        <family val="2"/>
        <scheme val="minor"/>
      </rPr>
      <t>evap</t>
    </r>
  </si>
  <si>
    <r>
      <rPr>
        <vertAlign val="superscript"/>
        <sz val="9"/>
        <rFont val="Calibri"/>
        <family val="2"/>
        <scheme val="minor"/>
      </rPr>
      <t>1</t>
    </r>
    <r>
      <rPr>
        <sz val="9"/>
        <rFont val="Calibri"/>
        <family val="2"/>
        <scheme val="minor"/>
      </rPr>
      <t xml:space="preserve"> AEG's 2020 Analysis File titled "AEG HPUC - New Com Refrig Measures - Analysis File_Dec 2020." See sheet named "Evaporator motor controls_Notes." Note that efficiency will also be a function of motor size, but we have assumed an average efficiency across all motor sizes in Tables 1 and 2 for simplicity.</t>
    </r>
  </si>
  <si>
    <r>
      <rPr>
        <vertAlign val="superscript"/>
        <sz val="9"/>
        <rFont val="Calibri"/>
        <family val="2"/>
        <scheme val="minor"/>
      </rPr>
      <t>2</t>
    </r>
    <r>
      <rPr>
        <sz val="9"/>
        <rFont val="Calibri"/>
        <family val="2"/>
        <scheme val="minor"/>
      </rPr>
      <t xml:space="preserve"> Arkansas Technical Reference Manual, Version 8.1, Volume 2: Deemed Savings, Aug. 31, 2019, p. 475, footnote 648. The 1.2 and 1.5 values are also cited in Texas TRM v7.0.</t>
    </r>
  </si>
  <si>
    <r>
      <rPr>
        <vertAlign val="superscript"/>
        <sz val="9"/>
        <rFont val="Calibri"/>
        <family val="2"/>
        <scheme val="minor"/>
      </rPr>
      <t>3</t>
    </r>
    <r>
      <rPr>
        <sz val="9"/>
        <rFont val="Calibri"/>
        <family val="2"/>
        <scheme val="minor"/>
      </rPr>
      <t xml:space="preserve"> Note that future replacement of an SP motor with a new ECM + same controller could be claimed in the TRM's other ECM measure. </t>
    </r>
  </si>
  <si>
    <r>
      <t xml:space="preserve">Table 1: Demand and Energy Savings for Motor Controls (Having </t>
    </r>
    <r>
      <rPr>
        <b/>
        <u/>
        <sz val="11"/>
        <color theme="1"/>
        <rFont val="Calibri"/>
        <family val="2"/>
        <scheme val="minor"/>
      </rPr>
      <t>Shaded Pole</t>
    </r>
    <r>
      <rPr>
        <b/>
        <sz val="11"/>
        <color theme="1"/>
        <rFont val="Calibri"/>
        <family val="2"/>
        <scheme val="minor"/>
      </rPr>
      <t xml:space="preserve"> Motor)</t>
    </r>
  </si>
  <si>
    <t>Motor HP</t>
  </si>
  <si>
    <t>For Coolers</t>
  </si>
  <si>
    <t>For Freezers</t>
  </si>
  <si>
    <t>Peak kW Savings</t>
  </si>
  <si>
    <t>Annual kWh Savings</t>
  </si>
  <si>
    <t>Lifetime kWh Savings</t>
  </si>
  <si>
    <t>1/47</t>
  </si>
  <si>
    <t>1/25</t>
  </si>
  <si>
    <t>1/20</t>
  </si>
  <si>
    <t>1/15</t>
  </si>
  <si>
    <t>1/8</t>
  </si>
  <si>
    <t>1/3</t>
  </si>
  <si>
    <r>
      <t xml:space="preserve">Table 2: Demand and Energy Savings for Motor Controls (Having </t>
    </r>
    <r>
      <rPr>
        <b/>
        <u/>
        <sz val="11"/>
        <color theme="1"/>
        <rFont val="Calibri"/>
        <family val="2"/>
        <scheme val="minor"/>
      </rPr>
      <t>ECM</t>
    </r>
    <r>
      <rPr>
        <b/>
        <sz val="11"/>
        <color theme="1"/>
        <rFont val="Calibri"/>
        <family val="2"/>
        <scheme val="minor"/>
      </rPr>
      <t>)</t>
    </r>
  </si>
  <si>
    <t>Semi-Prescriptive Savings Calculator (based on customer-specific data)</t>
  </si>
  <si>
    <t>Select Type of Refrigerated Space (Cooler or Freezer)</t>
  </si>
  <si>
    <t>Cooler</t>
  </si>
  <si>
    <t>Select Type of Evaporator Fan Motor</t>
  </si>
  <si>
    <t>Select Horsepower of Evaporator Fan Motor</t>
  </si>
  <si>
    <t>Enter Number of Motors of Given Horsepower</t>
  </si>
  <si>
    <t>Arkansas Technical Reference Manual, Version 8.1, Volume 2: Deemed Savings, Aug. 31, 2019.</t>
  </si>
  <si>
    <t>Connecticut's 2018 Program Savings Document, 13th Edition, filed Dec. 15, 2017.</t>
  </si>
  <si>
    <t>Illinois 2020 Statewide Technical Reference Manual for Energy Efficiency, Version 8.0, Volume 2: Commercial and Industrial Measures, Oct. 17, 2019.</t>
  </si>
  <si>
    <t>Mid-Atlantic Technical Reference Manual, Version 8, May 2018.</t>
  </si>
  <si>
    <t>Public Service Commission of Wisconsin, Wisconsin Focus on Energy 2020 Technical Reference Manual, pp. 794-797.</t>
  </si>
  <si>
    <t>Regional Technical Forum. "Walk-In Evaporator Fan ECMotor Controllers  - Unit Energy Savings Workbook, Version 3.1." Northwest Power and Conservation Council. December 7, 2018. Spreadsheet: "ComGroceryWalkinEvapFanECMContoller_v3_1.xlsm."</t>
  </si>
  <si>
    <t>State of Minnesota Technical Reference Manual for Energy Conservation Improvement Programs, Version 2.2, May 2, 2018.</t>
  </si>
  <si>
    <t>Tennessee Valley Authority Technical Reference Manual, Version 6.0, October 1, 2017.</t>
  </si>
  <si>
    <t>Texas Technical Reference Manual, Version 7.0, Volume 3: Nonresidential Measures, November 2019, pp. 247-249.</t>
  </si>
  <si>
    <t>COMMERCIAL: Adding Doors to Refrigerated Cases</t>
  </si>
  <si>
    <t>Doors can be retrofitted onto existing medium temperature open cases to reduce the energy usage by compressor due to reduced spillage of cold air.</t>
  </si>
  <si>
    <r>
      <t>Equipping already existing medium temperature (10-35</t>
    </r>
    <r>
      <rPr>
        <sz val="11"/>
        <color theme="1"/>
        <rFont val="Calibri"/>
        <family val="2"/>
      </rPr>
      <t>°</t>
    </r>
    <r>
      <rPr>
        <sz val="11"/>
        <color theme="1"/>
        <rFont val="Calibri"/>
        <family val="2"/>
        <scheme val="minor"/>
      </rPr>
      <t xml:space="preserve">F) open refrigerated cases with doors.                                                                    </t>
    </r>
  </si>
  <si>
    <t>Refrigeration system must be reevaluated after adding doors since the load reduction (and change in load profile) will affect the operation and performance of the overall system. Specifically, reconfiguration of the compressor rack and controls will be needed to align compressor operation with the new load profile of the cases. Refer to DOE 2013 reference listed in "Resources" section below for more information.</t>
  </si>
  <si>
    <t>Per refrigerated case, where the length of the case in linear feet is a custom entry.</t>
  </si>
  <si>
    <t>Case with no doors.</t>
  </si>
  <si>
    <t>Case with doors equipped.</t>
  </si>
  <si>
    <r>
      <t>L</t>
    </r>
    <r>
      <rPr>
        <vertAlign val="subscript"/>
        <sz val="10.5"/>
        <color theme="1"/>
        <rFont val="Calibri"/>
        <family val="2"/>
      </rPr>
      <t>T</t>
    </r>
  </si>
  <si>
    <t>Total load of refrigerated case</t>
  </si>
  <si>
    <t>Btu/hr-ft</t>
  </si>
  <si>
    <r>
      <t>LR</t>
    </r>
    <r>
      <rPr>
        <vertAlign val="subscript"/>
        <sz val="10.5"/>
        <color theme="1"/>
        <rFont val="Calibri"/>
        <family val="2"/>
      </rPr>
      <t>Net</t>
    </r>
  </si>
  <si>
    <t>Overall net reduction in thermal load due to adding doors</t>
  </si>
  <si>
    <t>Duty cycle for refrigeration compressor</t>
  </si>
  <si>
    <t>The duty cycle is dependent on the configuration and controls of the compressor racks, which generally include several compressors to allow for optimizing capacity loading and duty cycles. AEG's 2020 benchmarking yielded a typical range of 50-70%, so 60% is assumed to reflect the midpoint of that range.</t>
  </si>
  <si>
    <t>Conversion factor from Btu to kWh</t>
  </si>
  <si>
    <r>
      <t>COP</t>
    </r>
    <r>
      <rPr>
        <vertAlign val="subscript"/>
        <sz val="10.5"/>
        <color theme="1"/>
        <rFont val="Calibri"/>
        <family val="2"/>
        <scheme val="minor"/>
      </rPr>
      <t>R</t>
    </r>
  </si>
  <si>
    <t>Coefficient of performance for refrigeration system</t>
  </si>
  <si>
    <r>
      <t>COP</t>
    </r>
    <r>
      <rPr>
        <vertAlign val="subscript"/>
        <sz val="10.5"/>
        <color theme="1"/>
        <rFont val="Calibri"/>
        <family val="2"/>
        <scheme val="minor"/>
      </rPr>
      <t>AC</t>
    </r>
  </si>
  <si>
    <t>Coefficient of performance for the AC system cooling the space</t>
  </si>
  <si>
    <t>Conversion factor from hours to days</t>
  </si>
  <si>
    <t>CDD</t>
  </si>
  <si>
    <t>Cooling degree days</t>
  </si>
  <si>
    <t>degree day</t>
  </si>
  <si>
    <r>
      <t>T</t>
    </r>
    <r>
      <rPr>
        <vertAlign val="subscript"/>
        <sz val="10.5"/>
        <color theme="1"/>
        <rFont val="Calibri"/>
        <family val="2"/>
        <scheme val="minor"/>
      </rPr>
      <t>s</t>
    </r>
  </si>
  <si>
    <t>Temperature of the space</t>
  </si>
  <si>
    <r>
      <t>T</t>
    </r>
    <r>
      <rPr>
        <vertAlign val="subscript"/>
        <sz val="10.5"/>
        <color theme="1"/>
        <rFont val="Calibri"/>
        <family val="2"/>
        <scheme val="minor"/>
      </rPr>
      <t>R</t>
    </r>
  </si>
  <si>
    <t>Temperature of the refrigerated case</t>
  </si>
  <si>
    <r>
      <t>Temperature that refrigerated case needs to be maintained. Typical range for medium temperature coolers is 10-35</t>
    </r>
    <r>
      <rPr>
        <sz val="10.5"/>
        <color theme="1"/>
        <rFont val="Calibri"/>
        <family val="2"/>
      </rPr>
      <t>°</t>
    </r>
    <r>
      <rPr>
        <sz val="10.5"/>
        <color theme="1"/>
        <rFont val="Calibri"/>
        <family val="2"/>
        <scheme val="minor"/>
      </rPr>
      <t xml:space="preserve">F, so 25°F is assumed to reflect the midpoint of that range. Source: DOE 2009, Table 3-1. </t>
    </r>
    <r>
      <rPr>
        <vertAlign val="superscript"/>
        <sz val="10.5"/>
        <color theme="1"/>
        <rFont val="Calibri"/>
        <family val="2"/>
        <scheme val="minor"/>
      </rPr>
      <t>6</t>
    </r>
  </si>
  <si>
    <t>Length</t>
  </si>
  <si>
    <t>Length of the refrigerated case</t>
  </si>
  <si>
    <t>linear foot</t>
  </si>
  <si>
    <r>
      <t xml:space="preserve">According to DOE 2009 and the Food Marketing Institute, refrigerated display cases are often replaced before the end of their functional life during store renovations. Store renovations typically occur every 6 to 10 years, so 8 years is assumed to reflect the midpoint of that range. </t>
    </r>
    <r>
      <rPr>
        <vertAlign val="superscript"/>
        <sz val="10.5"/>
        <color theme="1"/>
        <rFont val="Calibri"/>
        <family val="2"/>
        <scheme val="minor"/>
      </rPr>
      <t>7</t>
    </r>
  </si>
  <si>
    <r>
      <rPr>
        <vertAlign val="superscript"/>
        <sz val="9"/>
        <rFont val="Calibri"/>
        <family val="2"/>
        <scheme val="minor"/>
      </rPr>
      <t>1</t>
    </r>
    <r>
      <rPr>
        <sz val="9"/>
        <rFont val="Calibri"/>
        <family val="2"/>
        <scheme val="minor"/>
      </rPr>
      <t xml:space="preserve"> U.S. Department of Energy, Energy Efficiency &amp; Renewable Energy, Building Technologies Office, "Energy Savings Potential and Research &amp; Development Opportunities for Commercial Refrigeration," September 2009. &lt;https://www1.eere.energy.gov/buildings/pdfs/commercial_refrigeration_equipment_research_opportunities.pdf&gt;. Table 3-4: Supermarket Display Case Thermal Load Breakdown (Btu/hr). </t>
    </r>
  </si>
  <si>
    <r>
      <rPr>
        <vertAlign val="superscript"/>
        <sz val="9"/>
        <rFont val="Calibri"/>
        <family val="2"/>
        <scheme val="minor"/>
      </rPr>
      <t>2</t>
    </r>
    <r>
      <rPr>
        <sz val="9"/>
        <rFont val="Calibri"/>
        <family val="2"/>
        <scheme val="minor"/>
      </rPr>
      <t xml:space="preserve"> Used values in Table 3-4 of the DOE 2009 report to come up with a total reduction in thermal load from 20,730 Btu/hr without door to 5,507 Btu/hr with doors for a 12 ft case; this equates to a net reduction of 73% in thermal load by adding doors.</t>
    </r>
  </si>
  <si>
    <r>
      <rPr>
        <vertAlign val="superscript"/>
        <sz val="9"/>
        <rFont val="Calibri"/>
        <family val="2"/>
        <scheme val="minor"/>
      </rPr>
      <t>3</t>
    </r>
    <r>
      <rPr>
        <sz val="9"/>
        <rFont val="Calibri"/>
        <family val="2"/>
        <scheme val="minor"/>
      </rPr>
      <t xml:space="preserve"> Calculated for a typical reciprocating compressor, medium temperature refrigeration system using values of 769,000 Btu/h capacity and 99 kW power from DOE 2009, Table 3-7: Supermarket Compressor Energy Consumption. (769,000/3412)/99=2.28.</t>
    </r>
  </si>
  <si>
    <r>
      <rPr>
        <vertAlign val="superscript"/>
        <sz val="9"/>
        <rFont val="Calibri"/>
        <family val="2"/>
        <scheme val="minor"/>
      </rPr>
      <t>4</t>
    </r>
    <r>
      <rPr>
        <sz val="9"/>
        <rFont val="Calibri"/>
        <family val="2"/>
        <scheme val="minor"/>
      </rPr>
      <t xml:space="preserve"> U.S. Department of Energy, Energy Efficiency &amp; Renewable Energy, "Commercial Reference Buildings," &lt;https://www.energy.gov/eere/buildings/commercial-reference-buildings&gt;. Reference case for supermarket in Climate Zone 1A: "RefBldgSuperMarketNew2004_v1.3_5.0.xlsx."</t>
    </r>
  </si>
  <si>
    <r>
      <rPr>
        <vertAlign val="superscript"/>
        <sz val="9"/>
        <rFont val="Calibri"/>
        <family val="2"/>
        <scheme val="minor"/>
      </rPr>
      <t>5</t>
    </r>
    <r>
      <rPr>
        <sz val="9"/>
        <rFont val="Calibri"/>
        <family val="2"/>
        <scheme val="minor"/>
      </rPr>
      <t xml:space="preserve"> AEG analysis file titled "3 - Weather Analysis - EPW-HI Portland and CA - TMY.xlsx."</t>
    </r>
  </si>
  <si>
    <r>
      <rPr>
        <vertAlign val="superscript"/>
        <sz val="9"/>
        <rFont val="Calibri"/>
        <family val="2"/>
        <scheme val="minor"/>
      </rPr>
      <t>6</t>
    </r>
    <r>
      <rPr>
        <sz val="9"/>
        <rFont val="Calibri"/>
        <family val="2"/>
        <scheme val="minor"/>
      </rPr>
      <t xml:space="preserve"> DOE 2009, Table 3-1: Evaporator Coil Temperature Ranges by Application.</t>
    </r>
  </si>
  <si>
    <r>
      <rPr>
        <vertAlign val="superscript"/>
        <sz val="9"/>
        <rFont val="Calibri"/>
        <family val="2"/>
        <scheme val="minor"/>
      </rPr>
      <t>7</t>
    </r>
    <r>
      <rPr>
        <sz val="9"/>
        <rFont val="Calibri"/>
        <family val="2"/>
        <scheme val="minor"/>
      </rPr>
      <t xml:space="preserve"> DOE 2009 and Food Marketing Institute, "Marketing Costs," August 2008.</t>
    </r>
  </si>
  <si>
    <t>Semi-Prescriptive Savings Calculator (based on length of refrigerated case in linear feet)</t>
  </si>
  <si>
    <t>Enter Length of Refrigerated Case in Linear Feet</t>
  </si>
  <si>
    <t>Adding Refrigerated Case Doors</t>
  </si>
  <si>
    <t>AEG's 2020 Analysis Files titled "AEG HPUC - New Com Refrig Measures - Analysis File" and "3 - Weather Analysis - EPW-HI Portland and CA - TMY.xlsx."</t>
  </si>
  <si>
    <t>Faramarzi, R. T., B. A. Coburn, R. Sarhadian, "Performance and Energy Impact of Installing Glass Doors on an Open Vertical Deli/Dairy Display Case," AC-02-7-2, ASHRAE Transactions, 2002, 108, ProQuest SciTech Collection, pg. 673.</t>
  </si>
  <si>
    <t>Food Marketing Institute, "Marketing Costs," August 2008.</t>
  </si>
  <si>
    <t>U.S. Department of Energy, Energy Efficiency &amp; Renewable Energy, Building Technologies Office, "Energy Savings Potential and Research &amp; Development Opportunities for Commercial Refrigeration," September 2009. &lt;https://www1.eere.energy.gov/buildings/pdfs/commercial_refrigeration_equipment_research_opportunities.pdf&gt;.</t>
  </si>
  <si>
    <t>U.S. Department of Energy Building Technology Program, "Advanced Energy Retrofit Guide: Practical Ways to Improve Energy Performance, Grocery Stores," National Renewable Energy Laboratory, June 2012. &lt;http://www.nrel.gov/docs/fy13osti/54243.pdf&gt;.</t>
  </si>
  <si>
    <t>U.S. Department of Energy, Energy Efficiency &amp; Renewable Energy, "Guide for the Retrofitting of Open Refrigeration Display Cases with Doors," Prepared for Better Buildings Alliance, Building Technologies Office, Prepared by Navigant Consulting, Inc., June 2013.</t>
  </si>
  <si>
    <t>U.S. Department of Energy, Energy Efficiency &amp; Renewable Energy, "Commercial Reference Buildings," &lt;https://www.energy.gov/eere/buildings/commercial-reference-buildings&gt;. Reference case for supermarket in Climate Zone 1A: "RefBldgSuperMarketNew2004_v1.3_5.0.xlsx."</t>
  </si>
  <si>
    <t>Public Service Commission of Wisconsin, "Focus on Energy Evaluation, Business Programs: Deemed Savings Manual v1.0," March 2010.</t>
  </si>
  <si>
    <t>Public Service Commission of Wisconsin. "Wisconsin Focus on Energy 2020 Technical Reference Manual." Pp. 816-819.</t>
  </si>
  <si>
    <t>COMMERCIAL: Floating Head Pressure Controls</t>
  </si>
  <si>
    <t>By allowing the head pressure to float instead of keeping it fixed, we can reduce the compressor pressure ratio and the compressor runtime would be reduced. By programming the head pressure to follow the ambient temperature, we can ensure efficient operation at all temperatures.</t>
  </si>
  <si>
    <t xml:space="preserve">Adding a floating head pressure controller to a refrigeration system that initially has a fixed head pressure.                                                                    </t>
  </si>
  <si>
    <t>Limited to single compressor systems.</t>
  </si>
  <si>
    <t>Per compressor motor, where compressor motor horsepower is a custom entry.</t>
  </si>
  <si>
    <t>Refrigeration system with no head pressure controller.</t>
  </si>
  <si>
    <t>Refrigeration system equipped with head pressure controller.</t>
  </si>
  <si>
    <t>m</t>
  </si>
  <si>
    <t>Linear interpolation constant, slope of line</t>
  </si>
  <si>
    <r>
      <t>kW/hp-</t>
    </r>
    <r>
      <rPr>
        <sz val="10.5"/>
        <rFont val="Calibri"/>
        <family val="2"/>
      </rPr>
      <t>°</t>
    </r>
    <r>
      <rPr>
        <sz val="10.5"/>
        <rFont val="Calibri"/>
        <family val="2"/>
        <scheme val="minor"/>
      </rPr>
      <t>F</t>
    </r>
  </si>
  <si>
    <r>
      <t>The Regional Technical Forum (RTF) used EnergyPlus building simulation modeling with climate data for Portland and other Pacific Northwest locations to estimate the impacts from floating head pressure controls for several types of refrigeration systems.</t>
    </r>
    <r>
      <rPr>
        <vertAlign val="superscript"/>
        <sz val="11"/>
        <rFont val="Calibri"/>
        <family val="2"/>
        <scheme val="minor"/>
      </rPr>
      <t>1</t>
    </r>
    <r>
      <rPr>
        <sz val="11"/>
        <rFont val="Calibri"/>
        <family val="2"/>
        <scheme val="minor"/>
      </rPr>
      <t xml:space="preserve"> The approach for Hawaii uses a comparison of annual dry bulb temperatures from typical meteorological year (TMY) data for Portland, OR and Honolulu, HI to adjusts the RTF's savings results for Hawaii's climate. The result is a set of linear regression models that estimate savings as a function of mean dry bulb temperatures (</t>
    </r>
    <r>
      <rPr>
        <sz val="11"/>
        <rFont val="Calibri"/>
        <family val="2"/>
      </rPr>
      <t>≤75°F).</t>
    </r>
    <r>
      <rPr>
        <vertAlign val="superscript"/>
        <sz val="11"/>
        <rFont val="Calibri"/>
        <family val="2"/>
      </rPr>
      <t>2</t>
    </r>
  </si>
  <si>
    <t>Linear interpolation constant, y-intercept</t>
  </si>
  <si>
    <t>Compressor motor horsepower</t>
  </si>
  <si>
    <t>Custom entry based on refrigeration system</t>
  </si>
  <si>
    <r>
      <t>Weighted average of annual outside dry bulb temperatures (DB</t>
    </r>
    <r>
      <rPr>
        <vertAlign val="subscript"/>
        <sz val="10.5"/>
        <rFont val="Calibri"/>
        <family val="2"/>
        <scheme val="minor"/>
      </rPr>
      <t>i</t>
    </r>
    <r>
      <rPr>
        <sz val="10.5"/>
        <rFont val="Calibri"/>
        <family val="2"/>
        <scheme val="minor"/>
      </rPr>
      <t xml:space="preserve">) across 10 temperature bins between 56°F and 75°F, </t>
    </r>
    <r>
      <rPr>
        <u/>
        <sz val="10.5"/>
        <rFont val="Calibri"/>
        <family val="2"/>
        <scheme val="minor"/>
      </rPr>
      <t>ONLY</t>
    </r>
    <r>
      <rPr>
        <sz val="10.5"/>
        <rFont val="Calibri"/>
        <family val="2"/>
        <scheme val="minor"/>
      </rPr>
      <t xml:space="preserve"> during Hawaii's peak demand hours of 5-9 pm</t>
    </r>
  </si>
  <si>
    <t>Bin analysis of TMY data for Honolulu, Hawaii. Calculated with this approach:</t>
  </si>
  <si>
    <r>
      <t>Weighted average of annual outside dry bulb temperatures (DB</t>
    </r>
    <r>
      <rPr>
        <vertAlign val="subscript"/>
        <sz val="10.5"/>
        <rFont val="Calibri"/>
        <family val="2"/>
        <scheme val="minor"/>
      </rPr>
      <t>j</t>
    </r>
    <r>
      <rPr>
        <sz val="10.5"/>
        <rFont val="Calibri"/>
        <family val="2"/>
        <scheme val="minor"/>
      </rPr>
      <t xml:space="preserve">) across 10 temperature bins between 56°F and 75°F, </t>
    </r>
    <r>
      <rPr>
        <u/>
        <sz val="10.5"/>
        <rFont val="Calibri"/>
        <family val="2"/>
        <scheme val="minor"/>
      </rPr>
      <t>any time of day</t>
    </r>
  </si>
  <si>
    <r>
      <t xml:space="preserve">Annual number of hours the outside dry bulb temperature in Honolulu is </t>
    </r>
    <r>
      <rPr>
        <sz val="10.5"/>
        <rFont val="Calibri"/>
        <family val="2"/>
      </rPr>
      <t>≤</t>
    </r>
    <r>
      <rPr>
        <sz val="10.5"/>
        <rFont val="Calibri"/>
        <family val="2"/>
        <scheme val="minor"/>
      </rPr>
      <t>75°F</t>
    </r>
  </si>
  <si>
    <t>Bin analysis of typical meteorological year (TMY) data for Honolulu, Hawaii</t>
  </si>
  <si>
    <r>
      <rPr>
        <vertAlign val="superscript"/>
        <sz val="9"/>
        <rFont val="Calibri"/>
        <family val="2"/>
        <scheme val="minor"/>
      </rPr>
      <t>1</t>
    </r>
    <r>
      <rPr>
        <sz val="9"/>
        <rFont val="Calibri"/>
        <family val="2"/>
        <scheme val="minor"/>
      </rPr>
      <t xml:space="preserve"> Regional Technical Forum. Floating Head Pressure Controls on Single Compressor Systems  - Unit Energy Savings Workbook, Version 2.1. Northwest Power and Conservation Council. September 20, 2019. Spreadsheet: "ComGroceryFHPCSingleCompressor_v2_1.xlsm." See "Savings" sheet for assumptions about condenser fan controls, compressor COP, compressor oversize factor, suction temperature setpoints, etc. See "SavingsData&amp;Analysis" sheet for modeling results. &lt;https://nwcouncil.app.box.com/v/ComGroceryFHPCv2-1&gt;.</t>
    </r>
  </si>
  <si>
    <r>
      <rPr>
        <vertAlign val="superscript"/>
        <sz val="9"/>
        <rFont val="Calibri"/>
        <family val="2"/>
        <scheme val="minor"/>
      </rPr>
      <t>2</t>
    </r>
    <r>
      <rPr>
        <sz val="9"/>
        <rFont val="Calibri"/>
        <family val="2"/>
        <scheme val="minor"/>
      </rPr>
      <t xml:space="preserve"> AEG's 2020 Analysis File titled "AEG HPUC - New Com Refrig Measures - Analysis File." See sheets named "DB analysis for kWh - AEG" and "DB analysis for peak kW - AEG."</t>
    </r>
  </si>
  <si>
    <t>Table 1: Linear Interpolation Constants, by Refrigeration System Type</t>
  </si>
  <si>
    <t>Medium Temp</t>
  </si>
  <si>
    <t>Low Temp</t>
  </si>
  <si>
    <t>Unitary Condenser</t>
  </si>
  <si>
    <t>Remote Condenser</t>
  </si>
  <si>
    <t>Table 2: Assumed Distribution of Refrigeration Types in Hawaii Supermarkets</t>
  </si>
  <si>
    <t>Note: The distribution factors were estimated by Hawai'i Energy. They are used to determine default impacts for an "average" or "unknown" type of refrigeration system.</t>
  </si>
  <si>
    <t>Table 3: Deemed Savings Per Unit of Compressor Motor Horsepower</t>
  </si>
  <si>
    <t>Estimated Fraction of Systems</t>
  </si>
  <si>
    <t>kWh/hp-yr</t>
  </si>
  <si>
    <t>kWh/hp</t>
  </si>
  <si>
    <t>Medium Temp with Unitary Condenser</t>
  </si>
  <si>
    <t>Medium Temp with Remote Condenser</t>
  </si>
  <si>
    <t>Low Temp with Unitary Condenser</t>
  </si>
  <si>
    <t>Low Temp with Remote Condenser</t>
  </si>
  <si>
    <t>Unknown</t>
  </si>
  <si>
    <t>Select Type of Refrigeration System</t>
  </si>
  <si>
    <t>Enter Horsepower of Compressor Motor</t>
  </si>
  <si>
    <t>Efficiency Vermont. “Technical Reference User Manual (TRM): Measure Savings Algorithms and Cost Assumptions.” P. 68. Dec 31, 2018.</t>
  </si>
  <si>
    <t>Public Service Commission of Wisconsin. "Wisconsin Focus on Energy 2020 Technical Reference Manual." Pp.781-784.</t>
  </si>
  <si>
    <t>Regional Technical Forum. "Floating Head Pressure Controls on Single Compressor Systems  - Unit Energy Savings Workbook, Version 2.1." Northwest Power and Conservation Council. September 20, 2019. Spreadsheet: "ComGroceryFHPCSingleCompressor_v2_1.xlsm."</t>
  </si>
  <si>
    <t>Evaporator Fan Motor Controls, SP Motor</t>
  </si>
  <si>
    <t>Evaporator Fan Motor Controls, ECM</t>
  </si>
  <si>
    <t>RUL of motor (EUL/3)</t>
  </si>
  <si>
    <t>AEG 2020 Analysis</t>
  </si>
  <si>
    <t>AEG's 2020 Analysis Files titled "AEG HPUC - New Com Refrig Measures - Analysis File."</t>
  </si>
  <si>
    <t>U.S. Department of Energy, Energy Efficiency &amp; Renewable Energy, Building Technologies Office, "Energy Savings Potential and Research &amp; Development Opportunities for Commercial Refrigeration," September 2009.</t>
  </si>
  <si>
    <t>TRM Review/Update Approach</t>
  </si>
  <si>
    <r>
      <t xml:space="preserve">EUL for SP is based on remaining useful life of the SP motor since it is likely the SP motor would be replaced with a more efficient motor upon the end of its useful life (and, therefore, the savings would diminish). </t>
    </r>
    <r>
      <rPr>
        <vertAlign val="superscript"/>
        <sz val="10.5"/>
        <color theme="1"/>
        <rFont val="Calibri"/>
        <family val="2"/>
        <scheme val="minor"/>
      </rPr>
      <t>3</t>
    </r>
    <r>
      <rPr>
        <sz val="10.5"/>
        <color theme="1"/>
        <rFont val="Calibri"/>
        <family val="2"/>
        <scheme val="minor"/>
      </rPr>
      <t xml:space="preserve"> EUL for ECM assumes most of existing ECMs would be replaced with ECMs upon the end of the motor's useful life (and, therefore, the savings would continue), but sets a limit equal to the EUL of the ECM, which is 15 years for a high efficiency evaporator fan motor per DEER 2020.</t>
    </r>
  </si>
  <si>
    <t>AEG's 2020 Analysis File titled "AEG HPUC - New Com Refrig Measures - Analysis File."</t>
  </si>
  <si>
    <r>
      <t xml:space="preserve">The thermal load is based on the value for a typical 12 ft "vertical open medium temperature" supermarket display case from DOE 2009. </t>
    </r>
    <r>
      <rPr>
        <vertAlign val="superscript"/>
        <sz val="10.5"/>
        <color theme="1"/>
        <rFont val="Calibri"/>
        <family val="2"/>
        <scheme val="minor"/>
      </rPr>
      <t>1</t>
    </r>
    <r>
      <rPr>
        <sz val="10.5"/>
        <color theme="1"/>
        <rFont val="Calibri"/>
        <family val="2"/>
        <scheme val="minor"/>
      </rPr>
      <t xml:space="preserve"> </t>
    </r>
  </si>
  <si>
    <r>
      <t xml:space="preserve">DOE 2009, Table 3-4. </t>
    </r>
    <r>
      <rPr>
        <vertAlign val="superscript"/>
        <sz val="10.5"/>
        <color theme="1"/>
        <rFont val="Calibri"/>
        <family val="2"/>
        <scheme val="minor"/>
      </rPr>
      <t>2</t>
    </r>
  </si>
  <si>
    <r>
      <t xml:space="preserve">Estimated for a typical reciprocating compressor, medium temperature refrigeration system, DOE 2009, Table 3-7. </t>
    </r>
    <r>
      <rPr>
        <vertAlign val="superscript"/>
        <sz val="10.5"/>
        <color theme="1"/>
        <rFont val="Calibri"/>
        <family val="2"/>
        <scheme val="minor"/>
      </rPr>
      <t>3</t>
    </r>
  </si>
  <si>
    <r>
      <t xml:space="preserve">Weighted average value used in DOE's reference case prototype for supermarkets, climate zone 1A: Miami (same as Hawaii), used in simulation models. </t>
    </r>
    <r>
      <rPr>
        <vertAlign val="superscript"/>
        <sz val="10.5"/>
        <color theme="1"/>
        <rFont val="Calibri"/>
        <family val="2"/>
        <scheme val="minor"/>
      </rPr>
      <t>4</t>
    </r>
    <r>
      <rPr>
        <sz val="10.5"/>
        <color theme="1"/>
        <rFont val="Calibri"/>
        <family val="2"/>
        <scheme val="minor"/>
      </rPr>
      <t xml:space="preserve"> </t>
    </r>
  </si>
  <si>
    <r>
      <t>For Honolulu, HI based on TMY3 data and base temperature of 65</t>
    </r>
    <r>
      <rPr>
        <sz val="10.5"/>
        <color theme="1"/>
        <rFont val="Calibri"/>
        <family val="2"/>
      </rPr>
      <t>°</t>
    </r>
    <r>
      <rPr>
        <sz val="10.5"/>
        <color theme="1"/>
        <rFont val="Calibri"/>
        <family val="2"/>
        <scheme val="minor"/>
      </rPr>
      <t xml:space="preserve">F. </t>
    </r>
    <r>
      <rPr>
        <vertAlign val="superscript"/>
        <sz val="10.5"/>
        <color theme="1"/>
        <rFont val="Calibri"/>
        <family val="2"/>
        <scheme val="minor"/>
      </rPr>
      <t>5</t>
    </r>
  </si>
  <si>
    <r>
      <t xml:space="preserve">Temperature of space (i.e., supermarket) based on set-point used in DOE's reference case prototype for supermarkets. </t>
    </r>
    <r>
      <rPr>
        <vertAlign val="superscript"/>
        <sz val="10.5"/>
        <color theme="1"/>
        <rFont val="Calibri"/>
        <family val="2"/>
        <scheme val="minor"/>
      </rPr>
      <t>4</t>
    </r>
  </si>
  <si>
    <t>Assumes refrigerated case operates 24 hr/day, 365 day/yr.</t>
  </si>
  <si>
    <t>Custom entry based on refrigerated case.</t>
  </si>
  <si>
    <t>Custom entry based on number of evaporator fans of a given horsepower rating.</t>
  </si>
  <si>
    <t>Selected based on site specific conditions.</t>
  </si>
  <si>
    <r>
      <t xml:space="preserve">Benchmarking review of typical SP and ECM products. </t>
    </r>
    <r>
      <rPr>
        <vertAlign val="superscript"/>
        <sz val="10.5"/>
        <color theme="1"/>
        <rFont val="Calibri"/>
        <family val="2"/>
        <scheme val="minor"/>
      </rPr>
      <t>1</t>
    </r>
  </si>
  <si>
    <t>Without controls, evaporator fans in coolers run continuously at full speed.</t>
  </si>
  <si>
    <r>
      <t xml:space="preserve">Bonus factor (1+1/COP) assumes 2.0 COP for low temperature and 3.5 COP for medium temperature refrigeration, based on the average of standard reciprocating and discus compressor efficiencies with Saturated Suction Temperatures of -20°F and 20°F, respectively, and a condensing temperature of 90°F. </t>
    </r>
    <r>
      <rPr>
        <vertAlign val="superscript"/>
        <sz val="10.5"/>
        <color theme="1"/>
        <rFont val="Calibri"/>
        <family val="2"/>
        <scheme val="minor"/>
      </rPr>
      <t>2</t>
    </r>
  </si>
  <si>
    <t>Assumes the controlled fan will cycle consistently throughout the day, including during the peak demand period.</t>
  </si>
  <si>
    <t>Assumes refrigeration space operates 24 hr/day, 365 day/yr.</t>
  </si>
  <si>
    <t>Step 1:  Enter AC or HP nameplate data*</t>
  </si>
  <si>
    <t>Ductless split systems are inverter-driven direct expansion AC and heat pump systems that use distributed refrigerant technology for cooling and heating. These systems consist of: an outdoor unit with a single variable speed compressor or multiple staged compressors, indoor evaporator unit(s) with variable speed fans designed for single zone air distribution, and zone temperature controls. Per the Air Conditioning, Heating, and Refrigeration Institute (AHRI), residential ductless split systems can be classified as:
- Ductless One-to-One (Single) Split Systems
- Space Constrained Ductless-Split Systems
- Ductless Multi-Split Systems
- Variable Refrigerant Flow (VRF) Ductless Split Systems
- Heat Recovery Multi-Split Systems
This measure addresses ductless split systems for space cooling.</t>
  </si>
  <si>
    <t xml:space="preserve">SEER rating of 16.0 or higher for ≥8,000 Btu/h and &lt;65,000 Btu/h. </t>
  </si>
  <si>
    <t>The installed equipment must meet the 16 SEER minimum requirement and will reflect the actual efficiency of the unit.</t>
  </si>
  <si>
    <r>
      <t>There is no minimum EER</t>
    </r>
    <r>
      <rPr>
        <vertAlign val="subscript"/>
        <sz val="10.5"/>
        <rFont val="Calibri"/>
        <family val="2"/>
        <scheme val="minor"/>
      </rPr>
      <t>EE</t>
    </r>
    <r>
      <rPr>
        <sz val="10.5"/>
        <rFont val="Calibri"/>
        <family val="2"/>
        <scheme val="minor"/>
      </rPr>
      <t xml:space="preserve"> requirement.</t>
    </r>
  </si>
  <si>
    <t>1. AEG's research of the AHRI database (Oct 2018 extract) showed that 10.0 EER represents the minimum EER value corresponding to 13 SEER for residential AC systems. (Data filters for AHRI Rating Conditions: Model Type = Systems; Status = Active, Location = USA; Region = All,  SEER = 13; Cooling Capacity = 30,000-65,000 Btu/h.)</t>
  </si>
  <si>
    <t>Updated in Fall 2020 for PY20 TRM v2.0. Continue to follow EISA GSL legislation and update the measure entry as needed.</t>
  </si>
  <si>
    <t>Original EISA backstop</t>
  </si>
  <si>
    <t>AEG's 2020 Analysis File titled "AEG HPUC - PY20 v2.0 Lighting Baselines - Analysis." AEG's 2018 Analysis Files titled "AEG HPUC Update of Residential Measures - Analysis file" and "HI - Res Lighting IEF Analysis."</t>
  </si>
  <si>
    <t>Recommendations for Addressing EISA in the Potential Study and PY20 TRM, Memorandum, Prepared by AEG, Submitted to EEM and HPUC, January 26, 2020.</t>
  </si>
  <si>
    <t>2019 Hawaii Statewide Baseline Energy Use Study, Final Report, Prepared for Hawaii Public Utilities Commission, Prepared by Applied Energy Group, 2020.</t>
  </si>
  <si>
    <t>Lifetime Energy Savings, kWh (Applicable through PY21)</t>
  </si>
  <si>
    <t>Lifetime Energy Savings, kWh (Applicable to PY22 and later)</t>
  </si>
  <si>
    <r>
      <t>2019 Hawaii Statewide Baseline Energy Use Study</t>
    </r>
    <r>
      <rPr>
        <vertAlign val="superscript"/>
        <sz val="10.5"/>
        <rFont val="Calibri"/>
        <family val="2"/>
        <scheme val="minor"/>
      </rPr>
      <t>1</t>
    </r>
  </si>
  <si>
    <r>
      <t>DOE 2012 Residential Lighting End-Use Consumption Study</t>
    </r>
    <r>
      <rPr>
        <vertAlign val="superscript"/>
        <sz val="10.5"/>
        <rFont val="Calibri"/>
        <family val="2"/>
        <scheme val="minor"/>
      </rPr>
      <t>2</t>
    </r>
  </si>
  <si>
    <r>
      <t>EUL</t>
    </r>
    <r>
      <rPr>
        <vertAlign val="subscript"/>
        <sz val="10.5"/>
        <rFont val="Calibri"/>
        <family val="2"/>
        <scheme val="minor"/>
      </rPr>
      <t>1st</t>
    </r>
  </si>
  <si>
    <r>
      <rPr>
        <vertAlign val="superscript"/>
        <sz val="9"/>
        <rFont val="Calibri"/>
        <family val="2"/>
        <scheme val="minor"/>
      </rPr>
      <t>1</t>
    </r>
    <r>
      <rPr>
        <sz val="9"/>
        <rFont val="Calibri"/>
        <family val="2"/>
        <scheme val="minor"/>
      </rPr>
      <t xml:space="preserve"> 2019 Hawaii Statewide Baseline Energy Use Study, Final Report, Prepared for Hawaii Public Utilities Commission, Prepared by Applied Energy Group, 2020, Figure 3-9.</t>
    </r>
  </si>
  <si>
    <r>
      <rPr>
        <vertAlign val="superscript"/>
        <sz val="9"/>
        <rFont val="Calibri"/>
        <family val="2"/>
        <scheme val="minor"/>
      </rPr>
      <t>2</t>
    </r>
    <r>
      <rPr>
        <sz val="9"/>
        <rFont val="Calibri"/>
        <family val="2"/>
        <scheme val="minor"/>
      </rPr>
      <t xml:space="preserve"> 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Table 4.4 shows that 15% of CFLs are installed in garages and exterior locations. AEG assumes CFLs are reasonable proxy for LEDs.</t>
    </r>
  </si>
  <si>
    <r>
      <rPr>
        <vertAlign val="superscript"/>
        <sz val="9"/>
        <rFont val="Calibri"/>
        <family val="2"/>
        <scheme val="minor"/>
      </rPr>
      <t>3</t>
    </r>
    <r>
      <rPr>
        <sz val="9"/>
        <rFont val="Calibri"/>
        <family val="2"/>
        <scheme val="minor"/>
      </rPr>
      <t xml:space="preserve"> Use value of PF=1 until more data is available on PF of LEDs relative to new EISA Tier 2 baseline (CFL).</t>
    </r>
  </si>
  <si>
    <r>
      <t xml:space="preserve">SAVINGS </t>
    </r>
    <r>
      <rPr>
        <b/>
        <i/>
        <sz val="11"/>
        <rFont val="Calibri"/>
        <family val="2"/>
        <scheme val="minor"/>
      </rPr>
      <t>(APPLICABLE FOR PY22 AND LATER)</t>
    </r>
  </si>
  <si>
    <t xml:space="preserve">The default deemed base case is assumed to be two omni-directional lightbulbs in operation 2.3 hours per day. The default deemed measure has a dual baseline for PY20 and PY21. The first baseline is two omni-directional halogen-incandescent lamps that comply with Energy Independence and Securities Act (EISA) 2007 legislation that had 2012-2014 effective dates (EISA Tier 1). The second baseline is two lamps that comply with the original EISA Tier 2 Backstop requirement of 45 lumens per Watt. For PY22 and later, there is a single baseline (EISA Tier 2). </t>
  </si>
  <si>
    <t>The semi-prescriptive calculator allows custom entry of the wattage controlled by the occupancy sensor. However, to use the semi-prescriptive calculator, the efficacy of the controlled lighting must meet or exceed the EISA Tier 2 Backstop requirement of 45 lumens per Watt. For example, LEDs, CFLs, and T5 or T8 fluorescent lamps would all be eligible for the semi-prescriptive calculator, but incandescent and halogen bulbs would not be.</t>
  </si>
  <si>
    <t xml:space="preserve">Effective useful life of 1st baseline lamps </t>
  </si>
  <si>
    <t>Note: For PY22 and later, controlled lighting is assumed to meet EISA Tier 2 efficacy.</t>
  </si>
  <si>
    <r>
      <t xml:space="preserve">AEG's Hawai‘i-specific simulation modeling; non-military home </t>
    </r>
    <r>
      <rPr>
        <vertAlign val="superscript"/>
        <sz val="10.5"/>
        <rFont val="Calibri"/>
        <family val="2"/>
        <scheme val="minor"/>
      </rPr>
      <t>1</t>
    </r>
  </si>
  <si>
    <r>
      <t xml:space="preserve">2019 Hawaii Statewide Baseline Energy Use Study; non-military home </t>
    </r>
    <r>
      <rPr>
        <vertAlign val="superscript"/>
        <sz val="10.5"/>
        <rFont val="Calibri"/>
        <family val="2"/>
        <scheme val="minor"/>
      </rPr>
      <t>2</t>
    </r>
  </si>
  <si>
    <r>
      <t xml:space="preserve">DOE 2012 Residential Lighting End-Use Consumption Study </t>
    </r>
    <r>
      <rPr>
        <vertAlign val="superscript"/>
        <sz val="10.5"/>
        <rFont val="Calibri"/>
        <family val="2"/>
        <scheme val="minor"/>
      </rPr>
      <t>3</t>
    </r>
  </si>
  <si>
    <r>
      <t xml:space="preserve">Length of first baseline period. Based on rated lamp life and HOU. Assumes existing EISA Tier 1 lamps have 1/3 of life left upon installation of sensor. </t>
    </r>
    <r>
      <rPr>
        <vertAlign val="superscript"/>
        <sz val="10.5"/>
        <rFont val="Calibri"/>
        <family val="2"/>
        <scheme val="minor"/>
      </rPr>
      <t>4</t>
    </r>
  </si>
  <si>
    <r>
      <rPr>
        <vertAlign val="superscript"/>
        <sz val="9"/>
        <rFont val="Calibri"/>
        <family val="2"/>
        <scheme val="minor"/>
      </rPr>
      <t>1</t>
    </r>
    <r>
      <rPr>
        <sz val="9"/>
        <rFont val="Calibri"/>
        <family val="2"/>
        <scheme val="minor"/>
      </rPr>
      <t xml:space="preserve"> This approach assumes that the occupancy pattern during 5-9 pm is consistent with rest of day.</t>
    </r>
  </si>
  <si>
    <r>
      <rPr>
        <vertAlign val="superscript"/>
        <sz val="9"/>
        <rFont val="Calibri"/>
        <family val="2"/>
        <scheme val="minor"/>
      </rPr>
      <t>2</t>
    </r>
    <r>
      <rPr>
        <sz val="9"/>
        <rFont val="Calibri"/>
        <family val="2"/>
        <scheme val="minor"/>
      </rPr>
      <t xml:space="preserve"> 2019 Hawaii Statewide Baseline Energy Use Study, Final Report, Prepared for Hawaii Public Utilities Commission, Prepared by Applied Energy Group, 2020, Figure 3-9.</t>
    </r>
  </si>
  <si>
    <r>
      <rPr>
        <vertAlign val="superscript"/>
        <sz val="9"/>
        <rFont val="Calibri"/>
        <family val="2"/>
        <scheme val="minor"/>
      </rPr>
      <t>3</t>
    </r>
    <r>
      <rPr>
        <sz val="9"/>
        <rFont val="Calibri"/>
        <family val="2"/>
        <scheme val="minor"/>
      </rPr>
      <t xml:space="preserve"> 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Table 4.4 shows that 15% of CFLs are installed in garages and exterior locations. AEG assumes CFLs are reasonable proxy for LEDs.</t>
    </r>
  </si>
  <si>
    <r>
      <rPr>
        <vertAlign val="superscript"/>
        <sz val="9"/>
        <rFont val="Calibri"/>
        <family val="2"/>
        <scheme val="minor"/>
      </rPr>
      <t>4</t>
    </r>
    <r>
      <rPr>
        <sz val="9"/>
        <rFont val="Calibri"/>
        <family val="2"/>
        <scheme val="minor"/>
      </rPr>
      <t xml:space="preserve"> The first baseline period (EUL</t>
    </r>
    <r>
      <rPr>
        <vertAlign val="subscript"/>
        <sz val="9"/>
        <rFont val="Calibri"/>
        <family val="2"/>
        <scheme val="minor"/>
      </rPr>
      <t>1st</t>
    </r>
    <r>
      <rPr>
        <sz val="9"/>
        <rFont val="Calibri"/>
        <family val="2"/>
        <scheme val="minor"/>
      </rPr>
      <t>) for PY20 assumes the existing EISA Tier 1 baseline lamps will need to be replaced once prior to the EISA Tier 2 baseline taking effect on June 30, 2022, while the first baseline period for PY21 assumes the EISA Tier 1 lamps will not reach the end of their useful life until after June 30, 2022.</t>
    </r>
  </si>
  <si>
    <r>
      <t xml:space="preserve">DEEMED SAVINGS </t>
    </r>
    <r>
      <rPr>
        <b/>
        <i/>
        <sz val="11"/>
        <rFont val="Calibri"/>
        <family val="2"/>
        <scheme val="minor"/>
      </rPr>
      <t>(APPLICABLE FOR PY20 AND PY21)</t>
    </r>
  </si>
  <si>
    <t>Deemed Savings (based on default values for wattage) - Dual Baseline</t>
  </si>
  <si>
    <r>
      <t xml:space="preserve">DEEMED SAVINGS </t>
    </r>
    <r>
      <rPr>
        <b/>
        <i/>
        <sz val="11"/>
        <rFont val="Calibri"/>
        <family val="2"/>
        <scheme val="minor"/>
      </rPr>
      <t>(APPLICABLE FOR PY22 AND LATER)</t>
    </r>
  </si>
  <si>
    <t>Deemed Savings (based on default values for wattage) - Single Baseline</t>
  </si>
  <si>
    <t xml:space="preserve">AEG's 2020 Analysis file named "AEG HPUC - PY20 v2.0 Lighting Baselines - Analysis." </t>
  </si>
  <si>
    <r>
      <t>DEER2020</t>
    </r>
    <r>
      <rPr>
        <vertAlign val="superscript"/>
        <sz val="10"/>
        <rFont val="Calibri"/>
        <family val="2"/>
        <scheme val="minor"/>
      </rPr>
      <t>1</t>
    </r>
    <r>
      <rPr>
        <sz val="10"/>
        <rFont val="Calibri"/>
        <family val="2"/>
        <scheme val="minor"/>
      </rPr>
      <t xml:space="preserve"> interactive effect factors for San Diego, adjusted to Hawai‘i's weather zone using LBNL simulation results</t>
    </r>
    <r>
      <rPr>
        <vertAlign val="superscript"/>
        <sz val="10"/>
        <rFont val="Calibri"/>
        <family val="2"/>
        <scheme val="minor"/>
      </rPr>
      <t>2</t>
    </r>
  </si>
  <si>
    <t>The baseline lamps are assumed to be undimmed.</t>
  </si>
  <si>
    <t>C_Refrig_Evap Motor Control</t>
  </si>
  <si>
    <t>C_Refrig_Add Case Doors</t>
  </si>
  <si>
    <t>C_Refrig_FHP Control</t>
  </si>
  <si>
    <t>Added to PY20 TRM v2.0</t>
  </si>
  <si>
    <t>Updated during mid-year PY20 TRM update process. Updates reflect 1) EISA ruling / HPUC decision; 2) dual baseline clarity; and 3) new data from AEG's 2019 baseline study</t>
  </si>
  <si>
    <t>Updated during mid-year PY20 TRM update process. Updates reflect EISA ruling / HPUC decision.</t>
  </si>
  <si>
    <t>Updated during mid-year PY20 TRM update process. Updates reflect 1) EISA ruling / HPUC decision and 2) dual baseline clarity.</t>
  </si>
  <si>
    <t>This is for measures where the baseline results from the Evergreen Economics study are referenced. All measures except those affected by EISA were updated for the PY20 TRM v1.0 (R_Light_LED and R_Light_Occupancy Sensor). Updates for the EISA-affected measures were addressed during mid-year update for PY20 TRM v2.0.</t>
  </si>
  <si>
    <t>Correct a cell reference error in cell H6</t>
  </si>
  <si>
    <t>Revised in PY20 TRM v2.0</t>
  </si>
  <si>
    <t>Add new measure</t>
  </si>
  <si>
    <t>Remove EER qualification requirement for high efficiency equipment of &lt; 65 kBtu/h capacity; revisit demand savings calculation</t>
  </si>
  <si>
    <t>R_HVAC_Ductless, R_HVAC_AC_WKST</t>
  </si>
  <si>
    <t>New addition to PY20 TRM v1.0 to summarize codes and standards (C&amp;S) that affect TRM measures; Change between v1.0 and v2.0 of PY20 TRM: Added Jul. 1, 2022 effective date for 45 lm/W GSIL baseline.</t>
  </si>
  <si>
    <t>Add EULs for new commercial refrigeration measures</t>
  </si>
  <si>
    <t>COMMERCIAL: Chiller; COMMERCIAL: Chiller Savings Calculator</t>
  </si>
  <si>
    <t>COMMERCIAL: A/C &amp; Heat Pump; COMMERCIAL: AC and Heat Pump Savings Calculator</t>
  </si>
  <si>
    <t>COMMERCIAL: VRF; COMMERCIAL: HVAC Savings Calculator - Variable Refrigerant Flow Systems</t>
  </si>
  <si>
    <t>RESIDENTIAL: Ductless Split Systems; RESIDENTIAL: HVAC Savings Calculator</t>
  </si>
  <si>
    <t>RESIDENTIAL: Central A/C Retrofit; RESIDENTIAL: HVAC Savings Calculator</t>
  </si>
  <si>
    <t xml:space="preserve">Updated in Winter 2019-2020 for PY20 TRM. </t>
  </si>
  <si>
    <r>
      <t>Added in Spring 2019 for PY19 TRM. 
One parameter was updated in Winter 2019-2020 for PY20 TRM: %DHW</t>
    </r>
    <r>
      <rPr>
        <vertAlign val="subscript"/>
        <sz val="11"/>
        <color theme="1"/>
        <rFont val="Calibri"/>
        <family val="2"/>
        <scheme val="minor"/>
      </rPr>
      <t>.electric</t>
    </r>
    <r>
      <rPr>
        <sz val="11"/>
        <color theme="1"/>
        <rFont val="Calibri"/>
        <family val="2"/>
        <scheme val="minor"/>
      </rPr>
      <t>.</t>
    </r>
  </si>
  <si>
    <t>Updated in Winter 2019-2020 for PY20 TRM.</t>
  </si>
  <si>
    <t>TRM Lead,
Applied Energy Group</t>
  </si>
  <si>
    <t>Executive Director, 
Hawai‘i Energy</t>
  </si>
  <si>
    <t>Utility Analyst, 
PUC Energy Efficiency Team</t>
  </si>
  <si>
    <t>Rated cooling capacity of installed window AC unit</t>
  </si>
  <si>
    <r>
      <t>Assumes rated capacity of &lt; 28,000 Btu/h.</t>
    </r>
    <r>
      <rPr>
        <vertAlign val="superscript"/>
        <sz val="10.5"/>
        <rFont val="Calibri"/>
        <family val="2"/>
        <scheme val="minor"/>
      </rPr>
      <t>1</t>
    </r>
  </si>
  <si>
    <t>Rated capacity, in Btu/h, of installed unit</t>
  </si>
  <si>
    <t>Rated cooling capacity of installed central AC unit</t>
  </si>
  <si>
    <r>
      <t xml:space="preserve">Updated in Winter 2020 for PY19 TRM v2.1. Added "rated capacity" to the capacity description for the PY21 TRM v1.0 to clarify that </t>
    </r>
    <r>
      <rPr>
        <i/>
        <sz val="11"/>
        <color theme="1"/>
        <rFont val="Calibri"/>
        <family val="2"/>
        <scheme val="minor"/>
      </rPr>
      <t>rated</t>
    </r>
    <r>
      <rPr>
        <sz val="11"/>
        <color theme="1"/>
        <rFont val="Calibri"/>
        <family val="2"/>
        <scheme val="minor"/>
      </rPr>
      <t xml:space="preserve"> capacity instead of </t>
    </r>
    <r>
      <rPr>
        <i/>
        <sz val="11"/>
        <color theme="1"/>
        <rFont val="Calibri"/>
        <family val="2"/>
        <scheme val="minor"/>
      </rPr>
      <t>nominal</t>
    </r>
    <r>
      <rPr>
        <sz val="11"/>
        <color theme="1"/>
        <rFont val="Calibri"/>
        <family val="2"/>
        <scheme val="minor"/>
      </rPr>
      <t xml:space="preserve"> capacity should be used in savings estimates.</t>
    </r>
  </si>
  <si>
    <r>
      <t xml:space="preserve">Enter Rated AC Capacity </t>
    </r>
    <r>
      <rPr>
        <b/>
        <sz val="8"/>
        <color theme="1"/>
        <rFont val="Calibri"/>
        <family val="2"/>
        <scheme val="minor"/>
      </rPr>
      <t>(</t>
    </r>
    <r>
      <rPr>
        <b/>
        <sz val="11"/>
        <color theme="1"/>
        <rFont val="Calibri"/>
        <family val="2"/>
        <scheme val="minor"/>
      </rPr>
      <t>Btu/h</t>
    </r>
    <r>
      <rPr>
        <b/>
        <sz val="8"/>
        <color theme="1"/>
        <rFont val="Calibri"/>
        <family val="2"/>
        <scheme val="minor"/>
      </rPr>
      <t>)</t>
    </r>
    <r>
      <rPr>
        <b/>
        <sz val="11"/>
        <color theme="1"/>
        <rFont val="Calibri"/>
        <family val="2"/>
        <scheme val="minor"/>
      </rPr>
      <t>:</t>
    </r>
  </si>
  <si>
    <t>Enter AC Type:</t>
  </si>
  <si>
    <t>Chiller rated cooling capacity, in tons</t>
  </si>
  <si>
    <t>Enter rated chiller tonnage:</t>
  </si>
  <si>
    <t>Enter Rated AC or HP Capacity (Btu/h):</t>
  </si>
  <si>
    <r>
      <t xml:space="preserve">Added in Fall 2019 for PY19 TRM v2.0. Updated in Winter 2020 for PY19 TRM v2.1. Added "rated capacity" to the capacity description for the PY21 TRM v1.0 to clarify that </t>
    </r>
    <r>
      <rPr>
        <i/>
        <sz val="11"/>
        <color theme="1"/>
        <rFont val="Calibri"/>
        <family val="2"/>
        <scheme val="minor"/>
      </rPr>
      <t>rated</t>
    </r>
    <r>
      <rPr>
        <sz val="11"/>
        <color theme="1"/>
        <rFont val="Calibri"/>
        <family val="2"/>
        <scheme val="minor"/>
      </rPr>
      <t xml:space="preserve"> capacity instead of </t>
    </r>
    <r>
      <rPr>
        <i/>
        <sz val="11"/>
        <color theme="1"/>
        <rFont val="Calibri"/>
        <family val="2"/>
        <scheme val="minor"/>
      </rPr>
      <t>nominal</t>
    </r>
    <r>
      <rPr>
        <sz val="11"/>
        <color theme="1"/>
        <rFont val="Calibri"/>
        <family val="2"/>
        <scheme val="minor"/>
      </rPr>
      <t xml:space="preserve"> capacity should be used in savings estimates.</t>
    </r>
  </si>
  <si>
    <t xml:space="preserve">State of Hawaii Market Potential Study, Prepared for Hawaii Public Utilities Commission, Prepared by Applied Energy Group, 2020. </t>
  </si>
  <si>
    <t>Energy Advantage</t>
  </si>
  <si>
    <t>Evaporator Fan Motor Controls</t>
  </si>
  <si>
    <t>Cool Wall</t>
  </si>
  <si>
    <t>Solar Light Tube</t>
  </si>
  <si>
    <t>AEG 2021 Analysis</t>
  </si>
  <si>
    <r>
      <t>AEG 2021 Analysis</t>
    </r>
    <r>
      <rPr>
        <vertAlign val="superscript"/>
        <sz val="10"/>
        <color theme="1"/>
        <rFont val="Calibri"/>
        <family val="2"/>
        <scheme val="minor"/>
      </rPr>
      <t>4</t>
    </r>
  </si>
  <si>
    <r>
      <t>Not updated</t>
    </r>
    <r>
      <rPr>
        <vertAlign val="superscript"/>
        <sz val="10"/>
        <color theme="1"/>
        <rFont val="Calibri"/>
        <family val="2"/>
        <scheme val="minor"/>
      </rPr>
      <t>5</t>
    </r>
  </si>
  <si>
    <r>
      <rPr>
        <vertAlign val="superscript"/>
        <sz val="9"/>
        <color theme="1"/>
        <rFont val="Calibri"/>
        <family val="2"/>
        <scheme val="minor"/>
      </rPr>
      <t>5</t>
    </r>
    <r>
      <rPr>
        <sz val="9"/>
        <color theme="1"/>
        <rFont val="Calibri"/>
        <family val="2"/>
        <scheme val="minor"/>
      </rPr>
      <t xml:space="preserve"> Not updated: EUL for measure was not updated because it was not listed in DEER2020 and/or was not a priority measure for update.</t>
    </r>
  </si>
  <si>
    <r>
      <rPr>
        <vertAlign val="superscript"/>
        <sz val="9"/>
        <color theme="1"/>
        <rFont val="Calibri"/>
        <family val="2"/>
        <scheme val="minor"/>
      </rPr>
      <t>4</t>
    </r>
    <r>
      <rPr>
        <sz val="9"/>
        <color theme="1"/>
        <rFont val="Calibri"/>
        <family val="2"/>
        <scheme val="minor"/>
      </rPr>
      <t xml:space="preserve"> AEG 2021 Analysis: Conducted EUL benchmarking for new and revised measures.</t>
    </r>
  </si>
  <si>
    <t>Updated in Winter 2020-2021 for PY21 TRM.</t>
  </si>
  <si>
    <t>Film must have a minimum five-year manufacturer’s warranty and one-year installer’s warranty.</t>
  </si>
  <si>
    <t>Rebates shall be paid on actual square footage of glass in a conditioned space.</t>
  </si>
  <si>
    <t>Windows may be clear or factory tinted, single or double pane, but must not have reflected glass.</t>
  </si>
  <si>
    <t>North-facing windows are not eligible for rebates.</t>
  </si>
  <si>
    <r>
      <t xml:space="preserve">Windows significantly shaded by buildings, trees or awnings are not eligible for rebates. The degree of shading will be assessed by a Hawai‘i Energy Engineer / Energy Advisor. Hawai‘i Energy will provide documentation of the eligibility assessment, such as a satellite image, photograph from an onsite inspection, or signed statement from the customer. Examples of significant shading include the following:
a) </t>
    </r>
    <r>
      <rPr>
        <u/>
        <sz val="11"/>
        <color theme="1"/>
        <rFont val="Calibri"/>
        <family val="2"/>
        <scheme val="minor"/>
      </rPr>
      <t>South-facing windows</t>
    </r>
    <r>
      <rPr>
        <sz val="11"/>
        <color theme="1"/>
        <rFont val="Calibri"/>
        <family val="2"/>
        <scheme val="minor"/>
      </rPr>
      <t xml:space="preserve">: if trees, awnings, buildings, or other structures cover more than 50% of the window during midday hours.
b) </t>
    </r>
    <r>
      <rPr>
        <u/>
        <sz val="11"/>
        <color theme="1"/>
        <rFont val="Calibri"/>
        <family val="2"/>
        <scheme val="minor"/>
      </rPr>
      <t>West-facing windows</t>
    </r>
    <r>
      <rPr>
        <sz val="11"/>
        <color theme="1"/>
        <rFont val="Calibri"/>
        <family val="2"/>
        <scheme val="minor"/>
      </rPr>
      <t xml:space="preserve">: if trees, awnings, buildings, or other structures cover more than 50% of the window during afternoon hours.
c) </t>
    </r>
    <r>
      <rPr>
        <u/>
        <sz val="11"/>
        <color theme="1"/>
        <rFont val="Calibri"/>
        <family val="2"/>
        <scheme val="minor"/>
      </rPr>
      <t>East-facing windows</t>
    </r>
    <r>
      <rPr>
        <sz val="11"/>
        <color theme="1"/>
        <rFont val="Calibri"/>
        <family val="2"/>
        <scheme val="minor"/>
      </rPr>
      <t>: if trees, awnings, buildings, or other structures cover more than 50% of the window during morning hours.</t>
    </r>
  </si>
  <si>
    <t>Replacement of deteriorated window film is eligible for 50% of the rebate if the customer did not receive a rebate for the existing film.</t>
  </si>
  <si>
    <r>
      <t>Per window film application in a given orientation, where the orientation and window area (ft</t>
    </r>
    <r>
      <rPr>
        <vertAlign val="superscript"/>
        <sz val="11"/>
        <color theme="1"/>
        <rFont val="Calibri"/>
        <family val="2"/>
        <scheme val="minor"/>
      </rPr>
      <t>2</t>
    </r>
    <r>
      <rPr>
        <sz val="11"/>
        <color theme="1"/>
        <rFont val="Calibri"/>
        <family val="2"/>
        <scheme val="minor"/>
      </rPr>
      <t>) are custom entries.</t>
    </r>
  </si>
  <si>
    <t>No window film installed.</t>
  </si>
  <si>
    <t>Solar Heat Gain Coefficient (SHGC) &lt; 0.435 or Shading Coefficient (SC) &lt; 0.5, where SHGC = 0.87*SC.</t>
  </si>
  <si>
    <t>o</t>
  </si>
  <si>
    <t>Orientation of window (i.e., direction the window is facing)</t>
  </si>
  <si>
    <r>
      <t>A</t>
    </r>
    <r>
      <rPr>
        <vertAlign val="subscript"/>
        <sz val="10.5"/>
        <color theme="1"/>
        <rFont val="Calibri"/>
        <family val="2"/>
      </rPr>
      <t>film,o</t>
    </r>
  </si>
  <si>
    <t>Area of window film applied to windows in orientation [o]</t>
  </si>
  <si>
    <r>
      <t>ft</t>
    </r>
    <r>
      <rPr>
        <vertAlign val="superscript"/>
        <sz val="10.5"/>
        <color theme="1"/>
        <rFont val="Calibri"/>
        <family val="2"/>
        <scheme val="minor"/>
      </rPr>
      <t>2</t>
    </r>
  </si>
  <si>
    <r>
      <t>SHGF</t>
    </r>
    <r>
      <rPr>
        <vertAlign val="subscript"/>
        <sz val="10.5"/>
        <color theme="1"/>
        <rFont val="Calibri"/>
        <family val="2"/>
        <scheme val="minor"/>
      </rPr>
      <t>o</t>
    </r>
  </si>
  <si>
    <t>Peak solar heat gain factor for orientation of interest</t>
  </si>
  <si>
    <r>
      <t>Btu/hr-ft</t>
    </r>
    <r>
      <rPr>
        <vertAlign val="superscript"/>
        <sz val="10.5"/>
        <color theme="1"/>
        <rFont val="Calibri"/>
        <family val="2"/>
        <scheme val="minor"/>
      </rPr>
      <t>2</t>
    </r>
    <r>
      <rPr>
        <sz val="10.5"/>
        <color theme="1"/>
        <rFont val="Calibri"/>
        <family val="2"/>
        <scheme val="minor"/>
      </rPr>
      <t>-year</t>
    </r>
  </si>
  <si>
    <t>Values derived by AEG using NREL's PVWatts calculation tool. Analysis was conducted for Honolulu, HI and for Hawaii's peak demand period of 5-9 pm on non-holiday weekdays. (See file named "PVWatts_Honolulu_All
_Orientations.")</t>
  </si>
  <si>
    <r>
      <t>SHG</t>
    </r>
    <r>
      <rPr>
        <vertAlign val="subscript"/>
        <sz val="10.5"/>
        <color theme="1"/>
        <rFont val="Calibri"/>
        <family val="2"/>
        <scheme val="minor"/>
      </rPr>
      <t>o</t>
    </r>
  </si>
  <si>
    <t>Solar heat gain for orientation of interest</t>
  </si>
  <si>
    <r>
      <t>Btu/ft</t>
    </r>
    <r>
      <rPr>
        <vertAlign val="superscript"/>
        <sz val="10.5"/>
        <color theme="1"/>
        <rFont val="Calibri"/>
        <family val="2"/>
        <scheme val="minor"/>
      </rPr>
      <t>2</t>
    </r>
    <r>
      <rPr>
        <sz val="10.5"/>
        <color theme="1"/>
        <rFont val="Calibri"/>
        <family val="2"/>
        <scheme val="minor"/>
      </rPr>
      <t>-year</t>
    </r>
  </si>
  <si>
    <r>
      <t>SHGC</t>
    </r>
    <r>
      <rPr>
        <vertAlign val="subscript"/>
        <sz val="10.5"/>
        <color theme="1"/>
        <rFont val="Calibri"/>
        <family val="2"/>
        <scheme val="minor"/>
      </rPr>
      <t>pre,o</t>
    </r>
  </si>
  <si>
    <t>Solar heat gain coefficient for existing windows in orientation of interest</t>
  </si>
  <si>
    <r>
      <t>See Note 1 below regarding the specification of SHGC  for existing windows.</t>
    </r>
    <r>
      <rPr>
        <vertAlign val="superscript"/>
        <sz val="10.5"/>
        <color theme="1"/>
        <rFont val="Calibri"/>
        <family val="2"/>
        <scheme val="minor"/>
      </rPr>
      <t>1</t>
    </r>
  </si>
  <si>
    <r>
      <t>SHGC</t>
    </r>
    <r>
      <rPr>
        <vertAlign val="subscript"/>
        <sz val="10.5"/>
        <color theme="1"/>
        <rFont val="Calibri"/>
        <family val="2"/>
        <scheme val="minor"/>
      </rPr>
      <t>post,o</t>
    </r>
  </si>
  <si>
    <t>Solar heat gain coefficient for windows with film in orientation of interest</t>
  </si>
  <si>
    <r>
      <t>See Note 2 below regarding the specification of SHGC for windows with film.</t>
    </r>
    <r>
      <rPr>
        <vertAlign val="superscript"/>
        <sz val="10.5"/>
        <color theme="1"/>
        <rFont val="Calibri"/>
        <family val="2"/>
        <scheme val="minor"/>
      </rPr>
      <t>2, 3</t>
    </r>
  </si>
  <si>
    <t>Coefficient of performance of cooling equipment serving the building</t>
  </si>
  <si>
    <t>If the COP is unknown, a default value (see Table 3) based on the cooling system type and the building year of construction can be selected by the user.</t>
  </si>
  <si>
    <t>Conversion factor (Btu to kWh)</t>
  </si>
  <si>
    <t>See Note 4 below.</t>
  </si>
  <si>
    <r>
      <rPr>
        <vertAlign val="superscript"/>
        <sz val="9"/>
        <color theme="1"/>
        <rFont val="Calibri"/>
        <family val="2"/>
        <scheme val="minor"/>
      </rPr>
      <t>1</t>
    </r>
    <r>
      <rPr>
        <sz val="9"/>
        <color theme="1"/>
        <rFont val="Calibri"/>
        <family val="2"/>
        <scheme val="minor"/>
      </rPr>
      <t xml:space="preserve"> Table 2 below contains examples of window and interior shading configurations along with their typical SHGC values.  When specifying the SHGC of existing windows, the practitioner should also be aware that the SHGC of the same windows with film should be a value relative to the SHGC of the existing windows (see Note 2 below).</t>
    </r>
  </si>
  <si>
    <r>
      <rPr>
        <vertAlign val="superscript"/>
        <sz val="9"/>
        <color theme="1"/>
        <rFont val="Calibri"/>
        <family val="2"/>
        <scheme val="minor"/>
      </rPr>
      <t>2</t>
    </r>
    <r>
      <rPr>
        <sz val="9"/>
        <color theme="1"/>
        <rFont val="Calibri"/>
        <family val="2"/>
        <scheme val="minor"/>
      </rPr>
      <t xml:space="preserve"> SHGC of new window film can be obtained from manufacturer specifications and/or an accredited rating organization such as the National Fenestration Rating Council (NFRC). For the purpose of savings calculation, the practitioner </t>
    </r>
    <r>
      <rPr>
        <u/>
        <sz val="9"/>
        <color theme="1"/>
        <rFont val="Calibri"/>
        <family val="2"/>
        <scheme val="minor"/>
      </rPr>
      <t>must</t>
    </r>
    <r>
      <rPr>
        <sz val="9"/>
        <color theme="1"/>
        <rFont val="Calibri"/>
        <family val="2"/>
        <scheme val="minor"/>
      </rPr>
      <t xml:space="preserve"> select a SHGC value of the new window film that is relative to the SHGC of the existing window in order to capture the appropriate amount of SHGC reduction due to the window film. It is for this reason that the NFRC provides both the SHGC (no film) and SHGC (with film) values for each of their window film product ratings. An arbitrary SHGC value for the window film that has no relation to the existing window SHGC should not be used for the savings calculation.</t>
    </r>
  </si>
  <si>
    <r>
      <rPr>
        <vertAlign val="superscript"/>
        <sz val="9"/>
        <color theme="1"/>
        <rFont val="Calibri"/>
        <family val="2"/>
        <scheme val="minor"/>
      </rPr>
      <t>3</t>
    </r>
    <r>
      <rPr>
        <sz val="9"/>
        <color theme="1"/>
        <rFont val="Calibri"/>
        <family val="2"/>
        <scheme val="minor"/>
      </rPr>
      <t xml:space="preserve"> Older products may provide a shading coefficient (SC) instead of SHGC. Per Page 30.39 of the 2001 ASHRAE Fundamentals Handbook, SHGC can be estimated by multiplying SC by 0.87.</t>
    </r>
  </si>
  <si>
    <r>
      <rPr>
        <vertAlign val="superscript"/>
        <sz val="9"/>
        <color theme="1"/>
        <rFont val="Calibri"/>
        <family val="2"/>
        <scheme val="minor"/>
      </rPr>
      <t>4</t>
    </r>
    <r>
      <rPr>
        <sz val="9"/>
        <color theme="1"/>
        <rFont val="Calibri"/>
        <family val="2"/>
        <scheme val="minor"/>
      </rPr>
      <t xml:space="preserve"> EUL of 10 years is consistent with the EUL reported for window film in the California Database for Energy Efficiency Resources (DEER) 2020, Texas Technical Reference Manual (version 8.0), and New Mexico Technical Reference Manual (2/6/2019).</t>
    </r>
  </si>
  <si>
    <r>
      <t xml:space="preserve">Table 1. Solar Heat Gain (SHG) and Peak Solar Heat Gain Factor (SHGF) for Honolulu </t>
    </r>
    <r>
      <rPr>
        <b/>
        <vertAlign val="superscript"/>
        <sz val="10.5"/>
        <color theme="1"/>
        <rFont val="Calibri"/>
        <family val="2"/>
        <scheme val="minor"/>
      </rPr>
      <t>1</t>
    </r>
  </si>
  <si>
    <t>Window Orientation</t>
  </si>
  <si>
    <r>
      <t>SHG
(Btu/ft</t>
    </r>
    <r>
      <rPr>
        <b/>
        <vertAlign val="superscript"/>
        <sz val="10.5"/>
        <color theme="1"/>
        <rFont val="Calibri"/>
        <family val="2"/>
        <scheme val="minor"/>
      </rPr>
      <t>2</t>
    </r>
    <r>
      <rPr>
        <b/>
        <sz val="10.5"/>
        <color theme="1"/>
        <rFont val="Calibri"/>
        <family val="2"/>
        <scheme val="minor"/>
      </rPr>
      <t>-year)</t>
    </r>
  </si>
  <si>
    <r>
      <t>SHGF
(Btu/hr-ft</t>
    </r>
    <r>
      <rPr>
        <b/>
        <vertAlign val="superscript"/>
        <sz val="10.5"/>
        <color theme="1"/>
        <rFont val="Calibri"/>
        <family val="2"/>
        <scheme val="minor"/>
      </rPr>
      <t>2</t>
    </r>
    <r>
      <rPr>
        <b/>
        <sz val="10.5"/>
        <color theme="1"/>
        <rFont val="Calibri"/>
        <family val="2"/>
        <scheme val="minor"/>
      </rPr>
      <t>-year)</t>
    </r>
  </si>
  <si>
    <t>North-East</t>
  </si>
  <si>
    <t>East</t>
  </si>
  <si>
    <t>South-East</t>
  </si>
  <si>
    <t>South</t>
  </si>
  <si>
    <t>South-West</t>
  </si>
  <si>
    <t>West</t>
  </si>
  <si>
    <t>North-West</t>
  </si>
  <si>
    <r>
      <rPr>
        <vertAlign val="superscript"/>
        <sz val="9"/>
        <color theme="1"/>
        <rFont val="Calibri"/>
        <family val="2"/>
        <scheme val="minor"/>
      </rPr>
      <t>1</t>
    </r>
    <r>
      <rPr>
        <sz val="9"/>
        <color theme="1"/>
        <rFont val="Calibri"/>
        <family val="2"/>
        <scheme val="minor"/>
      </rPr>
      <t xml:space="preserve"> AEG derived SHG and SHGF values for Honolulu with the use of NREL's PVWatts Calculator (available online at:  https://pvwatts.nrel.gov/) by (1) specifying a 90-degree tilt angle to simulate the vertical plane of a window and (2) varying the azimuth to simulate each orientation. The final SHG and SHGF values were obtained by averaging the results across 45 degrees of azimuth with the listed orientation at the center (e.g. the values listed for South is the average of the results for South-South-West, South, and South-South-East). </t>
    </r>
  </si>
  <si>
    <r>
      <t xml:space="preserve">Table 2. Solar Heat Gain Coefficient (SHGC) for Various Window and Shading Configurations </t>
    </r>
    <r>
      <rPr>
        <b/>
        <vertAlign val="superscript"/>
        <sz val="10.5"/>
        <color theme="1"/>
        <rFont val="Calibri"/>
        <family val="2"/>
        <scheme val="minor"/>
      </rPr>
      <t>1</t>
    </r>
  </si>
  <si>
    <r>
      <t xml:space="preserve">Window and Shading </t>
    </r>
    <r>
      <rPr>
        <b/>
        <vertAlign val="superscript"/>
        <sz val="10.5"/>
        <color theme="1"/>
        <rFont val="Calibri"/>
        <family val="2"/>
        <scheme val="minor"/>
      </rPr>
      <t>2</t>
    </r>
  </si>
  <si>
    <r>
      <t>SHGC</t>
    </r>
    <r>
      <rPr>
        <b/>
        <vertAlign val="subscript"/>
        <sz val="10.5"/>
        <color theme="1"/>
        <rFont val="Calibri"/>
        <family val="2"/>
        <scheme val="minor"/>
      </rPr>
      <t>pre</t>
    </r>
  </si>
  <si>
    <t>Single-pane (no interior shade)</t>
  </si>
  <si>
    <t>Single-pane with roller shade</t>
  </si>
  <si>
    <t>Single-pane with louvered interior shades</t>
  </si>
  <si>
    <t>Single-pane with draperies (open weave)</t>
  </si>
  <si>
    <t>Single-pane with draperies (closed weave)</t>
  </si>
  <si>
    <t>Double-pane (no interior shade)</t>
  </si>
  <si>
    <t>Double-pane with roller shade</t>
  </si>
  <si>
    <t>Double-pane with louvered interior shades</t>
  </si>
  <si>
    <t>Double-pane with draperies (open weave)</t>
  </si>
  <si>
    <t>Double-pane with draperies (closed weave)</t>
  </si>
  <si>
    <r>
      <rPr>
        <vertAlign val="superscript"/>
        <sz val="9"/>
        <color theme="1"/>
        <rFont val="Calibri"/>
        <family val="2"/>
        <scheme val="minor"/>
      </rPr>
      <t>1</t>
    </r>
    <r>
      <rPr>
        <sz val="9"/>
        <color theme="1"/>
        <rFont val="Calibri"/>
        <family val="2"/>
        <scheme val="minor"/>
      </rPr>
      <t xml:space="preserve"> The SHGC values in this table are provided for reference only and are not used in the semi-prescriptive calculator for this measure. The window types and SHGC values are the same as those listed in the New Mexico Technical Resource Manual, which in turn are based on shading coefficients (SC) provided in Chapter 15 of the 2009 ASHRAE Fundamentals Handbook. AEG converted the listed SC values to SHGC values (per Page 30.39 of the 2001 ASHRAE Fundamentals Handbook, SHGC can be estimated by multiplying SC by 0.87).</t>
    </r>
  </si>
  <si>
    <r>
      <rPr>
        <vertAlign val="superscript"/>
        <sz val="9"/>
        <color theme="1"/>
        <rFont val="Calibri"/>
        <family val="2"/>
        <scheme val="minor"/>
      </rPr>
      <t>2</t>
    </r>
    <r>
      <rPr>
        <sz val="9"/>
        <color theme="1"/>
        <rFont val="Calibri"/>
        <family val="2"/>
        <scheme val="minor"/>
      </rPr>
      <t xml:space="preserve"> The window types listed in this table are all clear-glass windows with no existing treatments or coatings.</t>
    </r>
  </si>
  <si>
    <r>
      <t xml:space="preserve">Table 3. COP by Building Vintage and HVAC System Type </t>
    </r>
    <r>
      <rPr>
        <b/>
        <vertAlign val="superscript"/>
        <sz val="10.5"/>
        <color theme="1"/>
        <rFont val="Calibri"/>
        <family val="2"/>
        <scheme val="minor"/>
      </rPr>
      <t>1</t>
    </r>
  </si>
  <si>
    <t>Year of Construction
(applicable code)</t>
  </si>
  <si>
    <t>Packaged AC</t>
  </si>
  <si>
    <t>Air-Cooled Chiller</t>
  </si>
  <si>
    <t>Water-Cooled Chiller</t>
  </si>
  <si>
    <t>Before 2011 (2000 IECC)</t>
  </si>
  <si>
    <t>2011-2016 (2009 IECC)</t>
  </si>
  <si>
    <t>After 2016 (2015 IECC)</t>
  </si>
  <si>
    <r>
      <rPr>
        <vertAlign val="superscript"/>
        <sz val="9"/>
        <color theme="1"/>
        <rFont val="Calibri"/>
        <family val="2"/>
        <scheme val="minor"/>
      </rPr>
      <t>1</t>
    </r>
    <r>
      <rPr>
        <sz val="9"/>
        <color theme="1"/>
        <rFont val="Calibri"/>
        <family val="2"/>
        <scheme val="minor"/>
      </rPr>
      <t xml:space="preserve"> The COP values listed in this table are the same as those listed in the Texas Technical Reference Manual, which in turn are based on a review of minimum requirements specified in the International Energy Conservation Code (IECC) for 2000, 2009, and 2015. As such, these COP values also map to ASHRAE 90.1-2001, ASHRAE 90.1-2010, and ASHRAE 90.1-2016, respectively, which are the standards that HVAC manufacturers adhere to.</t>
    </r>
  </si>
  <si>
    <t>Note: If a project involves the application of film to windows in multiple orientations, then the total savings for the project is equal to the sum of the savings for each orientation.</t>
  </si>
  <si>
    <t>SHGC of new window film can be obtained from manufacturer specifications and/or an accredited rating organization such as the National Fenestration Rating Council (NFRC). For the purpose of savings calculation, the practitioner must select a SHGC value of the new window film that is relative to the SHGC of the existing window in order to capture the appropriate amount of SHGC reduction due to the window film. It is for this reason that the NFRC provides both the SHGC (no film) and SHGC (with film) values for each of their window film product ratings. An arbitrary SHGC value for the window film that has no relation to the existing window SHGC should not be used for the savings calculation.</t>
  </si>
  <si>
    <t>User Inputs</t>
  </si>
  <si>
    <t>Window orientation:</t>
  </si>
  <si>
    <t>SHGC of existing windows:</t>
  </si>
  <si>
    <t>SHGC of windows with film applied:</t>
  </si>
  <si>
    <t>Area of window film applied, in square feet:</t>
  </si>
  <si>
    <t>COP of HVAC system (leave blank if unknown):</t>
  </si>
  <si>
    <t>If COP is unknown, select the items below -</t>
  </si>
  <si>
    <t>Building year of construction:</t>
  </si>
  <si>
    <t>HVAC system type:</t>
  </si>
  <si>
    <t>AEG's 2021 Analysis Files titled "PY21 TRM NonRes Window Film Analysis File" and "PVWatts_Honolulu_All_Orientations."</t>
  </si>
  <si>
    <t xml:space="preserve">American Society of Heating, Refrigerating and Air-Conditioning Engineers (ASHRAE), 2001 ASHRAE Handbook: Fundamentals, 2001. </t>
  </si>
  <si>
    <t>National Fenestration Rating Council, Certified Products Directory, https://www.nfrc.org/certified-product-directory/, accessed 2/10/2021.</t>
  </si>
  <si>
    <t>National Renewable Energy Laboratory, PVWatts Calculator, https://pvwatts.nrel.gov/, accessed 2/9/2021.</t>
  </si>
  <si>
    <t>New Mexico Technical Resource Manual for the Calculation of Energy Efficiency Savings, Prepared for the New Mexico Public Regulation Commission, February 6, 2019, Evergreen Economics and EcoMetric Consulting.</t>
  </si>
  <si>
    <t>Savings Estimation Technical Reference Manual 2017, Third Edition, California Municipal Utilities Association.</t>
  </si>
  <si>
    <t>Southern California Edison, Work Paper SCE13HC002: Reflective Window Film, January 28, 2015.</t>
  </si>
  <si>
    <t>Texas Technical Reference Manual, Version 8.0, Volume 3: Nonresidential Measures, November 2020.</t>
  </si>
  <si>
    <t>Load sensing and interaction sensing advanced power strips.  This measure involves the purchase and installation of a new Tier 1 or Tier 2 load sensing advanced power strip (APS) in place of a power strip with no automated power shutoff function in a home office or entertainment center. This measure can be directly installed or owner installed. Savings are based on the average load of a 6 plug strip.</t>
  </si>
  <si>
    <t>Tier 1 or Tier 2 qualified power strip.</t>
  </si>
  <si>
    <t>One power strip.</t>
  </si>
  <si>
    <t>1) Tier 1 (Load or Occupancy Sensing): APS shuts off power to selected peripheral devices when the television or CPU enters sleep mode or is turned off. For Motion-sensing APS, the APS shuts off power to controlled devices when no motion is detected for a set period of time.
2) Tier 2  (Engagement Sensing or Active Controls): In entertainment applications, APS shuts off power to controlled devices (including television) when no user engagement is detected for a set period of time regardless of the level of power draw. All products currently on the market include Infrared (IR) Sensing to monitor remote control inputs. Additional layers of control over IR sensing in this measure application category may include: (1) Occupancy Sensing and (2) Additional Connectivity (ex: Smartphone application/control). In home office applications, APS shuts off power to controlled devices and puts the CPU into a low-energy, sleep mode when no user interaction (typically a combination of key-board, mouse, and/or motion) is detected for a set period of time. APS manages the active energy use of the control device (CPU) and the standby power consumption of peripheral devices.</t>
  </si>
  <si>
    <r>
      <t>KWH</t>
    </r>
    <r>
      <rPr>
        <vertAlign val="subscript"/>
        <sz val="10.5"/>
        <color theme="1"/>
        <rFont val="Calibri"/>
        <family val="2"/>
        <scheme val="minor"/>
      </rPr>
      <t>Baseline</t>
    </r>
  </si>
  <si>
    <t>Average deemed baseline kWh per power strip</t>
  </si>
  <si>
    <r>
      <t>Adapted from RTF analysis.</t>
    </r>
    <r>
      <rPr>
        <vertAlign val="superscript"/>
        <sz val="10.5"/>
        <color theme="1"/>
        <rFont val="Calibri"/>
        <family val="2"/>
        <scheme val="minor"/>
      </rPr>
      <t>1</t>
    </r>
  </si>
  <si>
    <t>% Savings</t>
  </si>
  <si>
    <t>Savings percentage due to power strip</t>
  </si>
  <si>
    <t>In Service Rate. For this measure, the ISR represents the % of units properly installed.</t>
  </si>
  <si>
    <r>
      <t>Adapted from RTF analysis.</t>
    </r>
    <r>
      <rPr>
        <vertAlign val="superscript"/>
        <sz val="10.5"/>
        <rFont val="Calibri"/>
        <family val="2"/>
        <scheme val="minor"/>
      </rPr>
      <t>1</t>
    </r>
  </si>
  <si>
    <t>Persistence Factor. For this measure, the PF represents the % of units retained within first year.</t>
  </si>
  <si>
    <t>Assumes no manual shutoff of equipment.</t>
  </si>
  <si>
    <t>% of maximum hourly Watt savings on average that were realized from 5-9 pm for residential A/V equipment. Assumed even distribution of savings.</t>
  </si>
  <si>
    <r>
      <t>Average of several TRMs and secondary sources.</t>
    </r>
    <r>
      <rPr>
        <vertAlign val="superscript"/>
        <sz val="10.5"/>
        <rFont val="Calibri"/>
        <family val="2"/>
        <scheme val="minor"/>
      </rPr>
      <t>2</t>
    </r>
  </si>
  <si>
    <t>1. Adapted from Reginal Technical Forum. (2019, January 24). Residential Advanced Power Strips Version 3.1. Retrieved from &lt;https://rtf.nwcouncil.org/measure/residential-advanced-power-strips&gt;.</t>
  </si>
  <si>
    <t>2. AEG's Analysis File titled "PY21 R_PlugProcess_Adv Power Strip Analysis File."</t>
  </si>
  <si>
    <t>KWH. Baseline</t>
  </si>
  <si>
    <t>kWh Savings</t>
  </si>
  <si>
    <t>kW Savings</t>
  </si>
  <si>
    <t>Tier 1: Home Office</t>
  </si>
  <si>
    <t>Tier 2: Home Office</t>
  </si>
  <si>
    <t>Owner Install</t>
  </si>
  <si>
    <t>Table 2. Plug Location</t>
  </si>
  <si>
    <t>Plug Location</t>
  </si>
  <si>
    <t>Home Office</t>
  </si>
  <si>
    <t>Equipment counts from Page 312 and 314 of 2019 Hawaii Statewide Baseline Energy Use Study, Prepared for Hawaii Public Utilities Commission, Prepared by Applied Energy Group, 2020. Volume 2 Appendices: Questionnaires, Ancillary Research Materials and Crosstabs</t>
  </si>
  <si>
    <t>Direct Install Tier 1 Average</t>
  </si>
  <si>
    <t>Direct Install Tier 2 Average</t>
  </si>
  <si>
    <t>Owner Install Tier 1 Average</t>
  </si>
  <si>
    <t>Owner Install Tier 2 Average</t>
  </si>
  <si>
    <t>AEG's Analysis File titled "PY21 R_PlugProcess_Adv Power Strip Analysis File."</t>
  </si>
  <si>
    <t xml:space="preserve"> 2019 Hawaii Statewide Baseline Energy Use Study, Prepared for Hawaii Public Utilities Commission, Prepared by Applied Energy Group, 2020. Volume 2 Appendices: Questionnaires, Ancillary Research Materials and Crosstabs.</t>
  </si>
  <si>
    <t>CalTF. (2015). Analysis of EULs for Residential Tier 2 Power Strips (WP WPSDGEREHE0004.0).</t>
  </si>
  <si>
    <t>DEER. (2020). SupportTable-EUL2020.xlsx. Retrieved from http://www.deeresources.com/files/DEER2020/download/SupportTable-EUL2020.xlsx.</t>
  </si>
  <si>
    <t>ComEd. (2018). 2018 ComEd Effective Useful Life Research Report. Retrieved from https://www.ilsag.info/evaluation-documents/final-evaluation-reports/https://www.ilsag.info/evaluation-documents/final-evaluation-reports/.</t>
  </si>
  <si>
    <t>RESIDENTIAL: Cool Wall</t>
  </si>
  <si>
    <t>Introduced in Winter 2020-2021 for PY21 TRM.</t>
  </si>
  <si>
    <t xml:space="preserve">Solar reflective "cool walls" save energy by increasing the solar reflectance (also known as albedo) of exterior above-grade wall surfaces over conventional walls. Solar reflectance (albedo) is defined as the fraction of incident solar radiation that is reflected by a surface. Increasing solar reflectance (alone or in combination with increasing thermal emittance) decreases the amount of solar radiation absorbed by the walls, which in turn reduces air conditioning and HVAC fan loads. Though cool walls also increase space heating loads by reducing the amount of solar radiation absorbed by walls, space heating energy use is assumed to be negligible in the average Hawaii home. (The 2019 Hawaii Statewide Baseline Energy Use Study found that 93% of Hawaii homes do not have space heating.) </t>
  </si>
  <si>
    <t xml:space="preserve">The savings for this measure are based on results from a solar reflective cool wall study conducted by Lawrence Berkeley National Laboratory (LBNL) for the California Energy Commission (CEC). As part of the study, LBNL/CEC developed building energy simulation models for various locations and ASHRAE climate zones. The savings included here are derived from simulations for Miami, FL, which has the same ASHRAE climate zone as Hawaii: USCZ 1A. </t>
  </si>
  <si>
    <t>New construction.</t>
  </si>
  <si>
    <t>Single family home.</t>
  </si>
  <si>
    <t>Home has room or central AC system(s).</t>
  </si>
  <si>
    <t>4.</t>
  </si>
  <si>
    <r>
      <t xml:space="preserve">Because the Energy Conservation Code 2015 of Hawaii has an option to use reflective walls (among other measures) as a means to eliminate continuous insulation in above-grade walls (see Section R407 of the Energy Conservation Code 2015 of Hawaii), the cool wall measure </t>
    </r>
    <r>
      <rPr>
        <i/>
        <sz val="11"/>
        <color theme="1"/>
        <rFont val="Calibri"/>
        <family val="2"/>
        <scheme val="minor"/>
      </rPr>
      <t>only</t>
    </r>
    <r>
      <rPr>
        <sz val="11"/>
        <color theme="1"/>
        <rFont val="Calibri"/>
        <family val="2"/>
        <scheme val="minor"/>
      </rPr>
      <t xml:space="preserve"> qualifies for a program incentive if it is being implemented to exceed minimum efficiency requirements from other code compliancy measures. </t>
    </r>
  </si>
  <si>
    <t>5.</t>
  </si>
  <si>
    <t>The color and type of the cool wall paint or spectrally selective pigments and materials should be documented.</t>
  </si>
  <si>
    <r>
      <t>Per home, where the net exterior surface area (ft</t>
    </r>
    <r>
      <rPr>
        <vertAlign val="superscript"/>
        <sz val="11"/>
        <color theme="1"/>
        <rFont val="Calibri"/>
        <family val="2"/>
        <scheme val="minor"/>
      </rPr>
      <t>2</t>
    </r>
    <r>
      <rPr>
        <sz val="11"/>
        <color theme="1"/>
        <rFont val="Calibri"/>
        <family val="2"/>
        <scheme val="minor"/>
      </rPr>
      <t>) of the above-grade solar reflective walls is a custom entry.</t>
    </r>
  </si>
  <si>
    <t xml:space="preserve">Conventional walls with assumed solar reflectance (albedo) of 0.25. This level of solar reflectance is associated with darker, less reflective coatings and materials. The solar reflectance value of 0.25 is the baseline value used in the LBNL/CEC building energy simulations. </t>
  </si>
  <si>
    <r>
      <t xml:space="preserve">"Cool walls" with a minimum initial solar reflectance (albedo) of 0.60. This level of solar reflectance is associated with light-colored conventional paints and materials (e.g., dull white or off-white at a minimum, or bright white for a higher solar reflectance) or non-white spectrally selective pigments and materials with solar reflectance </t>
    </r>
    <r>
      <rPr>
        <sz val="11"/>
        <color theme="1"/>
        <rFont val="Calibri"/>
        <family val="2"/>
      </rPr>
      <t>≥ 0.6</t>
    </r>
    <r>
      <rPr>
        <sz val="11"/>
        <color theme="1"/>
        <rFont val="Calibri"/>
        <family val="2"/>
        <scheme val="minor"/>
      </rPr>
      <t>. The wall surfaces are assumed to weather and soil over time, reducing the solar reflectance from an initial value of 0.60 to an aged value of 0.58 after the first year. The solar reflectance value of 0.60 is the high efficiency value used in the LBNL/CEC building energy simulations.</t>
    </r>
  </si>
  <si>
    <r>
      <t>ΔW</t>
    </r>
    <r>
      <rPr>
        <vertAlign val="subscript"/>
        <sz val="10.5"/>
        <color theme="1"/>
        <rFont val="Calibri"/>
        <family val="2"/>
        <scheme val="minor"/>
      </rPr>
      <t>HVAC</t>
    </r>
  </si>
  <si>
    <t>Annual HVAC site peak power demand absolute savings intensity</t>
  </si>
  <si>
    <r>
      <t>W/ft</t>
    </r>
    <r>
      <rPr>
        <vertAlign val="superscript"/>
        <sz val="10.5"/>
        <color theme="1"/>
        <rFont val="Calibri"/>
        <family val="2"/>
        <scheme val="minor"/>
      </rPr>
      <t>2</t>
    </r>
  </si>
  <si>
    <r>
      <t xml:space="preserve">LBNL/CEC simulations for USCZ 1A, Vintage group = new, Building category = single-family home, Modified surface = N E S W, Base wall albedo = 0.25, and Albedo of modified wall(s) = 0.6. </t>
    </r>
    <r>
      <rPr>
        <vertAlign val="superscript"/>
        <sz val="10.5"/>
        <color theme="1"/>
        <rFont val="Calibri"/>
        <family val="2"/>
        <scheme val="minor"/>
      </rPr>
      <t>1</t>
    </r>
  </si>
  <si>
    <r>
      <t>ΔkWh</t>
    </r>
    <r>
      <rPr>
        <vertAlign val="subscript"/>
        <sz val="10.5"/>
        <color theme="1"/>
        <rFont val="Calibri"/>
        <family val="2"/>
        <scheme val="minor"/>
      </rPr>
      <t>cool</t>
    </r>
  </si>
  <si>
    <t>Annual cooling site energy absolute savings intensity</t>
  </si>
  <si>
    <r>
      <t>kWh/ft</t>
    </r>
    <r>
      <rPr>
        <vertAlign val="superscript"/>
        <sz val="10.5"/>
        <color theme="1"/>
        <rFont val="Calibri"/>
        <family val="2"/>
        <scheme val="minor"/>
      </rPr>
      <t>2</t>
    </r>
  </si>
  <si>
    <r>
      <t>ΔkWh</t>
    </r>
    <r>
      <rPr>
        <vertAlign val="subscript"/>
        <sz val="10.5"/>
        <color theme="1"/>
        <rFont val="Calibri"/>
        <family val="2"/>
        <scheme val="minor"/>
      </rPr>
      <t>fan</t>
    </r>
  </si>
  <si>
    <t>Annual fan site energy absolute savings intensity</t>
  </si>
  <si>
    <t>NSA</t>
  </si>
  <si>
    <t>Net surface area</t>
  </si>
  <si>
    <r>
      <rPr>
        <sz val="10.5"/>
        <color theme="1"/>
        <rFont val="Calibri"/>
        <family val="2"/>
        <scheme val="minor"/>
      </rPr>
      <t>ft</t>
    </r>
    <r>
      <rPr>
        <vertAlign val="superscript"/>
        <sz val="10.5"/>
        <color theme="1"/>
        <rFont val="Calibri"/>
        <family val="2"/>
        <scheme val="minor"/>
      </rPr>
      <t>2</t>
    </r>
  </si>
  <si>
    <t>Gross area of above-grade exterior walls (height x width for each above-grade exterior cool wall of home) minus openings for doors and windows.</t>
  </si>
  <si>
    <t>SAF</t>
  </si>
  <si>
    <t>Solar availability factor</t>
  </si>
  <si>
    <r>
      <t xml:space="preserve">This factor scales the incident solar radiation by accounting for shading and reflection effects from neighboring buildings. Estimates in Table 2 are derived from LBNL/CEC, Appendix P, Table 31 for USCZ 1A. </t>
    </r>
    <r>
      <rPr>
        <vertAlign val="superscript"/>
        <sz val="10.5"/>
        <color theme="1"/>
        <rFont val="Calibri"/>
        <family val="2"/>
        <scheme val="minor"/>
      </rPr>
      <t>1</t>
    </r>
  </si>
  <si>
    <t>CF corresponding with system peak of 5-9pm on non-holiday weekdays. Determined based on Hawaii-specific EnergyPlus prototype simulations with Room AC and Central AC systems.</t>
  </si>
  <si>
    <r>
      <t xml:space="preserve">Adjustment to account for change of solar reflectance over lifetime due to natural exposure (i.e., weather and soiling). Assumes solar reflectance loss of 0.02 once aged; (0.02/0.60) = 3%. </t>
    </r>
    <r>
      <rPr>
        <vertAlign val="superscript"/>
        <sz val="10.5"/>
        <color theme="1"/>
        <rFont val="Calibri"/>
        <family val="2"/>
        <scheme val="minor"/>
      </rPr>
      <t>2</t>
    </r>
  </si>
  <si>
    <r>
      <t xml:space="preserve">Assumes the coat of paint will last 10 years per LBNL/CEC, Appendix P, pg. P-39. </t>
    </r>
    <r>
      <rPr>
        <vertAlign val="superscript"/>
        <sz val="10.5"/>
        <color theme="1"/>
        <rFont val="Calibri"/>
        <family val="2"/>
        <scheme val="minor"/>
      </rPr>
      <t>1</t>
    </r>
  </si>
  <si>
    <r>
      <rPr>
        <vertAlign val="superscript"/>
        <sz val="9"/>
        <color theme="1"/>
        <rFont val="Calibri"/>
        <family val="2"/>
        <scheme val="minor"/>
      </rPr>
      <t>1</t>
    </r>
    <r>
      <rPr>
        <sz val="9"/>
        <color theme="1"/>
        <rFont val="Calibri"/>
        <family val="2"/>
        <scheme val="minor"/>
      </rPr>
      <t xml:space="preserve"> [LBNL/CEC]. Levinson et al. 2019. Solar-Reflective “Cool” Walls: Benefits, Technologies, and Implementation. California Energy Commission. Publication Number: CEC-500-2019-040, &lt;https://ww2.energy.ca.gov/2019publications/CEC-500-2019-040/&gt;. See also Appendix P: Cool Wall Application Guidelines, &lt;https://ww2.energy.ca.gov/2019publications/CEC-500-2019-040/CEC-500-2019-040-APP.pdf&gt;. The tool named "Savings explorer v033.xlsm" and database named "Cool surface savings database_2018-06-27.csv" are available in a ZIP archive online: &lt;http://bit.ly/2Kwvtpu&gt;. </t>
    </r>
  </si>
  <si>
    <r>
      <rPr>
        <vertAlign val="superscript"/>
        <sz val="9"/>
        <color theme="1"/>
        <rFont val="Calibri"/>
        <family val="2"/>
        <scheme val="minor"/>
      </rPr>
      <t>2</t>
    </r>
    <r>
      <rPr>
        <sz val="9"/>
        <color theme="1"/>
        <rFont val="Calibri"/>
        <family val="2"/>
        <scheme val="minor"/>
      </rPr>
      <t xml:space="preserve"> Estimated using field data for cool wall coatings after 12 months of exposure in Miami, FL. See LBNL/CEC, Appendix P, Figure 8. For an initial albedo of ~0.60, the albedo loss is ~0.02.</t>
    </r>
  </si>
  <si>
    <r>
      <t xml:space="preserve">Table 1: </t>
    </r>
    <r>
      <rPr>
        <b/>
        <i/>
        <sz val="11"/>
        <color theme="1"/>
        <rFont val="Calibri"/>
        <family val="2"/>
        <scheme val="minor"/>
      </rPr>
      <t>Unadjusted</t>
    </r>
    <r>
      <rPr>
        <b/>
        <sz val="11"/>
        <color theme="1"/>
        <rFont val="Calibri"/>
        <family val="2"/>
        <scheme val="minor"/>
      </rPr>
      <t xml:space="preserve"> Savings per Unit of Net Surface Area</t>
    </r>
  </si>
  <si>
    <t>Building orientation (long axis of home)</t>
  </si>
  <si>
    <r>
      <t>Annual cooling site energy absolute savings intensity, 
ΔkWh</t>
    </r>
    <r>
      <rPr>
        <b/>
        <vertAlign val="subscript"/>
        <sz val="10.5"/>
        <color theme="1"/>
        <rFont val="Calibri"/>
        <family val="2"/>
        <scheme val="minor"/>
      </rPr>
      <t>cool</t>
    </r>
    <r>
      <rPr>
        <b/>
        <sz val="10.5"/>
        <color theme="1"/>
        <rFont val="Calibri"/>
        <family val="2"/>
        <scheme val="minor"/>
      </rPr>
      <t xml:space="preserve">  [kWh/ft</t>
    </r>
    <r>
      <rPr>
        <b/>
        <vertAlign val="superscript"/>
        <sz val="10.5"/>
        <color theme="1"/>
        <rFont val="Calibri"/>
        <family val="2"/>
        <scheme val="minor"/>
      </rPr>
      <t>2</t>
    </r>
    <r>
      <rPr>
        <b/>
        <sz val="10.5"/>
        <color theme="1"/>
        <rFont val="Calibri"/>
        <family val="2"/>
        <scheme val="minor"/>
      </rPr>
      <t>]</t>
    </r>
  </si>
  <si>
    <r>
      <t>Annual fan site energy absolute savings intensity, 
ΔkWh</t>
    </r>
    <r>
      <rPr>
        <b/>
        <vertAlign val="subscript"/>
        <sz val="10.5"/>
        <color theme="1"/>
        <rFont val="Calibri"/>
        <family val="2"/>
        <scheme val="minor"/>
      </rPr>
      <t>fan</t>
    </r>
    <r>
      <rPr>
        <b/>
        <sz val="10.5"/>
        <color theme="1"/>
        <rFont val="Calibri"/>
        <family val="2"/>
        <scheme val="minor"/>
      </rPr>
      <t xml:space="preserve"> [kWh/ft</t>
    </r>
    <r>
      <rPr>
        <b/>
        <vertAlign val="superscript"/>
        <sz val="10.5"/>
        <color theme="1"/>
        <rFont val="Calibri"/>
        <family val="2"/>
        <scheme val="minor"/>
      </rPr>
      <t>2</t>
    </r>
    <r>
      <rPr>
        <b/>
        <sz val="10.5"/>
        <color theme="1"/>
        <rFont val="Calibri"/>
        <family val="2"/>
        <scheme val="minor"/>
      </rPr>
      <t>]</t>
    </r>
  </si>
  <si>
    <r>
      <t>Annual HVAC site peak power demand absolute savings intensity, 
ΔW</t>
    </r>
    <r>
      <rPr>
        <b/>
        <vertAlign val="subscript"/>
        <sz val="10.5"/>
        <color theme="1"/>
        <rFont val="Calibri"/>
        <family val="2"/>
        <scheme val="minor"/>
      </rPr>
      <t>HVAC</t>
    </r>
    <r>
      <rPr>
        <b/>
        <sz val="10.5"/>
        <color theme="1"/>
        <rFont val="Calibri"/>
        <family val="2"/>
        <scheme val="minor"/>
      </rPr>
      <t xml:space="preserve"> [W/ft</t>
    </r>
    <r>
      <rPr>
        <b/>
        <vertAlign val="superscript"/>
        <sz val="10.5"/>
        <color theme="1"/>
        <rFont val="Calibri"/>
        <family val="2"/>
        <scheme val="minor"/>
      </rPr>
      <t>2</t>
    </r>
    <r>
      <rPr>
        <b/>
        <sz val="10.5"/>
        <color theme="1"/>
        <rFont val="Calibri"/>
        <family val="2"/>
        <scheme val="minor"/>
      </rPr>
      <t>]</t>
    </r>
  </si>
  <si>
    <t>East-West</t>
  </si>
  <si>
    <t>North-South</t>
  </si>
  <si>
    <t>Mean</t>
  </si>
  <si>
    <r>
      <t>Source: [LBNL/CEC]. Levinson et al. 2019. "Savings explorer v033.xlsm" and database named "Cool surface savings database_2018-06-27.csv." Simulations for USCZ 1A, Vintage group = new, Building category = single-family home, Modified surface = N E S W, Base wall albedo = 0.25, and Albedo of modified wall(s) = 0.6. The LBNL/CEC values were converted from per-unit of m</t>
    </r>
    <r>
      <rPr>
        <vertAlign val="superscript"/>
        <sz val="9"/>
        <color theme="1"/>
        <rFont val="Calibri"/>
        <family val="2"/>
        <scheme val="minor"/>
      </rPr>
      <t>2</t>
    </r>
    <r>
      <rPr>
        <sz val="9"/>
        <color theme="1"/>
        <rFont val="Calibri"/>
        <family val="2"/>
        <scheme val="minor"/>
      </rPr>
      <t xml:space="preserve"> to per-unit of ft</t>
    </r>
    <r>
      <rPr>
        <vertAlign val="superscript"/>
        <sz val="9"/>
        <color theme="1"/>
        <rFont val="Calibri"/>
        <family val="2"/>
        <scheme val="minor"/>
      </rPr>
      <t>2</t>
    </r>
    <r>
      <rPr>
        <sz val="9"/>
        <color theme="1"/>
        <rFont val="Calibri"/>
        <family val="2"/>
        <scheme val="minor"/>
      </rPr>
      <t xml:space="preserve"> using the following conversion factor: 1 m</t>
    </r>
    <r>
      <rPr>
        <vertAlign val="superscript"/>
        <sz val="9"/>
        <color theme="1"/>
        <rFont val="Calibri"/>
        <family val="2"/>
        <scheme val="minor"/>
      </rPr>
      <t>2</t>
    </r>
    <r>
      <rPr>
        <sz val="9"/>
        <color theme="1"/>
        <rFont val="Calibri"/>
        <family val="2"/>
        <scheme val="minor"/>
      </rPr>
      <t xml:space="preserve"> = 10.7639 ft</t>
    </r>
    <r>
      <rPr>
        <vertAlign val="superscript"/>
        <sz val="9"/>
        <color theme="1"/>
        <rFont val="Calibri"/>
        <family val="2"/>
        <scheme val="minor"/>
      </rPr>
      <t>2</t>
    </r>
    <r>
      <rPr>
        <sz val="9"/>
        <color theme="1"/>
        <rFont val="Calibri"/>
        <family val="2"/>
        <scheme val="minor"/>
      </rPr>
      <t>.</t>
    </r>
  </si>
  <si>
    <t>Table 2: Solar Availability Factor, SAF</t>
  </si>
  <si>
    <t>Neighbor Building Proximity</t>
  </si>
  <si>
    <t>Assumption</t>
  </si>
  <si>
    <t>Isolated</t>
  </si>
  <si>
    <t>Adjacent buildings are more than 100 ft apart. There is negligible effect from neighboring buildings.</t>
  </si>
  <si>
    <t>Close</t>
  </si>
  <si>
    <t>Adjacent buildings are within 10 ft of each other. *</t>
  </si>
  <si>
    <t>Adjacent buildings are between 10 and 100 ft apart.</t>
  </si>
  <si>
    <t xml:space="preserve">* The SAF for "Close" proximity was calculated by averaging the mean SAF values for R=0.2, R=1, R=2, and R=2 from LBNL/CEC Appendix P, Table 31, USCZ 1A. R is the canyon aspect ratio and is equal to the cool wall height divided by the distance to the neighboring building. There are four R values to represent four sides of the home. </t>
  </si>
  <si>
    <r>
      <t>Enter Net Surface Area for Cool Walls, ft</t>
    </r>
    <r>
      <rPr>
        <vertAlign val="superscript"/>
        <sz val="11"/>
        <rFont val="Calibri"/>
        <family val="2"/>
        <scheme val="minor"/>
      </rPr>
      <t>2</t>
    </r>
  </si>
  <si>
    <r>
      <t>Net surface area = Gross area of above-grade exterior walls (height x width for each above-grade exterior cool wall of home) minus openings for doors and windows. Use units of ft</t>
    </r>
    <r>
      <rPr>
        <i/>
        <vertAlign val="superscript"/>
        <sz val="11"/>
        <color theme="1"/>
        <rFont val="Calibri"/>
        <family val="2"/>
        <scheme val="minor"/>
      </rPr>
      <t>2</t>
    </r>
    <r>
      <rPr>
        <i/>
        <sz val="11"/>
        <color theme="1"/>
        <rFont val="Calibri"/>
        <family val="2"/>
        <scheme val="minor"/>
      </rPr>
      <t>.</t>
    </r>
  </si>
  <si>
    <t>Select Home Orientation</t>
  </si>
  <si>
    <t xml:space="preserve">The long axis of home is mainly in this direction… (where the “Mean” option is the average of east-west and north-south and should be used for homes that have the long axis in between the east-west and north-south orientations). </t>
  </si>
  <si>
    <t>Select Neighbor Building Proximity</t>
  </si>
  <si>
    <t>The "isolated" option assumes adjacent buildings are more than 100 ft apart. The "close" proximity option assumes adjacent buildings are within 10 ft of each other. The "average" proximity option should be selected when adjacent buildings are between 10 and 100 ft apart.</t>
  </si>
  <si>
    <t>Solar Availability Factor, SAF</t>
  </si>
  <si>
    <t>Select AC Type</t>
  </si>
  <si>
    <t>Coincidence Factor, CF</t>
  </si>
  <si>
    <t>Residential Cool Wall</t>
  </si>
  <si>
    <t>AEG's Analysis File titled "AEG HPUC PY21 TRM - Res Cool Walls - Analysis File." In addition, the file titled "AEG HPUC Update - Ductless Systems - Analysis file," worksheet tab named "Res_HVAC Key Parameters," includes Hawai‘i-specific simulation results for determining CF for Room AC and Window AC systems.</t>
  </si>
  <si>
    <r>
      <rPr>
        <i/>
        <sz val="11"/>
        <rFont val="Calibri"/>
        <family val="2"/>
        <scheme val="minor"/>
      </rPr>
      <t>Energy Conservation Code 2015 of Hawaii</t>
    </r>
    <r>
      <rPr>
        <sz val="11"/>
        <rFont val="Calibri"/>
        <family val="2"/>
        <scheme val="minor"/>
      </rPr>
      <t>, Chapter 4 [RE] Residential Energy Efficiency, R407 Points Option, &lt;https://up.codes/viewer/hawaii/iecc-2015/chapter/RE_4/re-residential-energy-efficiency#new_R407&gt;.</t>
    </r>
  </si>
  <si>
    <r>
      <t xml:space="preserve">Levinson, Ronnen, Haley Gilbert, Jiachen Zhang, George Ban-Weiss, Jan Kleissl, Matteo Pizzicotti, Weilong Zhang, Nathalie Dumas, Benjamin Kurtz, Yan Long, Negin Nazarian, Arash Mohegh, Yun Li, Xiaochen Tang, Sharon Chen, Marion Russell, Sébastien Houzé de l’Aulnoit, Paul Berdahl, Pablo Rosado, Jonathan Slack, Howdy Goudey, and Hugo Destaillats. 2019. </t>
    </r>
    <r>
      <rPr>
        <i/>
        <sz val="11"/>
        <rFont val="Calibri"/>
        <family val="2"/>
        <scheme val="minor"/>
      </rPr>
      <t>Solar-Reflective “Cool” Walls: Benefits, Technologies, and Implementation.</t>
    </r>
    <r>
      <rPr>
        <sz val="11"/>
        <rFont val="Calibri"/>
        <family val="2"/>
        <scheme val="minor"/>
      </rPr>
      <t xml:space="preserve"> California Energy Commission. Publication Number: CEC-500-2019-040, &lt;https://ww2.energy.ca.gov/2019publications/CEC-500-2019-040/&gt;. See also </t>
    </r>
    <r>
      <rPr>
        <i/>
        <sz val="11"/>
        <rFont val="Calibri"/>
        <family val="2"/>
        <scheme val="minor"/>
      </rPr>
      <t>Appendix P: Cool Wall Application Guidelines</t>
    </r>
    <r>
      <rPr>
        <sz val="11"/>
        <rFont val="Calibri"/>
        <family val="2"/>
        <scheme val="minor"/>
      </rPr>
      <t xml:space="preserve">, &lt;https://ww2.energy.ca.gov/2019publications/CEC-500-2019-040/CEC-500-2019-040-APP.pdf&gt;. The tool named "Savings explorer v033.xlsm" and database named "Cool surface savings database_2018-06-27.csv" are available in a ZIP archive online: &lt;http://bit.ly/2Kwvtpu&gt;. </t>
    </r>
  </si>
  <si>
    <t>"2015 IECC Residential: Overview of the Tropical Zone Requirements," Presentation, Howard Wiig, Hawaii State Energy Office, Eric Makela, Cadmus, &lt;https://energy.hawaii.gov/wp-content/uploads/2016/07/Webinar-One-Overview-of-Tropical-Zone-4282016.pdf&gt;.</t>
  </si>
  <si>
    <r>
      <rPr>
        <i/>
        <sz val="11"/>
        <rFont val="Calibri"/>
        <family val="2"/>
        <scheme val="minor"/>
      </rPr>
      <t>2019 Hawaii Statewide Baseline Energy Use Study</t>
    </r>
    <r>
      <rPr>
        <sz val="11"/>
        <rFont val="Calibri"/>
        <family val="2"/>
        <scheme val="minor"/>
      </rPr>
      <t xml:space="preserve">, Prepared for Hawaii Public Utilities Commission, Prepared by Applied Energy Group, 2020. </t>
    </r>
  </si>
  <si>
    <t>R_BEnvelope_Cool Wall</t>
  </si>
  <si>
    <t>GREENHOUSE GAS (GHG) CALCULATOR</t>
  </si>
  <si>
    <t>Table 8. State of Hawaii Emission Rates</t>
  </si>
  <si>
    <t>Gas</t>
  </si>
  <si>
    <t>Total Output Emission Rates</t>
  </si>
  <si>
    <t>lbs/MWh</t>
  </si>
  <si>
    <r>
      <t>CO</t>
    </r>
    <r>
      <rPr>
        <vertAlign val="subscript"/>
        <sz val="11"/>
        <color theme="1"/>
        <rFont val="Calibri"/>
        <family val="2"/>
        <scheme val="minor"/>
      </rPr>
      <t>2</t>
    </r>
  </si>
  <si>
    <r>
      <t>CH</t>
    </r>
    <r>
      <rPr>
        <vertAlign val="subscript"/>
        <sz val="11"/>
        <color theme="1"/>
        <rFont val="Calibri"/>
        <family val="2"/>
        <scheme val="minor"/>
      </rPr>
      <t>4</t>
    </r>
  </si>
  <si>
    <r>
      <t>N</t>
    </r>
    <r>
      <rPr>
        <vertAlign val="subscript"/>
        <sz val="11"/>
        <color theme="1"/>
        <rFont val="Calibri"/>
        <family val="2"/>
        <scheme val="minor"/>
      </rPr>
      <t>2</t>
    </r>
    <r>
      <rPr>
        <sz val="11"/>
        <color theme="1"/>
        <rFont val="Calibri"/>
        <family val="2"/>
        <scheme val="minor"/>
      </rPr>
      <t>O</t>
    </r>
  </si>
  <si>
    <r>
      <t>Annual NO</t>
    </r>
    <r>
      <rPr>
        <vertAlign val="subscript"/>
        <sz val="11"/>
        <color theme="1"/>
        <rFont val="Calibri"/>
        <family val="2"/>
        <scheme val="minor"/>
      </rPr>
      <t>x</t>
    </r>
  </si>
  <si>
    <r>
      <t>Ozone Season NO</t>
    </r>
    <r>
      <rPr>
        <vertAlign val="subscript"/>
        <sz val="11"/>
        <color theme="1"/>
        <rFont val="Calibri"/>
        <family val="2"/>
        <scheme val="minor"/>
      </rPr>
      <t>x</t>
    </r>
  </si>
  <si>
    <r>
      <t>SO</t>
    </r>
    <r>
      <rPr>
        <vertAlign val="subscript"/>
        <sz val="11"/>
        <color theme="1"/>
        <rFont val="Calibri"/>
        <family val="2"/>
        <scheme val="minor"/>
      </rPr>
      <t>2</t>
    </r>
  </si>
  <si>
    <r>
      <t>Table 9. Conversion of CO</t>
    </r>
    <r>
      <rPr>
        <b/>
        <vertAlign val="subscript"/>
        <sz val="11"/>
        <color theme="1"/>
        <rFont val="Calibri"/>
        <family val="2"/>
        <scheme val="minor"/>
      </rPr>
      <t>2</t>
    </r>
    <r>
      <rPr>
        <b/>
        <sz val="11"/>
        <color theme="1"/>
        <rFont val="Calibri"/>
        <family val="2"/>
        <scheme val="minor"/>
      </rPr>
      <t xml:space="preserve"> Emissions to Equivalent Barrels (bbl) of Crude Oil</t>
    </r>
  </si>
  <si>
    <t>1 bbl Oil =</t>
  </si>
  <si>
    <r>
      <t>MT of CO</t>
    </r>
    <r>
      <rPr>
        <vertAlign val="subscript"/>
        <sz val="11"/>
        <color theme="1"/>
        <rFont val="Calibri"/>
        <family val="2"/>
        <scheme val="minor"/>
      </rPr>
      <t>2</t>
    </r>
  </si>
  <si>
    <r>
      <t>Note: This conversion only uses CO</t>
    </r>
    <r>
      <rPr>
        <vertAlign val="subscript"/>
        <sz val="9"/>
        <color theme="1"/>
        <rFont val="Calibri"/>
        <family val="2"/>
        <scheme val="minor"/>
      </rPr>
      <t>2</t>
    </r>
    <r>
      <rPr>
        <sz val="9"/>
        <color theme="1"/>
        <rFont val="Calibri"/>
        <family val="2"/>
        <scheme val="minor"/>
      </rPr>
      <t xml:space="preserve"> emissions and not CO</t>
    </r>
    <r>
      <rPr>
        <vertAlign val="subscript"/>
        <sz val="9"/>
        <color theme="1"/>
        <rFont val="Calibri"/>
        <family val="2"/>
        <scheme val="minor"/>
      </rPr>
      <t>2</t>
    </r>
    <r>
      <rPr>
        <sz val="9"/>
        <color theme="1"/>
        <rFont val="Calibri"/>
        <family val="2"/>
        <scheme val="minor"/>
      </rPr>
      <t>e emissions from CH</t>
    </r>
    <r>
      <rPr>
        <vertAlign val="subscript"/>
        <sz val="9"/>
        <color theme="1"/>
        <rFont val="Calibri"/>
        <family val="2"/>
        <scheme val="minor"/>
      </rPr>
      <t>4</t>
    </r>
    <r>
      <rPr>
        <sz val="9"/>
        <color theme="1"/>
        <rFont val="Calibri"/>
        <family val="2"/>
        <scheme val="minor"/>
      </rPr>
      <t xml:space="preserve"> and N</t>
    </r>
    <r>
      <rPr>
        <vertAlign val="subscript"/>
        <sz val="9"/>
        <color theme="1"/>
        <rFont val="Calibri"/>
        <family val="2"/>
        <scheme val="minor"/>
      </rPr>
      <t>2</t>
    </r>
    <r>
      <rPr>
        <sz val="9"/>
        <color theme="1"/>
        <rFont val="Calibri"/>
        <family val="2"/>
        <scheme val="minor"/>
      </rPr>
      <t>O.</t>
    </r>
  </si>
  <si>
    <t>GHG Calculator</t>
  </si>
  <si>
    <t>Input Annual Program Level Energy Savings in kWh/yr:</t>
  </si>
  <si>
    <r>
      <t>Table 10. Equivalent CO</t>
    </r>
    <r>
      <rPr>
        <b/>
        <vertAlign val="subscript"/>
        <sz val="11"/>
        <color theme="1"/>
        <rFont val="Calibri"/>
        <family val="2"/>
        <scheme val="minor"/>
      </rPr>
      <t>2</t>
    </r>
    <r>
      <rPr>
        <b/>
        <sz val="11"/>
        <color theme="1"/>
        <rFont val="Calibri"/>
        <family val="2"/>
        <scheme val="minor"/>
      </rPr>
      <t xml:space="preserve"> Emissions:</t>
    </r>
  </si>
  <si>
    <r>
      <t>Equivalent CO</t>
    </r>
    <r>
      <rPr>
        <b/>
        <vertAlign val="subscript"/>
        <sz val="11"/>
        <color theme="1"/>
        <rFont val="Calibri"/>
        <family val="2"/>
        <scheme val="minor"/>
      </rPr>
      <t>2</t>
    </r>
    <r>
      <rPr>
        <b/>
        <sz val="11"/>
        <color theme="1"/>
        <rFont val="Calibri"/>
        <family val="2"/>
        <scheme val="minor"/>
      </rPr>
      <t xml:space="preserve"> Emissions</t>
    </r>
  </si>
  <si>
    <t>MT</t>
  </si>
  <si>
    <r>
      <t>CO</t>
    </r>
    <r>
      <rPr>
        <vertAlign val="subscript"/>
        <sz val="11"/>
        <color theme="1"/>
        <rFont val="Calibri"/>
        <family val="2"/>
        <scheme val="minor"/>
      </rPr>
      <t>2</t>
    </r>
    <r>
      <rPr>
        <sz val="11"/>
        <color theme="1"/>
        <rFont val="Calibri"/>
        <family val="2"/>
        <scheme val="minor"/>
      </rPr>
      <t>e</t>
    </r>
  </si>
  <si>
    <t>Table 11. Avoided Emissions by Type of Gas:</t>
  </si>
  <si>
    <t>Total Avoided Emissions</t>
  </si>
  <si>
    <t>Table 12. Avoided Barrels of Oil:</t>
  </si>
  <si>
    <t>Barrels of Oil</t>
  </si>
  <si>
    <t>RESIDENTIAL: Solar Light Tube</t>
  </si>
  <si>
    <t xml:space="preserve">Introduced in Winter 2020-2021 for PY21 TRM. 
</t>
  </si>
  <si>
    <t xml:space="preserve">A solar light tube with a 10'' to 21'' diameter with a prismatic or translucent lens installed on the roof of a home. The lens reflects light captured from the roof opening through a highly specular reflective tube down to the mounted fixture height. When in use, a solar light tube fixture resembles a metal halide fixture. </t>
  </si>
  <si>
    <t>This measure is applicable to single-family retrofit and new construction applications. We have assumed the retrofit would involve redesign of existing lighting system.
The solar light tube must have an ENERGY STAR label.</t>
  </si>
  <si>
    <t>One solar light tube.</t>
  </si>
  <si>
    <t xml:space="preserve">The baseline equipment is a lighting fixture with comparable brightness (lumens) to that of the solar light tube. The specifications for the baseline fixture depend on the size of the solar light tube (i.e., 10'', 14'', 21'' diameter) and the geographic location (i.e., Honolulu, Kahului, Hilo). This measure has a baseline for PY21 that consists of a mix of 25% CFL, 25% halogen, and 50% LED lamps. For PY22 and later, the baseline consists of a mix of 25% CFL and 75% LED lamps that complies with the original EISA Tier 2 Backstop requirement of 45 lumens per Watt. (Halogen lamps have &lt; 45 lumens/Watt and will be phased out. AEG has assumed they will be replaced with LED lamps.) The baseline lighting fixtures are assumed to be installed at the same time as the solar light tube. </t>
  </si>
  <si>
    <t>The efficient equipment is a solar light tube that concentrates and directs light from the roof to an area inside the home.</t>
  </si>
  <si>
    <t>First Baseline Wattage - Fixture with comparable luminosity - Lamp mix of 25% CFL, 25% halogen, 50% LED</t>
  </si>
  <si>
    <t>Solatube Lumen Output Use Tables 
Lamp mix based on 2019 Hawaii Statewide Baseline Energy Use Study
EISA legislation, effective dates of 2012-2014</t>
  </si>
  <si>
    <t>Second Baseline Wattage -  Fixture with comparable luminosity - Lamp mix of 25% CFL, 75% LED</t>
  </si>
  <si>
    <t>Solatube Lumen Output Use Tables
Lamp mix based on the assumption that all halogen lamps will be replaced with LED lamps
Original EISA backstop</t>
  </si>
  <si>
    <t>Assumes the solar light tube will not be removed once installed</t>
  </si>
  <si>
    <t>The solar light tube measure can only replace lighting during limited daylight hours that do not coincide with Hawaii's peak demand period of 5-9pm</t>
  </si>
  <si>
    <t>Engineering judgement</t>
  </si>
  <si>
    <t>2019 Hawaii Statewide Baseline Energy Use Study</t>
  </si>
  <si>
    <t xml:space="preserve">AEG's Hawai‘i-specific simulation modeling (from PY21 TRM v1.0, Residential LED measure). Solar light tube has negligible solar heat gain as it filters out most of the infrared rays (&gt;760 nm) and only allows for the visual rays (400-760 nm) to enter into the space </t>
  </si>
  <si>
    <t>Footnote 2</t>
  </si>
  <si>
    <t xml:space="preserve">Effective useful life of EISA Tier 1 (i.e., halogen) baseline lamps </t>
  </si>
  <si>
    <r>
      <t>EUL</t>
    </r>
    <r>
      <rPr>
        <vertAlign val="subscript"/>
        <sz val="10.5"/>
        <color theme="1"/>
        <rFont val="Calibri"/>
        <family val="2"/>
        <scheme val="minor"/>
      </rPr>
      <t>tube</t>
    </r>
  </si>
  <si>
    <t>Effective useful life of solar light tube</t>
  </si>
  <si>
    <t>2021 Illinois TRM v.9.0 Vol. 2, and Solatube product warranty</t>
  </si>
  <si>
    <r>
      <rPr>
        <vertAlign val="superscript"/>
        <sz val="9"/>
        <color theme="1"/>
        <rFont val="Calibri"/>
        <family val="2"/>
        <scheme val="minor"/>
      </rPr>
      <t>1</t>
    </r>
    <r>
      <rPr>
        <sz val="9"/>
        <color theme="1"/>
        <rFont val="Calibri"/>
        <family val="2"/>
        <scheme val="minor"/>
      </rPr>
      <t xml:space="preserve"> 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Table 4.4 shows that 15% of CFLs are installed in garages and exterior locations. AEG assumes CFLs are reasonable proxy for LEDs.
</t>
    </r>
    <r>
      <rPr>
        <vertAlign val="superscript"/>
        <sz val="9"/>
        <color theme="1"/>
        <rFont val="Calibri"/>
        <family val="2"/>
        <scheme val="minor"/>
      </rPr>
      <t>2</t>
    </r>
    <r>
      <rPr>
        <sz val="9"/>
        <color theme="1"/>
        <rFont val="Calibri"/>
        <family val="2"/>
        <scheme val="minor"/>
      </rPr>
      <t xml:space="preserve"> Per Solatube Lumen Output Use document, the light loss factor is 0.92 for solar light tube and 0.8 for typical default light fixture. Conservatively, we chose a value of PF=1 for this measure. </t>
    </r>
  </si>
  <si>
    <t>Table 1a: Connected Wattage of the light fixture that the solar tube light replaces, for PY21</t>
  </si>
  <si>
    <r>
      <t>W</t>
    </r>
    <r>
      <rPr>
        <b/>
        <i/>
        <vertAlign val="subscript"/>
        <sz val="10.5"/>
        <rFont val="Calibri"/>
        <family val="2"/>
        <scheme val="minor"/>
      </rPr>
      <t xml:space="preserve">connected 
Honolulu </t>
    </r>
  </si>
  <si>
    <r>
      <t>W</t>
    </r>
    <r>
      <rPr>
        <b/>
        <i/>
        <vertAlign val="subscript"/>
        <sz val="10.5"/>
        <rFont val="Calibri"/>
        <family val="2"/>
        <scheme val="minor"/>
      </rPr>
      <t>connected 
Kahului</t>
    </r>
  </si>
  <si>
    <r>
      <t>W</t>
    </r>
    <r>
      <rPr>
        <b/>
        <i/>
        <vertAlign val="subscript"/>
        <sz val="10.5"/>
        <rFont val="Calibri"/>
        <family val="2"/>
        <scheme val="minor"/>
      </rPr>
      <t>connected 
Hilo</t>
    </r>
  </si>
  <si>
    <t>Solar Light Tube 21''</t>
  </si>
  <si>
    <t>Solar Light Tube 14''</t>
  </si>
  <si>
    <t>Solar Light Tube 10''</t>
  </si>
  <si>
    <t>Table 1b: Connected Wattage of the light fixture that the solar tube light replaces, for PY22 and later</t>
  </si>
  <si>
    <r>
      <t>CF</t>
    </r>
    <r>
      <rPr>
        <b/>
        <vertAlign val="superscript"/>
        <sz val="11"/>
        <color rgb="FF000000"/>
        <rFont val="Calibri"/>
        <family val="2"/>
      </rPr>
      <t>1</t>
    </r>
  </si>
  <si>
    <r>
      <t>HOU</t>
    </r>
    <r>
      <rPr>
        <b/>
        <vertAlign val="superscript"/>
        <sz val="11"/>
        <color rgb="FF000000"/>
        <rFont val="Calibri"/>
        <family val="2"/>
      </rPr>
      <t>2</t>
    </r>
  </si>
  <si>
    <r>
      <t>EUL</t>
    </r>
    <r>
      <rPr>
        <b/>
        <vertAlign val="subscript"/>
        <sz val="11"/>
        <color rgb="FF000000"/>
        <rFont val="Calibri"/>
        <family val="2"/>
      </rPr>
      <t>tube</t>
    </r>
  </si>
  <si>
    <r>
      <rPr>
        <vertAlign val="superscript"/>
        <sz val="9"/>
        <rFont val="Calibri"/>
        <family val="2"/>
      </rPr>
      <t>1</t>
    </r>
    <r>
      <rPr>
        <sz val="9"/>
        <rFont val="Calibri"/>
        <family val="2"/>
      </rPr>
      <t xml:space="preserve"> The solar light tube measure can only effectively replace lighting during limited daylight hours. Peak demand period is 5-9pm. Therefore, CF=0. </t>
    </r>
    <r>
      <rPr>
        <vertAlign val="superscript"/>
        <sz val="9"/>
        <rFont val="Calibri"/>
        <family val="2"/>
      </rPr>
      <t xml:space="preserve">
2</t>
    </r>
    <r>
      <rPr>
        <sz val="9"/>
        <rFont val="Calibri"/>
        <family val="2"/>
      </rPr>
      <t xml:space="preserve"> Non-Military HOU based on engineering judgement considering numerous factors including: typical home occupancy patterns; solar light tubes typically installed in interior and darker (often window-less) spaces like hallways, bathrooms, laundry rooms; and solar light tubes only provide savings during daylighting hours. Per the approach in previous versions of the Hawai‘i TRM, the Non-Military HOU has been multiplied by a factor of 1.5 to obtain the Military HOU .</t>
    </r>
  </si>
  <si>
    <t>Table 3.  Residential Households by County, 2018</t>
  </si>
  <si>
    <t>Households</t>
  </si>
  <si>
    <t>Source: Hawaii 2020 MPS_Appendix A_Final Annual Results.xlsx, "Summary" sheet, "Residential Control Totals by Island, 2018," Cells C26:D35. Revised to remove Kauai homes and to merge the islands of Maui, Molokai, and Lanai into Maui County.</t>
  </si>
  <si>
    <r>
      <t xml:space="preserve">SAVINGS </t>
    </r>
    <r>
      <rPr>
        <b/>
        <i/>
        <sz val="11"/>
        <rFont val="Calibri"/>
        <family val="2"/>
        <scheme val="minor"/>
      </rPr>
      <t>(APPLICABLE FOR PY21)</t>
    </r>
  </si>
  <si>
    <r>
      <t xml:space="preserve">Deemed Savings for </t>
    </r>
    <r>
      <rPr>
        <b/>
        <i/>
        <u/>
        <sz val="11"/>
        <rFont val="Calibri"/>
        <family val="2"/>
        <scheme val="minor"/>
      </rPr>
      <t>All Single-Family Homes across all Islands</t>
    </r>
    <r>
      <rPr>
        <b/>
        <i/>
        <sz val="11"/>
        <rFont val="Calibri"/>
        <family val="2"/>
        <scheme val="minor"/>
      </rPr>
      <t xml:space="preserve"> (based on tube diameter size)</t>
    </r>
  </si>
  <si>
    <t>Note: We have assumed all military homes are on Oahu.</t>
  </si>
  <si>
    <t>Deemed Savings (based on tube diameter size, geographic location of home, and type of home (i.e., non-military or military)</t>
  </si>
  <si>
    <t xml:space="preserve">Non-Military - Honolulu, HI </t>
  </si>
  <si>
    <t xml:space="preserve">Military - Honolulu, HI </t>
  </si>
  <si>
    <t>Non-Military - Kahului, HI</t>
  </si>
  <si>
    <t>Military - Kahului, HI</t>
  </si>
  <si>
    <t>Non-Military - Hilo, HI</t>
  </si>
  <si>
    <t>Military - Hilo, HI</t>
  </si>
  <si>
    <t>Non-Military -Kahului, HI</t>
  </si>
  <si>
    <t>Solatube, Solatube Lumen Output Table, Lumen Output Use Version 4.1 -7/05</t>
  </si>
  <si>
    <t>Hawaii Energy - Technical Reference Manual (TRM) PY 2021 V1.0 Measure Savings Calculations, Residential: LED.</t>
  </si>
  <si>
    <t>State of Hawaii Market Potential Study, Prepared for Hawaii Public Utilities Commission, Prepared by Applied Energy Group, 2020. Appendix A: Final Annual Results, filename: "Hawaii 2020 MPS_Appendix A_Final Annual Results.xlsx."</t>
  </si>
  <si>
    <t>National Oceanic and Atmospheric Administration, National Centers for Environmental Information, Comparative Climatic Data, Data Table: Sunshine - Average Percent of Possible (Cities Listed by Ranking Most to Least).</t>
  </si>
  <si>
    <t xml:space="preserve">Illinois Statewide Technical Reference Manual v9.0 Vol. 2_September 25, 2020_FINAL. Section 4.5.11 Solar Light Tubes (p. 545-547). </t>
  </si>
  <si>
    <t>Hawaii Energy - Technical Reference Manual (TRM) No. 2011 Measure Savings Calculations,  Residential Daylighting measure, p. 40-41.</t>
  </si>
  <si>
    <t>AEG's 2021 Analysis File titled "PY21 TRM_R_Light_Solar Tube Analysis File."</t>
  </si>
  <si>
    <t xml:space="preserve">ENERGY STAR V8.0 televisions. This measure is for a midstream incentive to retailers to stock, promote, and sell televisions that meet or exceed ENERGY STAR V8.0. </t>
  </si>
  <si>
    <t>ENERGY STAR V8.0 certified.</t>
  </si>
  <si>
    <t>One Television.</t>
  </si>
  <si>
    <t>Non-ENERGY STAR V8.0 certified television.</t>
  </si>
  <si>
    <t>ENERGY STAR V8.0 certified television</t>
  </si>
  <si>
    <t>4K Wattage Calculation</t>
  </si>
  <si>
    <t>On_Mode_ Watts_base</t>
  </si>
  <si>
    <t>On_Mode_ Watts_ee</t>
  </si>
  <si>
    <t>Energy efficient Watts (active)</t>
  </si>
  <si>
    <r>
      <t xml:space="preserve">ENERGY STAR V8.0 Program Requirements. </t>
    </r>
    <r>
      <rPr>
        <vertAlign val="superscript"/>
        <sz val="10.5"/>
        <color theme="1"/>
        <rFont val="Calibri"/>
        <family val="2"/>
        <scheme val="minor"/>
      </rPr>
      <t>2</t>
    </r>
  </si>
  <si>
    <t>Standby_ Mode_Watts_base</t>
  </si>
  <si>
    <t>Baseline Watts (standby)</t>
  </si>
  <si>
    <t>Standby_ Mode_Watts_ee</t>
  </si>
  <si>
    <t>Energy efficient Watts (standby)</t>
  </si>
  <si>
    <t>4K Wattage</t>
  </si>
  <si>
    <t>Wattage Multiplier for 4K TVs</t>
  </si>
  <si>
    <r>
      <t xml:space="preserve">ENERGY STAR V8.0 Program Requirements. </t>
    </r>
    <r>
      <rPr>
        <vertAlign val="superscript"/>
        <sz val="10.5"/>
        <color theme="1"/>
        <rFont val="Calibri"/>
        <family val="2"/>
        <scheme val="minor"/>
      </rPr>
      <t>2</t>
    </r>
    <r>
      <rPr>
        <sz val="10.5"/>
        <color theme="1"/>
        <rFont val="Calibri"/>
        <family val="2"/>
        <scheme val="minor"/>
      </rPr>
      <t xml:space="preserve"> ENERGY STAR requirements give a 50% wattage allowance for high resolution TVs.</t>
    </r>
  </si>
  <si>
    <t>Based on usage during Hawaii's peak period.</t>
  </si>
  <si>
    <r>
      <t xml:space="preserve">Average hours drawn from ENERGY STAR “Consumer Electronics Calculator”. </t>
    </r>
    <r>
      <rPr>
        <vertAlign val="superscript"/>
        <sz val="10.5"/>
        <color theme="1"/>
        <rFont val="Calibri"/>
        <family val="2"/>
        <scheme val="minor"/>
      </rPr>
      <t>1</t>
    </r>
  </si>
  <si>
    <t>HRS_Standby</t>
  </si>
  <si>
    <t>Average hours of use per day in Standby Mode</t>
  </si>
  <si>
    <t>Average of several TRMs and secondary sources.</t>
  </si>
  <si>
    <t>1. "Consumer_Electronics_Calculator Dec 2015_26-Jan-21 18-15-29.xlsx"
2. https://www.energystar.gov/sites/default/files/ Final%20V8.0%20TVs%20Program%20Requirements_0.pdf</t>
  </si>
  <si>
    <t>Standby Wattages (Non 4K)</t>
  </si>
  <si>
    <t>ENERGY STAR v8.0</t>
  </si>
  <si>
    <t>20" and under</t>
  </si>
  <si>
    <t>21" - 23"</t>
  </si>
  <si>
    <t>24" - 29"</t>
  </si>
  <si>
    <t>30" - 34"</t>
  </si>
  <si>
    <t>35" - 39"</t>
  </si>
  <si>
    <t>40" - 44"</t>
  </si>
  <si>
    <t>45" - 49"</t>
  </si>
  <si>
    <t>50" - 54"</t>
  </si>
  <si>
    <t>55" - 59"</t>
  </si>
  <si>
    <t>60" - 64"</t>
  </si>
  <si>
    <t>65" or greater</t>
  </si>
  <si>
    <t>Baseline standby and ENERGY STAR standby wattages for Non 4K TV are from the ENERGY STAR Calculator ("Consumer_Electronics_Calculator Dec 2015_26-Jan-21 18-15-29.xlsx").  4K wattage values are calculated by multiplying these wattages by 1.5 as documented in equation 3.</t>
  </si>
  <si>
    <t>On Mode Wattages (Non 4K)</t>
  </si>
  <si>
    <t>For the non 4K ENERGY STAR On Mode wattage, AEG first determined screen area with this equation and an assumed aspect ratio of 16:9. Screen Area=(((diagonal length^2)/(16^2+9^2))*(16*9)). Then, AEG determined on mode wattage with this equation: On Mode Power (W) =78.5*TANH(0.0005*(Screen Area-140)+0.038)+14. This equation is from the ENERGY STAR Program requirements V8. &lt;https://www.energystar.gov/sites/default/files/Final%20V8.0%20TVs%20Program%20Requirements_0.pdf&gt;. Equation 3 was utilized to calculate 4K wattages.</t>
  </si>
  <si>
    <t>Table 3</t>
  </si>
  <si>
    <t>ENERGY STAR non-4K</t>
  </si>
  <si>
    <t>ENERGY STAR 4K</t>
  </si>
  <si>
    <t>Table 4</t>
  </si>
  <si>
    <t>Annual kW Savings</t>
  </si>
  <si>
    <t xml:space="preserve">Table 5. Data from 2019 Hawaii Statewide Baseline Energy Use Study </t>
  </si>
  <si>
    <t>Market Share</t>
  </si>
  <si>
    <t>49" and under</t>
  </si>
  <si>
    <t>50" or greater</t>
  </si>
  <si>
    <t>Source: 2019 Hawaii Statewide Baseline Energy Use Study, Prepared for Hawaii Public Utilities Commission, Prepared by Applied Energy Group, 2020, Volume 2: Appendices: Questionnaires, Ancillary Research Materials and Crosstabs, page 314.</t>
  </si>
  <si>
    <t>Table 6. Data Adapted from 2015 EIA Residential Energy Consumption Survey</t>
  </si>
  <si>
    <t>29'' and under</t>
  </si>
  <si>
    <t>29" - 39"</t>
  </si>
  <si>
    <t>40" - 49"</t>
  </si>
  <si>
    <t>50" - 59"</t>
  </si>
  <si>
    <t>60" or greater</t>
  </si>
  <si>
    <t>Note: AEG mapped the EIA data to different size bins for the Hawaii analysis. See "PY21 R_Electronics_Television Analysis File" for details on the mapping.</t>
  </si>
  <si>
    <t xml:space="preserve">Source: U.S. Energy Information Administration, Office of Energy Consumption and Efficiency Statistics, Forms EIA-457A and EIA-457C of the 2015 Residential Energy Consumption Survey, May 2018, Table HC4.6 Electronics in homes by climate region (Hot-Humid),  Retrieved February 22, 2021, &lt;https://www.eia.gov/consumption/residential/data/2015/hc/hc4.6.xlsx&gt;. </t>
  </si>
  <si>
    <t xml:space="preserve">Table 7. Estimated Shares for Hawaii </t>
  </si>
  <si>
    <t xml:space="preserve">Note: Table 7 values approximate the sizes of TVs currently installed in peoples' homes, but do not necessarily reflect current purchasing trends. In general, TV sizes are trending upwards so the deemed savings values presented below are likely to be conservative. </t>
  </si>
  <si>
    <t>Source: AEG utilized Hawaii Baseline Data and secondary EIA data to fill in the gaps. AEG assumed market share was evenly split when data was not available.</t>
  </si>
  <si>
    <t>Deemed Savings (based on weighted average of TVs by size)</t>
  </si>
  <si>
    <t>Non-4K Television</t>
  </si>
  <si>
    <t>4K Television</t>
  </si>
  <si>
    <t>Semi-Prescriptive Savings Calculator (based on equivalent TV wattage)</t>
  </si>
  <si>
    <t>Enter Type</t>
  </si>
  <si>
    <t>Enter Size</t>
  </si>
  <si>
    <t>AEG's 2021 Analysis File titled "PY21 R_Electronics_Television Analysis File."</t>
  </si>
  <si>
    <t>2019 Hawaii Statewide Baseline Energy Use Study, Prepared for Hawaii Public Utilities Commission, Prepared by Applied Energy Group, 2020, Volume 2: Appendices: Questionnaires, Ancillary Research Materials and Crosstabs.</t>
  </si>
  <si>
    <t xml:space="preserve">U.S. Energy Information Administration, Office of Energy Consumption and Efficiency Statistics, Forms EIA-457A and EIA-457C of the 2015 Residential Energy Consumption Survey, May 2018, Table HC4.6 Electronics in homes by climate region (Hot-Humid),  Retrieved February 22, 2021, &lt;https://www.eia.gov/consumption/residential/data/2015/hc/hc4.6.xlsx&gt;. </t>
  </si>
  <si>
    <t>ENERGY STAR. (2019, March 1). V8 Program Requirements for Televisions. Retrieved February 22, 2021, from &lt;https://www.energystar.gov/sites/default/files/Final%20V8.0%20TVs%20Program%20Requirements_0.pdf&gt;.</t>
  </si>
  <si>
    <t>Consumer_Electronics_Calculator Dec 2015_26-Jan-21 18-15-29.xlsx.</t>
  </si>
  <si>
    <t>NEEP  (2020, March). MARYLAND/MID-ATLANTIC TECHNICAL REFERENCE MANUAL VERSION 10. Retrieved from &lt;https://neep.org/sites/default/files/resources/Maryland-MidAtlantic%20TRMv10.pdf&gt;.</t>
  </si>
  <si>
    <t>ERS. (2017). CMUA SAVINGS ESTIMATION TECHNICAL REFERENCE MANUAL. Retrieved from &lt;https://www.cmua.org/files/CMUA-POU-TRM_2017_FINAL_12-5-2017%20-%20Copy.pdf&gt;.</t>
  </si>
  <si>
    <t>Massachusetts Technical Reference Manual. (n.d.). Retrieved from &lt;https://fileservice.eea.comacloud.net/FileService.Api/file/FileRoom/9234826. 2013.&gt;.</t>
  </si>
  <si>
    <t>Update of cover page for PY21 TRM</t>
  </si>
  <si>
    <t>Update of TOC to include new and modified content for PY21 TRM</t>
  </si>
  <si>
    <t>Changes from PY20</t>
  </si>
  <si>
    <t>List of changes made for PY21 TRM</t>
  </si>
  <si>
    <t>Review/update of text for PY21 TRM</t>
  </si>
  <si>
    <t>Update of Signature sheet for PY21 TRM</t>
  </si>
  <si>
    <t>Addition of GHG Calculator</t>
  </si>
  <si>
    <t>Update of Codes &amp; Standards tracking sheet to include R407 of Hawaii State Energy Code for Cool Wall measure</t>
  </si>
  <si>
    <t>Revised in PY21 TRM v1.0</t>
  </si>
  <si>
    <t>Update of Issues Log for PY21 TRM</t>
  </si>
  <si>
    <t>•	The capacity is now defined as “Rated cooling capacity” or “Rated capacity” in the measure entries to clarify that the intention is to calculate savings with the capacity determined at AHRI Standard Rating Conditions.
•	The HVAC worksheets now specify “Enter Rated AC or HP Capacity (Btu/h)” or “Enter rated chiller tonnage.”</t>
  </si>
  <si>
    <t>RESIDENTIAL: Window AC, Ductless Split Systems, and Central AC Retrofit
COMMERCIAL: Chiller, AC &amp; Heat Pump, Window AC, and VRF</t>
  </si>
  <si>
    <t>R_HVAC_Window AC, R_HVAC_Ductless, R_HVAC_Central AC Retrofit, R_HVAC_AC_WKST, C_HVAC_Chiller, C_HVAC_Chiller_WKST, C_HVAC_AC &amp; Heat Pump, C_HVAC_AC_HP_WKST, C_HVAC_Window AC, C_HVAC_WindowAC_WKST, C_HVAC_VRF, C_HVAC_VRF_WKST</t>
  </si>
  <si>
    <t>Commercial Kitchen Dishwasher</t>
  </si>
  <si>
    <t>Clarification of description</t>
  </si>
  <si>
    <t>RESIDENTIAL: Advanced Power Strip</t>
  </si>
  <si>
    <t>Addition of new measure</t>
  </si>
  <si>
    <t>C_BEnvelope_Window Film</t>
  </si>
  <si>
    <t>R_Electronics_Television</t>
  </si>
  <si>
    <t>R_Light_Solar Tube</t>
  </si>
  <si>
    <t>Update of EULs for new/revised PY21 measures</t>
  </si>
  <si>
    <t>Revise headers, footers, and page set-up for printing to PDF</t>
  </si>
  <si>
    <t>See file named "Instructions for Printing the Hawaii TRM to a PDF"</t>
  </si>
  <si>
    <t>Tier 1: Entertain-ment Center</t>
  </si>
  <si>
    <t>Tier 2: Entertain-ment Center</t>
  </si>
  <si>
    <t>Entertain-ment Center</t>
  </si>
  <si>
    <t xml:space="preserve"> Regional Technical Forum. (2019, January 24). Residential Advanced Power Strips Version 3.1. Retrieved from https://rtf.nwcouncil.org/measure/residential-advanced-power-strips.</t>
  </si>
  <si>
    <t>Adapted from Regional Technical Forum. (2019, January 24). Residential Advanced Power Strips Version 3.1. Retrieved from &lt;https://rtf.nwcouncil.org/measure/residential-advanced-power-strips&gt;.</t>
  </si>
  <si>
    <t>Updated in Winter 2021-2022 for PY22 TRM.</t>
  </si>
  <si>
    <t>Hawai‘i Energy program data and annual verification results.</t>
  </si>
  <si>
    <t>Update of cover page for PY22 TRM</t>
  </si>
  <si>
    <t>Review/update of text to reflect updated dates</t>
  </si>
  <si>
    <t>Changes from PY21</t>
  </si>
  <si>
    <t>List of changes made for PY22 TRM</t>
  </si>
  <si>
    <t>C_Light_Downlight Retrofit</t>
  </si>
  <si>
    <t>Solar light tube, 10", 14", and 21"</t>
  </si>
  <si>
    <t>Mix of 25% CFL and 75% LED lamps</t>
  </si>
  <si>
    <t>See Table 6.8.1-3, ASHRAE 90.1 2016</t>
  </si>
  <si>
    <t>75 lm/W</t>
  </si>
  <si>
    <t>C_WH_Heat Pump</t>
  </si>
  <si>
    <t>Hawaii Adoption of ENERGY STAR V1.2</t>
  </si>
  <si>
    <t>ENERGY STAR V1.2; https://appliance-standards.org/product/air-purifiers</t>
  </si>
  <si>
    <t>Not a Hawai'i Energy Measure</t>
  </si>
  <si>
    <t>Hawaii HB 556, Act 141 6/26/2019</t>
  </si>
  <si>
    <t>Computer Monitor</t>
  </si>
  <si>
    <t>High Color Rendering Index Fluorescent Lamps</t>
  </si>
  <si>
    <t>Spray Sprinkler Bodies</t>
  </si>
  <si>
    <t>Portable Electric Spa</t>
  </si>
  <si>
    <t>Hawaii Adoption of ANSI/ASAP/ICC 14-2019</t>
  </si>
  <si>
    <t>Electric Vehicle Supply Equipment</t>
  </si>
  <si>
    <t>Hawaii Adoption of ENERGY STAR V1.0</t>
  </si>
  <si>
    <t>ENERGY STAR V1.0; https://appliance-standards.org/product/electric-vehicle-supply-equipment</t>
  </si>
  <si>
    <t>Residential Ventilating Fan</t>
  </si>
  <si>
    <t>Hawaii Adoption of ENERGY STAR V3.2</t>
  </si>
  <si>
    <t>Portable Air Conditioner</t>
  </si>
  <si>
    <t>Single-duct and dual-duct portable air conditioners</t>
  </si>
  <si>
    <t>Jan. 10, 2025</t>
  </si>
  <si>
    <t>10 CFR 430.32 (cc)</t>
  </si>
  <si>
    <t xml:space="preserve">Related to R_WH_Heat Pump </t>
  </si>
  <si>
    <t>Demand responsive water heating</t>
  </si>
  <si>
    <t>See 10 CFR 430.32 (d)</t>
  </si>
  <si>
    <t>R403 Requires grid-integrated controls on residential style electric storage water heaters (37-120 gallons).</t>
  </si>
  <si>
    <t>Draft Amendments for the Development of the 2024 IECC, https://www.codesforclimate.org/wp-content/uploads/2021/09/Electrification-Options-for-City-Review.pdf</t>
  </si>
  <si>
    <t>Related to R_HVAC_Smart Thermostat and other R_HVAC Measures</t>
  </si>
  <si>
    <t>Demand responsive thermostats</t>
  </si>
  <si>
    <t xml:space="preserve">See 10 CFR 430.32 (c) </t>
  </si>
  <si>
    <t>R403 Requires grid-integrated controls on space heating and cooling systems that adjust temperature within 4-degrees.</t>
  </si>
  <si>
    <t>Solar readiness</t>
  </si>
  <si>
    <t>R404 Requires single- and two-family solar readiness. Requires multifamily to comply with a sister provision under commercial section of energy code.</t>
  </si>
  <si>
    <t xml:space="preserve">Electric vehicles </t>
  </si>
  <si>
    <t>R404 Requires single- and two-family EV charging. Requires multifamily to comply with a sister provision under commercial section of energy code.</t>
  </si>
  <si>
    <t>Energy storage readiness</t>
  </si>
  <si>
    <t>R404 Requires single- and two-family energy storage readiness.</t>
  </si>
  <si>
    <t>Related to C_HVAC Measures</t>
  </si>
  <si>
    <t xml:space="preserve">See ASHRAE 90.1 2016, 10 CFR 431.97 (b) 
and 10 CFR 430.32 (c) </t>
  </si>
  <si>
    <t>C403 Requires grid-integrated controls on space heating and cooling systems that adjust temperature within 4-degrees</t>
  </si>
  <si>
    <t xml:space="preserve">Related to C_WH_Heat Pump </t>
  </si>
  <si>
    <t>See 10 CFR 431.110 and 10 CFR 430.32 (d)</t>
  </si>
  <si>
    <t>C404 Requires grid-integrated controls on residential style electric storage water heaters (37-120 gallons).</t>
  </si>
  <si>
    <t xml:space="preserve">C405 Requires EV charging for all commercial building types. </t>
  </si>
  <si>
    <t>C405 Requires commercial and multifamily energy storage readiness.</t>
  </si>
  <si>
    <t>Solar and storage inverters</t>
  </si>
  <si>
    <t>C405 Requires solar and energy storage systems be equipped with smart inverters for grid-integrated controls.</t>
  </si>
  <si>
    <t>Next C&amp;S Baseline</t>
  </si>
  <si>
    <r>
      <t xml:space="preserve">4-ft medium bipin, </t>
    </r>
    <r>
      <rPr>
        <sz val="11"/>
        <rFont val="Calibri"/>
        <family val="2"/>
      </rPr>
      <t>≤ 4,500K</t>
    </r>
  </si>
  <si>
    <r>
      <t xml:space="preserve">4-ft medium bipin, &gt; 4,500K and </t>
    </r>
    <r>
      <rPr>
        <sz val="11"/>
        <rFont val="Calibri"/>
        <family val="2"/>
      </rPr>
      <t>≤ 7,000K</t>
    </r>
  </si>
  <si>
    <r>
      <t>74.0−29.42 × 0.9983</t>
    </r>
    <r>
      <rPr>
        <vertAlign val="superscript"/>
        <sz val="11"/>
        <rFont val="Calibri"/>
        <family val="2"/>
        <scheme val="minor"/>
      </rPr>
      <t>lumens</t>
    </r>
    <r>
      <rPr>
        <sz val="11"/>
        <rFont val="Calibri"/>
        <family val="2"/>
        <scheme val="minor"/>
      </rPr>
      <t xml:space="preserve"> lm/W  (as of Jan. 21, 2020)</t>
    </r>
  </si>
  <si>
    <r>
      <t>UEF = 0.8808 − (0.0008 * V</t>
    </r>
    <r>
      <rPr>
        <vertAlign val="subscript"/>
        <sz val="11"/>
        <rFont val="Calibri"/>
        <family val="2"/>
        <scheme val="minor"/>
      </rPr>
      <t>r</t>
    </r>
    <r>
      <rPr>
        <sz val="11"/>
        <rFont val="Calibri"/>
        <family val="2"/>
        <scheme val="minor"/>
      </rPr>
      <t>)</t>
    </r>
  </si>
  <si>
    <r>
      <t>UEF = 0.9254 − (0.0003 * V</t>
    </r>
    <r>
      <rPr>
        <vertAlign val="subscript"/>
        <sz val="11"/>
        <rFont val="Calibri"/>
        <family val="2"/>
        <scheme val="minor"/>
      </rPr>
      <t>r</t>
    </r>
    <r>
      <rPr>
        <sz val="11"/>
        <rFont val="Calibri"/>
        <family val="2"/>
        <scheme val="minor"/>
      </rPr>
      <t>)</t>
    </r>
  </si>
  <si>
    <r>
      <t>UEF = 0.9307 − (0.0002 * V</t>
    </r>
    <r>
      <rPr>
        <vertAlign val="subscript"/>
        <sz val="11"/>
        <rFont val="Calibri"/>
        <family val="2"/>
        <scheme val="minor"/>
      </rPr>
      <t>r</t>
    </r>
    <r>
      <rPr>
        <sz val="11"/>
        <rFont val="Calibri"/>
        <family val="2"/>
        <scheme val="minor"/>
      </rPr>
      <t>)</t>
    </r>
  </si>
  <si>
    <r>
      <t>UEF = 0.9349 − (0.0001 * V</t>
    </r>
    <r>
      <rPr>
        <vertAlign val="subscript"/>
        <sz val="11"/>
        <rFont val="Calibri"/>
        <family val="2"/>
        <scheme val="minor"/>
      </rPr>
      <t>r</t>
    </r>
    <r>
      <rPr>
        <sz val="11"/>
        <rFont val="Calibri"/>
        <family val="2"/>
        <scheme val="minor"/>
      </rPr>
      <t>)</t>
    </r>
  </si>
  <si>
    <r>
      <t>UEF = 1.9236 − (0.0011 * V</t>
    </r>
    <r>
      <rPr>
        <vertAlign val="subscript"/>
        <sz val="11"/>
        <rFont val="Calibri"/>
        <family val="2"/>
        <scheme val="minor"/>
      </rPr>
      <t>r</t>
    </r>
    <r>
      <rPr>
        <sz val="11"/>
        <rFont val="Calibri"/>
        <family val="2"/>
        <scheme val="minor"/>
      </rPr>
      <t>)</t>
    </r>
  </si>
  <si>
    <r>
      <t>UEF = 2.0440 − (0.0011 * V</t>
    </r>
    <r>
      <rPr>
        <vertAlign val="subscript"/>
        <sz val="11"/>
        <rFont val="Calibri"/>
        <family val="2"/>
        <scheme val="minor"/>
      </rPr>
      <t>r</t>
    </r>
    <r>
      <rPr>
        <sz val="11"/>
        <rFont val="Calibri"/>
        <family val="2"/>
        <scheme val="minor"/>
      </rPr>
      <t>)</t>
    </r>
  </si>
  <si>
    <r>
      <t>UEF = 2.1171 − (0.0011 * V</t>
    </r>
    <r>
      <rPr>
        <vertAlign val="subscript"/>
        <sz val="11"/>
        <rFont val="Calibri"/>
        <family val="2"/>
        <scheme val="minor"/>
      </rPr>
      <t>r</t>
    </r>
    <r>
      <rPr>
        <sz val="11"/>
        <rFont val="Calibri"/>
        <family val="2"/>
        <scheme val="minor"/>
      </rPr>
      <t>)</t>
    </r>
  </si>
  <si>
    <r>
      <t>UEF = 2.2418 − (0.0011 * V</t>
    </r>
    <r>
      <rPr>
        <vertAlign val="subscript"/>
        <sz val="11"/>
        <rFont val="Calibri"/>
        <family val="2"/>
        <scheme val="minor"/>
      </rPr>
      <t>r</t>
    </r>
    <r>
      <rPr>
        <sz val="11"/>
        <rFont val="Calibri"/>
        <family val="2"/>
        <scheme val="minor"/>
      </rPr>
      <t>)</t>
    </r>
  </si>
  <si>
    <r>
      <t>EF = 0.960 − (0.0003 * V</t>
    </r>
    <r>
      <rPr>
        <vertAlign val="subscript"/>
        <sz val="11"/>
        <rFont val="Calibri"/>
        <family val="2"/>
        <scheme val="minor"/>
      </rPr>
      <t>r</t>
    </r>
    <r>
      <rPr>
        <sz val="11"/>
        <rFont val="Calibri"/>
        <family val="2"/>
        <scheme val="minor"/>
      </rPr>
      <t>)</t>
    </r>
  </si>
  <si>
    <r>
      <t>EF = 2.057 − (0.00113 * V</t>
    </r>
    <r>
      <rPr>
        <vertAlign val="subscript"/>
        <sz val="11"/>
        <rFont val="Calibri"/>
        <family val="2"/>
        <scheme val="minor"/>
      </rPr>
      <t>r</t>
    </r>
    <r>
      <rPr>
        <sz val="11"/>
        <rFont val="Calibri"/>
        <family val="2"/>
        <scheme val="minor"/>
      </rPr>
      <t>)</t>
    </r>
  </si>
  <si>
    <r>
      <t>Max standby loss = 0.30 + 27/V</t>
    </r>
    <r>
      <rPr>
        <vertAlign val="subscript"/>
        <sz val="11"/>
        <rFont val="Calibri"/>
        <family val="2"/>
        <scheme val="minor"/>
      </rPr>
      <t>m</t>
    </r>
    <r>
      <rPr>
        <sz val="11"/>
        <rFont val="Calibri"/>
        <family val="2"/>
        <scheme val="minor"/>
      </rPr>
      <t xml:space="preserve"> (%/hr)</t>
    </r>
  </si>
  <si>
    <r>
      <t>Top-loading, Compact, &lt; 1.6 ft</t>
    </r>
    <r>
      <rPr>
        <vertAlign val="superscript"/>
        <sz val="11"/>
        <rFont val="Calibri"/>
        <family val="2"/>
      </rPr>
      <t>3</t>
    </r>
    <r>
      <rPr>
        <sz val="11"/>
        <rFont val="Calibri"/>
        <family val="2"/>
      </rPr>
      <t> capacity</t>
    </r>
  </si>
  <si>
    <r>
      <t>Top-loading, Standard, ≥ 1.6 ft</t>
    </r>
    <r>
      <rPr>
        <vertAlign val="superscript"/>
        <sz val="11"/>
        <rFont val="Calibri"/>
        <family val="2"/>
      </rPr>
      <t>3</t>
    </r>
    <r>
      <rPr>
        <sz val="11"/>
        <rFont val="Calibri"/>
        <family val="2"/>
      </rPr>
      <t xml:space="preserve"> capacity</t>
    </r>
  </si>
  <si>
    <r>
      <t>Front-loading, Compact, &lt; 1.6 ft</t>
    </r>
    <r>
      <rPr>
        <vertAlign val="superscript"/>
        <sz val="11"/>
        <rFont val="Calibri"/>
        <family val="2"/>
      </rPr>
      <t>3</t>
    </r>
    <r>
      <rPr>
        <sz val="11"/>
        <rFont val="Calibri"/>
        <family val="2"/>
      </rPr>
      <t> capacity</t>
    </r>
  </si>
  <si>
    <r>
      <t>Front-loading, Standard, ≥ 1.6 ft</t>
    </r>
    <r>
      <rPr>
        <vertAlign val="superscript"/>
        <sz val="11"/>
        <rFont val="Calibri"/>
        <family val="2"/>
      </rPr>
      <t>3</t>
    </r>
    <r>
      <rPr>
        <sz val="11"/>
        <rFont val="Calibri"/>
        <family val="2"/>
      </rPr>
      <t> capacity</t>
    </r>
  </si>
  <si>
    <r>
      <t>Vented Electric, Standard, ≥ 4.4 ft</t>
    </r>
    <r>
      <rPr>
        <vertAlign val="superscript"/>
        <sz val="11"/>
        <rFont val="Calibri"/>
        <family val="2"/>
      </rPr>
      <t>3</t>
    </r>
    <r>
      <rPr>
        <sz val="11"/>
        <rFont val="Calibri"/>
        <family val="2"/>
      </rPr>
      <t> capacity</t>
    </r>
  </si>
  <si>
    <r>
      <t>Vented Electric, Compact (120V), &lt; 4.4 ft</t>
    </r>
    <r>
      <rPr>
        <vertAlign val="superscript"/>
        <sz val="11"/>
        <rFont val="Calibri"/>
        <family val="2"/>
      </rPr>
      <t>3</t>
    </r>
    <r>
      <rPr>
        <sz val="11"/>
        <rFont val="Calibri"/>
        <family val="2"/>
      </rPr>
      <t> capacity</t>
    </r>
  </si>
  <si>
    <r>
      <t>Vented Electric, Compact (240V), &lt; 4.4 ft</t>
    </r>
    <r>
      <rPr>
        <vertAlign val="superscript"/>
        <sz val="11"/>
        <rFont val="Calibri"/>
        <family val="2"/>
      </rPr>
      <t>3</t>
    </r>
    <r>
      <rPr>
        <sz val="11"/>
        <rFont val="Calibri"/>
        <family val="2"/>
      </rPr>
      <t> capacity</t>
    </r>
  </si>
  <si>
    <r>
      <t>Ventless Electric, Compact (240V), &lt; 4.4 ft</t>
    </r>
    <r>
      <rPr>
        <vertAlign val="superscript"/>
        <sz val="11"/>
        <rFont val="Calibri"/>
        <family val="2"/>
      </rPr>
      <t>3</t>
    </r>
    <r>
      <rPr>
        <sz val="11"/>
        <rFont val="Calibri"/>
        <family val="2"/>
      </rPr>
      <t> capacity</t>
    </r>
  </si>
  <si>
    <r>
      <t>CEER = 1.04 * SACC / (3.7117 * SACC</t>
    </r>
    <r>
      <rPr>
        <vertAlign val="superscript"/>
        <sz val="11"/>
        <rFont val="Calibri"/>
        <family val="2"/>
        <scheme val="minor"/>
      </rPr>
      <t>0.6384</t>
    </r>
    <r>
      <rPr>
        <sz val="11"/>
        <rFont val="Calibri"/>
        <family val="2"/>
        <scheme val="minor"/>
      </rPr>
      <t>)</t>
    </r>
  </si>
  <si>
    <r>
      <t xml:space="preserve">Residential Stretch Codes
</t>
    </r>
    <r>
      <rPr>
        <i/>
        <sz val="11"/>
        <rFont val="Calibri"/>
        <family val="2"/>
        <scheme val="minor"/>
      </rPr>
      <t>(Could apply to retrofits in existing buildings as well as new construction)</t>
    </r>
  </si>
  <si>
    <r>
      <t xml:space="preserve">Commercial Stretch Codes
</t>
    </r>
    <r>
      <rPr>
        <i/>
        <sz val="11"/>
        <rFont val="Calibri"/>
        <family val="2"/>
        <scheme val="minor"/>
      </rPr>
      <t>(Could apply to retrofits in existing buildings as well as new construction)</t>
    </r>
  </si>
  <si>
    <t>Update of avoided costs, update of system loss factors, and addition of the new Commercial LED Downlight Retrofit measure to the list of measures with a dual baseline</t>
  </si>
  <si>
    <t>Update of EULs for new/revised PY22 measures</t>
  </si>
  <si>
    <t>AEG 2022 Analysis</t>
  </si>
  <si>
    <t>Depends on HOU; RUL = 1 year</t>
  </si>
  <si>
    <t>AEG 2022 Analysis; Depends on type</t>
  </si>
  <si>
    <t xml:space="preserve">Updated in Winter 2021-2022 for PY22 TRM. </t>
  </si>
  <si>
    <t>CUSTOM PROJECT GUIDANCE DOCUMENT</t>
  </si>
  <si>
    <t>A Custom Project Guidance Document was created through a collaboration involving Hawai‘i Energy, the EM&amp;V Contractor, the EEM, and the HPUC. It is effective as of July 1, 2022. The purpose of the Custom Project Guidance Document is to define the types of projects applicable for a custom savings estimation path, to describe eligibility requirements and program rules for custom projects, and to provide guidance on custom project documentation and energy savings estimation approaches. The focus is on EM&amp;V-related considerations. This type of guidance is useful to ensure that custom projects are consistently and thoroughly described and analyzed during program implementation, which in turn facilitates an effective assessment of energy and demand savings during the annual EM&amp;V process.</t>
  </si>
  <si>
    <r>
      <t xml:space="preserve">Citation: </t>
    </r>
    <r>
      <rPr>
        <i/>
        <sz val="11"/>
        <color theme="1"/>
        <rFont val="Calibri"/>
        <family val="2"/>
        <scheme val="minor"/>
      </rPr>
      <t>Hawai'i Energy Custom Project Guidance: EM&amp;V-Related Considerations</t>
    </r>
    <r>
      <rPr>
        <sz val="11"/>
        <color theme="1"/>
        <rFont val="Calibri"/>
        <family val="2"/>
        <scheme val="minor"/>
      </rPr>
      <t>, Version 1.0, Effective July 1, 2022.</t>
    </r>
  </si>
  <si>
    <t>Window AC</t>
  </si>
  <si>
    <t>Window AC Worksheet</t>
  </si>
  <si>
    <t>Advanced Power Strip</t>
  </si>
  <si>
    <t>Residential Peer Group Comparison</t>
  </si>
  <si>
    <t>This measure is designated "inactive" as of PY22. Before it can be reinstated for a future program year, a full update of the savings approach will be needed.</t>
  </si>
  <si>
    <t>Key Metrics *</t>
  </si>
  <si>
    <t>Addition of a section about the Custom Project Guidance Document; removal of examples about the custom commercial dishwasher measure and custom commercial heat pump water heater measure since there are now prescriptive options for both measure types</t>
  </si>
  <si>
    <t>Updated in Winter 2021-2022 for PY22 TRM. This measure essentially duplicates the R_Appliance_Refrigerator measure which was updated in Winter 2019-2020 for PY20 TRM.</t>
  </si>
  <si>
    <t xml:space="preserve">This measure pertains to the installation of a new residential-style ENERGY STAR v5.0 certified refrigerator/freezer (as specified below) in a commercial building and/or recycling of the pre-existing refrigerator/freezer in the commercial building. </t>
  </si>
  <si>
    <t>ENERGY STAR v5.0 certified. This measure is only applicable to residential-style refrigerators/freezers in commercial buildings. It is not applicable to commercial refrigerators/freezers. Refer to the C_Kitchen_Refrigerator and C_Kitchen_Freezer measures for commercial refrigerators/freezers.</t>
  </si>
  <si>
    <t>COMMERCIAL: Residential-Style Refrigerator and Freezer</t>
  </si>
  <si>
    <t>Note: ENERGY STAR v5.1 was finalized Aug 5, 2021. The change between v5.0 and v5.1 just expanded the scope to include coolers (e.g., wine coolers and beverage centers). The v5.0 to v5.1 amendment did not affect other currently certified products, like the refrigerators and freezers included in this measure.</t>
  </si>
  <si>
    <t xml:space="preserve">AEG's Analysis Files titled "PY22 C_Appliance_Refrigerator - Analysis File," "AEG HPUC Dual BL and TRB - Analysis File" and "AEG HPUC Update of Residential Measures - Analysis file." </t>
  </si>
  <si>
    <t>ENERGY STAR Version 5.1 Consumer Refrigeration Products Final Cover Memo, August 5, 2021, https://www.energystar.gov/products/spec/residential_refrigerators_and_freezers_specification_version_5_0_pd, accessed January 19, 2022.</t>
  </si>
  <si>
    <t>COMMERCIAL: Demand-Controlled Kitchen Ventilation</t>
  </si>
  <si>
    <t xml:space="preserve">Commercial demand-controlled kitchen ventilation (DCKV) is a demand-based energy management system for a commercial kitchen exhaust hood that minimizes fan energy use by reducing the exhaust and makeup air fan speeds during little or no cooking activity. The DCKV system uses a temperature or an optic sensor (or both sensors) and a microprocessor-based controller in conjunction with variable speed drive on the fan motor to automatically modulate fan speed based on cooking activity. (The temperature sensor detects when a cooking surface is in use and the optic sensor detects the amount of effluent in the air.) This saves energy over a traditional 100% ON/OFF kitchen ventilation system. Savings provided here include both the exhaust fan and makeup air fan energy use, but do not include the coincidental cooling savings from reduced makeup air. </t>
  </si>
  <si>
    <t xml:space="preserve">To qualify for a Hawai‘i Energy Commercial DCKV Rebate, the following conditions must be met:
1. The DCKV measure requires the installation of a temperature sensor in the hood exhaust collar or within the hood, or an optic sensor within the hood that senses cooking effluent conditions, or both types of sensors. The sensor(s) must allow for automatically varying the rate of exhaust and make-up (ventilation) air by adjusting the fan speeds accordingly. 
2. The DCKV system must be used in conjunction with variable speed drives on the exhaust fan and makeup air fan motors. </t>
  </si>
  <si>
    <t>Exhaust fan horsepower</t>
  </si>
  <si>
    <t xml:space="preserve">Commercial kitchen exhaust hood fan with manual ON/OFF switch and magnetic rely or motor starter that operates the exhaust fan at 100% or not at all. </t>
  </si>
  <si>
    <t xml:space="preserve">Commercial kitchen exhaust hood equipped with temperature and/or optic sensor(s) to control exhaust hood ventilation airflow and make-up air volume via variable speed drives on the exhaust fan motor and makeup air fan motor. </t>
  </si>
  <si>
    <t>∆kWh/HP</t>
  </si>
  <si>
    <t>Annual energy savings per controlled motor horsepower</t>
  </si>
  <si>
    <t>California Electronic Technical Reference Manual (eTRM). "Exhaust Hood Demand Controlled Ventilation, Commercial. Measure Characterization." [1]</t>
  </si>
  <si>
    <t>∆kW/HP</t>
  </si>
  <si>
    <t>Peak demand reduction per controlled motor horsepower</t>
  </si>
  <si>
    <t>kW/
hp</t>
  </si>
  <si>
    <t>California Electronic Technical Reference Manual (eTRM). "Exhaust Hood Demand Controlled Ventilation, Commercial. Measure Characterization." [2]</t>
  </si>
  <si>
    <t>Horsepower of exhaust fan</t>
  </si>
  <si>
    <t>Savings include both the exhaust fan and makeup air fan energy use of the average system, normalized to the rated exhaust fan horsepower.</t>
  </si>
  <si>
    <t>PY22 TRM Commercial Kitchen Demand-Controlled Ventilation Analysis File, "EUL Benchmarking" sheet.</t>
  </si>
  <si>
    <t xml:space="preserve">1. The energy savings are based on field meter data from 11 case studies from SCE, PG&amp;E, and ASHRAE.  </t>
  </si>
  <si>
    <t>2. The peak demand reduction was derived from field meter data from 4 of the 11 case studies for the peak period definition of 4-9 pm. Since that peak period definition is similar to Hawaii's definition (5-9 pm), the peak demand reduction was not adjusted further for Hawaii.</t>
  </si>
  <si>
    <t>Horsepower of exhaust fan:</t>
  </si>
  <si>
    <t>Demand-Controlled Kitchen Ventilation (DCKV)</t>
  </si>
  <si>
    <t>AEG's analysis file titled: "PY22 TRM Commercial Kitchen Demand-Controlled Ventilation Analysis File."</t>
  </si>
  <si>
    <t>California Technical Forum. California Electronic Technical Reference Manual (eTRM). "Exhaust Hood Demand Controlled Ventilation, Commercial. Measure Characterization". URL: https://www.caetrm.com/measure/SWFS012/01/. Published December 23, 2021.</t>
  </si>
  <si>
    <t>Idaho Power Company Technical Reference Manual 3.1. July 28th, 2021. URL: https://docs.idahopower.com/pdfs/EnergyEfficiency/Reports/2020TRM.pdf.</t>
  </si>
  <si>
    <t>New York Standard Approach for Estimating Energy Savings from Energy Efficiency Programs, Residential, Multi-Family, and Commercial/Industrial Measures, Version 9. August 30, 2021. URL: https://www3.dps.ny.gov/W/PSCWeb.nsf/96f0fec0b45a3c6485257688006a701a/72c23decff52920a85257f1100671bdd/$FILE/NYS%20TRM%20V9.pdf.</t>
  </si>
  <si>
    <t>State of Minnesota Technical Reference Manual for Energy Conservation Improvement Program Version 3.2 FINAL. January 7, 2021. URL:  https://mn.gov/commerce-stat/pdfs/20210201_trm_cip_vers3.2.pdf.</t>
  </si>
  <si>
    <t>2022 Illinois Statewide Technical Reference Manual for Energy Efficiency Version 10.0, Volume 2: Commercial and Industrial Measures FINAL. September 24, 2021. URL: https://ilsag.s3.amazonaws.com/IL-TRM_Effective_010122_v10.0_Vol_2_C_and_I_09242021.pdf.</t>
  </si>
  <si>
    <r>
      <t>New Jersey Board of Public Utilities, New Jersey's Clean Energy Program</t>
    </r>
    <r>
      <rPr>
        <vertAlign val="superscript"/>
        <sz val="11"/>
        <rFont val="Calibri"/>
        <family val="2"/>
        <scheme val="minor"/>
      </rPr>
      <t>TM</t>
    </r>
    <r>
      <rPr>
        <sz val="11"/>
        <rFont val="Calibri"/>
        <family val="2"/>
        <scheme val="minor"/>
      </rPr>
      <t xml:space="preserve"> Protocols to Measure Resource Savings, FY2021 Addendum. December 2, 2020. URL: https://www.njcleanenergy.com/files/file/Library/FY21/FY21%20Savings%20Protocols.pdf. </t>
    </r>
  </si>
  <si>
    <t xml:space="preserve">This measure relates to the installation of a new self-contained, reach-in commercial freezer with a door meeting ENERGY STAR efficiency standards. ENERGY STAR labeled commercial freezers are more energy efficient because they are designed with components such as ECM evaporator and condenser fan motors, hot gas anti-sweat heaters, or high-efficiency compressors, which will significantly reduce energy consumption. Commercial freezers are typically larger, more versatile, and robust than residential freezers. This measure is applicable to commercial freezers, only. It is not applicable to residential freezers operating in commercial buildings. </t>
  </si>
  <si>
    <t>Baseline equipment daily energy usage</t>
  </si>
  <si>
    <t>Code of Federal Regulations at 10 CFR 431.66</t>
  </si>
  <si>
    <t>High efficiency equipment daily energy usage</t>
  </si>
  <si>
    <t>Table 1. Summary of Savings Calculations</t>
  </si>
  <si>
    <t xml:space="preserve">Vertical Closed </t>
  </si>
  <si>
    <t xml:space="preserve">  Solid Door </t>
  </si>
  <si>
    <t>0 &lt; V &lt; 15</t>
  </si>
  <si>
    <t>15 ≤ V &lt; 30</t>
  </si>
  <si>
    <t>30 ≤ V &lt; 50</t>
  </si>
  <si>
    <t xml:space="preserve">50 ≤ V         </t>
  </si>
  <si>
    <t xml:space="preserve">  Glass Door</t>
  </si>
  <si>
    <t>Horizontal Closed</t>
  </si>
  <si>
    <t xml:space="preserve">  Solid Door</t>
  </si>
  <si>
    <t>Vertical Solid-Door, 
0 &lt; V &lt; 15</t>
  </si>
  <si>
    <t>Vertical Solid-Door, 
15 ≤ V &lt; 30</t>
  </si>
  <si>
    <t>Vertical Solid-Door, 
30 ≤ V &lt; 50</t>
  </si>
  <si>
    <t>Vertical Glass-Door, 
0 &lt; V &lt; 15</t>
  </si>
  <si>
    <t>Vertical Glass-Door, 
15 ≤ V &lt; 30</t>
  </si>
  <si>
    <t>Vertical Glass-Door, 
30 ≤ V &lt; 50</t>
  </si>
  <si>
    <t xml:space="preserve">Vertical Glass-Door, 
50 ≤ V        </t>
  </si>
  <si>
    <t>Horizontal Solid-Door, 
0 &lt; V &lt; 15</t>
  </si>
  <si>
    <t>Horizontal Solid-Door, 
15 ≤ V &lt; 30</t>
  </si>
  <si>
    <t>Horizontal Solid-Door, 
30 ≤ V &lt; 50</t>
  </si>
  <si>
    <t>Horizontal Glass-Door, 
0 &lt; V &lt; 15</t>
  </si>
  <si>
    <t>Horizontal Glass-Door, 
15 ≤ V &lt; 30</t>
  </si>
  <si>
    <t>Horizontal Glass-Door, 
30 ≤ V &lt; 50</t>
  </si>
  <si>
    <t xml:space="preserve">Horizontal Glass-Door, 
50 ≤ V        </t>
  </si>
  <si>
    <t>Code of Federal Regulations at 10 CFR 431.66. URL: https://www.ecfr.gov/current/title-10/chapter-II/subchapter-D/part-431/subpart-C/subject-group-ECFR8115bf7451f830f/section-431.66.</t>
  </si>
  <si>
    <t xml:space="preserve">2022 Illinois Statewide Technical Reference Manual for Energy Efficiency
Version 10.0, Volume 2: Commercial and Industrial Measures FINAL. September 24, 2021. </t>
  </si>
  <si>
    <r>
      <t>New Jersey Board of Public Utilities, New Jersey's Clean Energy Program</t>
    </r>
    <r>
      <rPr>
        <vertAlign val="superscript"/>
        <sz val="11"/>
        <rFont val="Calibri"/>
        <family val="2"/>
        <scheme val="minor"/>
      </rPr>
      <t>TM</t>
    </r>
    <r>
      <rPr>
        <sz val="11"/>
        <rFont val="Calibri"/>
        <family val="2"/>
        <scheme val="minor"/>
      </rPr>
      <t xml:space="preserve"> Protocols to Measure Resource Savings, FY2021 Addendum. December 2, 2020.</t>
    </r>
  </si>
  <si>
    <t xml:space="preserve">This measure relates to the installation of a new self-contained, reach-in commercial refrigerator with a door meeting ENERGY STAR efficiency standards. ENERGY STAR labeled commercial refrigerators are more energy efficient because they are designed with components such as ECM evaporator and condenser fan motors, hot gas anti-sweat heaters, or high-efficiency compressors, which will significantly reduce energy consumption. Commercial refrigerators  are typically larger, more versatile, and robust than residential refrigerators. This measure is applicable to commercial refrigerators, only. It is not applicable to residential refrigerators operating in commercial buildings. </t>
  </si>
  <si>
    <t>Volumetric Factor
(kWh/ft3)</t>
  </si>
  <si>
    <t xml:space="preserve">50 ≤ V       </t>
  </si>
  <si>
    <t>Horizontal Solid-Door, 
0 &lt; V ≤  15</t>
  </si>
  <si>
    <t>Horizontal Glass-Door, 
0 &lt; V ≤ 15</t>
  </si>
  <si>
    <t>Updated in Winter 2021-2022 for PY22 TRM. Changes include 1) temporarily removing the minimum full-load efficiency requirement for program eligibility to increase the number of qualifying projects, as long as each single-chiller project still meets cost-effectiveness criteria based on current avoided costs, and 2) modifying the Chiller Worksheet to prevent use for custom chiller projects. By PY25, the full-load efficiency requirement for eligibility will be reinstated. At that time, if the qualification issue related to full-load efficiency persists, Hawai'i Energy can provide evidence and request that the issue be reviewed as part of a TRM update.</t>
  </si>
  <si>
    <t>AEG's PY22 analysis file named "PY22 C_HVAC_Chiller - Analysis File", AEG's PY20 analysis file named "AEG HPUC - HVAC Measures - Analysis File_Jan 2021," and AEG's PY19 analysis files named "AEG HPUC Update - Commercial Chillers - Analysis File" and "AEG HPUC Mid-Year PY19 TRM Updates_Analysis File."</t>
  </si>
  <si>
    <t>ANSI/ASHRAE/IES Standard 90.1-2016. Available at: &lt;https://www.ashrae.org/technical-resources/bookstore/standard-90-1-document-history&gt;.</t>
  </si>
  <si>
    <t>The IECC 2015 with Hawai‘i Amendments Commercial Reviewer and Designer Checklist. Available at: &lt;https://hawaiienergy.com/files/resources/2015-IECC_CommercialReviewer_Checklist.pdf&gt;. Code baseline specification based on Hawai‘i Energy: &lt;https://hawaiienergy.com/resources#hawaii-codes&gt; and &lt;http://energy.hawaii.gov/hawaii-energy-building-code/2015-iecc-update&gt;.</t>
  </si>
  <si>
    <r>
      <t>To be eligible, chiller efficiency must exceed IECC 2015 code (consistent with ASHRAE 90.1-2016), Path A or Path B, by 10% or more.</t>
    </r>
    <r>
      <rPr>
        <vertAlign val="superscript"/>
        <sz val="11"/>
        <rFont val="Calibri"/>
        <family val="2"/>
        <scheme val="minor"/>
      </rPr>
      <t>2</t>
    </r>
  </si>
  <si>
    <r>
      <t>The baseline equipment meets the current State of Hawai‘i code, which is IECC 2015 and is consistent with the national ASHRAE 90.1-2016 standard that manufacturers adhere to. All counties have adopted IECC 2015 as of May 20, 2020.</t>
    </r>
    <r>
      <rPr>
        <vertAlign val="superscript"/>
        <sz val="11"/>
        <rFont val="Calibri"/>
        <family val="2"/>
        <scheme val="minor"/>
      </rPr>
      <t>3</t>
    </r>
    <r>
      <rPr>
        <sz val="11"/>
        <rFont val="Calibri"/>
        <family val="2"/>
        <scheme val="minor"/>
      </rPr>
      <t xml:space="preserve"> </t>
    </r>
  </si>
  <si>
    <r>
      <t xml:space="preserve">Note: In PY22 through PY24, only the part-load efficiency (IPLV) must exceed ASHRAE minimum efficiency requirements by 10% for Tier 1 (or 20% for Tier 2), while the full-load (peak efficiency) must at least meet ASHRAE minimum efficiencies. This is a temporary special exception to increase the number of qualifying chiller projects. </t>
    </r>
    <r>
      <rPr>
        <b/>
        <i/>
        <sz val="11"/>
        <rFont val="Calibri"/>
        <family val="2"/>
        <scheme val="minor"/>
      </rPr>
      <t>By PY25, the requirement for exceeding ASHRAE efficiencies by 10% (or 20% for Tier 2) for both the part-load and full-load efficiencies will be reinstated unless Hawai‘i Energy can provide evidence for keeping the full-load requirement out of the program.</t>
    </r>
  </si>
  <si>
    <r>
      <t xml:space="preserve">At least 10% better than the ASHRAE 90.1-2016 standard. (Refer to the </t>
    </r>
    <r>
      <rPr>
        <i/>
        <sz val="10.5"/>
        <rFont val="Calibri"/>
        <family val="2"/>
        <scheme val="minor"/>
      </rPr>
      <t>High Efficiency Equipment</t>
    </r>
    <r>
      <rPr>
        <sz val="10.5"/>
        <rFont val="Calibri"/>
        <family val="2"/>
        <scheme val="minor"/>
      </rPr>
      <t xml:space="preserve"> description above for more information.)</t>
    </r>
  </si>
  <si>
    <t>Step 1:  Enter chiller information</t>
  </si>
  <si>
    <t>Is the chiller part of a larger, multi-system plant?</t>
  </si>
  <si>
    <t>Added in Winter 2021-2022 for PY22 TRM.</t>
  </si>
  <si>
    <t xml:space="preserve">Replacement of a Light Duty Electric Resistance Storage Water Heater with an ENERGY STAR-certified Heat Pump Water Heater with a tank size of up to 120 gallons. The water heater is to be used for service water heating in an existing commercial building. </t>
  </si>
  <si>
    <r>
      <t xml:space="preserve">The deemed and semi-prescriptive approaches presented here are reserved for light duty, smaller, simpler systems installed in offices, grocery stores, or restaurants where the baseline Electric Storage Water Heater has an input rating of 12 kW (40,950 Btu/hr) or less. </t>
    </r>
    <r>
      <rPr>
        <b/>
        <i/>
        <sz val="11"/>
        <color theme="1"/>
        <rFont val="Calibri"/>
        <family val="2"/>
        <scheme val="minor"/>
      </rPr>
      <t>A fully custom approach should be used for different commercial building types and for larger or more complex installations.</t>
    </r>
  </si>
  <si>
    <t>One water heater</t>
  </si>
  <si>
    <t xml:space="preserve">Baseline equipment for the deemed and semi-prescriptive approach is a Light Duty Electric Storage Water Heater with an input rating of 12 kW (40,950 Btu/hr) or less that meets current Federal standards listed in Table 1 below, which were effective April 16, 2015. (Commercial water heaters with an input rating of ≤ 12 kW must meet the Residential standards per a ruling by the Department of Energy.) </t>
  </si>
  <si>
    <t>To qualify for this measure, the installed equipment must be an ENERGY STAR Heat Pump water heater with a tank size of up to 120 gallons. ENERGY STAR qualifying equipment must reach the requirements outlined below in Table 2.</t>
  </si>
  <si>
    <t>Uniform Energy Factor of the baseline</t>
  </si>
  <si>
    <t xml:space="preserve">User input or Table 1 </t>
  </si>
  <si>
    <r>
      <t>Must meet Federal Regulations.</t>
    </r>
    <r>
      <rPr>
        <vertAlign val="superscript"/>
        <sz val="10.5"/>
        <rFont val="Calibri"/>
        <family val="2"/>
        <scheme val="minor"/>
      </rPr>
      <t>1</t>
    </r>
  </si>
  <si>
    <t>DP</t>
  </si>
  <si>
    <t>Draw Pattern</t>
  </si>
  <si>
    <t>Default values in Table 3 are based on AEG's engineering judgement.</t>
  </si>
  <si>
    <r>
      <t>V</t>
    </r>
    <r>
      <rPr>
        <vertAlign val="subscript"/>
        <sz val="10.5"/>
        <color theme="1"/>
        <rFont val="Calibri"/>
        <family val="2"/>
        <scheme val="minor"/>
      </rPr>
      <t>r</t>
    </r>
  </si>
  <si>
    <t>Rated Storage Volume of Water Heater Tank</t>
  </si>
  <si>
    <r>
      <t>Default values in Table 3 are from Evergreen Economics' 2014 Baseline Study,</t>
    </r>
    <r>
      <rPr>
        <vertAlign val="superscript"/>
        <sz val="10.5"/>
        <rFont val="Calibri"/>
        <family val="2"/>
        <scheme val="minor"/>
      </rPr>
      <t>2</t>
    </r>
    <r>
      <rPr>
        <sz val="10.5"/>
        <rFont val="Calibri"/>
        <family val="2"/>
        <scheme val="minor"/>
      </rPr>
      <t xml:space="preserve"> Section E.2.1, Mean Storage Volume. Rounded to nearest gallon.</t>
    </r>
  </si>
  <si>
    <r>
      <t>UEF</t>
    </r>
    <r>
      <rPr>
        <vertAlign val="subscript"/>
        <sz val="10.5"/>
        <color theme="1"/>
        <rFont val="Calibri"/>
        <family val="2"/>
        <scheme val="minor"/>
      </rPr>
      <t>Eff</t>
    </r>
    <r>
      <rPr>
        <sz val="10.5"/>
        <color theme="1"/>
        <rFont val="Calibri"/>
        <family val="2"/>
        <scheme val="minor"/>
      </rPr>
      <t xml:space="preserve"> for ≤ 55 gal </t>
    </r>
  </si>
  <si>
    <t>ENERGY STAR Product Finder (Jan 2022): &lt;https://www.energystar.gov/productfinder/product/certified-water-heaters/results&gt;.</t>
  </si>
  <si>
    <r>
      <t>UEF</t>
    </r>
    <r>
      <rPr>
        <vertAlign val="subscript"/>
        <sz val="10.5"/>
        <color theme="1"/>
        <rFont val="Calibri"/>
        <family val="2"/>
        <scheme val="minor"/>
      </rPr>
      <t>Eff</t>
    </r>
    <r>
      <rPr>
        <sz val="10.5"/>
        <color theme="1"/>
        <rFont val="Calibri"/>
        <family val="2"/>
        <scheme val="minor"/>
      </rPr>
      <t xml:space="preserve">  for &gt; 55 gal</t>
    </r>
  </si>
  <si>
    <t>Uniform Energy Factor of the most common Heat Pump Water Heaters sized above 55 gallons according to the ENERGY STAR database</t>
  </si>
  <si>
    <r>
      <t>DEER 2015 "DEER-WaterHeater-Calculator-v1.1.xlsm."</t>
    </r>
    <r>
      <rPr>
        <vertAlign val="superscript"/>
        <sz val="10.5"/>
        <color theme="1"/>
        <rFont val="Calibri"/>
        <family val="2"/>
        <scheme val="minor"/>
      </rPr>
      <t>3</t>
    </r>
  </si>
  <si>
    <t>User input or Table 3</t>
  </si>
  <si>
    <r>
      <t>Default values in Table 3 from Evergreen Economics' 2014 Baseline Study,</t>
    </r>
    <r>
      <rPr>
        <vertAlign val="superscript"/>
        <sz val="10.5"/>
        <rFont val="Calibri"/>
        <family val="2"/>
        <scheme val="minor"/>
      </rPr>
      <t>2</t>
    </r>
    <r>
      <rPr>
        <sz val="10.5"/>
        <rFont val="Calibri"/>
        <family val="2"/>
        <scheme val="minor"/>
      </rPr>
      <t xml:space="preserve"> Section E.2.1, Mean Building Area.</t>
    </r>
  </si>
  <si>
    <r>
      <t xml:space="preserve">Outlet water temperatures typically range from 120 to 140°F. 125 </t>
    </r>
    <r>
      <rPr>
        <sz val="10.5"/>
        <rFont val="Calibri"/>
        <family val="2"/>
      </rPr>
      <t>± 5</t>
    </r>
    <r>
      <rPr>
        <sz val="10.5"/>
        <rFont val="Calibri"/>
        <family val="2"/>
        <scheme val="minor"/>
      </rPr>
      <t>°F is the temperature prescribed in Uniform Test Method for Measuring the Energy Consumption of Water Heaters.</t>
    </r>
    <r>
      <rPr>
        <vertAlign val="superscript"/>
        <sz val="10.5"/>
        <rFont val="Calibri"/>
        <family val="2"/>
        <scheme val="minor"/>
      </rPr>
      <t>4</t>
    </r>
  </si>
  <si>
    <r>
      <t>Hawai‘i Energy.</t>
    </r>
    <r>
      <rPr>
        <vertAlign val="superscript"/>
        <sz val="10.5"/>
        <rFont val="Calibri"/>
        <family val="2"/>
        <scheme val="minor"/>
      </rPr>
      <t>5</t>
    </r>
  </si>
  <si>
    <t>AEG's 2018 Hawaii-specific analysis of U.S. DOE OpenEI Load shapes for Commercial Water Heating.</t>
  </si>
  <si>
    <t>AEG's 2018 Hawaii-specific analysis of U.S. DOE OpenEI Load shapes for Commercial Water Heating; peak period defined as non-holiday weekdays from 5-9 pm.</t>
  </si>
  <si>
    <t>1. Source for UEF equation: Electronic Code of Federal Regulations, &lt;https://www.ecfr.gov/current/title-10/chapter-II/subchapter-D/part-430/subpart-C/section-430.32&gt;. (See Table 1 below.)</t>
  </si>
  <si>
    <t xml:space="preserve">2. Baseline Energy Appliance, Equipment and Building Characteristics Study Report, Prepared for the State of Hawaii Public Utilities Commission, Prepared by Evergreen Economics, February 26, 2014. Appendix E. </t>
  </si>
  <si>
    <t>3. AEG assumes average hot water use per square footage of commercial building space is similar in California and Hawaii.</t>
  </si>
  <si>
    <r>
      <t>4. Source for T</t>
    </r>
    <r>
      <rPr>
        <vertAlign val="subscript"/>
        <sz val="9"/>
        <rFont val="Calibri"/>
        <family val="2"/>
        <scheme val="minor"/>
      </rPr>
      <t>out</t>
    </r>
    <r>
      <rPr>
        <sz val="9"/>
        <rFont val="Calibri"/>
        <family val="2"/>
        <scheme val="minor"/>
      </rPr>
      <t xml:space="preserve">: Electronic Code of Federal Regulations, Appendix E to Subpart B of Part 430 &lt;https://www.ecfr.gov/current/title-10/chapter-II/subchapter-D/part-430/subpart-B&gt;. </t>
    </r>
  </si>
  <si>
    <t xml:space="preserve">5. Hawai‘i Energy's Solar Water Heating Program Handbook, Table 2. </t>
  </si>
  <si>
    <t>Table 1. Federal Standards for Electric Storage Water Heaters</t>
  </si>
  <si>
    <t>Source: Electronic Code of Federal Regulations, &lt;https://www.ecfr.gov/current/title-10/chapter-II/subchapter-D/part-430/subpart-C/section-430.32&gt;. Has been collapsed to show just electric storage water heaters.</t>
  </si>
  <si>
    <t>Table 1. Criteria for Certified Electric Water Heaters</t>
  </si>
  <si>
    <t>ENERGY STAR Version 4.0 Requirements, Effective Jan. 5, 2022</t>
  </si>
  <si>
    <t>Integrated HPWH</t>
  </si>
  <si>
    <t>UEF ≥ 3.30</t>
  </si>
  <si>
    <t>Integrated HPWH, 120 Volt / 15 Amp Circuit</t>
  </si>
  <si>
    <t>UEF ≥ 2.20</t>
  </si>
  <si>
    <t>Split-system HPWH</t>
  </si>
  <si>
    <t xml:space="preserve">Source: ENERGY STAR Program Requirements, Product Specification for Residential Water Heaters, V4.0, &lt;https://www.energystar.gov/sites/default/files/ENERGY%20STAR%20Version%204.0%20Water%20Heaters%20Final%20Specification%20and%20Partner%20Commitments_0.pdf&gt;. </t>
  </si>
  <si>
    <t>Table 3. Default Values for Key Parameters</t>
  </si>
  <si>
    <r>
      <t>V</t>
    </r>
    <r>
      <rPr>
        <b/>
        <vertAlign val="subscript"/>
        <sz val="10.5"/>
        <color theme="1"/>
        <rFont val="Calibri"/>
        <family val="2"/>
        <scheme val="minor"/>
      </rPr>
      <t>r</t>
    </r>
    <r>
      <rPr>
        <b/>
        <sz val="10.5"/>
        <color theme="1"/>
        <rFont val="Calibri"/>
        <family val="2"/>
        <scheme val="minor"/>
      </rPr>
      <t xml:space="preserve"> (gal)</t>
    </r>
  </si>
  <si>
    <t>Baseline UEF</t>
  </si>
  <si>
    <r>
      <t>HW</t>
    </r>
    <r>
      <rPr>
        <b/>
        <vertAlign val="subscript"/>
        <sz val="10.5"/>
        <color theme="1"/>
        <rFont val="Calibri"/>
        <family val="2"/>
        <scheme val="minor"/>
      </rPr>
      <t>per SqFt</t>
    </r>
    <r>
      <rPr>
        <b/>
        <sz val="10.5"/>
        <color theme="1"/>
        <rFont val="Calibri"/>
        <family val="2"/>
        <scheme val="minor"/>
      </rPr>
      <t xml:space="preserve"> (gal/ft</t>
    </r>
    <r>
      <rPr>
        <b/>
        <vertAlign val="superscript"/>
        <sz val="10.5"/>
        <color theme="1"/>
        <rFont val="Calibri"/>
        <family val="2"/>
        <scheme val="minor"/>
      </rPr>
      <t>2</t>
    </r>
    <r>
      <rPr>
        <b/>
        <sz val="10.5"/>
        <color theme="1"/>
        <rFont val="Calibri"/>
        <family val="2"/>
        <scheme val="minor"/>
      </rPr>
      <t>-yr)</t>
    </r>
  </si>
  <si>
    <r>
      <t>Building Area, A (ft</t>
    </r>
    <r>
      <rPr>
        <b/>
        <vertAlign val="superscript"/>
        <sz val="10.5"/>
        <color theme="1"/>
        <rFont val="Calibri"/>
        <family val="2"/>
        <scheme val="minor"/>
      </rPr>
      <t>2</t>
    </r>
    <r>
      <rPr>
        <b/>
        <sz val="10.5"/>
        <color theme="1"/>
        <rFont val="Calibri"/>
        <family val="2"/>
        <scheme val="minor"/>
      </rPr>
      <t>)</t>
    </r>
  </si>
  <si>
    <t>Very Small</t>
  </si>
  <si>
    <t>Low</t>
  </si>
  <si>
    <t>High</t>
  </si>
  <si>
    <t>Enter Building Type</t>
  </si>
  <si>
    <t>Enter Building Floor Area Served by Water Heater</t>
  </si>
  <si>
    <t>Enter Baseline UEF</t>
  </si>
  <si>
    <t>Enter ENERGY STAR UEF</t>
  </si>
  <si>
    <r>
      <t>HW</t>
    </r>
    <r>
      <rPr>
        <vertAlign val="subscript"/>
        <sz val="11"/>
        <color theme="1"/>
        <rFont val="Calibri"/>
        <family val="2"/>
        <scheme val="minor"/>
      </rPr>
      <t>per SqFt</t>
    </r>
    <r>
      <rPr>
        <sz val="11"/>
        <color theme="1"/>
        <rFont val="Calibri"/>
        <family val="2"/>
        <scheme val="minor"/>
      </rPr>
      <t xml:space="preserve"> =</t>
    </r>
  </si>
  <si>
    <t>EFLH =</t>
  </si>
  <si>
    <t>AEG's 2022 Analysis File titled "PY22 C_WH_Heat Pump - Analysis File."</t>
  </si>
  <si>
    <t>AEG's 2018 Analysis of U.S. DOE OpenEI Load shapes for Commercial Water Heating. Analyzed 16 commercial building types (based off the DOE commercial reference building models) for IECC Zone 1A and Hawai‘i weather stations (Keahole-Kona.Intl.AP, Honolulu.Intl.AP, Kahului.AP). Prototype data available here: &lt;https://openei.org/doe-opendata/dataset/commercial-and-residential-hourly-load-profiles-for-all-tmy3-locations-in-the-united-states&gt;.</t>
  </si>
  <si>
    <t>Baseline Energy Appliance, Equipment and Building Characteristics Study Report, Prepared for the State of Hawaii Public Utilities Commission, Prepared by Evergreen Economics, February 26, 2014. Appendix E. Section E.2.1 Means by Business Type.</t>
  </si>
  <si>
    <t>DEER 2020: &lt;http://www.deeresources.com/index.php/deer-versions/deer2020#EUL&gt;.</t>
  </si>
  <si>
    <t>Electronic Code of Federal Regulations: Title 10: Energy, Part 430 - Energy Conservation Program for Consumer Products. Subpart C - Energy and Water Conservation Standards. Section 6d. &lt;https://www.ecfr.gov/current/title-10/chapter-II/subchapter-D/part-430/subpart-C/section-430.32&gt;.</t>
  </si>
  <si>
    <t xml:space="preserve">Electronic Code of Federal Regulations, Appendix E to Subpart B of Part 430 &lt;https://www.ecfr.gov/current/title-10/chapter-II/subchapter-D/part-430/subpart-B&gt;. </t>
  </si>
  <si>
    <t>ENERGY STAR Product Finder: &lt;https://www.energystar.gov/productfinder/product/certified-water-heaters/results&gt;.</t>
  </si>
  <si>
    <t xml:space="preserve">ENERGY STAR Program Requirements, Product Specification for Residential Water Heaters, V4.0, effective Jan. 5, 2022, &lt;https://www.energystar.gov/sites/default/files/ENERGY%20STAR%20Version%204.0%20Water%20Heaters%20Final%20Specification%20and%20Partner%20Commitments_0.pdf&gt;. </t>
  </si>
  <si>
    <t xml:space="preserve">An ENERGY STAR smart thermostat replacing a manual or programmable thermostat serving a residential ducted central AC system. ENERGY STAR smart thermostats are Wi-Fi-enabled, allowing customers to control temperature settings wirelessly while at home or away with smart phones and other smart devices. Designs and components vary, but common features include the ability to learn temperature preferences, establish schedules that automatically adjust to energy-saving temperatures when occupants are away or asleep, use geofencing to determine when occupants are on the way home and to adjust temperatures accordingly, and provide information for tracking and managing equipment use and temperature data. </t>
  </si>
  <si>
    <t>Savings are provided for two types of program delivery: 1) self-install (purchased through Hawai'i Energy's upstream program or through the online marketplace), and 2) for direct install.</t>
  </si>
  <si>
    <t>Smart thermostat with ENERGY STAR label</t>
  </si>
  <si>
    <t>Manual or programmable thermostat (savings assume a mix of both)</t>
  </si>
  <si>
    <t>ENERGY STAR smart thermostat</t>
  </si>
  <si>
    <r>
      <t>Assumes zero peak demand savings in Hawaii.</t>
    </r>
    <r>
      <rPr>
        <vertAlign val="superscript"/>
        <sz val="10.5"/>
        <rFont val="Calibri"/>
        <family val="2"/>
        <scheme val="minor"/>
      </rPr>
      <t>1</t>
    </r>
  </si>
  <si>
    <t>Cooling capacity of central AC unit</t>
  </si>
  <si>
    <r>
      <t>Assumes 3.75 tons is the average installed capacity for central AC systems in Hawaii.</t>
    </r>
    <r>
      <rPr>
        <vertAlign val="superscript"/>
        <sz val="10.5"/>
        <rFont val="Calibri"/>
        <family val="2"/>
        <scheme val="minor"/>
      </rPr>
      <t>2</t>
    </r>
  </si>
  <si>
    <r>
      <t>EFLH</t>
    </r>
    <r>
      <rPr>
        <vertAlign val="subscript"/>
        <sz val="10.5"/>
        <color theme="1"/>
        <rFont val="Calibri"/>
        <family val="2"/>
        <scheme val="minor"/>
      </rPr>
      <t>.cool</t>
    </r>
  </si>
  <si>
    <t>Hawaii-specific EFLH determined as average of residential EnergyPlus prototype simulations with central AC cooling system by dividing total cooling kWh by maximum kW (proxy for capacity, adjusted for oversizing).</t>
  </si>
  <si>
    <t>Energy savings factor for cooling, 
Self-Install</t>
  </si>
  <si>
    <r>
      <t>AEG Benchmarking.</t>
    </r>
    <r>
      <rPr>
        <vertAlign val="superscript"/>
        <sz val="10.5"/>
        <color theme="1"/>
        <rFont val="Calibri"/>
        <family val="2"/>
        <scheme val="minor"/>
      </rPr>
      <t>3</t>
    </r>
  </si>
  <si>
    <t>Energy savings factor for cooling, 
Direct-Install</t>
  </si>
  <si>
    <r>
      <t>AEG Benchmarking.</t>
    </r>
    <r>
      <rPr>
        <vertAlign val="superscript"/>
        <sz val="10.5"/>
        <color theme="1"/>
        <rFont val="Calibri"/>
        <family val="2"/>
        <scheme val="minor"/>
      </rPr>
      <t>4</t>
    </r>
  </si>
  <si>
    <r>
      <t>Assumed to be average SEER of installed central AC systems in Hawaii.</t>
    </r>
    <r>
      <rPr>
        <vertAlign val="superscript"/>
        <sz val="10.5"/>
        <color theme="1"/>
        <rFont val="Calibri"/>
        <family val="2"/>
        <scheme val="minor"/>
      </rPr>
      <t>5</t>
    </r>
  </si>
  <si>
    <r>
      <t>AEG Benchmarking.</t>
    </r>
    <r>
      <rPr>
        <vertAlign val="superscript"/>
        <sz val="10.5"/>
        <color theme="1"/>
        <rFont val="Calibri"/>
        <family val="2"/>
        <scheme val="minor"/>
      </rPr>
      <t>6</t>
    </r>
  </si>
  <si>
    <t>1. Hawaii's peak period of 5-9 pm on non-holiday weekdays coincides with hours people are generally expected to be home and awake. Therefore, in the absence of targeted education, time-of-use rates, and/or a demand response program, meaningful peak demand savings are not expected from this measure in Hawaii.</t>
  </si>
  <si>
    <t>2. From AEG 2019 Baseline Study: The average capacity of central AC systems was derived from nameplate data from participants of the residential phone audit who provided photos (N=11).</t>
  </si>
  <si>
    <t>3. See AEG's 2022 Analysis File titled "PY22 R_HVAC_Smart Thermostat - Analysis File."</t>
  </si>
  <si>
    <t>4. The ISR is from benchmarking using two sources in particular: 1) PG&amp;E Smart Thermostat Study: Second Year Findings, Prepared by Applied Energy Group, March 20, 2018, ET Project Number ET14PGE8661 (90% of smart thermostats were still installed and connected to Wi-Fi after two years), and 2) Illinois 2021 TRM, Version 9.0 (energy savings algorithm uses ISR of 90%).</t>
  </si>
  <si>
    <t>5. From AEG 2019 Baseline Study: The average SEER of central AC systems was derived by averaging 1) nameplate SEER data from participants of the residential phone audit who provided photos (N=11) and 2) determination of minimum required SEER based on age of AC systems (N=70). See Appendices from AEG 2019 Baseline Study, Q52F. See also AEG's 2022 Analysis File titled "PY22 R_HVAC_Smart Thermostat - Analysis File."</t>
  </si>
  <si>
    <t>6. The 7-yr EUL is the average value from several sources with EULs ranging from 3 to 11 years.</t>
  </si>
  <si>
    <t>Smart Thermostat, Upstream or Online Marketplace</t>
  </si>
  <si>
    <t>Smart Thermostat, 
Direct-Install</t>
  </si>
  <si>
    <t>AEG's 2022 Analysis File titled "PY22 R_HVAC_Smart Thermostat - Analysis File."</t>
  </si>
  <si>
    <t>Arkansas Technical Reference Manual, Version 8.1, Arkansas Public Service Commission, August 31, 2019.</t>
  </si>
  <si>
    <t>California eTRM, Residential Smart Thermostat, Measure ID: SWHC039, effective dates: Jan 1 - Dec. 31, 2021</t>
  </si>
  <si>
    <t>Connecticut's 2021 Program Savings Document, 18th Edition, Filed on March 1, 2021.</t>
  </si>
  <si>
    <t xml:space="preserve">DEER 2020 "SupportTable-EUL2020.xlsx", accessed by AEG January 14, 2022. </t>
  </si>
  <si>
    <t>Energy Impacts of Smart Home Technologies, Jen King, ACEEE, April 2018, Report A1801.</t>
  </si>
  <si>
    <t>ENERGY STAR Smart Thermostats, &lt;https://www.energystar.gov/products/smart_thermostats&gt;.</t>
  </si>
  <si>
    <t xml:space="preserve">Federal Standards: 10 CFR 430.32 (c). </t>
  </si>
  <si>
    <t>Illinois Statewide Technical Reference Manual, 2021, Version 9.0, Volume 3: Residential Measures, Final, September 25, 2020.</t>
  </si>
  <si>
    <t>Maryland/Mid-Atlantic Technical Reference Manual, Version 10, Final, May 2020.</t>
  </si>
  <si>
    <t>PG&amp;E Smart Thermostat Study: First Year Findings, Prepared by Applied Energy Group, December 21, 2016, ET Project Number ET13PGE1462, available for download: &lt;https://www.etcc-ca.com/reports/smart-thermostat-study?dl=1642447625&gt;.</t>
  </si>
  <si>
    <t>PG&amp;E Smart Thermostat Study: Second Year Findings, Prepared by Applied Energy Group, March 20, 2018, ET Project Number ET14PGE8661, available for download: &lt;https://www.etcc-ca.com/reports/smart-thermostat-study?dl=1642447625&gt;.</t>
  </si>
  <si>
    <t>Regional Technical Forum, Residential Connected Thermostats, April 10, 2018, "ResConnectedTstats_v1.3.xlsm," accessed here: &lt;https://rtf.nwcouncil.org/measure/connected-thermostats&gt;.</t>
  </si>
  <si>
    <t>State of Pennsylvania Technical Reference Manual, Volume 2: Residential Measures, Revised February 2021, &lt;https://www.puc.pa.gov/filing-resources/issues-laws-regulations/act-129/technical-reference-manual/&gt;.</t>
  </si>
  <si>
    <t>2014 Evergreen Economics Hawaii Baseline Study, Appendices C and D, C.2 Percent by Home Type (page 127) and D.1 Percent by Home Type (page 147).</t>
  </si>
  <si>
    <t>Wisconsin Focus on Energy 2020 Technical Reference Manual, Public Service Commission of Wisconsin.</t>
  </si>
  <si>
    <t>Public Utility Commission of Texas, Texas TRM, Version 8.0, Volume 2: Residential Measures, Program Year 2021.</t>
  </si>
  <si>
    <r>
      <t xml:space="preserve">Uniform Energy Factor of Baseline Equipment (Electric Storage Water Heater </t>
    </r>
    <r>
      <rPr>
        <b/>
        <i/>
        <sz val="11"/>
        <color theme="1"/>
        <rFont val="Calibri"/>
        <family val="2"/>
      </rPr>
      <t>≤ 55 gallons)</t>
    </r>
  </si>
  <si>
    <t>Assumes "low" draw pattern</t>
  </si>
  <si>
    <r>
      <t>Uniform Energy Factor of Baseline Equipment (Electric Storage Water Heater &gt;</t>
    </r>
    <r>
      <rPr>
        <b/>
        <i/>
        <sz val="11"/>
        <color theme="1"/>
        <rFont val="Calibri"/>
        <family val="2"/>
      </rPr>
      <t xml:space="preserve"> 55 gallons)</t>
    </r>
  </si>
  <si>
    <t>Baseline Annual Energy Use, kWh/yr</t>
  </si>
  <si>
    <t>Efficient Case Annual Energy Use, kWh/yr</t>
  </si>
  <si>
    <t>See Eq'n 1 or 2 depending on Rated Storage Volume</t>
  </si>
  <si>
    <r>
      <t>Default UEF</t>
    </r>
    <r>
      <rPr>
        <vertAlign val="subscript"/>
        <sz val="10.5"/>
        <rFont val="Calibri"/>
        <family val="2"/>
        <scheme val="minor"/>
      </rPr>
      <t>base</t>
    </r>
    <r>
      <rPr>
        <sz val="10.5"/>
        <rFont val="Calibri"/>
        <family val="2"/>
        <scheme val="minor"/>
      </rPr>
      <t xml:space="preserve"> values assume 50 gallon or 60 gallon Electric Storage Water Heater and Low Draw Pattern.</t>
    </r>
  </si>
  <si>
    <t>AEG's Fall 2018 Benchmarking.</t>
  </si>
  <si>
    <r>
      <t>2019 Hawaii Statewide Baseline Energy Use Study;</t>
    </r>
    <r>
      <rPr>
        <vertAlign val="superscript"/>
        <sz val="10.5"/>
        <rFont val="Calibri"/>
        <family val="2"/>
        <scheme val="minor"/>
      </rPr>
      <t>2</t>
    </r>
    <r>
      <rPr>
        <sz val="10.5"/>
        <rFont val="Calibri"/>
        <family val="2"/>
        <scheme val="minor"/>
      </rPr>
      <t xml:space="preserve"> default is occupancy for non-military single family homes.</t>
    </r>
  </si>
  <si>
    <r>
      <t xml:space="preserve">Outlet water temperatures typically range from 120 to 140°F. 125 </t>
    </r>
    <r>
      <rPr>
        <sz val="10.5"/>
        <rFont val="Calibri"/>
        <family val="2"/>
      </rPr>
      <t>± 5</t>
    </r>
    <r>
      <rPr>
        <sz val="10.5"/>
        <rFont val="Calibri"/>
        <family val="2"/>
        <scheme val="minor"/>
      </rPr>
      <t>°F is the temperature prescribed in Uniform Test Method for Measuring the Energy Consumption of Water Heaters.</t>
    </r>
    <r>
      <rPr>
        <vertAlign val="superscript"/>
        <sz val="10.5"/>
        <rFont val="Calibri"/>
        <family val="2"/>
        <scheme val="minor"/>
      </rPr>
      <t>3</t>
    </r>
  </si>
  <si>
    <t>See Table 3 (default = 75)</t>
  </si>
  <si>
    <r>
      <t>Hawai‘i Energy.</t>
    </r>
    <r>
      <rPr>
        <vertAlign val="superscript"/>
        <sz val="10.5"/>
        <rFont val="Calibri"/>
        <family val="2"/>
        <scheme val="minor"/>
      </rPr>
      <t>4</t>
    </r>
  </si>
  <si>
    <t>See Table 3 (default = 3,564)</t>
  </si>
  <si>
    <t>AEG's 2018 Hawaii-specific analysis of U.S. DOE OpenEI Load shapes for Residential Electric Water Heating.</t>
  </si>
  <si>
    <t>See Table 3 (default = 0.53)</t>
  </si>
  <si>
    <t>AEG's 2018 Hawaii-specific analysis of U.S. DOE OpenEI Load shapes for Residential Electric Water Heating; peak period defined as non-holiday weekdays from 5-9 pm.</t>
  </si>
  <si>
    <t>1. Assumed draw pattern is "low." Source for UEF equation: Electronic Code of Federal Regulations: &lt;https://www.ecfr.gov/current/title-10/chapter-II/subchapter-D/part-430/subpart-C/section-430.32&gt;.</t>
  </si>
  <si>
    <t>2. Source for occupancy: 2019 Hawaii Statewide Baseline Energy Use Study, Prepared for Hawaii Public Utilities Commission, Prepared by Applied Energy Group, 2020. (Responses to Question 71 of the Residential Phone / Audit Survey.)</t>
  </si>
  <si>
    <t xml:space="preserve">3. Source for Tout: Electronic Code of Federal Regulations, Appendix E to Subpart B of Part 430 &lt;https://www.ecfr.gov/current/title-10/chapter-II/subchapter-D/part-430/subpart-B&gt;. </t>
  </si>
  <si>
    <t xml:space="preserve">4. Hawai‘i Energy Solar Water Heating Program Handbook, Table 2. </t>
  </si>
  <si>
    <r>
      <t>T</t>
    </r>
    <r>
      <rPr>
        <vertAlign val="subscript"/>
        <sz val="10.5"/>
        <color theme="1"/>
        <rFont val="Calibri"/>
        <family val="2"/>
        <scheme val="minor"/>
      </rPr>
      <t>in</t>
    </r>
    <r>
      <rPr>
        <sz val="10.5"/>
        <color theme="1"/>
        <rFont val="Calibri"/>
        <family val="2"/>
        <scheme val="minor"/>
      </rPr>
      <t xml:space="preserve"> </t>
    </r>
  </si>
  <si>
    <r>
      <t xml:space="preserve">Residential Heat Pump Water Heater, </t>
    </r>
    <r>
      <rPr>
        <sz val="11"/>
        <color theme="1"/>
        <rFont val="Calibri"/>
        <family val="2"/>
      </rPr>
      <t>≤ 55 gal</t>
    </r>
  </si>
  <si>
    <r>
      <t xml:space="preserve">Residential Heat Pump Water Heater, </t>
    </r>
    <r>
      <rPr>
        <sz val="11"/>
        <color theme="1"/>
        <rFont val="Calibri"/>
        <family val="2"/>
      </rPr>
      <t>&gt; 55 gal</t>
    </r>
  </si>
  <si>
    <t>AEG's 2020 Analysis File titled "WHF SAF and HPWH PY20 Updates."</t>
  </si>
  <si>
    <t>AEG's 2018 analysis of U.S. DOE OpenEI Load shapes for Residential Electric Water Heating. Used B10 Benchmark, Base Load prototype for IECC Zone 1A and Hawai‘i weather stations (Keahole-Kona.Intl.AP, Honolulu.Intl.AP, Kahului.AP). Prototype data available here: &lt;https://openei.org/doe-opendata/dataset/commercial-and-residential-hourly-load-profiles-for-all-tmy3-locations-in-the-united-states&gt;.</t>
  </si>
  <si>
    <t>2019 Hawaii Statewide Baseline Energy Use Study, Appendices, Prepared for Hawaii Public Utilities Commission, Prepared by Applied Energy Group, DRAFT, in progress. (Responses to Question 71 of the Residential Phone /Audit Survey.)</t>
  </si>
  <si>
    <t>Electronic Code of Federal Regulations: Title 10: Energy, Part 430 - Energy Conservation Program for Consumer Products. Subpart C - Energy and Water Conservation Standards. Section 6d.  &lt;https://www.ecfr.gov/current/title-10/chapter-II/subchapter-D/part-430/subpart-C/section-430.32&gt;.</t>
  </si>
  <si>
    <t>Commercial Appliance Refrigerator</t>
  </si>
  <si>
    <t>Commercial Kitchen Freezer</t>
  </si>
  <si>
    <t>Commercial Kitchen Refrigerator</t>
  </si>
  <si>
    <t>C_Kitchen_Demand-Controlled Ventilation</t>
  </si>
  <si>
    <t>C_Kitchen_Dishwasher</t>
  </si>
  <si>
    <t>Temporary change to program eligibility</t>
  </si>
  <si>
    <t>Temporary change to program eligibility; modifications to the calculator to prevent use for custom chiller projects</t>
  </si>
  <si>
    <t>Expansion of measure to include larger capacity systems</t>
  </si>
  <si>
    <t>Addition of new and existing measures and inclusion of several types of building stretch codes</t>
  </si>
  <si>
    <t>Designation of measure as "inactive"</t>
  </si>
  <si>
    <t>Removal of TRM entry since Peer program has been discontinued</t>
  </si>
  <si>
    <t>Update of TOC to include new and modified content for PY22 TRM</t>
  </si>
  <si>
    <t>Update of Signature sheet for PY22 TRM</t>
  </si>
  <si>
    <t>Update of Issues Log for PY22 TRM</t>
  </si>
  <si>
    <t>Revised in PY22 TRM v1.0</t>
  </si>
  <si>
    <t>Commercial Kitchen Demand-Controlled Ventilation</t>
  </si>
  <si>
    <t>Commercial AC and Heat Pump and AC and Heat Pump Worksheet</t>
  </si>
  <si>
    <t>Commercial Chiller and Chiller Worksheet</t>
  </si>
  <si>
    <t>Commercial LED Downlight Retrofit</t>
  </si>
  <si>
    <t>Commercial Heat Pump Water Heater</t>
  </si>
  <si>
    <t>Residential Ceiling Fan</t>
  </si>
  <si>
    <t>Residential Smart Thermostat</t>
  </si>
  <si>
    <t>Residential Heat Pump Water Heater</t>
  </si>
  <si>
    <t>COMMERCIAL: Dishwasher</t>
  </si>
  <si>
    <t xml:space="preserve">Added in Winter 2021-2022 for PY22 TRM. </t>
  </si>
  <si>
    <t>This measure relates to installing a new commercial dishwasher that meets the ENERGY STAR efficiency standards. ENERGY STAR dishwashers use waste air heat recovery, drain heat recovery, rinse water re-use, double-walled insulated construction, high-efficiency anti-clogging nozzles, continuous filtering, and efficient booster heating. This measure applies to five commercial dishwasher types: under-counter, stationary single tank door, single tank conveyor, multi-tank conveyor, and pot, pan, utensil dishwashers. It does not apply to flight machines that are custom-built continuous conveyor machines designed for large institutions. The measure does not apply to residential dishwashers operating in commercial buildings.</t>
  </si>
  <si>
    <t>This measure can involve replacing an existing dishwasher at the end of its useful life or installing a new dishwasher in a new or existing building. The project documentation must capture the type of fuel used for water heating and booster heating (e.g., electricity, natural gas, propane, solar) to determine energy-saving estimates. An exception to this requirement is when program delivery is through the midstream approach and the customer's water heating type is unknown.</t>
  </si>
  <si>
    <t>One dishwasher</t>
  </si>
  <si>
    <t xml:space="preserve">The baseline equipment is a commercial dishwasher that is not ENERGY STAR certified. </t>
  </si>
  <si>
    <t>The efficient equipment must be a commercial dishwasher that meets the minimum ENERGY STAR Version 3.0 efficiency standards.</t>
  </si>
  <si>
    <t xml:space="preserve">Where: </t>
  </si>
  <si>
    <t>Baseline dishwasher annual energy use</t>
  </si>
  <si>
    <t>ENERGY STAR Commercial Kitchen Equipment Savings Calculator</t>
  </si>
  <si>
    <r>
      <t>E</t>
    </r>
    <r>
      <rPr>
        <vertAlign val="subscript"/>
        <sz val="10.5"/>
        <color theme="1"/>
        <rFont val="Calibri"/>
        <family val="2"/>
        <scheme val="minor"/>
      </rPr>
      <t>EnergyStar</t>
    </r>
  </si>
  <si>
    <t>ENERGY STAR equipment annual energy use</t>
  </si>
  <si>
    <r>
      <t>E</t>
    </r>
    <r>
      <rPr>
        <vertAlign val="subscript"/>
        <sz val="10.5"/>
        <color theme="1"/>
        <rFont val="Calibri"/>
        <family val="2"/>
        <scheme val="minor"/>
      </rPr>
      <t>waterheater base</t>
    </r>
  </si>
  <si>
    <t>Water heater annual energy use due to baseline dishwasher</t>
  </si>
  <si>
    <r>
      <t>E</t>
    </r>
    <r>
      <rPr>
        <vertAlign val="subscript"/>
        <sz val="10.5"/>
        <color theme="1"/>
        <rFont val="Calibri"/>
        <family val="2"/>
        <scheme val="minor"/>
      </rPr>
      <t>waterheater EnergyStar</t>
    </r>
  </si>
  <si>
    <t>Water heater annual energy use due to ENERGY STAR dishwasher</t>
  </si>
  <si>
    <r>
      <t>E</t>
    </r>
    <r>
      <rPr>
        <vertAlign val="subscript"/>
        <sz val="10.5"/>
        <color theme="1"/>
        <rFont val="Calibri"/>
        <family val="2"/>
        <scheme val="minor"/>
      </rPr>
      <t>boosterheater base</t>
    </r>
  </si>
  <si>
    <t>Booster heater annual energy use due to baseline dishwasher</t>
  </si>
  <si>
    <t>Booster heater equipment annual energy use due to ENERGY STAR dishwasher</t>
  </si>
  <si>
    <r>
      <t>E</t>
    </r>
    <r>
      <rPr>
        <vertAlign val="subscript"/>
        <sz val="10.5"/>
        <color theme="1"/>
        <rFont val="Calibri"/>
        <family val="2"/>
        <scheme val="minor"/>
      </rPr>
      <t>idledraw base</t>
    </r>
  </si>
  <si>
    <t>Baseline dishwasher idle draw annual energy use</t>
  </si>
  <si>
    <r>
      <t>E</t>
    </r>
    <r>
      <rPr>
        <vertAlign val="subscript"/>
        <sz val="10.5"/>
        <color theme="1"/>
        <rFont val="Calibri"/>
        <family val="2"/>
        <scheme val="minor"/>
      </rPr>
      <t>idledraw EnergyStar</t>
    </r>
  </si>
  <si>
    <t>ENERGY STAR dishwasher idle draw annual energy use</t>
  </si>
  <si>
    <r>
      <t>WaterUse</t>
    </r>
    <r>
      <rPr>
        <vertAlign val="subscript"/>
        <sz val="10.5"/>
        <color theme="1"/>
        <rFont val="Calibri"/>
        <family val="2"/>
        <scheme val="minor"/>
      </rPr>
      <t>base</t>
    </r>
  </si>
  <si>
    <t>Water use per rack of baseline dishwasher</t>
  </si>
  <si>
    <t>gallons/
rack</t>
  </si>
  <si>
    <t>Water use per rack of ENERGY STAR dishwasher</t>
  </si>
  <si>
    <t>RPD</t>
  </si>
  <si>
    <t>Racks washed per day</t>
  </si>
  <si>
    <t>California Technical Forum. 2022. California Electronic Technical Reference Material (eTRM) and Engineering Judgement.</t>
  </si>
  <si>
    <t>Annual days of dishwasher operation</t>
  </si>
  <si>
    <t xml:space="preserve">California Technical Forum. 2022. California Electronic Technical Reference Material (eTRM).  </t>
  </si>
  <si>
    <r>
      <t>ΔT</t>
    </r>
    <r>
      <rPr>
        <vertAlign val="subscript"/>
        <sz val="10.5"/>
        <color theme="1"/>
        <rFont val="Calibri"/>
        <family val="2"/>
      </rPr>
      <t>waterheater</t>
    </r>
  </si>
  <si>
    <t>Inlet water temperature increase for  water heater</t>
  </si>
  <si>
    <r>
      <rPr>
        <sz val="10.5"/>
        <color theme="1"/>
        <rFont val="Calibri"/>
        <family val="2"/>
      </rPr>
      <t>°</t>
    </r>
    <r>
      <rPr>
        <sz val="10.5"/>
        <color theme="1"/>
        <rFont val="Calibri"/>
        <family val="2"/>
        <scheme val="minor"/>
      </rPr>
      <t>F</t>
    </r>
  </si>
  <si>
    <t>Increase of inlet water temperature from the average groundwater temperature, which is 75°F in Hawaii, to 140°F. Consistent with other water heater measures in the HI TRM.</t>
  </si>
  <si>
    <r>
      <t>ΔT</t>
    </r>
    <r>
      <rPr>
        <vertAlign val="subscript"/>
        <sz val="10.5"/>
        <color theme="1"/>
        <rFont val="Calibri"/>
        <family val="2"/>
      </rPr>
      <t>boosterheater</t>
    </r>
  </si>
  <si>
    <t>Inlet water temperature increase for  booster heater</t>
  </si>
  <si>
    <r>
      <t>C</t>
    </r>
    <r>
      <rPr>
        <vertAlign val="subscript"/>
        <sz val="10.5"/>
        <color theme="1"/>
        <rFont val="Calibri"/>
        <family val="2"/>
        <scheme val="minor"/>
      </rPr>
      <t>P</t>
    </r>
  </si>
  <si>
    <t xml:space="preserve">Specific heat of water </t>
  </si>
  <si>
    <r>
      <t>Btu/lb/</t>
    </r>
    <r>
      <rPr>
        <sz val="10.5"/>
        <color theme="1"/>
        <rFont val="Calibri"/>
        <family val="2"/>
      </rPr>
      <t>°</t>
    </r>
    <r>
      <rPr>
        <sz val="10.5"/>
        <color theme="1"/>
        <rFont val="Calibri"/>
        <family val="2"/>
        <scheme val="minor"/>
      </rPr>
      <t>F</t>
    </r>
  </si>
  <si>
    <t>lb/gallon</t>
  </si>
  <si>
    <t>Average of density of water at 75°F (8.3 bs/gallon), 140°F (8.2 lb/gal) and 180°F (8.1 lb/gallon)</t>
  </si>
  <si>
    <t>DAILY HRS</t>
  </si>
  <si>
    <t>Average daily operating hours of dishwasher</t>
  </si>
  <si>
    <r>
      <t>Eff</t>
    </r>
    <r>
      <rPr>
        <vertAlign val="subscript"/>
        <sz val="10.5"/>
        <color theme="1"/>
        <rFont val="Calibri"/>
        <family val="2"/>
        <scheme val="minor"/>
      </rPr>
      <t>waterheater</t>
    </r>
  </si>
  <si>
    <t>Efficiency of the water heater</t>
  </si>
  <si>
    <t>electric: 98
gas: 80</t>
  </si>
  <si>
    <r>
      <t>Eff</t>
    </r>
    <r>
      <rPr>
        <vertAlign val="subscript"/>
        <sz val="10.5"/>
        <color theme="1"/>
        <rFont val="Calibri"/>
        <family val="2"/>
        <scheme val="minor"/>
      </rPr>
      <t>boosterheater</t>
    </r>
  </si>
  <si>
    <t>Efficiency of the booster heater</t>
  </si>
  <si>
    <t>kWh to Btu conversion factor</t>
  </si>
  <si>
    <t>kWh/Btu</t>
  </si>
  <si>
    <r>
      <t>IdleDraw</t>
    </r>
    <r>
      <rPr>
        <vertAlign val="subscript"/>
        <sz val="10.5"/>
        <color theme="1"/>
        <rFont val="Calibri"/>
        <family val="2"/>
        <scheme val="minor"/>
      </rPr>
      <t>base</t>
    </r>
  </si>
  <si>
    <t>Idle power draw of baseline dishwasher</t>
  </si>
  <si>
    <t>Idle power draw of ENERGY STAR dishwasher</t>
  </si>
  <si>
    <r>
      <t>WashTime</t>
    </r>
    <r>
      <rPr>
        <vertAlign val="subscript"/>
        <sz val="10.5"/>
        <color theme="1"/>
        <rFont val="Calibri"/>
        <family val="2"/>
        <scheme val="minor"/>
      </rPr>
      <t>base</t>
    </r>
  </si>
  <si>
    <t>Typical wash time of baseline dishwasher</t>
  </si>
  <si>
    <t>minutes</t>
  </si>
  <si>
    <t>Typical wash time of ENERGY STAR dishwasher</t>
  </si>
  <si>
    <t>ANNUAL HRS</t>
  </si>
  <si>
    <t>Annual operating hours of dishwasher</t>
  </si>
  <si>
    <t>DAILY HRS * DAYS = (12*365)</t>
  </si>
  <si>
    <t>PY22 TRM Commercial Kitchen Dishwasher Analysis File, "EUL Benchmarking" sheet.</t>
  </si>
  <si>
    <t>Table 1. Water Use Per Rack, by Dishwasher Type</t>
  </si>
  <si>
    <t>Dishwasher Type</t>
  </si>
  <si>
    <t>Baseline
Gallons/Rack</t>
  </si>
  <si>
    <t>ENERGY STAR
Gallons/Rack</t>
  </si>
  <si>
    <t>Low
Temperature</t>
  </si>
  <si>
    <t>Under Counter</t>
  </si>
  <si>
    <t>Stationary Single Tank Door</t>
  </si>
  <si>
    <t>Single Tank Conveyor</t>
  </si>
  <si>
    <t>Multi Tank Conveyor</t>
  </si>
  <si>
    <t>High Temperature</t>
  </si>
  <si>
    <t xml:space="preserve">Pot, Pan, Utensil </t>
  </si>
  <si>
    <t>Table 2. Racks per Day, by Dishwasher Type</t>
  </si>
  <si>
    <t>Racks Per Day</t>
  </si>
  <si>
    <t>Table 3. Idle Power Draw, by Dishwasher Type</t>
  </si>
  <si>
    <t>Baseline
kW</t>
  </si>
  <si>
    <t>ENERGY STAR
kW</t>
  </si>
  <si>
    <t>Table 4. Typical Wash Time, by Dishwasher Type</t>
  </si>
  <si>
    <t>Baseline
minutes</t>
  </si>
  <si>
    <t>ENERGY STAR
minutes</t>
  </si>
  <si>
    <t>Table 5. Effective Useful Life, by Dishwasher Type</t>
  </si>
  <si>
    <t>Table 6. Summary Savings for Commercial Dishwasher, Electric Water Heating and Electric Booster Water Heating</t>
  </si>
  <si>
    <r>
      <t>E</t>
    </r>
    <r>
      <rPr>
        <b/>
        <vertAlign val="subscript"/>
        <sz val="11"/>
        <color theme="1"/>
        <rFont val="Calibri"/>
        <family val="2"/>
        <scheme val="minor"/>
      </rPr>
      <t>base</t>
    </r>
    <r>
      <rPr>
        <b/>
        <sz val="11"/>
        <color theme="1"/>
        <rFont val="Calibri"/>
        <family val="2"/>
        <scheme val="minor"/>
      </rPr>
      <t xml:space="preserve">
(kWh/yr)</t>
    </r>
  </si>
  <si>
    <r>
      <t>E</t>
    </r>
    <r>
      <rPr>
        <b/>
        <vertAlign val="subscript"/>
        <sz val="11"/>
        <color theme="1"/>
        <rFont val="Calibri"/>
        <family val="2"/>
        <scheme val="minor"/>
      </rPr>
      <t>EnergyStar</t>
    </r>
    <r>
      <rPr>
        <b/>
        <sz val="11"/>
        <color theme="1"/>
        <rFont val="Calibri"/>
        <family val="2"/>
        <scheme val="minor"/>
      </rPr>
      <t xml:space="preserve">
(kWh/yr)</t>
    </r>
  </si>
  <si>
    <t>Energy Savings (kWh/yr)</t>
  </si>
  <si>
    <r>
      <t>Low
Temperature</t>
    </r>
    <r>
      <rPr>
        <b/>
        <vertAlign val="superscript"/>
        <sz val="11"/>
        <color theme="1"/>
        <rFont val="Calibri"/>
        <family val="2"/>
        <scheme val="minor"/>
      </rPr>
      <t>1</t>
    </r>
  </si>
  <si>
    <t xml:space="preserve">1. Low temperature dishwashers do not require booster heaters. </t>
  </si>
  <si>
    <t>Table 7. Summary Savings for Commercial Dishwasher, Electric Water Heating and Natural Gas Booster Water Heating</t>
  </si>
  <si>
    <t>Table 8. Summary Savings for Commercial Dishwasher, Natural Gas Water Heating and Electric Booster Water Heating</t>
  </si>
  <si>
    <t>Table 9. Summary Savings for Commercial Dishwasher, Natural Gas Water Heating and Natural Gas Booster Water Heating</t>
  </si>
  <si>
    <t>Table 10. Water Heating Fuel in Restaurants In Hawaii</t>
  </si>
  <si>
    <t>Fuel Used for Water Heating</t>
  </si>
  <si>
    <t>Share</t>
  </si>
  <si>
    <r>
      <t>Electric</t>
    </r>
    <r>
      <rPr>
        <sz val="11"/>
        <color theme="1"/>
        <rFont val="Calibri"/>
        <family val="2"/>
        <scheme val="minor"/>
      </rPr>
      <t>, including Solar Thermal with Electric Backup</t>
    </r>
  </si>
  <si>
    <t>Natural Gas, Synthetic Gas, or Propane</t>
  </si>
  <si>
    <t>Note: These shares are used to calculate blended savings values for use when the water heating fuel type is unknown. The blended savings calculation approach assumes that these share apply both to primary water heating fuel type and to booster heating fuel type.</t>
  </si>
  <si>
    <t>Data Source: These market shares were used by AEG to develop the restaurant market profiles for the 2020 Hawaii Statewide Market Potential Study. They were derived from water heating data for restaurants obtained during the 2019 Hawaii Statewide Baseline Energy Use Study.</t>
  </si>
  <si>
    <t>Dishwasher Temperature:</t>
  </si>
  <si>
    <r>
      <t xml:space="preserve">Dishwasher Type: 
</t>
    </r>
    <r>
      <rPr>
        <i/>
        <sz val="11"/>
        <color theme="1"/>
        <rFont val="Calibri"/>
        <family val="2"/>
        <scheme val="minor"/>
      </rPr>
      <t>Note: Pot, Pan and Utensil dishwasher is always High Temperature dishwasher.</t>
    </r>
  </si>
  <si>
    <r>
      <t xml:space="preserve">Primary Water Heating Type:
</t>
    </r>
    <r>
      <rPr>
        <i/>
        <sz val="11"/>
        <color theme="1"/>
        <rFont val="Calibri"/>
        <family val="2"/>
        <scheme val="minor"/>
      </rPr>
      <t xml:space="preserve">Note: If kitchen uses propane for water heating, please select natural gas water heating. </t>
    </r>
  </si>
  <si>
    <t>Unknown Water Heating</t>
  </si>
  <si>
    <r>
      <t xml:space="preserve">Booster Water Heating Type:
</t>
    </r>
    <r>
      <rPr>
        <i/>
        <sz val="11"/>
        <color theme="1"/>
        <rFont val="Calibri"/>
        <family val="2"/>
        <scheme val="minor"/>
      </rPr>
      <t>Note: Must select booster heating for high temperature dishwasher. 
If kitchen uses propane for booster water heating, please select natural gas booster heating. 
If primary water heating type is unknown, please select unknown booster heating as well.</t>
    </r>
    <r>
      <rPr>
        <sz val="11"/>
        <color theme="1"/>
        <rFont val="Calibri"/>
        <family val="2"/>
        <scheme val="minor"/>
      </rPr>
      <t xml:space="preserve">
</t>
    </r>
  </si>
  <si>
    <t>Unknown Booster Heating</t>
  </si>
  <si>
    <t>Low Temperature Under Counter, Electric Water Heating</t>
  </si>
  <si>
    <t>Low Temperature Stationary Single Tank Door, Electric Water Heating</t>
  </si>
  <si>
    <t>Low Temperature Single Tank Conveyor, Electric Water Heating</t>
  </si>
  <si>
    <t>Low Temperature Multi Tank Conveyor, Electric Water Heating</t>
  </si>
  <si>
    <t>Low Temperature Under Counter, Natural Gas Water Heating</t>
  </si>
  <si>
    <t>Low Temperature Stationary Single Tank Door, Natural Gas Water Heating</t>
  </si>
  <si>
    <t>Low Temperature Single Tank Conveyor, Natural Gas Water Heating</t>
  </si>
  <si>
    <t>Low Temperature Multi Tank Conveyor, Natural Gas Water Heating</t>
  </si>
  <si>
    <t>Low Temperature Under Counter, Unknown Water Heating</t>
  </si>
  <si>
    <t>Low Temperature Stationary Single Tank Door, Unknown Water Heating</t>
  </si>
  <si>
    <t>Low Temperature Single Tank Conveyor, Unknown Water Heating</t>
  </si>
  <si>
    <t>Low Temperature Multi Tank Conveyor, Unknown Water Heating</t>
  </si>
  <si>
    <t>High Temperature Under Counter, Electric Water Heating and Electric Booster Heating</t>
  </si>
  <si>
    <t>High Temperature Stationary Single Tank Door, Electric Water Heating and Electric Booster Heating</t>
  </si>
  <si>
    <t>High Temperature Single Tank Conveyor, Electric Water Heating and Electric Booster Heating</t>
  </si>
  <si>
    <t>High Temperature Multi Tank Conveyor, Electric Water Heating and Electric Booster Heating</t>
  </si>
  <si>
    <t>High Temperature Under Counter, Electric Water Heating and Natural Gas Booster Heating</t>
  </si>
  <si>
    <t>High Temperature Stationary Single Tank Door, Electric Water Heating and Natural Gas Booster Heating</t>
  </si>
  <si>
    <t>High Temperature Single Tank Conveyor, Electric Water Heating and Natural Gas Booster Heating</t>
  </si>
  <si>
    <t>High Temperature Multi Tank Conveyor, Electric Water Heating and Natural Gas Booster Heating</t>
  </si>
  <si>
    <t>High Temperature Under Counter, Natural Gas Water Heating and Electric Booster Heating</t>
  </si>
  <si>
    <t>High Temperature Stationary Single Tank Door, Natural Gas Water Heating and Electric Booster Heating</t>
  </si>
  <si>
    <t>High Temperature Single Tank Conveyor, Natural Gas Water Heating and Electric Booster Heating</t>
  </si>
  <si>
    <t>High Temperature Multi Tank Conveyor, Natural Gas Water Heating and Electric Booster Heating</t>
  </si>
  <si>
    <t>High Temperature Under Counter, Natural Gas Water Heating and Natural Gas Booster Heating</t>
  </si>
  <si>
    <t>High Temperature Stationary Single Tank Door, Natural Gas Water Heating and Natural Gas Booster Heating</t>
  </si>
  <si>
    <t>High Temperature Single Tank Conveyor, Natural Gas Water Heating and Natural Gas Booster Heating</t>
  </si>
  <si>
    <t>High Temperature Multi Tank Conveyor, Natural Gas Water Heating and Natural Gas Booster Heating</t>
  </si>
  <si>
    <t>High Temperature Under Counter, Unknown Water Heating and Unknown Booster Heating</t>
  </si>
  <si>
    <t>High Temperature Stationary Single Tank Door, Unknown Water Heating and Unknown Booster Heating</t>
  </si>
  <si>
    <t>High Temperature Single Tank Conveyor, Unknown Water Heating and Unknown Booster Heating</t>
  </si>
  <si>
    <t>High Temperature Multi Tank Conveyor, Unknown Water Heating and Unknown Booster Heating</t>
  </si>
  <si>
    <t>Deemed Savings Tables - Blended Water Heater Type (see Table 10 for Shares)</t>
  </si>
  <si>
    <t>Low Temperature Under Counter, Blended</t>
  </si>
  <si>
    <t>Low Temperature Stationary Single Tank Door, Blended</t>
  </si>
  <si>
    <t>Low Temperature Single Tank Conveyor, Blended</t>
  </si>
  <si>
    <t>Low Temperature Multi Tank Conveyor, Blended</t>
  </si>
  <si>
    <t>High Temperature Under Counter, Blended</t>
  </si>
  <si>
    <t>High Temperature Stationary Single Tank Door, Blended</t>
  </si>
  <si>
    <t>High Temperature Single Tank Conveyor, Blended</t>
  </si>
  <si>
    <t>High Temperature Multi Tank Conveyor, Blended</t>
  </si>
  <si>
    <t>AEG's analysis file titled: "PY22 TRM Commercial Kitchen Dishwasher Analysis File."</t>
  </si>
  <si>
    <t>ENERGY STAR. 2021. "ENERGY STAR® Program Requirements Product Specification for Commercial Dishwashers  - Eligibility Criteria Version 3.0." Effective on June 27, 2021. URL: https://www.energystar.gov/sites/default/files/Commercial%20Dishwashers%20Final%20Version%203.0%20Specification.pdf.</t>
  </si>
  <si>
    <t xml:space="preserve">ENERGY STAR. 2021. "ENERGY STAR Commercial Kitchen Equipment Savings Calculator" , URL: https://cmadmin.energystar.gov/sites/default/files/asset/document/CFS_calculator_03-02-2021.xlsx. </t>
  </si>
  <si>
    <t xml:space="preserve">California Technical Forum. 2022. California Electronic Technical Reference Material (eTRM). "Door-Type Dishwasher, Commercial. Characterization." Effective on November 7, 2021. URL: https://www.caetrm.com/measure/SWFS002/02/. </t>
  </si>
  <si>
    <t xml:space="preserve">California Technical Forum. 2022. California Electronic Technical Reference Material (eTRM). "Undercounter Dishwasher, Commercial. Characterization." Effective on  November 7, 2021. URL: https://www.caetrm.com/measure/SWFS018/03/. </t>
  </si>
  <si>
    <t xml:space="preserve">Applied Energy Group. 2019 Hawaii Statewide Baseline Study Energy Use Study. Prepared for the Hawaii Public Utilities Commission. April 27, 2020. Analysis of raw survey data related to water heating in restaurants. </t>
  </si>
  <si>
    <t>Applied Energy Group. State of Hawaii Market Potential Study. Prepared for the Hawaii Public Utilities Commission. July 27, 2020. Shares of water heating fuel type used in market profiles for restaurants.</t>
  </si>
  <si>
    <t>See 
Tables 6-9</t>
  </si>
  <si>
    <r>
      <rPr>
        <sz val="9"/>
        <color theme="1"/>
        <rFont val="Calibri"/>
        <family val="2"/>
        <scheme val="minor"/>
      </rPr>
      <t>IdleDraw</t>
    </r>
    <r>
      <rPr>
        <vertAlign val="subscript"/>
        <sz val="8.5"/>
        <color theme="1"/>
        <rFont val="Calibri"/>
        <family val="2"/>
        <scheme val="minor"/>
      </rPr>
      <t>EnergyStar</t>
    </r>
  </si>
  <si>
    <r>
      <rPr>
        <sz val="10.5"/>
        <color theme="1"/>
        <rFont val="Calibri"/>
        <family val="2"/>
        <scheme val="minor"/>
      </rPr>
      <t>E</t>
    </r>
    <r>
      <rPr>
        <vertAlign val="subscript"/>
        <sz val="8.5"/>
        <color theme="1"/>
        <rFont val="Calibri"/>
        <family val="2"/>
        <scheme val="minor"/>
      </rPr>
      <t>boosterheater EnergyStar</t>
    </r>
  </si>
  <si>
    <r>
      <rPr>
        <sz val="10.5"/>
        <color theme="1"/>
        <rFont val="Calibri"/>
        <family val="2"/>
        <scheme val="minor"/>
      </rPr>
      <t>WaterUse</t>
    </r>
    <r>
      <rPr>
        <vertAlign val="subscript"/>
        <sz val="8.5"/>
        <color theme="1"/>
        <rFont val="Calibri"/>
        <family val="2"/>
        <scheme val="minor"/>
      </rPr>
      <t>EnergyStar</t>
    </r>
  </si>
  <si>
    <r>
      <rPr>
        <sz val="10.5"/>
        <color theme="1"/>
        <rFont val="Calibri"/>
        <family val="2"/>
        <scheme val="minor"/>
      </rPr>
      <t>WashTime</t>
    </r>
    <r>
      <rPr>
        <vertAlign val="subscript"/>
        <sz val="8.5"/>
        <color theme="1"/>
        <rFont val="Calibri"/>
        <family val="2"/>
        <scheme val="minor"/>
      </rPr>
      <t>EnergyStar</t>
    </r>
  </si>
  <si>
    <t>PY22 TRM "Equipment Operating Hours and Coincidence Factors" sheet. CF is 0.74 for restaurant water heating which can be used as a proxy for commercial kitchen dishwasher end-use load.</t>
  </si>
  <si>
    <t>racks/ day</t>
  </si>
  <si>
    <t>ENERGY STAR Dishwasher (See C_Kitchen_Dishwasher, Table 5)</t>
  </si>
  <si>
    <t>Low Temperature</t>
  </si>
  <si>
    <t>High Temperature Pot Pan and Utensil, Electric Water Heating and Electric Booster Heating</t>
  </si>
  <si>
    <t>High Temperature Pot Pan and Utensil, Electric Water Heating and Natural Gas Booster Heating</t>
  </si>
  <si>
    <t>High Temperature Pot Pan and Utensil, Natural Gas Water Heating and Electric Booster Heating</t>
  </si>
  <si>
    <t>High Temperature Pot Pan and Utensil, Natural Gas Water Heating and Natural Gas Booster Heating</t>
  </si>
  <si>
    <t>High Temperature Pot Pan and Utensil, Unknown Water Heating and Unknown Booster Heating</t>
  </si>
  <si>
    <t>High Temperature Pot Pan and Utensil, Blended</t>
  </si>
  <si>
    <t>COMMERCIAL: LED Downlight Retrofit</t>
  </si>
  <si>
    <t>One downlight retrofit.</t>
  </si>
  <si>
    <t>Wattage of the ENERGY STAR LED Downlight Retrofit</t>
  </si>
  <si>
    <t xml:space="preserve">AEG's Fall 2018 Benchmarking for general lighting measures. </t>
  </si>
  <si>
    <t>AEG's analysis of DOE's OpenEI load shapes using Hawaii-specific prototypes, weather data, and peak demand period, adjusted to specific lighting types.</t>
  </si>
  <si>
    <t>DEER interactive effect factors for San Diego (CA's southern-most latitude), adjusted to Hawaii's weather zone using LBNL simulation results [4,5]. Assumes most, if not all, of the downlight retrofits will be installed indoors.</t>
  </si>
  <si>
    <t>DEER hours of use for San Diego; no occupancy sensor [4].</t>
  </si>
  <si>
    <t>2. The baseline luminous efficacy of 45 lm/W is consistent with the assumption used in other GSL measures as of PY22.</t>
  </si>
  <si>
    <t>4. The DEER interactive effect factors and hours of use were developed for DEER2016 and are still applicable as of DEER2020.</t>
  </si>
  <si>
    <t>5. "Lighting/HVAC Interactions and Their Effects on Annual and Peak HVAC Requirements in Commercial Buildings," Sezgen, A. O., Y. J. Huang, Lawrence Berkeley Laboratory, ACEEE Summer Study, 1994.</t>
  </si>
  <si>
    <t>Table 1. Values for Key Variables by Building Type</t>
  </si>
  <si>
    <r>
      <t>HOU</t>
    </r>
    <r>
      <rPr>
        <b/>
        <vertAlign val="subscript"/>
        <sz val="11"/>
        <color theme="1"/>
        <rFont val="Calibri"/>
        <family val="2"/>
        <scheme val="minor"/>
      </rPr>
      <t>year</t>
    </r>
  </si>
  <si>
    <r>
      <t>EUL</t>
    </r>
    <r>
      <rPr>
        <b/>
        <vertAlign val="subscript"/>
        <sz val="11"/>
        <color theme="1"/>
        <rFont val="Calibri"/>
        <family val="2"/>
        <scheme val="minor"/>
      </rPr>
      <t>EE</t>
    </r>
  </si>
  <si>
    <t>Enter light output of actual ENERGY STAR downlight retrofit product in lumens</t>
  </si>
  <si>
    <t>lumens</t>
  </si>
  <si>
    <r>
      <t xml:space="preserve">Note: Savings in </t>
    </r>
    <r>
      <rPr>
        <sz val="9"/>
        <color rgb="FF0070C0"/>
        <rFont val="Calibri"/>
        <family val="2"/>
        <scheme val="minor"/>
      </rPr>
      <t>blue</t>
    </r>
    <r>
      <rPr>
        <sz val="9"/>
        <color theme="1"/>
        <rFont val="Calibri"/>
        <family val="2"/>
        <scheme val="minor"/>
      </rPr>
      <t xml:space="preserve"> result from the sample entry above. </t>
    </r>
    <r>
      <rPr>
        <b/>
        <u/>
        <sz val="9"/>
        <color theme="1"/>
        <rFont val="Calibri"/>
        <family val="2"/>
        <scheme val="minor"/>
      </rPr>
      <t>They are for illustrative purposes only.</t>
    </r>
  </si>
  <si>
    <t>California Public Utilities Commission (CPUC), DEER2016, Interior Lighting Hours-of-Use (HOU), Peak Period Coincident Demand (CDF), and HVAC Interactive Effects (IE) for San Diego, CA, Updated May 27, 2015, available here: http://www.deeresources.com. (There were no additional updates to interior lighting HOU, CDF, and IE factors as of DEER2020.)</t>
  </si>
  <si>
    <t>ENERGY STAR® Program Requirements Product Specification for Luminaires (Light Fixtures) Eligibility Criteria Version 2.2, finalized on Aug 15, 2019, https://www.energystar.gov/sites/default/files/Luminaires%20V2.2%20Final%20Specification.pdf.</t>
  </si>
  <si>
    <t>Maryland/Mid-Atlantic Technical Reference Manual, Version 10, May 2020, Final, page 217: Solid State Lighting (LED) Recessed Downlight Luminaire, https://neep.org/sites/default/files/media-files/trmv10.pdf.</t>
  </si>
  <si>
    <t>2019 Hawaii Statewide Baseline Energy Use Study, Prepared for Hawaii Public Utilities Commission, Prepared by Applied Energy Group, 2020, Table 4‑3: Mean Number of Interior Lamp / Fixture Counts by Lighting Type for SMB Nonresidential Establishments by Business Type.</t>
  </si>
  <si>
    <t>Web resources for typical luminous efficacy values for incandescent, halogen, and CFL products: Grainger.com, www.amazon.com, www.1000bulbs.com, www.homedepot.com, www.lightbulbs.com. Accessed February 2022.</t>
  </si>
  <si>
    <t>Downlight Retrofit (see C_Light_Downlight Retrofit, Table 1)</t>
  </si>
  <si>
    <t>For more information on the derivation of the PY22 SLF values, please refer to AEG's PY22 analysis file titled "PY22 Key Metrics - System Loss Factor - Analysis File." For background on the approach originally developed during the PY19 TRM updated, refer to the following memo: Recommendations for PY19 System Loss Factors (SLF) for Hawai‘i Energy Programs Goals and Reporting, Memorandum, Prepared by Steve Schiller, EEM team, Prepared for Ashley Norman and Dave Parsons, HPUC, January 4, 2019.</t>
  </si>
  <si>
    <t>Table 7 provides the SLF values updated for the PY22 TRM. The values were derived using the following approach:</t>
  </si>
  <si>
    <t>Obtaining data on "Losses and Unaccounted for Energy" from Hawaiian Electric Company's website &lt;https://www.hawaiianelectric.com/about-us/key-performance-metrics/power-supply-and-generation&gt;. (AEG downloaded file named "historical_02_losses.xlsx" on Jan. 7, 2022.) Note that the published losses include “…amount of energy that is lost as heat or through other means (such as theft) or used by the Company between the point where energy generated at power plants enters the grid to the point of measurement at customer’s meters.”</t>
  </si>
  <si>
    <t>Calculating average loss factors from the data in Step 1 for each island for the last five years (2017-2021).</t>
  </si>
  <si>
    <t>PY22-PY24 Avoided Capacity and Energy Cost Calculations, Version 2.1, Analysis Spreadsheet, Prepared by Kelly Parmenter, Applied Energy Group, March 10, 2022.</t>
  </si>
  <si>
    <t>Table 1 lists the annualized avoided capacity costs by county for PY22, PY23, and PY24. According to page A-9 of the 2018-06-29 HELCO 2018 Electric Utility System Cost Data Report that was submitted to the HPUC on June 29, 2018, no firm capacity generation facilities were projected to be added in the 2019-2028 planning horizon for the County of Hawaii, besides the 21.5 MW Honua biomass plant that was scheduled to begin operation in 2019. Therefore, the EEM and AEG team has assumed the avoided capacity costs for the County of Hawaii are zero ($0/kW-yr) for the purposes of the PY22-PY24 analysis, which is consistent with the analysis performed for PY19-PY21.</t>
  </si>
  <si>
    <t>There are several ways to determine avoided energy and capacity values, with perhaps the best way being an integrated resource planning approach with a capacity expansion model simulating distributed electricity resources competing against conventional generation options. Another approach is to utilize detailed information gathered from historic or projected power purchase agreements.  For the results presented here, a less rigorous approach was used in order to determine interim numbers that would only be used for and applicable to Hawai‘i Energy TRB calculations; and then only until HECO’s Integrated Grid Planning (IGP) process is able to provide values that could replace these estimates. Refer to the following memorandum and analysis spreadsheets for details on development of the avoided energy and capacity costs.</t>
  </si>
  <si>
    <t>$/kW-yr  2022$</t>
  </si>
  <si>
    <t>$/kW-yr  2023$</t>
  </si>
  <si>
    <t>$/kW-yr  2024$</t>
  </si>
  <si>
    <t>PY22</t>
  </si>
  <si>
    <t>PY23</t>
  </si>
  <si>
    <t>PY24</t>
  </si>
  <si>
    <t>Table 1 sources: Annualized values were derived from capacity costs in the following three sources using the methodology described in the PY22-PY24 Avoided Capacity and Energy Cost Calculations, Version 2.1, Analysis Spreadsheet, Prepared by Kelly Parmenter, Applied Energy Group, March 10, 2022.</t>
  </si>
  <si>
    <t>Table 2 lists the avoided energy costs by county for PY22, PY23, and PY24. The costs represent mostly fuel costs and a small share of variable O&amp;M costs.</t>
  </si>
  <si>
    <t>$/kWh-yr  2022$</t>
  </si>
  <si>
    <t>$/kWh-yr  2023$</t>
  </si>
  <si>
    <t>$/kWh-yr  2024$</t>
  </si>
  <si>
    <t>/yr</t>
  </si>
  <si>
    <t xml:space="preserve">Table 2 sources: Average annual avoided energy cost values were derived from Schedule Q monthly values for Oahu, Maui Division, and Hawaii using the last 9 months of data available as of 3/10/2022, which covers July 1, 2021 through March 1, 2022. (See https://www.hawaiianelectric.com/documents/billing_and_payment/rates/avoided_energy_cost/avoid_energy_cost_table.pdf). The escalation factor was derived based on a review of recent Schedule Q cost trends as well as a review of oil price forecasts. The EIA projects that the Brent crude oil price will increase to $132 per barrel by 2040. This equates to a 2-3% per year escalation relative to 2021/2022 costs. Since oil costs have a large influence on Schedule Q rates (particularly in the short-term), the projected escalation rate of oil costs is a reasonable proxy for the projected escalation of avoided energy costs. For more detail, refer to the PY22-PY24 Avoided Capacity and Energy Cost Calculations, Version 2.1, Analysis Spreadsheet, Prepared by Kelly Parmenter, Applied Energy Group, March 10, 2022. </t>
  </si>
  <si>
    <t xml:space="preserve">The time value of money is represented by a discount rate of 6%.  The 6% value has been the historic discount rate since 2013. (The TRMs for 2011 and 2012 don’t indicate a specific rate). The Commission may review and update this discount rate at a later date. The discount rate is used to convert all costs and benefits to a “net present value” for comparing alternative costs and benefits in the same years’ dollars. </t>
  </si>
  <si>
    <t>The cumulative NPV values can be used in the TRB calculations for measures with a single baseline. For example, the TRB calculation for a measure installed in Oahu in PY22 with a measure life of 8 years and a single baseline period could use the cumulative NPV values of $1,402/kW and $0.829/kWh from Table 3 in the calculation. Equation 1 below shows the algorithm for calculating the TRB for a single baseline measure.</t>
  </si>
  <si>
    <t>Table 3. Total Resource Benefit Calculation for PY22 (Do not use for PY23 or PY24)</t>
  </si>
  <si>
    <t>Table 4. Total Resource Benefit Calculation for PY23 (Do not use for PY22 or PY24)</t>
  </si>
  <si>
    <t>Table 5. Total Resource Benefit Calculation for PY24 (Do not use for PY22 or PY23)</t>
  </si>
  <si>
    <t>Commercial VRF and VRF Worksheet</t>
  </si>
  <si>
    <t>Removal of Peer program line item from NTG table</t>
  </si>
  <si>
    <t>Residential Lighting: LED</t>
  </si>
  <si>
    <t>Modification to program criteria</t>
  </si>
  <si>
    <t>This measure is applicable to both residential and commercial programs, provided the LEDs are for residential end-use applications.</t>
  </si>
  <si>
    <t>Residential Central AC Retrofit and Worksheet</t>
  </si>
  <si>
    <t>Revised in PY22 TRM v2.0</t>
  </si>
  <si>
    <t>Residential Ductless Split Systems and Worksheet</t>
  </si>
  <si>
    <t>Residential LED</t>
  </si>
  <si>
    <t>New, temporary dual baseline measure for Molokai and Lanai</t>
  </si>
  <si>
    <t>New baseline conditions</t>
  </si>
  <si>
    <t>Net-to-Gross Ratios</t>
  </si>
  <si>
    <t>New NTGRs for RGRID and BGRID</t>
  </si>
  <si>
    <t>Clarifications to existing content</t>
  </si>
  <si>
    <t>Multiple Lighting</t>
  </si>
  <si>
    <t>Added language to several measures in the TRM to explain that LED retrofit kit engines qualify as applicable LED replacement lighting</t>
  </si>
  <si>
    <t>Addition of custom occupancy option</t>
  </si>
  <si>
    <t>New baseline conditions, modified program criteria, and clarifications to existing content; creation of two separate entries - one for Jul-Dec and one for Jan-Jun</t>
  </si>
  <si>
    <t>New baseline conditions and clarifications to existing content; creation of two separate entries - one for Jul-Dec and one for Jan-Jun</t>
  </si>
  <si>
    <t>C_Light_General, C_Light_Exterior, C_Light_Dimmable(Nonlinear LED), C_Lighting_Refrigerated Case, R_Light_LED, R_Light_Linear LED, and R_Light_Security Light</t>
  </si>
  <si>
    <t>This baseline approach applies the expanded GSL definition and Tier 2 backstop of 45 lumens per Watt reinstated by the U.S. Department of Energy in final rulings published on May 9, 2022 (Federal Register 87FR27461 and 87FR27439).</t>
  </si>
  <si>
    <t>U.S. Department of Energy, final rulings, May 9, 2022 (Federal Register 87FR27461 and 87FR27439)</t>
  </si>
  <si>
    <t>AEG's 2022 Analysis Files named "Mid-year PY22 TRM - LED Retrofit Kit Language - Analysis File" and "Mid-year PY22 TRM - Molokai-Lanai LED Updates - Analysis File."</t>
  </si>
  <si>
    <t>U.S. Department of Energy, Final Rulings, May 9, 2022, Federal Register 87FR27461 and 87FR27439, available here: &lt;https://www.federalregister.gov/&gt;.</t>
  </si>
  <si>
    <t>AEG's 2020 Analysis File named "AEG HPUC - PY20 v2.0 Lighting Baselines - Analysis." AEG's 2018 Analysis Files titled "AEG HPUC Update of Residential Measures - Analysis file" and "HI - Res Lighting IEF Analysis."</t>
  </si>
  <si>
    <t>Gross customer level coincident peak demand reduction in kW for the measure</t>
  </si>
  <si>
    <t>Net-to-Gross Ratio (see Table 6 below)</t>
  </si>
  <si>
    <t>In Fall 2018, AEG reviewed the NTGR values by updating the benchmarking approach taken by Evergreen Economics during the PY11 evaluation and leveraging NTGR data collected by Opinion Dynamics in 2018. The benchmarking analysis resulted in a new NTGR of 0.91 for BHTR. More details on the NTGR review and update are in the file named "AEG HPUC NTG Benchmarking Analysis." In Winter 2020, AEG updated the LED Upstream NTGR to include market effects. In Fall 2022, AEG added NTGRs for BGRID and RGRID.</t>
  </si>
  <si>
    <t>Table 6. Net-to-Gross Ratios by Program</t>
  </si>
  <si>
    <t>BGRID</t>
  </si>
  <si>
    <t>Business Grid Services Ready</t>
  </si>
  <si>
    <t>All BGRID Measures</t>
  </si>
  <si>
    <t>RGRID</t>
  </si>
  <si>
    <t>Residential Grid Services Ready</t>
  </si>
  <si>
    <t>All RGRID Measures</t>
  </si>
  <si>
    <t>5. AEG's 2022 Analysis File named "Mid-year PY22 TRM - BGRID and RGRID NTG - Analysis File."</t>
  </si>
  <si>
    <r>
      <t xml:space="preserve">LED (upstream) </t>
    </r>
    <r>
      <rPr>
        <vertAlign val="superscript"/>
        <sz val="11"/>
        <rFont val="Calibri"/>
        <family val="2"/>
        <scheme val="minor"/>
      </rPr>
      <t>i</t>
    </r>
  </si>
  <si>
    <t>1. AEG's 2018 Analysis File named "AEG HPUC NTG Benchmarking Analysis."</t>
  </si>
  <si>
    <t>AEG's 2018 Analysis File named "AEG HPUC Update of Com-Lighting Measures - Analysis file."</t>
  </si>
  <si>
    <t>R_Light_LED (Oahu, Maui, Hawaii)</t>
  </si>
  <si>
    <t>45 lm/W (as of Jul. 25, 2022)</t>
  </si>
  <si>
    <t>R_Light_LED (Molokai and Lanai)</t>
  </si>
  <si>
    <t>(Molokai and Lanai only)</t>
  </si>
  <si>
    <t xml:space="preserve">Single-phase split-system AC, &lt;45,000 Btu/h </t>
  </si>
  <si>
    <t>Single-phase single-package AC, &lt; 65,000 Btu/h</t>
  </si>
  <si>
    <t>14.0 SEER</t>
  </si>
  <si>
    <t xml:space="preserve">13.4 SEER2 </t>
  </si>
  <si>
    <t xml:space="preserve">Three-phase split-system AC, &lt;65,000 Btu/h </t>
  </si>
  <si>
    <t>13.0 SEER</t>
  </si>
  <si>
    <t>Three-phase single-package AC, &lt; 65,000 Btu/h</t>
  </si>
  <si>
    <t>10 CFR 431.97 (b); ASHRAE 90.1</t>
  </si>
  <si>
    <t>Single-phase split-system HP, &lt; 65,000 Btu/h</t>
  </si>
  <si>
    <t>14.3 SEER2</t>
  </si>
  <si>
    <t>Single-phase single-package HP, &lt; 65,000 Btu/h</t>
  </si>
  <si>
    <t xml:space="preserve">Three-phase split-system HP, &lt;65,000 Btu/h </t>
  </si>
  <si>
    <t>Three-phase single-package HP, &lt; 65,000 Btu/h</t>
  </si>
  <si>
    <t>13.4 SEER2</t>
  </si>
  <si>
    <t>Standard, &lt; 7,000 Btu/h</t>
  </si>
  <si>
    <t>11.9 EER</t>
  </si>
  <si>
    <t>10 CFR 431.97 (c); ASHRAE 90.1</t>
  </si>
  <si>
    <t>Standard, &gt; 15,000 Btu/h</t>
  </si>
  <si>
    <t>9.5 EER</t>
  </si>
  <si>
    <t>Non-Standard, &lt; 7,000 Btu/h</t>
  </si>
  <si>
    <t>9.4 EER</t>
  </si>
  <si>
    <t>Non-Standard, &gt; 15,000 Btu/h</t>
  </si>
  <si>
    <t>7.7 EER</t>
  </si>
  <si>
    <t>9.3 EER</t>
  </si>
  <si>
    <t>7.6 EER</t>
  </si>
  <si>
    <t>Single-package, &lt; 65,000 Btu/h</t>
  </si>
  <si>
    <t>11.0 EER</t>
  </si>
  <si>
    <t>10 CFR 431.97 (d); ASHRAE 90.1</t>
  </si>
  <si>
    <t>1.2 gpm (as of Jan. 1, 2021)</t>
  </si>
  <si>
    <t>1.8 gpm (as of Jan. 1, 2021)</t>
  </si>
  <si>
    <t>WEF = −2.30 * ln (hhp) + 6.59 (as of Jul. 19, 2021)</t>
  </si>
  <si>
    <t>WEF = 5.55 (as of Jul. 19, 2021)</t>
  </si>
  <si>
    <t>WEF = −1.30 * ln (hhp) + 2.90 (as of Jul. 19, 2021)</t>
  </si>
  <si>
    <t>WEF = 4.60 (as of Jul. 19, 2021)</t>
  </si>
  <si>
    <t>WEF = −0.85 * ln (hhp) + 2.87 (as of Jul. 19, 2021)</t>
  </si>
  <si>
    <t>WEF = 0.42 (as of Jul. 19, 2021)</t>
  </si>
  <si>
    <t>IECC; Energy Conservation Code of Hawaii</t>
  </si>
  <si>
    <t>ANSI/ASHRAE/IES Standard 90.1 2016</t>
  </si>
  <si>
    <t>ANSI/ASHRAE/IES Standard 90.1 2019</t>
  </si>
  <si>
    <t>ANSI/ASHRAE/IES Standard 90.1</t>
  </si>
  <si>
    <t>Shall meet the requirements set forth in California Code of Regulations, Title 20, Section 1605.3, as amended. (As of Jan. 1, 2021)</t>
  </si>
  <si>
    <t>Shall meet the minimum efficacy requirements contained in Section 430.32(n)(4)  of Title 10  of the Code of Federal Regulations as in effect on January 3, 2017, as measured in accordance with Appendix R to  Subpart B of Part 430 of Title 10 of the Code of Federal Regulations - "Uniform Test Method for Measuring Average Lamp Efficacy (LE), Color Rendering Index (CRI), and Correlated Color Temperature (CCT) of Electric Lamps" - as  amended. (As of Jan. 1, 2021)</t>
  </si>
  <si>
    <t>Those that are not specifically excluded from the scope of the Environmental Protection Agency's WaterSense Specification for Spray Sprinkler Bodies, Version 1.0, shall include an integral pressure regulator and shall meet the water efficiency and performance criteria and other requirements of that specification, as amended. (As of Jan. 1, 2021)</t>
  </si>
  <si>
    <r>
      <rPr>
        <sz val="11"/>
        <rFont val="Calibri"/>
        <family val="2"/>
      </rPr>
      <t>Single-phase split-system AC, ≥</t>
    </r>
    <r>
      <rPr>
        <sz val="11"/>
        <rFont val="Calibri"/>
        <family val="2"/>
        <scheme val="minor"/>
      </rPr>
      <t xml:space="preserve"> 45,000 and &lt; 65,000 Btu/h</t>
    </r>
  </si>
  <si>
    <r>
      <rPr>
        <sz val="11"/>
        <rFont val="Calibri"/>
        <family val="2"/>
      </rPr>
      <t>Commerical packaged AC, ≥</t>
    </r>
    <r>
      <rPr>
        <sz val="11"/>
        <rFont val="Calibri"/>
        <family val="2"/>
        <scheme val="minor"/>
      </rPr>
      <t xml:space="preserve"> 65,000 and &lt; 135,000 Btu/h</t>
    </r>
  </si>
  <si>
    <r>
      <rPr>
        <sz val="11"/>
        <rFont val="Calibri"/>
        <family val="2"/>
      </rPr>
      <t>Commerical packaged AC, ≥</t>
    </r>
    <r>
      <rPr>
        <sz val="11"/>
        <rFont val="Calibri"/>
        <family val="2"/>
        <scheme val="minor"/>
      </rPr>
      <t xml:space="preserve"> 135,000 and &lt; 240,000 Btu/h</t>
    </r>
  </si>
  <si>
    <r>
      <rPr>
        <sz val="11"/>
        <rFont val="Calibri"/>
        <family val="2"/>
      </rPr>
      <t>Commerical packaged AC, ≥</t>
    </r>
    <r>
      <rPr>
        <sz val="11"/>
        <rFont val="Calibri"/>
        <family val="2"/>
        <scheme val="minor"/>
      </rPr>
      <t xml:space="preserve"> 240,000 Btu/h and &lt; 760,000 Btu/h</t>
    </r>
  </si>
  <si>
    <r>
      <rPr>
        <sz val="11"/>
        <rFont val="Calibri"/>
        <family val="2"/>
      </rPr>
      <t>Commerical packaged HP, ≥</t>
    </r>
    <r>
      <rPr>
        <sz val="11"/>
        <rFont val="Calibri"/>
        <family val="2"/>
        <scheme val="minor"/>
      </rPr>
      <t xml:space="preserve"> 65,000 and &lt; 135,000 Btu/h</t>
    </r>
  </si>
  <si>
    <r>
      <rPr>
        <sz val="11"/>
        <rFont val="Calibri"/>
        <family val="2"/>
      </rPr>
      <t>Commerical packaged HP, ≥</t>
    </r>
    <r>
      <rPr>
        <sz val="11"/>
        <rFont val="Calibri"/>
        <family val="2"/>
        <scheme val="minor"/>
      </rPr>
      <t xml:space="preserve"> 135,000 and &lt; 240,000 Btu/h</t>
    </r>
  </si>
  <si>
    <t>Commerical packaged HP, ≥ 240,000 and &lt; 760,000 Btu/h</t>
  </si>
  <si>
    <t>Commerical packaged HP, &lt; 17,000 Btu/h</t>
  </si>
  <si>
    <t>Commerical packaged HP, ≥ 17,000 and &lt; 65,000 Btu/h</t>
  </si>
  <si>
    <t>Commerical packaged HP, ≥ 65,000 and &lt; 135,000 Btu/h</t>
  </si>
  <si>
    <t>Single-package, ≥ 65,000 and &lt; 240,000 Btu/h</t>
  </si>
  <si>
    <t xml:space="preserve">10 CFR 430.32 (b) </t>
  </si>
  <si>
    <t>Actual</t>
  </si>
  <si>
    <t>Enter Type of Home or Custom Occupancy (if known)</t>
  </si>
  <si>
    <t xml:space="preserve">Average Occupancy = </t>
  </si>
  <si>
    <t>Custom Occupancy =</t>
  </si>
  <si>
    <t>AEG's 2022 Analysis Files titled "PY22 R_WH_Heat Pump - Analysis File" and Mid-year PY22 TRM - Residential Heat Pump Water Heater - Analysis File."</t>
  </si>
  <si>
    <t>Updated in Fall 2022 for PY22 TRM V2.</t>
  </si>
  <si>
    <t xml:space="preserve">For ROB projects, the baseline must comply with the federal codes and standards that are in place at the time of the replacement and any known future federal requirements expected to be in place during the equipment's lifetime. We applied the Tier 2 backstop of 45 lumens per Watt, which the U.S. Department of Energy reinstated in final rulings published on May 9, 2022 (Federal Register 87FR27461 and 87FR27439), to non-exempt general service lamps (GSLs) subject to Energy Independence and Securities Act (EISA) 2007 legislation. Therefore, for PY22 and later, there is a single baseline (EISA Tier 2) for non-exempt GSLs until a new standard is published. </t>
  </si>
  <si>
    <t>LED HID Replacement</t>
  </si>
  <si>
    <t>First Year Savings: HID Replacement, ROB, Single Baseline</t>
  </si>
  <si>
    <t>Lifetime Savings: HID Replacement, ROB, Single Baseline</t>
  </si>
  <si>
    <t>AEG's 2022 Analysis File named "Mid-year PY22 TRM - LED Retrofit Kit Language - Analysis File."</t>
  </si>
  <si>
    <t>AEG's 2020 Analysis File named "AEG HPUC - PY20 v2.0 Lighting Baselines - Analysis."</t>
  </si>
  <si>
    <t>Exterior LED fixture. As an alternative to more traditional LED bulbs or tubes, LED retrofit kit engines qualify as applicable LED replacement lighting, as long as the LED retrofit kit engines have appropriate form factors compared to the baseline lighting.</t>
  </si>
  <si>
    <r>
      <t>DEER2020</t>
    </r>
    <r>
      <rPr>
        <vertAlign val="superscript"/>
        <sz val="10.5"/>
        <rFont val="Calibri"/>
        <family val="2"/>
        <scheme val="minor"/>
      </rPr>
      <t>2</t>
    </r>
    <r>
      <rPr>
        <sz val="10.5"/>
        <rFont val="Calibri"/>
        <family val="2"/>
        <scheme val="minor"/>
      </rPr>
      <t xml:space="preserve"> interactive effect factors for San Diego, adjusted to Hawaii's weather zone using LBNL simulation results</t>
    </r>
    <r>
      <rPr>
        <vertAlign val="superscript"/>
        <sz val="10.5"/>
        <rFont val="Calibri"/>
        <family val="2"/>
        <scheme val="minor"/>
      </rPr>
      <t>3</t>
    </r>
  </si>
  <si>
    <t>AEG's Analysis Files named "AEG HPUC Dual BL and TRB - Analysis File" and "AEG HPUC Update of Com-Lighting Measures - Analysis file."</t>
  </si>
  <si>
    <t>LED replacement lamp unit. As an alternative to more traditional LED bulbs or tubes, LED retrofit kit engines qualify as applicable LED replacement lighting, as long as the LED retrofit kit engines have appropriate form factors compared to the baseline lighting.</t>
  </si>
  <si>
    <t>As an alternative to more traditional LED bulbs or tubes, LED retrofit kit engines qualify as applicable LED replacement lighting, as long as the LED retrofit kit engines have appropriate form factors compared to the baseline lighting.</t>
  </si>
  <si>
    <t>AEG's 2020 Analysis File named "AEG HPUC Baseline Study Data - Analysis File."</t>
  </si>
  <si>
    <t>AEG's 2019 Analysis File named "PY19 TRM - Residential Additions - Draft_20191113 AEG reviewed."</t>
  </si>
  <si>
    <t>AEG's 2018 Analysis Files named "AEG HPUC Update of Residential Measures - Analysis file" and "HI - Res Lighting IEF Analysis."</t>
  </si>
  <si>
    <t>AEG's 2018 Analysis Files named "AEG HPUC Update of Residential Measures - Analysis file."</t>
  </si>
  <si>
    <t>AEG's 2022 Analysis File named "Mid-year PY22 TRM - Residential HVAC - Analysis File."</t>
  </si>
  <si>
    <t>AEG's PY20 file named "AEG HPUC - HVAC Measures - Analysis File_Jan 2021."</t>
  </si>
  <si>
    <t>AEG's PY19 Analysis Files named "AEG HPUC Update - Ductless Systems - Analysis File" and "AEG HPUC Res HVAC Calculator - Analysis File."</t>
  </si>
  <si>
    <t>Updated in Fall 2022 for the PY22 TRM V2. Effective as of Jan. 1, 2023.</t>
  </si>
  <si>
    <t>The assumed baseline for capacities &lt; 28 kBtu/h is a louvered, non-reverse cycle room AC unit. The assumed baseline for capacities ≥ 28 kBtu/h is an air-cooled split-system central AC unit. The baseline equipment must meet or exceed current federal and state minimum efficiency standards in effect on the installation date (see Table 1.)</t>
  </si>
  <si>
    <t>CEER or SEER2</t>
  </si>
  <si>
    <t>EER or EER2</t>
  </si>
  <si>
    <t>SEER2 Converted to SEER</t>
  </si>
  <si>
    <t>EER2 Converted to EER</t>
  </si>
  <si>
    <t>SEER2</t>
  </si>
  <si>
    <t>EER2</t>
  </si>
  <si>
    <t>1. For minimum CEER and SEER2 requirements effective as of Jan. 1, 2023, see &lt;https://www.govinfo.gov/content/pkg/CFR-2022-title10-vol3/pdf/CFR-2022-title10-vol3-sec430-32.pdf&gt;. For Hawaii, there is no federal or state minimum EER or EER2 requirement. For Room AC units, EER is assumed to be CEER * 1.01. For Central AC units, AEG's research of the AHRI database (Nov. 7, 2022 extract) showed that 11.7 EE2 is the most common EER2 value for the 14.3 SEER2 minimum requirement and 11.2 EER2 is the most common EER2 value for 13.8 SEER2 minimum requirement. SEER2 and EER2 values for Central AC units have been converted to SEER and EER values, respectively, using conversion factors developed from analysis of AHRI Nov. 7, 2022 data. Refer to AEG's 2022 Analysis File named "Mid-year PY22 TRM - Residential HVAC - Analysis File" for more information.</t>
  </si>
  <si>
    <t>See footnote 1 under Table 1.</t>
  </si>
  <si>
    <t>Combined energy efficiency ratio (&lt; 28 kBtu/h) or seasonal energy efficiency ratio (≥ 28 kBtu/h) of baseline unit</t>
  </si>
  <si>
    <t>R_HVAC_AC_WKST_2</t>
  </si>
  <si>
    <t>Air-Conditioning, Heating, &amp; Refrigeration Institute (AHRI), Database of Certified Products, accessed Nov. 7 2022, available here: &lt;https://www.ahridirectory.org/&gt;.</t>
  </si>
  <si>
    <t>Code of Federal Regulations, 10 CFR 430.32, Subpart C, Energy and Water Conservation Standards and Their Effective Dates, (c) Central Air Conditioners and Heat Pumps, available here: &lt;https://www.govinfo.gov/content/pkg/CFR-2022-title10-vol3/pdf/CFR-2022-title10-vol3-sec430-32.pdf&gt;.</t>
  </si>
  <si>
    <r>
      <t>(C)SEER</t>
    </r>
    <r>
      <rPr>
        <vertAlign val="subscript"/>
        <sz val="10.5"/>
        <rFont val="Calibri"/>
        <family val="2"/>
        <scheme val="minor"/>
      </rPr>
      <t>BL</t>
    </r>
  </si>
  <si>
    <r>
      <rPr>
        <sz val="11"/>
        <rFont val="Calibri"/>
        <family val="2"/>
      </rPr>
      <t>≥20,</t>
    </r>
    <r>
      <rPr>
        <sz val="11"/>
        <rFont val="Calibri"/>
        <family val="2"/>
        <scheme val="minor"/>
      </rPr>
      <t>000 Btu/h and &lt;28,000 Btu/h</t>
    </r>
  </si>
  <si>
    <r>
      <rPr>
        <sz val="11"/>
        <rFont val="Calibri"/>
        <family val="2"/>
      </rPr>
      <t>≥28,</t>
    </r>
    <r>
      <rPr>
        <sz val="11"/>
        <rFont val="Calibri"/>
        <family val="2"/>
        <scheme val="minor"/>
      </rPr>
      <t>000 Btu/h and &lt;45,000 Btu/h</t>
    </r>
  </si>
  <si>
    <r>
      <rPr>
        <sz val="11"/>
        <rFont val="Calibri"/>
        <family val="2"/>
      </rPr>
      <t>≥45,</t>
    </r>
    <r>
      <rPr>
        <sz val="11"/>
        <rFont val="Calibri"/>
        <family val="2"/>
        <scheme val="minor"/>
      </rPr>
      <t>000 Btu/h and &lt;65,000 Btu/h</t>
    </r>
  </si>
  <si>
    <t xml:space="preserve">AEG's PY20 file named "AEG HPUC - HVAC Measures - Analysis File_Jan 2021." </t>
  </si>
  <si>
    <t>AEG's PY19 Analysis Files named "AEG HPUC Res HVAC Calculator - Analysis File" and "AEG HPUC Mid-Year PY19 TRM Updates_Analysis File." In addition, the file named "AEG HPUC Update - Ductless Systems - Analysis file," worksheet tab named "Res_HVAC Key Parameters," includes Hawai‘i-specific simulation results for determining Central AC EFLH and CF.</t>
  </si>
  <si>
    <t>Baseline equipment is assumed to be an air-cooled split-system or single-package central AC unit with a capacity of &lt;65,000 Btu/h. For early replacement, a dual baseline is required to estimate impacts. Federal and state requirements stipulate minimum SEER and SEER2 values that vary depending on the vintage and type of the AC equipment. For Hawaii, there are no federal or state minimum EER or EER2 requirements for AC systems. Instead, we determined proxy baseline values to estimate peak demand impacts for the Hawai'i Energy program. See Table 1 below for a summary of the baseline efficiency metrics.</t>
  </si>
  <si>
    <t>During the first baseline period, pre-existing equipment manufactured after Jan. 23, 2006 is assumed to be 13 SEER per the minimum federal requirement in effect between 2006 and 2015, while pre-existing equipment manufactured before Jan. 23, 2006 is assumed to be 11 SEER. In cases where the pre-existing AC unit's nameplate is corroded or otherwise illegible due to age, assume pre-2006 vintage. If the system cannot reasonably be assumed to be less than 20 years old, use the replace-on-burnout baseline and calculation approach.</t>
  </si>
  <si>
    <t xml:space="preserve">After the first baseline period ends, the second baseline must meet or exceed the federal and state minimum SEER2 requirement in effect on the installation date (see Table 1). </t>
  </si>
  <si>
    <t>Table 1: Baseline Efficiency Specifications*</t>
  </si>
  <si>
    <t>Early Replacement 1st Baseline
1st Baseline 
(Pre-2006)</t>
  </si>
  <si>
    <t>Early Replacement 
2nd Baseline or Replace-on-Burnout Single Baseline (as of Jan. 1, 2023)</t>
  </si>
  <si>
    <t>Split System, &lt;45 kBtu/h</t>
  </si>
  <si>
    <t>Split System, ≥45 kBtu/h</t>
  </si>
  <si>
    <t>Single-Package</t>
  </si>
  <si>
    <t>* Refer to Definitions &amp; Assumptions for the sources of these values.</t>
  </si>
  <si>
    <t>(also applies to the replace-on-burnout single baseline approach)</t>
  </si>
  <si>
    <t>Ratio of EER-to-EER2</t>
  </si>
  <si>
    <t>See Table 2 below</t>
  </si>
  <si>
    <t>AEG analysis of AHRI extract on Nov. 7, 2022</t>
  </si>
  <si>
    <t>Energy efficiency ratio 2 of baseline unit for second baseline period (also used for single baseline for replace-on-burnout projects)</t>
  </si>
  <si>
    <t>See Table 1 above</t>
  </si>
  <si>
    <t>Energy efficiency ratio 2 of installed high efficiency unit</t>
  </si>
  <si>
    <t>Ratio of SEER-to-SEER2</t>
  </si>
  <si>
    <t>Seasonal energy efficiency ratio 2 of baseline unit for second baseline period (also used for single baseline for replace-on-burnout projects)</t>
  </si>
  <si>
    <t>Seasonal energy efficiency ratio 2 of installed high efficiency unit</t>
  </si>
  <si>
    <t>2. There is no federal or state minimum EER2 requirement for Hawaii. AEG's research of the AHRI database (Nov. 7, 2022 extract) showed that each EER2 value in Table 1 represents the most common EER2 value for the given SEER2 minimum requirement. Refer to AEG's 2022 Analysis File named "Mid-year PY22 TRM - Residential HVAC - Analysis File" for more information.</t>
  </si>
  <si>
    <t>5. Table 1 shows the minimum SEER2 values for split-system central AC and single-package central AC systems installed in Hawaii on or after Jan. 1, 2023. See &lt;https://www.govinfo.gov/content/pkg/CFR-2022-title10-vol3/pdf/CFR-2022-title10-vol3-sec430-32.pdf&gt;.</t>
  </si>
  <si>
    <t>Table 2: Conversion Factors**</t>
  </si>
  <si>
    <t>(SEER/SEER2)</t>
  </si>
  <si>
    <t>(EER/EER2)</t>
  </si>
  <si>
    <t>** These values represent the weighted average of the ratios of average SEER-to-SEER2 (and EER-to-EER2) across discrete SEER2 (and EER2) values in the AHRI dataset as of 11/7/2022. Refer to AEG's 2022 Analysis File named "Mid-year PY22 TRM - Residential HVAC - Analysis File" for more information.</t>
  </si>
  <si>
    <t>ENERGY STAR Program Requirements, Product Specifications for Central Air Conditioner and Heat Pump Equipment, Eligibility Criteria, Version 6.1, available here: &lt;https://www.energystar.gov/sites/default/files/asset/document/ENERGY%20STAR%20Central%20Air%20Conditioner%20and%20Heat%20Pump%20Version%206.1%20Final%20Specification.pdf&gt;.</t>
  </si>
  <si>
    <t>Air-Conditioning, Heating, &amp; Refrigeration Institute (AHRI), Database of Certified Products, accessed Oct. 2018, Nov. 2020, and Nov. 7, 2022, available here: &lt;http://www.ahrinet.org/Contractors-Specifiers/Certified-Products&gt;.</t>
  </si>
  <si>
    <r>
      <t>"Conv</t>
    </r>
    <r>
      <rPr>
        <b/>
        <vertAlign val="subscript"/>
        <sz val="11"/>
        <rFont val="Calibri"/>
        <family val="2"/>
        <scheme val="minor"/>
      </rPr>
      <t>SEER2</t>
    </r>
    <r>
      <rPr>
        <b/>
        <sz val="11"/>
        <rFont val="Calibri"/>
        <family val="2"/>
        <scheme val="minor"/>
      </rPr>
      <t>"</t>
    </r>
  </si>
  <si>
    <r>
      <t>"Conv</t>
    </r>
    <r>
      <rPr>
        <b/>
        <vertAlign val="subscript"/>
        <sz val="11"/>
        <rFont val="Calibri"/>
        <family val="2"/>
        <scheme val="minor"/>
      </rPr>
      <t>EER2</t>
    </r>
    <r>
      <rPr>
        <b/>
        <sz val="11"/>
        <rFont val="Calibri"/>
        <family val="2"/>
        <scheme val="minor"/>
      </rPr>
      <t>"</t>
    </r>
  </si>
  <si>
    <r>
      <t>Conv</t>
    </r>
    <r>
      <rPr>
        <vertAlign val="subscript"/>
        <sz val="10.5"/>
        <rFont val="Calibri"/>
        <family val="2"/>
        <scheme val="minor"/>
      </rPr>
      <t>SEER2</t>
    </r>
  </si>
  <si>
    <r>
      <t>SEER2</t>
    </r>
    <r>
      <rPr>
        <vertAlign val="subscript"/>
        <sz val="10.5"/>
        <rFont val="Calibri"/>
        <family val="2"/>
        <scheme val="minor"/>
      </rPr>
      <t>BL,2</t>
    </r>
  </si>
  <si>
    <r>
      <t>SEER2</t>
    </r>
    <r>
      <rPr>
        <vertAlign val="subscript"/>
        <sz val="10.5"/>
        <rFont val="Calibri"/>
        <family val="2"/>
        <scheme val="minor"/>
      </rPr>
      <t>EE</t>
    </r>
  </si>
  <si>
    <r>
      <t>EER2</t>
    </r>
    <r>
      <rPr>
        <vertAlign val="subscript"/>
        <sz val="10.5"/>
        <rFont val="Calibri"/>
        <family val="2"/>
        <scheme val="minor"/>
      </rPr>
      <t>BL,2</t>
    </r>
  </si>
  <si>
    <r>
      <t>EER2</t>
    </r>
    <r>
      <rPr>
        <vertAlign val="subscript"/>
        <sz val="10.5"/>
        <rFont val="Calibri"/>
        <family val="2"/>
        <scheme val="minor"/>
      </rPr>
      <t>EE</t>
    </r>
  </si>
  <si>
    <r>
      <t>There is no minimum EER2</t>
    </r>
    <r>
      <rPr>
        <vertAlign val="subscript"/>
        <sz val="10.5"/>
        <rFont val="Calibri"/>
        <family val="2"/>
        <scheme val="minor"/>
      </rPr>
      <t>EE</t>
    </r>
    <r>
      <rPr>
        <sz val="10.5"/>
        <rFont val="Calibri"/>
        <family val="2"/>
        <scheme val="minor"/>
      </rPr>
      <t xml:space="preserve"> requirement.</t>
    </r>
  </si>
  <si>
    <t>See Note 3. This baseline option sunsets at the end of PY25.</t>
  </si>
  <si>
    <r>
      <t>Conv</t>
    </r>
    <r>
      <rPr>
        <vertAlign val="subscript"/>
        <sz val="10.5"/>
        <rFont val="Calibri"/>
        <family val="2"/>
        <scheme val="minor"/>
      </rPr>
      <t>EER2</t>
    </r>
  </si>
  <si>
    <r>
      <t>EER</t>
    </r>
    <r>
      <rPr>
        <vertAlign val="subscript"/>
        <sz val="10.5"/>
        <rFont val="Calibri"/>
        <family val="2"/>
        <scheme val="minor"/>
      </rPr>
      <t>BL,1</t>
    </r>
  </si>
  <si>
    <t>Assumed to be EER = 0.9 * SEER, for 11 SEER system. This baseline option sunsets at the end of PY25.</t>
  </si>
  <si>
    <r>
      <rPr>
        <b/>
        <i/>
        <sz val="11"/>
        <rFont val="Calibri"/>
        <family val="2"/>
        <scheme val="minor"/>
      </rPr>
      <t xml:space="preserve">Note: </t>
    </r>
    <r>
      <rPr>
        <i/>
        <sz val="11"/>
        <rFont val="Calibri"/>
        <family val="2"/>
        <scheme val="minor"/>
      </rPr>
      <t>The sunset date for the pre-2006 early replacement baseline option (SEER 11) is the end of PY25. Any AC systems retired after PY25 will be over 20 years old and must use a single-baseline, replace-on-burnout approach. For replace-on-burnout, the single baseline must meet or exceed the federal and state minimum SEER2 requirement in effect on the installation date (see Table 1).</t>
    </r>
  </si>
  <si>
    <t>Central AC Split-System (45,000-64,999 Btu/h)</t>
  </si>
  <si>
    <t>Enter Full Load Efficiency with Applicable Metric:</t>
  </si>
  <si>
    <t>Enter Part-Load Efficiency with Applicable Metric:</t>
  </si>
  <si>
    <t>Note: Enter SEER and EER for Ductless AC, SEER2 and EER2 for Central AC, and CEER and EER for Room AC. If a value is unknown, check AHRI Directory (www.ahridirectory.org). If product is not listed, use EER(2) = 0.9 * SEER(2), EER = 1.01 * CEER, SEER(2) = EER(2) / 0.9, or CEER = EER / 1.01.</t>
  </si>
  <si>
    <t>Lifetime kWh (ROB):</t>
  </si>
  <si>
    <t>Lifetime kWh (ER):</t>
  </si>
  <si>
    <t>≥20,000 Btu/h and &lt;28,000 Btu/h</t>
  </si>
  <si>
    <t>≥28,000 Btu/h and &lt;45,000 Btu/h</t>
  </si>
  <si>
    <t>≥45,000 Btu/h and &lt;65,000 Btu/h</t>
  </si>
  <si>
    <t>Central AC Split-System (&lt;45,000 Btu/h)</t>
  </si>
  <si>
    <t>Central AC Single-Package (&lt;65,000 Btu/h)</t>
  </si>
  <si>
    <t>SEER(2)/CEER_EE_Min</t>
  </si>
  <si>
    <t>SEER(2)/CEER_EE_Base</t>
  </si>
  <si>
    <t>Ductless (&lt;28,000 Btu/h)</t>
  </si>
  <si>
    <t>Ductless (≥28,000 Btu/h)</t>
  </si>
  <si>
    <t>1. CEER applies to Room AC, SEER applies to Ductless AC, and SEER2 applies to Central AC.</t>
  </si>
  <si>
    <r>
      <t xml:space="preserve">Enter Rated AC Capacity of New Unit </t>
    </r>
    <r>
      <rPr>
        <b/>
        <sz val="8"/>
        <rFont val="Calibri"/>
        <family val="2"/>
        <scheme val="minor"/>
      </rPr>
      <t>(</t>
    </r>
    <r>
      <rPr>
        <b/>
        <sz val="11"/>
        <rFont val="Calibri"/>
        <family val="2"/>
        <scheme val="minor"/>
      </rPr>
      <t>Btu/h</t>
    </r>
    <r>
      <rPr>
        <b/>
        <sz val="8"/>
        <rFont val="Calibri"/>
        <family val="2"/>
        <scheme val="minor"/>
      </rPr>
      <t>)</t>
    </r>
    <r>
      <rPr>
        <b/>
        <sz val="11"/>
        <rFont val="Calibri"/>
        <family val="2"/>
        <scheme val="minor"/>
      </rPr>
      <t>:</t>
    </r>
  </si>
  <si>
    <r>
      <t>EER(2)</t>
    </r>
    <r>
      <rPr>
        <b/>
        <vertAlign val="subscript"/>
        <sz val="11"/>
        <rFont val="Calibri"/>
        <family val="2"/>
        <scheme val="minor"/>
      </rPr>
      <t>BL,2</t>
    </r>
  </si>
  <si>
    <r>
      <t>SEER(2)/CEER</t>
    </r>
    <r>
      <rPr>
        <b/>
        <vertAlign val="subscript"/>
        <sz val="11"/>
        <rFont val="Calibri"/>
        <family val="2"/>
        <scheme val="minor"/>
      </rPr>
      <t>BL,2</t>
    </r>
  </si>
  <si>
    <r>
      <t>Conv</t>
    </r>
    <r>
      <rPr>
        <b/>
        <vertAlign val="subscript"/>
        <sz val="11"/>
        <rFont val="Calibri"/>
        <family val="2"/>
        <scheme val="minor"/>
      </rPr>
      <t>SEER2</t>
    </r>
  </si>
  <si>
    <r>
      <t>Conv</t>
    </r>
    <r>
      <rPr>
        <b/>
        <vertAlign val="subscript"/>
        <sz val="11"/>
        <rFont val="Calibri"/>
        <family val="2"/>
        <scheme val="minor"/>
      </rPr>
      <t>EER2</t>
    </r>
  </si>
  <si>
    <r>
      <t>CEER/SEER</t>
    </r>
    <r>
      <rPr>
        <b/>
        <vertAlign val="subscript"/>
        <sz val="11"/>
        <rFont val="Calibri"/>
        <family val="2"/>
        <scheme val="minor"/>
      </rPr>
      <t>BL</t>
    </r>
  </si>
  <si>
    <r>
      <t>SEER2/CEER</t>
    </r>
    <r>
      <rPr>
        <b/>
        <vertAlign val="subscript"/>
        <sz val="11"/>
        <rFont val="Calibri"/>
        <family val="2"/>
        <scheme val="minor"/>
      </rPr>
      <t>BL,2</t>
    </r>
  </si>
  <si>
    <r>
      <t>EER2/EER</t>
    </r>
    <r>
      <rPr>
        <b/>
        <vertAlign val="subscript"/>
        <sz val="11"/>
        <rFont val="Calibri"/>
        <family val="2"/>
        <scheme val="minor"/>
      </rPr>
      <t>BL,2</t>
    </r>
  </si>
  <si>
    <t xml:space="preserve">2. SEER/CEER_EE_Base only differs from SEER/CEER_EE_Min for Room AC systems. SEER/CEER_EE_Base represents the minimum ENERGY STAR efficiency for standard Room AC systems, while SEER/CEER_EE_Min represents the minimum ENERGY STAR efficiency for "Connected" (Smart) Room AC systems. The stricter SEER/CEER_EE_Base requirements for standard Room AC systems apply for PY20 and later. </t>
  </si>
  <si>
    <t>Correction to typo</t>
  </si>
  <si>
    <t>Commercial HVAC: AC &amp; Heat Pump</t>
  </si>
  <si>
    <t xml:space="preserve">Update of efficiencies; expansion of measure </t>
  </si>
  <si>
    <t>Commercial Kitchen: Combination Oven</t>
  </si>
  <si>
    <t>Full measure review and update</t>
  </si>
  <si>
    <t>Commercial Kitchen: Convection Oven</t>
  </si>
  <si>
    <t>Commercial Kitchen: Ice Machine</t>
  </si>
  <si>
    <t>Full measure review and update; expansion of measure</t>
  </si>
  <si>
    <t>Commercial Kitchen: Low-Flow Spray Nozzle</t>
  </si>
  <si>
    <t xml:space="preserve">Commercial Kitchen: Freezer </t>
  </si>
  <si>
    <t>Update of ENERGY STAR criteria</t>
  </si>
  <si>
    <t>Commercial Kitchen: Refrigerator</t>
  </si>
  <si>
    <t>Residential Appliance: Clothes Washer</t>
  </si>
  <si>
    <t>Residential HVAC: Central AC Retrofit</t>
  </si>
  <si>
    <t>Residential Water Heating: Heat Pump</t>
  </si>
  <si>
    <t>Greenhouse Gas Calculator</t>
  </si>
  <si>
    <t>Update to use the most recent eGRID data</t>
  </si>
  <si>
    <t>Codes &amp; Standards Tracking</t>
  </si>
  <si>
    <t>Update of the set of baseline conditions in effect for PY23</t>
  </si>
  <si>
    <t xml:space="preserve">Commercial Plug and Process: Water Cooler Timer </t>
  </si>
  <si>
    <t>Label as inactive</t>
  </si>
  <si>
    <t>Revised in PY23 TRM v1.0</t>
  </si>
  <si>
    <t>R_HVAC_Central AC Retrofit; and R_HVAC_AC_WKST</t>
  </si>
  <si>
    <t>Update of efficiencies, effective Jul. 1, 2023</t>
  </si>
  <si>
    <t>C_HVAC_AC &amp; Heat Pump and C_HVAC_AC_HP_WKST</t>
  </si>
  <si>
    <t>C_Kitchen_Combination Oven</t>
  </si>
  <si>
    <t>C_Kitchen_Convection Oven</t>
  </si>
  <si>
    <t>C_Kitchen_LF Spray Nozzle</t>
  </si>
  <si>
    <t>Consider new NTGR - result was no change to NTGR table in Key Metrics</t>
  </si>
  <si>
    <t>No change to PY23 TR v1.0</t>
  </si>
  <si>
    <t>C_PlugProcess_Water Cooler Tmr</t>
  </si>
  <si>
    <t>This measure is designated "inactive" as of PY23. Before it can be reinstated for a future program year, a full update of the savings approach will be needed.</t>
  </si>
  <si>
    <t>Ceiling Fan (Inactive)</t>
  </si>
  <si>
    <t xml:space="preserve">Refrigerator </t>
  </si>
  <si>
    <t xml:space="preserve">Demand-Controlled Ventilation </t>
  </si>
  <si>
    <t>Chiller Worksheet</t>
  </si>
  <si>
    <t>Refrigerated Case Light</t>
  </si>
  <si>
    <t>Smart Thermostat</t>
  </si>
  <si>
    <t>Updated in Winter 2022-2023 for the PY23 TRM.</t>
  </si>
  <si>
    <t>45 lm/W (as of Apr. 1, 2023)</t>
  </si>
  <si>
    <t>14.3 SEER2 (as of Jan. 1, 2023)</t>
  </si>
  <si>
    <t>10 CFR 430.32 (c)</t>
  </si>
  <si>
    <t>13.8 SEER2 (as of Jan. 1, 2023)</t>
  </si>
  <si>
    <t>13.4 SEER2 (as of Jan. 1, 2023)</t>
  </si>
  <si>
    <t>14.8 IEER (as of Jan. 1, 2023)</t>
  </si>
  <si>
    <t>14.2 IEER (as of Jan. 1, 2023)</t>
  </si>
  <si>
    <t>13.2 IEER (as of Jan. 1, 2023)</t>
  </si>
  <si>
    <t>14.1 IEER (as of Jan. 1, 2023)</t>
  </si>
  <si>
    <t>13.5 IEER (as of Jan. 1, 2023)</t>
  </si>
  <si>
    <t>12.5 IEER (as of Jan. 1, 2023)</t>
  </si>
  <si>
    <t>Standard, ≥ 7,000 and ≤ 15,000 Btu/h</t>
  </si>
  <si>
    <t>Non-Standard, ≥ 7,000 and ≤ 15,000 Btu/h</t>
  </si>
  <si>
    <t>Commercial Pre-Rinse Spray Valve</t>
  </si>
  <si>
    <t>Product Class 1 (≤5.0 ozf)</t>
  </si>
  <si>
    <t>1.00  gpm (as of Jan. 28, 2019)</t>
  </si>
  <si>
    <t>10 CFR 431.266</t>
  </si>
  <si>
    <t>Product Class 2 (&gt;5.0 ozf and ≤8.0 ozf)</t>
  </si>
  <si>
    <t>1.20 gpm (as of Jan. 28, 2019)</t>
  </si>
  <si>
    <t>Product Class 3 (&gt;8.0 ozf)</t>
  </si>
  <si>
    <t>1.28 gpm (as of Jan. 28, 2019)</t>
  </si>
  <si>
    <t>IECC 2018 w/ Hawaii Amendments (as of Dec. 15, 2022)</t>
  </si>
  <si>
    <t>Section R407, Hawaii Energy Code 2018 (as of Dec. 15, 2022)</t>
  </si>
  <si>
    <r>
      <t>Use the following calculator to estimate avoided emissions and equivalent avoided barrels of oil due to program-level annual energy savings. The calculator requires users to input Annual Program Level Energy Savings in kWh units. It then uses emission rates from Table 8 to calculate avoided emissions in pounds (lbs) and metric tons (MT). It also uses Table 9 to convert CO</t>
    </r>
    <r>
      <rPr>
        <vertAlign val="subscript"/>
        <sz val="11"/>
        <rFont val="Calibri"/>
        <family val="2"/>
        <scheme val="minor"/>
      </rPr>
      <t>2</t>
    </r>
    <r>
      <rPr>
        <sz val="11"/>
        <rFont val="Calibri"/>
        <family val="2"/>
        <scheme val="minor"/>
      </rPr>
      <t xml:space="preserve"> emissions to equivalent avoided barrels of oil (bbl).</t>
    </r>
  </si>
  <si>
    <r>
      <t>The eGRID emission rates in Table 8 should be updated periodically as new eGRID data becomes available. It is preferable to directly use the eGRID CO</t>
    </r>
    <r>
      <rPr>
        <vertAlign val="subscript"/>
        <sz val="11"/>
        <rFont val="Calibri"/>
        <family val="2"/>
        <scheme val="minor"/>
      </rPr>
      <t>2</t>
    </r>
    <r>
      <rPr>
        <sz val="11"/>
        <rFont val="Calibri"/>
        <family val="2"/>
        <scheme val="minor"/>
      </rPr>
      <t>e emission rate to estimate avoided CO</t>
    </r>
    <r>
      <rPr>
        <vertAlign val="subscript"/>
        <sz val="11"/>
        <rFont val="Calibri"/>
        <family val="2"/>
        <scheme val="minor"/>
      </rPr>
      <t>2</t>
    </r>
    <r>
      <rPr>
        <sz val="11"/>
        <rFont val="Calibri"/>
        <family val="2"/>
        <scheme val="minor"/>
      </rPr>
      <t>e emissions over using global warming potential (GWP) factors to calculate the CO</t>
    </r>
    <r>
      <rPr>
        <vertAlign val="subscript"/>
        <sz val="11"/>
        <rFont val="Calibri"/>
        <family val="2"/>
        <scheme val="minor"/>
      </rPr>
      <t>2</t>
    </r>
    <r>
      <rPr>
        <sz val="11"/>
        <rFont val="Calibri"/>
        <family val="2"/>
        <scheme val="minor"/>
      </rPr>
      <t xml:space="preserve"> equivalent emission rates for CH</t>
    </r>
    <r>
      <rPr>
        <vertAlign val="subscript"/>
        <sz val="11"/>
        <rFont val="Calibri"/>
        <family val="2"/>
        <scheme val="minor"/>
      </rPr>
      <t>4</t>
    </r>
    <r>
      <rPr>
        <sz val="11"/>
        <rFont val="Calibri"/>
        <family val="2"/>
        <scheme val="minor"/>
      </rPr>
      <t xml:space="preserve"> and NO</t>
    </r>
    <r>
      <rPr>
        <vertAlign val="subscript"/>
        <sz val="11"/>
        <rFont val="Calibri"/>
        <family val="2"/>
        <scheme val="minor"/>
      </rPr>
      <t>2</t>
    </r>
    <r>
      <rPr>
        <sz val="11"/>
        <rFont val="Calibri"/>
        <family val="2"/>
        <scheme val="minor"/>
      </rPr>
      <t xml:space="preserve"> separately and then sum with the CO</t>
    </r>
    <r>
      <rPr>
        <vertAlign val="subscript"/>
        <sz val="11"/>
        <rFont val="Calibri"/>
        <family val="2"/>
        <scheme val="minor"/>
      </rPr>
      <t>2</t>
    </r>
    <r>
      <rPr>
        <sz val="11"/>
        <rFont val="Calibri"/>
        <family val="2"/>
        <scheme val="minor"/>
      </rPr>
      <t xml:space="preserve"> emission rate to estimate the avoided CO</t>
    </r>
    <r>
      <rPr>
        <vertAlign val="subscript"/>
        <sz val="11"/>
        <rFont val="Calibri"/>
        <family val="2"/>
        <scheme val="minor"/>
      </rPr>
      <t>2</t>
    </r>
    <r>
      <rPr>
        <sz val="11"/>
        <rFont val="Calibri"/>
        <family val="2"/>
        <scheme val="minor"/>
      </rPr>
      <t>e emissions. There are two main reasons for this: 1) using a single emission rate simplifies the calculation, and 2) since the GWP factors for CH</t>
    </r>
    <r>
      <rPr>
        <vertAlign val="subscript"/>
        <sz val="11"/>
        <rFont val="Calibri"/>
        <family val="2"/>
        <scheme val="minor"/>
      </rPr>
      <t>4</t>
    </r>
    <r>
      <rPr>
        <sz val="11"/>
        <rFont val="Calibri"/>
        <family val="2"/>
        <scheme val="minor"/>
      </rPr>
      <t xml:space="preserve"> and NO</t>
    </r>
    <r>
      <rPr>
        <vertAlign val="subscript"/>
        <sz val="11"/>
        <rFont val="Calibri"/>
        <family val="2"/>
        <scheme val="minor"/>
      </rPr>
      <t>2</t>
    </r>
    <r>
      <rPr>
        <sz val="11"/>
        <rFont val="Calibri"/>
        <family val="2"/>
        <scheme val="minor"/>
      </rPr>
      <t xml:space="preserve"> are occasionally updated by the EPA, using the pre-calculated CO</t>
    </r>
    <r>
      <rPr>
        <vertAlign val="subscript"/>
        <sz val="11"/>
        <rFont val="Calibri"/>
        <family val="2"/>
        <scheme val="minor"/>
      </rPr>
      <t>2</t>
    </r>
    <r>
      <rPr>
        <sz val="11"/>
        <rFont val="Calibri"/>
        <family val="2"/>
        <scheme val="minor"/>
      </rPr>
      <t>e emission rate from eGRID ensures the inherent use of the most recent GWP factors in the calculation.</t>
    </r>
  </si>
  <si>
    <t>Source: Greenhouse Gases Equivalencies Calculator - Calculations and References, U.S Environmental Protection Agency, Barrels of Oil Consumed, accessed February 21, 2023, https://www.epa.gov/energy/greenhouse-gases-equivalencies-calculator-calculations-and-references.</t>
  </si>
  <si>
    <t xml:space="preserve">Updated in Winter 2022-2023 for PY23 TRM. </t>
  </si>
  <si>
    <t>This measure relates to installing a new commercial combination oven meeting ENERGY STAR efficiency standards. Commercial combination ovens are convection ovens with the added capability to inject steam into the oven capacity. They offer three distinct cooking modes: hot air convection, steam heating, and a combination of both modes. The combination oven is also referred to as a combination oven/steamer, combi, or combo. ENERGY STAR commercial combination ovens are about 20-40% more energy efficient than standard models.</t>
  </si>
  <si>
    <t xml:space="preserve">Eligible ovens must be compliant with the current ENERGY STAR requirements:
• Full-size electric combination ovens must accommodate two 12.7 x 20.8 x 2.5-inch steam table pans per rack position. 
• Half-size electric convection ovens must accommodate one 12.7 x 20.8 x 2.5-inch steam table pan per rack position. 
• Cooking energy efficiency and idle energy rate must meet or exceed those specified in ENERGY STAR Version 3.0. </t>
  </si>
  <si>
    <t xml:space="preserve">For this characterization to apply, the baseline equipment is assumed to be a full-size or half-size electric combination oven not meeting the ENERGY STAR key product criteria and with a pan capacity equal to or more than three pans and equal to or less than 40 pans. </t>
  </si>
  <si>
    <t xml:space="preserve">For this characterization to apply, the efficient equipment is assumed to be a full-size or half-size electric combination convection oven meeting the minimum ENERGY STAR key product criteria and with a pan capacity equal to or more than three pans and equal to or less than 40 pans. </t>
  </si>
  <si>
    <t>Baseline equipment daily energy use</t>
  </si>
  <si>
    <t>High efficiency equipment daily energy use</t>
  </si>
  <si>
    <t>Daily preheat energy use</t>
  </si>
  <si>
    <t>US EPA Savings Calculator for ENERGY STAR Commercial Food Service (CFS) Products (07-15-21)</t>
  </si>
  <si>
    <t>Daily convection energy use</t>
  </si>
  <si>
    <t>Daily steam energy use</t>
  </si>
  <si>
    <t>Daily idle energy use in convection mode</t>
  </si>
  <si>
    <t>Daily idle energy use in steam mode</t>
  </si>
  <si>
    <t>Energy needed to cook 1 lb of food</t>
  </si>
  <si>
    <t>Energy efficiency of convection mode</t>
  </si>
  <si>
    <t>ENERGY STAR Version 3.0, Texas TRM</t>
  </si>
  <si>
    <t>Energy efficiency of steam mode</t>
  </si>
  <si>
    <t>Percentage of time in convection mode</t>
  </si>
  <si>
    <t>Number of daily preheat cycles</t>
  </si>
  <si>
    <t>Duration of preheat</t>
  </si>
  <si>
    <t>mins</t>
  </si>
  <si>
    <t>Daily idle time in convection mode</t>
  </si>
  <si>
    <t>Daily idle time in steam mode</t>
  </si>
  <si>
    <t>Idle power draw of steam mode</t>
  </si>
  <si>
    <t>MASSDAY</t>
  </si>
  <si>
    <t xml:space="preserve">Amount of food cooked daily </t>
  </si>
  <si>
    <t>lb</t>
  </si>
  <si>
    <t>2023 California eTRM</t>
  </si>
  <si>
    <t>Production capacity in convection mode</t>
  </si>
  <si>
    <t>lb/hr</t>
  </si>
  <si>
    <t xml:space="preserve">US EPA Savings Calculator for ENERGY STAR Commercial Food Service (CFS) Products (07-15-21) &amp; 2023 Texas TRM </t>
  </si>
  <si>
    <t>Production capacity in steam mode</t>
  </si>
  <si>
    <t>Number of sheet pans in oven</t>
  </si>
  <si>
    <t>See Table 1 footnotes</t>
  </si>
  <si>
    <t>AEG assumption for each capacity bin</t>
  </si>
  <si>
    <t>DAYHRS</t>
  </si>
  <si>
    <t>365 days; 12 hrs/day</t>
  </si>
  <si>
    <t>Expected useful life of measure</t>
  </si>
  <si>
    <t>PY23 TRM Commercial Kitchen Combination Oven Analysis File, "EUL Benchmarking" sheet</t>
  </si>
  <si>
    <t xml:space="preserve">1. The commercial kitchen combination oven is assumed to operate within the California DEER peak period of 4-9 pm on weekdays at a constant load throughout the day. Hawaii's peak period is 5-9 pm non-holiday weekdays (year-round), similar to California's peak period of 4-9 pm on weekdays. As such, a CF of 0.90 is appropriate to use for Hawaii. The CF value should be updated with Hawaii-specific load shape analysis in the future. </t>
  </si>
  <si>
    <t>3- 4 Pan Capacity</t>
  </si>
  <si>
    <t>Convection Mode</t>
  </si>
  <si>
    <t>Steam Mode</t>
  </si>
  <si>
    <t>Amount of food cooked daily (lbs), MASSDAY</t>
  </si>
  <si>
    <t>Daily idle energy use (Wh)</t>
  </si>
  <si>
    <t>Total daily energy use (Wh)</t>
  </si>
  <si>
    <t>5-14 Pan Capacity</t>
  </si>
  <si>
    <t>15-28 Pan Capacity</t>
  </si>
  <si>
    <t>28-40 Pan Capacity</t>
  </si>
  <si>
    <t xml:space="preserve">a. The idle power draw for high efficiency case is calculated using an average pan capacity of 4. Convection mode: ((0.05*4)+0.55)*1000W=750W. Steam mode: (0.6*4)*1000W=2400W. </t>
  </si>
  <si>
    <t>b. The idle power draw for high efficiency case is calculated using an average pan capacity of 10. Convection mode: ((0.083*10)+0.35)*1000W=1180W. Steam mode: ((0.133*10)+0.64)*1000W=1970W</t>
  </si>
  <si>
    <t>c. The idle power draw for high efficiency case is calculated using an average pan capacity of 22. Convection mode: ((0.083*22)+0.35)*1000W=2176W. Steam mode: ((0.133*22)+0.64)*1000W=2926W</t>
  </si>
  <si>
    <t>d. The idle power draw for high efficiency case is calculated using an average pan capacity of 22. Convection mode: ((0.083*34)+0.35)*1000W=3172W. Steam mode: ((0.133*34)+0.64)*1000W=5162W</t>
  </si>
  <si>
    <t>Oven Capacity</t>
  </si>
  <si>
    <t>3-4 Pans</t>
  </si>
  <si>
    <t>15-28 Pans</t>
  </si>
  <si>
    <t>29-40 Pans</t>
  </si>
  <si>
    <t>AEG's analysis file titled "PY23 TRM Commercial Kitchen Combination Oven - Analysis File."</t>
  </si>
  <si>
    <t>ENERGY STAR. 2023. "ENERGY STAR® Program Requirements Product Specification for Commercial Ovens - Eligibility Criteria Version 3.0." Effective on January 12, 2023. URL: https://www.energystar.gov/sites/default/files/ENERGY%20STAR%20Version%203.0%20Commercial%20Ovens%20Final%20Specification_0.pdf</t>
  </si>
  <si>
    <t>US EPA and US DOE. ENERGY STAR Savings Calculator for ENERGY STAR Commercial Food Service (CFS) Products. June 7, 2021. URL: https://www.energystar.gov/sites/default/files/asset/document/CFS_calculator_07-15-2021.xlsx</t>
  </si>
  <si>
    <t>California eTRM. Combination Oven, Commercial. SWFS003-02. November 10, 2022. URL: https://www.caetrm.com/measure/SWFS003/02/</t>
  </si>
  <si>
    <t xml:space="preserve">Itron, Inc. 2005-2005 Database for Energy Efficiency Resources (DEER) Update Study. Final Report. Prepared for Southern California Edison. December 2005. Table 3-14, p. 3-17. </t>
  </si>
  <si>
    <t xml:space="preserve">California Technical Forum. 2023. "CPUC Support Tables. Effective Useful Life and Remaining Useful Life." URL: https://www.caetrm.com/cpuc/table/effusefullife/. February 1, 2023. </t>
  </si>
  <si>
    <t xml:space="preserve">2023 Illinois Statewide Technical Reference Manual for Energy Efficiency
Version 11.0, Volume 2: Commercial and Industrial Measures FINAL. September 22, 2022. </t>
  </si>
  <si>
    <t xml:space="preserve">Texas Technical Reference Manual Version 10.0, Volume 3: Nonresidential Measures. Program Years 2023. November 2022. </t>
  </si>
  <si>
    <t>State of Minnesota Technical Reference Manual for Energy Conservation Improvement Program Version 3.3 FINAL. January 31, 2021.</t>
  </si>
  <si>
    <t>AEG 2023 Analysis</t>
  </si>
  <si>
    <r>
      <t>Custom</t>
    </r>
    <r>
      <rPr>
        <vertAlign val="superscript"/>
        <sz val="10"/>
        <color theme="1"/>
        <rFont val="Calibri"/>
        <family val="2"/>
        <scheme val="minor"/>
      </rPr>
      <t>10</t>
    </r>
  </si>
  <si>
    <r>
      <rPr>
        <vertAlign val="superscript"/>
        <sz val="9"/>
        <color theme="1"/>
        <rFont val="Calibri"/>
        <family val="2"/>
        <scheme val="minor"/>
      </rPr>
      <t>10</t>
    </r>
    <r>
      <rPr>
        <sz val="9"/>
        <color theme="1"/>
        <rFont val="Calibri"/>
        <family val="2"/>
        <scheme val="minor"/>
      </rPr>
      <t xml:space="preserve"> Default EUL is 30 years for distribution transformers. Documentation that the transformer is underloaded during average and peak operating conditions and is in good working order is required to justify EUL&gt;30 years.</t>
    </r>
  </si>
  <si>
    <r>
      <t>E</t>
    </r>
    <r>
      <rPr>
        <vertAlign val="subscript"/>
        <sz val="10.5"/>
        <rFont val="Calibri"/>
        <family val="2"/>
        <scheme val="minor"/>
      </rPr>
      <t>Baseline</t>
    </r>
  </si>
  <si>
    <r>
      <t>E</t>
    </r>
    <r>
      <rPr>
        <vertAlign val="subscript"/>
        <sz val="10.5"/>
        <rFont val="Calibri"/>
        <family val="2"/>
        <scheme val="minor"/>
      </rPr>
      <t>HE</t>
    </r>
  </si>
  <si>
    <r>
      <t>E</t>
    </r>
    <r>
      <rPr>
        <vertAlign val="subscript"/>
        <sz val="10.5"/>
        <rFont val="Calibri"/>
        <family val="2"/>
        <scheme val="minor"/>
      </rPr>
      <t>preheat</t>
    </r>
  </si>
  <si>
    <r>
      <t>E</t>
    </r>
    <r>
      <rPr>
        <vertAlign val="subscript"/>
        <sz val="10.5"/>
        <rFont val="Calibri"/>
        <family val="2"/>
        <scheme val="minor"/>
      </rPr>
      <t>convection</t>
    </r>
  </si>
  <si>
    <r>
      <t>E</t>
    </r>
    <r>
      <rPr>
        <vertAlign val="subscript"/>
        <sz val="10.5"/>
        <rFont val="Calibri"/>
        <family val="2"/>
        <scheme val="minor"/>
      </rPr>
      <t>steam</t>
    </r>
  </si>
  <si>
    <r>
      <t>E</t>
    </r>
    <r>
      <rPr>
        <vertAlign val="subscript"/>
        <sz val="10.5"/>
        <rFont val="Calibri"/>
        <family val="2"/>
        <scheme val="minor"/>
      </rPr>
      <t>idle,convection</t>
    </r>
  </si>
  <si>
    <r>
      <t>E</t>
    </r>
    <r>
      <rPr>
        <vertAlign val="subscript"/>
        <sz val="10.5"/>
        <rFont val="Calibri"/>
        <family val="2"/>
        <scheme val="minor"/>
      </rPr>
      <t>idle,steam</t>
    </r>
  </si>
  <si>
    <r>
      <t>EPM</t>
    </r>
    <r>
      <rPr>
        <vertAlign val="subscript"/>
        <sz val="10.5"/>
        <rFont val="Calibri"/>
        <family val="2"/>
        <scheme val="minor"/>
      </rPr>
      <t>convection</t>
    </r>
  </si>
  <si>
    <r>
      <t>EPM</t>
    </r>
    <r>
      <rPr>
        <vertAlign val="subscript"/>
        <sz val="10.5"/>
        <rFont val="Calibri"/>
        <family val="2"/>
        <scheme val="minor"/>
      </rPr>
      <t>steam</t>
    </r>
  </si>
  <si>
    <r>
      <rPr>
        <sz val="10.5"/>
        <rFont val="Calibri"/>
        <family val="2"/>
      </rPr>
      <t>ƞ</t>
    </r>
    <r>
      <rPr>
        <vertAlign val="subscript"/>
        <sz val="10.5"/>
        <rFont val="Calibri"/>
        <family val="2"/>
        <scheme val="minor"/>
      </rPr>
      <t>convection</t>
    </r>
  </si>
  <si>
    <r>
      <rPr>
        <sz val="10.5"/>
        <rFont val="Calibri"/>
        <family val="2"/>
      </rPr>
      <t>ƞ</t>
    </r>
    <r>
      <rPr>
        <vertAlign val="subscript"/>
        <sz val="10.5"/>
        <rFont val="Calibri"/>
        <family val="2"/>
        <scheme val="minor"/>
      </rPr>
      <t>steam</t>
    </r>
  </si>
  <si>
    <r>
      <rPr>
        <sz val="10.5"/>
        <rFont val="Calibri"/>
        <family val="2"/>
      </rPr>
      <t>%</t>
    </r>
    <r>
      <rPr>
        <vertAlign val="subscript"/>
        <sz val="10.5"/>
        <rFont val="Calibri"/>
        <family val="2"/>
        <scheme val="minor"/>
      </rPr>
      <t>convection</t>
    </r>
  </si>
  <si>
    <r>
      <rPr>
        <sz val="10.5"/>
        <rFont val="Calibri"/>
        <family val="2"/>
      </rPr>
      <t>%</t>
    </r>
    <r>
      <rPr>
        <vertAlign val="subscript"/>
        <sz val="10.5"/>
        <rFont val="Calibri"/>
        <family val="2"/>
        <scheme val="minor"/>
      </rPr>
      <t>steam</t>
    </r>
  </si>
  <si>
    <r>
      <t>n</t>
    </r>
    <r>
      <rPr>
        <vertAlign val="subscript"/>
        <sz val="10.5"/>
        <rFont val="Calibri"/>
        <family val="2"/>
        <scheme val="minor"/>
      </rPr>
      <t>preheat</t>
    </r>
  </si>
  <si>
    <r>
      <t>t</t>
    </r>
    <r>
      <rPr>
        <vertAlign val="subscript"/>
        <sz val="10.5"/>
        <rFont val="Calibri"/>
        <family val="2"/>
        <scheme val="minor"/>
      </rPr>
      <t>preheat</t>
    </r>
  </si>
  <si>
    <r>
      <t>t</t>
    </r>
    <r>
      <rPr>
        <vertAlign val="subscript"/>
        <sz val="10.5"/>
        <rFont val="Calibri"/>
        <family val="2"/>
        <scheme val="minor"/>
      </rPr>
      <t>idle,convection</t>
    </r>
  </si>
  <si>
    <r>
      <t>t</t>
    </r>
    <r>
      <rPr>
        <vertAlign val="subscript"/>
        <sz val="10.5"/>
        <rFont val="Calibri"/>
        <family val="2"/>
        <scheme val="minor"/>
      </rPr>
      <t>idle,steam</t>
    </r>
  </si>
  <si>
    <r>
      <t>P</t>
    </r>
    <r>
      <rPr>
        <vertAlign val="subscript"/>
        <sz val="10.5"/>
        <rFont val="Calibri"/>
        <family val="2"/>
        <scheme val="minor"/>
      </rPr>
      <t>idle,convection</t>
    </r>
  </si>
  <si>
    <r>
      <t>P</t>
    </r>
    <r>
      <rPr>
        <vertAlign val="subscript"/>
        <sz val="10.5"/>
        <rFont val="Calibri"/>
        <family val="2"/>
        <scheme val="minor"/>
      </rPr>
      <t>idle,steam</t>
    </r>
  </si>
  <si>
    <r>
      <t>CAP</t>
    </r>
    <r>
      <rPr>
        <vertAlign val="subscript"/>
        <sz val="10.5"/>
        <rFont val="Calibri"/>
        <family val="2"/>
        <scheme val="minor"/>
      </rPr>
      <t>convection</t>
    </r>
  </si>
  <si>
    <r>
      <t>CAP</t>
    </r>
    <r>
      <rPr>
        <vertAlign val="subscript"/>
        <sz val="10.5"/>
        <rFont val="Calibri"/>
        <family val="2"/>
        <scheme val="minor"/>
      </rPr>
      <t>steam</t>
    </r>
  </si>
  <si>
    <r>
      <t>2004-2005 DEER Update Study</t>
    </r>
    <r>
      <rPr>
        <vertAlign val="superscript"/>
        <sz val="10.5"/>
        <rFont val="Calibri"/>
        <family val="2"/>
        <scheme val="minor"/>
      </rPr>
      <t>1</t>
    </r>
  </si>
  <si>
    <r>
      <t>Percentage of time in convection/steam mode, %</t>
    </r>
    <r>
      <rPr>
        <vertAlign val="subscript"/>
        <sz val="10.5"/>
        <rFont val="Calibri"/>
        <family val="2"/>
        <scheme val="minor"/>
      </rPr>
      <t>convection</t>
    </r>
    <r>
      <rPr>
        <sz val="10.5"/>
        <rFont val="Calibri"/>
        <family val="2"/>
        <scheme val="minor"/>
      </rPr>
      <t>, %</t>
    </r>
    <r>
      <rPr>
        <vertAlign val="subscript"/>
        <sz val="10.5"/>
        <rFont val="Calibri"/>
        <family val="2"/>
        <scheme val="minor"/>
      </rPr>
      <t>steam</t>
    </r>
  </si>
  <si>
    <r>
      <t>Energy efficiency of convection/steam mode, ƞ</t>
    </r>
    <r>
      <rPr>
        <vertAlign val="subscript"/>
        <sz val="10.5"/>
        <rFont val="Calibri"/>
        <family val="2"/>
        <scheme val="minor"/>
      </rPr>
      <t>convection</t>
    </r>
    <r>
      <rPr>
        <sz val="10.5"/>
        <rFont val="Calibri"/>
        <family val="2"/>
        <scheme val="minor"/>
      </rPr>
      <t>, ƞ</t>
    </r>
    <r>
      <rPr>
        <vertAlign val="subscript"/>
        <sz val="10.5"/>
        <rFont val="Calibri"/>
        <family val="2"/>
        <scheme val="minor"/>
      </rPr>
      <t>steam</t>
    </r>
  </si>
  <si>
    <r>
      <t>Production capacity in convection/steam mode (lbs/hr), CAP</t>
    </r>
    <r>
      <rPr>
        <vertAlign val="subscript"/>
        <sz val="10.5"/>
        <rFont val="Calibri"/>
        <family val="2"/>
        <scheme val="minor"/>
      </rPr>
      <t>convection</t>
    </r>
    <r>
      <rPr>
        <sz val="10.5"/>
        <rFont val="Calibri"/>
        <family val="2"/>
        <scheme val="minor"/>
      </rPr>
      <t>,  CAP</t>
    </r>
    <r>
      <rPr>
        <vertAlign val="subscript"/>
        <sz val="10.5"/>
        <rFont val="Calibri"/>
        <family val="2"/>
        <scheme val="minor"/>
      </rPr>
      <t>steam</t>
    </r>
  </si>
  <si>
    <r>
      <t>Number of daily preheat cycles, n</t>
    </r>
    <r>
      <rPr>
        <vertAlign val="subscript"/>
        <sz val="10.5"/>
        <rFont val="Calibri"/>
        <family val="2"/>
        <scheme val="minor"/>
      </rPr>
      <t>preheat</t>
    </r>
    <r>
      <rPr>
        <sz val="10.5"/>
        <rFont val="Calibri"/>
        <family val="2"/>
        <scheme val="minor"/>
      </rPr>
      <t xml:space="preserve"> </t>
    </r>
  </si>
  <si>
    <r>
      <t>Duration of preheat (minutes), t</t>
    </r>
    <r>
      <rPr>
        <vertAlign val="subscript"/>
        <sz val="10.5"/>
        <rFont val="Calibri"/>
        <family val="2"/>
        <scheme val="minor"/>
      </rPr>
      <t>preheat</t>
    </r>
  </si>
  <si>
    <r>
      <t>Preheat energy use (Wh), E</t>
    </r>
    <r>
      <rPr>
        <vertAlign val="subscript"/>
        <sz val="10.5"/>
        <rFont val="Calibri"/>
        <family val="2"/>
        <scheme val="minor"/>
      </rPr>
      <t>preheat</t>
    </r>
  </si>
  <si>
    <r>
      <t>Idle power draw of convection/steam mode (W)</t>
    </r>
    <r>
      <rPr>
        <vertAlign val="superscript"/>
        <sz val="10.5"/>
        <rFont val="Calibri"/>
        <family val="2"/>
        <scheme val="minor"/>
      </rPr>
      <t>a</t>
    </r>
    <r>
      <rPr>
        <sz val="10.5"/>
        <rFont val="Calibri"/>
        <family val="2"/>
        <scheme val="minor"/>
      </rPr>
      <t>, P</t>
    </r>
    <r>
      <rPr>
        <vertAlign val="subscript"/>
        <sz val="10.5"/>
        <rFont val="Calibri"/>
        <family val="2"/>
        <scheme val="minor"/>
      </rPr>
      <t>idle,convection</t>
    </r>
    <r>
      <rPr>
        <sz val="10.5"/>
        <rFont val="Calibri"/>
        <family val="2"/>
        <scheme val="minor"/>
      </rPr>
      <t>,  P</t>
    </r>
    <r>
      <rPr>
        <vertAlign val="subscript"/>
        <sz val="10.5"/>
        <rFont val="Calibri"/>
        <family val="2"/>
        <scheme val="minor"/>
      </rPr>
      <t>idle,steam</t>
    </r>
  </si>
  <si>
    <r>
      <t>Energy needed to cook/steam 1 lb of food (Wh/pound), EPM</t>
    </r>
    <r>
      <rPr>
        <vertAlign val="subscript"/>
        <sz val="10.5"/>
        <rFont val="Calibri"/>
        <family val="2"/>
        <scheme val="minor"/>
      </rPr>
      <t>convection</t>
    </r>
    <r>
      <rPr>
        <sz val="10.5"/>
        <rFont val="Calibri"/>
        <family val="2"/>
        <scheme val="minor"/>
      </rPr>
      <t>,  EPM</t>
    </r>
    <r>
      <rPr>
        <vertAlign val="subscript"/>
        <sz val="10.5"/>
        <rFont val="Calibri"/>
        <family val="2"/>
        <scheme val="minor"/>
      </rPr>
      <t>steam</t>
    </r>
  </si>
  <si>
    <r>
      <t>Daily convection/steam  energy use (Wh), E</t>
    </r>
    <r>
      <rPr>
        <vertAlign val="subscript"/>
        <sz val="10.5"/>
        <rFont val="Calibri"/>
        <family val="2"/>
        <scheme val="minor"/>
      </rPr>
      <t>convection</t>
    </r>
    <r>
      <rPr>
        <sz val="10.5"/>
        <rFont val="Calibri"/>
        <family val="2"/>
        <scheme val="minor"/>
      </rPr>
      <t>, E</t>
    </r>
    <r>
      <rPr>
        <vertAlign val="subscript"/>
        <sz val="10.5"/>
        <rFont val="Calibri"/>
        <family val="2"/>
        <scheme val="minor"/>
      </rPr>
      <t>steam</t>
    </r>
  </si>
  <si>
    <r>
      <t>Daily idle time in convection/steam mode (hours), t</t>
    </r>
    <r>
      <rPr>
        <vertAlign val="subscript"/>
        <sz val="10.5"/>
        <rFont val="Calibri"/>
        <family val="2"/>
        <scheme val="minor"/>
      </rPr>
      <t>idle,convection</t>
    </r>
    <r>
      <rPr>
        <sz val="10.5"/>
        <rFont val="Calibri"/>
        <family val="2"/>
        <scheme val="minor"/>
      </rPr>
      <t>, t</t>
    </r>
    <r>
      <rPr>
        <vertAlign val="subscript"/>
        <sz val="10.5"/>
        <rFont val="Calibri"/>
        <family val="2"/>
        <scheme val="minor"/>
      </rPr>
      <t>idle,steam</t>
    </r>
  </si>
  <si>
    <r>
      <t>Idle power draw of convection/steam mode (W)</t>
    </r>
    <r>
      <rPr>
        <vertAlign val="superscript"/>
        <sz val="10.5"/>
        <rFont val="Calibri"/>
        <family val="2"/>
        <scheme val="minor"/>
      </rPr>
      <t>b</t>
    </r>
    <r>
      <rPr>
        <sz val="10.5"/>
        <rFont val="Calibri"/>
        <family val="2"/>
        <scheme val="minor"/>
      </rPr>
      <t>, P</t>
    </r>
    <r>
      <rPr>
        <vertAlign val="subscript"/>
        <sz val="10.5"/>
        <rFont val="Calibri"/>
        <family val="2"/>
        <scheme val="minor"/>
      </rPr>
      <t>idle,convection</t>
    </r>
    <r>
      <rPr>
        <sz val="10.5"/>
        <rFont val="Calibri"/>
        <family val="2"/>
        <scheme val="minor"/>
      </rPr>
      <t>,  P</t>
    </r>
    <r>
      <rPr>
        <vertAlign val="subscript"/>
        <sz val="10.5"/>
        <rFont val="Calibri"/>
        <family val="2"/>
        <scheme val="minor"/>
      </rPr>
      <t>idle,steam</t>
    </r>
  </si>
  <si>
    <r>
      <t>Daily idle energy use (Wh), E</t>
    </r>
    <r>
      <rPr>
        <vertAlign val="subscript"/>
        <sz val="10.5"/>
        <rFont val="Calibri"/>
        <family val="2"/>
        <scheme val="minor"/>
      </rPr>
      <t>idle,convection</t>
    </r>
    <r>
      <rPr>
        <sz val="10.5"/>
        <rFont val="Calibri"/>
        <family val="2"/>
        <scheme val="minor"/>
      </rPr>
      <t>, E</t>
    </r>
    <r>
      <rPr>
        <vertAlign val="subscript"/>
        <sz val="10.5"/>
        <rFont val="Calibri"/>
        <family val="2"/>
        <scheme val="minor"/>
      </rPr>
      <t>idle,steam</t>
    </r>
  </si>
  <si>
    <r>
      <t>Idle power draw of convection/steam mode (W)</t>
    </r>
    <r>
      <rPr>
        <vertAlign val="superscript"/>
        <sz val="10.5"/>
        <rFont val="Calibri"/>
        <family val="2"/>
        <scheme val="minor"/>
      </rPr>
      <t>c</t>
    </r>
    <r>
      <rPr>
        <sz val="10.5"/>
        <rFont val="Calibri"/>
        <family val="2"/>
        <scheme val="minor"/>
      </rPr>
      <t>, P</t>
    </r>
    <r>
      <rPr>
        <vertAlign val="subscript"/>
        <sz val="10.5"/>
        <rFont val="Calibri"/>
        <family val="2"/>
        <scheme val="minor"/>
      </rPr>
      <t>idle,convection</t>
    </r>
    <r>
      <rPr>
        <sz val="10.5"/>
        <rFont val="Calibri"/>
        <family val="2"/>
        <scheme val="minor"/>
      </rPr>
      <t>,  P</t>
    </r>
    <r>
      <rPr>
        <vertAlign val="subscript"/>
        <sz val="10.5"/>
        <rFont val="Calibri"/>
        <family val="2"/>
        <scheme val="minor"/>
      </rPr>
      <t>idle,steam</t>
    </r>
  </si>
  <si>
    <t>Cover Page *</t>
  </si>
  <si>
    <t>Signatures *</t>
  </si>
  <si>
    <t>Introduction *</t>
  </si>
  <si>
    <t>Codes &amp; Standards Tracking *</t>
  </si>
  <si>
    <t>Master EUL *</t>
  </si>
  <si>
    <t>This measure relates to installing a new commercial convection oven meeting ENERGY STAR efficiency standards. Commercial convection ovens cook food by forcing hot, dry air over the food product surface. The rapidly moving hot air strips away the colder air layer next to the food surface and causes the food to absorb the heat. While this measure does not include convection ovens that can heat the cooking cavity with saturated or superheated steam, it encompasses convection ovens that may have moisture injection capabilities (e.g., baking ovens and moisture-assist ovens). Convection ovens with a hold feature are eligible as long as convection is the only method used to cook the food. ENERGY STAR commercial full-size convection ovens are about 10-30% more energy efficient than standard models.</t>
  </si>
  <si>
    <t xml:space="preserve">Eligible ovens must be compliant with the current ENERGY STAR requirements:
• Full-size electric convection ovens must accommodate standard full-size sheets pans measuring 18 x 26 x 1 inch. 
• Half-size electric convection ovens must accommodate half-size sheets pans measuring 18 x 13 x 1 inch. 
• Cooking energy efficiency and idle energy rate must meet or exceed those specified in ENERGY STAR Version 3.0. </t>
  </si>
  <si>
    <t>For this characterization to apply, the baseline equipment is assumed to be a full-size or half-size electric convection oven not meeting the ENERGY STAR key product criteria.</t>
  </si>
  <si>
    <t>For this characterization to apply, the efficient equipment is assumed to be a full-size or half-size convection oven meeting the minimum ENERGY STAR key product criteria.</t>
  </si>
  <si>
    <t>Daily cooking energy use</t>
  </si>
  <si>
    <t>Daily idle energy use</t>
  </si>
  <si>
    <t>EPM</t>
  </si>
  <si>
    <t>Cooking energey efficiency</t>
  </si>
  <si>
    <t>US EPA Savings Calculator for ENERGY STAR Commercial Food Service (CFS) Products (07-15-21) &amp; ENERGY STAR 5.0</t>
  </si>
  <si>
    <t>US EPA Savings Calculator for ENERGY STAR Commercial Food Service (CFS) Product</t>
  </si>
  <si>
    <t xml:space="preserve">Daily idle time </t>
  </si>
  <si>
    <t>Idle power draw</t>
  </si>
  <si>
    <t>270 days; 10 hrs/day</t>
  </si>
  <si>
    <t>Estimated useful life of measure</t>
  </si>
  <si>
    <t>PY23 TRM Commercial Kitchen Convection Oven Analysis File, "EUL Benchmarking" sheet</t>
  </si>
  <si>
    <t xml:space="preserve">1. The commercial kitchen convection oven is assumed to operate within the California DEER peak period of 4-9 pm on weekdays at a constant load throughout the day. Hawaii's peak period is 5-9 pm non-holiday weekdays (year-round), similar to California's peak period of 4-9 pm on weekdays. As such, a CF of 0.90 is appropriate to use for Hawaii. The CF value should be updated with Hawaii-specific load shape analysis in the future. </t>
  </si>
  <si>
    <t>Half-size Oven</t>
  </si>
  <si>
    <t>EnergyStar</t>
  </si>
  <si>
    <t>Production capacity (lbs/hr), CAP</t>
  </si>
  <si>
    <t>Energy need to cook 1 lb of food (Wh/pound), EPM</t>
  </si>
  <si>
    <t>Total daily energy (Wh), E</t>
  </si>
  <si>
    <t>AEG's analysis file titled "PY23 TRM Commercial Kitchen Convection Oven Analysis File."</t>
  </si>
  <si>
    <t>California eTRM. Convection Oven, Commercial. SWFS001-02. December 23, 2021. URL: https://www.caetrm.com/measure/SWFS001/02/</t>
  </si>
  <si>
    <t>Southern California Gas Company (SCG). "UpdatePlan_Conv Oven_12292019.xlsx." August 5, 2019. URL: https://www.caetrm.com/media/reference-documents/Update_Plan_Conv_Oven_12292019.xlsx</t>
  </si>
  <si>
    <r>
      <t>E</t>
    </r>
    <r>
      <rPr>
        <vertAlign val="subscript"/>
        <sz val="10.5"/>
        <rFont val="Calibri"/>
        <family val="2"/>
        <scheme val="minor"/>
      </rPr>
      <t>cook</t>
    </r>
  </si>
  <si>
    <r>
      <t>E</t>
    </r>
    <r>
      <rPr>
        <vertAlign val="subscript"/>
        <sz val="10.5"/>
        <rFont val="Calibri"/>
        <family val="2"/>
        <scheme val="minor"/>
      </rPr>
      <t>idle</t>
    </r>
  </si>
  <si>
    <r>
      <rPr>
        <sz val="10.5"/>
        <rFont val="Calibri"/>
        <family val="2"/>
      </rPr>
      <t>ƞ</t>
    </r>
    <r>
      <rPr>
        <vertAlign val="subscript"/>
        <sz val="10.5"/>
        <rFont val="Calibri"/>
        <family val="2"/>
        <scheme val="minor"/>
      </rPr>
      <t>cook</t>
    </r>
  </si>
  <si>
    <r>
      <t>t</t>
    </r>
    <r>
      <rPr>
        <vertAlign val="subscript"/>
        <sz val="10.5"/>
        <rFont val="Calibri"/>
        <family val="2"/>
        <scheme val="minor"/>
      </rPr>
      <t>Idle</t>
    </r>
  </si>
  <si>
    <r>
      <t>P</t>
    </r>
    <r>
      <rPr>
        <vertAlign val="subscript"/>
        <sz val="10.5"/>
        <rFont val="Calibri"/>
        <family val="2"/>
        <scheme val="minor"/>
      </rPr>
      <t>idle</t>
    </r>
  </si>
  <si>
    <r>
      <t xml:space="preserve">Full-size Oven </t>
    </r>
    <r>
      <rPr>
        <b/>
        <sz val="10.5"/>
        <rFont val="Calibri"/>
        <family val="2"/>
      </rPr>
      <t>≥</t>
    </r>
    <r>
      <rPr>
        <b/>
        <sz val="10.5"/>
        <rFont val="Calibri"/>
        <family val="2"/>
        <scheme val="minor"/>
      </rPr>
      <t>5 Pans</t>
    </r>
  </si>
  <si>
    <r>
      <t xml:space="preserve">Full-size Oven </t>
    </r>
    <r>
      <rPr>
        <b/>
        <sz val="10.5"/>
        <rFont val="Calibri"/>
        <family val="2"/>
      </rPr>
      <t>&lt;</t>
    </r>
    <r>
      <rPr>
        <b/>
        <sz val="10.5"/>
        <rFont val="Calibri"/>
        <family val="2"/>
        <scheme val="minor"/>
      </rPr>
      <t>5 Pans</t>
    </r>
  </si>
  <si>
    <r>
      <t>Cooking energy efficiency, ƞ</t>
    </r>
    <r>
      <rPr>
        <vertAlign val="subscript"/>
        <sz val="10.5"/>
        <rFont val="Calibri"/>
        <family val="2"/>
        <scheme val="minor"/>
      </rPr>
      <t>cook</t>
    </r>
  </si>
  <si>
    <r>
      <t>Number of daily preheat cycles, n</t>
    </r>
    <r>
      <rPr>
        <vertAlign val="subscript"/>
        <sz val="10.5"/>
        <rFont val="Calibri"/>
        <family val="2"/>
        <scheme val="minor"/>
      </rPr>
      <t xml:space="preserve">preheat </t>
    </r>
  </si>
  <si>
    <r>
      <t>Preheat energy (Wh), E</t>
    </r>
    <r>
      <rPr>
        <vertAlign val="subscript"/>
        <sz val="10.5"/>
        <rFont val="Calibri"/>
        <family val="2"/>
        <scheme val="minor"/>
      </rPr>
      <t>preheat</t>
    </r>
  </si>
  <si>
    <r>
      <t>Idle  power draw (W), P</t>
    </r>
    <r>
      <rPr>
        <vertAlign val="subscript"/>
        <sz val="10.5"/>
        <rFont val="Calibri"/>
        <family val="2"/>
        <scheme val="minor"/>
      </rPr>
      <t>idle</t>
    </r>
  </si>
  <si>
    <r>
      <t>Cooking daily energy usage (Wh), E</t>
    </r>
    <r>
      <rPr>
        <vertAlign val="subscript"/>
        <sz val="10.5"/>
        <rFont val="Calibri"/>
        <family val="2"/>
        <scheme val="minor"/>
      </rPr>
      <t>cook</t>
    </r>
  </si>
  <si>
    <r>
      <t>Daily idling time (hours), t</t>
    </r>
    <r>
      <rPr>
        <vertAlign val="subscript"/>
        <sz val="10.5"/>
        <rFont val="Calibri"/>
        <family val="2"/>
        <scheme val="minor"/>
      </rPr>
      <t>idle</t>
    </r>
  </si>
  <si>
    <r>
      <t>Idling daily energy usage (Wh), E</t>
    </r>
    <r>
      <rPr>
        <vertAlign val="subscript"/>
        <sz val="10.5"/>
        <rFont val="Calibri"/>
        <family val="2"/>
        <scheme val="minor"/>
      </rPr>
      <t>idle</t>
    </r>
  </si>
  <si>
    <r>
      <t xml:space="preserve">Full-size Oven </t>
    </r>
    <r>
      <rPr>
        <sz val="11"/>
        <rFont val="Calibri"/>
        <family val="2"/>
      </rPr>
      <t>≥5 Pans</t>
    </r>
  </si>
  <si>
    <r>
      <t xml:space="preserve">Full-size Oven </t>
    </r>
    <r>
      <rPr>
        <sz val="11"/>
        <rFont val="Calibri"/>
        <family val="2"/>
      </rPr>
      <t>&lt;</t>
    </r>
    <r>
      <rPr>
        <sz val="11"/>
        <rFont val="Calibri"/>
        <family val="2"/>
        <scheme val="minor"/>
      </rPr>
      <t>5 Pans</t>
    </r>
  </si>
  <si>
    <t xml:space="preserve">This measure relates to installing a new air cooled, automatic commercial ice machine meeting ENERGY STAR efficiency standards. Automatic commercial ice machines are factory-made assemblies consisting of a condensing unit and an ice making section operating as an integrated unit for making and harvesting ice. They can be of the batch type with alternating freezing and harvesting periods or the continuous type with continual freezing and harvesting of ice simultaneously. The measure applies to energy efficient air-cooled ice machines, both batch and continuous types.  Commercial automatic ice machines are categorized into three equipment types: ice maker heads (IMH), remote condensing units (TCUs), and self contained units (SCUs). ENERGY STAR batch type and continuous type ice machines are about 10% and 16% more energy efficient than standard models. </t>
  </si>
  <si>
    <t xml:space="preserve">This incentive applies to purchasing new or replacement with high efficiency air-cooled batch and continuous type ice machines of the following design types: ice making heads (IMHs), remote condensing units (RCUs), and self-contained units (SCUs). The high efficiency ice machines must meet or exceed the ENERGY STAR product criteria. Water cooled ice machines, ice machines with ice and water dispensing systems, and air cooled RCUs designed only for connection to remote track compressors are ineligible. Any commercial building type is eligible. </t>
  </si>
  <si>
    <t>For this characterization to apply, the baseline equipment is assumed to be a commercial ice machine meeting the federal standards published in 10 CFR 431, with an ice harvest rate capacity between 50 and 4000 pounds per 24 hour period. See Tables 1 and 2 below.</t>
  </si>
  <si>
    <t>For this characterization to apply, the high efficiency equipment is assumed to be a  commercial ice machine meeting or exceeding the ENERGY STAR key product criteria, with an  ice harvest rate capacity between 50 and 4000 pounds per 24 hour period. See Tables 1 and 2 below.</t>
  </si>
  <si>
    <t>Baseline equipment energy usage per 100 lbs of ice</t>
  </si>
  <si>
    <t>High efficiency equipment energy usage per 100 lbs of ice</t>
  </si>
  <si>
    <t>ENERGY STAR CFS Calculator</t>
  </si>
  <si>
    <t>H</t>
  </si>
  <si>
    <t>Ice harvest rate</t>
  </si>
  <si>
    <t>Tables 1, 2 &amp; 3</t>
  </si>
  <si>
    <t>lbs/24 hrs</t>
  </si>
  <si>
    <t>365 days * 0.75 *24 hrs</t>
  </si>
  <si>
    <t>PY23 TRM Commercial Kitchen Ice Machine Analysis File, "EUL Benchmarking" sheet</t>
  </si>
  <si>
    <t xml:space="preserve">1. The commercial kitchen ice machine measure is assumed to operate within the California DEER peak period of 4-9 pm on weekdays at a constant load throughout the day. Hawaii's peak period is 5-9 pm non-holiday weekdays (year-round), similar to California's peak period of 4-9 pm on weekdays. As such, a CF of 0.90 is appropriate to use for Hawaii. The CF value should be updated with Hawaii-specific load shape analysis in the future. </t>
  </si>
  <si>
    <t>Table 1.  ENERGY STAR Requirements and Federal Minimum Standards for Air Cooled Batch Type Ice Machines</t>
  </si>
  <si>
    <t>Ice Harvest Rate (H)
(lbs ice/24 hrs)</t>
  </si>
  <si>
    <t>Daily Energy Use Rate
(kWh/100 lbs)</t>
  </si>
  <si>
    <t xml:space="preserve"> Potable Water Use
(gal/100 lbs ice)</t>
  </si>
  <si>
    <t>Ice Maker Heads (IMH)</t>
  </si>
  <si>
    <t>H &lt; 300</t>
  </si>
  <si>
    <t>≤ 9.20 - 0.01134*H</t>
  </si>
  <si>
    <t>≤ 20.0</t>
  </si>
  <si>
    <t>10 - 0.01233*H</t>
  </si>
  <si>
    <t>≤ 6.49 - 0.0023*H</t>
  </si>
  <si>
    <t>7.05 - 0.0025*H</t>
  </si>
  <si>
    <t>≤ 5.11 - 0.00058*H</t>
  </si>
  <si>
    <t>5.55 - 0.00063*H</t>
  </si>
  <si>
    <t>≤ 4.24</t>
  </si>
  <si>
    <t>Remote Condensing Unit (RCU) but not Remote Compressor</t>
  </si>
  <si>
    <t>H &lt; 988</t>
  </si>
  <si>
    <t>≤ 7.17 - 0.00308*H</t>
  </si>
  <si>
    <t>7.97 - 0.00342*H</t>
  </si>
  <si>
    <t>≤ 4.13</t>
  </si>
  <si>
    <t>Self-Contained Units (SCU)</t>
  </si>
  <si>
    <t>&lt; 110</t>
  </si>
  <si>
    <t>≤ 12.57 - 0.0399*H</t>
  </si>
  <si>
    <t>≤ 25</t>
  </si>
  <si>
    <t>14.79 - 0.0469*H</t>
  </si>
  <si>
    <t>≤ 10.56 - 0.0215*H</t>
  </si>
  <si>
    <t>12.42 - 0.02533*H</t>
  </si>
  <si>
    <t>≤ 6.25</t>
  </si>
  <si>
    <t>Table 2.  ENERGY STAR Requirements and Federal Minimum Standards for Air Cooled Continuous Type Ice Machines</t>
  </si>
  <si>
    <t>H &lt; 310</t>
  </si>
  <si>
    <t>≤ 7.90 - 0.005409*H</t>
  </si>
  <si>
    <t>≤ 15.0</t>
  </si>
  <si>
    <t>9.19 - 0.00629*H</t>
  </si>
  <si>
    <t>≤ 7.08 - 0.002752*H</t>
  </si>
  <si>
    <t>8.23 - 0.0032*H</t>
  </si>
  <si>
    <t>≤ 4.82</t>
  </si>
  <si>
    <t>H &lt; 800</t>
  </si>
  <si>
    <t>≤ 7.76 - 0.00464*H</t>
  </si>
  <si>
    <t>9.7 - 0.0058*H</t>
  </si>
  <si>
    <t>≤ 4.05</t>
  </si>
  <si>
    <t>H &lt; 200</t>
  </si>
  <si>
    <t>≤ 12.37 - 0.0261*H</t>
  </si>
  <si>
    <t>14.22 - 0.03*H</t>
  </si>
  <si>
    <t>≤ 8.24 - 0.005429*H</t>
  </si>
  <si>
    <t>9.47 - 0.00624*H</t>
  </si>
  <si>
    <t>700 ≤ H &lt; 4000</t>
  </si>
  <si>
    <t>≤ 4.44</t>
  </si>
  <si>
    <t>Table 3.  Summary of Savings Calculations</t>
  </si>
  <si>
    <t>Air-Cooled Ice Machine, Batch Operation</t>
  </si>
  <si>
    <t>H
(lbs  ice/ 24 hrs)</t>
  </si>
  <si>
    <t>Energy Use per 100 lbs 
(kWh/100 lbs)</t>
  </si>
  <si>
    <t>Daily Energy Use 
(kWh)</t>
  </si>
  <si>
    <t>Annual Energy Use
 (kWh)</t>
  </si>
  <si>
    <t>High Eff</t>
  </si>
  <si>
    <t>IMH Batch,
H &lt; 300</t>
  </si>
  <si>
    <t>SCU Batch, 
H &lt; 110</t>
  </si>
  <si>
    <t>Air-Cooled Ice Machine, Continuous Operation</t>
  </si>
  <si>
    <t>IMH Continuous,
H &lt; 310</t>
  </si>
  <si>
    <t>IMH Continuous,
H &lt; 200</t>
  </si>
  <si>
    <t>IMH Continuous, 
H &lt; 310</t>
  </si>
  <si>
    <t>SCU Continuous, 
H &lt; 200</t>
  </si>
  <si>
    <t>AEG's analysis file titled "PY23 TRM Commercial Kitchen Ice Machine Analysis File."</t>
  </si>
  <si>
    <t>Code of Federal Regulations at 10 CFR 431.66. URL: https://www.ecfr.gov/current/title-10/chapter-II/subchapter-D/part-431/subpart-H?toc=1.</t>
  </si>
  <si>
    <t>ENERGY STAR. 2023. "ENERGY STAR® Program Requirements Product Specification for Commercial Ice Machines - Eligibility Criteria Version 3.0." Effective on January 28, 2018. URL: https://www.energystar.gov/sites/default/files/Final%20V3.0%20ACIM%20Specification%205-17-17_1_0.pdf</t>
  </si>
  <si>
    <t>California eTRM. Ice Machine, Commercial. SWFS006-02. January 19, 2023. URL: https://www.caetrm.com/measure/SWFS006/02/</t>
  </si>
  <si>
    <t xml:space="preserve">New Jersey Board of Public Utilities, New  Jersey's Clean Energy ProgramTM Protocols to Measure Resource Savings, FY2020. July 20, 2019, page 145. </t>
  </si>
  <si>
    <r>
      <rPr>
        <sz val="10.5"/>
        <rFont val="Calibri"/>
        <family val="2"/>
        <scheme val="minor"/>
      </rPr>
      <t>E</t>
    </r>
    <r>
      <rPr>
        <vertAlign val="subscript"/>
        <sz val="10.5"/>
        <rFont val="Calibri"/>
        <family val="2"/>
        <scheme val="minor"/>
      </rPr>
      <t>Baseline,100lb</t>
    </r>
  </si>
  <si>
    <r>
      <rPr>
        <sz val="10.5"/>
        <rFont val="Calibri"/>
        <family val="2"/>
        <scheme val="minor"/>
      </rPr>
      <t>E</t>
    </r>
    <r>
      <rPr>
        <vertAlign val="subscript"/>
        <sz val="10.5"/>
        <rFont val="Calibri"/>
        <family val="2"/>
        <scheme val="minor"/>
      </rPr>
      <t>HE,100lb</t>
    </r>
  </si>
  <si>
    <r>
      <t xml:space="preserve">300 </t>
    </r>
    <r>
      <rPr>
        <sz val="10"/>
        <rFont val="Calibri"/>
        <family val="2"/>
      </rPr>
      <t>≤ H</t>
    </r>
    <r>
      <rPr>
        <sz val="10"/>
        <rFont val="Calibri"/>
        <family val="2"/>
        <scheme val="minor"/>
      </rPr>
      <t xml:space="preserve"> &lt; 800</t>
    </r>
  </si>
  <si>
    <r>
      <t xml:space="preserve">800 </t>
    </r>
    <r>
      <rPr>
        <sz val="10"/>
        <rFont val="Calibri"/>
        <family val="2"/>
      </rPr>
      <t>≤ H</t>
    </r>
    <r>
      <rPr>
        <sz val="10"/>
        <rFont val="Calibri"/>
        <family val="2"/>
        <scheme val="minor"/>
      </rPr>
      <t xml:space="preserve"> &lt; 1500</t>
    </r>
  </si>
  <si>
    <r>
      <t xml:space="preserve">1500 </t>
    </r>
    <r>
      <rPr>
        <sz val="10"/>
        <rFont val="Calibri"/>
        <family val="2"/>
      </rPr>
      <t>≤ H</t>
    </r>
    <r>
      <rPr>
        <sz val="10"/>
        <rFont val="Calibri"/>
        <family val="2"/>
        <scheme val="minor"/>
      </rPr>
      <t xml:space="preserve"> &lt; 4000</t>
    </r>
  </si>
  <si>
    <r>
      <t xml:space="preserve">988 </t>
    </r>
    <r>
      <rPr>
        <sz val="10"/>
        <rFont val="Calibri"/>
        <family val="2"/>
      </rPr>
      <t xml:space="preserve">≤ </t>
    </r>
    <r>
      <rPr>
        <sz val="10"/>
        <rFont val="Calibri"/>
        <family val="2"/>
        <scheme val="minor"/>
      </rPr>
      <t>H &lt; 4000</t>
    </r>
  </si>
  <si>
    <r>
      <t xml:space="preserve">110 </t>
    </r>
    <r>
      <rPr>
        <sz val="10"/>
        <rFont val="Calibri"/>
        <family val="2"/>
      </rPr>
      <t xml:space="preserve">≤ </t>
    </r>
    <r>
      <rPr>
        <sz val="10"/>
        <rFont val="Calibri"/>
        <family val="2"/>
        <scheme val="minor"/>
      </rPr>
      <t>H &lt; 200</t>
    </r>
  </si>
  <si>
    <r>
      <t xml:space="preserve">200 </t>
    </r>
    <r>
      <rPr>
        <sz val="10"/>
        <rFont val="Calibri"/>
        <family val="2"/>
      </rPr>
      <t xml:space="preserve">≤ </t>
    </r>
    <r>
      <rPr>
        <sz val="10"/>
        <rFont val="Calibri"/>
        <family val="2"/>
        <scheme val="minor"/>
      </rPr>
      <t>H &lt; 4000</t>
    </r>
  </si>
  <si>
    <r>
      <t xml:space="preserve">310 </t>
    </r>
    <r>
      <rPr>
        <sz val="9"/>
        <rFont val="Calibri"/>
        <family val="2"/>
      </rPr>
      <t>≤ H</t>
    </r>
    <r>
      <rPr>
        <sz val="9"/>
        <rFont val="Calibri"/>
        <family val="2"/>
        <scheme val="minor"/>
      </rPr>
      <t xml:space="preserve"> &lt; 820</t>
    </r>
  </si>
  <si>
    <r>
      <t xml:space="preserve">820 </t>
    </r>
    <r>
      <rPr>
        <sz val="9"/>
        <rFont val="Calibri"/>
        <family val="2"/>
      </rPr>
      <t xml:space="preserve">≤ </t>
    </r>
    <r>
      <rPr>
        <sz val="9"/>
        <rFont val="Calibri"/>
        <family val="2"/>
        <scheme val="minor"/>
      </rPr>
      <t>H  &lt;  4000</t>
    </r>
  </si>
  <si>
    <r>
      <t xml:space="preserve">800 </t>
    </r>
    <r>
      <rPr>
        <sz val="9"/>
        <rFont val="Calibri"/>
        <family val="2"/>
      </rPr>
      <t xml:space="preserve">≤ </t>
    </r>
    <r>
      <rPr>
        <sz val="9"/>
        <rFont val="Calibri"/>
        <family val="2"/>
        <scheme val="minor"/>
      </rPr>
      <t>H &lt; 4000</t>
    </r>
  </si>
  <si>
    <r>
      <t xml:space="preserve">200 </t>
    </r>
    <r>
      <rPr>
        <sz val="9"/>
        <rFont val="Calibri"/>
        <family val="2"/>
      </rPr>
      <t xml:space="preserve">≤ </t>
    </r>
    <r>
      <rPr>
        <sz val="9"/>
        <rFont val="Calibri"/>
        <family val="2"/>
        <scheme val="minor"/>
      </rPr>
      <t>H &lt; 700</t>
    </r>
  </si>
  <si>
    <r>
      <t xml:space="preserve">IMH Batch,  
300 </t>
    </r>
    <r>
      <rPr>
        <sz val="11"/>
        <rFont val="Calibri"/>
        <family val="2"/>
      </rPr>
      <t xml:space="preserve">≤ </t>
    </r>
    <r>
      <rPr>
        <sz val="11"/>
        <rFont val="Calibri"/>
        <family val="2"/>
        <scheme val="minor"/>
      </rPr>
      <t>H &lt; 800</t>
    </r>
  </si>
  <si>
    <r>
      <t xml:space="preserve">IMH Batch,  
800 </t>
    </r>
    <r>
      <rPr>
        <sz val="11"/>
        <rFont val="Calibri"/>
        <family val="2"/>
      </rPr>
      <t xml:space="preserve">≤ </t>
    </r>
    <r>
      <rPr>
        <sz val="11"/>
        <rFont val="Calibri"/>
        <family val="2"/>
        <scheme val="minor"/>
      </rPr>
      <t>H &lt; 1500</t>
    </r>
  </si>
  <si>
    <r>
      <t xml:space="preserve">IMH Batch,  
1500 </t>
    </r>
    <r>
      <rPr>
        <sz val="11"/>
        <rFont val="Calibri"/>
        <family val="2"/>
      </rPr>
      <t xml:space="preserve">≤ </t>
    </r>
    <r>
      <rPr>
        <sz val="11"/>
        <rFont val="Calibri"/>
        <family val="2"/>
        <scheme val="minor"/>
      </rPr>
      <t>H &lt; 4000</t>
    </r>
  </si>
  <si>
    <r>
      <t xml:space="preserve">RCU Batch,  
</t>
    </r>
    <r>
      <rPr>
        <sz val="11"/>
        <rFont val="Calibri"/>
        <family val="2"/>
      </rPr>
      <t xml:space="preserve"> </t>
    </r>
    <r>
      <rPr>
        <sz val="11"/>
        <rFont val="Calibri"/>
        <family val="2"/>
        <scheme val="minor"/>
      </rPr>
      <t>H &lt; 988</t>
    </r>
  </si>
  <si>
    <r>
      <t xml:space="preserve">RCU Batch,  
988 </t>
    </r>
    <r>
      <rPr>
        <sz val="11"/>
        <rFont val="Calibri"/>
        <family val="2"/>
      </rPr>
      <t xml:space="preserve">≤ </t>
    </r>
    <r>
      <rPr>
        <sz val="11"/>
        <rFont val="Calibri"/>
        <family val="2"/>
        <scheme val="minor"/>
      </rPr>
      <t>H &lt; 4000</t>
    </r>
  </si>
  <si>
    <r>
      <t xml:space="preserve">SCU Batch,  
110 </t>
    </r>
    <r>
      <rPr>
        <sz val="11"/>
        <rFont val="Calibri"/>
        <family val="2"/>
      </rPr>
      <t xml:space="preserve">≤ </t>
    </r>
    <r>
      <rPr>
        <sz val="11"/>
        <rFont val="Calibri"/>
        <family val="2"/>
        <scheme val="minor"/>
      </rPr>
      <t>H &lt; 200</t>
    </r>
  </si>
  <si>
    <r>
      <t xml:space="preserve">SCU Batch,  
200 </t>
    </r>
    <r>
      <rPr>
        <sz val="11"/>
        <rFont val="Calibri"/>
        <family val="2"/>
      </rPr>
      <t xml:space="preserve">≤ </t>
    </r>
    <r>
      <rPr>
        <sz val="11"/>
        <rFont val="Calibri"/>
        <family val="2"/>
        <scheme val="minor"/>
      </rPr>
      <t>H &lt; 4000</t>
    </r>
  </si>
  <si>
    <r>
      <t xml:space="preserve">IMH Continuous,
310 </t>
    </r>
    <r>
      <rPr>
        <sz val="11"/>
        <rFont val="Calibri"/>
        <family val="2"/>
      </rPr>
      <t xml:space="preserve">≤ </t>
    </r>
    <r>
      <rPr>
        <sz val="11"/>
        <rFont val="Calibri"/>
        <family val="2"/>
        <scheme val="minor"/>
      </rPr>
      <t>H &lt; 820</t>
    </r>
  </si>
  <si>
    <r>
      <t xml:space="preserve">IMH Continuous,
820 </t>
    </r>
    <r>
      <rPr>
        <sz val="11"/>
        <rFont val="Calibri"/>
        <family val="2"/>
      </rPr>
      <t>≤ H</t>
    </r>
    <r>
      <rPr>
        <sz val="11"/>
        <rFont val="Calibri"/>
        <family val="2"/>
        <scheme val="minor"/>
      </rPr>
      <t xml:space="preserve"> &lt; 4000</t>
    </r>
  </si>
  <si>
    <r>
      <t xml:space="preserve">RCU Continuous,
</t>
    </r>
    <r>
      <rPr>
        <sz val="11"/>
        <rFont val="Calibri"/>
        <family val="2"/>
      </rPr>
      <t>H</t>
    </r>
    <r>
      <rPr>
        <sz val="11"/>
        <rFont val="Calibri"/>
        <family val="2"/>
        <scheme val="minor"/>
      </rPr>
      <t xml:space="preserve"> &lt; 800</t>
    </r>
  </si>
  <si>
    <r>
      <t xml:space="preserve">RCU Continuous,
800 </t>
    </r>
    <r>
      <rPr>
        <sz val="11"/>
        <rFont val="Calibri"/>
        <family val="2"/>
      </rPr>
      <t xml:space="preserve">≤ </t>
    </r>
    <r>
      <rPr>
        <sz val="11"/>
        <rFont val="Calibri"/>
        <family val="2"/>
        <scheme val="minor"/>
      </rPr>
      <t>H &lt; 4000</t>
    </r>
  </si>
  <si>
    <r>
      <t xml:space="preserve">IMH Continuous,
200 </t>
    </r>
    <r>
      <rPr>
        <sz val="11"/>
        <rFont val="Calibri"/>
        <family val="2"/>
      </rPr>
      <t xml:space="preserve">≤ </t>
    </r>
    <r>
      <rPr>
        <sz val="11"/>
        <rFont val="Calibri"/>
        <family val="2"/>
        <scheme val="minor"/>
      </rPr>
      <t>H &lt; 700</t>
    </r>
  </si>
  <si>
    <r>
      <t xml:space="preserve">IMH Continuous,
700 </t>
    </r>
    <r>
      <rPr>
        <sz val="11"/>
        <rFont val="Calibri"/>
        <family val="2"/>
      </rPr>
      <t>≤ H</t>
    </r>
    <r>
      <rPr>
        <sz val="11"/>
        <rFont val="Calibri"/>
        <family val="2"/>
        <scheme val="minor"/>
      </rPr>
      <t xml:space="preserve"> &lt; 4000</t>
    </r>
  </si>
  <si>
    <r>
      <t xml:space="preserve">IMH Batch,  
1500  </t>
    </r>
    <r>
      <rPr>
        <sz val="11"/>
        <rFont val="Calibri"/>
        <family val="2"/>
      </rPr>
      <t xml:space="preserve">≤ </t>
    </r>
    <r>
      <rPr>
        <sz val="11"/>
        <rFont val="Calibri"/>
        <family val="2"/>
        <scheme val="minor"/>
      </rPr>
      <t>H &lt; 4000</t>
    </r>
  </si>
  <si>
    <r>
      <t xml:space="preserve">RCU Batch,  
</t>
    </r>
    <r>
      <rPr>
        <sz val="11"/>
        <rFont val="Calibri"/>
        <family val="2"/>
      </rPr>
      <t xml:space="preserve"> H</t>
    </r>
    <r>
      <rPr>
        <sz val="11"/>
        <rFont val="Calibri"/>
        <family val="2"/>
        <scheme val="minor"/>
      </rPr>
      <t xml:space="preserve"> &lt; 988</t>
    </r>
  </si>
  <si>
    <r>
      <t xml:space="preserve">IMH Continuous, 
310 </t>
    </r>
    <r>
      <rPr>
        <sz val="11"/>
        <rFont val="Calibri"/>
        <family val="2"/>
      </rPr>
      <t xml:space="preserve">≤ </t>
    </r>
    <r>
      <rPr>
        <sz val="11"/>
        <rFont val="Calibri"/>
        <family val="2"/>
        <scheme val="minor"/>
      </rPr>
      <t>H &lt; 820</t>
    </r>
  </si>
  <si>
    <r>
      <t xml:space="preserve">IMH Continuous, 
820 </t>
    </r>
    <r>
      <rPr>
        <sz val="11"/>
        <rFont val="Calibri"/>
        <family val="2"/>
      </rPr>
      <t xml:space="preserve">≤ </t>
    </r>
    <r>
      <rPr>
        <sz val="11"/>
        <rFont val="Calibri"/>
        <family val="2"/>
        <scheme val="minor"/>
      </rPr>
      <t>H &lt; 4000</t>
    </r>
  </si>
  <si>
    <r>
      <t xml:space="preserve">RCU Continuous, 
</t>
    </r>
    <r>
      <rPr>
        <sz val="11"/>
        <rFont val="Calibri"/>
        <family val="2"/>
      </rPr>
      <t xml:space="preserve"> </t>
    </r>
    <r>
      <rPr>
        <sz val="11"/>
        <rFont val="Calibri"/>
        <family val="2"/>
        <scheme val="minor"/>
      </rPr>
      <t>H &lt; 800</t>
    </r>
  </si>
  <si>
    <r>
      <t xml:space="preserve">RCU Continuous, 
800 </t>
    </r>
    <r>
      <rPr>
        <sz val="11"/>
        <rFont val="Calibri"/>
        <family val="2"/>
      </rPr>
      <t xml:space="preserve">≤ </t>
    </r>
    <r>
      <rPr>
        <sz val="11"/>
        <rFont val="Calibri"/>
        <family val="2"/>
        <scheme val="minor"/>
      </rPr>
      <t>H &lt; 4000</t>
    </r>
  </si>
  <si>
    <r>
      <t xml:space="preserve">SCU Continuous, 
200 </t>
    </r>
    <r>
      <rPr>
        <sz val="11"/>
        <rFont val="Calibri"/>
        <family val="2"/>
      </rPr>
      <t xml:space="preserve">≤ </t>
    </r>
    <r>
      <rPr>
        <sz val="11"/>
        <rFont val="Calibri"/>
        <family val="2"/>
        <scheme val="minor"/>
      </rPr>
      <t>H &lt; 700</t>
    </r>
  </si>
  <si>
    <r>
      <t xml:space="preserve">SCU Continuous, 
700 </t>
    </r>
    <r>
      <rPr>
        <sz val="11"/>
        <rFont val="Calibri"/>
        <family val="2"/>
      </rPr>
      <t xml:space="preserve">≤ </t>
    </r>
    <r>
      <rPr>
        <sz val="11"/>
        <rFont val="Calibri"/>
        <family val="2"/>
        <scheme val="minor"/>
      </rPr>
      <t>H &lt; 4000</t>
    </r>
  </si>
  <si>
    <t>ENERGY STAR Ice Machine</t>
  </si>
  <si>
    <t>All pre-rinse valves use a spray of water to remove food waste from dishes prior to cleaning the dishes in a dishwasher. They reduce water consumption, water heating cost, and wastewater (sewer) charges. Pre-rinse spray valves include a nozzle, squeeze lever, and dish guard bumper. Energy savings depend on the facility type and the facility’s method of water heating (electric resistance or heat pump). The spray valves usually have a clip to lock the handle in the “on” position. Pre-rinse valves are inexpensive and easily interchangeable with different manufacturers’ assemblies.</t>
  </si>
  <si>
    <t>The facility must use electric water heating for this measure to be eligible. The flowrate of the new low-flow pre-rinse spray valve must be at least 10% less than required by the Federal Standards that have been in effect since Jan. 28, 2019. Table 1 shows the Federal Standards. Class 1, 2, and 3 products are eligible for rebates.</t>
  </si>
  <si>
    <t>Product Class (spray force in ounce-force, ozf)</t>
  </si>
  <si>
    <t>Flowrate (gallons per minute, gpm)</t>
  </si>
  <si>
    <t>1. Federal Energy Conservation Standard, Code of Federal Regulations, Title 10, Chapter 22, Subchapter D, Part 431, Subpart O, Section §431.266. Available here: &lt;https://www.ecfr.gov/current/title-10/chapter-II/subchapter-D/part-431/subpart-O#431.266&gt;, accessed Jan. 31, 2023.</t>
  </si>
  <si>
    <t>One spray valve.</t>
  </si>
  <si>
    <t>Flowrate of the baseline pre-rinse spray valve</t>
  </si>
  <si>
    <t>gpm</t>
  </si>
  <si>
    <t>Based on Federal Standards as of Jan. 28, 2019. This value is the maximum flowrate for Class 2 products with a spray force of &gt;5.0 ozf and ≤8.0 ozf. (See Table 1 above.)</t>
  </si>
  <si>
    <t>Flowrate of the low-flow pre-rinse spray valve</t>
  </si>
  <si>
    <t>This is a commonly available flowrate for Class 2 products and represents savings of 10.8% relative to the baseline.</t>
  </si>
  <si>
    <t>Daily operating minutes of the pre-rinse spray valve</t>
  </si>
  <si>
    <t>min/day</t>
  </si>
  <si>
    <t>day/year</t>
  </si>
  <si>
    <t>Hot/cold mixed water temperature</t>
  </si>
  <si>
    <t>Supply water temperature</t>
  </si>
  <si>
    <t>UEF</t>
  </si>
  <si>
    <t>Water heater uniform energy factor</t>
  </si>
  <si>
    <t>Peak demand coincidence factor from load shape analysis</t>
  </si>
  <si>
    <t>Equivalent full load hours of water heater operation from load shape analysis</t>
  </si>
  <si>
    <t>See Note 7.</t>
  </si>
  <si>
    <t>1. See AEG's 2023 Analysis File named "PY23 TRM - Commercial Low-Flow Spray Nozzle."</t>
  </si>
  <si>
    <t>2. Evergreen Economics, Baseline Energy Appliance, Equipment and Building Characteristics Study Report, Prepared for the State of Hawaii Public Utilities Commission, Feb. 26, 2014, Appendices, Table E.2.1 and Table E.2.2.</t>
  </si>
  <si>
    <t>3. California eTRM, Low-Flow Pre-Rinse Spray Valve, Food Service, SWFS013-02, effective Jan. 1, 2023,  available here: &lt;https://www.caetrm.com/measure/SWFS013/02/&gt;. The California eTRM cites field data from: Tso, B and J. Koeller. 2005. Pre- Rinse Spray Valves Programs: How are they Really Doing?  Bellevue (WA): SBW Consulting.</t>
  </si>
  <si>
    <t>4. Hawai‘i Energy Solar Water Heating Program Handbook, Table 2, for Hawaii and Honolulu counties. (Maui county average temperature is 71 °F).</t>
  </si>
  <si>
    <t>5. Electronic Code of Federal Regulations: Title 10: Energy, Part 430 - Energy Conservation Program for Consumer Products. Subpart C - Energy and Water Conservation Standards. Section 6d. &lt;https://www.ecfr.gov/current/title-10/chapter-II/subchapter-D/part-430/subpart-C/section-430.32&gt;.</t>
  </si>
  <si>
    <t>6. Refer to AEG's analysis file named "AEG HPUC EFLH and CF Analysis - Non-Holiday Weekdays."</t>
  </si>
  <si>
    <t>7. Energy Efficiency and Renewable Energy Office, 2021-08-18 Energy Conservation Program: Energy Conservation Standards for Commercial Prerinse Spray Valves; Notification of proposed determination and request for comment, Aug 17, 2021, Table IV.10—Summary of Inputs and Methods for the LCC and PBP Analysis, available here: &lt;https://www.regulations.gov/document/EERE-2019-BT-STD-0034-0012&gt;, accessed Feb. 1, 2023.</t>
  </si>
  <si>
    <t>Federal Standard Electric Resistance Water Heater UEF</t>
  </si>
  <si>
    <t>Federal Standard Heat Pump Water Heater 
UEF</t>
  </si>
  <si>
    <t>1. For derivation of the values in Table 2, see AEG's 2023 Analysis File named "PY23 TRM - Commercial Low-Flow Spray Nozzle," sheet named "Hawaii Data."</t>
  </si>
  <si>
    <t>Electric Resistance, 
Restaurants/ Institutions</t>
  </si>
  <si>
    <t>Heat Pump, 
Restaurants/ Institutions</t>
  </si>
  <si>
    <t>AEG's 2023 Analysis File named "PY23 TRM - Commercial Low-Flow Spray Nozzle."</t>
  </si>
  <si>
    <t>AEG's analysis file named "AEG HPUC EFLH and CF Analysis - Non-Holiday Weekdays."</t>
  </si>
  <si>
    <t>California eTRM, Low-Flow Pre-Rinse Spray Valve, Food Service, SWFS013-02, effective Jan. 1, 2023,  available here: &lt;https://www.caetrm.com/measure/SWFS013/02/&gt;.</t>
  </si>
  <si>
    <t>Energy Efficiency and Renewable Energy Office, 2021-08-18 Energy Conservation Program: Energy Conservation Standards for Commercial Prerinse Spray Valves; Notification of proposed determination and request for comment, Aug 17, 2021, Table IV.10—Summary of Inputs and Methods for the LCC and PBP Analysis, available here: &lt;https://www.regulations.gov/document/EERE-2019-BT-STD-0034-0012&gt;, accessed Feb. 1, 2023.</t>
  </si>
  <si>
    <t>Evergreen Economics, Baseline Energy Appliance, Equipment and Building Characteristics Study Report, Prepared for the State of Hawaii Public Utilities Commission, Feb. 26, 2014, Appendices, Table E.2.1 and Table E.2.2.</t>
  </si>
  <si>
    <t>Federal Energy Conservation Standard, Code of Federal Regulations, Title 10, Chapter 22, Subchapter D, Part 431, Subpart O, Section §431.266. Available here: &lt;https://www.ecfr.gov/current/title-10/chapter-II/subchapter-D/part-431/subpart-O#431.266&gt;, accessed Jan. 31, 2023.</t>
  </si>
  <si>
    <t>Hawai‘i Energy Solar Water Heating Program Handbook</t>
  </si>
  <si>
    <t>Maryland/Mid-Atlantic Technical Reference Manual, Version 10, Prepared by Shelter Analytics, Facilitated and Managed by Northeast Energy Efficiency Partnerships, March 2020.</t>
  </si>
  <si>
    <t>New York State Joint Utilities, New York Standard Approach for Estimating Energy Savings from Energy Efficiency Programs – Residential, Multi-Family, and Commercial/Industrial Measures, Version 10, Effective Date - Jan. 1, 2023.</t>
  </si>
  <si>
    <t>Public Utility Commission of Texas, Texas Technical Reference Manual, Version 10.0, Volume 2: Residential Measures, Program Year 2023.</t>
  </si>
  <si>
    <t>Tso, B and J. Koeller. 2005. Pre- Rinse Spray Valves Programs: How are they Really Doing?  Bellevue (WA): SBW Consulting.</t>
  </si>
  <si>
    <t>2023 Illinois Statewide Technical Reference Manual for Energy Efficiency, Version 11.0, Volume 2: Commercial and Industrial Measures, FINAL, September 22, 2022. Effective: January 1, 2023.</t>
  </si>
  <si>
    <r>
      <t>Table 1. Federal Standards for Commercial Pre-rinse Spray Valves. Effective as of Jan. 28, 2019.</t>
    </r>
    <r>
      <rPr>
        <b/>
        <vertAlign val="superscript"/>
        <sz val="11"/>
        <rFont val="Calibri"/>
        <family val="2"/>
        <scheme val="minor"/>
      </rPr>
      <t>1</t>
    </r>
    <r>
      <rPr>
        <b/>
        <sz val="11"/>
        <rFont val="Calibri"/>
        <family val="2"/>
        <scheme val="minor"/>
      </rPr>
      <t xml:space="preserve"> </t>
    </r>
  </si>
  <si>
    <t xml:space="preserve">The baseline equipment is assumed to be a pre-rinse spray valve with a flowrate of 1.2 gpm, consistent with the Federal Standard for Class 2 products with a spray force of &gt;5.0 ozf and ≤8.0 ozf (see Table 1 above). However, Class 1 and Class 3 products are also eligible for rebates. </t>
  </si>
  <si>
    <t>The efficient equipment is assumed to be a pre-rinse spray valve with a flowrate of 1.07 gpm. This is a commonly available flowrate for Class 2 products and represents savings of 10.8% relative to the baseline.</t>
  </si>
  <si>
    <r>
      <t>GPM</t>
    </r>
    <r>
      <rPr>
        <vertAlign val="subscript"/>
        <sz val="10.5"/>
        <rFont val="Calibri"/>
        <family val="2"/>
        <scheme val="minor"/>
      </rPr>
      <t>Base</t>
    </r>
  </si>
  <si>
    <r>
      <t>GPM</t>
    </r>
    <r>
      <rPr>
        <vertAlign val="subscript"/>
        <sz val="10.5"/>
        <rFont val="Calibri"/>
        <family val="2"/>
        <scheme val="minor"/>
      </rPr>
      <t>EE</t>
    </r>
  </si>
  <si>
    <r>
      <t>Min</t>
    </r>
    <r>
      <rPr>
        <vertAlign val="subscript"/>
        <sz val="10.5"/>
        <rFont val="Calibri"/>
        <family val="2"/>
        <scheme val="minor"/>
      </rPr>
      <t>day</t>
    </r>
  </si>
  <si>
    <r>
      <t>Consistent with benchmarking.</t>
    </r>
    <r>
      <rPr>
        <vertAlign val="superscript"/>
        <sz val="10.5"/>
        <rFont val="Calibri"/>
        <family val="2"/>
        <scheme val="minor"/>
      </rPr>
      <t>1</t>
    </r>
  </si>
  <si>
    <r>
      <t>Day</t>
    </r>
    <r>
      <rPr>
        <vertAlign val="subscript"/>
        <sz val="10.5"/>
        <rFont val="Calibri"/>
        <family val="2"/>
        <scheme val="minor"/>
      </rPr>
      <t>year</t>
    </r>
  </si>
  <si>
    <r>
      <t>Consistent with Hawaii Baseline Study data and benchmarking.</t>
    </r>
    <r>
      <rPr>
        <vertAlign val="superscript"/>
        <sz val="10.5"/>
        <rFont val="Calibri"/>
        <family val="2"/>
        <scheme val="minor"/>
      </rPr>
      <t>1,2</t>
    </r>
  </si>
  <si>
    <r>
      <t>lb</t>
    </r>
    <r>
      <rPr>
        <vertAlign val="subscript"/>
        <sz val="10.5"/>
        <rFont val="Calibri"/>
        <family val="2"/>
        <scheme val="minor"/>
      </rPr>
      <t>m</t>
    </r>
    <r>
      <rPr>
        <sz val="10.5"/>
        <rFont val="Calibri"/>
        <family val="2"/>
        <scheme val="minor"/>
      </rPr>
      <t>/gal</t>
    </r>
  </si>
  <si>
    <r>
      <t>c</t>
    </r>
    <r>
      <rPr>
        <i/>
        <vertAlign val="subscript"/>
        <sz val="10.5"/>
        <rFont val="Calibri"/>
        <family val="2"/>
        <scheme val="minor"/>
      </rPr>
      <t>p</t>
    </r>
  </si>
  <si>
    <r>
      <t>Btu/lb</t>
    </r>
    <r>
      <rPr>
        <vertAlign val="subscript"/>
        <sz val="10.5"/>
        <rFont val="Calibri"/>
        <family val="2"/>
        <scheme val="minor"/>
      </rPr>
      <t>m</t>
    </r>
    <r>
      <rPr>
        <sz val="10.5"/>
        <rFont val="Calibri"/>
        <family val="2"/>
        <scheme val="minor"/>
      </rPr>
      <t>°F</t>
    </r>
  </si>
  <si>
    <r>
      <t>T</t>
    </r>
    <r>
      <rPr>
        <vertAlign val="subscript"/>
        <sz val="10.5"/>
        <rFont val="Calibri"/>
        <family val="2"/>
        <scheme val="minor"/>
      </rPr>
      <t>mix</t>
    </r>
  </si>
  <si>
    <r>
      <t>California eTRM.</t>
    </r>
    <r>
      <rPr>
        <vertAlign val="superscript"/>
        <sz val="10.5"/>
        <rFont val="Calibri"/>
        <family val="2"/>
        <scheme val="minor"/>
      </rPr>
      <t>3</t>
    </r>
  </si>
  <si>
    <r>
      <t>T</t>
    </r>
    <r>
      <rPr>
        <vertAlign val="subscript"/>
        <sz val="10.5"/>
        <rFont val="Calibri"/>
        <family val="2"/>
        <scheme val="minor"/>
      </rPr>
      <t>supply</t>
    </r>
  </si>
  <si>
    <r>
      <t>Hawai'i Energy.</t>
    </r>
    <r>
      <rPr>
        <vertAlign val="superscript"/>
        <sz val="10.5"/>
        <rFont val="Calibri"/>
        <family val="2"/>
        <scheme val="minor"/>
      </rPr>
      <t>4</t>
    </r>
  </si>
  <si>
    <r>
      <t>Derived from mean water heater tank capacities from Hawaii Baseline Study and minimum Federal standards for water heater UEFs.</t>
    </r>
    <r>
      <rPr>
        <vertAlign val="superscript"/>
        <sz val="10.5"/>
        <rFont val="Calibri"/>
        <family val="2"/>
        <scheme val="minor"/>
      </rPr>
      <t>1,2,5</t>
    </r>
  </si>
  <si>
    <r>
      <t>AEG's 2018 Hawaii-specific analysis of U.S. DOE OpenEI Load shapes for Commercial Water Heating; peak period defined as non-holiday weekdays from 5-9 pm. Building type: Restaurant.</t>
    </r>
    <r>
      <rPr>
        <vertAlign val="superscript"/>
        <sz val="10.5"/>
        <rFont val="Calibri"/>
        <family val="2"/>
        <scheme val="minor"/>
      </rPr>
      <t>6</t>
    </r>
  </si>
  <si>
    <r>
      <t>AEG's 2018 Hawaii-specific analysis of U.S. DOE OpenEI Load shapes for Commercial Water Heating. Building type: Restaurant.</t>
    </r>
    <r>
      <rPr>
        <vertAlign val="superscript"/>
        <sz val="10.5"/>
        <rFont val="Calibri"/>
        <family val="2"/>
        <scheme val="minor"/>
      </rPr>
      <t>6</t>
    </r>
  </si>
  <si>
    <r>
      <t>Table 2. Values for Key Parameters</t>
    </r>
    <r>
      <rPr>
        <b/>
        <vertAlign val="superscript"/>
        <sz val="11"/>
        <rFont val="Calibri"/>
        <family val="2"/>
        <scheme val="minor"/>
      </rPr>
      <t>1</t>
    </r>
  </si>
  <si>
    <r>
      <t>Day</t>
    </r>
    <r>
      <rPr>
        <b/>
        <vertAlign val="subscript"/>
        <sz val="10.5"/>
        <rFont val="Calibri"/>
        <family val="2"/>
        <scheme val="minor"/>
      </rPr>
      <t>year</t>
    </r>
  </si>
  <si>
    <t>ENERGY STAR Version 5.0</t>
  </si>
  <si>
    <t>PY23 TRM Commercial Kitchen Freezer Analysis File, "EUL Benchmarking" sheet</t>
  </si>
  <si>
    <t>AEG's analysis file titled "PY23 TRM Commercial Kitchen Freezer Analysis File."</t>
  </si>
  <si>
    <t>ENERGY STAR. 2022. "ENERGY STAR® Program Requirements Product Specification for Commercial Refrigerators and Freezers - Eligibility Criteria Version 5.0." Effective on December 22, 2022. URL: https://www.energystar.gov/sites/default/files/asset/document/ENERGY%20STAR%20Version%205.0%20%28Rev.%20November%20-%202022%29%20Commercial%20Refrigerators%20and%20Freezers%20Specification_0.pdf.</t>
  </si>
  <si>
    <t xml:space="preserve">California Technical Forum. 2023. "CPUC Support Tables. Effective Useful Life and Remaining Useful Life." URL: https://www.caetrm.com/cpuc/table/effusefullife/. Accessed on January 31, 2023. </t>
  </si>
  <si>
    <t>Idaho Power Company Technical Reference Manual 3.2. November 24th, 2021.</t>
  </si>
  <si>
    <t>For this characterization to apply, the baseline equipment is assumed to be a solid or glass door freezer, closing either vertically or horizontally, meeting the minimum federal manufacturing standards. The volume for the baseline is assumed to be the average of the range. For example, if the range is 0 to 15, the average volume is 7.5.</t>
  </si>
  <si>
    <t>For this characterization to apply, the efficient equipment is assumed to be a solid or glass door freezer meeting the minimum ENERGY STAR efficiency level standards.</t>
  </si>
  <si>
    <r>
      <t>Volumetric Factor
(kWh/ft</t>
    </r>
    <r>
      <rPr>
        <b/>
        <vertAlign val="superscript"/>
        <sz val="11"/>
        <rFont val="Calibri"/>
        <family val="2"/>
        <scheme val="minor"/>
      </rPr>
      <t>3</t>
    </r>
    <r>
      <rPr>
        <b/>
        <sz val="11"/>
        <rFont val="Calibri"/>
        <family val="2"/>
        <scheme val="minor"/>
      </rPr>
      <t>)</t>
    </r>
  </si>
  <si>
    <r>
      <t xml:space="preserve">Vertical Solid-Door, 
50 </t>
    </r>
    <r>
      <rPr>
        <sz val="11"/>
        <rFont val="Calibri"/>
        <family val="2"/>
      </rPr>
      <t>≤</t>
    </r>
    <r>
      <rPr>
        <sz val="11"/>
        <rFont val="Calibri"/>
        <family val="2"/>
        <scheme val="minor"/>
      </rPr>
      <t xml:space="preserve"> V         </t>
    </r>
  </si>
  <si>
    <r>
      <t xml:space="preserve">Horizontal Solid-Door, 
50 </t>
    </r>
    <r>
      <rPr>
        <sz val="11"/>
        <rFont val="Calibri"/>
        <family val="2"/>
      </rPr>
      <t>≤</t>
    </r>
    <r>
      <rPr>
        <sz val="11"/>
        <rFont val="Calibri"/>
        <family val="2"/>
        <scheme val="minor"/>
      </rPr>
      <t xml:space="preserve"> V         </t>
    </r>
  </si>
  <si>
    <t>PY23 TRM Commercial Kitchen Refrigerator Analysis File, "EUL Benchmarking" sheet</t>
  </si>
  <si>
    <t>AEG's analysis file titled: "PY23 TRM Commercial Kitchen Refrigerator Analysis File."</t>
  </si>
  <si>
    <t>For this characterization to apply, the baseline equipment is assumed to be a solid or glass door refrigerator, closing either vertically or horizontally, meeting the minimum federal manufacturing standards. The volume for the baseline is assumed to be the average of the range. For example, if the range is 0 to 15, the average volume is 7.5.</t>
  </si>
  <si>
    <t>For this characterization to apply, the efficient equipment is assumed to be a solid or glass door refrigerator meeting the minimum ENERGY STAR efficiency level standards.</t>
  </si>
  <si>
    <t>Updated in Winter 2022-2023 for the PY23 TRM. Reinstate/reevaluate the full load efficiency requirement for split-system and single-package air-cooled AC and air-source heat pump systems by PY25.</t>
  </si>
  <si>
    <t>Single-phase split-system and single-package air-cooled AC and air-source HP with capacities &lt; 65,000 Btu/h (residential-scale)</t>
  </si>
  <si>
    <t>Three-phase split-system and single-package air-cooled AC and air-source HP with capacities &lt; 65,000 Btu/h (commercial-scale)</t>
  </si>
  <si>
    <t>Water-source HP (water-to-air, water loop) with capacities &lt; 135,000 Btu/h</t>
  </si>
  <si>
    <t>Single-package vertical AC and HP with capacities &lt; 135,000 Btu/h</t>
  </si>
  <si>
    <t>Residential-scale single-phase split-system and single-package air-cooled AC and air-source HP systems with capacities &lt; 65,000 Btu/h must meet or exceed 15.2 SEER2.</t>
  </si>
  <si>
    <t>Split-system and single-package air-cooled AC and air-source HP systems do not have state, federal, or ASHRAE minimum EER2 (or EER) requirements. An "industry standard practice" baseline was used to calculate the peak demand savings. It involved setting the baseline values equal to the most common EER2 (or EER) value for the given SEER2 (or IEER) minimum requirement, as determined through analysis of AHRI data.</t>
  </si>
  <si>
    <t xml:space="preserve">Water-source HP, PTAC, PTAC, vertical AC, and vertical HP systems do not have state, federal, or ASHRAE minimum SEER (or IEER) requirements. The baseline SEER (or IEER) values were set equal to the baseline EER requirements in the calculation worksheet to calculate energy savings. </t>
  </si>
  <si>
    <t>[EER2 used in place of EER for split/single-package AC and HP units &lt;65,000 Btu/h]</t>
  </si>
  <si>
    <t>[SEER2 used in place of IEER for split/single-package AC and HP units &lt;65,000 Btu/h]</t>
  </si>
  <si>
    <t>[SEER used in place of IEER for all other units &lt;65,000 Btu/h]</t>
  </si>
  <si>
    <t>Energy Efficiency Ratio of baseline unit. Used to represent full-load operation.</t>
  </si>
  <si>
    <t>Energy Efficiency Ratio of installed high efficiency unit. Used to represent full-load operation.</t>
  </si>
  <si>
    <t>Integrated or Seasonal Energy Efficiency Ratio of baseline unit. Used to represent part-load operation. SEER2 or SEER is used for units &lt;65,000 Btu/h.</t>
  </si>
  <si>
    <t>Integrated or Seasonal Energy Efficiency Ratio of installed high efficiency unit. Used to represent part-load operation. SEER2 or SEER is used for units &lt;65,000 Btu/h.</t>
  </si>
  <si>
    <t>AEG's analysis of DOE's OpenEI load shapes using Hawaii-specific prototypes and weather data</t>
  </si>
  <si>
    <t>AEG's analysis of DOE's OpenEI load shapes using Hawaii-specific prototypes, weather data, and peak demand period</t>
  </si>
  <si>
    <t xml:space="preserve">AEG's PY23 Analysis File named "PY23 TRM - Commercial AC and HP - Analysis File." </t>
  </si>
  <si>
    <t>Air-Conditioning, Heating, &amp; Refrigeration Institute (AHRI), Database of Certified Products, accessed Sep. 2022 and Nov. 2022, available here: &lt;http://www.ahrinet.org/Contractors-Specifiers/Certified-Products&gt;.</t>
  </si>
  <si>
    <t>ANSI/ASHRAE/IES Standard 90.1-2019, Energy Standard for Buildings Except Low-Rise Residential Buildings, (I-P Edition), 2019, available here: &lt;https://www.ashrae.org/technical-resources/bookstore/standard-90-1&gt;.</t>
  </si>
  <si>
    <t>Code of Federal Regulations, 10 CFR 430.32, Subpart C, Energy and Water Conservation Standards and their Effective Dates, Paragraph (c): Central Air Conditioners and Heat Pumps, available here: &lt;https://www.govinfo.gov/content/pkg/CFR-2022-title10-vol3/pdf/CFR-2022-title10-vol3-sec430-32.pdf&gt;.</t>
  </si>
  <si>
    <t>Code of Federal Regulations, 10 CFR 431.97, Subpart F, Energy Efficiency Standards and their Compliance Dates, Paragraphs (b), (c), and (d), available here: &lt;https://www.ecfr.gov/current/title-10/chapter-II/subchapter-D/part-431/subpart-F/subject-group-ECFR2640f6ad978e4e6/section-431.97&gt;.</t>
  </si>
  <si>
    <r>
      <t xml:space="preserve">Unitary split-system and single-package air-cooled AC and air-source HP with capacities </t>
    </r>
    <r>
      <rPr>
        <sz val="11"/>
        <rFont val="Calibri"/>
        <family val="2"/>
      </rPr>
      <t>≥</t>
    </r>
    <r>
      <rPr>
        <sz val="11"/>
        <rFont val="Calibri"/>
        <family val="2"/>
        <scheme val="minor"/>
      </rPr>
      <t xml:space="preserve"> 65,000 and &lt; 240,000 Btu/h</t>
    </r>
  </si>
  <si>
    <t xml:space="preserve">All other eligible equipment shall have a minimum rated efficiency that is at least 10% higher than the energy code-compliant standard for equivalently-sized equipment. </t>
  </si>
  <si>
    <r>
      <t xml:space="preserve">The baseline equipment meets the current federal and state requirements and ASHRAE 90.1-2019 standards as of January 1, 2023. Split-system and single-package air-cooled AC and air-source HP systems with capacities &lt; 65,000 Btu/h have minimum SEER2 requirements. Split-system and single-package air-cooled AC and air-source HP systems with capacities </t>
    </r>
    <r>
      <rPr>
        <sz val="11"/>
        <rFont val="Calibri"/>
        <family val="2"/>
      </rPr>
      <t>≥</t>
    </r>
    <r>
      <rPr>
        <sz val="11"/>
        <rFont val="Calibri"/>
        <family val="2"/>
        <scheme val="minor"/>
      </rPr>
      <t xml:space="preserve"> 65,000 Btu/h have minimum IEER requirements. Water-source HP, PTAC, PTAC, vertical AC, and vertical HP systems have minimum EER requirements.</t>
    </r>
  </si>
  <si>
    <t xml:space="preserve">The semi-prescriptive savings approach presented here assumes replace-on-burnout (ROB). A custom dual baseline approach is required for early retirement (ER) projects: use the pre-existing equipment for the 1st ER baseline; use ASHRAE 90.1-2019 and current state requirements for the 2nd ER baseline. Documentation that shows the pre-existing equipment was operating and had a meaningful remaining useful life before replacement is required to be eligible for a custom ER savings approach. </t>
  </si>
  <si>
    <t>Residential-scale high efficiency equipment must meet or exceed 15.2 SEER2. All other eligible high efficiency equipment must exceed ASHRAE minimum efficiencies by 10% or more, as applicable for the given system type. An additional tier (20% above ASHRAE) has also been included for this measure. Actual nameplate data for rated efficiency will be compared against the ASHRAE standard efficiency.</t>
  </si>
  <si>
    <r>
      <t xml:space="preserve">For split-system and single-package air-cooled AC and air-source HP systems, there are no program requirements for full-load efficiency (EER2 or EER) through PY24. This is a temporary special exception since there is currently a limited availability of HVAC systems of this type in Hawaii that exceed the baseline full-load efficiency requirements by 10% for Tier 1 (or 20% for Tier 2). </t>
    </r>
    <r>
      <rPr>
        <b/>
        <sz val="11"/>
        <rFont val="Calibri"/>
        <family val="2"/>
        <scheme val="minor"/>
      </rPr>
      <t>The full-load efficiency requirements will be reinstated/reevaluated by PY25.</t>
    </r>
  </si>
  <si>
    <t>Water-source heat pump, PTAC, PTAC, vertical AC, and vertical HP systems do not have state, federal, or ASHRAE minimum SEER (or IEER) requirements. Therefore, the high efficiency SEER (or IEER) values have been set equal to the high efficiency EER requirements in the calculation worksheet.</t>
  </si>
  <si>
    <r>
      <t>EER</t>
    </r>
    <r>
      <rPr>
        <vertAlign val="subscript"/>
        <sz val="10.5"/>
        <rFont val="Calibri"/>
        <family val="2"/>
        <scheme val="minor"/>
      </rPr>
      <t>BL</t>
    </r>
    <r>
      <rPr>
        <sz val="10.5"/>
        <rFont val="Calibri"/>
        <family val="2"/>
        <scheme val="minor"/>
      </rPr>
      <t xml:space="preserve"> or EER2</t>
    </r>
    <r>
      <rPr>
        <vertAlign val="subscript"/>
        <sz val="10.5"/>
        <rFont val="Calibri"/>
        <family val="2"/>
        <scheme val="minor"/>
      </rPr>
      <t>BL</t>
    </r>
  </si>
  <si>
    <r>
      <t xml:space="preserve">Equal to the state, federal, and ASHRAE 90.1-2019 minimum efficiency requirements, as applicable to the given system type. (Refer to the </t>
    </r>
    <r>
      <rPr>
        <i/>
        <sz val="10.5"/>
        <rFont val="Calibri"/>
        <family val="2"/>
        <scheme val="minor"/>
      </rPr>
      <t xml:space="preserve">Baseline Equipment </t>
    </r>
    <r>
      <rPr>
        <sz val="10.5"/>
        <rFont val="Calibri"/>
        <family val="2"/>
        <scheme val="minor"/>
      </rPr>
      <t>description above for more information.)</t>
    </r>
  </si>
  <si>
    <r>
      <t>EER</t>
    </r>
    <r>
      <rPr>
        <vertAlign val="subscript"/>
        <sz val="10.5"/>
        <rFont val="Calibri"/>
        <family val="2"/>
        <scheme val="minor"/>
      </rPr>
      <t>EE</t>
    </r>
    <r>
      <rPr>
        <sz val="10.5"/>
        <rFont val="Calibri"/>
        <family val="2"/>
        <scheme val="minor"/>
      </rPr>
      <t xml:space="preserve"> or EER2</t>
    </r>
    <r>
      <rPr>
        <vertAlign val="subscript"/>
        <sz val="10.5"/>
        <rFont val="Calibri"/>
        <family val="2"/>
        <scheme val="minor"/>
      </rPr>
      <t>EE</t>
    </r>
  </si>
  <si>
    <r>
      <t xml:space="preserve">As installed. At least 10% better than the baseline efficiency, as applicable to the given system type. (Refer to the </t>
    </r>
    <r>
      <rPr>
        <i/>
        <sz val="10.5"/>
        <rFont val="Calibri"/>
        <family val="2"/>
        <scheme val="minor"/>
      </rPr>
      <t>High Efficiency Equipment</t>
    </r>
    <r>
      <rPr>
        <sz val="10.5"/>
        <rFont val="Calibri"/>
        <family val="2"/>
        <scheme val="minor"/>
      </rPr>
      <t xml:space="preserve"> description above for more information.)</t>
    </r>
  </si>
  <si>
    <r>
      <t>IEER</t>
    </r>
    <r>
      <rPr>
        <vertAlign val="subscript"/>
        <sz val="10.5"/>
        <rFont val="Calibri"/>
        <family val="2"/>
        <scheme val="minor"/>
      </rPr>
      <t>BL</t>
    </r>
    <r>
      <rPr>
        <sz val="10.5"/>
        <rFont val="Calibri"/>
        <family val="2"/>
        <scheme val="minor"/>
      </rPr>
      <t>, SEER2</t>
    </r>
    <r>
      <rPr>
        <vertAlign val="subscript"/>
        <sz val="10.5"/>
        <rFont val="Calibri"/>
        <family val="2"/>
        <scheme val="minor"/>
      </rPr>
      <t>BL</t>
    </r>
    <r>
      <rPr>
        <sz val="10.5"/>
        <rFont val="Calibri"/>
        <family val="2"/>
        <scheme val="minor"/>
      </rPr>
      <t xml:space="preserve"> or SEER</t>
    </r>
    <r>
      <rPr>
        <vertAlign val="subscript"/>
        <sz val="10.5"/>
        <rFont val="Calibri"/>
        <family val="2"/>
        <scheme val="minor"/>
      </rPr>
      <t>BL</t>
    </r>
  </si>
  <si>
    <r>
      <t>IEER</t>
    </r>
    <r>
      <rPr>
        <vertAlign val="subscript"/>
        <sz val="10.5"/>
        <rFont val="Calibri"/>
        <family val="2"/>
        <scheme val="minor"/>
      </rPr>
      <t>EE</t>
    </r>
    <r>
      <rPr>
        <sz val="10.5"/>
        <rFont val="Calibri"/>
        <family val="2"/>
        <scheme val="minor"/>
      </rPr>
      <t>, SEER2</t>
    </r>
    <r>
      <rPr>
        <vertAlign val="subscript"/>
        <sz val="10.5"/>
        <rFont val="Calibri"/>
        <family val="2"/>
        <scheme val="minor"/>
      </rPr>
      <t>EE</t>
    </r>
    <r>
      <rPr>
        <sz val="10.5"/>
        <rFont val="Calibri"/>
        <family val="2"/>
        <scheme val="minor"/>
      </rPr>
      <t xml:space="preserve"> or SEER</t>
    </r>
    <r>
      <rPr>
        <vertAlign val="subscript"/>
        <sz val="10.5"/>
        <rFont val="Calibri"/>
        <family val="2"/>
        <scheme val="minor"/>
      </rPr>
      <t>EE</t>
    </r>
  </si>
  <si>
    <t xml:space="preserve">AEG's PY22 Analysis File named "PY22 C_HVAC_AC &amp; Heat Pump - Analysis file." </t>
  </si>
  <si>
    <t>AEG's PY20 Analysis Files named "AEG HPUC C_HVAC_VRF AC &amp; HP - Analysis File" and "AEG HPUC - HVAC Measures - Analysis File_Jan 2021."</t>
  </si>
  <si>
    <t>Revise or remove notes in Cells G6 and G7</t>
  </si>
  <si>
    <t>Single-Phase Split System AC</t>
  </si>
  <si>
    <t>Single-Phase Single Package AC</t>
  </si>
  <si>
    <t>Three-Phase Split System AC</t>
  </si>
  <si>
    <t>Three-Phase Single Package AC</t>
  </si>
  <si>
    <t>Split System &amp; Single Package AC</t>
  </si>
  <si>
    <t>Single-Phase Split System HP</t>
  </si>
  <si>
    <t>Single-Phase Single Package HP</t>
  </si>
  <si>
    <t>Notes: 1) If an efficiency value is unknown, check AHRI Directory (www.ahridirectory.org); 2) Use EER2 and SEER2 for Split System and Single Package Systems &lt; 65,000 Btu/h.</t>
  </si>
  <si>
    <t>Three-Phase Split System Air-Source HP</t>
  </si>
  <si>
    <t>Three-Phase Single Package Air-Source HP</t>
  </si>
  <si>
    <t>Table 1: Minimum Baseline Efficiencies; Assumes Like-for-Like Replacement</t>
  </si>
  <si>
    <t>SEER or SEER2</t>
  </si>
  <si>
    <t>&lt; 45,000 Btu/h</t>
  </si>
  <si>
    <t>≥ 45,000 and &lt; 65,000 Btu/h</t>
  </si>
  <si>
    <t>&lt; 7,000 Btu/h</t>
  </si>
  <si>
    <t>≥ 65,000</t>
  </si>
  <si>
    <t>&gt; 15,000 and &lt; 65,000 Btu/h</t>
  </si>
  <si>
    <t>Table 2: Minimum Qualifying Efficiencies - Tier 1</t>
  </si>
  <si>
    <t>Table 3: Minimum Qualifying Efficiencies - Tier 2</t>
  </si>
  <si>
    <r>
      <t xml:space="preserve">≥ 7,000 and </t>
    </r>
    <r>
      <rPr>
        <sz val="11"/>
        <rFont val="Calibri"/>
        <family val="2"/>
      </rPr>
      <t>≤</t>
    </r>
    <r>
      <rPr>
        <sz val="11"/>
        <rFont val="Calibri"/>
        <family val="2"/>
        <scheme val="minor"/>
      </rPr>
      <t xml:space="preserve"> 15,000 Btu/h</t>
    </r>
  </si>
  <si>
    <r>
      <rPr>
        <sz val="11"/>
        <rFont val="Calibri"/>
        <family val="2"/>
      </rPr>
      <t>≥</t>
    </r>
    <r>
      <rPr>
        <sz val="11"/>
        <rFont val="Calibri"/>
        <family val="2"/>
        <scheme val="minor"/>
      </rPr>
      <t xml:space="preserve"> 65,000 and &lt; 240,000 Btu/h</t>
    </r>
  </si>
  <si>
    <t>Residential standard-sized front- or top-loading energy efficient clothes washer for use in a single family home or in-unit installation in a multifamily home.</t>
  </si>
  <si>
    <t>Must be ENERGY STAR v8.1-certified and/or have a Consortium for Energy Efficiency (CEE) rating of Tier 1 or higher.</t>
  </si>
  <si>
    <t>One clothes washer.</t>
  </si>
  <si>
    <t xml:space="preserve">Clothes washer meeting the federal requirements in effect for the given program year. Table 1 shows the current requirements, which have been in effect since Jan. 1, 2018. The Integrated Modified Energy Factor (IMEF) is used in the savings calculations. IMEF is a measure of energy efficiency that considers the energy used by the washer during the cycle and while on standby, the energy used to heat the water, and the energy used to run the dryer. </t>
  </si>
  <si>
    <t>Product Class</t>
  </si>
  <si>
    <t>Minimum Integrated Modified Energy Factor (IMEF), cu.ft./kWh/cycle</t>
  </si>
  <si>
    <t>Maximum Integrated Water Factor (IWF), gal/cycle/cu.ft.</t>
  </si>
  <si>
    <t>Share by Type 
(Hot-Humid Climate Region)</t>
  </si>
  <si>
    <t>Top-loading, Standard, 
≥ 1.6 cu.ft. capacity</t>
  </si>
  <si>
    <t>Front-loading, Standard, 
≥ 1.6 cu.ft. capacity</t>
  </si>
  <si>
    <t>Weighted Average Across Top- and Front-loading Washers, Hot-Humid Climate</t>
  </si>
  <si>
    <t>1. Code of Federal Regulations, 10 CFR 430.32, Subpart C, Energy and Water Conservation Standards and their Effective Dates, Paragraph (g): Clothes Washers, available here: &lt;https://www.govinfo.gov/content/pkg/CFR-2022-title10-vol3/pdf/CFR-2022-title10-vol3-sec430-32.pdf&gt;, accessed 1/23/2023.</t>
  </si>
  <si>
    <t>2. 2020 Residential Energy Consumption Survey (RECS), Table HC3.6 Appliances in U.S. Homes, by Climate Region, Hot-Humid Climate, available here: &lt;https://www.eia.gov/consumption/residential/data/2020/#appliances&gt;, accessed 1/23/2023.</t>
  </si>
  <si>
    <t>Three tiers of efficient equipment:</t>
  </si>
  <si>
    <t xml:space="preserve">1) ENERGY STAR or CEE Tier 1 certified
</t>
  </si>
  <si>
    <t>2) ENERGY STAR Most Efficient, or CEE Tier 2 certified</t>
  </si>
  <si>
    <t>3) CEE Tier 3 certified</t>
  </si>
  <si>
    <t>See Table 2 for criteria.</t>
  </si>
  <si>
    <t>Product Type</t>
  </si>
  <si>
    <t>Minimum IMEF, cu.ft./kWh/cycle</t>
  </si>
  <si>
    <t>Maximum IWF, gal/cycle/cu.ft.</t>
  </si>
  <si>
    <t>Not Connected</t>
  </si>
  <si>
    <t>ENERGY STAR: 
Top-loading, &gt; 2.5 cu.ft.</t>
  </si>
  <si>
    <t>ENERGY STAR: 
Front-loading, &gt; 2.5 cu.ft.</t>
  </si>
  <si>
    <t>ENERGY STAR Most Efficient or CEE Tier 2: Top- or Front-loading, ≤ 2.5 cu.ft.</t>
  </si>
  <si>
    <t>ENERGY STAR Most Efficient or CEE Tier 2: Top- or Front-loading, &gt; 2.5 cu.ft.</t>
  </si>
  <si>
    <t>CEE Tier 3: Top- or Front-loading, &gt; 2.5 cu.ft.</t>
  </si>
  <si>
    <t>1. ENERGY STAR Version 8.1 Clothes Washer Specification, available here:  &lt;https://www.energystar.gov/sites/default/files/asset/document/ENERGY%20STAR%20Version%208.1%20Clothes%20Washer%20Final%20Specificaiton%20-%20Partner%20Commitments%20and%20Eligibility%20Criteria.pdf&gt;.</t>
  </si>
  <si>
    <t>2. CEE Super Efficient Home Appliances Initiative, High Efficiency Specifications for Residential Clothes Washers, Effective Feb. 5, 2018, available here: &lt;https://library.cee1.org/system/files/library/13445/CEE_ResidentialClothesWasherSpecification_05Feb2018.pdf&gt;, accessed Jan. 26, 2023.</t>
  </si>
  <si>
    <t>3. Connected systems include hardware and software required to enable communication in response to consumer-authorized energy related commands.</t>
  </si>
  <si>
    <t>Average clothes washer capacity in cubic feet (cu.ft.)</t>
  </si>
  <si>
    <t>cu.ft.</t>
  </si>
  <si>
    <t>cu.ft./
kWh/
cycle</t>
  </si>
  <si>
    <t>Based on Federal Standards as of Jan. 1, 2018. This value represents the weighted average across front- and top-loading units using 2020 RECS data for the hot-humid climate region. See Table 1 above for derivation.</t>
  </si>
  <si>
    <t>Equivalent full load hours from load shape analysis</t>
  </si>
  <si>
    <t>1. ENERGY STAR Product Finder, available here: &lt;https://www.energystar.gov/productfinder/product/certified-clothes-washers/results&gt;.</t>
  </si>
  <si>
    <t>2. CEE Residential Clothes Washers Qualifying Product List, available here:  &lt;https://library.cee1.org/content/qualifying-product-lists-residential-clothes-washers&gt;.</t>
  </si>
  <si>
    <t>3. Refer to AEG's analysis file named "PY23 TRM - Residential Clothes Washer - Analysis File." Relevant analysis sheets include "Variables &amp; Assumptions," "CAP Analysis," "IMEF Analysis," "CEE Data &gt;2.5 cu.ft.," "CEE Data &lt;=2.5 cu.ft.," ENERGY STAR Data," "RECS 2020," and "Loadshape Analysis."</t>
  </si>
  <si>
    <t>4. Maryland/Mid-Atlantic Technical Reference Manual, Version 10, Prepared by Shelter Analytics, Facilitated and Managed by Northeast Energy Efficiency Partnerships, March 2020.</t>
  </si>
  <si>
    <t>5. See "EERE-2008-BT-STD-0019-0047_attachment_23.pdf" for user instructions for life-cycle cost and payback period spreadsheets, available here: &lt;https://www.regulations.gov/docket/EERE-2008-BT-STD-0019&gt;.</t>
  </si>
  <si>
    <t>AEG's 2023 Analysis File named "PY23 TRM - Residential Clothes Washer - Analysis File."</t>
  </si>
  <si>
    <t>California eTRM, Clothes Washer, Residential, SWAP004-03, effective Jan. 1, 2023, available here: &lt;https://www.caetrm.com/measure/SWAP004/03/&gt;, accessed Jan. 23, 2023.</t>
  </si>
  <si>
    <t>CEE Residential Clothes Washers Qualifying Product List, available here:  &lt;https://library.cee1.org/content/qualifying-product-lists-residential-clothes-washers&gt;, accessed Jan. 23, 2023.</t>
  </si>
  <si>
    <t>CEE Super Efficient Home Appliances Initiative, High Efficiency Specifications for Residential Clothes Washers, Effective Feb. 5, 2018, available here: &lt;https://library.cee1.org/system/files/library/13445/CEE_ResidentialClothesWasherSpecification_05Feb2018.pdf&gt;, accessed Jan. 26, 2023.</t>
  </si>
  <si>
    <t>Code of Federal Regulations, 10 CFR 430.32, Subpart C, Energy and Water Conservation Standards and their Effective Dates, Paragraph (g): Clothes Washers, available here: &lt;https://www.govinfo.gov/content/pkg/CFR-2022-title10-vol3/pdf/CFR-2022-title10-vol3-sec430-32.pdf&gt;.</t>
  </si>
  <si>
    <t>Consortium for Energy Efficiency, CEE Tiers and ENERGY STAR, &lt;https://cee1.org/content/cee-tiers-and-energy-star&gt;.</t>
  </si>
  <si>
    <t>ENERGY STAR Version 8.1 Clothes Washer Specification, available here:  &lt;https://www.energystar.gov/sites/default/files/asset/document/ENERGY%20STAR%20Version%208.1%20Clothes%20Washer%20Final%20Specificaiton%20-%20Partner%20Commitments%20and%20Eligibility%20Criteria.pdf&gt;.</t>
  </si>
  <si>
    <t>ENERGY STAR Product Finder, available here: &lt;https://www.energystar.gov/productfinder/product/certified-clothes-washers/results&gt;, accessed Jan. 23, 2023.</t>
  </si>
  <si>
    <t>2023 Illinois Statewide Technical Reference Manual for Energy Efficiency, Version 11.0, Volume 3: Residential Measures, FINAL, September 22, 2022. Effective: January 1, 2023.</t>
  </si>
  <si>
    <t>Regional Technical Forum, UES Measures, Residential Clothes Washers, Version 8.0, Apr. 18, 2022, available here: &lt;https://rtf.nwcouncil.org/measure/clothes-washers-0/&gt;.</t>
  </si>
  <si>
    <t>2020 Residential Energy Consumption Survey (RECS), Table HC3.6 Appliances in U.S. Homes, by Climate Region, available here: &lt;https://www.eia.gov/consumption/residential/data/2020/#appliances&gt;, accessed Jan. 23, 2023.</t>
  </si>
  <si>
    <t>Technical Support Document: Energy Efficiency Program for Consumer Products and Commercial and Industrial Equipment: Residential Clothes Washers, April 2012, U.S. Department of Energy, available here: &lt;https://www.regulations.gov/document/EERE-2008-BT-STD-0019-0047&gt;.</t>
  </si>
  <si>
    <t>The Spruce, T. Dale, How Long Does a Washing Machine Last?, Sep. 2, 2022, available here: &lt;https://www.thespruce.com/how-long-does-a-washing-machine-last-5272534&gt;.</t>
  </si>
  <si>
    <t>U.S. Department of Energy, Energy Conservation Program: Energy Conservation Standards for Residential Clothes Washers, EERE-2008-BT-STD-0019, available here: &lt;https://www.regulations.gov/docket/EERE-2008-BT-STD-0019&gt;.</t>
  </si>
  <si>
    <r>
      <t>AEG 2023 Analysis</t>
    </r>
    <r>
      <rPr>
        <vertAlign val="superscript"/>
        <sz val="10"/>
        <color theme="1"/>
        <rFont val="Calibri"/>
        <family val="2"/>
        <scheme val="minor"/>
      </rPr>
      <t>6</t>
    </r>
  </si>
  <si>
    <r>
      <t>No data found</t>
    </r>
    <r>
      <rPr>
        <vertAlign val="superscript"/>
        <sz val="10"/>
        <color theme="1"/>
        <rFont val="Calibri"/>
        <family val="2"/>
        <scheme val="minor"/>
      </rPr>
      <t>7</t>
    </r>
  </si>
  <si>
    <r>
      <t>AEG 2022 Analysis</t>
    </r>
    <r>
      <rPr>
        <vertAlign val="superscript"/>
        <sz val="10"/>
        <color theme="1"/>
        <rFont val="Calibri"/>
        <family val="2"/>
        <scheme val="minor"/>
      </rPr>
      <t>8</t>
    </r>
  </si>
  <si>
    <r>
      <t>AEG 2020 Analysis</t>
    </r>
    <r>
      <rPr>
        <vertAlign val="superscript"/>
        <sz val="10"/>
        <color theme="1"/>
        <rFont val="Calibri"/>
        <family val="2"/>
        <scheme val="minor"/>
      </rPr>
      <t>9</t>
    </r>
  </si>
  <si>
    <r>
      <rPr>
        <vertAlign val="superscript"/>
        <sz val="9"/>
        <color theme="1"/>
        <rFont val="Calibri"/>
        <family val="2"/>
        <scheme val="minor"/>
      </rPr>
      <t>6</t>
    </r>
    <r>
      <rPr>
        <sz val="9"/>
        <color theme="1"/>
        <rFont val="Calibri"/>
        <family val="2"/>
        <scheme val="minor"/>
      </rPr>
      <t xml:space="preserve"> AEG 2023 Analysis: Conducted EUL benchmarking for revised kitchen measures.</t>
    </r>
  </si>
  <si>
    <r>
      <rPr>
        <vertAlign val="superscript"/>
        <sz val="9"/>
        <color theme="1"/>
        <rFont val="Calibri"/>
        <family val="2"/>
        <scheme val="minor"/>
      </rPr>
      <t>7</t>
    </r>
    <r>
      <rPr>
        <sz val="9"/>
        <color theme="1"/>
        <rFont val="Calibri"/>
        <family val="2"/>
        <scheme val="minor"/>
      </rPr>
      <t xml:space="preserve"> No data found: This was a priority measure, but no EUL could be found during benchmarking.</t>
    </r>
  </si>
  <si>
    <r>
      <rPr>
        <vertAlign val="superscript"/>
        <sz val="9"/>
        <color theme="1"/>
        <rFont val="Calibri"/>
        <family val="2"/>
        <scheme val="minor"/>
      </rPr>
      <t>8</t>
    </r>
    <r>
      <rPr>
        <sz val="9"/>
        <color theme="1"/>
        <rFont val="Calibri"/>
        <family val="2"/>
        <scheme val="minor"/>
      </rPr>
      <t xml:space="preserve"> AEG 2022 Analysis: Conducted EUL benchmarking for new and revised measures.</t>
    </r>
  </si>
  <si>
    <r>
      <rPr>
        <vertAlign val="superscript"/>
        <sz val="9"/>
        <color theme="1"/>
        <rFont val="Calibri"/>
        <family val="2"/>
        <scheme val="minor"/>
      </rPr>
      <t>9</t>
    </r>
    <r>
      <rPr>
        <sz val="9"/>
        <color theme="1"/>
        <rFont val="Calibri"/>
        <family val="2"/>
        <scheme val="minor"/>
      </rPr>
      <t xml:space="preserve"> AEG 2020 Analysis: Conducted EUL benchmarking for new measures as they were introduced.</t>
    </r>
  </si>
  <si>
    <r>
      <t>Table 1. Federal Standards for Standard-Sized Clothes Washers. Effective as of Jan. 1, 2018.</t>
    </r>
    <r>
      <rPr>
        <b/>
        <vertAlign val="superscript"/>
        <sz val="11"/>
        <rFont val="Calibri"/>
        <family val="2"/>
        <scheme val="minor"/>
      </rPr>
      <t>1</t>
    </r>
    <r>
      <rPr>
        <b/>
        <sz val="11"/>
        <rFont val="Calibri"/>
        <family val="2"/>
        <scheme val="minor"/>
      </rPr>
      <t xml:space="preserve"> Weighted by Shares of Top- and Front-Loading Clothes Washers per RECS 2020.</t>
    </r>
    <r>
      <rPr>
        <b/>
        <vertAlign val="superscript"/>
        <sz val="11"/>
        <rFont val="Calibri"/>
        <family val="2"/>
        <scheme val="minor"/>
      </rPr>
      <t>2</t>
    </r>
  </si>
  <si>
    <r>
      <t>Table 2. ENERGY STAR v8.1 and CEE Criteria for Residential Clothes Washers.</t>
    </r>
    <r>
      <rPr>
        <b/>
        <vertAlign val="superscript"/>
        <sz val="11"/>
        <rFont val="Calibri"/>
        <family val="2"/>
        <scheme val="minor"/>
      </rPr>
      <t>1,2</t>
    </r>
  </si>
  <si>
    <r>
      <t>Connected</t>
    </r>
    <r>
      <rPr>
        <b/>
        <vertAlign val="superscript"/>
        <sz val="10.5"/>
        <rFont val="Calibri"/>
        <family val="2"/>
        <scheme val="minor"/>
      </rPr>
      <t>3</t>
    </r>
  </si>
  <si>
    <r>
      <t xml:space="preserve">ENERGY STAR or CEE Tier 1: Top- or Front-loading, </t>
    </r>
    <r>
      <rPr>
        <sz val="10.5"/>
        <rFont val="Calibri"/>
        <family val="2"/>
      </rPr>
      <t>≤</t>
    </r>
    <r>
      <rPr>
        <sz val="10.5"/>
        <rFont val="Calibri"/>
        <family val="2"/>
        <scheme val="minor"/>
      </rPr>
      <t xml:space="preserve"> 2.5 cu.ft.</t>
    </r>
  </si>
  <si>
    <r>
      <t xml:space="preserve">CEE Tier 1: Top- or Front-loading, </t>
    </r>
    <r>
      <rPr>
        <sz val="10.5"/>
        <rFont val="Calibri"/>
        <family val="2"/>
      </rPr>
      <t>&gt;</t>
    </r>
    <r>
      <rPr>
        <sz val="10.5"/>
        <rFont val="Calibri"/>
        <family val="2"/>
        <scheme val="minor"/>
      </rPr>
      <t xml:space="preserve"> 2.5 cu.ft.</t>
    </r>
  </si>
  <si>
    <r>
      <t>Based on AEG's analysis of CEE and ENERGY STAR qualifying clothes washer data, accessed Jan. 23, 2023.</t>
    </r>
    <r>
      <rPr>
        <vertAlign val="superscript"/>
        <sz val="10.5"/>
        <rFont val="Calibri"/>
        <family val="2"/>
        <scheme val="minor"/>
      </rPr>
      <t>1,2,3</t>
    </r>
    <r>
      <rPr>
        <sz val="10.5"/>
        <rFont val="Calibri"/>
        <family val="2"/>
        <scheme val="minor"/>
      </rPr>
      <t xml:space="preserve"> This value represents the weighted average across the three tiers and across all front- and top-loading models in the datasets.</t>
    </r>
  </si>
  <si>
    <r>
      <t>Based on AEG's analysis of CEE and ENERGY STAR qualifying clothes washer data, accessed Jan. 23, 2023.</t>
    </r>
    <r>
      <rPr>
        <vertAlign val="superscript"/>
        <sz val="10.5"/>
        <rFont val="Calibri"/>
        <family val="2"/>
        <scheme val="minor"/>
      </rPr>
      <t>1,2,3</t>
    </r>
    <r>
      <rPr>
        <sz val="10.5"/>
        <rFont val="Calibri"/>
        <family val="2"/>
        <scheme val="minor"/>
      </rPr>
      <t xml:space="preserve"> These values represent the weighted averages across all front- and top-loading models in the datasets, for each tier.</t>
    </r>
  </si>
  <si>
    <r>
      <t>Based on AEG's analysis of 2020 RECS data, Table HC3.6, Clothes washer usage, hot-humid climate zone. This value represents the weighted average of usage per week across usage bins, multiplied by 52 weeks per year.</t>
    </r>
    <r>
      <rPr>
        <vertAlign val="superscript"/>
        <sz val="10.5"/>
        <rFont val="Calibri"/>
        <family val="2"/>
        <scheme val="minor"/>
      </rPr>
      <t>3</t>
    </r>
  </si>
  <si>
    <r>
      <t>Values are derived from the Maryland/Mid-Atlantic TRM v10.</t>
    </r>
    <r>
      <rPr>
        <vertAlign val="superscript"/>
        <sz val="10.5"/>
        <rFont val="Calibri"/>
        <family val="2"/>
        <scheme val="minor"/>
      </rPr>
      <t>4</t>
    </r>
    <r>
      <rPr>
        <sz val="10.5"/>
        <rFont val="Calibri"/>
        <family val="2"/>
        <scheme val="minor"/>
      </rPr>
      <t xml:space="preserve"> The percentages were initially based on a weighted average of top-loading and front-loading units for each tier and each capacity bin (&gt; 2.5 cu.ft. and ≤ 2.5 cu.ft.) using data from the ENERGY STAR qualified product list (accessed on Mar. 17, 2020) and consumption data from the U.S. DOE's Life-Cycle Cost and Payback Period Excel-based analytical tool.</t>
    </r>
    <r>
      <rPr>
        <vertAlign val="superscript"/>
        <sz val="10.5"/>
        <rFont val="Calibri"/>
        <family val="2"/>
        <scheme val="minor"/>
      </rPr>
      <t>5</t>
    </r>
    <r>
      <rPr>
        <sz val="10.5"/>
        <rFont val="Calibri"/>
        <family val="2"/>
        <scheme val="minor"/>
      </rPr>
      <t xml:space="preserve"> AEG then developed weighted averages of the percentages for the two capacity bins using CEE and ENERGY STAR qualifying clothes washer data, accessed Jan. 23, 2023.</t>
    </r>
    <r>
      <rPr>
        <vertAlign val="superscript"/>
        <sz val="10.5"/>
        <rFont val="Calibri"/>
        <family val="2"/>
        <scheme val="minor"/>
      </rPr>
      <t>1,2,3</t>
    </r>
  </si>
  <si>
    <r>
      <t>AEG 2023 load shape analysis for Hawaii peak period of 5-9 pm weekdays.</t>
    </r>
    <r>
      <rPr>
        <vertAlign val="superscript"/>
        <sz val="10.5"/>
        <rFont val="Calibri"/>
        <family val="2"/>
        <scheme val="minor"/>
      </rPr>
      <t>3,6</t>
    </r>
    <r>
      <rPr>
        <sz val="10.5"/>
        <rFont val="Calibri"/>
        <family val="2"/>
        <scheme val="minor"/>
      </rPr>
      <t xml:space="preserve"> </t>
    </r>
  </si>
  <si>
    <r>
      <t>AEG 2023 load shape analysis for Hawaii peak period of 5-9 pm weekdays.</t>
    </r>
    <r>
      <rPr>
        <vertAlign val="superscript"/>
        <sz val="10.5"/>
        <rFont val="Calibri"/>
        <family val="2"/>
        <scheme val="minor"/>
      </rPr>
      <t>3,7</t>
    </r>
  </si>
  <si>
    <r>
      <t>AEG 2023 benchmarking. Several sources say front-loading machines typically last 11 years while top-loading machines typically last 14 years. This value represents a weighted average across front- and top-loading counts using CEE and ENERGY STAR data, accessed Jan. 23, 2023.</t>
    </r>
    <r>
      <rPr>
        <vertAlign val="superscript"/>
        <sz val="10.5"/>
        <rFont val="Calibri"/>
        <family val="2"/>
        <scheme val="minor"/>
      </rPr>
      <t>1,2,3</t>
    </r>
    <r>
      <rPr>
        <sz val="10.5"/>
        <rFont val="Calibri"/>
        <family val="2"/>
        <scheme val="minor"/>
      </rPr>
      <t xml:space="preserve"> </t>
    </r>
  </si>
  <si>
    <r>
      <t xml:space="preserve">6. The EFLH value was derived from 8760 hourly load shape data for an average clothes washer, assuming EFLH = Annual kWh/Max kW during year. The analysis leverages load shapes compiled for the 2020 State of Hawaii Market Potential Study. The source of the clothes washer load shape data is the California Energy Commission. This analysis assumes the clothes washer's load shape is a reasonable proxy for the savings load shape. Note: The EFLH value is </t>
    </r>
    <r>
      <rPr>
        <u/>
        <sz val="9"/>
        <rFont val="Calibri"/>
        <family val="2"/>
        <scheme val="minor"/>
      </rPr>
      <t>not</t>
    </r>
    <r>
      <rPr>
        <sz val="9"/>
        <rFont val="Calibri"/>
        <family val="2"/>
        <scheme val="minor"/>
      </rPr>
      <t xml:space="preserve"> intended to represent the operating hours of a single clothes washer. This EFLH value </t>
    </r>
    <r>
      <rPr>
        <u/>
        <sz val="9"/>
        <rFont val="Calibri"/>
        <family val="2"/>
        <scheme val="minor"/>
      </rPr>
      <t>must be</t>
    </r>
    <r>
      <rPr>
        <sz val="9"/>
        <rFont val="Calibri"/>
        <family val="2"/>
        <scheme val="minor"/>
      </rPr>
      <t xml:space="preserve"> paired with the CF value below to yield meaningful peak demand savings.</t>
    </r>
  </si>
  <si>
    <r>
      <t xml:space="preserve">7. The CF value was derived from 8760 hourly load shape data for an average clothes washer, assuming  CF = Average kW during average weekday peak period/Max kW during year. The analysis leverages load shapes compiled for the 2020 State of Hawaii Market Potential Study. The source of the clothes washer load shape data is the California Energy Commission. This analysis assumes the clothes washer's load shape is a reasonable proxy for the savings load shape. This CF value </t>
    </r>
    <r>
      <rPr>
        <u/>
        <sz val="9"/>
        <rFont val="Calibri"/>
        <family val="2"/>
        <scheme val="minor"/>
      </rPr>
      <t>must be</t>
    </r>
    <r>
      <rPr>
        <sz val="9"/>
        <rFont val="Calibri"/>
        <family val="2"/>
        <scheme val="minor"/>
      </rPr>
      <t xml:space="preserve"> paired with the EFLH value above to yield meaningful peak demand savings.</t>
    </r>
  </si>
  <si>
    <t>AEG's Analysis File named "AEG HPUC Baseline Study Data - Analysis File."</t>
  </si>
  <si>
    <t>Remove the measure sheets that have a sunset date of December 31, 2022 or June 30, 2023 (“R_HVAC_Central AC Retrofit_1,” “R_HVAC_Central AC Retrofit_2,” “R_HVAC_Ductless_1,” “R_HVAC_AC_WKST_1,” and “R_HVAC_AC_WKST_2). At the same time, rename “R_HVAC_Ductless_2, to remove the "_2" extension and remove "Version 2" from the measure title. Add in the PY23 version of the AC Retrofit measure (“R_HVAC_Central AC Retrofit_PY23”) and corresponding calculator (“R_HVAC_AC_WKST_PY23”).</t>
  </si>
  <si>
    <t>Residential HVAC: Central AC Retrofit and Residential HVAC: Ductless</t>
  </si>
  <si>
    <t>R_HVAC_Ductless; R_HVAC_Central AC Retrofit; and R_HVAC_AC_WKST</t>
  </si>
  <si>
    <t>Ductless Split Systems</t>
  </si>
  <si>
    <t>Must meet 15.2 SEER2 minimum. See Note 6.</t>
  </si>
  <si>
    <t>6. The 15.2 SEER2 requirement is consistent with ENERGY STAR V6.1 standards for central AC systems.</t>
  </si>
  <si>
    <t>Hawaii-specific energy simulations of single family home prototypes in BEopt™ with EnergyPlus v8.8 as the simulation engine.</t>
  </si>
  <si>
    <t>Updated in Fall 2022 for the PY23 TRM. Effective as of Jul. 1, 2023. The pre-2006 early replacement baseline option sunsets at the end of PY25.</t>
  </si>
  <si>
    <r>
      <t xml:space="preserve">Contact Hawai'i Energy's residential team for more information. For early replacement, the pre-existing unit must be less than 20 years old and documentation must be provided to show that the pre-existing unit was operating and had a meaningful remaining useful life prior to replacement. Examples of acceptable documentation include a signed statement from the homeowner or a video showing the pre-existing unit in operation. In addition, a photo of the nameplate is required, even if it is corroded or otherwise illegible. In cases where the nameplate is missing, the age is unknown, and/or the unit is assumed to have been manufactured prior to Jan. 23, 2006, </t>
    </r>
    <r>
      <rPr>
        <u/>
        <sz val="11"/>
        <rFont val="Calibri"/>
        <family val="2"/>
        <scheme val="minor"/>
      </rPr>
      <t>both</t>
    </r>
    <r>
      <rPr>
        <sz val="11"/>
        <rFont val="Calibri"/>
        <family val="2"/>
        <scheme val="minor"/>
      </rPr>
      <t xml:space="preserve"> a video of the pre-existing unit in operation and a signed statement from the homeowner verifying that it is operational are required.</t>
    </r>
  </si>
  <si>
    <t>For systems installed on Jul. 1, 2023 or later, the high efficiency equipment is a new split-system or single-package central AC unit (&lt;65,000 Btu/h) with at least 15.2 SEER2.</t>
  </si>
  <si>
    <t>RESIDENTIAL: HVAC Savings Calculator</t>
  </si>
  <si>
    <t>Kelly Parmenter</t>
  </si>
  <si>
    <t>RESIDENTIAL: Heat Pump Clothes Dryer</t>
  </si>
  <si>
    <t xml:space="preserve">Added in Fall 2023 for the Mid-Year PY23 TRM V2. </t>
  </si>
  <si>
    <t>Replacement of an Electric Resistance Clothes Dryer with an ENERGY STAR Heat Pump Clothes Dryer in an existing home, or installation of an Heat Pump Clothes Dryer in a newly constructed home.</t>
  </si>
  <si>
    <t xml:space="preserve">The High Efficiency Equipment must be an ENERGY STAR certified Heat Pump Clothes Dryer. </t>
  </si>
  <si>
    <t>One clothes dryer.</t>
  </si>
  <si>
    <t>The Baseline Equipment is an Electric Resistance Clothes Dryer.</t>
  </si>
  <si>
    <t>The High Efficiency equipment is an ENERGY STAR certified Heat Pump Clothes Dryer.</t>
  </si>
  <si>
    <t>High Efficiency Annual Energy Use, kWh/yr</t>
  </si>
  <si>
    <r>
      <t>kWh</t>
    </r>
    <r>
      <rPr>
        <vertAlign val="subscript"/>
        <sz val="10.5"/>
        <color theme="1"/>
        <rFont val="Calibri"/>
        <family val="2"/>
        <scheme val="minor"/>
      </rPr>
      <t>base</t>
    </r>
  </si>
  <si>
    <t>Annual energy use of electric resistance clothes dryer</t>
  </si>
  <si>
    <t>See Equation 1</t>
  </si>
  <si>
    <r>
      <t>kWh</t>
    </r>
    <r>
      <rPr>
        <vertAlign val="subscript"/>
        <sz val="10.5"/>
        <color theme="1"/>
        <rFont val="Calibri"/>
        <family val="2"/>
        <scheme val="minor"/>
      </rPr>
      <t>ee</t>
    </r>
  </si>
  <si>
    <t>Annual energy use of heat pump clothes dryer</t>
  </si>
  <si>
    <t>See Equation 2</t>
  </si>
  <si>
    <t>Average weight of load in compact electric dryer</t>
  </si>
  <si>
    <t>lbs/cycle</t>
  </si>
  <si>
    <r>
      <t>Code for Federal Regulations for clothes dryer.</t>
    </r>
    <r>
      <rPr>
        <vertAlign val="superscript"/>
        <sz val="10.5"/>
        <rFont val="Calibri"/>
        <family val="2"/>
        <scheme val="minor"/>
      </rPr>
      <t>1</t>
    </r>
  </si>
  <si>
    <t xml:space="preserve">Average weight of load in standard electric dryer </t>
  </si>
  <si>
    <r>
      <t>CEF</t>
    </r>
    <r>
      <rPr>
        <vertAlign val="subscript"/>
        <sz val="10.5"/>
        <color theme="1"/>
        <rFont val="Calibri"/>
        <family val="2"/>
        <scheme val="minor"/>
      </rPr>
      <t>base</t>
    </r>
  </si>
  <si>
    <t>Combined Energy Factor of vented and ventless 120-V compact electric clothes dryer</t>
  </si>
  <si>
    <t>lbs/kWh</t>
  </si>
  <si>
    <r>
      <t>Code for Federal Regulations for clothes dryer</t>
    </r>
    <r>
      <rPr>
        <vertAlign val="superscript"/>
        <sz val="10.5"/>
        <color theme="1"/>
        <rFont val="Calibri"/>
        <family val="2"/>
        <scheme val="minor"/>
      </rPr>
      <t>1</t>
    </r>
  </si>
  <si>
    <t>Combined Energy Factor of vented 240-V compact electric clothes dryer</t>
  </si>
  <si>
    <t>Combined Energy Factor of ventless 240-V compact electric clothes dryer</t>
  </si>
  <si>
    <t>Combined Energy Factor of vented and ventless standard electric clothes dryer</t>
  </si>
  <si>
    <r>
      <t>CEF</t>
    </r>
    <r>
      <rPr>
        <vertAlign val="subscript"/>
        <sz val="10.5"/>
        <color theme="1"/>
        <rFont val="Calibri"/>
        <family val="2"/>
        <scheme val="minor"/>
      </rPr>
      <t>ee</t>
    </r>
  </si>
  <si>
    <t>Combined Energy Factor of heat pump clothes dryer</t>
  </si>
  <si>
    <r>
      <t>California Technical Forum.</t>
    </r>
    <r>
      <rPr>
        <vertAlign val="superscript"/>
        <sz val="10.5"/>
        <rFont val="Calibri"/>
        <family val="2"/>
        <scheme val="minor"/>
      </rPr>
      <t>2</t>
    </r>
    <r>
      <rPr>
        <sz val="10.5"/>
        <rFont val="Calibri"/>
        <family val="2"/>
        <scheme val="minor"/>
      </rPr>
      <t xml:space="preserve"> CEF applies to all voltage levels, vented and ventless, and dryer sizes. </t>
    </r>
  </si>
  <si>
    <t>Annual number of cycles for compact size electric dryer</t>
  </si>
  <si>
    <r>
      <t>California Technical Forum.</t>
    </r>
    <r>
      <rPr>
        <vertAlign val="superscript"/>
        <sz val="10.5"/>
        <rFont val="Calibri"/>
        <family val="2"/>
        <scheme val="minor"/>
      </rPr>
      <t>2</t>
    </r>
  </si>
  <si>
    <t>Annual number of cycles for standard size electric dryer</t>
  </si>
  <si>
    <t>See Equation 3</t>
  </si>
  <si>
    <t>See Equation 4</t>
  </si>
  <si>
    <t>Equivalent full load hours, defined here as the sum of the 8760 hourly loads (kWh) from an average single family clothes drying load shape divided by the maximum hourly load (kW) from the same load shape</t>
  </si>
  <si>
    <r>
      <t>Results of clothes drying load shape analysis using Hawaii's peak demand period of non-holiday weekdays, from 5 to 9 pm.</t>
    </r>
    <r>
      <rPr>
        <vertAlign val="superscript"/>
        <sz val="10.5"/>
        <color theme="1"/>
        <rFont val="Calibri"/>
        <family val="2"/>
        <scheme val="minor"/>
      </rPr>
      <t xml:space="preserve">3 </t>
    </r>
    <r>
      <rPr>
        <sz val="10.5"/>
        <color theme="1"/>
        <rFont val="Calibri"/>
        <family val="2"/>
        <scheme val="minor"/>
      </rPr>
      <t xml:space="preserve"> </t>
    </r>
  </si>
  <si>
    <r>
      <t xml:space="preserve">Peak demand coincidence factor, defined here as the average hourly load (kW) for clothes drying during the average weekday peak period divided by the maximum hourly load (kW) for clothes drying during the year. The CF is calculated using the </t>
    </r>
    <r>
      <rPr>
        <u/>
        <sz val="10.5"/>
        <rFont val="Calibri"/>
        <family val="2"/>
        <scheme val="minor"/>
      </rPr>
      <t>same</t>
    </r>
    <r>
      <rPr>
        <sz val="10.5"/>
        <rFont val="Calibri"/>
        <family val="2"/>
        <scheme val="minor"/>
      </rPr>
      <t xml:space="preserve"> load shape used for the EFLH calculation.</t>
    </r>
  </si>
  <si>
    <r>
      <t>Results of clothes drying load shape analysis using Hawaii's peak demand period of non-holiday weekdays, from 5 to 9 pm.</t>
    </r>
    <r>
      <rPr>
        <vertAlign val="superscript"/>
        <sz val="10.5"/>
        <color theme="1"/>
        <rFont val="Calibri"/>
        <family val="2"/>
        <scheme val="minor"/>
      </rPr>
      <t>3</t>
    </r>
    <r>
      <rPr>
        <sz val="10.5"/>
        <color theme="1"/>
        <rFont val="Calibri"/>
        <family val="2"/>
        <scheme val="minor"/>
      </rPr>
      <t xml:space="preserve">  </t>
    </r>
  </si>
  <si>
    <r>
      <t>ΔkWh</t>
    </r>
    <r>
      <rPr>
        <vertAlign val="subscript"/>
        <sz val="10.5"/>
        <color theme="1"/>
        <rFont val="Calibri"/>
        <family val="2"/>
        <scheme val="minor"/>
      </rPr>
      <t>life</t>
    </r>
  </si>
  <si>
    <t>Lifetime energy savings</t>
  </si>
  <si>
    <r>
      <t>EUL</t>
    </r>
    <r>
      <rPr>
        <vertAlign val="subscript"/>
        <sz val="10.5"/>
        <color theme="1"/>
        <rFont val="Calibri"/>
        <family val="2"/>
        <scheme val="minor"/>
      </rPr>
      <t>ee</t>
    </r>
  </si>
  <si>
    <t>1.  Federal Standard 10 CFR 430.32(h) Federal Required Minimum CEF Requirements for Clothes Dryers. Title 10 was last amended on 9/29/2023. &lt;https://www.ecfr.gov/current/title-10/chapter-II/subchapter-D/part-430&gt;</t>
  </si>
  <si>
    <t>2. California Technical Forum, SWAP003-04, Clothes Dryer, Residential, CPUC Approved January 1, 2023. &lt;https://www.caetrm.com/measure/SWAP003/04/&gt;</t>
  </si>
  <si>
    <t>3. AEG's analysis of an average clothes drying load shape for a single family house using the Hawaii peak demand period of non-holiday weekdays, from 5 to 9 pm: "Load_shape_by_segment_110519_Clothes Drying 10032023." The source of the clothes drying load shape data is the California Energy Commission. The load shape was compiled along with other load shapes during the 2020 Market Potential Study for Hawaii. The clothes drying load shape analysis provides EFLH=3432 hours and CF=0.50. See "SF_Clothes Drying" tab in AEG's 2023 Analysis File titled "Mid-year PY23 TRM - Residential Heat Pump Dryer - Analysis File." This analysis assumes the clothes drying load shape is a reasonable proxy for the heat pump clothes dryer savings shape. Note: The EFLH value is not intended to represent the operating hours of a single heat pump dryer. This EFLH value must be paired with the CF value to yield meaningful peak demand savings.</t>
  </si>
  <si>
    <t>Residential Vented and Ventless Compact 120-V Heat Pump Dryer</t>
  </si>
  <si>
    <t>Residential Vented Compact 240-V Heat Pump Dryer</t>
  </si>
  <si>
    <t>Residential Ventless Compact 240-V Heat Pump Dryer</t>
  </si>
  <si>
    <t>Residential Vented and Ventless Standard Heat Pump Dryer</t>
  </si>
  <si>
    <t>AEG's 2023 Analysis File titled Mid-year PY23 TRM - Residential Heat Pump Dryer - Analysis File."</t>
  </si>
  <si>
    <t>AEG's Load Shape Analysis File titled "Load_shape_by_segment_110519_Clothes Drying 10032023."</t>
  </si>
  <si>
    <t xml:space="preserve">California Technical Forum, SWAP003-04, Clothes Dryer, Residential, CPUC Approved January 1, 2023. &lt;https://www.caetrm.com/measure/SWAP003/04/&gt;. </t>
  </si>
  <si>
    <t xml:space="preserve"> Federal Standard 10 CFR 430.32(h) Federal Required Minimum CEF Requirements for Clothes Dryers. Title 10 was last amended on 9/29/2023. &lt;https://www.ecfr.gov/current/title-10/chapter-II/subchapter-D/part-430&gt;.</t>
  </si>
  <si>
    <t>Heat Pump Clothes Dryer</t>
  </si>
  <si>
    <t>CA eTRM, Jan 2023</t>
  </si>
  <si>
    <t>RESIDENTIAL: Induction Cooktop</t>
  </si>
  <si>
    <t>Replacement of an Electric Resistance Cooktop with an ENERGY STAR Induction Cooktop in an existing home, or installation of an ENERGY STAR Induction Cooktop in a newly constructed home.</t>
  </si>
  <si>
    <t>The High Efficiency Equipment must be a standalone induction cooktop or an electric range with an induction cooktop. The induction cooktop must be ENERGY STAR certified and include four or five burner units.</t>
  </si>
  <si>
    <t>One cooktop.</t>
  </si>
  <si>
    <t>The Baseline Equipment is an Electric Resistance Cooktop, either a standalone unit or part of a range.</t>
  </si>
  <si>
    <t xml:space="preserve">The High Efficiency equipment is an ENERGY STAR certified Induction Cooktop, either a standalone unit or a part of a range. </t>
  </si>
  <si>
    <t>Annual energy use of electric resistance cooktop</t>
  </si>
  <si>
    <t xml:space="preserve">Annual energy use of induction cooktop </t>
  </si>
  <si>
    <r>
      <t>The average annual energy use of induction cooktops from 2021-2022 ENERGY STAR® Emerging Technology Award Winning Residential Induction Cooking Top Models.</t>
    </r>
    <r>
      <rPr>
        <vertAlign val="superscript"/>
        <sz val="10.5"/>
        <rFont val="Calibri"/>
        <family val="2"/>
        <scheme val="minor"/>
      </rPr>
      <t>1</t>
    </r>
  </si>
  <si>
    <r>
      <t>η</t>
    </r>
    <r>
      <rPr>
        <vertAlign val="subscript"/>
        <sz val="10.5"/>
        <color theme="1"/>
        <rFont val="Calibri"/>
        <family val="2"/>
        <scheme val="minor"/>
      </rPr>
      <t>base</t>
    </r>
  </si>
  <si>
    <t>Cooking efficiency of electric resistance cooktop</t>
  </si>
  <si>
    <r>
      <t>California Technical Forum.</t>
    </r>
    <r>
      <rPr>
        <vertAlign val="superscript"/>
        <sz val="10.5"/>
        <color theme="1"/>
        <rFont val="Calibri"/>
        <family val="2"/>
        <scheme val="minor"/>
      </rPr>
      <t>2</t>
    </r>
  </si>
  <si>
    <r>
      <t>η</t>
    </r>
    <r>
      <rPr>
        <vertAlign val="subscript"/>
        <sz val="10.5"/>
        <rFont val="Calibri"/>
        <family val="2"/>
        <scheme val="minor"/>
      </rPr>
      <t>ee</t>
    </r>
  </si>
  <si>
    <t>Cooking efficiency of induction cooktop</t>
  </si>
  <si>
    <t>Equivalent full load hours, defined here as the sum of the 8760 hourly loads (kWh) from an average single family cooking load shape divided by the maximum hourly load (kW) from the same load shape</t>
  </si>
  <si>
    <r>
      <t>Results of cooking load shape analysis using Hawaii's peak demand period of non-holiday weekdays, from 5 to 9 pm.</t>
    </r>
    <r>
      <rPr>
        <vertAlign val="superscript"/>
        <sz val="10.5"/>
        <color theme="1"/>
        <rFont val="Calibri"/>
        <family val="2"/>
        <scheme val="minor"/>
      </rPr>
      <t xml:space="preserve">3 </t>
    </r>
    <r>
      <rPr>
        <sz val="10.5"/>
        <color theme="1"/>
        <rFont val="Calibri"/>
        <family val="2"/>
        <scheme val="minor"/>
      </rPr>
      <t xml:space="preserve"> </t>
    </r>
  </si>
  <si>
    <r>
      <t xml:space="preserve">Peak demand coincidence factor, defined here as the average hourly load (kW) for cooking during the average weekday peak period divided by the maximum hourly load (kW) for cooking during the year. The CF is calculated using the </t>
    </r>
    <r>
      <rPr>
        <u/>
        <sz val="10.5"/>
        <rFont val="Calibri"/>
        <family val="2"/>
        <scheme val="minor"/>
      </rPr>
      <t>same</t>
    </r>
    <r>
      <rPr>
        <sz val="10.5"/>
        <rFont val="Calibri"/>
        <family val="2"/>
        <scheme val="minor"/>
      </rPr>
      <t xml:space="preserve"> load shape used for the EFLH calculation.</t>
    </r>
  </si>
  <si>
    <r>
      <t>Results of cooking load shape analysis using Hawaii's peak demand period of non-holiday weekdays, from 5 to 9 pm.</t>
    </r>
    <r>
      <rPr>
        <vertAlign val="superscript"/>
        <sz val="10.5"/>
        <color theme="1"/>
        <rFont val="Calibri"/>
        <family val="2"/>
        <scheme val="minor"/>
      </rPr>
      <t>3</t>
    </r>
    <r>
      <rPr>
        <sz val="10.5"/>
        <color theme="1"/>
        <rFont val="Calibri"/>
        <family val="2"/>
        <scheme val="minor"/>
      </rPr>
      <t xml:space="preserve">  </t>
    </r>
  </si>
  <si>
    <t xml:space="preserve">1.  Average "Integrated Annual Energy Consumption" for all units included in the 2021-2022 EnergyStar Induction Cooktops Qualified Product List. The average value across all induction cooktops (e.g., standalone induction cooktops and those in an electric range) is 109.82 kWh/yr. See "QLP Data" tab in AEG's 2023 Analysis File titled "Mid-year PY23 TRM - Residential Induction Cooktop - Analysis File." &lt;https://www.energystar.gov/sites/default/files/asset/document/2021%202022%20ETA%20QPL%20Residential%20Induction%20Cooking%20Tops%206.23.2022.xlsx&gt; </t>
  </si>
  <si>
    <t>2. California Technical Forum, SWAP015-02, Induction Cooking with or without Electric Range, CPUC Approved January 1, 2023.  &lt;https://www.caetrm.com/measure/SWAP015/02/&gt;</t>
  </si>
  <si>
    <r>
      <t xml:space="preserve">3. AEG's analysis of an average cooking load shape for a single family house using the Hawaii peak demand period of non-holiday weekdays, from 5 to 9 pm: "Load_shape_by_segment_110519_Cooking 09192023.xlsx." The source of the cooking load shape data is the California Energy Commission. The load shape was compiled along with other load shapes during the 2020 Market Potential Study for Hawaii. The cooking load shape analysis provides EFLH=2588 hours and CF=0.60. See "SF_Cooking" tab in AEG's 2023 Analysis File titled "Mid-year PY23 TRM - Residential Induction Cooktop - Analysis File." This analysis assumes the cooking load shape is a reasonable proxy for the cooktop savings shape. Note: The EFLH value is </t>
    </r>
    <r>
      <rPr>
        <u/>
        <sz val="9"/>
        <rFont val="Calibri"/>
        <family val="2"/>
        <scheme val="minor"/>
      </rPr>
      <t>not</t>
    </r>
    <r>
      <rPr>
        <sz val="9"/>
        <rFont val="Calibri"/>
        <family val="2"/>
        <scheme val="minor"/>
      </rPr>
      <t xml:space="preserve"> intended to represent the operating hours of a single cooktop. This EFLH value </t>
    </r>
    <r>
      <rPr>
        <u/>
        <sz val="9"/>
        <rFont val="Calibri"/>
        <family val="2"/>
        <scheme val="minor"/>
      </rPr>
      <t>must be</t>
    </r>
    <r>
      <rPr>
        <sz val="9"/>
        <rFont val="Calibri"/>
        <family val="2"/>
        <scheme val="minor"/>
      </rPr>
      <t xml:space="preserve"> paired with the CF value to yield meaningful peak demand savings.</t>
    </r>
  </si>
  <si>
    <t>Residential Induction Cooktop</t>
  </si>
  <si>
    <t>AEG's 2023 Analysis File titled "Mid-year PY23 TRM - Residential Induction Cooktop - Analysis File."</t>
  </si>
  <si>
    <t>AEG's Load Shape Analysis File titled "Load_shape_by_segment_110519_Cooking 09192023."</t>
  </si>
  <si>
    <t xml:space="preserve">California Technical Forum, SWAP015-02, Induction Cooking with or without Electric Range, CPUC Approved January 1, 2023. &lt;https://www.caetrm.com/measure/SWAP015/02/&gt;. </t>
  </si>
  <si>
    <t>2021-2022 ENERGY STAR® Emerging Technology Award Winning Residential Induction Cooking Top Models. &lt;https://www.energystar.gov/sites/default/files/asset/document/2021%202022%20ETA%20QPL%20Residential%20Induction%20Cooking%20Tops%206.23.2022.xlsx&gt;.</t>
  </si>
  <si>
    <t>Induction Cooktop</t>
  </si>
  <si>
    <t>EV Charger</t>
  </si>
  <si>
    <t>RESIDENTIAL: Level 2 Electric Vehicle Charger</t>
  </si>
  <si>
    <t>Replacement of a non-ENERGY STAR Level 2 Electric Vehicle Charger with an ENERGY STAR-certified Level 2 Electric Vehicle Charger in an existing home or installation of an ENERGY STAR Level 2 Electric Vehicle Charger in a new or existing home instead of installation of a non-ENERGY STAR charger. The savings are due to a reduction in standby energy losses. The savings are due to a reduction in standby energy losses.</t>
  </si>
  <si>
    <t>The High Efficiency Equipment must be an ENERGY STAR certified Level 2 Electric Vehicle Charger.</t>
  </si>
  <si>
    <t>One Level 2 EV charger.</t>
  </si>
  <si>
    <t>The Baseline Equipment is a non-ENERGY STAR Level 2 Electric Vehicle Charger.</t>
  </si>
  <si>
    <t>The High Efficiency equipment is an ENERGY STAR certified Level 2 Electric Vehicle Charger.</t>
  </si>
  <si>
    <t>Annual Plugged in Hours in Standby Mode, hrs/yr</t>
  </si>
  <si>
    <t>Average Power Demand Reduction in Standby Mode, kW</t>
  </si>
  <si>
    <r>
      <t>kWh</t>
    </r>
    <r>
      <rPr>
        <vertAlign val="subscript"/>
        <sz val="10.5"/>
        <rFont val="Calibri"/>
        <family val="2"/>
        <scheme val="minor"/>
      </rPr>
      <t>base</t>
    </r>
  </si>
  <si>
    <t>Annual standby energy use of non-ENERGY STAR Level 2 EV charger</t>
  </si>
  <si>
    <r>
      <t>Only standby energy is considered here since the ENERGY STAR electric vehicle supply equipment specification does not explicitly call for testing of steady state charging efficiency.</t>
    </r>
    <r>
      <rPr>
        <vertAlign val="superscript"/>
        <sz val="10.5"/>
        <rFont val="Calibri"/>
        <family val="2"/>
        <scheme val="minor"/>
      </rPr>
      <t>1</t>
    </r>
    <r>
      <rPr>
        <sz val="10.5"/>
        <rFont val="Calibri"/>
        <family val="2"/>
        <scheme val="minor"/>
      </rPr>
      <t xml:space="preserve"> </t>
    </r>
  </si>
  <si>
    <r>
      <t>kWh</t>
    </r>
    <r>
      <rPr>
        <vertAlign val="subscript"/>
        <sz val="10.5"/>
        <rFont val="Calibri"/>
        <family val="2"/>
        <scheme val="minor"/>
      </rPr>
      <t>ee</t>
    </r>
  </si>
  <si>
    <t>Annual standby energy use of ENERGY STAR-certified Level 2 EV Charger</t>
  </si>
  <si>
    <r>
      <t>HRS</t>
    </r>
    <r>
      <rPr>
        <vertAlign val="subscript"/>
        <sz val="10.5"/>
        <rFont val="Calibri"/>
        <family val="2"/>
        <scheme val="minor"/>
      </rPr>
      <t>sp</t>
    </r>
  </si>
  <si>
    <t>Annual plugged-in hours of Level 2 EV Charger in standby mode</t>
  </si>
  <si>
    <r>
      <t>Regional Technical Forum.</t>
    </r>
    <r>
      <rPr>
        <vertAlign val="superscript"/>
        <sz val="10.5"/>
        <rFont val="Calibri"/>
        <family val="2"/>
        <scheme val="minor"/>
      </rPr>
      <t>1</t>
    </r>
    <r>
      <rPr>
        <sz val="10.5"/>
        <rFont val="Calibri"/>
        <family val="2"/>
        <scheme val="minor"/>
      </rPr>
      <t xml:space="preserve"> Calculated using Equation 3. 3511 hours - 278 hours = 3233 hours</t>
    </r>
  </si>
  <si>
    <r>
      <t>HRS</t>
    </r>
    <r>
      <rPr>
        <vertAlign val="subscript"/>
        <sz val="10.5"/>
        <rFont val="Calibri"/>
        <family val="2"/>
        <scheme val="minor"/>
      </rPr>
      <t>su</t>
    </r>
  </si>
  <si>
    <t>Annual unplugged hours of Level 2 EV Charger in standby mode</t>
  </si>
  <si>
    <r>
      <t>Regional Technical Forum.</t>
    </r>
    <r>
      <rPr>
        <vertAlign val="superscript"/>
        <sz val="10.5"/>
        <rFont val="Calibri"/>
        <family val="2"/>
        <scheme val="minor"/>
      </rPr>
      <t>1</t>
    </r>
    <r>
      <rPr>
        <sz val="10.5"/>
        <rFont val="Calibri"/>
        <family val="2"/>
        <scheme val="minor"/>
      </rPr>
      <t xml:space="preserve">  Calculated from 8760 hours - 3511 hours = 5249 hours.</t>
    </r>
  </si>
  <si>
    <r>
      <t>HRS</t>
    </r>
    <r>
      <rPr>
        <vertAlign val="subscript"/>
        <sz val="10.5"/>
        <rFont val="Calibri"/>
        <family val="2"/>
        <scheme val="minor"/>
      </rPr>
      <t>p</t>
    </r>
  </si>
  <si>
    <t xml:space="preserve">Total annual plugged-in hours of Level 2 EV Charger </t>
  </si>
  <si>
    <r>
      <t>Regional Technical Forum.</t>
    </r>
    <r>
      <rPr>
        <vertAlign val="superscript"/>
        <sz val="10.5"/>
        <rFont val="Calibri"/>
        <family val="2"/>
        <scheme val="minor"/>
      </rPr>
      <t>1</t>
    </r>
    <r>
      <rPr>
        <sz val="10.5"/>
        <rFont val="Calibri"/>
        <family val="2"/>
        <scheme val="minor"/>
      </rPr>
      <t xml:space="preserve"> See sheet named "Res Measure UES Analysis" in the RTF workbook for derivation of the hours. </t>
    </r>
  </si>
  <si>
    <r>
      <t>HRS</t>
    </r>
    <r>
      <rPr>
        <vertAlign val="subscript"/>
        <sz val="10.5"/>
        <rFont val="Calibri"/>
        <family val="2"/>
        <scheme val="minor"/>
      </rPr>
      <t>c</t>
    </r>
  </si>
  <si>
    <t>Annual plugged-in hours of Level 2 EV Charger in charging mode</t>
  </si>
  <si>
    <t>Average standby power of non-ENERGY STAR Level 2 EV Charger</t>
  </si>
  <si>
    <r>
      <rPr>
        <sz val="10.5"/>
        <color rgb="FF000000"/>
        <rFont val="Calibri"/>
        <family val="2"/>
      </rPr>
      <t>Regional Technical Forum and Idaho National Laboratory.</t>
    </r>
    <r>
      <rPr>
        <vertAlign val="superscript"/>
        <sz val="10.5"/>
        <color rgb="FF000000"/>
        <rFont val="Calibri"/>
        <family val="2"/>
      </rPr>
      <t>2</t>
    </r>
    <r>
      <rPr>
        <sz val="10.5"/>
        <color rgb="FF000000"/>
        <rFont val="Calibri"/>
        <family val="2"/>
      </rPr>
      <t xml:space="preserve"> </t>
    </r>
  </si>
  <si>
    <r>
      <t>W</t>
    </r>
    <r>
      <rPr>
        <vertAlign val="subscript"/>
        <sz val="10.5"/>
        <rFont val="Calibri"/>
        <family val="2"/>
        <scheme val="minor"/>
      </rPr>
      <t>eep</t>
    </r>
  </si>
  <si>
    <t>Plugged-in standby power of ENERGY STAR-certified Level 2 EV Charger</t>
  </si>
  <si>
    <r>
      <t>ENERGY STAR.</t>
    </r>
    <r>
      <rPr>
        <vertAlign val="superscript"/>
        <sz val="10.5"/>
        <rFont val="Calibri"/>
        <family val="2"/>
        <scheme val="minor"/>
      </rPr>
      <t>3</t>
    </r>
    <r>
      <rPr>
        <sz val="10.5"/>
        <rFont val="Calibri"/>
        <family val="2"/>
        <scheme val="minor"/>
      </rPr>
      <t xml:space="preserve"> </t>
    </r>
  </si>
  <si>
    <r>
      <t>W</t>
    </r>
    <r>
      <rPr>
        <vertAlign val="subscript"/>
        <sz val="10.5"/>
        <rFont val="Calibri"/>
        <family val="2"/>
        <scheme val="minor"/>
      </rPr>
      <t>eeu</t>
    </r>
  </si>
  <si>
    <t>Unplugged standby power of ENERGY STAR-certified Level 2 EV Charger</t>
  </si>
  <si>
    <t>Annual energy savings of Level 2 EV Charger in standby mode</t>
  </si>
  <si>
    <t>Any energy savings during the charging mode are assumed to be relatively small and are therefore ignored.</t>
  </si>
  <si>
    <r>
      <rPr>
        <sz val="10.5"/>
        <rFont val="Calibri"/>
        <family val="2"/>
      </rPr>
      <t>∆</t>
    </r>
    <r>
      <rPr>
        <sz val="10.5"/>
        <rFont val="Calibri"/>
        <family val="2"/>
        <scheme val="minor"/>
      </rPr>
      <t>kW</t>
    </r>
    <r>
      <rPr>
        <vertAlign val="subscript"/>
        <sz val="10.5"/>
        <rFont val="Calibri"/>
        <family val="2"/>
        <scheme val="minor"/>
      </rPr>
      <t>s,average</t>
    </r>
  </si>
  <si>
    <t>Average power demand reduction of Level 2 EV Charger in standby mode</t>
  </si>
  <si>
    <t>See Equation 5</t>
  </si>
  <si>
    <t>Any demand reduction during the charging mode are assumed to be relatively small and are therefore ignored.</t>
  </si>
  <si>
    <t>See Equation 6</t>
  </si>
  <si>
    <t>Peak demand coincidence factor for the average power demand reduction of Level 2 EV Charger in standby mode</t>
  </si>
  <si>
    <r>
      <t>This CF assumes that EVs are charged during off-peak hours and that the standby energy use and demand savings are fully coincident with the peak demand period. The CF would be lower for charging that occurs during the on-peak hours. Time-of-use rates heavily influence when EVs are charged.</t>
    </r>
    <r>
      <rPr>
        <vertAlign val="superscript"/>
        <sz val="10.5"/>
        <rFont val="Calibri"/>
        <family val="2"/>
        <scheme val="minor"/>
      </rPr>
      <t>4</t>
    </r>
  </si>
  <si>
    <r>
      <t>ΔkWh</t>
    </r>
    <r>
      <rPr>
        <vertAlign val="subscript"/>
        <sz val="10.5"/>
        <rFont val="Calibri"/>
        <family val="2"/>
        <scheme val="minor"/>
      </rPr>
      <t>life</t>
    </r>
  </si>
  <si>
    <t>See Equation 7</t>
  </si>
  <si>
    <r>
      <t>EUL</t>
    </r>
    <r>
      <rPr>
        <vertAlign val="subscript"/>
        <sz val="10.5"/>
        <rFont val="Calibri"/>
        <family val="2"/>
        <scheme val="minor"/>
      </rPr>
      <t>ee</t>
    </r>
  </si>
  <si>
    <r>
      <t>Regional Technical Forum.</t>
    </r>
    <r>
      <rPr>
        <vertAlign val="superscript"/>
        <sz val="10.5"/>
        <rFont val="Calibri"/>
        <family val="2"/>
        <scheme val="minor"/>
      </rPr>
      <t>1</t>
    </r>
    <r>
      <rPr>
        <sz val="10.5"/>
        <rFont val="Calibri"/>
        <family val="2"/>
        <scheme val="minor"/>
      </rPr>
      <t xml:space="preserve"> The EUL was established by RTF using professional judgment and from a literature review.</t>
    </r>
  </si>
  <si>
    <t xml:space="preserve">1. Northwest Power and Conservation Council, Regional Technical Forum (RTF), Level 2 Electric Vehicle Charger Workbook Version 3.1, Jul 18, 2023.  &lt;https://nwcouncil.app.box.com/v/leve2evcharg-3-1&gt;. </t>
  </si>
  <si>
    <t>2. Derived by the Regional Technical Forum using Idaho National Laboratory charger testing data.</t>
  </si>
  <si>
    <t>3. ENERGY STAR Certified Electric Vehicle Supply Equipment - AC-Output, Metadata Updated October 13, 2023. &lt;https://catalog.data.gov/dataset/energy-star-certified-electric-vehicle-supply-equipment-ac-output-v1-1&gt;.</t>
  </si>
  <si>
    <t>4. To realize the peak demand reductions, customers receiving rebates for EV chargers through the Hawai'i Energy program should be encouraged to charge during off-peak hours, whether or not they are on a TOU rate.</t>
  </si>
  <si>
    <t>Table 1. Standby Power of Level 2 Electric Vehicle Charger</t>
  </si>
  <si>
    <t>Level 2 EV Charger Type</t>
  </si>
  <si>
    <r>
      <t>W</t>
    </r>
    <r>
      <rPr>
        <b/>
        <vertAlign val="subscript"/>
        <sz val="11"/>
        <rFont val="Calibri"/>
        <family val="2"/>
        <scheme val="minor"/>
      </rPr>
      <t>base</t>
    </r>
    <r>
      <rPr>
        <b/>
        <sz val="11"/>
        <rFont val="Calibri"/>
        <family val="2"/>
        <scheme val="minor"/>
      </rPr>
      <t xml:space="preserve"> (W)</t>
    </r>
  </si>
  <si>
    <r>
      <t>W</t>
    </r>
    <r>
      <rPr>
        <b/>
        <vertAlign val="subscript"/>
        <sz val="11"/>
        <rFont val="Calibri"/>
        <family val="2"/>
        <scheme val="minor"/>
      </rPr>
      <t>eep</t>
    </r>
    <r>
      <rPr>
        <b/>
        <sz val="11"/>
        <rFont val="Calibri"/>
        <family val="2"/>
        <scheme val="minor"/>
      </rPr>
      <t xml:space="preserve"> (W)</t>
    </r>
  </si>
  <si>
    <r>
      <t>W</t>
    </r>
    <r>
      <rPr>
        <b/>
        <vertAlign val="subscript"/>
        <sz val="11"/>
        <rFont val="Calibri"/>
        <family val="2"/>
        <scheme val="minor"/>
      </rPr>
      <t>eeu</t>
    </r>
    <r>
      <rPr>
        <b/>
        <sz val="11"/>
        <rFont val="Calibri"/>
        <family val="2"/>
        <scheme val="minor"/>
      </rPr>
      <t xml:space="preserve"> (W)</t>
    </r>
  </si>
  <si>
    <r>
      <rPr>
        <b/>
        <sz val="11"/>
        <rFont val="Calibri"/>
        <family val="2"/>
      </rPr>
      <t>∆</t>
    </r>
    <r>
      <rPr>
        <b/>
        <sz val="11"/>
        <rFont val="Calibri"/>
        <family val="2"/>
        <scheme val="minor"/>
      </rPr>
      <t>kW</t>
    </r>
    <r>
      <rPr>
        <b/>
        <vertAlign val="subscript"/>
        <sz val="11"/>
        <rFont val="Calibri"/>
        <family val="2"/>
        <scheme val="minor"/>
      </rPr>
      <t>s,average</t>
    </r>
    <r>
      <rPr>
        <b/>
        <sz val="11"/>
        <rFont val="Calibri"/>
        <family val="2"/>
        <scheme val="minor"/>
      </rPr>
      <t xml:space="preserve"> (kW)</t>
    </r>
  </si>
  <si>
    <t>Networked Level 2 EV Charger</t>
  </si>
  <si>
    <t>Non-networked Level 2  EV Charger</t>
  </si>
  <si>
    <t>Sources:
1. Baseline wattages were derived by the Regional Technical Forum using Idaho National Laboratory charger testing data. See Northwest Power and Conservation Council, Regional Technical Forum, Level 2 Electric Vehicle Charger Workbook Version 3.1, Jul 18, 2023. &lt;https://nwcouncil.app.box.com/v/leve2evcharg-3-1&gt;. Refer to sheet named "Baseline EPA Charger Efficiency" in the RTF workbook.</t>
  </si>
  <si>
    <t>2. Energy efficient case wattages were derived by AEG from ENERGY STAR Certified Electric Vehicle Supply Equipment - AC-Output, Metadata Updated October 13, 2023. &lt;https://catalog.data.gov/dataset/energy-star-certified-electric-vehicle-supply-equipment-ac-output-v1-1&gt;. See AEG's analysis file named "Mid-year PY23 TRM - Residential Level 2 Electric Vehicle Charger - Analysis File," sheet named "ESTAR QPL Pivot."</t>
  </si>
  <si>
    <t>Non-networked Level EV Charger</t>
  </si>
  <si>
    <t>AEG's 2023 Analysis File named "Mid-year PY23 TRM - Residential Level 2 Electric Vehicle Charger - Analysis File."</t>
  </si>
  <si>
    <t>ENERGY STAR Certified Electric Vehicle Supply Equipment - AC-Output, Metadata Updated October 13, 2023. &lt;https://catalog.data.gov/dataset/energy-star-certified-electric-vehicle-supply-equipment-ac-output-v1-1&gt;.</t>
  </si>
  <si>
    <t xml:space="preserve"> ENERGY STAR Program Requirements for Electric Vehicle Supply Equipment - Eligibility Criteria. Version 1.2.  &lt;https://www.energystar.gov/sites/default/files/asset/document/ENERGY%20STAR%20Version%201.2%20EVSE%20Final%20Specification.pdf&gt;.</t>
  </si>
  <si>
    <t xml:space="preserve">Northwest Council Regional Technical Forum, Level 2 Electric Vehicle Charger v 3.1, Approved July 18, 2023. &lt;https://nwcouncil.box.com/v/leve2evcharg-3-1&gt;. </t>
  </si>
  <si>
    <t>NPCC RTF Jul 2023</t>
  </si>
  <si>
    <t>General *</t>
  </si>
  <si>
    <t>(1) LED U-bend replace (1) Fl. U-bend</t>
  </si>
  <si>
    <t xml:space="preserve">(1) FU31T8/6 </t>
  </si>
  <si>
    <t>(1) x U-Bend Type A</t>
  </si>
  <si>
    <t>(1) x U-Bend Type B/C</t>
  </si>
  <si>
    <t>AEG's 2023 Analysis File named "Mid-Year PY23 TRM - Commercial General Lighting - U-Bends - Analysis File."</t>
  </si>
  <si>
    <r>
      <t>(1) x U-Bend Type A</t>
    </r>
    <r>
      <rPr>
        <b/>
        <vertAlign val="superscript"/>
        <sz val="9.5"/>
        <rFont val="Calibri"/>
        <family val="2"/>
      </rPr>
      <t>1</t>
    </r>
  </si>
  <si>
    <t>R_Appliance_Heat Pump Dryer</t>
  </si>
  <si>
    <t>R_Appliance_Induction Cooktop</t>
  </si>
  <si>
    <t>R_PlugProcess_EV Charger</t>
  </si>
  <si>
    <t>Commercial Lighting, U-bend</t>
  </si>
  <si>
    <t>Residential Heat Pump Clothes Dryer</t>
  </si>
  <si>
    <t>Residential EV Charger</t>
  </si>
  <si>
    <t>Add an option for a single LED U-bend lamp to replace a single fluorescent U-bend lamp</t>
  </si>
  <si>
    <t>Revised in PY23 TRM v2.0</t>
  </si>
  <si>
    <t>July 1, 2024 through June 30, 2025</t>
  </si>
  <si>
    <t>PY 2024</t>
  </si>
  <si>
    <t>Combination Oven</t>
  </si>
  <si>
    <t>Convection Oven</t>
  </si>
  <si>
    <t>Ice Machine</t>
  </si>
  <si>
    <t>Low-Flow Spray Nozzle</t>
  </si>
  <si>
    <t>AC &amp; Heat Pump</t>
  </si>
  <si>
    <t>AC &amp; Heat Pump Worksheet</t>
  </si>
  <si>
    <t>Downlight Retrofit *</t>
  </si>
  <si>
    <t>Dimmable (Non-linear LED) *</t>
  </si>
  <si>
    <t>Horticulture Lighting *(New)*</t>
  </si>
  <si>
    <t>Energy Advantage *</t>
  </si>
  <si>
    <t>Electronically Commutated Motors *</t>
  </si>
  <si>
    <t>Variable Frequency Drive Pool Pump *</t>
  </si>
  <si>
    <t>Variable Refrigerant Flow AC *</t>
  </si>
  <si>
    <t>VRF Worksheet *</t>
  </si>
  <si>
    <t>Distribution Transformer *(New)*</t>
  </si>
  <si>
    <t>*Updated for PY24 TRM</t>
  </si>
  <si>
    <t>*(New)* Added to PY24 TRM</t>
  </si>
  <si>
    <t>AC Worksheet</t>
  </si>
  <si>
    <t>Central AC Retrofit</t>
  </si>
  <si>
    <t>Water Cooler Timer (Inactive)</t>
  </si>
  <si>
    <t>LED *</t>
  </si>
  <si>
    <t>Security Light *</t>
  </si>
  <si>
    <t>Heat Pump *</t>
  </si>
  <si>
    <t>Solar Water Heater *</t>
  </si>
  <si>
    <t>Custom *</t>
  </si>
  <si>
    <t>Updated in Winter 2023-2024 for the PY24 TRM.</t>
  </si>
  <si>
    <t>C&amp;S Baseline as of PY24</t>
  </si>
  <si>
    <t>N/A: State ban of linear fluorescent lamps</t>
  </si>
  <si>
    <t>Jan. 1, 2026</t>
  </si>
  <si>
    <t>N/A: State ban of compact fluorescent lamps</t>
  </si>
  <si>
    <t>Jan. 1, 2025/2026*</t>
  </si>
  <si>
    <t>100% LED lamps</t>
  </si>
  <si>
    <t>Jan. 1, 2025</t>
  </si>
  <si>
    <t>TBD**</t>
  </si>
  <si>
    <t>Room AC, w/o reverse cycle, with louvered sides, &lt;6,000 Btu/h</t>
  </si>
  <si>
    <t>13.1 CEER</t>
  </si>
  <si>
    <t>May 26, 2026</t>
  </si>
  <si>
    <t>Room AC, w/o reverse cycle, with louvered sides, 6,000-7,900 Btu/h</t>
  </si>
  <si>
    <t>13.7 CEER</t>
  </si>
  <si>
    <t>Room AC, w/o reverse cycle, with louvered sides, 8,000-13,900 Btu/h</t>
  </si>
  <si>
    <t>16.0 CEER</t>
  </si>
  <si>
    <t>Room AC, w/o reverse cycle, with louvered sides, 14,000-19,900 Btu/h</t>
  </si>
  <si>
    <t>Room AC, w/o reverse cycle, with louvered sides, 20,000-27,900 Btu/h</t>
  </si>
  <si>
    <t>13.8 CEER</t>
  </si>
  <si>
    <t>See proposed standards in July 2023 NOPR. 88 FR 49058, 49065-49068.</t>
  </si>
  <si>
    <t>See standards effective Jun. 1, 2027</t>
  </si>
  <si>
    <t>Jun. 1, 2027</t>
  </si>
  <si>
    <t xml:space="preserve">IECC 2021 w/ Hawaii Amendments </t>
  </si>
  <si>
    <t>Dec. 15, 2024</t>
  </si>
  <si>
    <t>Hawaii SB 691, Act 224, 7/5/2023</t>
  </si>
  <si>
    <t>* The Jan. 1, 2025 date applies to screw or bayonet base type compact fluorescent lamps. The Jan. 1, 2026 date applies to pin-base type compact fluorescent lamps and linear fluorescent lamps.</t>
  </si>
  <si>
    <t>** The "next" baseline of 75 lm/W for lamps in the Ceiling Fan measure was recommended by the Hawaii State Energy Office in an 11/1/2021 email to the TRM administrator. It reflects market adoption of LED bulbs. Note that (as of the PY22 TRM) the Ceiling Fan's TRM measure entry is outdated, but it has not been prioritized for updating since this measure does not appear in the recent Hawai'i Energy triennial plan.</t>
  </si>
  <si>
    <t>10 CFR 430.32 (n); Hawaii HB 192, Act 225, 7/5/2023</t>
  </si>
  <si>
    <t>10 CFR 430.32 (dd); Hawaii HB 192, Act 225, 7/5/2023</t>
  </si>
  <si>
    <r>
      <t xml:space="preserve">Below applies to dedicated-purpose pool pumps:
1) </t>
    </r>
    <r>
      <rPr>
        <u/>
        <sz val="11"/>
        <rFont val="Calibri"/>
        <family val="2"/>
        <scheme val="minor"/>
      </rPr>
      <t>Total horsepower (THP) &lt; 0.5 hp</t>
    </r>
    <r>
      <rPr>
        <sz val="11"/>
        <rFont val="Calibri"/>
        <family val="2"/>
        <scheme val="minor"/>
      </rPr>
      <t xml:space="preserve">: 
     Full-load efficiency ≥ 69 percent.
2) </t>
    </r>
    <r>
      <rPr>
        <u/>
        <sz val="11"/>
        <rFont val="Calibri"/>
        <family val="2"/>
        <scheme val="minor"/>
      </rPr>
      <t>0.5 hp ≤ THP ≤ 5 hp</t>
    </r>
    <r>
      <rPr>
        <sz val="11"/>
        <rFont val="Calibri"/>
        <family val="2"/>
        <scheme val="minor"/>
      </rPr>
      <t xml:space="preserve">: 
     Must have variable speed control.
</t>
    </r>
  </si>
  <si>
    <r>
      <t xml:space="preserve">1) </t>
    </r>
    <r>
      <rPr>
        <u/>
        <sz val="11"/>
        <rFont val="Calibri"/>
        <family val="2"/>
        <scheme val="minor"/>
      </rPr>
      <t>&lt; 0.5 hp</t>
    </r>
    <r>
      <rPr>
        <sz val="11"/>
        <rFont val="Calibri"/>
        <family val="2"/>
        <scheme val="minor"/>
      </rPr>
      <t xml:space="preserve">: Sep. 29, 2025
2a) </t>
    </r>
    <r>
      <rPr>
        <u/>
        <sz val="11"/>
        <rFont val="Calibri"/>
        <family val="2"/>
        <scheme val="minor"/>
      </rPr>
      <t>0.5 hp ≤ THP &lt; 1.15 hp</t>
    </r>
    <r>
      <rPr>
        <sz val="11"/>
        <rFont val="Calibri"/>
        <family val="2"/>
        <scheme val="minor"/>
      </rPr>
      <t xml:space="preserve">: 
       Sep. 28, 2027
2b) </t>
    </r>
    <r>
      <rPr>
        <u/>
        <sz val="11"/>
        <rFont val="Calibri"/>
        <family val="2"/>
        <scheme val="minor"/>
      </rPr>
      <t>1.15 hp ≤ THP ≤ 5 hp</t>
    </r>
    <r>
      <rPr>
        <sz val="11"/>
        <rFont val="Calibri"/>
        <family val="2"/>
        <scheme val="minor"/>
      </rPr>
      <t>: 
       Sep. 29, 2025</t>
    </r>
  </si>
  <si>
    <t xml:space="preserve">10 CFR 431.465 (f); 10 CFR 431.485 (b,c) </t>
  </si>
  <si>
    <t xml:space="preserve">Updated in Fall-Winter 2024 for PY24 TRM. The update consisted of adding a sunset date of December 31, 2024, for dimmable lamps affected by the CFL ban that will take effect on January 1, 2025. The update also removed outdated PY20 and PY21 savings tables and columns that no longer apply. </t>
  </si>
  <si>
    <t>This measure has a sunset date of December 31, 2024, due to the CFL ban that will take effect on January 1, 2025.</t>
  </si>
  <si>
    <t>The pin-base omni-directional lamps and the directional and screw-based omni-directional lamps have a single baseline (EISA Tier 2). This approach applies the expanded GSL definition and Tier 2 backstop of 45 lumens per Watt that the U.S. Department of Energy reinstated in the final rulings published on May 9, 2022 (Federal Register 87FR27461 and 87FR27439).</t>
  </si>
  <si>
    <t>The savings in Tables 2-5 below are the same as in Tables 27-30 in the C_Light_General tab.</t>
  </si>
  <si>
    <t xml:space="preserve">Table 4. Calculated First Year Unit Savings: Directional and Screw-Base Omni-Directional LEDs </t>
  </si>
  <si>
    <t>Table 5. Calculated Lifetime Unit Savings: Directional and Screw-Base Omni-Directional LEDs</t>
  </si>
  <si>
    <t>AEG's 2024 Analysis File named "AEG Commercial Dimmable Lighting (Non-Linear LED) - Analysis."</t>
  </si>
  <si>
    <r>
      <rPr>
        <vertAlign val="superscript"/>
        <sz val="9"/>
        <rFont val="Calibri"/>
        <family val="2"/>
        <scheme val="minor"/>
      </rPr>
      <t>1</t>
    </r>
    <r>
      <rPr>
        <sz val="9"/>
        <rFont val="Calibri"/>
        <family val="2"/>
        <scheme val="minor"/>
      </rPr>
      <t xml:space="preserve"> Williams, Alison, Atkinson, Barbara, Garbesi, Karina, &amp; Rubinstein, Francis, “A Meta-Analysis of Energy Savings from Lighting Controls in Commercial Buildings”. Lawrence Berkeley National Laboratory. September 2011. Table 6, p. 14. Weighted average by number of “reviewed” and “non reviewed” papers.</t>
    </r>
  </si>
  <si>
    <r>
      <rPr>
        <vertAlign val="superscript"/>
        <sz val="9"/>
        <rFont val="Calibri"/>
        <family val="2"/>
        <scheme val="minor"/>
      </rPr>
      <t>2</t>
    </r>
    <r>
      <rPr>
        <sz val="9"/>
        <rFont val="Calibri"/>
        <family val="2"/>
        <scheme val="minor"/>
      </rPr>
      <t xml:space="preserve"> The DEER interactive effect factors and hours of use were developed for DEER2016 and they are still applicable to DEER2020.</t>
    </r>
  </si>
  <si>
    <r>
      <rPr>
        <vertAlign val="superscript"/>
        <sz val="9"/>
        <rFont val="Calibri"/>
        <family val="2"/>
        <scheme val="minor"/>
      </rPr>
      <t>3</t>
    </r>
    <r>
      <rPr>
        <sz val="9"/>
        <rFont val="Calibri"/>
        <family val="2"/>
        <scheme val="minor"/>
      </rPr>
      <t xml:space="preserve"> "Lighting/HVAC Interactions and Their Effects on Annual and Peak HVAC Requirements in Commercial Buildings," Sezgen, A. O., Y. J. Huang, Lawrence Berkeley Laboratory, ACEEE Summer Study, 1994.</t>
    </r>
  </si>
  <si>
    <r>
      <rPr>
        <vertAlign val="superscript"/>
        <sz val="9"/>
        <rFont val="Calibri"/>
        <family val="2"/>
        <scheme val="minor"/>
      </rPr>
      <t>4</t>
    </r>
    <r>
      <rPr>
        <sz val="9"/>
        <rFont val="Calibri"/>
        <family val="2"/>
        <scheme val="minor"/>
      </rPr>
      <t xml:space="preserve"> Use value of PF=1 until more data is available on PF of LEDs relative to baseline lighting.</t>
    </r>
  </si>
  <si>
    <r>
      <rPr>
        <vertAlign val="superscript"/>
        <sz val="9"/>
        <rFont val="Calibri"/>
        <family val="2"/>
        <scheme val="minor"/>
      </rPr>
      <t>5</t>
    </r>
    <r>
      <rPr>
        <sz val="9"/>
        <rFont val="Calibri"/>
        <family val="2"/>
        <scheme val="minor"/>
      </rPr>
      <t xml:space="preserve"> Sources of rated lamp life include DEER, DLC, and other benchmarking.</t>
    </r>
  </si>
  <si>
    <r>
      <t>kW</t>
    </r>
    <r>
      <rPr>
        <b/>
        <vertAlign val="subscript"/>
        <sz val="9.5"/>
        <rFont val="Calibri"/>
        <family val="2"/>
        <scheme val="minor"/>
      </rPr>
      <t>base</t>
    </r>
  </si>
  <si>
    <r>
      <t>kW</t>
    </r>
    <r>
      <rPr>
        <b/>
        <vertAlign val="subscript"/>
        <sz val="9.5"/>
        <rFont val="Calibri"/>
        <family val="2"/>
        <scheme val="minor"/>
      </rPr>
      <t>EE</t>
    </r>
  </si>
  <si>
    <r>
      <t>%</t>
    </r>
    <r>
      <rPr>
        <b/>
        <vertAlign val="subscript"/>
        <sz val="9.5"/>
        <rFont val="Calibri"/>
        <family val="2"/>
        <scheme val="minor"/>
      </rPr>
      <t>dim</t>
    </r>
  </si>
  <si>
    <r>
      <t>%</t>
    </r>
    <r>
      <rPr>
        <b/>
        <vertAlign val="subscript"/>
        <sz val="9.5"/>
        <rFont val="Calibri"/>
        <family val="2"/>
        <scheme val="minor"/>
      </rPr>
      <t>non-dim</t>
    </r>
  </si>
  <si>
    <r>
      <t>kW</t>
    </r>
    <r>
      <rPr>
        <b/>
        <vertAlign val="subscript"/>
        <sz val="9.5"/>
        <rFont val="Calibri"/>
        <family val="2"/>
        <scheme val="minor"/>
      </rPr>
      <t>EE,blend</t>
    </r>
  </si>
  <si>
    <t>Base: EISA Tier 2 requirement of 45 lumen/W; EE: Representative ENERGY STAR certified products</t>
  </si>
  <si>
    <r>
      <t xml:space="preserve">SAVINGS </t>
    </r>
    <r>
      <rPr>
        <b/>
        <i/>
        <sz val="11"/>
        <rFont val="Calibri"/>
        <family val="2"/>
        <scheme val="minor"/>
      </rPr>
      <t>(Only Applicable through December 31, 2024)</t>
    </r>
  </si>
  <si>
    <t>Lifetime Savings: Pin-Base Omni-Directional LEDs, Single Baseline</t>
  </si>
  <si>
    <t>First Year Savings: Directional and Screw-Base Omni-Directional LEDs, Single Baseline</t>
  </si>
  <si>
    <t>Lifetime Savings: Directional and Screw-Base Omni-Directional LEDs, Single Baseline</t>
  </si>
  <si>
    <t>The high efficiency case is an omni-directional or directional LED lamp. A percentage of the replacement lamps are assumed to be dimmable. As an alternative to more traditional LED bulbs or tubes, LED retrofit kit engines qualify as applicable LED replacement lighting, as long as the LED retrofit kit engines have appropriate form factors compared to the baseline lighting. This measure has a sunset date of December 31, 2024, due to the CFL ban that will take effect on January 1, 2025.</t>
  </si>
  <si>
    <r>
      <t>kW</t>
    </r>
    <r>
      <rPr>
        <vertAlign val="subscript"/>
        <sz val="10.5"/>
        <rFont val="Calibri"/>
        <family val="2"/>
      </rPr>
      <t>EE,blend</t>
    </r>
  </si>
  <si>
    <r>
      <t>kW</t>
    </r>
    <r>
      <rPr>
        <vertAlign val="subscript"/>
        <sz val="10.5"/>
        <rFont val="Calibri"/>
        <family val="2"/>
      </rPr>
      <t>EE</t>
    </r>
  </si>
  <si>
    <r>
      <t>%</t>
    </r>
    <r>
      <rPr>
        <vertAlign val="subscript"/>
        <sz val="10.5"/>
        <rFont val="Calibri"/>
        <family val="2"/>
        <scheme val="minor"/>
      </rPr>
      <t>dimmable</t>
    </r>
  </si>
  <si>
    <r>
      <t>%</t>
    </r>
    <r>
      <rPr>
        <vertAlign val="subscript"/>
        <sz val="10.5"/>
        <rFont val="Calibri"/>
        <family val="2"/>
        <scheme val="minor"/>
      </rPr>
      <t>non-dimmable</t>
    </r>
  </si>
  <si>
    <r>
      <t>SVG</t>
    </r>
    <r>
      <rPr>
        <vertAlign val="subscript"/>
        <sz val="10.5"/>
        <rFont val="Calibri"/>
        <family val="2"/>
        <scheme val="minor"/>
      </rPr>
      <t>dim</t>
    </r>
  </si>
  <si>
    <r>
      <t>Williams et al</t>
    </r>
    <r>
      <rPr>
        <vertAlign val="superscript"/>
        <sz val="10.5"/>
        <rFont val="Calibri"/>
        <family val="2"/>
        <scheme val="minor"/>
      </rPr>
      <t>1</t>
    </r>
    <r>
      <rPr>
        <sz val="10.5"/>
        <rFont val="Calibri"/>
        <family val="2"/>
        <scheme val="minor"/>
      </rPr>
      <t xml:space="preserve"> and AEG's Fall 2018 Benchmarking; corresponds to "institutional" and "personal" dimming with continuously dimmable lamps</t>
    </r>
  </si>
  <si>
    <r>
      <t>kW</t>
    </r>
    <r>
      <rPr>
        <vertAlign val="subscript"/>
        <sz val="10.5"/>
        <rFont val="Calibri"/>
        <family val="2"/>
        <scheme val="minor"/>
      </rPr>
      <t>base</t>
    </r>
  </si>
  <si>
    <t>Updated in Winter 2023-2024 for the PY24 TRM. The update included a complete review of the commercial electronically commutated motor (ECM) measure, clarifying the measure's scope, clarifying eligibility criteria, removing the requirement for integrated controls, updating the savings estimation approaches, and adding deemed savings tables for multiple ECM applications.</t>
  </si>
  <si>
    <t xml:space="preserve">• </t>
  </si>
  <si>
    <t>Evaporator fan motors for walk-in coolers and freezers, with and without motor control</t>
  </si>
  <si>
    <t>Evaporator fan motors for reach-in cooler and freezer display cases</t>
  </si>
  <si>
    <t>Compressor and condenser / condensing unit fan motors in refrigeration applications</t>
  </si>
  <si>
    <t>Motors in fan coil units (FCUs) in HVAC applications</t>
  </si>
  <si>
    <t>Evaporator fan motor replacements for walk-in cooler and freezer systems manufactured after January 1, 2009 do NOT qualify. Federal standards (10 CFR 431.306) mandate factory-installed ECMs or 3-phase motors on these models. Retrofit ECMs installed on evaporator fans in walk-in coolers and freezers manufactured prior to 2009 are eligible.</t>
  </si>
  <si>
    <t>Condenser fan motor replacements for walk-in cooler and freezer systems manufactured after January 1, 2009 do NOT qualify. Federal standards (10 CFR 431.306) mandate factory-installed ECMs, permanent split capacitor motors, or 3-phase motors on these models. Retrofit ECMs installed on condenser fans in walk-in coolers and freezers manufactured prior to 2009 are eligible.</t>
  </si>
  <si>
    <t xml:space="preserve">HVAC FCU motor replacements in the capacity range of ≥1/12 hp and &lt; 1 hp are only applicable for savings during the remaining useful life (RUL) of the pre-existing SP motor; this is because 2018 IECC standards require ECMs for this size range. Replacement of motors with capacities of &lt;1/12 hp are eligible for savings for the full effective useful life (EUL). </t>
  </si>
  <si>
    <t>ECM motors in new construction and retrofits are eligible for these motor types: a) evaporator fan motors for reach-in coolers and display cases; b) compressor fan motors for refrigeration applications; and c) motors for FCUs with capacities &lt;1/12 hp.</t>
  </si>
  <si>
    <t>One motor.</t>
  </si>
  <si>
    <t>A standard efficiency shaded pole (SP) motor, up to 1 hp in capacity. (Deemed savings are provided for standard motor capacities up to 1/3 hp.)</t>
  </si>
  <si>
    <t>A high efficiency direct current electronically commutated motor (ECM), with the same capacity (hp) as the baseline motor.</t>
  </si>
  <si>
    <t>Baseline Motor Input Wattage</t>
  </si>
  <si>
    <t>Energy Efficient Motor Input Wattage</t>
  </si>
  <si>
    <t>Evaporator fan motors for walk-in and reach-in cases and motors for HVAC FCU fans:</t>
  </si>
  <si>
    <t>Compressor and condenser / condensing unit fan motors:</t>
  </si>
  <si>
    <t>HVAC FCU fans, ≥1/12 hp and &lt; 1hp</t>
  </si>
  <si>
    <t>Rest of measures</t>
  </si>
  <si>
    <t>Horsepower rating of motor (output power)</t>
  </si>
  <si>
    <t>W/hp</t>
  </si>
  <si>
    <t>Efficiency of baseline motor (SP)</t>
  </si>
  <si>
    <t>Efficiency of efficient motor (ECM)</t>
  </si>
  <si>
    <t>Baseline motor input wattage</t>
  </si>
  <si>
    <t>Eq'n 1</t>
  </si>
  <si>
    <t>Efficient motor input wattage</t>
  </si>
  <si>
    <t>Eq'n 2</t>
  </si>
  <si>
    <t>Coefficient of performance</t>
  </si>
  <si>
    <t>Peak demand savings from Evaporator Motor Control measure</t>
  </si>
  <si>
    <t>Refer to measure</t>
  </si>
  <si>
    <t>See Table 2 of the Evaporator Motor Control measure</t>
  </si>
  <si>
    <t>Energy savings from Evaporator Motor Control measure</t>
  </si>
  <si>
    <t>Remaining useful life of SP motor</t>
  </si>
  <si>
    <t>Footnotes:</t>
  </si>
  <si>
    <t>1. Refer to AEG's 2024 analysis file named "PY24 TRM - Commercial ECM - Analysis File."</t>
  </si>
  <si>
    <t>Table 1: Horsepower Ratings and Output Power in Watts</t>
  </si>
  <si>
    <t>Output Power in W (hp*746)</t>
  </si>
  <si>
    <t>Table 2: Motor Efficiencies</t>
  </si>
  <si>
    <t>Application</t>
  </si>
  <si>
    <t>Motor Type</t>
  </si>
  <si>
    <t>1. The efficiencies match the Evaporator Motor Control measure's efficiencies, which were derived from benchmarking.</t>
  </si>
  <si>
    <t>2. The efficiencies are the average of high and low values in the RTF workbook: ComGroceryDisplayCaseEvapFanMotorRetrofit_v6_1.</t>
  </si>
  <si>
    <t>3. The efficiencies are the average of high and low values in the RTF workbook: ComGroceryCompressorECM_v5_2.</t>
  </si>
  <si>
    <t>4. See DOE 2013. SP efficiency is the average of high and low in Table 2.1 and ECM efficiency is the fractional horsepower efficiency of 70% listed in Section 2.4.3.</t>
  </si>
  <si>
    <t>Table 3: Coefficients of Performance</t>
  </si>
  <si>
    <t>1. Calculated for a typical reciprocating compressor, medium temperature refrigeration system using values of 769,000 Btu/h capacity and 99 kW power from DOE 2009, Table 3-7: Supermarket Compressor Energy Consumption. (769,000/3412)/99=2.28.</t>
  </si>
  <si>
    <t>2. Calculated for a typical reciprocating compressor, low temperature refrigeration system using values of 308,000 Btu/h capacity and 63 kW power from DOE 2009, Table 3-7: Supermarket Compressor Energy Consumption. (308,000/3412)/63=1.43.</t>
  </si>
  <si>
    <t>3. U.S. Department of Energy, Energy Efficiency &amp; Renewable Energy, "Commercial Reference Buildings," &lt;https://www.energy.gov/eere/buildings/commercial-reference-buildings&gt;. Reference case for supermarket in Climate Zone 1A: "RefBldgSuperMarketNew2004_v1.3_5.0.xlsx."</t>
  </si>
  <si>
    <t xml:space="preserve">Table 4: Hours of Operation and Coincidence Factors </t>
  </si>
  <si>
    <t>Med. Temp. (Cooler)</t>
  </si>
  <si>
    <t>Low Temp. (Freezer)</t>
  </si>
  <si>
    <t>Air Conditioning</t>
  </si>
  <si>
    <t>Walk-in Evaporator Fan Motor</t>
  </si>
  <si>
    <t xml:space="preserve">Case Evaporator Fan Motor </t>
  </si>
  <si>
    <t xml:space="preserve">1. Assumes duty cycle of 50% for cooler and 70% for freezer based on benchmarking; this is consistent with the Evaporator Motor Controls measure. </t>
  </si>
  <si>
    <t>2. Uses EFLH and CF for average commercial building type from Table 2 of the EFLH &amp; CF sheet.</t>
  </si>
  <si>
    <t>Table 5: Demand and Energy Savings for Walk-In Evaporator Fan Motors (NO Controls)</t>
  </si>
  <si>
    <t>Table 6: Demand and Energy Savings for Walk-In Evaporator Fan Motors (WITH Controls)</t>
  </si>
  <si>
    <t>Table 7: Demand and Energy Savings for Reach-In Display Case Evaporator Fan Motors</t>
  </si>
  <si>
    <t>Table 8: Demand and Energy Savings for Compressor/Condenser Fan Motors</t>
  </si>
  <si>
    <t>Table 9: Demand and Energy Savings for HVAC FCU Fans</t>
  </si>
  <si>
    <t>Select Type of Application (Walk-in, Case, Compressor/Condenser, HVAC)</t>
  </si>
  <si>
    <t>Walk-in</t>
  </si>
  <si>
    <t>Select Temperature of Application (Cooler, Freezer, FCU)</t>
  </si>
  <si>
    <t>Does Walk-in Evaporator Fan Motor Have Controls? (with, without)</t>
  </si>
  <si>
    <t>without</t>
  </si>
  <si>
    <t>only applicable to evaporator fan motors in walk-in refrigeration systems</t>
  </si>
  <si>
    <t>Select Horsepower of Motor</t>
  </si>
  <si>
    <t>AEG's 2024 analysis file named "PY24 TRM - Commercial ECM - Analysis File."</t>
  </si>
  <si>
    <t>Arkansas Technical Reference Manual, Version 9.1, Volume 2, Aug. 31, 2022.</t>
  </si>
  <si>
    <t>Code of Federal Regulations, 10 CFR 431.306, &lt;https://www.ecfr.gov/current/title-10/section-431.306&gt;.</t>
  </si>
  <si>
    <t>Illinois 2024 Statewide Technical Reference Manual for Energy Efficiency, Version 12.0, Volume 2: Commercial and Industrial Measures, Sep. 22, 2023.</t>
  </si>
  <si>
    <t>International Energy Conservation Code (IECC) 2018, &lt;https://codes.iccsafe.org/content/IECC2018P5&gt;.</t>
  </si>
  <si>
    <t>Mid-Atlantic Technical Reference Manual, Version 10, May 2020.</t>
  </si>
  <si>
    <t>Public Service Commission of Wisconsin, Wisconsin Focus on Energy 2023 Technical Reference Manual, Jan. 3, 2023.</t>
  </si>
  <si>
    <t>Regional Technical Forum, "Compressor Head Fan Motor Retrofit to ECM," UES Workbook, Version 5.2." Northwest Power and Conservation Council. Jul. 18, 2023. Spreadsheet: "ComGroceryCompressorECM_v5_2.xlsm."</t>
  </si>
  <si>
    <t>Regional Technical Forum, "Display Case Evaporator Fan Motor Retrofit," UES Workbook, Version 6.1." Northwest Power and Conservation Council. Jul. 18, 2023. Spreadsheet: "ComGroceryDisplayCaseEvapFanMotorRetrofit_v6_1.xlsm."</t>
  </si>
  <si>
    <t>Regional Technical Forum, "Walk-In Evaporator Fan Motor Retrofit," UES Workbook, Version 5.1." Northwest Power and Conservation Council. Jul. 18, 2023. Spreadsheet: "ComGroceryWalkinECM_v5_1.xlsm."</t>
  </si>
  <si>
    <t>State of Minnesota Technical Reference Manual for Energy Conservation Improvement Programs, Version 4.0, Jan. 31, 2023.</t>
  </si>
  <si>
    <t>Texas Technical Reference Manual, Version 11.0, Volume 3: Nonresidential Measures, Oct. 2023.</t>
  </si>
  <si>
    <t>U.S. Department of Energy, Energy Efficiency &amp; Renewable Energy, "Commercial Reference Buildings," &lt;https://www.energy.gov/eere/buildings/commercial-reference-buildings&gt;.</t>
  </si>
  <si>
    <t>U.S. Department of Energy, Energy Efficiency &amp; Renewable Energy, (DOE 2013), “Energy Savings Potential and Opportunities for High-Efficiency Electric Motors in Residential and Commercial Equipment,” Dec. 2013.</t>
  </si>
  <si>
    <t>U.S. Department of Energy, Energy Efficiency &amp; Renewable Energy, (DOE 2009), “Energy Savings Potential and Research &amp; Development Opportunities for Commercial Refrigeration,” Sep. 2009.</t>
  </si>
  <si>
    <r>
      <t>This measure is the replacement of a fractional horsepower (</t>
    </r>
    <r>
      <rPr>
        <sz val="11"/>
        <rFont val="Calibri"/>
        <family val="2"/>
      </rPr>
      <t xml:space="preserve">≤1 hp) </t>
    </r>
    <r>
      <rPr>
        <sz val="11"/>
        <rFont val="Calibri"/>
        <family val="2"/>
        <scheme val="minor"/>
      </rPr>
      <t>standard efficiency shaded pole (SP) motor with a high efficiency electronically commutated motor (ECM) in commercial refrigeration and commercial HVAC applications. This measure covers the following applications:</t>
    </r>
  </si>
  <si>
    <r>
      <t xml:space="preserve">Evaporator fan motors </t>
    </r>
    <r>
      <rPr>
        <b/>
        <sz val="11"/>
        <rFont val="Calibri"/>
        <family val="2"/>
        <scheme val="minor"/>
      </rPr>
      <t xml:space="preserve">coupled with controls </t>
    </r>
    <r>
      <rPr>
        <sz val="11"/>
        <rFont val="Calibri"/>
        <family val="2"/>
        <scheme val="minor"/>
      </rPr>
      <t>for walk-ins:</t>
    </r>
  </si>
  <si>
    <r>
      <t xml:space="preserve">Evaporator fan motors </t>
    </r>
    <r>
      <rPr>
        <b/>
        <sz val="11"/>
        <rFont val="Calibri"/>
        <family val="2"/>
        <scheme val="minor"/>
      </rPr>
      <t xml:space="preserve">and controls </t>
    </r>
    <r>
      <rPr>
        <sz val="11"/>
        <rFont val="Calibri"/>
        <family val="2"/>
        <scheme val="minor"/>
      </rPr>
      <t xml:space="preserve">for walk-ins </t>
    </r>
  </si>
  <si>
    <r>
      <t>η</t>
    </r>
    <r>
      <rPr>
        <vertAlign val="subscript"/>
        <sz val="10.5"/>
        <rFont val="Calibri"/>
        <family val="2"/>
      </rPr>
      <t>BL</t>
    </r>
  </si>
  <si>
    <r>
      <t xml:space="preserve">AEG benchmarking </t>
    </r>
    <r>
      <rPr>
        <vertAlign val="superscript"/>
        <sz val="10.5"/>
        <rFont val="Calibri"/>
        <family val="2"/>
        <scheme val="minor"/>
      </rPr>
      <t>1</t>
    </r>
  </si>
  <si>
    <r>
      <t>η</t>
    </r>
    <r>
      <rPr>
        <vertAlign val="subscript"/>
        <sz val="10.5"/>
        <rFont val="Calibri"/>
        <family val="2"/>
      </rPr>
      <t>EE</t>
    </r>
  </si>
  <si>
    <r>
      <t>W</t>
    </r>
    <r>
      <rPr>
        <vertAlign val="subscript"/>
        <sz val="10.5"/>
        <rFont val="Calibri"/>
        <family val="2"/>
      </rPr>
      <t>BL</t>
    </r>
  </si>
  <si>
    <r>
      <t>W</t>
    </r>
    <r>
      <rPr>
        <vertAlign val="subscript"/>
        <sz val="10.5"/>
        <rFont val="Calibri"/>
        <family val="2"/>
      </rPr>
      <t>EE</t>
    </r>
  </si>
  <si>
    <r>
      <t>∆kW</t>
    </r>
    <r>
      <rPr>
        <vertAlign val="subscript"/>
        <sz val="10.5"/>
        <rFont val="Calibri"/>
        <family val="2"/>
      </rPr>
      <t>Control</t>
    </r>
  </si>
  <si>
    <r>
      <t>∆kWh</t>
    </r>
    <r>
      <rPr>
        <vertAlign val="subscript"/>
        <sz val="10.5"/>
        <rFont val="Calibri"/>
        <family val="2"/>
      </rPr>
      <t>Control</t>
    </r>
  </si>
  <si>
    <r>
      <t xml:space="preserve">Walk-in Evaporator Fan Motor </t>
    </r>
    <r>
      <rPr>
        <vertAlign val="superscript"/>
        <sz val="11"/>
        <rFont val="Calibri"/>
        <family val="2"/>
        <scheme val="minor"/>
      </rPr>
      <t>1</t>
    </r>
  </si>
  <si>
    <r>
      <t xml:space="preserve">Case Evaporator Fan Motor </t>
    </r>
    <r>
      <rPr>
        <vertAlign val="superscript"/>
        <sz val="11"/>
        <rFont val="Calibri"/>
        <family val="2"/>
        <scheme val="minor"/>
      </rPr>
      <t>2</t>
    </r>
  </si>
  <si>
    <r>
      <t xml:space="preserve">Compressor/Condenser Fan Motor </t>
    </r>
    <r>
      <rPr>
        <vertAlign val="superscript"/>
        <sz val="11"/>
        <rFont val="Calibri"/>
        <family val="2"/>
        <scheme val="minor"/>
      </rPr>
      <t>3</t>
    </r>
  </si>
  <si>
    <r>
      <t xml:space="preserve">HVAC FCU Fan Motor </t>
    </r>
    <r>
      <rPr>
        <vertAlign val="superscript"/>
        <sz val="11"/>
        <rFont val="Calibri"/>
        <family val="2"/>
        <scheme val="minor"/>
      </rPr>
      <t>4</t>
    </r>
  </si>
  <si>
    <r>
      <t xml:space="preserve">Medium Temperature (Cooler) </t>
    </r>
    <r>
      <rPr>
        <vertAlign val="superscript"/>
        <sz val="11"/>
        <rFont val="Calibri"/>
        <family val="2"/>
        <scheme val="minor"/>
      </rPr>
      <t>1</t>
    </r>
  </si>
  <si>
    <r>
      <t xml:space="preserve">Low Temperature (Freezer) </t>
    </r>
    <r>
      <rPr>
        <vertAlign val="superscript"/>
        <sz val="11"/>
        <rFont val="Calibri"/>
        <family val="2"/>
        <scheme val="minor"/>
      </rPr>
      <t>2</t>
    </r>
  </si>
  <si>
    <r>
      <t xml:space="preserve">Air Conditioning </t>
    </r>
    <r>
      <rPr>
        <vertAlign val="superscript"/>
        <sz val="11"/>
        <rFont val="Calibri"/>
        <family val="2"/>
        <scheme val="minor"/>
      </rPr>
      <t>3</t>
    </r>
  </si>
  <si>
    <r>
      <t xml:space="preserve">Compressor/Condenser Fan Motor </t>
    </r>
    <r>
      <rPr>
        <vertAlign val="superscript"/>
        <sz val="11"/>
        <rFont val="Calibri"/>
        <family val="2"/>
        <scheme val="minor"/>
      </rPr>
      <t>1</t>
    </r>
  </si>
  <si>
    <r>
      <t xml:space="preserve">HVAC FCU Fan Motor </t>
    </r>
    <r>
      <rPr>
        <vertAlign val="superscript"/>
        <sz val="11"/>
        <rFont val="Calibri"/>
        <family val="2"/>
        <scheme val="minor"/>
      </rPr>
      <t>2</t>
    </r>
  </si>
  <si>
    <t>A major update was conducted in Fall 2018 for the PY19 TRM. There were subsequent updates during 2020 through 2024 for new measures.</t>
  </si>
  <si>
    <t>Updated in Winter 2023-2024 for the PY24 TRM to specify that default hours of use should be pulled from the Commercial General Lighting sheet when actual hours of use are unknown.</t>
  </si>
  <si>
    <t>Small businesses receiving electric service under a commercial rate schedule with demand less than or equal to 30 kilowatts (kW) per month. Master-metered businesses must receive sign-off from the utility account holder.</t>
  </si>
  <si>
    <t>Common areas located in an eligible multi-tenant affordable housing property. Eligible multi-tenant affordable housing projects are owned by private, non-profit or government entities, developed with funding or support from federal, state or county resources (Source: Affordable Housing Inventory). This may include Elderly Housing, Public Housing, or Section 8 voucher approved housing.</t>
  </si>
  <si>
    <t>When a user does not enter values for hours of operation, the savings calculation should use the operational hours from the Commercial General Lighting measure. (See Table 5 in the "C_Light_General" sheet.)</t>
  </si>
  <si>
    <t>AEG's analysis files named "PY24 TRM - Commercial Energy Advantage - Analysis File." "Mid-year PY22 TRM - Energy Advantage - Analysis File," "AEG HPUC Energy Advantage - Analysis File" (developed for PY20 TRM), and "AEG HPUC Update of Com-Lighting Measures - Analysis file" (developed for PY19 TRM).</t>
  </si>
  <si>
    <r>
      <t>The Hours of Use per year (HOU</t>
    </r>
    <r>
      <rPr>
        <vertAlign val="subscript"/>
        <sz val="11"/>
        <rFont val="Calibri"/>
        <family val="2"/>
        <scheme val="minor"/>
      </rPr>
      <t>year</t>
    </r>
    <r>
      <rPr>
        <sz val="11"/>
        <rFont val="Calibri"/>
        <family val="2"/>
        <scheme val="minor"/>
      </rPr>
      <t xml:space="preserve">)--which has also been referred to as Equivalent Full Load Hours (EFLH) for the Energy Advantage program--for each Space is calculated based on a user-entered start time and end time for each day of the week, modified by a user-entered set of holidays during which the building is assumed to be inactive. The specific holidays do not matter since they are a quantity (# Holidays * Hours/Day) used to adjust an annual total. The annual hours of use value can vary for different measures within the same Energy Advantage application due to various operating schedules entered per space. </t>
    </r>
  </si>
  <si>
    <t xml:space="preserve">Calculated.  See Eq. 1. </t>
  </si>
  <si>
    <r>
      <t>Calculated with Equation 1 based on user inputs for operating hours and holidays. For default HOU</t>
    </r>
    <r>
      <rPr>
        <vertAlign val="subscript"/>
        <sz val="10.5"/>
        <rFont val="Calibri"/>
        <family val="2"/>
        <scheme val="minor"/>
      </rPr>
      <t>year</t>
    </r>
    <r>
      <rPr>
        <sz val="10.5"/>
        <rFont val="Calibri"/>
        <family val="2"/>
        <scheme val="minor"/>
      </rPr>
      <t xml:space="preserve"> values, see Table 5 of "C_Light_General" sheet.</t>
    </r>
  </si>
  <si>
    <t xml:space="preserve">A few lighting measures require a dual baseline approach to account for either) early replacement, or 2) changes in federal codes and standards that are expected to take place in the near future. </t>
  </si>
  <si>
    <t>See Equation 8</t>
  </si>
  <si>
    <t>Meets Current Standard 
(as of January 2024)</t>
  </si>
  <si>
    <t>45 lumen/W</t>
  </si>
  <si>
    <t>Note: Only applies to SBDIL and Type A linear lamp replacements. Assumes EUL of pre-existing lamp divided by 3.</t>
  </si>
  <si>
    <t>Table 13. Calculated First Year Unit Savings: Decorative LEDs</t>
  </si>
  <si>
    <t xml:space="preserve">Table 14. Calculated Lifetime Unit Savings: Decorative LEDs </t>
  </si>
  <si>
    <t xml:space="preserve">Table 15. Calculated First Year Unit Savings: LED Troffers </t>
  </si>
  <si>
    <t xml:space="preserve">Table 16. Calculated Lifetime Unit Savings: LED Troffers </t>
  </si>
  <si>
    <t>Table 17a. Calculated First Year Unit Savings: T8 Linear LED Lamps, Demand Savings</t>
  </si>
  <si>
    <t>Table 17b. Calculated First Year Unit Savings: T8 Linear LED Lamps, Energy Savings</t>
  </si>
  <si>
    <t>Table 18. Calculated Lifetime Unit Savings: T8 Linear LED Lamps</t>
  </si>
  <si>
    <t>Table 19. Calculated First Year Unit Savings: T8 Linear LED Lamps, Demand Savings (Pre-Existing baseline, SBDIL only)</t>
  </si>
  <si>
    <t>Table 20. Calculated First Year Unit Savings: T8 Linear LED Lamps, Demand Savings (Federal Standard Baseline)</t>
  </si>
  <si>
    <t>Table 21. Calculated First Year Unit Savings: Linear LED Lamps, 4' T5/T5 HO</t>
  </si>
  <si>
    <t>Table 22. Calculated Lifetime Unit Savings: Linear LED Lamps, 4' T5/T5 HO</t>
  </si>
  <si>
    <t>Table 23. Calculated First Year Unit Savings: U-Bend LED Replacements</t>
  </si>
  <si>
    <t>Table 24. Calculated Lifetime Unit Savings: U-Bend LED Replacements</t>
  </si>
  <si>
    <t>Table 25. Calculated First Year Unit Savings: HID Replacement</t>
  </si>
  <si>
    <t>Table 26. Calculated Lifetime Unit Savings: HID Replacement</t>
  </si>
  <si>
    <t>Table 27. Calculated First Year Unit Savings: Pin-Base Omni-Directional</t>
  </si>
  <si>
    <t>Table 28. Calculated Lifetime Unit Savings: Pin-Base Omni-Directional</t>
  </si>
  <si>
    <t>Table 29. Calculated First Year Unit Savings: Directional and Screw-Base Omni-Directional LEDs</t>
  </si>
  <si>
    <t>Table 30. Calculated Lifetime Unit Savings: Directional and Screw-Base Omni-Directional LEDs</t>
  </si>
  <si>
    <t>AEG's 2022 Analysis File named "PY24 TRM - Commercial General Lighting - Analysis File."</t>
  </si>
  <si>
    <t xml:space="preserve">Updated in Fall-Winter 2024 for the PY24 TRM V1. The update consisted of adding a sunset date of December 31, 2024, for LED screw-in bulbs affected by the CFL ban that will take effect on January 1, 2025, and clarifying that a whole year remaining useful life (RUL) of the pre-existing lamp should be used for Type A linear lamps when calculating the lifetime savings and total resource benefit (TRB). The update also removed outdated PY20 and PY21 savings tables and columns that no longer apply. </t>
  </si>
  <si>
    <t>The replacement LED lamp must be on the Consortium for Energy Efficiency's (CEE's) most recent Commercial Lighting Qualifying Products List, have an ENERGY STAR label, or be on DesignLights Consortium's Qualified Product List (DLC QPL). LED screw-in bulbs have a sunset date of December 31, 2024, due to the CFL ban that will take effect on January 1, 2025.</t>
  </si>
  <si>
    <t>All early replacement projects (only applicable to BHTR/SBDIL linear lamps) require a dual baseline. The first baseline is the pre-existing equipment, which has been estimated as a blend of 30% T12 and 70% T8 fluorescent lamps. The pre-existing equipment is assumed to have a remaining useful life (RUL) of one-third of the Effective Useful Life (EUL) of the pre-existing fluorescent lamps. The second baseline must comply with the current federal requirements for general service fluorescent lamps that took effect on January 26, 2018 (10 CFR 430.32(n), paragraph (4)). Only lamps that are in working order at the time of the replacement qualify for early replacement. If the pre-existing lamps cannot be verified to be in working order, an ROB baseline must be used.</t>
  </si>
  <si>
    <t>For lamp replacement projects, the high efficiency case is an LED lamp that meets program criteria. As an alternative to more traditional LED bulbs or tubes, LED retrofit kit engines qualify as applicable LED replacement lighting, as long as the LED retrofit kit engines have appropriate form factors compared to the baseline lighting. For delamping projects, the high efficiency case is no lamp. LED screw-in bulbs have a sunset date of December 31, 2024, due to the CFL ban that will take effect on January 1, 2025.</t>
  </si>
  <si>
    <r>
      <t>kW</t>
    </r>
    <r>
      <rPr>
        <vertAlign val="subscript"/>
        <sz val="10"/>
        <rFont val="Calibri"/>
        <family val="2"/>
        <scheme val="minor"/>
      </rPr>
      <t>base,1</t>
    </r>
  </si>
  <si>
    <r>
      <t>kW</t>
    </r>
    <r>
      <rPr>
        <vertAlign val="subscript"/>
        <sz val="10"/>
        <rFont val="Calibri"/>
        <family val="2"/>
        <scheme val="minor"/>
      </rPr>
      <t>base,2</t>
    </r>
  </si>
  <si>
    <r>
      <t>kW</t>
    </r>
    <r>
      <rPr>
        <vertAlign val="subscript"/>
        <sz val="10"/>
        <rFont val="Calibri"/>
        <family val="2"/>
        <scheme val="minor"/>
      </rPr>
      <t>EE</t>
    </r>
  </si>
  <si>
    <r>
      <t>IE</t>
    </r>
    <r>
      <rPr>
        <vertAlign val="subscript"/>
        <sz val="10"/>
        <rFont val="Calibri"/>
        <family val="2"/>
        <scheme val="minor"/>
      </rPr>
      <t>C,D</t>
    </r>
  </si>
  <si>
    <r>
      <t>IE</t>
    </r>
    <r>
      <rPr>
        <vertAlign val="subscript"/>
        <sz val="10"/>
        <rFont val="Calibri"/>
        <family val="2"/>
        <scheme val="minor"/>
      </rPr>
      <t>C,E</t>
    </r>
  </si>
  <si>
    <r>
      <t>HOU</t>
    </r>
    <r>
      <rPr>
        <vertAlign val="subscript"/>
        <sz val="10"/>
        <rFont val="Calibri"/>
        <family val="2"/>
        <scheme val="minor"/>
      </rPr>
      <t>year</t>
    </r>
  </si>
  <si>
    <r>
      <t>EUL</t>
    </r>
    <r>
      <rPr>
        <vertAlign val="subscript"/>
        <sz val="10"/>
        <rFont val="Calibri"/>
        <family val="2"/>
        <scheme val="minor"/>
      </rPr>
      <t>1st</t>
    </r>
  </si>
  <si>
    <r>
      <t>Calculated by dividing rated lamp life</t>
    </r>
    <r>
      <rPr>
        <vertAlign val="superscript"/>
        <sz val="10"/>
        <rFont val="Calibri"/>
        <family val="2"/>
        <scheme val="minor"/>
      </rPr>
      <t>4</t>
    </r>
    <r>
      <rPr>
        <sz val="10"/>
        <rFont val="Calibri"/>
        <family val="2"/>
        <scheme val="minor"/>
      </rPr>
      <t xml:space="preserve"> by HOU</t>
    </r>
    <r>
      <rPr>
        <vertAlign val="subscript"/>
        <sz val="10"/>
        <rFont val="Calibri"/>
        <family val="2"/>
        <scheme val="minor"/>
      </rPr>
      <t>year</t>
    </r>
    <r>
      <rPr>
        <sz val="10"/>
        <rFont val="Calibri"/>
        <family val="2"/>
        <scheme val="minor"/>
      </rPr>
      <t xml:space="preserve"> and setting upperbound EUL = 25 yr and lowerbound EUL = 1 yr</t>
    </r>
  </si>
  <si>
    <r>
      <t>EUL</t>
    </r>
    <r>
      <rPr>
        <vertAlign val="subscript"/>
        <sz val="10"/>
        <rFont val="Calibri"/>
        <family val="2"/>
        <scheme val="minor"/>
      </rPr>
      <t>EE</t>
    </r>
  </si>
  <si>
    <r>
      <t>EUL</t>
    </r>
    <r>
      <rPr>
        <vertAlign val="subscript"/>
        <sz val="10"/>
        <rFont val="Calibri"/>
        <family val="2"/>
        <scheme val="minor"/>
      </rPr>
      <t>pre-existing</t>
    </r>
  </si>
  <si>
    <r>
      <rPr>
        <vertAlign val="superscript"/>
        <sz val="9"/>
        <rFont val="Calibri"/>
        <family val="2"/>
        <scheme val="minor"/>
      </rPr>
      <t>1</t>
    </r>
    <r>
      <rPr>
        <sz val="9"/>
        <rFont val="Calibri"/>
        <family val="2"/>
        <scheme val="minor"/>
      </rPr>
      <t xml:space="preserve"> The DEER interactive effect factors and hours of use were developed for DEER2016 and they are still applicable to DEER2020.</t>
    </r>
  </si>
  <si>
    <r>
      <rPr>
        <vertAlign val="superscript"/>
        <sz val="9"/>
        <rFont val="Calibri"/>
        <family val="2"/>
        <scheme val="minor"/>
      </rPr>
      <t>2</t>
    </r>
    <r>
      <rPr>
        <sz val="9"/>
        <rFont val="Calibri"/>
        <family val="2"/>
        <scheme val="minor"/>
      </rPr>
      <t xml:space="preserve"> "Lighting/HVAC Interactions and Their Effects on Annual and Peak HVAC Requirements in Commercial Buildings," Sezgen, A. O., Y. J. Huang, Lawrence Berkeley Laboratory, ACEEE Summer Study, 1994.</t>
    </r>
  </si>
  <si>
    <r>
      <rPr>
        <vertAlign val="superscript"/>
        <sz val="9"/>
        <rFont val="Calibri"/>
        <family val="2"/>
        <scheme val="minor"/>
      </rPr>
      <t>3</t>
    </r>
    <r>
      <rPr>
        <sz val="9"/>
        <rFont val="Calibri"/>
        <family val="2"/>
        <scheme val="minor"/>
      </rPr>
      <t xml:space="preserve"> Use value of PF=1 until more data is available on PF of LEDs relative to baseline lighting.</t>
    </r>
  </si>
  <si>
    <r>
      <rPr>
        <vertAlign val="superscript"/>
        <sz val="9"/>
        <rFont val="Calibri"/>
        <family val="2"/>
        <scheme val="minor"/>
      </rPr>
      <t>4</t>
    </r>
    <r>
      <rPr>
        <sz val="9"/>
        <rFont val="Calibri"/>
        <family val="2"/>
        <scheme val="minor"/>
      </rPr>
      <t xml:space="preserve"> Sources of rated lamp life include DEER, DLC, and other benchmarking.</t>
    </r>
  </si>
  <si>
    <r>
      <t>EISA Tier 2 requirements, weighted using HE program data</t>
    </r>
    <r>
      <rPr>
        <vertAlign val="superscript"/>
        <sz val="9.5"/>
        <rFont val="Calibri"/>
        <family val="2"/>
        <scheme val="minor"/>
      </rPr>
      <t>1</t>
    </r>
  </si>
  <si>
    <t>First Year Savings: Decorative LEDs, Single Baseline</t>
  </si>
  <si>
    <t>Lifetime Savings: Decorative LEDs, Single Baseline</t>
  </si>
  <si>
    <r>
      <t>2' Type A</t>
    </r>
    <r>
      <rPr>
        <b/>
        <vertAlign val="superscript"/>
        <sz val="10"/>
        <rFont val="Calibri"/>
        <family val="2"/>
      </rPr>
      <t>1</t>
    </r>
  </si>
  <si>
    <r>
      <t>3' Type A</t>
    </r>
    <r>
      <rPr>
        <b/>
        <vertAlign val="superscript"/>
        <sz val="10"/>
        <rFont val="Calibri"/>
        <family val="2"/>
      </rPr>
      <t>1</t>
    </r>
  </si>
  <si>
    <r>
      <t>4' Type A</t>
    </r>
    <r>
      <rPr>
        <b/>
        <vertAlign val="superscript"/>
        <sz val="10"/>
        <rFont val="Calibri"/>
        <family val="2"/>
      </rPr>
      <t>1</t>
    </r>
  </si>
  <si>
    <r>
      <t>8' Type A</t>
    </r>
    <r>
      <rPr>
        <b/>
        <vertAlign val="superscript"/>
        <sz val="10"/>
        <rFont val="Calibri"/>
        <family val="2"/>
      </rPr>
      <t>1</t>
    </r>
  </si>
  <si>
    <r>
      <rPr>
        <vertAlign val="superscript"/>
        <sz val="9"/>
        <rFont val="Calibri"/>
        <family val="2"/>
        <scheme val="minor"/>
      </rPr>
      <t>1</t>
    </r>
    <r>
      <rPr>
        <sz val="9"/>
        <rFont val="Calibri"/>
        <family val="2"/>
        <scheme val="minor"/>
      </rPr>
      <t xml:space="preserve"> Estimated useful life for Type A linear LED replacements was capped at the remaining useful life of the linear fixture/ballast rounded to the nearest year. This is done because Type A linear LEDs are installed on the existing fixture, use the existing ballast, and are thus limited by the remaining lifetime of the existing fixture. After the existing ballast reaches the end of its useful life, it is likely that the whole fixture is fully replaced with an LED troffer.</t>
    </r>
  </si>
  <si>
    <r>
      <t>T5 Type A</t>
    </r>
    <r>
      <rPr>
        <b/>
        <vertAlign val="superscript"/>
        <sz val="9.5"/>
        <rFont val="Calibri"/>
        <family val="2"/>
      </rPr>
      <t>1</t>
    </r>
  </si>
  <si>
    <r>
      <t>T5HO Type A</t>
    </r>
    <r>
      <rPr>
        <b/>
        <vertAlign val="superscript"/>
        <sz val="9.5"/>
        <rFont val="Calibri"/>
        <family val="2"/>
      </rPr>
      <t>1</t>
    </r>
  </si>
  <si>
    <r>
      <t>(2) X 2' 
Type A</t>
    </r>
    <r>
      <rPr>
        <b/>
        <vertAlign val="superscript"/>
        <sz val="9.5"/>
        <rFont val="Calibri"/>
        <family val="2"/>
      </rPr>
      <t>1</t>
    </r>
  </si>
  <si>
    <r>
      <t>(2) x U-Bend Type A</t>
    </r>
    <r>
      <rPr>
        <b/>
        <vertAlign val="superscript"/>
        <sz val="9.5"/>
        <rFont val="Calibri"/>
        <family val="2"/>
      </rPr>
      <t>1</t>
    </r>
  </si>
  <si>
    <t>Wisconsin Focus on Energy. 2023 Energy Technical Reference Manual. January 3, 2023.  &lt;https://assets.focusonenergy.com/production/inline-files/Focus_on_Energy_2023_TRM.pdf &gt;</t>
  </si>
  <si>
    <t>US Department of Energy, Energy Savings Potential of SSL in Horticulture Applications. December 2017. &lt;https://www.energy.gov/eere/ssl/articles/energy-savings-potential-ssl-horticultural-applications&gt;</t>
  </si>
  <si>
    <t>Resource Innovation Institute. Best Practices Guide Lighting for Controlled Environment Agriculture (CEA) Operations. March 2022. &lt;https://resourceinnovation.org/wp-content/uploads/2022/03/RII-Lighting-BPG-2022.pdf?utm_source=CE21&gt;</t>
  </si>
  <si>
    <t>New Jersey Board of Utilities. New Jersey 2023 Triennial Technical Reference Manual For 2024 Filings. 5/22/2023. &lt;https://njcepfiles.s3.amazonaws.com/QO23030150-+Tri2+EE1+%2B+EE2-+Order+Attch+C-+TRM.pdf&gt;</t>
  </si>
  <si>
    <t>Illinois Statewide Technical Reference Manual for Energy Efficiency, Version 12.0, Volume 2: Commercial and Industrial Measures, FINAL, 2023. &lt;https://icc.illinois.gov/api/web-management/documents/downloads/public/il-trm-12/IL-TRM-Version-12.0-Volumes-1-4-Compiled-Final.pdf&gt;</t>
  </si>
  <si>
    <t>DesignLights Consortium (DLC), Technical Requirements for LED-Based Horticulture Lighting Version 3.0. Effective date: March 31, 2023. &lt;https://www.designlights.org/dlc_hort-technical-requirements-v3-0_03312023/&gt;</t>
  </si>
  <si>
    <t>California Statewide Codes and Standards Enhancement (CASE) Program. 2025 California Energy Code. Controlled Environment Horticulture. Final CASE Report. Revised October 2023. &lt;https://title24stakeholders.com/wp-content/uploads/2023/10/Revised-Oct-2023-2025_T24_CASE-Report-CEH.pdf&gt;</t>
  </si>
  <si>
    <t>California Public Utilities Commission. Market-Based Industry Standard Practice (ISP) Study of Cannabis Grow Lighting. December 21, 2021. &lt;https://pda.energydataweb.com/api/downloads/2573/Market-Based%20ISP%20Study_Cannabis%20Lighting_Report_20211221.docx&gt;</t>
  </si>
  <si>
    <r>
      <t xml:space="preserve">AEG's </t>
    </r>
    <r>
      <rPr>
        <sz val="11"/>
        <color theme="1"/>
        <rFont val="Calibri"/>
        <family val="2"/>
        <scheme val="minor"/>
      </rPr>
      <t>2024 Analysis File named "PY24 TRM - Commercial Horticulture Lighting - Analysis File."</t>
    </r>
  </si>
  <si>
    <t>Enter quantity of energy-efficient LED horticulture lighting fixture</t>
  </si>
  <si>
    <r>
      <t xml:space="preserve">Enter wattage </t>
    </r>
    <r>
      <rPr>
        <sz val="11"/>
        <color theme="1"/>
        <rFont val="Calibri"/>
        <family val="2"/>
      </rPr>
      <t>of energy-efficient LED horticulture lighting fixture</t>
    </r>
  </si>
  <si>
    <t>µmol/s</t>
  </si>
  <si>
    <r>
      <t>Enter PPF</t>
    </r>
    <r>
      <rPr>
        <sz val="11"/>
        <color theme="1"/>
        <rFont val="Calibri"/>
        <family val="2"/>
      </rPr>
      <t xml:space="preserve"> of energy-efficient LED horticulture lighting fixture</t>
    </r>
  </si>
  <si>
    <r>
      <t>WHD</t>
    </r>
    <r>
      <rPr>
        <vertAlign val="subscript"/>
        <sz val="11"/>
        <rFont val="Calibri"/>
        <family val="2"/>
        <scheme val="minor"/>
      </rPr>
      <t>E</t>
    </r>
    <r>
      <rPr>
        <sz val="11"/>
        <rFont val="Calibri"/>
        <family val="2"/>
        <scheme val="minor"/>
      </rPr>
      <t>=</t>
    </r>
  </si>
  <si>
    <r>
      <t>WHD</t>
    </r>
    <r>
      <rPr>
        <vertAlign val="subscript"/>
        <sz val="11"/>
        <rFont val="Calibri"/>
        <family val="2"/>
        <scheme val="minor"/>
      </rPr>
      <t>D</t>
    </r>
    <r>
      <rPr>
        <sz val="11"/>
        <rFont val="Calibri"/>
        <family val="2"/>
        <scheme val="minor"/>
      </rPr>
      <t>=</t>
    </r>
  </si>
  <si>
    <r>
      <t>HRS</t>
    </r>
    <r>
      <rPr>
        <vertAlign val="subscript"/>
        <sz val="11"/>
        <rFont val="Calibri"/>
        <family val="2"/>
        <scheme val="minor"/>
      </rPr>
      <t>year</t>
    </r>
    <r>
      <rPr>
        <sz val="11"/>
        <rFont val="Calibri"/>
        <family val="2"/>
        <scheme val="minor"/>
      </rPr>
      <t xml:space="preserve"> =</t>
    </r>
  </si>
  <si>
    <r>
      <t>PPE</t>
    </r>
    <r>
      <rPr>
        <vertAlign val="subscript"/>
        <sz val="11"/>
        <rFont val="Calibri"/>
        <family val="2"/>
        <scheme val="minor"/>
      </rPr>
      <t>BL</t>
    </r>
    <r>
      <rPr>
        <sz val="11"/>
        <rFont val="Calibri"/>
        <family val="2"/>
        <scheme val="minor"/>
      </rPr>
      <t xml:space="preserve"> =</t>
    </r>
  </si>
  <si>
    <t>Cannabis - Propagation Stage</t>
  </si>
  <si>
    <t>Enter Crop Type and Stage</t>
  </si>
  <si>
    <t>Is Grow Space Cooled?</t>
  </si>
  <si>
    <t>Greenhouse</t>
  </si>
  <si>
    <t>Type of Non-Stack (Single Layer) Facility</t>
  </si>
  <si>
    <t>Source: 
Illinois Statewide Technical Reference Manual for Energy Efficiency, Version 12.0, Volume 2: Commercial and Industrial Measures, FINAL, 2023. &lt;https://icc.illinois.gov/api/web-management/documents/downloads/public/il-trm-12/IL-TRM-Version-12.0-Volumes-1-4-Compiled-Final.pdf&gt;</t>
  </si>
  <si>
    <t>Indoor grow facility or greenhouse without cooling</t>
  </si>
  <si>
    <t>Indoor grow facility or greenhouse with cooling</t>
  </si>
  <si>
    <r>
      <t>WHF</t>
    </r>
    <r>
      <rPr>
        <b/>
        <vertAlign val="subscript"/>
        <sz val="11"/>
        <color theme="1"/>
        <rFont val="Calibri"/>
        <family val="2"/>
        <scheme val="minor"/>
      </rPr>
      <t>E</t>
    </r>
  </si>
  <si>
    <r>
      <t>WHD</t>
    </r>
    <r>
      <rPr>
        <b/>
        <vertAlign val="subscript"/>
        <sz val="11"/>
        <color theme="1"/>
        <rFont val="Calibri"/>
        <family val="2"/>
        <scheme val="minor"/>
      </rPr>
      <t>D</t>
    </r>
  </si>
  <si>
    <t>Facility Type</t>
  </si>
  <si>
    <r>
      <t>Table  3. Interactive Cooling Effects, WHF</t>
    </r>
    <r>
      <rPr>
        <b/>
        <vertAlign val="subscript"/>
        <sz val="11"/>
        <rFont val="Calibri"/>
        <family val="2"/>
        <scheme val="minor"/>
      </rPr>
      <t>D</t>
    </r>
    <r>
      <rPr>
        <b/>
        <sz val="11"/>
        <rFont val="Calibri"/>
        <family val="2"/>
        <scheme val="minor"/>
      </rPr>
      <t xml:space="preserve"> and WHF</t>
    </r>
    <r>
      <rPr>
        <b/>
        <vertAlign val="subscript"/>
        <sz val="11"/>
        <rFont val="Calibri"/>
        <family val="2"/>
        <scheme val="minor"/>
      </rPr>
      <t>E</t>
    </r>
  </si>
  <si>
    <r>
      <rPr>
        <vertAlign val="superscript"/>
        <sz val="9"/>
        <rFont val="Calibri"/>
        <family val="2"/>
      </rPr>
      <t>5</t>
    </r>
    <r>
      <rPr>
        <sz val="9"/>
        <rFont val="Calibri"/>
        <family val="2"/>
      </rPr>
      <t xml:space="preserve"> AEG determined the annual hours of operation by multiplying daily operational hours by 350 days per year for cannabis, 340 days for leafy greens, and 355 days per year for tomatoes, assuming three downtime days between each harvest cycle.</t>
    </r>
  </si>
  <si>
    <r>
      <t xml:space="preserve">3 </t>
    </r>
    <r>
      <rPr>
        <sz val="9"/>
        <rFont val="Calibri"/>
        <family val="2"/>
      </rPr>
      <t>2024 Illinois Statewide Technical Reference Manual for Energy Efficiency, Version 12.0, Volume 2: Commercial and Industrial Measures, FINAL, 2023. &lt;https://icc.illinois.gov/api/web-management/documents/downloads/public/il-trm-12/IL-TRM-Version-12.0-Volumes-1-4-Compiled-Final.pdf</t>
    </r>
  </si>
  <si>
    <r>
      <rPr>
        <vertAlign val="superscript"/>
        <sz val="9"/>
        <rFont val="Calibri"/>
        <family val="2"/>
      </rPr>
      <t>2</t>
    </r>
    <r>
      <rPr>
        <sz val="9"/>
        <rFont val="Calibri"/>
        <family val="2"/>
      </rPr>
      <t xml:space="preserve"> California Public Utilities Commission. 2025 Title 24, Part 6 Final CASE Report - Controlled Environment Horticulture. Revised October 2023.  https://title24stakeholders.com/wp-content/uploads/2023/10/Revised-Oct-2023-2025_T24_CASE-Report-CEH.pdf</t>
    </r>
  </si>
  <si>
    <r>
      <rPr>
        <vertAlign val="superscript"/>
        <sz val="9"/>
        <rFont val="Calibri"/>
        <family val="2"/>
      </rPr>
      <t>1</t>
    </r>
    <r>
      <rPr>
        <sz val="9"/>
        <rFont val="Calibri"/>
        <family val="2"/>
      </rPr>
      <t xml:space="preserve"> AEG's analysis indicates cannabis, leafy greens, and vine crops are popular crops grown in non-stack, single-layer indoor growth facilities and greenhouses.</t>
    </r>
  </si>
  <si>
    <t>Vine Crops (e.g., tomatoes, peppers, cucumbers)</t>
  </si>
  <si>
    <t>Leafy Greens (e.g., lettuce, spinach, kale, chard, arugula, basil)</t>
  </si>
  <si>
    <t xml:space="preserve">Cannabis - Flowering Stage </t>
  </si>
  <si>
    <t xml:space="preserve">Cannabis - Vegetative Stage </t>
  </si>
  <si>
    <t>Indoor grow facility</t>
  </si>
  <si>
    <r>
      <t xml:space="preserve">Greenhouse </t>
    </r>
    <r>
      <rPr>
        <b/>
        <vertAlign val="superscript"/>
        <sz val="11"/>
        <color theme="1"/>
        <rFont val="Calibri"/>
        <family val="2"/>
        <scheme val="minor"/>
      </rPr>
      <t>4</t>
    </r>
  </si>
  <si>
    <r>
      <t xml:space="preserve">Indoor grow facility </t>
    </r>
    <r>
      <rPr>
        <b/>
        <vertAlign val="superscript"/>
        <sz val="11"/>
        <color theme="1"/>
        <rFont val="Calibri"/>
        <family val="2"/>
        <scheme val="minor"/>
      </rPr>
      <t>2,3</t>
    </r>
  </si>
  <si>
    <r>
      <t>Annual Hours of Operation (hrs)</t>
    </r>
    <r>
      <rPr>
        <b/>
        <vertAlign val="superscript"/>
        <sz val="11"/>
        <color theme="1"/>
        <rFont val="Calibri"/>
        <family val="2"/>
        <scheme val="minor"/>
      </rPr>
      <t>5</t>
    </r>
  </si>
  <si>
    <t>Daily Hours of Operation (hrs)</t>
  </si>
  <si>
    <r>
      <t>Harvests per Year</t>
    </r>
    <r>
      <rPr>
        <b/>
        <vertAlign val="superscript"/>
        <sz val="11"/>
        <rFont val="Calibri"/>
        <family val="2"/>
        <scheme val="minor"/>
      </rPr>
      <t>2</t>
    </r>
  </si>
  <si>
    <r>
      <t>Crop Type and Stage</t>
    </r>
    <r>
      <rPr>
        <b/>
        <vertAlign val="superscript"/>
        <sz val="11"/>
        <rFont val="Calibri"/>
        <family val="2"/>
        <scheme val="minor"/>
      </rPr>
      <t>1</t>
    </r>
  </si>
  <si>
    <r>
      <t>Table 2. Annual Hours of Horticulture Lighting Use, HRS</t>
    </r>
    <r>
      <rPr>
        <b/>
        <vertAlign val="subscript"/>
        <sz val="11"/>
        <rFont val="Calibri"/>
        <family val="2"/>
        <scheme val="minor"/>
      </rPr>
      <t>year</t>
    </r>
  </si>
  <si>
    <t>5. California Public Utilities Commission. Market-Based Industry Standard Practice (ISP) Study of Cannabis Grow Lighting. December 21, 2021. &lt;https://pda.energydataweb.com/api/downloads/2573/Market-Based%20ISP%20Study_Cannabis%20Lighting_Report_20211221.docx&gt;</t>
  </si>
  <si>
    <t>4. US Department of Energy, Energy Savings Potential of SSL in Horticulture Applications. December 2017. &lt;https://www.energy.gov/eere/ssl/articles/energy-savings-potential-ssl-horticultural-applications&gt;</t>
  </si>
  <si>
    <t>3. Resource Innovation Institute. Best Practices Guide Lighting for Controlled Environmental Agriculture (CEA) Operations. March 2022. &lt;https://resourceinnovation.org/wp-content/uploads/2022/03/RII-Lighting-BPG-2022.pdf?utm_source=CE21&gt;</t>
  </si>
  <si>
    <t>2. Erik Runkle. Lighting Greenhouse Vegetables. December 2021, www.GPNMAG.COM. &lt;https://www.canr.msu.edu/uploads/resources/pdfs/lightingvegetables.pdf&gt;</t>
  </si>
  <si>
    <t>1. 2024 Illinois Statewide Technical Reference Manual for Energy Efficiency, Version 12.0, Volume 2: Commercial and Industrial Measures, FINAL, 2023. &lt;https://icc.illinois.gov/api/web-management/documents/downloads/public/il-trm-12/IL-TRM-Version-12.0-Volumes-1-4-Compiled-Final.pdf&gt;</t>
  </si>
  <si>
    <t>400-1,100</t>
  </si>
  <si>
    <t>High-Pressure Sodium, Double-ended</t>
  </si>
  <si>
    <t>400-1,000</t>
  </si>
  <si>
    <t>Ceramic Metal Halide</t>
  </si>
  <si>
    <t>120-460</t>
  </si>
  <si>
    <t>T5HO Fixture</t>
  </si>
  <si>
    <t>Typical Baseline Wattage Range (W)</t>
  </si>
  <si>
    <r>
      <t>Baseline PPE (</t>
    </r>
    <r>
      <rPr>
        <b/>
        <sz val="11"/>
        <rFont val="Calibri"/>
        <family val="2"/>
      </rPr>
      <t>µ</t>
    </r>
    <r>
      <rPr>
        <b/>
        <sz val="11"/>
        <rFont val="Calibri"/>
        <family val="2"/>
        <scheme val="minor"/>
      </rPr>
      <t>mol/J)</t>
    </r>
  </si>
  <si>
    <t>Baseline Technology Type</t>
  </si>
  <si>
    <t>Primary Indoor Crop Practices</t>
  </si>
  <si>
    <t>Table 1. Baseline Horticulture Lighting Technology and PPE</t>
  </si>
  <si>
    <r>
      <rPr>
        <vertAlign val="superscript"/>
        <sz val="9"/>
        <color theme="1"/>
        <rFont val="Calibri"/>
        <family val="2"/>
        <scheme val="minor"/>
      </rPr>
      <t>5</t>
    </r>
    <r>
      <rPr>
        <sz val="9"/>
        <color theme="1"/>
        <rFont val="Calibri"/>
        <family val="2"/>
        <scheme val="minor"/>
      </rPr>
      <t xml:space="preserve"> AEG has assumed the daily supplemental lighting hours in greenhouses equal the difference between the required lighting hours in indoor grow facilities, which require 100% artificial lighting, and the natural lighting hours in greenhouses. </t>
    </r>
  </si>
  <si>
    <r>
      <rPr>
        <vertAlign val="superscript"/>
        <sz val="9"/>
        <color theme="1"/>
        <rFont val="Calibri"/>
        <family val="2"/>
        <scheme val="minor"/>
      </rPr>
      <t>4</t>
    </r>
    <r>
      <rPr>
        <sz val="9"/>
        <color theme="1"/>
        <rFont val="Calibri"/>
        <family val="2"/>
        <scheme val="minor"/>
      </rPr>
      <t xml:space="preserve"> California Public Utilities Commission. 2025 Title 24, Part 6 Final CASE Report - Controlled Environment Horticulture. Revised October 2023. &lt; https://title24stakeholders.com/wp-content/uploads/2023/10/Revised-Oct-2023-2025_T24_CASE-Report-CEH.pdf&gt;</t>
    </r>
  </si>
  <si>
    <r>
      <rPr>
        <vertAlign val="superscript"/>
        <sz val="9"/>
        <color theme="1"/>
        <rFont val="Calibri"/>
        <family val="2"/>
        <scheme val="minor"/>
      </rPr>
      <t>3</t>
    </r>
    <r>
      <rPr>
        <sz val="9"/>
        <color theme="1"/>
        <rFont val="Calibri"/>
        <family val="2"/>
        <scheme val="minor"/>
      </rPr>
      <t xml:space="preserve"> Hawaii sunsets range from around 5:45 pm in winter to 7:15 pm in summer. Hawaii's peak demand period is non-holiday weekdays from 5 pm to 9 pm. AEG has assumed supplemental horticulture lighting in greenhouses will primarily operate around sunrise and sunset, which coincides with evening peak demand period. Therefore, the CF equals 1 for both greenhouses and indoor grow facilities. </t>
    </r>
  </si>
  <si>
    <r>
      <rPr>
        <vertAlign val="superscript"/>
        <sz val="9"/>
        <color theme="1"/>
        <rFont val="Calibri"/>
        <family val="2"/>
        <scheme val="minor"/>
      </rPr>
      <t>2</t>
    </r>
    <r>
      <rPr>
        <sz val="9"/>
        <color theme="1"/>
        <rFont val="Calibri"/>
        <family val="2"/>
        <scheme val="minor"/>
      </rPr>
      <t xml:space="preserve"> 2024 Illinois Statewide Technical Reference Manual for Energy Efficiency, Version 12.0, Volume 2: Commercial and Industrial Measures, FINAL, 2023. &lt;https://icc.illinois.gov/api/web-management/documents/downloads/public/il-trm-12/IL-TRM-Version-12.0-Volumes-1-4-Compiled-Final.pdf&gt;</t>
    </r>
  </si>
  <si>
    <r>
      <rPr>
        <vertAlign val="superscript"/>
        <sz val="9"/>
        <color theme="1"/>
        <rFont val="Calibri"/>
        <family val="2"/>
        <scheme val="minor"/>
      </rPr>
      <t>1</t>
    </r>
    <r>
      <rPr>
        <sz val="9"/>
        <color theme="1"/>
        <rFont val="Calibri"/>
        <family val="2"/>
        <scheme val="minor"/>
      </rPr>
      <t xml:space="preserve"> DesignLights Consortium (DLC), Qualified Product List for Horticulture Lighting. HORT QPL.  &lt;https://qpl.designlights.org/qpl/horticulture&gt;</t>
    </r>
  </si>
  <si>
    <t>AEG's benchmarking of other states' and utilities' TRMs.</t>
  </si>
  <si>
    <t>Effective useful life of LED horticulture lighting</t>
  </si>
  <si>
    <r>
      <t>2024 IL TRM</t>
    </r>
    <r>
      <rPr>
        <vertAlign val="superscript"/>
        <sz val="10.5"/>
        <rFont val="Calibri"/>
        <family val="2"/>
        <scheme val="minor"/>
      </rPr>
      <t>2</t>
    </r>
  </si>
  <si>
    <r>
      <t>WHF</t>
    </r>
    <r>
      <rPr>
        <vertAlign val="subscript"/>
        <sz val="10.5"/>
        <rFont val="Calibri"/>
        <family val="2"/>
        <scheme val="minor"/>
      </rPr>
      <t>E</t>
    </r>
  </si>
  <si>
    <r>
      <t>2024 IL TRM</t>
    </r>
    <r>
      <rPr>
        <vertAlign val="superscript"/>
        <sz val="10.5"/>
        <rFont val="Calibri"/>
        <family val="2"/>
        <scheme val="minor"/>
      </rPr>
      <t>2</t>
    </r>
    <r>
      <rPr>
        <sz val="10.5"/>
        <rFont val="Calibri"/>
        <family val="2"/>
        <scheme val="minor"/>
      </rPr>
      <t>, CPUC</t>
    </r>
    <r>
      <rPr>
        <vertAlign val="superscript"/>
        <sz val="10.5"/>
        <rFont val="Calibri"/>
        <family val="2"/>
        <scheme val="minor"/>
      </rPr>
      <t>4</t>
    </r>
    <r>
      <rPr>
        <sz val="10.5"/>
        <rFont val="Calibri"/>
        <family val="2"/>
        <scheme val="minor"/>
      </rPr>
      <t>, and AEG analysis</t>
    </r>
    <r>
      <rPr>
        <vertAlign val="superscript"/>
        <sz val="10.5"/>
        <rFont val="Calibri"/>
        <family val="2"/>
        <scheme val="minor"/>
      </rPr>
      <t>5</t>
    </r>
  </si>
  <si>
    <t>Average hours of use of horticulture lighting per year</t>
  </si>
  <si>
    <r>
      <t>HRS</t>
    </r>
    <r>
      <rPr>
        <vertAlign val="subscript"/>
        <sz val="10.5"/>
        <rFont val="Calibri"/>
        <family val="2"/>
        <scheme val="minor"/>
      </rPr>
      <t>year</t>
    </r>
  </si>
  <si>
    <t xml:space="preserve">User input </t>
  </si>
  <si>
    <t>Quantity of the efficient LED fixtures</t>
  </si>
  <si>
    <r>
      <t>Qty</t>
    </r>
    <r>
      <rPr>
        <vertAlign val="subscript"/>
        <sz val="10.5"/>
        <rFont val="Calibri"/>
        <family val="2"/>
        <scheme val="minor"/>
      </rPr>
      <t>i</t>
    </r>
  </si>
  <si>
    <r>
      <t>DLC HORT QPL</t>
    </r>
    <r>
      <rPr>
        <vertAlign val="superscript"/>
        <sz val="10.5"/>
        <rFont val="Calibri"/>
        <family val="2"/>
        <scheme val="minor"/>
      </rPr>
      <t>1</t>
    </r>
  </si>
  <si>
    <t>Wattage of the efficient LED fixture</t>
  </si>
  <si>
    <r>
      <t>WHF</t>
    </r>
    <r>
      <rPr>
        <vertAlign val="subscript"/>
        <sz val="10.5"/>
        <rFont val="Calibri"/>
        <family val="2"/>
        <scheme val="minor"/>
      </rPr>
      <t>D</t>
    </r>
  </si>
  <si>
    <r>
      <t>2024 IL TRM</t>
    </r>
    <r>
      <rPr>
        <vertAlign val="superscript"/>
        <sz val="10.5"/>
        <rFont val="Calibri"/>
        <family val="2"/>
        <scheme val="minor"/>
      </rPr>
      <t>2</t>
    </r>
    <r>
      <rPr>
        <sz val="10.5"/>
        <rFont val="Calibri"/>
        <family val="2"/>
        <scheme val="minor"/>
      </rPr>
      <t xml:space="preserve"> and AEG analysis</t>
    </r>
    <r>
      <rPr>
        <vertAlign val="superscript"/>
        <sz val="10.5"/>
        <rFont val="Calibri"/>
        <family val="2"/>
        <scheme val="minor"/>
      </rPr>
      <t>3</t>
    </r>
  </si>
  <si>
    <r>
      <t>2024 IL TRM</t>
    </r>
    <r>
      <rPr>
        <vertAlign val="superscript"/>
        <sz val="10.5"/>
        <rFont val="Calibri"/>
        <family val="2"/>
        <scheme val="minor"/>
      </rPr>
      <t>2</t>
    </r>
    <r>
      <rPr>
        <sz val="10.5"/>
        <rFont val="Calibri"/>
        <family val="2"/>
        <scheme val="minor"/>
      </rPr>
      <t xml:space="preserve"> </t>
    </r>
  </si>
  <si>
    <t>µmol/J</t>
  </si>
  <si>
    <r>
      <t>Photosynthetic Photon Efficacy (PPE) of the baseline fixture for a specific growth phase, i</t>
    </r>
    <r>
      <rPr>
        <sz val="10.5"/>
        <rFont val="Calibri"/>
        <family val="2"/>
      </rPr>
      <t>.</t>
    </r>
    <r>
      <rPr>
        <sz val="10.5"/>
        <rFont val="Calibri"/>
        <family val="2"/>
        <scheme val="minor"/>
      </rPr>
      <t xml:space="preserve"> </t>
    </r>
  </si>
  <si>
    <r>
      <t>PPE</t>
    </r>
    <r>
      <rPr>
        <vertAlign val="subscript"/>
        <sz val="10.5"/>
        <rFont val="Calibri"/>
        <family val="2"/>
        <scheme val="minor"/>
      </rPr>
      <t>BL,i</t>
    </r>
  </si>
  <si>
    <r>
      <t>DLC QPL</t>
    </r>
    <r>
      <rPr>
        <vertAlign val="superscript"/>
        <sz val="10.5"/>
        <rFont val="Calibri"/>
        <family val="2"/>
        <scheme val="minor"/>
      </rPr>
      <t>1</t>
    </r>
  </si>
  <si>
    <t>Photosynthetic Photon Flux (PPF) output of the efficient LED fixture for a specific growth phase, i.</t>
  </si>
  <si>
    <r>
      <t>PPF</t>
    </r>
    <r>
      <rPr>
        <vertAlign val="subscript"/>
        <sz val="10.5"/>
        <rFont val="Calibri"/>
        <family val="2"/>
        <scheme val="minor"/>
      </rPr>
      <t>EE,i</t>
    </r>
  </si>
  <si>
    <t xml:space="preserve"> Annual Energy Savings, kWh/yr (PPF Equivalence Method)</t>
  </si>
  <si>
    <t xml:space="preserve"> Peak Demand Reduction, kW</t>
  </si>
  <si>
    <t xml:space="preserve">The high-efficiency equipment is LED fixtures that meet the DLC technical requirement of a PPE of no less than 2.3 µmole/J. </t>
  </si>
  <si>
    <r>
      <t>The baseline equipment includes T5 High Out</t>
    </r>
    <r>
      <rPr>
        <sz val="11"/>
        <color theme="1"/>
        <rFont val="Calibri"/>
        <family val="2"/>
        <scheme val="minor"/>
      </rPr>
      <t xml:space="preserve">put (T5HO), ceramic metal halides (CMH), and high-pressure sodium (HPS) lamps and fixtures, depending on the crop and the growing stage. Only non-stack, single-layer applications in indoor grow facilities and greenhouses are eligible. Vertical (stacked with multiple layers) applications must use a custom project approach. </t>
    </r>
  </si>
  <si>
    <t>One light fixture or lamp.</t>
  </si>
  <si>
    <t>Horticultural LED lighting products must be listed on the DesignLights Consortium (DLC) Horticultural Lighting Qualified Products List (Horticultural QPL, Hort QPL). Products eligible for DLC qualification must be UL listed, have a power factor of least 0.90, a photosynthetic photon efficacy (PPE) of no less than 2.3 µmole/J,  a minimum rated lifetime of 50,000 hours, and a minimum warranty of 5 years. They must be electromagnetic radiation-generating devices analogous to luminaires (or fixtures) or LED lamps (integrated or non-integrated) as defined by ANSI/IES LS-1-22.</t>
  </si>
  <si>
    <t>The increasing demand for locally produced and organic food combined with the legalization of cannabis is fueling the growth of controlled environment agriculture (CEA). Several horticulture customers have recently approached Hawai'i Energy regarding incentives for energy efficiency measures. As such, Hawai'i Energy is interested in offering rebates for energy-efficient horticulture lighting measures. The horticulture lighting measure applies to non-stack, single-layer indoor grow facilities and greenhouses. Horticultural lighting provides 100% artificial lighting for the required plant growth in indoor grow facilities. In greenhouses, horticulture lighting supplements natural sunlight.</t>
  </si>
  <si>
    <r>
      <t xml:space="preserve">This new measure was added in </t>
    </r>
    <r>
      <rPr>
        <sz val="11"/>
        <color theme="1"/>
        <rFont val="Calibri"/>
        <family val="2"/>
        <scheme val="minor"/>
      </rPr>
      <t xml:space="preserve">Winter 2023-2024 for the PY24 TRM V1. </t>
    </r>
  </si>
  <si>
    <t>COMMERCIAL: Horticulture Lighting</t>
  </si>
  <si>
    <r>
      <rPr>
        <vertAlign val="superscript"/>
        <sz val="9"/>
        <rFont val="Calibri"/>
        <family val="2"/>
      </rPr>
      <t>4</t>
    </r>
    <r>
      <rPr>
        <sz val="9"/>
        <rFont val="Calibri"/>
        <family val="2"/>
      </rPr>
      <t xml:space="preserve"> Hawaii's sunrise ranges from about 5:45 am in summer to about 7 am in winter, while Hawaii's sunsets range from around 5:45 pm in winter to 7:15 pm in summer. AEG has assumed that natural daylight is 8 hours in greenhouses in Hawaii, which requires supplementing with artificial lighting to achieve the necessary photoperiod for plant growth.</t>
    </r>
  </si>
  <si>
    <t>Horticulture Lighting</t>
  </si>
  <si>
    <t>AEG 2024 Analysis</t>
  </si>
  <si>
    <t xml:space="preserve">Updated in Winter 2023-2024 for the PY24 TRM. Reinstate/reevaluate the full load efficiency requirement for split-system and single-package air-cooled AC and air-source heat pump systems by PY25.
</t>
  </si>
  <si>
    <t>Eligible VRF equipment must meet or exceed the federal code for VRF multi-split AC or heat pump systems or exceed ASHRAE minimum efficiencies by 10% or more, as applicable for the given system type.</t>
  </si>
  <si>
    <t>The following VRF projects require a custom approach:</t>
  </si>
  <si>
    <t>Water-source VRF HP systems with capacities ≥ 135,000 Btu/h in total</t>
  </si>
  <si>
    <t>Water-source VRF systems replacing air-cooled AC or air-source HP systems</t>
  </si>
  <si>
    <t>Air-cooled VRF systems replacing water-source HP systems</t>
  </si>
  <si>
    <t>Installations in industrial and cold storage applications</t>
  </si>
  <si>
    <t>The baseline assumes the customer would install the minimum efficiency (non-VRF) split/package AC/HP system without the program since VRF systems are such a new technology.</t>
  </si>
  <si>
    <t xml:space="preserve">Water-source HP systems do not have state, federal, or ASHRAE minimum SEER (or IEER) requirements. The baseline SEER (or IEER) values were set equal to the baseline EER requirements in the calculation worksheet to calculate energy savings. </t>
  </si>
  <si>
    <t xml:space="preserve">The semi-prescriptive savings approach presented here assumes replace-on-burnout (ROB). Early retirement (ER) projects require a custom dual baseline approach: use the pre-existing equipment for the 1st ER baseline; use ASHRAE 90.1-2019 and current state requirements for the 2nd ER baseline. Documentation that shows the pre-existing equipment was operating and had a meaningful remaining useful life before replacement is required to be eligible for a custom ER savings approach. 
</t>
  </si>
  <si>
    <t>Residential-scale high-efficiency equipment must meet or exceed 15.2 SEER2. VRF systems must meet or exceed the federal code for VRFs. All other eligible high-efficiency equipment must exceed baseline minimum efficiencies by 10% or more, as applicable for the given system type. An additional tier (20% above baseline) has also been included for this measure.</t>
  </si>
  <si>
    <t xml:space="preserve">Water-source heat pumps do not have state, federal, or ASHRAE minimum SEER (or IEER) requirements. Therefore, the high efficiency SEER (or IEER) values are equal to the high efficiency EER requirements in the calculation worksheet.
</t>
  </si>
  <si>
    <t>See Table 1 in C_HVAC_VRF_WKST</t>
  </si>
  <si>
    <t xml:space="preserve">AEG's PY24 Analysis File named "PY24 TRM - Commercial HVAC VRF - Analysis file." </t>
  </si>
  <si>
    <r>
      <t>Inverter-driven direct expansion AC and heat pump systems that use variable flow distributed refrigerant technology for cooling and heating can more closely match the AC system's output with the building's cooling requirements. These systems consist of</t>
    </r>
    <r>
      <rPr>
        <strike/>
        <sz val="11"/>
        <rFont val="Calibri"/>
        <family val="2"/>
        <scheme val="minor"/>
      </rPr>
      <t>:</t>
    </r>
    <r>
      <rPr>
        <sz val="11"/>
        <rFont val="Calibri"/>
        <family val="2"/>
        <scheme val="minor"/>
      </rPr>
      <t xml:space="preserve"> an outdoor unit with a single variable speed compressor or multiple staged compressors capable of varying system capacity and distributing refrigerant through a piping network, indoor evaporator units with variable speed fans designed for single zone air distribution, and zonal temperature controls. Variable refrigerant flow (VRF) implies three or more steps of control on standard, interconnecting piping.</t>
    </r>
  </si>
  <si>
    <t>The baseline equipment meets the current federal and state requirements and ASHRAE 90.1-2019 standards as of January 1, 2023. Split-system and single-package air-cooled AC and air-source HP systems with capacities &lt; 65,000 Btu/h have minimum SEER2 requirements. Split-system and single-package air-cooled AC and air-source HP systems with capacities ≥ 65,000 Btu/h have minimum IEER requirements. Water-source HP systems have minimum EER requirements.</t>
  </si>
  <si>
    <r>
      <t xml:space="preserve">There are no program requirements for full-load efficiency (EER2 or EER) through PY24 for split-system and single-package air-cooled AC and air-source HP systems; this is a temporary notable exception since there is currently limited availability of HVAC systems of this type in Hawaii that exceed the baseline full-load efficiency requirements by 10% for Tier 1 (or 20% for Tier 2). </t>
    </r>
    <r>
      <rPr>
        <b/>
        <sz val="11"/>
        <rFont val="Calibri"/>
        <family val="2"/>
        <scheme val="minor"/>
      </rPr>
      <t>The full-load efficiency requirements will be reinstated/reevaluated by PY25.</t>
    </r>
  </si>
  <si>
    <t>AEG's PY19 Analysis File named "AEG HPUC Update - Ductless Systems - Analysis File," and the PY20 files named "AEG HPUC C_HVAC_VRF AC &amp; HP - Analysis File," and "AEG HPUC - HVAC Measures - Analysis File_Jan 2021."</t>
  </si>
  <si>
    <t>Update equation to refer to correct EUL cell in new TRM</t>
  </si>
  <si>
    <t>Not included for VRF measure (rows hidden in Tables 1-3)</t>
  </si>
  <si>
    <t>Table 1: Minimum Baseline Efficiencies; Assumes non-VRF Baseline</t>
  </si>
  <si>
    <t xml:space="preserve"> Rows in grey do not apply to VRF. </t>
  </si>
  <si>
    <t>Table 2: Minimum Qualifying Efficiencies - Tier 1 (Baseline + 10%)</t>
  </si>
  <si>
    <t xml:space="preserve"> Rows in grey do not apply to VRF</t>
  </si>
  <si>
    <t>Table 3: Minimum Qualifying Efficiencies - Tier 2 (Tier 1 + 10%)</t>
  </si>
  <si>
    <r>
      <t xml:space="preserve">≥ 7,000 and </t>
    </r>
    <r>
      <rPr>
        <strike/>
        <sz val="11"/>
        <rFont val="Calibri"/>
        <family val="2"/>
      </rPr>
      <t>≤</t>
    </r>
    <r>
      <rPr>
        <strike/>
        <sz val="11"/>
        <rFont val="Calibri"/>
        <family val="2"/>
        <scheme val="minor"/>
      </rPr>
      <t xml:space="preserve"> 15,000 Btu/h</t>
    </r>
  </si>
  <si>
    <r>
      <rPr>
        <strike/>
        <sz val="11"/>
        <rFont val="Calibri"/>
        <family val="2"/>
      </rPr>
      <t>≥</t>
    </r>
    <r>
      <rPr>
        <strike/>
        <sz val="11"/>
        <rFont val="Calibri"/>
        <family val="2"/>
        <scheme val="minor"/>
      </rPr>
      <t xml:space="preserve"> 65,000 and &lt; 240,000 Btu/h</t>
    </r>
  </si>
  <si>
    <t>Updated in Winter 2023-2024 for the PY24 TRM V1. This update removes the early replacement (dual baseline) option and adds a sunset date of December 31, 2024, for the replace on burnout (single baseline) option. It also updates the median lumen and energy efficiency values for the Energy Star LED downlight retrofit.</t>
  </si>
  <si>
    <t>The purchase and installation of an ENERGY STAR LED Downlight Retrofit for commercial buildings to replace a non-LED (incandescent, halogen, or CFL) downlight with comparable light output (measured in lumens).</t>
  </si>
  <si>
    <t xml:space="preserve">The baseline wattage for the CFL downlight lamp assumes a luminous efficacy of 45 lm/W, consistent with other GSL measures. This measure has a sunset date of December 31, 2024, because LED downlight lamps will effectively become the baseline on January 1, 2025, with the CFL ban. </t>
  </si>
  <si>
    <t>The high efficiency case is an LED Downlight Retrofit certified to meet ENERGY STAR Version 2.2 specifications.</t>
  </si>
  <si>
    <t>Assumes 815 lumens and 74 lm/W [3], rounded to nearest Watt.</t>
  </si>
  <si>
    <t xml:space="preserve">1. The median value of Total Light Output for ENERGY STAR Downlight Solid State Retrofit products is 815 lumens. Source: ENERGY STAR Product Finder, https://www.energystar.gov/productfinder/product/certified-light-fixtures/results, accessed Jan. 19, 2024. </t>
  </si>
  <si>
    <t>3. The median value of luminous efficacy for ENERGY STAR Downlight Solid State Retrofit products is 74 lm/W. Source: ENERGY STAR Product Finder, https://www.energystar.gov/productfinder/product/certified-light-fixtures/results, accessed Jan. 19, 2024.</t>
  </si>
  <si>
    <t>6. The median value of Light Source Life for ENERGY STAR Downlight Solid State Retrofit products is 50,000 hours. Source: ENERGY STAR Product Finder, https://www.energystar.gov/productfinder/product/certified-light-fixtures/results, accessed Jan. 19, 2024.</t>
  </si>
  <si>
    <t>Deemed Savings</t>
  </si>
  <si>
    <t>Semi-Prescriptive Savings Calculator (based on user input of actual light output in lumens)</t>
  </si>
  <si>
    <t>AEG's 2024 Analysis Files named "PY24 - TRM Commercial LED Downlight Retrofit - Analysis File."</t>
  </si>
  <si>
    <t>ENERGY STAR Product Finder, https://www.energystar.gov/productfinder/product/certified-light-fixtures/results, accessed Jan. 19, 2024. Fixture Type: Downlight Solid State Retrofit.</t>
  </si>
  <si>
    <t xml:space="preserve">This measure applies to the BEEM and BHTR programs. It only applies to replacing incandescent, halogen, and CFL bulbs. The downlight retrofit must be an ENERGY STAR-certified product. When the baseline lamp is a metal halide or high-pressure sodium lamp, the Commercial HID Replacement measure within the Commercial General lighting sheet of the TRM is used to estimate savings. This measure has a sunset date of December 31, 2024. </t>
  </si>
  <si>
    <t>Assumes 815 lumens [1] and 45 lm/W [2], rounded to nearest Watt.</t>
  </si>
  <si>
    <r>
      <t>Calculated by dividing rated lamp life of 50,000 hour [6] by HOU</t>
    </r>
    <r>
      <rPr>
        <vertAlign val="subscript"/>
        <sz val="10.5"/>
        <rFont val="Calibri"/>
        <family val="2"/>
        <scheme val="minor"/>
      </rPr>
      <t>year</t>
    </r>
    <r>
      <rPr>
        <sz val="10.5"/>
        <rFont val="Calibri"/>
        <family val="2"/>
        <scheme val="minor"/>
      </rPr>
      <t xml:space="preserve"> and setting upper bound EUL = 25 yr.</t>
    </r>
  </si>
  <si>
    <t>AEG's 2022 Analysis Files named "PY22 TRM Commercial LED Downlight Retrofit - Analysis File" and "Mid-year PY22 TRM - LED Downlight Retrofit - Analysis File."</t>
  </si>
  <si>
    <t>COMMERCIAL: Distribution Transformer</t>
  </si>
  <si>
    <t xml:space="preserve">Added in Winter 2023-2024 for the PY24 TRM. </t>
  </si>
  <si>
    <t>The replacement of a distribution transformer manufactured and installed prior to 2007 with a higher efficiency unit that meets or exceeds DOE 2016 efficiency standards. The savings presented here are for no-load conditions.</t>
  </si>
  <si>
    <r>
      <rPr>
        <sz val="11"/>
        <color theme="1"/>
        <rFont val="Calibri"/>
        <family val="2"/>
      </rPr>
      <t>• This measure applies to s</t>
    </r>
    <r>
      <rPr>
        <sz val="11"/>
        <color theme="1"/>
        <rFont val="Calibri"/>
        <family val="2"/>
        <scheme val="minor"/>
      </rPr>
      <t>ingle-phase and three-phase low-voltage distribution transformers in commercial building applications.</t>
    </r>
  </si>
  <si>
    <r>
      <rPr>
        <sz val="11"/>
        <color theme="1"/>
        <rFont val="Calibri"/>
        <family val="2"/>
      </rPr>
      <t>• The n</t>
    </r>
    <r>
      <rPr>
        <sz val="11"/>
        <color theme="1"/>
        <rFont val="Calibri"/>
        <family val="2"/>
        <scheme val="minor"/>
      </rPr>
      <t>ew transformer must meet or exceed DOE 2016 efficiency standards per 10 CFR 431.196.</t>
    </r>
  </si>
  <si>
    <r>
      <rPr>
        <sz val="11"/>
        <rFont val="Calibri"/>
        <family val="2"/>
      </rPr>
      <t>• The pre-e</t>
    </r>
    <r>
      <rPr>
        <sz val="11"/>
        <rFont val="Calibri"/>
        <family val="2"/>
        <scheme val="minor"/>
      </rPr>
      <t>xisting transformer must be manufactured/installed prior to 2007. If age of transformer is not available nor attainable, another proxy may be acceptable; for example, the age of the building which it services, if reasonable.</t>
    </r>
  </si>
  <si>
    <r>
      <rPr>
        <sz val="11"/>
        <color theme="1"/>
        <rFont val="Calibri"/>
        <family val="2"/>
      </rPr>
      <t xml:space="preserve">• </t>
    </r>
    <r>
      <rPr>
        <sz val="11"/>
        <color theme="1"/>
        <rFont val="Calibri"/>
        <family val="2"/>
        <scheme val="minor"/>
      </rPr>
      <t>Except for the case of new construction, the new transformer must serve the same load as the pre-existing transformer.</t>
    </r>
  </si>
  <si>
    <r>
      <rPr>
        <sz val="11"/>
        <color theme="1"/>
        <rFont val="Calibri"/>
        <family val="2"/>
      </rPr>
      <t xml:space="preserve">• </t>
    </r>
    <r>
      <rPr>
        <sz val="11"/>
        <color theme="1"/>
        <rFont val="Calibri"/>
        <family val="2"/>
        <scheme val="minor"/>
      </rPr>
      <t>The semi-prescriptive approach presented here does not apply for the following transformer projects. However, these types of projects may qualify under the Custom Incentive Program.</t>
    </r>
  </si>
  <si>
    <r>
      <t>•</t>
    </r>
    <r>
      <rPr>
        <sz val="12.1"/>
        <color theme="1"/>
        <rFont val="Calibri"/>
        <family val="2"/>
      </rPr>
      <t xml:space="preserve"> </t>
    </r>
    <r>
      <rPr>
        <sz val="11"/>
        <color theme="1"/>
        <rFont val="Calibri"/>
        <family val="2"/>
      </rPr>
      <t>Replacement of transformers that are 1000 kVA and above.</t>
    </r>
  </si>
  <si>
    <t>• Replacement of transformers installed after 2007 (on a case-by-case basis).</t>
  </si>
  <si>
    <t>• Analysis of savings under loaded conditions.</t>
  </si>
  <si>
    <t>• Projects where the new transformer will serve a load that is &gt;10% higher than the load served by the pre-existing transformer.</t>
  </si>
  <si>
    <t xml:space="preserve">In cases where the loading on the pre-existing transformer is unknown for a given project, an EUL of 30 years is used when determining eligibility for early retirement. The EUL of 30 years is consistent with the average EUL found in a literature review of other TRMs and distribution transformer guidance documents. </t>
  </si>
  <si>
    <t>A single baseline approach is used for projects designated as end-of-life or for projects where the RUL is greater than 25 years. For end-of-life projects, the single baseline is a transformer that meets current minimum federal standards (DOE2016, 10 CFR 431.196). An end-of-life single baseline approach should be applied in the following cases:</t>
  </si>
  <si>
    <t>For projects where the RUL is greater than 25 years, a single baseline also applies for lifetime savings calculations since Hawai'i Energy's maximum measure life is 25 years. For these projects, the baseline is the pre-existing transformer for the full measure life of 25 years, and the second baseline does not enter into the lifetime savings calculation.</t>
  </si>
  <si>
    <t>Transformer Losses, kW (No-load Conditions)</t>
  </si>
  <si>
    <t>and</t>
  </si>
  <si>
    <t>Transformer Losses, kWh (No-load Conditions)</t>
  </si>
  <si>
    <t>Cooling System Demand Savings, kW</t>
  </si>
  <si>
    <t>Cooling System Energy Savings, kWh</t>
  </si>
  <si>
    <t>Dual Baseline Lifetime Energy Savings, kWh</t>
  </si>
  <si>
    <t>Single Baseline Lifetime Energy Savings, kWh</t>
  </si>
  <si>
    <t>Baseline transformer's losses under no-load losses conditions</t>
  </si>
  <si>
    <t>See Tables 1 and 2 in the C_Other_Transformer_WKST</t>
  </si>
  <si>
    <t xml:space="preserve">Varies with applicable baseline approach (refer to Baseline Equipment section above). For dual baseline analysis: a) the first baseline must meet or exceed minimum Pre-TP1 standards (Table 1 in worksheet), and b) the second baseline is defined as meeting current minimum federal standards (Table 2 in worksheet). For single baseline analysis, the baseline is defined as meeting current minimum federal standards (Table 2 in worksheet). </t>
  </si>
  <si>
    <t>Energy efficient transformer's losses under no-load losses conditions</t>
  </si>
  <si>
    <t>Transformer hours of operation</t>
  </si>
  <si>
    <t>Transformer operates all the time, whether loaded or unloaded.</t>
  </si>
  <si>
    <t>CSP</t>
  </si>
  <si>
    <t>Space cooling system performance</t>
  </si>
  <si>
    <t xml:space="preserve">Only applies to actively cooled transformer rooms. It is used to calculate the cooling required to offset the transformer losses. Many systems require 1.75 kW per ton of cooling.  Very efficient systems may be as low as 0.5 kW per ton. Typical value is 0.75 kW/ton. </t>
  </si>
  <si>
    <t>1 ton of cooling = 12,000 Btu/hr = 3.52 kW.</t>
  </si>
  <si>
    <t>Equivalent full load hours of the space cooling system</t>
  </si>
  <si>
    <t>See Table 3 in the C_Other_Transformer_WKST</t>
  </si>
  <si>
    <t>Coincidence factor of the distribution transformer</t>
  </si>
  <si>
    <t>Coincidence factor of the space cooling system</t>
  </si>
  <si>
    <t>Remaining useful life of the pre-existing transformer</t>
  </si>
  <si>
    <t xml:space="preserve">Calculated based on transformer's age and average loading conditions. </t>
  </si>
  <si>
    <t>Effective useful life</t>
  </si>
  <si>
    <t>30 or 50</t>
  </si>
  <si>
    <t>Depends on transformer's average loading conditions. EUL = 50 for &gt;0% and ≤35% loading and EUL = 30 for &gt;35% loading (or if loading is unknown).</t>
  </si>
  <si>
    <r>
      <t>ML</t>
    </r>
    <r>
      <rPr>
        <vertAlign val="subscript"/>
        <sz val="10.5"/>
        <color theme="1"/>
        <rFont val="Calibri"/>
        <family val="2"/>
        <scheme val="minor"/>
      </rPr>
      <t>max</t>
    </r>
  </si>
  <si>
    <t>Maximum measure life</t>
  </si>
  <si>
    <t>Hawai'i Energy limits the measure life of any measure to 25 years to match the period of the TRB calculation.</t>
  </si>
  <si>
    <t>See the accompanying Transformer worksheet:</t>
  </si>
  <si>
    <t>C_Other_Transformer_WKST</t>
  </si>
  <si>
    <t>AEG's analysis file named "PY24 TRM - Commercial Transformer - Analysis File."</t>
  </si>
  <si>
    <t>Energy Efficiency &amp; Renewable Energy Office (EERE): Technical Support Document: Energy Efficiency Program for Consumer Products &amp; Commercial &amp; Industrial Equipment, Distribution Transformers, 2013.</t>
  </si>
  <si>
    <t>Oak Ridge National Laboratory, Determination Analysis of Energy Conservation Standards for Distribution Transformers, ORNL-6847, Oak Ridge, TN, 1996, https://www.osti.gov/servlets/purl/405744.</t>
  </si>
  <si>
    <t>State of Hawaii EM&amp;V: Early Guidance on Transformer Measure Baseline Determination, Memorandum, Prepared by Michael Daukoru and Kelly Parmenter, AEG, Prepared for Ramsey Brown and Keith Block, Hawai'i Energy, Sep. 24, 2018. See also related spreadsheet named "Literature Review of Transformers in TRMs (for Memo)."</t>
  </si>
  <si>
    <t>A dual baseline approach is used for transformer projects that qualify for early retirement. The first baseline is the pre-existing transformer. The second baseline is a transformer that meets current minimum federal standards (DOE2016, 10 CFR 431.196). Early retirement eligibility is defined as follows:</t>
  </si>
  <si>
    <r>
      <t xml:space="preserve">In cases where the average and peak loading conditions are known and well documented for a given project, the EUL will be dependent on the loading characteristics and condition of the pre-existing transformer. For this semi-prescriptive measure, an EUL of 50 years is used for transformers with an average loading of &gt;0% and </t>
    </r>
    <r>
      <rPr>
        <sz val="11"/>
        <rFont val="Calibri"/>
        <family val="2"/>
      </rPr>
      <t>≤</t>
    </r>
    <r>
      <rPr>
        <sz val="11"/>
        <rFont val="Calibri"/>
        <family val="2"/>
        <scheme val="minor"/>
      </rPr>
      <t xml:space="preserve">35% and an EUL of 30 years is used for transformers with an average loading of &gt;35%. </t>
    </r>
  </si>
  <si>
    <r>
      <t xml:space="preserve">Dual baseline approach: Transformer that </t>
    </r>
    <r>
      <rPr>
        <u/>
        <sz val="11"/>
        <rFont val="Calibri"/>
        <family val="2"/>
        <scheme val="minor"/>
      </rPr>
      <t>meets or exceeds</t>
    </r>
    <r>
      <rPr>
        <sz val="11"/>
        <rFont val="Calibri"/>
        <family val="2"/>
        <scheme val="minor"/>
      </rPr>
      <t xml:space="preserve"> current minimum federal standards (DOE2016, 10 CFR 431.196).</t>
    </r>
  </si>
  <si>
    <r>
      <t xml:space="preserve">Single baseline approach: Transformer that </t>
    </r>
    <r>
      <rPr>
        <u/>
        <sz val="11"/>
        <rFont val="Calibri"/>
        <family val="2"/>
        <scheme val="minor"/>
      </rPr>
      <t>exceeds</t>
    </r>
    <r>
      <rPr>
        <sz val="11"/>
        <rFont val="Calibri"/>
        <family val="2"/>
        <scheme val="minor"/>
      </rPr>
      <t xml:space="preserve"> current minimum federal standards (DOE2016, 10 CFR 431.196).</t>
    </r>
  </si>
  <si>
    <r>
      <t>W</t>
    </r>
    <r>
      <rPr>
        <vertAlign val="subscript"/>
        <sz val="10.5"/>
        <rFont val="Calibri"/>
        <family val="2"/>
        <scheme val="minor"/>
      </rPr>
      <t>BL</t>
    </r>
  </si>
  <si>
    <r>
      <t>W</t>
    </r>
    <r>
      <rPr>
        <vertAlign val="subscript"/>
        <sz val="10.5"/>
        <rFont val="Calibri"/>
        <family val="2"/>
        <scheme val="minor"/>
      </rPr>
      <t>EE</t>
    </r>
  </si>
  <si>
    <r>
      <t xml:space="preserve">Varies with transformer product, size, and applicable baseline approach. Must </t>
    </r>
    <r>
      <rPr>
        <u/>
        <sz val="10.5"/>
        <rFont val="Calibri"/>
        <family val="2"/>
        <scheme val="minor"/>
      </rPr>
      <t>meet or exceed</t>
    </r>
    <r>
      <rPr>
        <sz val="10.5"/>
        <rFont val="Calibri"/>
        <family val="2"/>
        <scheme val="minor"/>
      </rPr>
      <t xml:space="preserve"> current minimum federal standards (10 CFR 431.196) for dual baseline analysis and must </t>
    </r>
    <r>
      <rPr>
        <u/>
        <sz val="10.5"/>
        <rFont val="Calibri"/>
        <family val="2"/>
        <scheme val="minor"/>
      </rPr>
      <t>exceed</t>
    </r>
    <r>
      <rPr>
        <sz val="10.5"/>
        <rFont val="Calibri"/>
        <family val="2"/>
        <scheme val="minor"/>
      </rPr>
      <t xml:space="preserve"> minimum federal standards for single baseline analysis.</t>
    </r>
  </si>
  <si>
    <r>
      <t>HRS</t>
    </r>
    <r>
      <rPr>
        <vertAlign val="subscript"/>
        <sz val="10.5"/>
        <rFont val="Calibri"/>
        <family val="2"/>
        <scheme val="minor"/>
      </rPr>
      <t>DT</t>
    </r>
  </si>
  <si>
    <r>
      <t>EFLH</t>
    </r>
    <r>
      <rPr>
        <vertAlign val="subscript"/>
        <sz val="10.5"/>
        <rFont val="Calibri"/>
        <family val="2"/>
        <scheme val="minor"/>
      </rPr>
      <t>AC</t>
    </r>
  </si>
  <si>
    <r>
      <t>CF</t>
    </r>
    <r>
      <rPr>
        <vertAlign val="subscript"/>
        <sz val="10.5"/>
        <rFont val="Calibri"/>
        <family val="2"/>
        <scheme val="minor"/>
      </rPr>
      <t>DT</t>
    </r>
  </si>
  <si>
    <r>
      <t>CF</t>
    </r>
    <r>
      <rPr>
        <vertAlign val="subscript"/>
        <sz val="10.5"/>
        <rFont val="Calibri"/>
        <family val="2"/>
        <scheme val="minor"/>
      </rPr>
      <t>AC</t>
    </r>
  </si>
  <si>
    <t>Variable (Maximum of 25)</t>
  </si>
  <si>
    <t>Transformer Worksheet *(New)*</t>
  </si>
  <si>
    <t>COMMERCIAL: Transformer Savings Calculator</t>
  </si>
  <si>
    <t>Step 1: Select the Facility Type:</t>
  </si>
  <si>
    <t>Facility Type:</t>
  </si>
  <si>
    <t>Transformer Hours of Operation:</t>
  </si>
  <si>
    <t>Transformer CF:</t>
  </si>
  <si>
    <t>Measure Life:</t>
  </si>
  <si>
    <t>EFLHs of Cooling:</t>
  </si>
  <si>
    <t>Cooling CF:</t>
  </si>
  <si>
    <t>· If age of transformer is unavailable or unattainable, another proxy may be acceptable; for example, use the age of the building which it services, if reasonable.</t>
  </si>
  <si>
    <t>· The "Average Loading Percentage" column should only be used when the loading conditions are known and well documented for a given project.</t>
  </si>
  <si>
    <t xml:space="preserve">· The semi-prescriptive approach is limited to 1000 kVA transformers. Transformers &gt; 1000 kVA (3-Phase) will use a custom approach. </t>
  </si>
  <si>
    <t xml:space="preserve">· For the semi-prescriptive approach, the pre-existing transformer must be manufactured/installed prior to 2007. </t>
  </si>
  <si>
    <t>Step 2: Fill in the green cells in the table below with information for one or more transformers.</t>
  </si>
  <si>
    <t>Step 3: Select whether to use user input baseline values or reference values (reference by default)</t>
  </si>
  <si>
    <t>Size (kVA)</t>
  </si>
  <si>
    <t>Qty</t>
  </si>
  <si>
    <t>Baseline Equipment Manufacture Year</t>
  </si>
  <si>
    <t>Average Loading Percentage</t>
  </si>
  <si>
    <t>Age (Years)</t>
  </si>
  <si>
    <t>RUL (Years)</t>
  </si>
  <si>
    <t>Replacement Event</t>
  </si>
  <si>
    <t>2nd Baseline Transformer</t>
  </si>
  <si>
    <t>Replacement Transformer</t>
  </si>
  <si>
    <t>Cooling Load Impact</t>
  </si>
  <si>
    <t>Lifetime Energy Savings 
(kWh)</t>
  </si>
  <si>
    <t>TRB Calculation</t>
  </si>
  <si>
    <t>No Load Losses (Watts) 
User Input*</t>
  </si>
  <si>
    <t>No Load Losses (Watts) Reference</t>
  </si>
  <si>
    <t>Annual Losses (kWh)</t>
  </si>
  <si>
    <t>No Load Losses (Watts)</t>
  </si>
  <si>
    <t xml:space="preserve">Actively-cooled Transformer Room </t>
  </si>
  <si>
    <t>Cooling System Performance (kW/ton)</t>
  </si>
  <si>
    <t>1st BL Cooling Load Reduction (kW)</t>
  </si>
  <si>
    <t>1st BL Cooling kWh Reduction (kWh)</t>
  </si>
  <si>
    <t>2nd BL Cooling Load Reduction (kW)</t>
  </si>
  <si>
    <t>2nd BL Cooling kWh Reduction (kWh)</t>
  </si>
  <si>
    <t>1st Baseline</t>
  </si>
  <si>
    <t>2nd Baseline</t>
  </si>
  <si>
    <t>(Hidden dropdowns)</t>
  </si>
  <si>
    <t>Total:</t>
  </si>
  <si>
    <t>*This is optional in the case more accurate baseline values are known</t>
  </si>
  <si>
    <t>Table 1. Pre-TP1 No-Load Losses</t>
  </si>
  <si>
    <t>Table 2. DOE2016 No-Load Losses</t>
  </si>
  <si>
    <t>Table 3. HVAC EFLH and CF Values</t>
  </si>
  <si>
    <t>Table 4. Event Type</t>
  </si>
  <si>
    <t>Table 5. EUL</t>
  </si>
  <si>
    <t>Pre-TP1</t>
  </si>
  <si>
    <t>DOE2016</t>
  </si>
  <si>
    <t>HVAC EFLH and CF</t>
  </si>
  <si>
    <t>Event Type</t>
  </si>
  <si>
    <t>Reminder to link EFLHs and CFs to TRM's EFLH &amp; CF Sheet</t>
  </si>
  <si>
    <t>kVA</t>
  </si>
  <si>
    <t>No-Load Losses (W)</t>
  </si>
  <si>
    <t>Retrofit</t>
  </si>
  <si>
    <t>End of Life</t>
  </si>
  <si>
    <t>Removed the tables related to incentives and special offerings</t>
  </si>
  <si>
    <t>Removed the efficiency tables (not used)</t>
  </si>
  <si>
    <t>Removed the TP-1 No-Load Losses table (not used)</t>
  </si>
  <si>
    <r>
      <rPr>
        <sz val="11"/>
        <rFont val="Calibri"/>
        <family val="2"/>
        <scheme val="minor"/>
      </rPr>
      <t xml:space="preserve">The </t>
    </r>
    <r>
      <rPr>
        <sz val="11"/>
        <color rgb="FF0070C0"/>
        <rFont val="Calibri"/>
        <family val="2"/>
        <scheme val="minor"/>
      </rPr>
      <t>blue</t>
    </r>
    <r>
      <rPr>
        <sz val="11"/>
        <rFont val="Calibri"/>
        <family val="2"/>
        <scheme val="minor"/>
      </rPr>
      <t xml:space="preserve"> entries are examples only.</t>
    </r>
  </si>
  <si>
    <t>1st Baseline Transformer</t>
  </si>
  <si>
    <t>In PY17, Hawai‘i Energy moved some formerly prescriptive projects to the custom category, mainly for the reason that these projects occur infrequently.  These include Residential New Construction and Heat Pump Water Heater-to-Heat Pump Water Heater upgrades.  Below is a list and description of a selection of custom measures.  Due to the nature of our custom program, this list is not intended to be comprehensive.</t>
  </si>
  <si>
    <t>EXAMPLES OF CUSTOM MEASURES</t>
  </si>
  <si>
    <t>Ductless Systems</t>
  </si>
  <si>
    <t>Distribution Transformers</t>
  </si>
  <si>
    <t xml:space="preserve">As a guideline, the following distribution transformer projects should be evaluated as custom projects: </t>
  </si>
  <si>
    <t>VFDs</t>
  </si>
  <si>
    <t>Replacement of transformers that are 1000 kVA and above.</t>
  </si>
  <si>
    <t>Replacement of transformers installed after 2007 (on a case-by-case basis).</t>
  </si>
  <si>
    <t>Analysis of savings under loaded conditions.</t>
  </si>
  <si>
    <t>Projects where the new transformer will serve a load that is &gt;10% higher than the load served by the pre-existing transformer.</t>
  </si>
  <si>
    <t>Updated in Winter 2023-2024 for the PY24 TRM V1. The update consisted of revising the language for custom distribution transformer projects.</t>
  </si>
  <si>
    <t>Updated in Winter 2023-2024 for the PY24 TRM. This update applies the federal standard for dedicated-purpose pool pumps, effective June 19, 2021. It also applies the most recent Energy STAR 3.1 specifications for dedicated-purpose pool pumps.</t>
  </si>
  <si>
    <t>This measure involves replacing a single-speed or dual-speed pool filter pump with a variable-speed pump of equivalent horsepower. This measure only applies to self-priming pool filter pumps, typically used with permanent, in-ground pools in multi-family and commercial buildings (there is a separate measure for single-family residential settings). Non-self-priming pool filter pumps, typically used with rigid, above-ground pools, are not applicable.</t>
  </si>
  <si>
    <t xml:space="preserve">Qualifying pumps are variable speed pumps with built-in controllers or purchased and installed as a pair. </t>
  </si>
  <si>
    <t>The installed variable-speed self-priming pool filter pump's rated Weighted Energy Factor (WEF) must meet or exceed the ENERGY STAR specifications. Any high-speed override capability should be temporary, not to exceed one 24-hour cycle without reverting to default settings.</t>
  </si>
  <si>
    <t xml:space="preserve">A pool pump greater than 4 hp may be handled as a custom measure. </t>
  </si>
  <si>
    <t xml:space="preserve">The high efficiency equipment is an ENERGY STAR-certified variable-speed self-priming pool filter pump. </t>
  </si>
  <si>
    <t xml:space="preserve">The sunset date for this measure is September 29, 2025, for pool pumps greater or equal to 1.15 but less than 5 total horsepower (THP). </t>
  </si>
  <si>
    <t xml:space="preserve">The sunset date for this measure is September 28, 2027, for pool pumps greater or equal to 0.5 but less than 1.15 total horsepower (THP). </t>
  </si>
  <si>
    <t>AEG's 2024 Analysis File titled "PY24 TRM - Commercial Variable Frequency Drive (VFD) Pool Pump - Analysis File."</t>
  </si>
  <si>
    <t>Code of Federal Regulation, Title 10, Subchapter D. Part 431. Subpart Z. § 431.465. Available online at: https://www.ecfr.gov/current/title-10/chapter-II/subchapter-D/part-431/subpart-Y/section-431.465.</t>
  </si>
  <si>
    <t>Code of Federal Regulation, Title 10, Subchapter D. Part 431. Subpart Z. § 431.485 Available online at: https://www.ecfr.gov/current/title-10/chapter-II/subchapter-D/part-431/subpart-Z/section-431.485.</t>
  </si>
  <si>
    <r>
      <t>AEG derived the values from the Regional Technical Forum's (RTF) original analysis in the unit energy savings measure workbook for Efficient Pool Pumps but only included pool pumps meeting the federal code requirements.</t>
    </r>
    <r>
      <rPr>
        <vertAlign val="superscript"/>
        <sz val="10.5"/>
        <rFont val="Calibri"/>
        <family val="2"/>
        <scheme val="minor"/>
      </rPr>
      <t>1</t>
    </r>
    <r>
      <rPr>
        <sz val="10.5"/>
        <rFont val="Calibri"/>
        <family val="2"/>
        <scheme val="minor"/>
      </rPr>
      <t xml:space="preserve"> </t>
    </r>
  </si>
  <si>
    <r>
      <t>AEG derived the values from the RTF's original analysis in the unit energy savings measure workbook for Efficient Pool Pumps but only included pool pumps meeting the Energy Star requirements.</t>
    </r>
    <r>
      <rPr>
        <vertAlign val="superscript"/>
        <sz val="10.5"/>
        <rFont val="Calibri"/>
        <family val="2"/>
        <scheme val="minor"/>
      </rPr>
      <t>2</t>
    </r>
    <r>
      <rPr>
        <sz val="10.5"/>
        <rFont val="Calibri"/>
        <family val="2"/>
        <scheme val="minor"/>
      </rPr>
      <t xml:space="preserve"> </t>
    </r>
  </si>
  <si>
    <r>
      <t>AEG derived the values from the RTF's original analysis in the unit energy savings measure workbook for Efficient Pool Pumps but only included pool pumps meeting the federal code requirements.</t>
    </r>
    <r>
      <rPr>
        <vertAlign val="superscript"/>
        <sz val="10.5"/>
        <rFont val="Calibri"/>
        <family val="2"/>
        <scheme val="minor"/>
      </rPr>
      <t>1</t>
    </r>
    <r>
      <rPr>
        <sz val="10.5"/>
        <rFont val="Calibri"/>
        <family val="2"/>
        <scheme val="minor"/>
      </rPr>
      <t xml:space="preserve"> </t>
    </r>
  </si>
  <si>
    <r>
      <rPr>
        <vertAlign val="superscript"/>
        <sz val="10"/>
        <rFont val="Calibri"/>
        <family val="2"/>
        <scheme val="minor"/>
      </rPr>
      <t>1</t>
    </r>
    <r>
      <rPr>
        <sz val="10"/>
        <rFont val="Calibri"/>
        <family val="2"/>
        <scheme val="minor"/>
      </rPr>
      <t xml:space="preserve"> Federal Code. Title 10, Subchapter D. Part 431. Subpart Z. § 431.465. Accessible at: https://www.ecfr.gov/current/title-10/chapter-II/subchapter-D/part-431/subpart-Y/section-431.465.</t>
    </r>
  </si>
  <si>
    <r>
      <rPr>
        <vertAlign val="superscript"/>
        <sz val="10"/>
        <rFont val="Calibri"/>
        <family val="2"/>
        <scheme val="minor"/>
      </rPr>
      <t>2</t>
    </r>
    <r>
      <rPr>
        <sz val="10"/>
        <rFont val="Calibri"/>
        <family val="2"/>
        <scheme val="minor"/>
      </rPr>
      <t xml:space="preserve"> ENERGY STAR Program Requirements Product Specification for Pool Pumps  Version 3.1. Accessible at: https://www.energystar.gov/sites/default/files/asset/document/ENERGY%20STAR%20Version%203.1%20Pool%20Pumps%20Final%20Specification.pdf.</t>
    </r>
  </si>
  <si>
    <t>Updated in Winter 2023-2024 for the PY24 TRM. The updates included adding eGRID 2022 emission data to the Greenhouse Gas (GHG) Calculator, revising the list of measures requiring a dual baseline approach, and indicating that the applicable avoided costs for PY24 are in Table 5.</t>
  </si>
  <si>
    <t>C_Other_Transformer</t>
  </si>
  <si>
    <t>1. U.S. Environmental Protection Agency, Emissions &amp; Generation Resource Integrated Database (eGRID), Summary Data, Table 3. State Output Emission Rates (eGRID2022), Data for State of Hawaii, January 30, 2024, https://www.epa.gov/system/files/documents/2024-01/egrid2022_summary_tables.pdf.</t>
  </si>
  <si>
    <t>2. The Emissions &amp; Generation Resource Integrated Database, eGRID Technical Guide with Year 2022 Data, U.S. Environmental Protection Agency, January 2024, https://www.epa.gov/system/files/documents/2024-01/egrid2022_technical_guide.pdf.</t>
  </si>
  <si>
    <r>
      <t>MT/MWh</t>
    </r>
    <r>
      <rPr>
        <b/>
        <vertAlign val="superscript"/>
        <sz val="11"/>
        <rFont val="Calibri"/>
        <family val="2"/>
        <scheme val="minor"/>
      </rPr>
      <t xml:space="preserve"> i</t>
    </r>
  </si>
  <si>
    <r>
      <t>CO</t>
    </r>
    <r>
      <rPr>
        <vertAlign val="subscript"/>
        <sz val="11"/>
        <rFont val="Calibri"/>
        <family val="2"/>
        <scheme val="minor"/>
      </rPr>
      <t>2</t>
    </r>
  </si>
  <si>
    <r>
      <t>CH</t>
    </r>
    <r>
      <rPr>
        <vertAlign val="subscript"/>
        <sz val="11"/>
        <rFont val="Calibri"/>
        <family val="2"/>
        <scheme val="minor"/>
      </rPr>
      <t>4</t>
    </r>
  </si>
  <si>
    <r>
      <t>N</t>
    </r>
    <r>
      <rPr>
        <vertAlign val="subscript"/>
        <sz val="11"/>
        <rFont val="Calibri"/>
        <family val="2"/>
        <scheme val="minor"/>
      </rPr>
      <t>2</t>
    </r>
    <r>
      <rPr>
        <sz val="11"/>
        <rFont val="Calibri"/>
        <family val="2"/>
        <scheme val="minor"/>
      </rPr>
      <t>O</t>
    </r>
  </si>
  <si>
    <r>
      <t>CO</t>
    </r>
    <r>
      <rPr>
        <vertAlign val="subscript"/>
        <sz val="11"/>
        <rFont val="Calibri"/>
        <family val="2"/>
        <scheme val="minor"/>
      </rPr>
      <t>2</t>
    </r>
    <r>
      <rPr>
        <sz val="11"/>
        <rFont val="Calibri"/>
        <family val="2"/>
        <scheme val="minor"/>
      </rPr>
      <t xml:space="preserve">e </t>
    </r>
    <r>
      <rPr>
        <vertAlign val="superscript"/>
        <sz val="11"/>
        <rFont val="Calibri"/>
        <family val="2"/>
        <scheme val="minor"/>
      </rPr>
      <t>ii</t>
    </r>
  </si>
  <si>
    <r>
      <t>Annual NO</t>
    </r>
    <r>
      <rPr>
        <vertAlign val="subscript"/>
        <sz val="11"/>
        <rFont val="Calibri"/>
        <family val="2"/>
        <scheme val="minor"/>
      </rPr>
      <t>x</t>
    </r>
  </si>
  <si>
    <r>
      <t>Ozone Season NO</t>
    </r>
    <r>
      <rPr>
        <vertAlign val="subscript"/>
        <sz val="11"/>
        <rFont val="Calibri"/>
        <family val="2"/>
        <scheme val="minor"/>
      </rPr>
      <t>x</t>
    </r>
  </si>
  <si>
    <r>
      <t>SO</t>
    </r>
    <r>
      <rPr>
        <vertAlign val="subscript"/>
        <sz val="11"/>
        <rFont val="Calibri"/>
        <family val="2"/>
        <scheme val="minor"/>
      </rPr>
      <t>2</t>
    </r>
  </si>
  <si>
    <r>
      <rPr>
        <vertAlign val="superscript"/>
        <sz val="9"/>
        <rFont val="Calibri"/>
        <family val="2"/>
        <scheme val="minor"/>
      </rPr>
      <t xml:space="preserve">i </t>
    </r>
    <r>
      <rPr>
        <sz val="9"/>
        <rFont val="Calibri"/>
        <family val="2"/>
        <scheme val="minor"/>
      </rPr>
      <t>To convert between lbs and metric tons (MT) use this factor: 2,204.62 lbs/MT.</t>
    </r>
  </si>
  <si>
    <r>
      <rPr>
        <vertAlign val="superscript"/>
        <sz val="9"/>
        <rFont val="Calibri"/>
        <family val="2"/>
        <scheme val="minor"/>
      </rPr>
      <t>ii</t>
    </r>
    <r>
      <rPr>
        <sz val="9"/>
        <rFont val="Calibri"/>
        <family val="2"/>
        <scheme val="minor"/>
      </rPr>
      <t xml:space="preserve"> The CO</t>
    </r>
    <r>
      <rPr>
        <vertAlign val="subscript"/>
        <sz val="9"/>
        <rFont val="Calibri"/>
        <family val="2"/>
        <scheme val="minor"/>
      </rPr>
      <t>2</t>
    </r>
    <r>
      <rPr>
        <sz val="9"/>
        <rFont val="Calibri"/>
        <family val="2"/>
        <scheme val="minor"/>
      </rPr>
      <t>e metric represents equivalent CO</t>
    </r>
    <r>
      <rPr>
        <vertAlign val="subscript"/>
        <sz val="9"/>
        <rFont val="Calibri"/>
        <family val="2"/>
        <scheme val="minor"/>
      </rPr>
      <t>2</t>
    </r>
    <r>
      <rPr>
        <sz val="9"/>
        <rFont val="Calibri"/>
        <family val="2"/>
        <scheme val="minor"/>
      </rPr>
      <t xml:space="preserve"> emissions from CO</t>
    </r>
    <r>
      <rPr>
        <vertAlign val="subscript"/>
        <sz val="9"/>
        <rFont val="Calibri"/>
        <family val="2"/>
        <scheme val="minor"/>
      </rPr>
      <t>2</t>
    </r>
    <r>
      <rPr>
        <sz val="9"/>
        <rFont val="Calibri"/>
        <family val="2"/>
        <scheme val="minor"/>
      </rPr>
      <t>, CH</t>
    </r>
    <r>
      <rPr>
        <vertAlign val="subscript"/>
        <sz val="9"/>
        <rFont val="Calibri"/>
        <family val="2"/>
        <scheme val="minor"/>
      </rPr>
      <t>4</t>
    </r>
    <r>
      <rPr>
        <sz val="9"/>
        <rFont val="Calibri"/>
        <family val="2"/>
        <scheme val="minor"/>
      </rPr>
      <t>, and N</t>
    </r>
    <r>
      <rPr>
        <vertAlign val="subscript"/>
        <sz val="9"/>
        <rFont val="Calibri"/>
        <family val="2"/>
        <scheme val="minor"/>
      </rPr>
      <t>2</t>
    </r>
    <r>
      <rPr>
        <sz val="9"/>
        <rFont val="Calibri"/>
        <family val="2"/>
        <scheme val="minor"/>
      </rPr>
      <t>O emissions. The CH</t>
    </r>
    <r>
      <rPr>
        <vertAlign val="subscript"/>
        <sz val="9"/>
        <rFont val="Calibri"/>
        <family val="2"/>
        <scheme val="minor"/>
      </rPr>
      <t>4</t>
    </r>
    <r>
      <rPr>
        <sz val="9"/>
        <rFont val="Calibri"/>
        <family val="2"/>
        <scheme val="minor"/>
      </rPr>
      <t xml:space="preserve"> and N</t>
    </r>
    <r>
      <rPr>
        <vertAlign val="subscript"/>
        <sz val="9"/>
        <rFont val="Calibri"/>
        <family val="2"/>
        <scheme val="minor"/>
      </rPr>
      <t>2</t>
    </r>
    <r>
      <rPr>
        <sz val="9"/>
        <rFont val="Calibri"/>
        <family val="2"/>
        <scheme val="minor"/>
      </rPr>
      <t>O emissions are converted to equivalent CO</t>
    </r>
    <r>
      <rPr>
        <vertAlign val="subscript"/>
        <sz val="9"/>
        <rFont val="Calibri"/>
        <family val="2"/>
        <scheme val="minor"/>
      </rPr>
      <t>2</t>
    </r>
    <r>
      <rPr>
        <sz val="9"/>
        <rFont val="Calibri"/>
        <family val="2"/>
        <scheme val="minor"/>
      </rPr>
      <t xml:space="preserve"> emissions using 100-year global warming potential (GWP) factors that account for the higher GWP of CH</t>
    </r>
    <r>
      <rPr>
        <vertAlign val="subscript"/>
        <sz val="9"/>
        <rFont val="Calibri"/>
        <family val="2"/>
        <scheme val="minor"/>
      </rPr>
      <t>4</t>
    </r>
    <r>
      <rPr>
        <sz val="9"/>
        <rFont val="Calibri"/>
        <family val="2"/>
        <scheme val="minor"/>
      </rPr>
      <t xml:space="preserve"> and N</t>
    </r>
    <r>
      <rPr>
        <vertAlign val="subscript"/>
        <sz val="9"/>
        <rFont val="Calibri"/>
        <family val="2"/>
        <scheme val="minor"/>
      </rPr>
      <t>2</t>
    </r>
    <r>
      <rPr>
        <sz val="9"/>
        <rFont val="Calibri"/>
        <family val="2"/>
        <scheme val="minor"/>
      </rPr>
      <t>O relative to CO</t>
    </r>
    <r>
      <rPr>
        <vertAlign val="subscript"/>
        <sz val="9"/>
        <rFont val="Calibri"/>
        <family val="2"/>
        <scheme val="minor"/>
      </rPr>
      <t>2</t>
    </r>
    <r>
      <rPr>
        <sz val="9"/>
        <rFont val="Calibri"/>
        <family val="2"/>
        <scheme val="minor"/>
      </rPr>
      <t>. The U.S. EPA periodically updates the 100-year GWP values and the corresponding conversion factors as the Intergovernmental Panel on Climate Change (IPCC) releases new data. For the eGRID 2022 CO</t>
    </r>
    <r>
      <rPr>
        <vertAlign val="subscript"/>
        <sz val="9"/>
        <rFont val="Calibri"/>
        <family val="2"/>
        <scheme val="minor"/>
      </rPr>
      <t>2</t>
    </r>
    <r>
      <rPr>
        <sz val="9"/>
        <rFont val="Calibri"/>
        <family val="2"/>
        <scheme val="minor"/>
      </rPr>
      <t>e calculations, the EPA uses GWP values from the Fourth IPCC Assessment and assumes CH</t>
    </r>
    <r>
      <rPr>
        <vertAlign val="subscript"/>
        <sz val="9"/>
        <rFont val="Calibri"/>
        <family val="2"/>
        <scheme val="minor"/>
      </rPr>
      <t>4</t>
    </r>
    <r>
      <rPr>
        <sz val="9"/>
        <rFont val="Calibri"/>
        <family val="2"/>
        <scheme val="minor"/>
      </rPr>
      <t xml:space="preserve"> has a GWP of 25 times that of CO</t>
    </r>
    <r>
      <rPr>
        <vertAlign val="subscript"/>
        <sz val="9"/>
        <rFont val="Calibri"/>
        <family val="2"/>
        <scheme val="minor"/>
      </rPr>
      <t>2</t>
    </r>
    <r>
      <rPr>
        <sz val="9"/>
        <rFont val="Calibri"/>
        <family val="2"/>
        <scheme val="minor"/>
      </rPr>
      <t xml:space="preserve"> over 100 years and N</t>
    </r>
    <r>
      <rPr>
        <vertAlign val="subscript"/>
        <sz val="9"/>
        <rFont val="Calibri"/>
        <family val="2"/>
        <scheme val="minor"/>
      </rPr>
      <t>2</t>
    </r>
    <r>
      <rPr>
        <sz val="9"/>
        <rFont val="Calibri"/>
        <family val="2"/>
        <scheme val="minor"/>
      </rPr>
      <t>O has a GWP of 298 times that of CO</t>
    </r>
    <r>
      <rPr>
        <vertAlign val="subscript"/>
        <sz val="9"/>
        <rFont val="Calibri"/>
        <family val="2"/>
        <scheme val="minor"/>
      </rPr>
      <t>2</t>
    </r>
    <r>
      <rPr>
        <sz val="9"/>
        <rFont val="Calibri"/>
        <family val="2"/>
        <scheme val="minor"/>
      </rPr>
      <t xml:space="preserve"> for a 100-year timescale.</t>
    </r>
  </si>
  <si>
    <t>Updated in Fall-Winter 2024 for the PY24 TRM. The update added the capability to input the new heat pump water heater's actual Uniform Energy Factor (UEF) rather than use the default UEF value to calculate savings. It also updated the default UEF values with the most recent ENERGY STAR specifications, effective April 18, 2023.</t>
  </si>
  <si>
    <t>Replacement of an Electric Storage Water Heater with an ENERGY STAR-certified Heat Pump Water Heater for residential use.</t>
  </si>
  <si>
    <t xml:space="preserve">The retailers provide rebate applications for water heaters at the time of purchase, or a customer can visit Hawai'i Energy's website and download the form. Rebate applications must include an original purchase receipt showing the brand and model number. The heat pump water heater must be ENERGY STAR certified, 50 up to 82 gallons. </t>
  </si>
  <si>
    <t xml:space="preserve">Baseline equipment is an Electric Storage Water Heater that meets current Federal standards, which were effective April 16, 2015. </t>
  </si>
  <si>
    <t>To qualify for this measure the installed equipment must be an ENERGY STAR certified heat pump water heater. ENERGY STAR qualifying equipment must reach the requirements outlined below in Table 1.</t>
  </si>
  <si>
    <t>Uniform Energy Factor of the Heat Pump Water Heaters</t>
  </si>
  <si>
    <t>Actual or Table 2</t>
  </si>
  <si>
    <t>Table 2 values based on ENERGY STAR Product Finder (Jan 2024) and Program requirements of 50-82 gallons &lt;https://www.energystar.gov/productfinder/product/certified-water-heaters/results&gt;.</t>
  </si>
  <si>
    <t>Actual or Table 3 (default = 3.16)</t>
  </si>
  <si>
    <t>See Table 4 (default = 75)</t>
  </si>
  <si>
    <t>See Table 4 (default = 3,564)</t>
  </si>
  <si>
    <t>See Table 4 (default = 0.53)</t>
  </si>
  <si>
    <t>ENERGY STAR Version 5.0 Requirements, Effective April 18, 2023</t>
  </si>
  <si>
    <t>UL 174 and UL 1995 or UL 60335-2-40</t>
  </si>
  <si>
    <t>Partners may report the ambient temperature above which the compressor cuts off and electric resistance only operation begins</t>
  </si>
  <si>
    <t xml:space="preserve">Source: ENERGY STAR Program Requirements, Product Specification for Residential Water Heaters, V5.0, &lt;https://www.energystar.gov/sites/default/files/asset/document/ENERGY%20STAR%20Residential%20Water%20Heaters%20Version%205.0%20Specification%20and%20Partner%20Commitments.pdf&gt;. </t>
  </si>
  <si>
    <t>Table 2. Average UEF of Heat Pump Water Heaters</t>
  </si>
  <si>
    <t>Type of Heat Pump Water Heater</t>
  </si>
  <si>
    <t xml:space="preserve"> Heat Pump Water Heater, 50 ≤  x ≤ 55 gal storage tank</t>
  </si>
  <si>
    <t>Heat Pump Water Heater, 55 &lt; x ≤ 82 gal storage tank</t>
  </si>
  <si>
    <t>Source:  ENERGY STAR Product Finder (Jan 2024): &lt;https://www.energystar.gov/productfinder/product/certified-water-heaters/results&gt;</t>
  </si>
  <si>
    <t>Table 3. Average Occupancy in Homes</t>
  </si>
  <si>
    <t>Enter Rated Storage Volume in gallons for the New Heat Pump Water Heater (default of 50 gal)</t>
  </si>
  <si>
    <r>
      <t>UEF</t>
    </r>
    <r>
      <rPr>
        <vertAlign val="subscript"/>
        <sz val="11"/>
        <color theme="1"/>
        <rFont val="Calibri"/>
        <family val="2"/>
        <scheme val="minor"/>
      </rPr>
      <t xml:space="preserve">base </t>
    </r>
    <r>
      <rPr>
        <sz val="11"/>
        <color theme="1"/>
        <rFont val="Calibri"/>
        <family val="2"/>
        <scheme val="minor"/>
      </rPr>
      <t>=</t>
    </r>
  </si>
  <si>
    <t>Enter UEF for Heat Pump Water Heater (default of 3.60 for  ≤ 55 gal storage tank and 3.62 for &gt; 55 gal storage tank)</t>
  </si>
  <si>
    <t>AEG's 2024 Analysis Files titled "PY24 TRM - Residential Heat Pump Water Heater - Analysis File."</t>
  </si>
  <si>
    <r>
      <t>UEF</t>
    </r>
    <r>
      <rPr>
        <vertAlign val="subscript"/>
        <sz val="10.5"/>
        <rFont val="Calibri"/>
        <family val="2"/>
        <scheme val="minor"/>
      </rPr>
      <t>base</t>
    </r>
  </si>
  <si>
    <r>
      <t>Uniform Energy Factor</t>
    </r>
    <r>
      <rPr>
        <vertAlign val="superscript"/>
        <sz val="10.5"/>
        <rFont val="Calibri"/>
        <family val="2"/>
        <scheme val="minor"/>
      </rPr>
      <t>1</t>
    </r>
    <r>
      <rPr>
        <sz val="10.5"/>
        <rFont val="Calibri"/>
        <family val="2"/>
        <scheme val="minor"/>
      </rPr>
      <t xml:space="preserve"> of the baseline</t>
    </r>
  </si>
  <si>
    <r>
      <t>UEF</t>
    </r>
    <r>
      <rPr>
        <vertAlign val="subscript"/>
        <sz val="10.5"/>
        <rFont val="Calibri"/>
        <family val="2"/>
        <scheme val="minor"/>
      </rPr>
      <t>Eff</t>
    </r>
    <r>
      <rPr>
        <sz val="10.5"/>
        <rFont val="Calibri"/>
        <family val="2"/>
        <scheme val="minor"/>
      </rPr>
      <t xml:space="preserve"> </t>
    </r>
  </si>
  <si>
    <r>
      <t>GPD</t>
    </r>
    <r>
      <rPr>
        <vertAlign val="subscript"/>
        <sz val="10.5"/>
        <rFont val="Calibri"/>
        <family val="2"/>
        <scheme val="minor"/>
      </rPr>
      <t>Occ</t>
    </r>
  </si>
  <si>
    <r>
      <t>Btu/lbm</t>
    </r>
    <r>
      <rPr>
        <sz val="10.5"/>
        <rFont val="Calibri"/>
        <family val="2"/>
      </rPr>
      <t>°</t>
    </r>
    <r>
      <rPr>
        <sz val="10.5"/>
        <rFont val="Calibri"/>
        <family val="2"/>
        <scheme val="minor"/>
      </rPr>
      <t>F</t>
    </r>
  </si>
  <si>
    <r>
      <t>T</t>
    </r>
    <r>
      <rPr>
        <vertAlign val="subscript"/>
        <sz val="10.5"/>
        <rFont val="Calibri"/>
        <family val="2"/>
        <scheme val="minor"/>
      </rPr>
      <t>out</t>
    </r>
  </si>
  <si>
    <r>
      <t>T</t>
    </r>
    <r>
      <rPr>
        <vertAlign val="subscript"/>
        <sz val="10.5"/>
        <rFont val="Calibri"/>
        <family val="2"/>
        <scheme val="minor"/>
      </rPr>
      <t>in</t>
    </r>
  </si>
  <si>
    <t>Upper Compressor Cut-Off Temperature
(Optional Reporting Only)</t>
  </si>
  <si>
    <r>
      <t>Table 4. EFLH, CF, and T</t>
    </r>
    <r>
      <rPr>
        <b/>
        <vertAlign val="subscript"/>
        <sz val="11"/>
        <rFont val="Calibri"/>
        <family val="2"/>
        <scheme val="minor"/>
      </rPr>
      <t>in</t>
    </r>
  </si>
  <si>
    <r>
      <t xml:space="preserve">Note: Savings shown in </t>
    </r>
    <r>
      <rPr>
        <sz val="9"/>
        <color rgb="FF0070C0"/>
        <rFont val="Calibri"/>
        <family val="2"/>
        <scheme val="minor"/>
      </rPr>
      <t>blue</t>
    </r>
    <r>
      <rPr>
        <sz val="9"/>
        <rFont val="Calibri"/>
        <family val="2"/>
        <scheme val="minor"/>
      </rPr>
      <t xml:space="preserve"> result from sample entries above. </t>
    </r>
    <r>
      <rPr>
        <b/>
        <u/>
        <sz val="9"/>
        <rFont val="Calibri"/>
        <family val="2"/>
        <scheme val="minor"/>
      </rPr>
      <t>They are for illustrative purposes only.</t>
    </r>
  </si>
  <si>
    <t xml:space="preserve">ENERGY STAR Program Requirements, Product Specification for Residential Water Heaters, V5.0, effective April 18, 2023, &lt;https://www.energystar.gov/sites/default/files/ENERGY%20STAR%20Residential%20Water%20Heaters%20Version%205.0%20Specification%20and%20Partner%20Commitments.pdf&gt;. </t>
  </si>
  <si>
    <t>Updated in Winter 2023-2024 for PY24 TRM. This update adds a sunset date of December 31, 2024, for the REEM portion of this measure because of the CFL ban that will take effect on January 1, 2025. The sunset date does not apply to direct install LED lighting through the Energy Smart for Homes (ES4H) program, which supports Accessibility &amp; Affordability (A&amp;A) customers. The update also removes the temporary dual baseline LED measure previously allowed for underserved markets (specifically Molokai and Lanai), as all islands now must use a single baseline.</t>
  </si>
  <si>
    <t xml:space="preserve">The replacement of an EISA-compliant omni-directional, medium screw base lamp with an ENERGY STAR LED lamp of comparable brightness (lumens) in both Residential Single Family and Multifamily homes. This measure is implemented through REEM and RHTR, which includes ES4H. </t>
  </si>
  <si>
    <t>The REEM portion of this measure has a sunset date of December 31, 2024, which is in the middle of PY24. The sunset date does not apply to direct install LEDs through ES4H.</t>
  </si>
  <si>
    <t>Baseline Wattage - EISA Tier 2 (calculated for middle of lumen range)</t>
  </si>
  <si>
    <t>Deemed Savings (based on default values for wattages)</t>
  </si>
  <si>
    <t>AEG's 2024 Analysis File named "PY24 TRM - Residential LED Lighting - Analysis File."</t>
  </si>
  <si>
    <t>The high efficiency case is an ENERGY STAR omni-directional LED lamp. As an alternative to more traditional LED bulbs or tubes, LED retrofit kit engines qualify as applicable LED replacement lighting, as long as the LED retrofit kit engines have appropriate form factors compared to the baseline lighting. The REEM portion of this measure has a sunset date of December 31, 2024, which is in the middle of PY24. The sunset date does not apply to direct install LEDs through ES4H.</t>
  </si>
  <si>
    <r>
      <t>kW</t>
    </r>
    <r>
      <rPr>
        <vertAlign val="subscript"/>
        <sz val="10.5"/>
        <rFont val="Calibri"/>
        <family val="2"/>
        <scheme val="minor"/>
      </rPr>
      <t>LED</t>
    </r>
  </si>
  <si>
    <r>
      <t>WH</t>
    </r>
    <r>
      <rPr>
        <vertAlign val="subscript"/>
        <sz val="10.5"/>
        <rFont val="Calibri"/>
        <family val="2"/>
        <scheme val="minor"/>
      </rPr>
      <t>C,D</t>
    </r>
  </si>
  <si>
    <r>
      <t>WH</t>
    </r>
    <r>
      <rPr>
        <vertAlign val="subscript"/>
        <sz val="10.5"/>
        <rFont val="Calibri"/>
        <family val="2"/>
        <scheme val="minor"/>
      </rPr>
      <t>C,E</t>
    </r>
  </si>
  <si>
    <r>
      <t>%</t>
    </r>
    <r>
      <rPr>
        <vertAlign val="subscript"/>
        <sz val="10.5"/>
        <rFont val="Calibri"/>
        <family val="2"/>
        <scheme val="minor"/>
      </rPr>
      <t>Int</t>
    </r>
  </si>
  <si>
    <r>
      <t>EISA Tier 2 Baseline</t>
    </r>
    <r>
      <rPr>
        <b/>
        <vertAlign val="superscript"/>
        <sz val="11"/>
        <rFont val="Calibri"/>
        <family val="2"/>
      </rPr>
      <t>1</t>
    </r>
    <r>
      <rPr>
        <b/>
        <sz val="11"/>
        <rFont val="Calibri"/>
        <family val="2"/>
      </rPr>
      <t xml:space="preserve"> (kW</t>
    </r>
    <r>
      <rPr>
        <b/>
        <vertAlign val="subscript"/>
        <sz val="11"/>
        <rFont val="Calibri"/>
        <family val="2"/>
      </rPr>
      <t>base</t>
    </r>
    <r>
      <rPr>
        <b/>
        <sz val="11"/>
        <rFont val="Calibri"/>
        <family val="2"/>
      </rPr>
      <t>)</t>
    </r>
  </si>
  <si>
    <r>
      <t>Average Omni-directional LED</t>
    </r>
    <r>
      <rPr>
        <b/>
        <vertAlign val="superscript"/>
        <sz val="11"/>
        <rFont val="Calibri"/>
        <family val="2"/>
      </rPr>
      <t>2</t>
    </r>
    <r>
      <rPr>
        <b/>
        <sz val="11"/>
        <rFont val="Calibri"/>
        <family val="2"/>
      </rPr>
      <t xml:space="preserve"> (kW</t>
    </r>
    <r>
      <rPr>
        <b/>
        <vertAlign val="subscript"/>
        <sz val="11"/>
        <rFont val="Calibri"/>
        <family val="2"/>
      </rPr>
      <t>LED</t>
    </r>
    <r>
      <rPr>
        <b/>
        <sz val="11"/>
        <rFont val="Calibri"/>
        <family val="2"/>
      </rPr>
      <t>)</t>
    </r>
  </si>
  <si>
    <r>
      <t>% Breakdown by Wattage</t>
    </r>
    <r>
      <rPr>
        <b/>
        <vertAlign val="superscript"/>
        <sz val="11"/>
        <rFont val="Calibri"/>
        <family val="2"/>
      </rPr>
      <t>2</t>
    </r>
  </si>
  <si>
    <r>
      <t>%</t>
    </r>
    <r>
      <rPr>
        <b/>
        <vertAlign val="subscript"/>
        <sz val="11"/>
        <rFont val="Calibri"/>
        <family val="2"/>
      </rPr>
      <t>Cool</t>
    </r>
  </si>
  <si>
    <r>
      <t>HOU</t>
    </r>
    <r>
      <rPr>
        <b/>
        <vertAlign val="superscript"/>
        <sz val="11"/>
        <rFont val="Calibri"/>
        <family val="2"/>
      </rPr>
      <t>1</t>
    </r>
  </si>
  <si>
    <r>
      <t>EUL</t>
    </r>
    <r>
      <rPr>
        <b/>
        <vertAlign val="subscript"/>
        <sz val="11"/>
        <rFont val="Calibri"/>
        <family val="2"/>
      </rPr>
      <t>LED</t>
    </r>
  </si>
  <si>
    <r>
      <t xml:space="preserve">SAVINGS </t>
    </r>
    <r>
      <rPr>
        <b/>
        <i/>
        <sz val="11"/>
        <rFont val="Calibri"/>
        <family val="2"/>
        <scheme val="minor"/>
      </rPr>
      <t>(For REEM, Savings are Only Applicable through December 31, 2024)</t>
    </r>
  </si>
  <si>
    <t>Updated in Winter 2023-2024 for the PY24 TRM. This update adds a sunset date of December 31, 2024, for the REEM portion of this measure because of the CFL ban that will take effect on January 1, 2025. The sunset date does not apply to direct install LED lighting through the Energy Smart for Homes (ES4H) program, which supports Accessibility &amp; Affordability (A&amp;A) customers. It also removes the dual baseline measure that expired at the end of PY21.</t>
  </si>
  <si>
    <t xml:space="preserve">Replacement of an EISA-compliant exterior security/porch light fixture with LED-based fixture. Both security and porch lights are implemented through REEM and RHTR, which includes ES4H. </t>
  </si>
  <si>
    <t>Efficient equipment must be ENERGY STAR certified. The REEM portion of this measure has a sunset date of December 31, 2024, which is in the middle of PY24. The sunset date does not apply to direct install LEDs through ES4H.</t>
  </si>
  <si>
    <t>AEG's 2024 Analysis File named "PY24 TRM - Residential Security Light - Analysis File."</t>
  </si>
  <si>
    <r>
      <rPr>
        <u/>
        <sz val="11"/>
        <rFont val="Calibri"/>
        <family val="2"/>
        <scheme val="minor"/>
      </rPr>
      <t>Security Lights:</t>
    </r>
    <r>
      <rPr>
        <sz val="11"/>
        <rFont val="Calibri"/>
        <family val="2"/>
        <scheme val="minor"/>
      </rPr>
      <t xml:space="preserve"> (2) PAR38 EISA-compliant lamps rated at 45 lumens/Watt</t>
    </r>
  </si>
  <si>
    <r>
      <rPr>
        <u/>
        <sz val="11"/>
        <rFont val="Calibri"/>
        <family val="2"/>
        <scheme val="minor"/>
      </rPr>
      <t>Porch Lights:</t>
    </r>
    <r>
      <rPr>
        <sz val="11"/>
        <rFont val="Calibri"/>
        <family val="2"/>
        <scheme val="minor"/>
      </rPr>
      <t xml:space="preserve"> (1) Omni-directional A19 EISA-compliant bulb rated at 45 lumens/Watt</t>
    </r>
  </si>
  <si>
    <t xml:space="preserve">Updated in Winter 2023-2024 for the PY24 TRM. This update clarifies the baseline conditions by tying the baseline tank size to the number of people in the household and also revises the default outlet water heater temperature to be consistent with the heat pump water heater measure. </t>
  </si>
  <si>
    <t>Replacement of an Electric Storage Water Heater with a Solar Water Heater designed for a 90% Solar Fraction. The new Solar Water Heating systems often include upgrading the hot water storage tank capacity to 80 or 120 gallons.</t>
  </si>
  <si>
    <t xml:space="preserve">The retailers provide rebate applications for water heaters at the time of purchase, or a customer can visit the Hawai‘i Energy website and download the form. Rebate applications must include an original purchase receipt showing the brand and model number.  </t>
  </si>
  <si>
    <t>See Equation 1 (default = 0.9104) and Equation 2 (default = 1.978)</t>
  </si>
  <si>
    <t xml:space="preserve">Default UEF assumes a 50 gallon electric storage water heater tank for 5 or fewer occupants and 60 gallons for more than 5 occupants </t>
  </si>
  <si>
    <r>
      <t>V</t>
    </r>
    <r>
      <rPr>
        <vertAlign val="subscript"/>
        <sz val="10.5"/>
        <color rgb="FF7030A0"/>
        <rFont val="Calibri"/>
        <family val="2"/>
        <scheme val="minor"/>
      </rPr>
      <t>base</t>
    </r>
  </si>
  <si>
    <t>Rated storage volume of baseline equipment</t>
  </si>
  <si>
    <t>gallons</t>
  </si>
  <si>
    <t>Actual or Table 2 (default = 3.16 or 6 depending on the new solar water heater tank size)</t>
  </si>
  <si>
    <r>
      <t>UEF</t>
    </r>
    <r>
      <rPr>
        <vertAlign val="subscript"/>
        <sz val="10.5"/>
        <color theme="1"/>
        <rFont val="Calibri"/>
        <family val="2"/>
      </rPr>
      <t>SWH</t>
    </r>
  </si>
  <si>
    <t>Table 1. Rated Storage Volume of Electric Storage Water Heater, per Occupancy</t>
  </si>
  <si>
    <t>#Occ ≤ 2</t>
  </si>
  <si>
    <t>3 &lt;  #Occ ≤ 4</t>
  </si>
  <si>
    <t>4 &lt;  #Occ ≤ 5</t>
  </si>
  <si>
    <t>5 &lt;  #Occ ≤ 6</t>
  </si>
  <si>
    <t>#Occ. &gt; 6</t>
  </si>
  <si>
    <t xml:space="preserve">Table 2. Average Occupancy in Homes </t>
  </si>
  <si>
    <t>Unspecified ( &gt; 80 gallon solar water heater tank)</t>
  </si>
  <si>
    <t>Residential 
Solar Water Heater, ≤ 5 occupants</t>
  </si>
  <si>
    <t>Residential 
Solar Water Heater, &gt; 5 occupants</t>
  </si>
  <si>
    <t>EF =</t>
  </si>
  <si>
    <t>AEG's Analysis Files titled "PY24  TRM - Residential Solar Water Heater - Analysis File."</t>
  </si>
  <si>
    <t>AEG's Analysis Files titled "PY24  TRM - Residential Heat Pump Water Heater - Analysis File."</t>
  </si>
  <si>
    <t>Hubert Miles, Choose What Size Water Heater You Need Like a Pro. Updated on January 15, 2024. &lt;https://homeinspectioninsider.com/what-size-water-heater-you-need/&gt;</t>
  </si>
  <si>
    <t>US Department of Energy, Sizing a New Water Heater, &lt;https://www.energy.gov/energysaver/sizing-new-water-heater&gt;.</t>
  </si>
  <si>
    <t>New Construction: New construction single-family homes do not qualify. Per the legislation, new homes in Hawai‘i must have Solar Water Heaters as of 2010, with a few exceptions.</t>
  </si>
  <si>
    <t xml:space="preserve">Baseline equipment is an Electric Storage Water Heater that meets current Federal codes and standards effective April 16, 2015. The baseline storage tank is typically sized based on the number of people in the household and their typical daily hot water use. Proposed federal standards will require a heat pump water heater in the baseline, effective 2029.  </t>
  </si>
  <si>
    <r>
      <t xml:space="preserve">Uniform Energy Factor of Baseline Equipment (Electric Storage Water Heater </t>
    </r>
    <r>
      <rPr>
        <b/>
        <i/>
        <sz val="11"/>
        <rFont val="Calibri"/>
        <family val="2"/>
      </rPr>
      <t>≤ 55 gallons)</t>
    </r>
  </si>
  <si>
    <r>
      <t>Uniform Energy Factor of Baseline Equipment (Electric Storage Water Heater &gt;</t>
    </r>
    <r>
      <rPr>
        <b/>
        <i/>
        <sz val="11"/>
        <rFont val="Calibri"/>
        <family val="2"/>
      </rPr>
      <t xml:space="preserve"> 55 gallons)</t>
    </r>
  </si>
  <si>
    <r>
      <t>Uniform energy factor of the baseline equipment</t>
    </r>
    <r>
      <rPr>
        <vertAlign val="superscript"/>
        <sz val="10.5"/>
        <rFont val="Calibri"/>
        <family val="2"/>
        <scheme val="minor"/>
      </rPr>
      <t>1</t>
    </r>
  </si>
  <si>
    <r>
      <t>US DOE</t>
    </r>
    <r>
      <rPr>
        <vertAlign val="superscript"/>
        <sz val="10.5"/>
        <rFont val="Calibri"/>
        <family val="2"/>
        <scheme val="minor"/>
      </rPr>
      <t>2</t>
    </r>
    <r>
      <rPr>
        <sz val="10.5"/>
        <rFont val="Calibri"/>
        <family val="2"/>
        <scheme val="minor"/>
      </rPr>
      <t xml:space="preserve"> and Mills</t>
    </r>
    <r>
      <rPr>
        <vertAlign val="superscript"/>
        <sz val="10.5"/>
        <rFont val="Calibri"/>
        <family val="2"/>
        <scheme val="minor"/>
      </rPr>
      <t>3</t>
    </r>
  </si>
  <si>
    <r>
      <t>Outlet water temperatures typically range from 120 to 140°F. 125 ± 5°F is the temperature prescribed in Uniform Test Method for Measuring the Energy Consumption of Water Heaters.</t>
    </r>
    <r>
      <rPr>
        <vertAlign val="superscript"/>
        <sz val="10.5"/>
        <rFont val="Calibri"/>
        <family val="2"/>
        <scheme val="minor"/>
      </rPr>
      <t>4</t>
    </r>
  </si>
  <si>
    <r>
      <t>Hawai‘i Energy</t>
    </r>
    <r>
      <rPr>
        <vertAlign val="superscript"/>
        <sz val="10.5"/>
        <rFont val="Calibri"/>
        <family val="2"/>
        <scheme val="minor"/>
      </rPr>
      <t>5</t>
    </r>
  </si>
  <si>
    <r>
      <t>No change from PY18 TRM; Source: KEMA 2005-2007</t>
    </r>
    <r>
      <rPr>
        <vertAlign val="superscript"/>
        <sz val="10.5"/>
        <rFont val="Calibri"/>
        <family val="2"/>
        <scheme val="minor"/>
      </rPr>
      <t>6</t>
    </r>
  </si>
  <si>
    <r>
      <t>KEMA 2005-2007 report found 7% of solar water heating systems evaluated to be "inoperable"</t>
    </r>
    <r>
      <rPr>
        <vertAlign val="superscript"/>
        <sz val="10.5"/>
        <rFont val="Calibri"/>
        <family val="2"/>
        <scheme val="minor"/>
      </rPr>
      <t>7</t>
    </r>
  </si>
  <si>
    <r>
      <rPr>
        <vertAlign val="superscript"/>
        <sz val="9"/>
        <rFont val="Calibri"/>
        <family val="2"/>
        <scheme val="minor"/>
      </rPr>
      <t>1</t>
    </r>
    <r>
      <rPr>
        <sz val="9"/>
        <rFont val="Calibri"/>
        <family val="2"/>
        <scheme val="minor"/>
      </rPr>
      <t xml:space="preserve"> Source for UEF equation: Electronic Code of Federal Regulations: &lt;https://www.ecfr.gov/current/title-10/chapter-II/subchapter-D/part-430/subpart-C/section-430.32&gt;</t>
    </r>
  </si>
  <si>
    <r>
      <rPr>
        <vertAlign val="superscript"/>
        <sz val="9"/>
        <rFont val="Calibri"/>
        <family val="2"/>
        <scheme val="minor"/>
      </rPr>
      <t>2</t>
    </r>
    <r>
      <rPr>
        <sz val="9"/>
        <rFont val="Calibri"/>
        <family val="2"/>
        <scheme val="minor"/>
      </rPr>
      <t xml:space="preserve"> AEG estimates based on DOE's Sizing a New Water Heater. &lt;https://www.energy.gov/energysaver/sizing-new-water-heater&gt;</t>
    </r>
  </si>
  <si>
    <r>
      <rPr>
        <vertAlign val="superscript"/>
        <sz val="9"/>
        <rFont val="Calibri"/>
        <family val="2"/>
        <scheme val="minor"/>
      </rPr>
      <t>3</t>
    </r>
    <r>
      <rPr>
        <sz val="9"/>
        <rFont val="Calibri"/>
        <family val="2"/>
        <scheme val="minor"/>
      </rPr>
      <t xml:space="preserve"> Hubert Miles, Choose What Size Water Heater You Need Like a Pro. Updated on January 15, 2024. &lt;https://homeinspectioninsider.com/what-size-water-heater-you-need/&gt;</t>
    </r>
  </si>
  <si>
    <r>
      <rPr>
        <vertAlign val="superscript"/>
        <sz val="9"/>
        <rFont val="Calibri"/>
        <family val="2"/>
        <scheme val="minor"/>
      </rPr>
      <t>4</t>
    </r>
    <r>
      <rPr>
        <sz val="9"/>
        <rFont val="Calibri"/>
        <family val="2"/>
        <scheme val="minor"/>
      </rPr>
      <t xml:space="preserve"> Source for Tout: Electronic Code of Federal Regulations, Appendix E to Subpart B of Part 430 &lt;https://www.ecfr.gov/current/title-10/chapter-II/subchapter-D/part-430/subpart-B&gt;. </t>
    </r>
  </si>
  <si>
    <r>
      <rPr>
        <vertAlign val="superscript"/>
        <sz val="9"/>
        <rFont val="Calibri"/>
        <family val="2"/>
        <scheme val="minor"/>
      </rPr>
      <t>5</t>
    </r>
    <r>
      <rPr>
        <sz val="9"/>
        <rFont val="Calibri"/>
        <family val="2"/>
        <scheme val="minor"/>
      </rPr>
      <t xml:space="preserve"> Hawai‘i Energy Solar Water Heating Program Handbook, Table 2. Maui value is average across 19 locations in Maui County (Range: 64-74°F). Primary source of data is the Maui Board of Water Supply.</t>
    </r>
  </si>
  <si>
    <r>
      <rPr>
        <vertAlign val="superscript"/>
        <sz val="9"/>
        <rFont val="Calibri"/>
        <family val="2"/>
        <scheme val="minor"/>
      </rPr>
      <t>6</t>
    </r>
    <r>
      <rPr>
        <sz val="9"/>
        <rFont val="Calibri"/>
        <family val="2"/>
        <scheme val="minor"/>
      </rPr>
      <t xml:space="preserve"> This KEMA report has been referenced in Hawai‘i Energy's TRM algorithms for solar water heating since the PY11 TRM, and may have been in use to estimate savings prior to PY11. The report is cited as "KEMA 2005-2007 Energy and Peak Demand Impact Evaluation Report" and appears to describe a water heating study conducted by KEMA. AEG and the EEM were unable to locate the original KEMA evaluation report, despite inquiring directly with DNV GL (KEMA is now a part of DNV GL). From what AEG can ascertain from the past Hawai‘i Energy TRMs, the circulation pump demand and pump hours of operation were determined from metering a sample of systems. AEG recommends collecting new data to update these values in a future TRM update.</t>
    </r>
  </si>
  <si>
    <r>
      <rPr>
        <vertAlign val="superscript"/>
        <sz val="9"/>
        <rFont val="Calibri"/>
        <family val="2"/>
        <scheme val="minor"/>
      </rPr>
      <t>7</t>
    </r>
    <r>
      <rPr>
        <sz val="9"/>
        <rFont val="Calibri"/>
        <family val="2"/>
        <scheme val="minor"/>
      </rPr>
      <t xml:space="preserve"> From what AEG can ascertain from the past Hawai‘i Energy TRMs, "inoperable" was defined by KEMA as solar water heating systems that use more than an average of 5 kWh per day. The reference for the definition of "inoperable" is cited in past Hawai‘i Energy TRMs as: "Impact Evaluation Report of the 2001-2003 Demand Side Management Programs," KEMA, page 2-36, 2004. </t>
    </r>
  </si>
  <si>
    <r>
      <t>Rated Storage Volume (gallons)</t>
    </r>
    <r>
      <rPr>
        <b/>
        <vertAlign val="superscript"/>
        <sz val="10.5"/>
        <rFont val="Calibri"/>
        <family val="2"/>
        <scheme val="minor"/>
      </rPr>
      <t>1,2</t>
    </r>
  </si>
  <si>
    <r>
      <t xml:space="preserve">2 </t>
    </r>
    <r>
      <rPr>
        <sz val="10.5"/>
        <rFont val="Calibri"/>
        <family val="2"/>
      </rPr>
      <t>&lt;</t>
    </r>
    <r>
      <rPr>
        <sz val="10.5"/>
        <rFont val="Calibri"/>
        <family val="2"/>
        <scheme val="minor"/>
      </rPr>
      <t xml:space="preserve">  #Occ ≤ 3</t>
    </r>
  </si>
  <si>
    <r>
      <rPr>
        <vertAlign val="superscript"/>
        <sz val="9"/>
        <rFont val="Calibri"/>
        <family val="2"/>
        <scheme val="minor"/>
      </rPr>
      <t>1</t>
    </r>
    <r>
      <rPr>
        <sz val="9"/>
        <rFont val="Calibri"/>
        <family val="2"/>
        <scheme val="minor"/>
      </rPr>
      <t xml:space="preserve"> AEG estimates based on DOE's Sizing a New Water Heater. &lt;https://www.energy.gov/energysaver/sizing-new-water-heater&gt;</t>
    </r>
  </si>
  <si>
    <r>
      <rPr>
        <vertAlign val="superscript"/>
        <sz val="9"/>
        <rFont val="Calibri"/>
        <family val="2"/>
        <scheme val="minor"/>
      </rPr>
      <t>2</t>
    </r>
    <r>
      <rPr>
        <sz val="9"/>
        <rFont val="Calibri"/>
        <family val="2"/>
        <scheme val="minor"/>
      </rPr>
      <t xml:space="preserve"> Hubert Miles, Choose What Size Water Heater You Need Like a Pro. Updated on January 15, 2024. &lt;https://homeinspectioninsider.com/what-size-water-heater-you-need/&gt;</t>
    </r>
  </si>
  <si>
    <r>
      <t>Table 3. EFLH, CF, and T</t>
    </r>
    <r>
      <rPr>
        <b/>
        <vertAlign val="subscript"/>
        <sz val="11"/>
        <rFont val="Calibri"/>
        <family val="2"/>
        <scheme val="minor"/>
      </rPr>
      <t>in</t>
    </r>
  </si>
  <si>
    <r>
      <t xml:space="preserve">Unspecified ( </t>
    </r>
    <r>
      <rPr>
        <sz val="10.5"/>
        <rFont val="Calibri"/>
        <family val="2"/>
      </rPr>
      <t>≤ 80</t>
    </r>
    <r>
      <rPr>
        <sz val="10.5"/>
        <rFont val="Calibri"/>
        <family val="2"/>
        <scheme val="minor"/>
      </rPr>
      <t xml:space="preserve"> gallon solar water heater tank)</t>
    </r>
  </si>
  <si>
    <r>
      <t xml:space="preserve">EFLH </t>
    </r>
    <r>
      <rPr>
        <vertAlign val="superscript"/>
        <sz val="10.5"/>
        <rFont val="Calibri"/>
        <family val="2"/>
        <scheme val="minor"/>
      </rPr>
      <t>1</t>
    </r>
  </si>
  <si>
    <r>
      <t xml:space="preserve">CF </t>
    </r>
    <r>
      <rPr>
        <vertAlign val="superscript"/>
        <sz val="10.5"/>
        <rFont val="Calibri"/>
        <family val="2"/>
        <scheme val="minor"/>
      </rPr>
      <t>1</t>
    </r>
  </si>
  <si>
    <r>
      <t>T</t>
    </r>
    <r>
      <rPr>
        <vertAlign val="subscript"/>
        <sz val="10.5"/>
        <rFont val="Calibri"/>
        <family val="2"/>
        <scheme val="minor"/>
      </rPr>
      <t>in</t>
    </r>
    <r>
      <rPr>
        <sz val="10.5"/>
        <rFont val="Calibri"/>
        <family val="2"/>
        <scheme val="minor"/>
      </rPr>
      <t xml:space="preserve"> </t>
    </r>
    <r>
      <rPr>
        <vertAlign val="superscript"/>
        <sz val="10.5"/>
        <rFont val="Calibri"/>
        <family val="2"/>
        <scheme val="minor"/>
      </rPr>
      <t>2</t>
    </r>
  </si>
  <si>
    <r>
      <rPr>
        <vertAlign val="superscript"/>
        <sz val="9"/>
        <rFont val="Calibri"/>
        <family val="2"/>
        <scheme val="minor"/>
      </rPr>
      <t xml:space="preserve">1 </t>
    </r>
    <r>
      <rPr>
        <sz val="9"/>
        <rFont val="Calibri"/>
        <family val="2"/>
        <scheme val="minor"/>
      </rPr>
      <t xml:space="preserve">Source of EFLH and CF: AEG 2018 analysis of U.S. DOE OpenEI Load shape for Residential Electric Water Heating </t>
    </r>
  </si>
  <si>
    <r>
      <rPr>
        <vertAlign val="superscript"/>
        <sz val="9"/>
        <rFont val="Calibri"/>
        <family val="2"/>
        <scheme val="minor"/>
      </rPr>
      <t xml:space="preserve">2 </t>
    </r>
    <r>
      <rPr>
        <sz val="9"/>
        <rFont val="Calibri"/>
        <family val="2"/>
        <scheme val="minor"/>
      </rPr>
      <t>Source of T</t>
    </r>
    <r>
      <rPr>
        <vertAlign val="subscript"/>
        <sz val="9"/>
        <rFont val="Calibri"/>
        <family val="2"/>
        <scheme val="minor"/>
      </rPr>
      <t>in</t>
    </r>
    <r>
      <rPr>
        <sz val="9"/>
        <rFont val="Calibri"/>
        <family val="2"/>
        <scheme val="minor"/>
      </rPr>
      <t>: Hawai‘i Energy Solar Water Heating Program Handbook, Table 2; Maui value is average across 19 locations in Maui County (Range: 64-74°F)</t>
    </r>
  </si>
  <si>
    <r>
      <t>V</t>
    </r>
    <r>
      <rPr>
        <vertAlign val="subscript"/>
        <sz val="11"/>
        <rFont val="Calibri"/>
        <family val="2"/>
        <scheme val="minor"/>
      </rPr>
      <t>base</t>
    </r>
    <r>
      <rPr>
        <sz val="11"/>
        <rFont val="Calibri"/>
        <family val="2"/>
        <scheme val="minor"/>
      </rPr>
      <t xml:space="preserve"> =</t>
    </r>
  </si>
  <si>
    <t>This measure involves replacing a single-speed or dual-speed pool filter pump with a variable-speed pump of equivalent horsepower. This measure only applies to self-priming pool filter pumps, typically used with permanent, in-ground pools in single-family homes (there is a separate measure for multi-family and commercial settings). Non-self-priming pool filter pumps, typically used with rigid, above-ground pools, are not applicable.</t>
  </si>
  <si>
    <t xml:space="preserve">Qualifying pumps are variable speed pumps with controllers either built in or purchased and installed as a pair. </t>
  </si>
  <si>
    <t xml:space="preserve">New construction homes do not qualify. </t>
  </si>
  <si>
    <t xml:space="preserve">The baseline efficiency equipment is a single-speed or dual-speed self-priming pool filter pump. </t>
  </si>
  <si>
    <t>AEG's 2024 Analysis File titled "PY24 TRM - Residential Variable Frequency Drive (VFD) Pool Pump  - Analysis File."</t>
  </si>
  <si>
    <t>Code of Federal Regulation, Title 10, Subchapter D. Part 431. Subpart Z. § 431.465. Available online at: https://www.ecfr.gov/current/title-10/chapter-II/subchapter-D/part-431/subpart-Y/section-431.465</t>
  </si>
  <si>
    <t>Code of Federal Regulation, Title 10, Subchapter D. Part 431. Subpart Z. § 431.485 Available online at: https://www.ecfr.gov/current/title-10/chapter-II/subchapter-D/part-431/subpart-Z/section-431.485</t>
  </si>
  <si>
    <r>
      <t>kWh</t>
    </r>
    <r>
      <rPr>
        <vertAlign val="subscript"/>
        <sz val="10"/>
        <rFont val="Calibri"/>
        <family val="2"/>
        <scheme val="minor"/>
      </rPr>
      <t>Daily,Base</t>
    </r>
  </si>
  <si>
    <r>
      <t>kWh</t>
    </r>
    <r>
      <rPr>
        <vertAlign val="subscript"/>
        <sz val="10"/>
        <rFont val="Calibri"/>
        <family val="2"/>
        <scheme val="minor"/>
      </rPr>
      <t xml:space="preserve">Daily,Eff </t>
    </r>
  </si>
  <si>
    <r>
      <rPr>
        <sz val="10"/>
        <rFont val="Calibri"/>
        <family val="2"/>
        <scheme val="minor"/>
      </rPr>
      <t>Hours</t>
    </r>
    <r>
      <rPr>
        <vertAlign val="subscript"/>
        <sz val="10"/>
        <rFont val="Calibri"/>
        <family val="2"/>
        <scheme val="minor"/>
      </rPr>
      <t>Daily,Base</t>
    </r>
  </si>
  <si>
    <r>
      <t>Hours</t>
    </r>
    <r>
      <rPr>
        <vertAlign val="subscript"/>
        <sz val="10"/>
        <rFont val="Calibri"/>
        <family val="2"/>
        <scheme val="minor"/>
      </rPr>
      <t xml:space="preserve">Daily,Eff </t>
    </r>
  </si>
  <si>
    <r>
      <rPr>
        <sz val="10"/>
        <rFont val="Calibri"/>
        <family val="2"/>
        <scheme val="minor"/>
      </rPr>
      <t>CF</t>
    </r>
    <r>
      <rPr>
        <vertAlign val="subscript"/>
        <sz val="10"/>
        <rFont val="Calibri"/>
        <family val="2"/>
        <scheme val="minor"/>
      </rPr>
      <t>Base</t>
    </r>
  </si>
  <si>
    <r>
      <t>CF</t>
    </r>
    <r>
      <rPr>
        <vertAlign val="subscript"/>
        <sz val="10"/>
        <rFont val="Calibri"/>
        <family val="2"/>
        <scheme val="minor"/>
      </rPr>
      <t xml:space="preserve">Eff </t>
    </r>
  </si>
  <si>
    <t>ENERGY STAR Product Specifications for Pool Pumps, Version 3.1, available online at: https://www.energystar.gov/sites/default/files/ENERGY%20STAR%20Final%20Version%202.0%20Pool%20Pumps%20Specification.pdf.</t>
  </si>
  <si>
    <t>PY2024 (July 1, 2024 - June 30, 2025)</t>
  </si>
  <si>
    <t xml:space="preserve">Over the years, updates have been made to some measures and aspects of the TRM to reflect program modifications, evolving market conditions, changes to codes and standards, and availability of newer data from program evaluations and benchmarking against industry best practices. However, prior to program year 2019 (PY19), the last major TRM review and update was conducted during the 2012 program year. Given this timeframe and general industry practice, the TRM was due for a major review and update. The current EM&amp;V Consultant (the AEG team) carried out comprehensive updates for the PY19 through PY24 TRMs, along with developing a TRM Framework to guide ongoing updates. </t>
  </si>
  <si>
    <t>The AEG team referred to over 100 resources during the PY19 through PY24 TRM updates. A few of the key information sources include the following:</t>
  </si>
  <si>
    <t>Changes from PY23 *</t>
  </si>
  <si>
    <t xml:space="preserve">Update of cover page </t>
  </si>
  <si>
    <t xml:space="preserve">Update of TOC to include new and modified content </t>
  </si>
  <si>
    <t>Changes from PY23</t>
  </si>
  <si>
    <t>MAJOR CHANGES FROM PY2023 TO PY2024 TRM</t>
  </si>
  <si>
    <t>List of changes made for PY24 TRM V1.0</t>
  </si>
  <si>
    <t>Review/update of text to reflect updated dates for PY24 TRM</t>
  </si>
  <si>
    <t>Update of the set of baseline conditions in effect for PY24</t>
  </si>
  <si>
    <t>Update of EULs for revised and new PY24 measures</t>
  </si>
  <si>
    <t>C_Light_Dimmable (Nonlinear LED)</t>
  </si>
  <si>
    <t>Addition of sunset date</t>
  </si>
  <si>
    <t>Minor measure updates and clarifications</t>
  </si>
  <si>
    <t>Addition of sunset date and other updates</t>
  </si>
  <si>
    <t>C_Light_Horticulture</t>
  </si>
  <si>
    <t>New measure</t>
  </si>
  <si>
    <t>C_HVAC_VRF and C_HVAC_VRF_WKST</t>
  </si>
  <si>
    <t>Update of greenhouse gas calculator to use the most recent eGRID data and other minor updates</t>
  </si>
  <si>
    <t>Addition of sunset date and removal of early replacement option</t>
  </si>
  <si>
    <t>Addition of sunset date and removal of dual baseline option for underserved markets</t>
  </si>
  <si>
    <t>Update of baseline conditions and addition of option for custom entry of UEFs</t>
  </si>
  <si>
    <t>Addition of sunset date and removal of dual baseline measure</t>
  </si>
  <si>
    <t>Addition of option for custom entry of household occupants and other minor updates</t>
  </si>
  <si>
    <t>C_Other_Transformer and C_Other_Transformer_WKST</t>
  </si>
  <si>
    <t>New measure and worksheet</t>
  </si>
  <si>
    <t>Full review and update of measure and worksheet</t>
  </si>
  <si>
    <t>Update of Issues Log for PY24 TRM V1.0</t>
  </si>
  <si>
    <t>Part of PY24 v1.0 Update</t>
  </si>
  <si>
    <t>Revised in PY24 TRM v1.0</t>
  </si>
  <si>
    <t>Caroline Carl</t>
  </si>
  <si>
    <t>Tami Rasmussen</t>
  </si>
  <si>
    <t>Ashley Norman</t>
  </si>
  <si>
    <t>Senior Vice President, 
Evergreen Economics</t>
  </si>
  <si>
    <t>Glossary *</t>
  </si>
  <si>
    <t xml:space="preserve">Updated in Spring 2024 for the PY24 TRM. </t>
  </si>
  <si>
    <t>Customer Level Savings (Gross at the Meter)</t>
  </si>
  <si>
    <t>Program Level Savings (Net Generated)</t>
  </si>
  <si>
    <t>The amount of reduction that can be directly attributed to the programs. It is the system level savings adjusted by the net-to-gross ratio to account for free-ridership and spillover.</t>
  </si>
  <si>
    <t>System Level Savings (Gross Generated)</t>
  </si>
  <si>
    <t>The gross (unadjusted by the net-to-gross ratio) savings realized at the utility system level and including transmission and distribution losses. In Hawai'i Energy reports prior to 2016, this was simply called gross level savings.</t>
  </si>
  <si>
    <t>Update of Signature sheet for PY24 TRM V1.0</t>
  </si>
  <si>
    <t>Addition of definitions for customer-level, system-level, and program-level savings</t>
  </si>
  <si>
    <t>The tracked savings unadjusted for free-ridership or spillover, and not accounting for transmission and distribution losses. These are the savings defined by the TRM.</t>
  </si>
  <si>
    <t xml:space="preserve">  V1.2</t>
  </si>
  <si>
    <t>November 8, 2024</t>
  </si>
  <si>
    <t>AVOIDED COST TABLES FOR PY25-PY27</t>
  </si>
  <si>
    <t xml:space="preserve">Added in Summer 2024 for the PY24 TRM. During the PY25 TRM update, the PY25-PY27 costs will be moved to the Key Metrics sheet and will replace the PY22-PY24 costs. </t>
  </si>
  <si>
    <t>PY25-PY27 Avoided Capacity and Energy Cost Calculations, Version 3.0, Analysis Spreadsheet, Prepared by Kelly Parmenter, Applied Energy Group, August 23, 2024.</t>
  </si>
  <si>
    <t>Table 1 lists the annualized avoided capacity costs by county for PY25, PY26, and PY27. According to page A-6 of the Maui Electric Company (MECO) 2024 Electric Utility System Cost Data Filing that was submitted to the HPUC on June 28, 2024, no firm capacity generation facilities were projected to be added in the 2024-2034 planning horizon for the County of Maui. Therefore, the EEM and AEG team has assumed the avoided capacity costs for the County of Maui are zero ($0/kW-yr) for the purposes of the PY25-PY27 analysis.</t>
  </si>
  <si>
    <t>Honolulu (Oahu)</t>
  </si>
  <si>
    <t>PY25</t>
  </si>
  <si>
    <t>$/kW-yr  2025$</t>
  </si>
  <si>
    <t>PY26</t>
  </si>
  <si>
    <t>$/kW-yr  2026$</t>
  </si>
  <si>
    <t>PY27</t>
  </si>
  <si>
    <t>$/kW-yr  2027$</t>
  </si>
  <si>
    <r>
      <rPr>
        <vertAlign val="superscript"/>
        <sz val="9"/>
        <color theme="1"/>
        <rFont val="Calibri"/>
        <family val="2"/>
        <scheme val="minor"/>
      </rPr>
      <t>1</t>
    </r>
    <r>
      <rPr>
        <sz val="9"/>
        <color theme="1"/>
        <rFont val="Calibri"/>
        <family val="2"/>
        <scheme val="minor"/>
      </rPr>
      <t>Escalation Factor =</t>
    </r>
  </si>
  <si>
    <t>/yr, from HECO and HELCO 2024 Electric Utility System Cost Data Filings.</t>
  </si>
  <si>
    <t>Table 1 sources: Annualized values were derived from capacity costs in the following three sources using the methodology described in the PY25-PY27 Avoided Capacity and Energy Cost Calculations, Version 3.0, Analysis Spreadsheet, Prepared by Kelly Parmenter, Applied Energy Group, August 23, 2024.</t>
  </si>
  <si>
    <t>1. HECO 2024 Electric Utility System Cost Data Filing, submitted to HPUC, June 28, 2024.</t>
  </si>
  <si>
    <t>2. MECO 2024 Electric Utility System Cost Data Filing, submitted to HPUC, June 28, 2024.</t>
  </si>
  <si>
    <t>3. HELCO 2024 Electric Utility System Cost Data Filing, submitted to HPUC, June 28, 2024.</t>
  </si>
  <si>
    <t>Table 2 lists the avoided energy costs by county for PY25, PY26, and PY27. The costs represent mostly fuel costs and a small share of variable O&amp;M costs.</t>
  </si>
  <si>
    <t>$/kWh-yr  2025$</t>
  </si>
  <si>
    <t>$/kWh-yr  2026$</t>
  </si>
  <si>
    <t>$/kWh-yr  2027$</t>
  </si>
  <si>
    <t xml:space="preserve">Table 2 sources: Average annual avoided energy cost values were derived from Schedule Q monthly values for Oahu, Maui Division, and Hawaii using July 1, 2023 through June 1, 2024 values. (See https://www.hawaiianelectric.com/documents/billing_and_payment/rates/avoided_energy_cost/avoid_energy_cost_table.pdf). A 3% escalation factor has been used for the avoided energy costs since PY15. The HPUC may decide to change the value in the future. By comparison, the EIA projects that the Brent crude oil price will increase to $194 per barrel by 2050. This equates to a 2.3% per year escalation relative to 2022 costs. Since oil costs have a large influence on Schedule Q rates (particularly in the short-term), the projected escalation rate of oil costs is a reasonable proxy for the projected escalation of avoided energy costs. Therefore, the 3% escalation factor is within reason. </t>
  </si>
  <si>
    <t>AVOIDED COST TABLES</t>
  </si>
  <si>
    <t>Tables 3 through 5 contain the avoided cost data to be used in the TRB calculations for PY25, PY26, and PY27, respectively. Refer to the subsection called "Total Resource Benefits" within the "Key Metrics" sheet for instructions on how to use the cost tables.</t>
  </si>
  <si>
    <t>Table 3. Total Resource Benefit Calculation for PY25</t>
  </si>
  <si>
    <t>Table 4. Total Resource Benefit Calculation for PY26</t>
  </si>
  <si>
    <t>Table 5. Total Resource Benefit Calculation for PY27</t>
  </si>
  <si>
    <t>PY25-PY27 Avoided Costs *(New)*</t>
  </si>
  <si>
    <t>PY25-PY27 Avoided Costs</t>
  </si>
  <si>
    <t>New content</t>
  </si>
  <si>
    <t>PY24.1.2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</si>
</sst>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6" formatCode="&quot;$&quot;#,##0_);[Red]\(&quot;$&quot;#,##0\)"/>
    <numFmt numFmtId="44" formatCode="_(&quot;$&quot;* #,##0.00_);_(&quot;$&quot;* \(#,##0.00\);_(&quot;$&quot;* &quot;-&quot;??_);_(@_)"/>
    <numFmt numFmtId="43" formatCode="_(* #,##0.00_);_(* \(#,##0.00\);_(* &quot;-&quot;??_);_(@_)"/>
    <numFmt numFmtId="164" formatCode="0.0"/>
    <numFmt numFmtId="165" formatCode="0.000"/>
    <numFmt numFmtId="166" formatCode="_(* #,##0.0_);_(* \(#,##0.0\);_(* &quot;-&quot;??_);_(@_)"/>
    <numFmt numFmtId="167" formatCode="0.0000"/>
    <numFmt numFmtId="168" formatCode="0.0%"/>
    <numFmt numFmtId="169" formatCode="_(&quot;$&quot;* #,##0_);_(&quot;$&quot;* \(#,##0\);_(&quot;$&quot;* &quot;-&quot;??_);_(@_)"/>
    <numFmt numFmtId="170" formatCode="#,##0.0"/>
    <numFmt numFmtId="171" formatCode="#,##0;[Red]#,##0"/>
    <numFmt numFmtId="172" formatCode="0\ &quot;cubic ft&quot;"/>
    <numFmt numFmtId="173" formatCode="&quot;$&quot;#,##0.0000"/>
    <numFmt numFmtId="174" formatCode="0.00\ &quot;W/cubic ft&quot;"/>
    <numFmt numFmtId="175" formatCode="#&quot;-foot lamp&quot;"/>
    <numFmt numFmtId="176" formatCode="0.000\ &quot;kW/ft&quot;"/>
    <numFmt numFmtId="177" formatCode="0.00\ &quot;kWh/ft&quot;"/>
    <numFmt numFmtId="178" formatCode="0.000\ &quot;kW&quot;"/>
    <numFmt numFmtId="179" formatCode="0.00\ &quot;kWh&quot;"/>
    <numFmt numFmtId="180" formatCode="0\ &quot;kWh&quot;"/>
    <numFmt numFmtId="181" formatCode="0.000\ &quot;kW/pan&quot;"/>
    <numFmt numFmtId="182" formatCode="0.00\ &quot;kWh/pan&quot;"/>
    <numFmt numFmtId="183" formatCode="_(&quot;$&quot;* #,##0.000_);_(&quot;$&quot;* \(#,##0.000\);_(&quot;$&quot;* &quot;-&quot;??_);_(@_)"/>
    <numFmt numFmtId="184" formatCode="[$-409]mmmm\ d\,\ yyyy;@"/>
    <numFmt numFmtId="185" formatCode="0.000\ &quot;kW/ton&quot;"/>
    <numFmt numFmtId="186" formatCode="General\ &quot;tons&quot;"/>
    <numFmt numFmtId="187" formatCode="0.0\ &quot;EER&quot;"/>
    <numFmt numFmtId="188" formatCode="#,##0.000"/>
    <numFmt numFmtId="189" formatCode="0.000\ &quot;kW/hp&quot;"/>
    <numFmt numFmtId="190" formatCode="0.00\ &quot;kWh/hp&quot;"/>
    <numFmt numFmtId="191" formatCode="#,#00.00\ &quot;kWh&quot;"/>
    <numFmt numFmtId="192" formatCode="General\ &quot;kW&quot;"/>
    <numFmt numFmtId="193" formatCode="General\ &quot;kWh&quot;"/>
    <numFmt numFmtId="194" formatCode="&quot;=&quot;0.000&quot;/η&quot;"/>
    <numFmt numFmtId="195" formatCode="&quot;=&quot;0.00&quot;/η&quot;"/>
    <numFmt numFmtId="196" formatCode="0.000\ &quot;kW/room&quot;"/>
    <numFmt numFmtId="197" formatCode="#,##0.00\ &quot;kWh/room&quot;"/>
    <numFmt numFmtId="198" formatCode="0.000\ &quot;W&quot;"/>
    <numFmt numFmtId="199" formatCode="0.00\ &quot;kWh/yr&quot;"/>
    <numFmt numFmtId="200" formatCode="&quot;$&quot;#,##0.000_);[Red]\(&quot;$&quot;#,##0.000\)"/>
    <numFmt numFmtId="201" formatCode="0.0\ &quot;CEER&quot;"/>
    <numFmt numFmtId="202" formatCode="0.000000\ &quot;kW/bulb&quot;"/>
    <numFmt numFmtId="203" formatCode="0.000000\ &quot;kWh/bulb&quot;"/>
    <numFmt numFmtId="204" formatCode="#,#00\ &quot;kWh&quot;"/>
    <numFmt numFmtId="205" formatCode="0.000000000000000%"/>
    <numFmt numFmtId="206" formatCode="00,000\ &quot;Btu/hr&quot;"/>
    <numFmt numFmtId="207" formatCode="00\ &quot;SEER&quot;"/>
    <numFmt numFmtId="208" formatCode="0.00000"/>
    <numFmt numFmtId="209" formatCode="#,##0.00\ &quot;kWh&quot;"/>
    <numFmt numFmtId="210" formatCode="0.000000"/>
    <numFmt numFmtId="211" formatCode="_(* #,##0_)&quot;kWh&quot;"/>
    <numFmt numFmtId="212" formatCode="_(* #,##0_)&quot;bbl&quot;"/>
    <numFmt numFmtId="213" formatCode="_(* #,##0_);_(* \(#,##0\);_(* &quot;-&quot;??_);_(@_)"/>
    <numFmt numFmtId="214" formatCode="0.0\ &quot;SEER&quot;"/>
    <numFmt numFmtId="215" formatCode="0.0\ &quot;EER(2)&quot;"/>
    <numFmt numFmtId="216" formatCode="0.0\ &quot;SEER(2) or CEER&quot;"/>
    <numFmt numFmtId="217" formatCode="0.0\ &quot;SEER2&quot;"/>
    <numFmt numFmtId="218" formatCode="0.0\ &quot;EER2&quot;"/>
    <numFmt numFmtId="219" formatCode="0.0000000000"/>
    <numFmt numFmtId="220" formatCode="0.0\ &quot;IEER&quot;"/>
    <numFmt numFmtId="221" formatCode="#,###.00\ &quot;kWh&quot;"/>
    <numFmt numFmtId="222" formatCode="0.000%"/>
  </numFmts>
  <fonts count="277" x14ac:knownFonts="1">
    <font>
      <sz val="11"/>
      <color theme="1"/>
      <name val="Calibri"/>
      <family val="2"/>
      <scheme val="minor"/>
    </font>
    <font>
      <sz val="11"/>
      <color theme="1"/>
      <name val="Calibri"/>
      <family val="2"/>
      <scheme val="minor"/>
    </font>
    <font>
      <sz val="10"/>
      <color theme="1"/>
      <name val="Calibri"/>
      <family val="2"/>
      <scheme val="minor"/>
    </font>
    <font>
      <sz val="10"/>
      <color theme="1"/>
      <name val="Calibri"/>
      <family val="2"/>
    </font>
    <font>
      <b/>
      <sz val="11"/>
      <color theme="1"/>
      <name val="Calibri"/>
      <family val="2"/>
      <scheme val="minor"/>
    </font>
    <font>
      <sz val="11"/>
      <color theme="1"/>
      <name val="Calibri"/>
      <family val="2"/>
    </font>
    <font>
      <b/>
      <i/>
      <sz val="11"/>
      <color theme="1"/>
      <name val="Calibri"/>
      <family val="2"/>
      <scheme val="minor"/>
    </font>
    <font>
      <vertAlign val="superscript"/>
      <sz val="11"/>
      <color theme="1"/>
      <name val="Calibri"/>
      <family val="2"/>
      <scheme val="minor"/>
    </font>
    <font>
      <b/>
      <sz val="11"/>
      <color rgb="FFC00000"/>
      <name val="Calibri"/>
      <family val="2"/>
      <scheme val="minor"/>
    </font>
    <font>
      <b/>
      <sz val="11"/>
      <color rgb="FFC00000"/>
      <name val="Calibri"/>
      <family val="2"/>
    </font>
    <font>
      <i/>
      <sz val="11"/>
      <color theme="1"/>
      <name val="Calibri"/>
      <family val="2"/>
      <scheme val="minor"/>
    </font>
    <font>
      <sz val="7"/>
      <color theme="1"/>
      <name val="Times New Roman"/>
      <family val="1"/>
    </font>
    <font>
      <b/>
      <vertAlign val="superscript"/>
      <sz val="11"/>
      <color theme="1"/>
      <name val="Calibri"/>
      <family val="2"/>
      <scheme val="minor"/>
    </font>
    <font>
      <b/>
      <sz val="10"/>
      <color theme="1"/>
      <name val="Calibri"/>
      <family val="2"/>
      <scheme val="minor"/>
    </font>
    <font>
      <b/>
      <u/>
      <sz val="12"/>
      <color theme="1"/>
      <name val="Calibri"/>
      <family val="2"/>
      <scheme val="minor"/>
    </font>
    <font>
      <b/>
      <sz val="14"/>
      <color theme="1"/>
      <name val="Calibri"/>
      <family val="2"/>
      <scheme val="minor"/>
    </font>
    <font>
      <u/>
      <sz val="11"/>
      <color theme="10"/>
      <name val="Calibri"/>
      <family val="2"/>
      <scheme val="minor"/>
    </font>
    <font>
      <b/>
      <sz val="11"/>
      <color rgb="FF000000"/>
      <name val="Calibri"/>
      <family val="2"/>
    </font>
    <font>
      <sz val="11"/>
      <color rgb="FF9C0006"/>
      <name val="Calibri"/>
      <family val="2"/>
      <scheme val="minor"/>
    </font>
    <font>
      <sz val="11"/>
      <color rgb="FF3F3F76"/>
      <name val="Calibri"/>
      <family val="2"/>
      <scheme val="minor"/>
    </font>
    <font>
      <sz val="11"/>
      <color rgb="FFFF0000"/>
      <name val="Calibri"/>
      <family val="2"/>
      <scheme val="minor"/>
    </font>
    <font>
      <sz val="11"/>
      <color rgb="FF000000"/>
      <name val="Calibri"/>
      <family val="2"/>
    </font>
    <font>
      <sz val="10"/>
      <color rgb="FF000000"/>
      <name val="Calibri"/>
      <family val="2"/>
    </font>
    <font>
      <b/>
      <sz val="12"/>
      <color theme="1"/>
      <name val="Calibri"/>
      <family val="2"/>
      <scheme val="minor"/>
    </font>
    <font>
      <sz val="11"/>
      <name val="Calibri"/>
      <family val="2"/>
      <scheme val="minor"/>
    </font>
    <font>
      <sz val="10"/>
      <name val="Arial"/>
      <family val="2"/>
    </font>
    <font>
      <sz val="10"/>
      <color theme="1"/>
      <name val="Times New Roman"/>
      <family val="1"/>
    </font>
    <font>
      <b/>
      <u/>
      <sz val="11"/>
      <color theme="1"/>
      <name val="Calibri"/>
      <family val="2"/>
      <scheme val="minor"/>
    </font>
    <font>
      <sz val="11"/>
      <color theme="1"/>
      <name val="Symbol"/>
      <family val="1"/>
      <charset val="2"/>
    </font>
    <font>
      <i/>
      <sz val="11"/>
      <name val="Calibri"/>
      <family val="2"/>
      <scheme val="minor"/>
    </font>
    <font>
      <sz val="11"/>
      <color theme="1"/>
      <name val="Arial"/>
      <family val="2"/>
    </font>
    <font>
      <b/>
      <sz val="14"/>
      <color theme="1"/>
      <name val="Arial"/>
      <family val="2"/>
    </font>
    <font>
      <i/>
      <sz val="9"/>
      <color theme="1"/>
      <name val="Arial"/>
      <family val="2"/>
    </font>
    <font>
      <b/>
      <sz val="8"/>
      <color theme="1"/>
      <name val="Arial"/>
      <family val="2"/>
    </font>
    <font>
      <sz val="8"/>
      <color theme="1"/>
      <name val="Calibri"/>
      <family val="2"/>
      <scheme val="minor"/>
    </font>
    <font>
      <sz val="8"/>
      <color theme="1"/>
      <name val="Symbol"/>
      <family val="1"/>
      <charset val="2"/>
    </font>
    <font>
      <b/>
      <u/>
      <sz val="8"/>
      <color theme="1"/>
      <name val="Calibri"/>
      <family val="2"/>
      <scheme val="minor"/>
    </font>
    <font>
      <u/>
      <sz val="8"/>
      <color theme="1"/>
      <name val="Calibri"/>
      <family val="2"/>
      <scheme val="minor"/>
    </font>
    <font>
      <b/>
      <sz val="16"/>
      <color theme="1"/>
      <name val="Calibri"/>
      <family val="2"/>
      <scheme val="minor"/>
    </font>
    <font>
      <b/>
      <sz val="11"/>
      <color rgb="FFFF0000"/>
      <name val="Calibri"/>
      <family val="2"/>
      <scheme val="minor"/>
    </font>
    <font>
      <b/>
      <sz val="11"/>
      <name val="Calibri"/>
      <family val="2"/>
      <scheme val="minor"/>
    </font>
    <font>
      <sz val="11"/>
      <color rgb="FFC00000"/>
      <name val="Calibri"/>
      <family val="2"/>
      <scheme val="minor"/>
    </font>
    <font>
      <vertAlign val="superscript"/>
      <sz val="8"/>
      <color theme="1"/>
      <name val="Calibri"/>
      <family val="2"/>
      <scheme val="minor"/>
    </font>
    <font>
      <sz val="8"/>
      <name val="Calibri"/>
      <family val="2"/>
      <scheme val="minor"/>
    </font>
    <font>
      <vertAlign val="superscript"/>
      <sz val="8"/>
      <name val="Calibri"/>
      <family val="2"/>
      <scheme val="minor"/>
    </font>
    <font>
      <b/>
      <sz val="10"/>
      <color theme="1"/>
      <name val="Arial"/>
      <family val="2"/>
    </font>
    <font>
      <b/>
      <sz val="10"/>
      <color rgb="FF000000"/>
      <name val="Calibri"/>
      <family val="2"/>
    </font>
    <font>
      <b/>
      <sz val="11"/>
      <color theme="1"/>
      <name val="Calibri"/>
      <family val="2"/>
    </font>
    <font>
      <sz val="8"/>
      <color rgb="FF000000"/>
      <name val="Calibri"/>
      <family val="2"/>
      <scheme val="minor"/>
    </font>
    <font>
      <vertAlign val="superscript"/>
      <sz val="8"/>
      <color rgb="FF000000"/>
      <name val="Calibri"/>
      <family val="2"/>
      <scheme val="minor"/>
    </font>
    <font>
      <b/>
      <sz val="14"/>
      <color rgb="FF000000"/>
      <name val="Calibri"/>
      <family val="2"/>
    </font>
    <font>
      <b/>
      <vertAlign val="superscript"/>
      <sz val="11"/>
      <color rgb="FF000000"/>
      <name val="Calibri"/>
      <family val="2"/>
    </font>
    <font>
      <i/>
      <sz val="9"/>
      <color rgb="FF44546A"/>
      <name val="Calibri"/>
      <family val="2"/>
      <scheme val="minor"/>
    </font>
    <font>
      <b/>
      <sz val="11"/>
      <color theme="0"/>
      <name val="Calibri"/>
      <family val="2"/>
      <scheme val="minor"/>
    </font>
    <font>
      <u/>
      <sz val="10"/>
      <color indexed="12"/>
      <name val="Arial"/>
      <family val="2"/>
    </font>
    <font>
      <sz val="11"/>
      <color indexed="45"/>
      <name val="Calibri"/>
      <family val="2"/>
      <scheme val="minor"/>
    </font>
    <font>
      <sz val="11"/>
      <color indexed="9"/>
      <name val="Calibri"/>
      <family val="2"/>
      <scheme val="minor"/>
    </font>
    <font>
      <sz val="11"/>
      <color indexed="48"/>
      <name val="Calibri"/>
      <family val="2"/>
      <scheme val="minor"/>
    </font>
    <font>
      <strike/>
      <sz val="11"/>
      <color theme="1"/>
      <name val="Calibri"/>
      <family val="2"/>
      <scheme val="minor"/>
    </font>
    <font>
      <sz val="9"/>
      <color indexed="81"/>
      <name val="Tahoma"/>
      <family val="2"/>
    </font>
    <font>
      <vertAlign val="subscript"/>
      <sz val="11"/>
      <color theme="1"/>
      <name val="Calibri"/>
      <family val="2"/>
      <scheme val="minor"/>
    </font>
    <font>
      <b/>
      <i/>
      <sz val="11"/>
      <color theme="0"/>
      <name val="Calibri"/>
      <family val="2"/>
      <scheme val="minor"/>
    </font>
    <font>
      <b/>
      <i/>
      <sz val="11"/>
      <name val="Calibri"/>
      <family val="2"/>
      <scheme val="minor"/>
    </font>
    <font>
      <sz val="10"/>
      <name val="Calibri"/>
      <family val="2"/>
      <scheme val="minor"/>
    </font>
    <font>
      <b/>
      <sz val="10"/>
      <name val="Calibri"/>
      <family val="2"/>
      <scheme val="minor"/>
    </font>
    <font>
      <sz val="11"/>
      <name val="Calibri"/>
      <family val="2"/>
    </font>
    <font>
      <b/>
      <u/>
      <sz val="11"/>
      <name val="Calibri"/>
      <family val="2"/>
      <scheme val="minor"/>
    </font>
    <font>
      <b/>
      <sz val="11"/>
      <color theme="3"/>
      <name val="Calibri"/>
      <family val="2"/>
      <scheme val="minor"/>
    </font>
    <font>
      <sz val="11"/>
      <color theme="0"/>
      <name val="Calibri"/>
      <family val="2"/>
      <scheme val="minor"/>
    </font>
    <font>
      <b/>
      <i/>
      <u/>
      <sz val="11"/>
      <color theme="1"/>
      <name val="Calibri"/>
      <family val="2"/>
      <scheme val="minor"/>
    </font>
    <font>
      <b/>
      <sz val="9"/>
      <color theme="1"/>
      <name val="Calibri"/>
      <family val="2"/>
      <scheme val="minor"/>
    </font>
    <font>
      <sz val="9"/>
      <color theme="1"/>
      <name val="Calibri"/>
      <family val="2"/>
      <scheme val="minor"/>
    </font>
    <font>
      <b/>
      <vertAlign val="superscript"/>
      <sz val="10"/>
      <color theme="1"/>
      <name val="Calibri"/>
      <family val="2"/>
      <scheme val="minor"/>
    </font>
    <font>
      <sz val="10"/>
      <color theme="0" tint="-0.499984740745262"/>
      <name val="Calibri"/>
      <family val="2"/>
      <scheme val="minor"/>
    </font>
    <font>
      <b/>
      <sz val="9"/>
      <color rgb="FF000000"/>
      <name val="Calibri"/>
      <family val="2"/>
    </font>
    <font>
      <b/>
      <sz val="8"/>
      <color theme="1"/>
      <name val="Calibri"/>
      <family val="2"/>
      <scheme val="minor"/>
    </font>
    <font>
      <sz val="9"/>
      <color rgb="FF000000"/>
      <name val="Calibri"/>
      <family val="2"/>
    </font>
    <font>
      <sz val="8"/>
      <color rgb="FF000000"/>
      <name val="Calibri"/>
      <family val="2"/>
    </font>
    <font>
      <vertAlign val="superscript"/>
      <sz val="9"/>
      <color theme="1"/>
      <name val="Calibri"/>
      <family val="2"/>
      <scheme val="minor"/>
    </font>
    <font>
      <b/>
      <sz val="14"/>
      <color theme="0"/>
      <name val="Calibri"/>
      <family val="2"/>
      <scheme val="minor"/>
    </font>
    <font>
      <b/>
      <sz val="12"/>
      <color rgb="FF00BCE4"/>
      <name val="Calibri"/>
      <family val="2"/>
      <scheme val="minor"/>
    </font>
    <font>
      <b/>
      <sz val="12"/>
      <color theme="0"/>
      <name val="Calibri"/>
      <family val="2"/>
      <scheme val="minor"/>
    </font>
    <font>
      <vertAlign val="superscript"/>
      <sz val="10"/>
      <color theme="1"/>
      <name val="Calibri"/>
      <family val="2"/>
      <scheme val="minor"/>
    </font>
    <font>
      <i/>
      <sz val="8"/>
      <color theme="1"/>
      <name val="Calibri"/>
      <family val="2"/>
      <scheme val="minor"/>
    </font>
    <font>
      <b/>
      <sz val="14"/>
      <name val="Calibri"/>
      <family val="2"/>
      <scheme val="minor"/>
    </font>
    <font>
      <vertAlign val="subscript"/>
      <sz val="11"/>
      <color theme="1"/>
      <name val="Calibri"/>
      <family val="2"/>
    </font>
    <font>
      <b/>
      <vertAlign val="superscript"/>
      <sz val="10"/>
      <color rgb="FF000000"/>
      <name val="Calibri"/>
      <family val="2"/>
    </font>
    <font>
      <b/>
      <sz val="12"/>
      <name val="Calibri"/>
      <family val="2"/>
      <scheme val="minor"/>
    </font>
    <font>
      <b/>
      <sz val="9"/>
      <color indexed="81"/>
      <name val="Tahoma"/>
      <family val="2"/>
    </font>
    <font>
      <vertAlign val="subscript"/>
      <sz val="10"/>
      <color theme="1"/>
      <name val="Calibri"/>
      <family val="2"/>
      <scheme val="minor"/>
    </font>
    <font>
      <b/>
      <sz val="12"/>
      <color rgb="FFFFFFFF"/>
      <name val="Calibri"/>
      <family val="2"/>
      <scheme val="minor"/>
    </font>
    <font>
      <vertAlign val="subscript"/>
      <sz val="11"/>
      <name val="Calibri"/>
      <family val="2"/>
      <scheme val="minor"/>
    </font>
    <font>
      <vertAlign val="subscript"/>
      <sz val="10"/>
      <name val="Calibri"/>
      <family val="2"/>
      <scheme val="minor"/>
    </font>
    <font>
      <sz val="14"/>
      <color rgb="FF2B2A29"/>
      <name val="Arial Bold"/>
      <family val="2"/>
    </font>
    <font>
      <sz val="12"/>
      <color rgb="FF2B2A29"/>
      <name val="Arial"/>
      <family val="2"/>
    </font>
    <font>
      <sz val="13"/>
      <color rgb="FF2B2A29"/>
      <name val="Arial"/>
      <family val="2"/>
    </font>
    <font>
      <sz val="10"/>
      <color rgb="FF2B2A29"/>
      <name val="Arial"/>
      <family val="2"/>
    </font>
    <font>
      <sz val="10"/>
      <color rgb="FF2B2A29"/>
      <name val="Arial Bold"/>
      <family val="2"/>
    </font>
    <font>
      <sz val="10"/>
      <color rgb="FF2B2A29"/>
      <name val="Arial Italic"/>
      <family val="2"/>
    </font>
    <font>
      <b/>
      <sz val="10"/>
      <color rgb="FF2B2A29"/>
      <name val="Arial"/>
      <family val="2"/>
    </font>
    <font>
      <b/>
      <sz val="10"/>
      <name val="Arial"/>
      <family val="2"/>
    </font>
    <font>
      <sz val="11"/>
      <color rgb="FF2B2A29"/>
      <name val="Arial Bold Italic"/>
      <family val="2"/>
    </font>
    <font>
      <sz val="9"/>
      <color rgb="FF2B2A29"/>
      <name val="Arial Bold"/>
      <family val="2"/>
    </font>
    <font>
      <sz val="9"/>
      <color rgb="FF2B2A29"/>
      <name val="Arial"/>
      <family val="2"/>
    </font>
    <font>
      <sz val="9"/>
      <name val="Arial"/>
      <family val="2"/>
    </font>
    <font>
      <sz val="8"/>
      <color rgb="FF2B2A29"/>
      <name val="Arial"/>
      <family val="2"/>
    </font>
    <font>
      <i/>
      <sz val="12"/>
      <color theme="1"/>
      <name val="Calibri"/>
      <family val="2"/>
      <scheme val="minor"/>
    </font>
    <font>
      <b/>
      <i/>
      <sz val="13"/>
      <color theme="0"/>
      <name val="Calibri"/>
      <family val="2"/>
      <scheme val="minor"/>
    </font>
    <font>
      <b/>
      <sz val="10.5"/>
      <color theme="1"/>
      <name val="Calibri"/>
      <family val="2"/>
      <scheme val="minor"/>
    </font>
    <font>
      <sz val="10.5"/>
      <color theme="1"/>
      <name val="Calibri"/>
      <family val="2"/>
      <scheme val="minor"/>
    </font>
    <font>
      <sz val="10.5"/>
      <color rgb="FFFF0000"/>
      <name val="Calibri"/>
      <family val="2"/>
      <scheme val="minor"/>
    </font>
    <font>
      <vertAlign val="superscript"/>
      <sz val="10.5"/>
      <color theme="1"/>
      <name val="Calibri"/>
      <family val="2"/>
      <scheme val="minor"/>
    </font>
    <font>
      <vertAlign val="subscript"/>
      <sz val="10.5"/>
      <color theme="1"/>
      <name val="Calibri"/>
      <family val="2"/>
      <scheme val="minor"/>
    </font>
    <font>
      <sz val="10.5"/>
      <color theme="1"/>
      <name val="Calibri"/>
      <family val="2"/>
    </font>
    <font>
      <sz val="10.5"/>
      <color rgb="FF000000"/>
      <name val="Calibri"/>
      <family val="2"/>
    </font>
    <font>
      <vertAlign val="subscript"/>
      <sz val="10.5"/>
      <color theme="1"/>
      <name val="Calibri"/>
      <family val="2"/>
    </font>
    <font>
      <b/>
      <vertAlign val="superscript"/>
      <sz val="10.5"/>
      <color theme="1"/>
      <name val="Calibri"/>
      <family val="2"/>
      <scheme val="minor"/>
    </font>
    <font>
      <sz val="10.5"/>
      <name val="Calibri"/>
      <family val="2"/>
      <scheme val="minor"/>
    </font>
    <font>
      <i/>
      <sz val="10.5"/>
      <color theme="1"/>
      <name val="Calibri"/>
      <family val="2"/>
      <scheme val="minor"/>
    </font>
    <font>
      <b/>
      <sz val="10.5"/>
      <name val="Calibri"/>
      <family val="2"/>
      <scheme val="minor"/>
    </font>
    <font>
      <vertAlign val="subscript"/>
      <sz val="10.5"/>
      <name val="Calibri"/>
      <family val="2"/>
      <scheme val="minor"/>
    </font>
    <font>
      <u/>
      <sz val="10"/>
      <color theme="10"/>
      <name val="Calibri"/>
      <family val="2"/>
      <scheme val="minor"/>
    </font>
    <font>
      <i/>
      <sz val="10.5"/>
      <color theme="1"/>
      <name val="Calibri"/>
      <family val="2"/>
    </font>
    <font>
      <i/>
      <vertAlign val="subscript"/>
      <sz val="10.5"/>
      <color theme="1"/>
      <name val="Calibri"/>
      <family val="2"/>
      <scheme val="minor"/>
    </font>
    <font>
      <b/>
      <i/>
      <sz val="11"/>
      <color theme="1"/>
      <name val="Calibri"/>
      <family val="2"/>
    </font>
    <font>
      <sz val="9"/>
      <color theme="1"/>
      <name val="Calibri"/>
      <family val="2"/>
    </font>
    <font>
      <vertAlign val="superscript"/>
      <sz val="9"/>
      <color theme="1"/>
      <name val="Calibri"/>
      <family val="2"/>
    </font>
    <font>
      <sz val="9"/>
      <color theme="1"/>
      <name val="Franklin Gothic Book"/>
      <family val="2"/>
    </font>
    <font>
      <b/>
      <vertAlign val="subscript"/>
      <sz val="11"/>
      <color rgb="FF000000"/>
      <name val="Calibri"/>
      <family val="2"/>
    </font>
    <font>
      <vertAlign val="superscript"/>
      <sz val="10"/>
      <name val="Calibri"/>
      <family val="2"/>
      <scheme val="minor"/>
    </font>
    <font>
      <vertAlign val="superscript"/>
      <sz val="11"/>
      <name val="Calibri"/>
      <family val="2"/>
      <scheme val="minor"/>
    </font>
    <font>
      <b/>
      <sz val="9.5"/>
      <color theme="1"/>
      <name val="Calibri"/>
      <family val="2"/>
      <scheme val="minor"/>
    </font>
    <font>
      <sz val="9.5"/>
      <color theme="1"/>
      <name val="Calibri"/>
      <family val="2"/>
      <scheme val="minor"/>
    </font>
    <font>
      <vertAlign val="superscript"/>
      <sz val="9.5"/>
      <color theme="1"/>
      <name val="Calibri"/>
      <family val="2"/>
      <scheme val="minor"/>
    </font>
    <font>
      <b/>
      <vertAlign val="superscript"/>
      <sz val="9.5"/>
      <color theme="1"/>
      <name val="Calibri"/>
      <family val="2"/>
      <scheme val="minor"/>
    </font>
    <font>
      <sz val="9.5"/>
      <name val="Calibri"/>
      <family val="2"/>
      <scheme val="minor"/>
    </font>
    <font>
      <b/>
      <sz val="9.5"/>
      <name val="Calibri"/>
      <family val="2"/>
      <scheme val="minor"/>
    </font>
    <font>
      <sz val="9.5"/>
      <color rgb="FF000000"/>
      <name val="Calibri"/>
      <family val="2"/>
    </font>
    <font>
      <vertAlign val="subscript"/>
      <sz val="9.5"/>
      <color theme="1"/>
      <name val="Calibri"/>
      <family val="2"/>
      <scheme val="minor"/>
    </font>
    <font>
      <b/>
      <vertAlign val="subscript"/>
      <sz val="9.5"/>
      <color theme="1"/>
      <name val="Calibri"/>
      <family val="2"/>
      <scheme val="minor"/>
    </font>
    <font>
      <vertAlign val="subscript"/>
      <sz val="9"/>
      <color theme="1"/>
      <name val="Calibri"/>
      <family val="2"/>
      <scheme val="minor"/>
    </font>
    <font>
      <b/>
      <vertAlign val="subscript"/>
      <sz val="11"/>
      <name val="Calibri"/>
      <family val="2"/>
      <scheme val="minor"/>
    </font>
    <font>
      <sz val="9"/>
      <name val="Calibri"/>
      <family val="2"/>
    </font>
    <font>
      <sz val="9.5"/>
      <name val="Calibri"/>
      <family val="2"/>
    </font>
    <font>
      <vertAlign val="subscript"/>
      <sz val="9"/>
      <name val="Calibri"/>
      <family val="2"/>
    </font>
    <font>
      <b/>
      <u/>
      <sz val="11"/>
      <color rgb="FF002060"/>
      <name val="Calibri"/>
      <family val="2"/>
      <scheme val="minor"/>
    </font>
    <font>
      <b/>
      <sz val="11"/>
      <color rgb="FF002060"/>
      <name val="Calibri"/>
      <family val="2"/>
      <scheme val="minor"/>
    </font>
    <font>
      <b/>
      <sz val="9.5"/>
      <color rgb="FF000000"/>
      <name val="Calibri"/>
      <family val="2"/>
    </font>
    <font>
      <sz val="8"/>
      <color theme="0" tint="-0.14999847407452621"/>
      <name val="Calibri"/>
      <family val="2"/>
      <scheme val="minor"/>
    </font>
    <font>
      <b/>
      <vertAlign val="subscript"/>
      <sz val="10.5"/>
      <color theme="1"/>
      <name val="Calibri"/>
      <family val="2"/>
      <scheme val="minor"/>
    </font>
    <font>
      <b/>
      <sz val="10.5"/>
      <color theme="1"/>
      <name val="Calibri"/>
      <family val="2"/>
    </font>
    <font>
      <b/>
      <sz val="10.5"/>
      <color rgb="FFC00000"/>
      <name val="Calibri"/>
      <family val="2"/>
      <scheme val="minor"/>
    </font>
    <font>
      <b/>
      <u/>
      <sz val="9"/>
      <color theme="1"/>
      <name val="Calibri"/>
      <family val="2"/>
      <scheme val="minor"/>
    </font>
    <font>
      <sz val="9.35"/>
      <name val="Calibri"/>
      <family val="2"/>
    </font>
    <font>
      <sz val="10.5"/>
      <name val="Calibri"/>
      <family val="2"/>
    </font>
    <font>
      <b/>
      <u/>
      <sz val="10"/>
      <name val="Calibri"/>
      <family val="2"/>
      <scheme val="minor"/>
    </font>
    <font>
      <sz val="18"/>
      <name val="Calibri"/>
      <family val="2"/>
      <scheme val="minor"/>
    </font>
    <font>
      <sz val="9"/>
      <name val="Calibri"/>
      <family val="2"/>
      <scheme val="minor"/>
    </font>
    <font>
      <u/>
      <sz val="10.5"/>
      <color theme="10"/>
      <name val="Calibri"/>
      <family val="2"/>
      <scheme val="minor"/>
    </font>
    <font>
      <b/>
      <i/>
      <vertAlign val="subscript"/>
      <sz val="11"/>
      <color theme="1"/>
      <name val="Calibri"/>
      <family val="2"/>
      <scheme val="minor"/>
    </font>
    <font>
      <u/>
      <sz val="11"/>
      <color theme="1"/>
      <name val="Calibri"/>
      <family val="2"/>
      <scheme val="minor"/>
    </font>
    <font>
      <vertAlign val="superscript"/>
      <sz val="10.5"/>
      <name val="Calibri"/>
      <family val="2"/>
      <scheme val="minor"/>
    </font>
    <font>
      <b/>
      <vertAlign val="subscript"/>
      <sz val="11"/>
      <color theme="1"/>
      <name val="Calibri"/>
      <family val="2"/>
      <scheme val="minor"/>
    </font>
    <font>
      <sz val="9"/>
      <color theme="0" tint="-0.14999847407452621"/>
      <name val="Calibri"/>
      <family val="2"/>
      <scheme val="minor"/>
    </font>
    <font>
      <sz val="11"/>
      <color rgb="FF0070C0"/>
      <name val="Calibri"/>
      <family val="2"/>
      <scheme val="minor"/>
    </font>
    <font>
      <sz val="9"/>
      <color rgb="FF0070C0"/>
      <name val="Calibri"/>
      <family val="2"/>
      <scheme val="minor"/>
    </font>
    <font>
      <vertAlign val="superscript"/>
      <sz val="9"/>
      <name val="Calibri"/>
      <family val="2"/>
      <scheme val="minor"/>
    </font>
    <font>
      <b/>
      <sz val="11"/>
      <name val="Calibri"/>
      <family val="2"/>
    </font>
    <font>
      <sz val="8"/>
      <name val="Calibri"/>
      <family val="2"/>
    </font>
    <font>
      <sz val="11"/>
      <name val="Franklin Gothic Book"/>
      <family val="2"/>
    </font>
    <font>
      <b/>
      <vertAlign val="subscript"/>
      <sz val="10"/>
      <color theme="1"/>
      <name val="Calibri"/>
      <family val="2"/>
      <scheme val="minor"/>
    </font>
    <font>
      <b/>
      <vertAlign val="superscript"/>
      <sz val="9"/>
      <color rgb="FF000000"/>
      <name val="Calibri"/>
      <family val="2"/>
    </font>
    <font>
      <u/>
      <sz val="10.5"/>
      <color theme="1"/>
      <name val="Calibri"/>
      <family val="2"/>
      <scheme val="minor"/>
    </font>
    <font>
      <b/>
      <sz val="11"/>
      <color rgb="FF0070C0"/>
      <name val="Calibri"/>
      <family val="2"/>
      <scheme val="minor"/>
    </font>
    <font>
      <u/>
      <sz val="10"/>
      <color rgb="FFFF0000"/>
      <name val="Calibri"/>
      <family val="2"/>
      <scheme val="minor"/>
    </font>
    <font>
      <i/>
      <sz val="11"/>
      <color rgb="FF0070C0"/>
      <name val="Calibri"/>
      <family val="2"/>
      <scheme val="minor"/>
    </font>
    <font>
      <b/>
      <vertAlign val="superscript"/>
      <sz val="11"/>
      <name val="Calibri"/>
      <family val="2"/>
      <scheme val="minor"/>
    </font>
    <font>
      <u/>
      <sz val="10"/>
      <name val="Calibri"/>
      <family val="2"/>
      <scheme val="minor"/>
    </font>
    <font>
      <sz val="10.5"/>
      <name val="Tahoma"/>
      <family val="2"/>
    </font>
    <font>
      <sz val="8.9499999999999993"/>
      <name val="Calibri"/>
      <family val="2"/>
    </font>
    <font>
      <sz val="16"/>
      <color theme="1"/>
      <name val="Calibri"/>
      <family val="2"/>
      <scheme val="minor"/>
    </font>
    <font>
      <b/>
      <sz val="18"/>
      <color theme="1"/>
      <name val="Calibri"/>
      <family val="2"/>
      <scheme val="minor"/>
    </font>
    <font>
      <sz val="18"/>
      <color theme="1"/>
      <name val="Calibri"/>
      <family val="2"/>
      <scheme val="minor"/>
    </font>
    <font>
      <sz val="10"/>
      <color rgb="FF000000"/>
      <name val="Segoe UI"/>
      <family val="2"/>
    </font>
    <font>
      <strike/>
      <sz val="10.5"/>
      <color theme="1"/>
      <name val="Calibri"/>
      <family val="2"/>
      <scheme val="minor"/>
    </font>
    <font>
      <b/>
      <sz val="9"/>
      <name val="Calibri"/>
      <family val="2"/>
      <scheme val="minor"/>
    </font>
    <font>
      <u/>
      <sz val="10"/>
      <color theme="10"/>
      <name val="Arial"/>
      <family val="2"/>
    </font>
    <font>
      <b/>
      <vertAlign val="subscript"/>
      <sz val="10.5"/>
      <name val="Calibri"/>
      <family val="2"/>
      <scheme val="minor"/>
    </font>
    <font>
      <sz val="10.5"/>
      <color rgb="FFC00000"/>
      <name val="Calibri"/>
      <family val="2"/>
      <scheme val="minor"/>
    </font>
    <font>
      <b/>
      <u/>
      <sz val="10.5"/>
      <name val="Calibri"/>
      <family val="2"/>
      <scheme val="minor"/>
    </font>
    <font>
      <b/>
      <u/>
      <vertAlign val="superscript"/>
      <sz val="10.5"/>
      <name val="Calibri"/>
      <family val="2"/>
      <scheme val="minor"/>
    </font>
    <font>
      <b/>
      <vertAlign val="superscript"/>
      <sz val="10.5"/>
      <name val="Calibri"/>
      <family val="2"/>
      <scheme val="minor"/>
    </font>
    <font>
      <b/>
      <vertAlign val="subscript"/>
      <sz val="11"/>
      <color rgb="FFC00000"/>
      <name val="Calibri"/>
      <family val="2"/>
      <scheme val="minor"/>
    </font>
    <font>
      <vertAlign val="subscript"/>
      <sz val="9"/>
      <name val="Calibri"/>
      <family val="2"/>
      <scheme val="minor"/>
    </font>
    <font>
      <vertAlign val="superscript"/>
      <sz val="10.5"/>
      <name val="Calibri"/>
      <family val="2"/>
    </font>
    <font>
      <b/>
      <i/>
      <sz val="10.5"/>
      <name val="Calibri"/>
      <family val="2"/>
      <scheme val="minor"/>
    </font>
    <font>
      <b/>
      <i/>
      <vertAlign val="subscript"/>
      <sz val="10.5"/>
      <name val="Calibri"/>
      <family val="2"/>
      <scheme val="minor"/>
    </font>
    <font>
      <u/>
      <sz val="11"/>
      <name val="Calibri"/>
      <family val="2"/>
      <scheme val="minor"/>
    </font>
    <font>
      <i/>
      <sz val="11"/>
      <color rgb="FFFF0000"/>
      <name val="Calibri"/>
      <family val="2"/>
      <scheme val="minor"/>
    </font>
    <font>
      <vertAlign val="superscript"/>
      <sz val="9"/>
      <name val="Calibri"/>
      <family val="2"/>
    </font>
    <font>
      <i/>
      <strike/>
      <sz val="11"/>
      <name val="Calibri"/>
      <family val="2"/>
      <scheme val="minor"/>
    </font>
    <font>
      <b/>
      <sz val="18"/>
      <color theme="0"/>
      <name val="Calibri"/>
      <family val="2"/>
      <scheme val="minor"/>
    </font>
    <font>
      <sz val="9"/>
      <color rgb="FFFF0000"/>
      <name val="Calibri"/>
      <family val="2"/>
      <scheme val="minor"/>
    </font>
    <font>
      <b/>
      <u/>
      <sz val="9"/>
      <color rgb="FFFF0000"/>
      <name val="Calibri"/>
      <family val="2"/>
      <scheme val="minor"/>
    </font>
    <font>
      <b/>
      <sz val="9"/>
      <color rgb="FFFF0000"/>
      <name val="Calibri"/>
      <family val="2"/>
      <scheme val="minor"/>
    </font>
    <font>
      <b/>
      <sz val="9"/>
      <color rgb="FF0070C0"/>
      <name val="Calibri"/>
      <family val="2"/>
      <scheme val="minor"/>
    </font>
    <font>
      <i/>
      <vertAlign val="subscript"/>
      <sz val="11"/>
      <name val="Calibri"/>
      <family val="2"/>
      <scheme val="minor"/>
    </font>
    <font>
      <sz val="7"/>
      <name val="Times New Roman"/>
      <family val="1"/>
    </font>
    <font>
      <sz val="11"/>
      <color rgb="FF7030A0"/>
      <name val="Calibri"/>
      <family val="2"/>
      <scheme val="minor"/>
    </font>
    <font>
      <b/>
      <sz val="11"/>
      <color rgb="FF7030A0"/>
      <name val="Calibri"/>
      <family val="2"/>
      <scheme val="minor"/>
    </font>
    <font>
      <b/>
      <sz val="10"/>
      <color indexed="8"/>
      <name val="Arial"/>
      <family val="2"/>
    </font>
    <font>
      <i/>
      <sz val="11"/>
      <color rgb="FF7030A0"/>
      <name val="Calibri"/>
      <family val="2"/>
      <scheme val="minor"/>
    </font>
    <font>
      <strike/>
      <sz val="8"/>
      <name val="Calibri"/>
      <family val="2"/>
      <scheme val="minor"/>
    </font>
    <font>
      <sz val="10"/>
      <name val="Calibri"/>
      <family val="2"/>
    </font>
    <font>
      <b/>
      <vertAlign val="subscript"/>
      <sz val="11"/>
      <name val="Calibri"/>
      <family val="2"/>
    </font>
    <font>
      <sz val="9"/>
      <color theme="2"/>
      <name val="Calibri"/>
      <family val="2"/>
      <scheme val="minor"/>
    </font>
    <font>
      <vertAlign val="superscript"/>
      <sz val="11"/>
      <name val="Calibri"/>
      <family val="2"/>
    </font>
    <font>
      <u/>
      <sz val="10.5"/>
      <name val="Calibri"/>
      <family val="2"/>
      <scheme val="minor"/>
    </font>
    <font>
      <u/>
      <sz val="9"/>
      <color theme="1"/>
      <name val="Calibri"/>
      <family val="2"/>
      <scheme val="minor"/>
    </font>
    <font>
      <sz val="8.5"/>
      <color theme="1"/>
      <name val="Calibri"/>
      <family val="2"/>
      <scheme val="minor"/>
    </font>
    <font>
      <i/>
      <vertAlign val="superscript"/>
      <sz val="11"/>
      <color theme="1"/>
      <name val="Calibri"/>
      <family val="2"/>
      <scheme val="minor"/>
    </font>
    <font>
      <b/>
      <i/>
      <u/>
      <sz val="11"/>
      <name val="Calibri"/>
      <family val="2"/>
      <scheme val="minor"/>
    </font>
    <font>
      <b/>
      <sz val="10"/>
      <color theme="0" tint="-0.249977111117893"/>
      <name val="Calibri"/>
      <family val="2"/>
      <scheme val="minor"/>
    </font>
    <font>
      <sz val="10"/>
      <color theme="0" tint="-0.249977111117893"/>
      <name val="Calibri"/>
      <family val="2"/>
      <scheme val="minor"/>
    </font>
    <font>
      <sz val="11"/>
      <color theme="0" tint="-0.249977111117893"/>
      <name val="Calibri"/>
      <family val="2"/>
      <scheme val="minor"/>
    </font>
    <font>
      <strike/>
      <sz val="11"/>
      <name val="Calibri"/>
      <family val="2"/>
      <scheme val="minor"/>
    </font>
    <font>
      <b/>
      <sz val="10.5"/>
      <color rgb="FF0070C0"/>
      <name val="Calibri"/>
      <family val="2"/>
      <scheme val="minor"/>
    </font>
    <font>
      <i/>
      <sz val="10.5"/>
      <name val="Calibri"/>
      <family val="2"/>
      <scheme val="minor"/>
    </font>
    <font>
      <b/>
      <sz val="10.5"/>
      <color indexed="8"/>
      <name val="Calibri"/>
      <family val="2"/>
      <scheme val="minor"/>
    </font>
    <font>
      <sz val="10.5"/>
      <color indexed="8"/>
      <name val="Calibri"/>
      <family val="2"/>
      <scheme val="minor"/>
    </font>
    <font>
      <b/>
      <sz val="8"/>
      <name val="Calibri"/>
      <family val="2"/>
      <scheme val="minor"/>
    </font>
    <font>
      <vertAlign val="subscript"/>
      <sz val="8.5"/>
      <color theme="1"/>
      <name val="Calibri"/>
      <family val="2"/>
      <scheme val="minor"/>
    </font>
    <font>
      <i/>
      <sz val="12"/>
      <name val="Calibri"/>
      <family val="2"/>
      <scheme val="minor"/>
    </font>
    <font>
      <sz val="11"/>
      <color rgb="FF548235"/>
      <name val="Calibri"/>
      <family val="2"/>
      <scheme val="minor"/>
    </font>
    <font>
      <sz val="11"/>
      <color theme="9" tint="-0.249977111117893"/>
      <name val="Calibri"/>
      <family val="2"/>
      <scheme val="minor"/>
    </font>
    <font>
      <b/>
      <sz val="10.5"/>
      <name val="Calibri"/>
      <family val="2"/>
    </font>
    <font>
      <sz val="12"/>
      <color rgb="FF7030A0"/>
      <name val="Calibri"/>
      <family val="2"/>
      <scheme val="minor"/>
    </font>
    <font>
      <b/>
      <sz val="10"/>
      <name val="Calibri"/>
      <family val="2"/>
    </font>
    <font>
      <b/>
      <sz val="9"/>
      <name val="Calibri"/>
      <family val="2"/>
    </font>
    <font>
      <i/>
      <sz val="10.5"/>
      <name val="Calibri"/>
      <family val="2"/>
    </font>
    <font>
      <i/>
      <vertAlign val="subscript"/>
      <sz val="10.5"/>
      <name val="Calibri"/>
      <family val="2"/>
      <scheme val="minor"/>
    </font>
    <font>
      <sz val="11"/>
      <color theme="4"/>
      <name val="Calibri"/>
      <family val="2"/>
      <scheme val="minor"/>
    </font>
    <font>
      <sz val="10"/>
      <color rgb="FF7030A0"/>
      <name val="Segoe UI Semilight"/>
      <family val="2"/>
    </font>
    <font>
      <u/>
      <sz val="9"/>
      <name val="Calibri"/>
      <family val="2"/>
      <scheme val="minor"/>
    </font>
    <font>
      <sz val="12"/>
      <name val="Calibri"/>
      <family val="2"/>
      <scheme val="minor"/>
    </font>
    <font>
      <vertAlign val="superscript"/>
      <sz val="10.5"/>
      <color rgb="FF000000"/>
      <name val="Calibri"/>
      <family val="2"/>
    </font>
    <font>
      <b/>
      <sz val="9.5"/>
      <name val="Calibri"/>
      <family val="2"/>
    </font>
    <font>
      <b/>
      <vertAlign val="superscript"/>
      <sz val="9.5"/>
      <name val="Calibri"/>
      <family val="2"/>
    </font>
    <font>
      <b/>
      <vertAlign val="subscript"/>
      <sz val="9.5"/>
      <name val="Calibri"/>
      <family val="2"/>
      <scheme val="minor"/>
    </font>
    <font>
      <sz val="10"/>
      <name val="Times New Roman"/>
      <family val="1"/>
    </font>
    <font>
      <b/>
      <u/>
      <sz val="12"/>
      <name val="Calibri"/>
      <family val="2"/>
      <scheme val="minor"/>
    </font>
    <font>
      <vertAlign val="subscript"/>
      <sz val="10.5"/>
      <name val="Calibri"/>
      <family val="2"/>
    </font>
    <font>
      <b/>
      <i/>
      <sz val="11"/>
      <color rgb="FF0070C0"/>
      <name val="Calibri"/>
      <family val="2"/>
      <scheme val="minor"/>
    </font>
    <font>
      <b/>
      <i/>
      <sz val="11"/>
      <name val="Calibri"/>
      <family val="2"/>
    </font>
    <font>
      <sz val="12"/>
      <name val="Arial"/>
      <family val="2"/>
    </font>
    <font>
      <sz val="10.5"/>
      <color rgb="FF7030A0"/>
      <name val="Calibri"/>
      <family val="2"/>
      <scheme val="minor"/>
    </font>
    <font>
      <vertAlign val="subscript"/>
      <sz val="10.5"/>
      <color rgb="FF7030A0"/>
      <name val="Calibri"/>
      <family val="2"/>
      <scheme val="minor"/>
    </font>
    <font>
      <sz val="11"/>
      <color rgb="FF7030A0"/>
      <name val="Calibri"/>
      <family val="2"/>
    </font>
    <font>
      <b/>
      <i/>
      <sz val="11"/>
      <color rgb="FF7030A0"/>
      <name val="Calibri"/>
      <family val="2"/>
      <scheme val="minor"/>
    </font>
    <font>
      <sz val="10"/>
      <color rgb="FF7030A0"/>
      <name val="Calibri"/>
      <family val="2"/>
      <scheme val="minor"/>
    </font>
    <font>
      <b/>
      <sz val="9.5"/>
      <color rgb="FF7030A0"/>
      <name val="Calibri"/>
      <family val="2"/>
      <scheme val="minor"/>
    </font>
    <font>
      <sz val="9.5"/>
      <color rgb="FF7030A0"/>
      <name val="Calibri"/>
      <family val="2"/>
      <scheme val="minor"/>
    </font>
    <font>
      <sz val="10"/>
      <color rgb="FF7030A0"/>
      <name val="Calibri"/>
      <family val="2"/>
    </font>
    <font>
      <vertAlign val="superscript"/>
      <sz val="9.5"/>
      <name val="Calibri"/>
      <family val="2"/>
      <scheme val="minor"/>
    </font>
    <font>
      <b/>
      <sz val="12"/>
      <name val="Calibri"/>
      <family val="2"/>
    </font>
    <font>
      <b/>
      <vertAlign val="superscript"/>
      <sz val="10"/>
      <name val="Calibri"/>
      <family val="2"/>
    </font>
    <font>
      <strike/>
      <sz val="11"/>
      <name val="Calibri"/>
      <family val="2"/>
    </font>
    <font>
      <sz val="12.1"/>
      <color theme="1"/>
      <name val="Calibri"/>
      <family val="2"/>
    </font>
    <font>
      <sz val="10.5"/>
      <color rgb="FF0070C0"/>
      <name val="Calibri"/>
      <family val="2"/>
      <scheme val="minor"/>
    </font>
    <font>
      <sz val="8"/>
      <color theme="1"/>
      <name val="Calibri"/>
      <family val="2"/>
    </font>
    <font>
      <sz val="12"/>
      <color theme="1"/>
      <name val="Calibri"/>
      <family val="2"/>
      <scheme val="minor"/>
    </font>
    <font>
      <b/>
      <sz val="8"/>
      <name val="Calibri"/>
      <family val="2"/>
    </font>
    <font>
      <sz val="11"/>
      <color rgb="FF00B0F0"/>
      <name val="Calibri"/>
      <family val="2"/>
      <scheme val="minor"/>
    </font>
    <font>
      <sz val="11"/>
      <color theme="9" tint="-0.499984740745262"/>
      <name val="Calibri"/>
      <family val="2"/>
      <scheme val="minor"/>
    </font>
    <font>
      <b/>
      <u/>
      <sz val="9"/>
      <name val="Calibri"/>
      <family val="2"/>
      <scheme val="minor"/>
    </font>
    <font>
      <b/>
      <vertAlign val="superscript"/>
      <sz val="11"/>
      <name val="Calibri"/>
      <family val="2"/>
    </font>
    <font>
      <strike/>
      <sz val="10.5"/>
      <name val="Calibri"/>
      <family val="2"/>
      <scheme val="minor"/>
    </font>
  </fonts>
  <fills count="38">
    <fill>
      <patternFill patternType="none"/>
    </fill>
    <fill>
      <patternFill patternType="gray125"/>
    </fill>
    <fill>
      <patternFill patternType="solid">
        <fgColor theme="2" tint="-9.9978637043366805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C7CE"/>
      </patternFill>
    </fill>
    <fill>
      <patternFill patternType="solid">
        <fgColor rgb="FFFFCC99"/>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bgColor indexed="64"/>
      </patternFill>
    </fill>
    <fill>
      <patternFill patternType="solid">
        <fgColor rgb="FF00BCE4"/>
        <bgColor indexed="64"/>
      </patternFill>
    </fill>
    <fill>
      <patternFill patternType="solid">
        <fgColor rgb="FF92D050"/>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rgb="FFFFFFFF"/>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E1D89D"/>
        <bgColor indexed="64"/>
      </patternFill>
    </fill>
    <fill>
      <patternFill patternType="solid">
        <fgColor theme="1"/>
        <bgColor indexed="64"/>
      </patternFill>
    </fill>
    <fill>
      <patternFill patternType="solid">
        <fgColor theme="1" tint="0.249977111117893"/>
        <bgColor indexed="64"/>
      </patternFill>
    </fill>
    <fill>
      <patternFill patternType="solid">
        <fgColor rgb="FFDDEBF7"/>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9"/>
        <bgColor indexed="64"/>
      </patternFill>
    </fill>
    <fill>
      <patternFill patternType="solid">
        <fgColor theme="7" tint="0.39997558519241921"/>
        <bgColor indexed="64"/>
      </patternFill>
    </fill>
    <fill>
      <patternFill patternType="solid">
        <fgColor theme="7"/>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D9D9D9"/>
        <bgColor indexed="64"/>
      </patternFill>
    </fill>
    <fill>
      <patternFill patternType="solid">
        <fgColor rgb="FFFCE4D6"/>
        <bgColor indexed="64"/>
      </patternFill>
    </fill>
    <fill>
      <patternFill patternType="solid">
        <fgColor theme="4" tint="0.79998168889431442"/>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bottom/>
      <diagonal/>
    </border>
    <border>
      <left/>
      <right style="medium">
        <color indexed="64"/>
      </right>
      <top style="thin">
        <color indexed="64"/>
      </top>
      <bottom/>
      <diagonal/>
    </border>
    <border>
      <left style="medium">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medium">
        <color indexed="64"/>
      </bottom>
      <diagonal/>
    </border>
    <border>
      <left style="medium">
        <color auto="1"/>
      </left>
      <right style="medium">
        <color auto="1"/>
      </right>
      <top/>
      <bottom/>
      <diagonal/>
    </border>
    <border>
      <left style="medium">
        <color auto="1"/>
      </left>
      <right style="medium">
        <color auto="1"/>
      </right>
      <top/>
      <bottom style="thin">
        <color indexed="64"/>
      </bottom>
      <diagonal/>
    </border>
    <border>
      <left style="medium">
        <color indexed="64"/>
      </left>
      <right style="medium">
        <color indexed="64"/>
      </right>
      <top style="medium">
        <color indexed="64"/>
      </top>
      <bottom style="medium">
        <color indexed="64"/>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medium">
        <color indexed="64"/>
      </left>
      <right style="thin">
        <color indexed="64"/>
      </right>
      <top/>
      <bottom style="medium">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top style="medium">
        <color indexed="64"/>
      </top>
      <bottom style="medium">
        <color indexed="64"/>
      </bottom>
      <diagonal/>
    </border>
  </borders>
  <cellStyleXfs count="23">
    <xf numFmtId="0" fontId="0"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6" fillId="0" borderId="0" applyNumberFormat="0" applyFill="0" applyBorder="0" applyAlignment="0" applyProtection="0"/>
    <xf numFmtId="0" fontId="18" fillId="7" borderId="0" applyNumberFormat="0" applyBorder="0" applyAlignment="0" applyProtection="0"/>
    <xf numFmtId="0" fontId="19" fillId="8" borderId="28" applyNumberFormat="0" applyAlignment="0" applyProtection="0"/>
    <xf numFmtId="43"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54" fillId="0" borderId="0" applyNumberFormat="0" applyFill="0" applyBorder="0" applyAlignment="0" applyProtection="0">
      <alignment vertical="top"/>
      <protection locked="0"/>
    </xf>
    <xf numFmtId="0" fontId="25" fillId="0" borderId="0"/>
    <xf numFmtId="184"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alignment readingOrder="1"/>
    </xf>
    <xf numFmtId="0" fontId="1" fillId="0" borderId="0"/>
    <xf numFmtId="0" fontId="186" fillId="0" borderId="0" applyNumberFormat="0" applyFill="0" applyBorder="0" applyAlignment="0" applyProtection="0"/>
    <xf numFmtId="0" fontId="270" fillId="0" borderId="0"/>
  </cellStyleXfs>
  <cellXfs count="4049">
    <xf numFmtId="0" fontId="0" fillId="0" borderId="0" xfId="0"/>
    <xf numFmtId="0" fontId="0" fillId="0" borderId="0" xfId="0" applyAlignment="1">
      <alignment vertical="center"/>
    </xf>
    <xf numFmtId="0" fontId="0" fillId="0" borderId="0" xfId="0" applyAlignment="1">
      <alignment horizontal="left" vertical="center" wrapText="1"/>
    </xf>
    <xf numFmtId="0" fontId="4" fillId="0" borderId="0" xfId="0" applyFont="1" applyAlignment="1">
      <alignment horizontal="left" vertical="center"/>
    </xf>
    <xf numFmtId="0" fontId="0" fillId="0" borderId="0" xfId="0" applyAlignment="1">
      <alignment vertical="center" wrapText="1"/>
    </xf>
    <xf numFmtId="165" fontId="0" fillId="0" borderId="0" xfId="0" applyNumberFormat="1" applyAlignment="1">
      <alignment vertical="center"/>
    </xf>
    <xf numFmtId="0" fontId="0" fillId="0" borderId="11" xfId="0" applyBorder="1" applyAlignment="1">
      <alignment vertical="center"/>
    </xf>
    <xf numFmtId="0" fontId="0" fillId="0" borderId="0" xfId="0" applyAlignment="1">
      <alignment horizontal="center" vertical="center"/>
    </xf>
    <xf numFmtId="0" fontId="0" fillId="0" borderId="0" xfId="0" applyAlignment="1">
      <alignment horizontal="left" vertical="center"/>
    </xf>
    <xf numFmtId="164" fontId="0" fillId="0" borderId="0" xfId="0" applyNumberFormat="1" applyAlignment="1">
      <alignment vertical="center"/>
    </xf>
    <xf numFmtId="0" fontId="4" fillId="0" borderId="0" xfId="0" applyFont="1" applyAlignment="1">
      <alignment vertical="center"/>
    </xf>
    <xf numFmtId="0" fontId="10" fillId="0" borderId="0" xfId="0" applyFont="1" applyAlignment="1">
      <alignment vertical="center"/>
    </xf>
    <xf numFmtId="2" fontId="0" fillId="0" borderId="0" xfId="0" applyNumberFormat="1" applyAlignment="1">
      <alignment vertical="center" wrapText="1"/>
    </xf>
    <xf numFmtId="0" fontId="0" fillId="0" borderId="0" xfId="0" applyAlignment="1">
      <alignment horizontal="left" vertical="center" indent="2"/>
    </xf>
    <xf numFmtId="0" fontId="0" fillId="0" borderId="0" xfId="0" applyAlignment="1">
      <alignment horizontal="left" vertical="center" indent="6"/>
    </xf>
    <xf numFmtId="0" fontId="0" fillId="0" borderId="0" xfId="0" applyAlignment="1">
      <alignment horizontal="left" vertical="center" indent="5"/>
    </xf>
    <xf numFmtId="0" fontId="0" fillId="0" borderId="0" xfId="0" applyAlignment="1">
      <alignment horizontal="left" vertical="center" indent="9"/>
    </xf>
    <xf numFmtId="0" fontId="0" fillId="0" borderId="0" xfId="0" applyAlignment="1">
      <alignment horizontal="left" indent="5"/>
    </xf>
    <xf numFmtId="0" fontId="4" fillId="0" borderId="0" xfId="0" applyFont="1" applyAlignment="1">
      <alignment horizontal="left" indent="1"/>
    </xf>
    <xf numFmtId="0" fontId="0" fillId="0" borderId="0" xfId="0" quotePrefix="1"/>
    <xf numFmtId="0" fontId="2" fillId="0" borderId="0" xfId="0" applyFont="1"/>
    <xf numFmtId="0" fontId="14" fillId="0" borderId="0" xfId="0" applyFont="1" applyAlignment="1">
      <alignment horizontal="left"/>
    </xf>
    <xf numFmtId="0" fontId="4" fillId="0" borderId="0" xfId="0" applyFont="1" applyAlignment="1">
      <alignment horizontal="right"/>
    </xf>
    <xf numFmtId="0" fontId="4" fillId="0" borderId="0" xfId="0" applyFont="1"/>
    <xf numFmtId="0" fontId="15" fillId="0" borderId="0" xfId="0" applyFont="1"/>
    <xf numFmtId="0" fontId="16" fillId="0" borderId="0" xfId="4"/>
    <xf numFmtId="0" fontId="0" fillId="0" borderId="1" xfId="0" applyBorder="1" applyAlignment="1">
      <alignment horizontal="center" vertical="center"/>
    </xf>
    <xf numFmtId="2" fontId="0" fillId="0" borderId="1" xfId="0" applyNumberFormat="1" applyBorder="1" applyAlignment="1">
      <alignment horizontal="center" vertical="center"/>
    </xf>
    <xf numFmtId="0" fontId="0" fillId="0" borderId="12" xfId="0" applyBorder="1" applyAlignment="1">
      <alignment horizontal="center" vertical="center"/>
    </xf>
    <xf numFmtId="0" fontId="0" fillId="0" borderId="25" xfId="0" applyBorder="1" applyAlignment="1">
      <alignment horizontal="center" vertical="center"/>
    </xf>
    <xf numFmtId="0" fontId="0" fillId="0" borderId="22" xfId="0" applyBorder="1" applyAlignment="1">
      <alignment horizontal="center" vertical="center"/>
    </xf>
    <xf numFmtId="0" fontId="0" fillId="0" borderId="0" xfId="0" applyAlignment="1">
      <alignment wrapText="1"/>
    </xf>
    <xf numFmtId="0" fontId="0" fillId="0" borderId="14" xfId="0" applyBorder="1"/>
    <xf numFmtId="0" fontId="0" fillId="0" borderId="1" xfId="0" applyBorder="1" applyAlignment="1">
      <alignment horizontal="center"/>
    </xf>
    <xf numFmtId="0" fontId="10" fillId="0" borderId="0" xfId="0" applyFont="1"/>
    <xf numFmtId="0" fontId="19" fillId="8" borderId="28" xfId="6" applyAlignment="1">
      <alignment horizontal="center"/>
    </xf>
    <xf numFmtId="3" fontId="19" fillId="8" borderId="28" xfId="6" applyNumberFormat="1" applyAlignment="1">
      <alignment horizontal="center"/>
    </xf>
    <xf numFmtId="0" fontId="4" fillId="0" borderId="0" xfId="0" applyFont="1" applyAlignment="1">
      <alignment horizontal="center"/>
    </xf>
    <xf numFmtId="0" fontId="0" fillId="0" borderId="0" xfId="0" applyAlignment="1">
      <alignment horizontal="center"/>
    </xf>
    <xf numFmtId="0" fontId="28" fillId="0" borderId="0" xfId="0" applyFont="1" applyAlignment="1">
      <alignment horizontal="left" vertical="center" indent="5"/>
    </xf>
    <xf numFmtId="0" fontId="24" fillId="0" borderId="0" xfId="5" quotePrefix="1" applyFont="1" applyFill="1"/>
    <xf numFmtId="0" fontId="18" fillId="0" borderId="0" xfId="5" applyFill="1"/>
    <xf numFmtId="0" fontId="16" fillId="0" borderId="0" xfId="4" applyAlignment="1">
      <alignment horizontal="left"/>
    </xf>
    <xf numFmtId="0" fontId="4" fillId="12" borderId="1" xfId="0" applyFont="1" applyFill="1" applyBorder="1" applyAlignment="1">
      <alignment horizontal="center" vertical="center"/>
    </xf>
    <xf numFmtId="0" fontId="4" fillId="12" borderId="1" xfId="0" applyFont="1" applyFill="1" applyBorder="1" applyAlignment="1">
      <alignment horizontal="center" vertical="center" wrapText="1"/>
    </xf>
    <xf numFmtId="3" fontId="0" fillId="0" borderId="1" xfId="0" applyNumberFormat="1" applyBorder="1" applyAlignment="1">
      <alignment horizontal="center" vertical="center"/>
    </xf>
    <xf numFmtId="3" fontId="24" fillId="0" borderId="1" xfId="0" applyNumberFormat="1" applyFont="1" applyBorder="1" applyAlignment="1">
      <alignment horizontal="center"/>
    </xf>
    <xf numFmtId="0" fontId="29" fillId="0" borderId="1" xfId="0" applyFont="1" applyBorder="1" applyAlignment="1">
      <alignment horizontal="center" vertical="center"/>
    </xf>
    <xf numFmtId="3" fontId="29" fillId="0" borderId="1" xfId="0" applyNumberFormat="1" applyFont="1" applyBorder="1" applyAlignment="1">
      <alignment horizontal="center"/>
    </xf>
    <xf numFmtId="2" fontId="29" fillId="0" borderId="1" xfId="0" applyNumberFormat="1" applyFont="1" applyBorder="1" applyAlignment="1">
      <alignment horizontal="center"/>
    </xf>
    <xf numFmtId="0" fontId="4" fillId="12" borderId="1" xfId="0" applyFont="1" applyFill="1" applyBorder="1" applyAlignment="1">
      <alignment horizontal="left" vertical="center"/>
    </xf>
    <xf numFmtId="0" fontId="4" fillId="12" borderId="2" xfId="0" applyFont="1" applyFill="1" applyBorder="1" applyAlignment="1">
      <alignment horizontal="center" vertical="center" wrapText="1"/>
    </xf>
    <xf numFmtId="0" fontId="4" fillId="12" borderId="3"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4" fillId="12" borderId="22" xfId="0" applyFont="1" applyFill="1" applyBorder="1" applyAlignment="1">
      <alignment horizontal="center" vertical="center" wrapText="1"/>
    </xf>
    <xf numFmtId="169" fontId="0" fillId="0" borderId="1" xfId="3" applyNumberFormat="1" applyFont="1" applyBorder="1" applyAlignment="1">
      <alignment horizontal="center" vertical="center"/>
    </xf>
    <xf numFmtId="0" fontId="10" fillId="0" borderId="1" xfId="0" applyFont="1" applyBorder="1" applyAlignment="1">
      <alignment horizontal="center"/>
    </xf>
    <xf numFmtId="3" fontId="10" fillId="0" borderId="1" xfId="0" applyNumberFormat="1" applyFont="1" applyBorder="1" applyAlignment="1">
      <alignment horizontal="center" vertical="center"/>
    </xf>
    <xf numFmtId="169" fontId="29" fillId="0" borderId="1" xfId="3" applyNumberFormat="1" applyFont="1" applyBorder="1" applyAlignment="1">
      <alignment horizontal="center"/>
    </xf>
    <xf numFmtId="0" fontId="29" fillId="0" borderId="25" xfId="0" applyFont="1" applyBorder="1" applyAlignment="1">
      <alignment horizontal="center" vertical="center"/>
    </xf>
    <xf numFmtId="3" fontId="29" fillId="0" borderId="1" xfId="0" applyNumberFormat="1" applyFont="1" applyBorder="1" applyAlignment="1">
      <alignment horizontal="center" vertical="center"/>
    </xf>
    <xf numFmtId="0" fontId="24" fillId="0" borderId="1" xfId="0" applyFont="1" applyBorder="1" applyAlignment="1">
      <alignment horizontal="center"/>
    </xf>
    <xf numFmtId="2" fontId="24" fillId="0" borderId="1" xfId="0" applyNumberFormat="1" applyFont="1" applyBorder="1" applyAlignment="1">
      <alignment horizontal="center"/>
    </xf>
    <xf numFmtId="0" fontId="4" fillId="6" borderId="2" xfId="0" applyFont="1" applyFill="1" applyBorder="1" applyAlignment="1">
      <alignment vertical="center"/>
    </xf>
    <xf numFmtId="0" fontId="4" fillId="6" borderId="3" xfId="0" applyFont="1" applyFill="1" applyBorder="1" applyAlignment="1">
      <alignment vertical="center"/>
    </xf>
    <xf numFmtId="0" fontId="4" fillId="6" borderId="14" xfId="0" applyFont="1" applyFill="1" applyBorder="1" applyAlignment="1">
      <alignment vertical="center"/>
    </xf>
    <xf numFmtId="0" fontId="4" fillId="6" borderId="15" xfId="0" applyFont="1" applyFill="1" applyBorder="1" applyAlignment="1">
      <alignment vertical="center"/>
    </xf>
    <xf numFmtId="169" fontId="0" fillId="0" borderId="3" xfId="3" applyNumberFormat="1" applyFont="1" applyBorder="1" applyAlignment="1">
      <alignment horizontal="center"/>
    </xf>
    <xf numFmtId="0" fontId="0" fillId="0" borderId="12" xfId="0" applyBorder="1" applyAlignment="1">
      <alignment horizontal="center"/>
    </xf>
    <xf numFmtId="0" fontId="0" fillId="0" borderId="25" xfId="0" applyBorder="1" applyAlignment="1">
      <alignment horizontal="center"/>
    </xf>
    <xf numFmtId="170" fontId="0" fillId="0" borderId="1" xfId="0" applyNumberFormat="1" applyBorder="1" applyAlignment="1">
      <alignment horizontal="center" vertical="center"/>
    </xf>
    <xf numFmtId="0" fontId="0" fillId="0" borderId="22" xfId="0" applyBorder="1" applyAlignment="1">
      <alignment horizontal="center"/>
    </xf>
    <xf numFmtId="0" fontId="4" fillId="6" borderId="11" xfId="0" applyFont="1" applyFill="1" applyBorder="1" applyAlignment="1">
      <alignment vertical="center"/>
    </xf>
    <xf numFmtId="0" fontId="4" fillId="6" borderId="19" xfId="0" applyFont="1" applyFill="1" applyBorder="1" applyAlignment="1">
      <alignment vertical="center"/>
    </xf>
    <xf numFmtId="6" fontId="24" fillId="13" borderId="1" xfId="3" applyNumberFormat="1" applyFont="1" applyFill="1" applyBorder="1" applyAlignment="1">
      <alignment horizontal="center" vertical="center"/>
    </xf>
    <xf numFmtId="169" fontId="0" fillId="0" borderId="1" xfId="3" applyNumberFormat="1" applyFont="1" applyBorder="1" applyAlignment="1">
      <alignment horizontal="center"/>
    </xf>
    <xf numFmtId="169" fontId="24" fillId="0" borderId="1" xfId="3" applyNumberFormat="1" applyFont="1" applyBorder="1" applyAlignment="1">
      <alignment horizontal="center" vertical="center"/>
    </xf>
    <xf numFmtId="0" fontId="0" fillId="14" borderId="33" xfId="0" applyFill="1" applyBorder="1"/>
    <xf numFmtId="0" fontId="0" fillId="14" borderId="32" xfId="0" applyFill="1" applyBorder="1"/>
    <xf numFmtId="0" fontId="0" fillId="14" borderId="35" xfId="0" applyFill="1" applyBorder="1"/>
    <xf numFmtId="0" fontId="0" fillId="14" borderId="0" xfId="0" applyFill="1"/>
    <xf numFmtId="0" fontId="0" fillId="14" borderId="37" xfId="0" applyFill="1" applyBorder="1"/>
    <xf numFmtId="0" fontId="0" fillId="14" borderId="23" xfId="0" applyFill="1" applyBorder="1"/>
    <xf numFmtId="0" fontId="0" fillId="0" borderId="35" xfId="0" applyBorder="1"/>
    <xf numFmtId="0" fontId="33" fillId="0" borderId="0" xfId="0" applyFont="1" applyAlignment="1">
      <alignment vertical="center"/>
    </xf>
    <xf numFmtId="0" fontId="34" fillId="0" borderId="0" xfId="0" applyFont="1"/>
    <xf numFmtId="0" fontId="0" fillId="0" borderId="36" xfId="0" applyBorder="1"/>
    <xf numFmtId="0" fontId="2" fillId="0" borderId="0" xfId="0" applyFont="1" applyAlignment="1">
      <alignment horizontal="left" vertical="center" indent="5"/>
    </xf>
    <xf numFmtId="0" fontId="15" fillId="0" borderId="27" xfId="0" applyFont="1" applyBorder="1"/>
    <xf numFmtId="0" fontId="35" fillId="0" borderId="14" xfId="0" applyFont="1" applyBorder="1" applyAlignment="1">
      <alignment horizontal="left" vertical="center" indent="5"/>
    </xf>
    <xf numFmtId="0" fontId="37" fillId="0" borderId="14" xfId="0" applyFont="1" applyBorder="1"/>
    <xf numFmtId="0" fontId="15" fillId="0" borderId="14" xfId="0" applyFont="1" applyBorder="1"/>
    <xf numFmtId="0" fontId="34" fillId="0" borderId="14" xfId="0" applyFont="1" applyBorder="1"/>
    <xf numFmtId="0" fontId="0" fillId="0" borderId="26" xfId="0" applyBorder="1"/>
    <xf numFmtId="0" fontId="35" fillId="0" borderId="0" xfId="0" applyFont="1" applyAlignment="1">
      <alignment horizontal="left" vertical="center" indent="5"/>
    </xf>
    <xf numFmtId="0" fontId="4" fillId="6" borderId="20" xfId="0" applyFont="1" applyFill="1" applyBorder="1" applyAlignment="1">
      <alignment horizontal="center" vertical="center"/>
    </xf>
    <xf numFmtId="0" fontId="4" fillId="6" borderId="1" xfId="0" applyFont="1" applyFill="1" applyBorder="1" applyAlignment="1">
      <alignment horizontal="center" vertical="center"/>
    </xf>
    <xf numFmtId="0" fontId="4" fillId="6" borderId="2"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21" xfId="0" applyFont="1" applyFill="1" applyBorder="1" applyAlignment="1">
      <alignment horizontal="center" vertical="center"/>
    </xf>
    <xf numFmtId="0" fontId="0" fillId="2" borderId="2" xfId="0" applyFill="1" applyBorder="1" applyAlignment="1">
      <alignment horizontal="center"/>
    </xf>
    <xf numFmtId="0" fontId="24" fillId="2" borderId="20" xfId="0" applyFont="1" applyFill="1" applyBorder="1" applyAlignment="1">
      <alignment horizontal="center" wrapText="1"/>
    </xf>
    <xf numFmtId="0" fontId="24" fillId="2" borderId="1" xfId="0" applyFont="1" applyFill="1" applyBorder="1" applyAlignment="1">
      <alignment horizontal="center" wrapText="1"/>
    </xf>
    <xf numFmtId="2" fontId="24" fillId="2" borderId="1" xfId="0" applyNumberFormat="1" applyFont="1" applyFill="1" applyBorder="1" applyAlignment="1">
      <alignment horizontal="center"/>
    </xf>
    <xf numFmtId="169" fontId="24" fillId="2" borderId="21" xfId="3" applyNumberFormat="1" applyFont="1" applyFill="1" applyBorder="1" applyAlignment="1">
      <alignment horizontal="center"/>
    </xf>
    <xf numFmtId="0" fontId="24" fillId="0" borderId="20" xfId="0" applyFont="1" applyBorder="1" applyAlignment="1">
      <alignment horizontal="center" vertical="center"/>
    </xf>
    <xf numFmtId="0" fontId="39" fillId="16" borderId="2" xfId="0" applyFont="1" applyFill="1" applyBorder="1" applyAlignment="1">
      <alignment horizontal="center"/>
    </xf>
    <xf numFmtId="0" fontId="20" fillId="16" borderId="1" xfId="0" applyFont="1" applyFill="1" applyBorder="1" applyAlignment="1">
      <alignment horizontal="center"/>
    </xf>
    <xf numFmtId="0" fontId="24" fillId="13" borderId="2" xfId="0" applyFont="1" applyFill="1" applyBorder="1" applyAlignment="1">
      <alignment horizontal="center"/>
    </xf>
    <xf numFmtId="2" fontId="1" fillId="0" borderId="2" xfId="1" applyNumberFormat="1" applyBorder="1" applyAlignment="1">
      <alignment horizontal="center" vertical="center"/>
    </xf>
    <xf numFmtId="2" fontId="0" fillId="5" borderId="12" xfId="0" applyNumberFormat="1" applyFill="1" applyBorder="1" applyAlignment="1">
      <alignment horizontal="center" vertical="center"/>
    </xf>
    <xf numFmtId="0" fontId="0" fillId="13" borderId="3" xfId="0" applyFill="1" applyBorder="1" applyAlignment="1">
      <alignment horizontal="center" vertical="center"/>
    </xf>
    <xf numFmtId="0" fontId="0" fillId="5" borderId="12" xfId="0" applyFill="1" applyBorder="1" applyAlignment="1">
      <alignment horizontal="center" vertical="center"/>
    </xf>
    <xf numFmtId="2" fontId="0" fillId="13" borderId="3" xfId="0" applyNumberFormat="1" applyFill="1" applyBorder="1" applyAlignment="1">
      <alignment horizontal="center" vertical="center"/>
    </xf>
    <xf numFmtId="2" fontId="0" fillId="5" borderId="12" xfId="0" applyNumberFormat="1" applyFill="1" applyBorder="1"/>
    <xf numFmtId="169" fontId="1" fillId="13" borderId="3" xfId="3" applyNumberFormat="1" applyFill="1" applyBorder="1" applyAlignment="1">
      <alignment horizontal="center" vertical="center"/>
    </xf>
    <xf numFmtId="1" fontId="0" fillId="0" borderId="4" xfId="0" applyNumberFormat="1" applyBorder="1" applyAlignment="1">
      <alignment horizontal="center"/>
    </xf>
    <xf numFmtId="1" fontId="0" fillId="0" borderId="1" xfId="0" applyNumberFormat="1" applyBorder="1" applyAlignment="1">
      <alignment horizontal="center"/>
    </xf>
    <xf numFmtId="2" fontId="0" fillId="0" borderId="1" xfId="0" applyNumberFormat="1" applyBorder="1" applyAlignment="1">
      <alignment horizontal="center"/>
    </xf>
    <xf numFmtId="169" fontId="0" fillId="0" borderId="21" xfId="3" applyNumberFormat="1" applyFont="1" applyBorder="1" applyAlignment="1">
      <alignment horizontal="center"/>
    </xf>
    <xf numFmtId="2" fontId="0" fillId="0" borderId="2" xfId="0" quotePrefix="1" applyNumberFormat="1" applyBorder="1" applyAlignment="1">
      <alignment horizontal="center" vertical="center"/>
    </xf>
    <xf numFmtId="2" fontId="0" fillId="5" borderId="25" xfId="0" applyNumberFormat="1" applyFill="1" applyBorder="1" applyAlignment="1">
      <alignment horizontal="center" vertical="center"/>
    </xf>
    <xf numFmtId="0" fontId="0" fillId="5" borderId="25" xfId="0" applyFill="1" applyBorder="1" applyAlignment="1">
      <alignment horizontal="center" vertical="center"/>
    </xf>
    <xf numFmtId="2" fontId="0" fillId="5" borderId="25" xfId="0" applyNumberFormat="1" applyFill="1" applyBorder="1"/>
    <xf numFmtId="2" fontId="0" fillId="0" borderId="2" xfId="0" applyNumberFormat="1" applyBorder="1" applyAlignment="1">
      <alignment horizontal="center" vertical="center"/>
    </xf>
    <xf numFmtId="2" fontId="0" fillId="0" borderId="0" xfId="0" applyNumberFormat="1" applyAlignment="1">
      <alignment horizontal="center"/>
    </xf>
    <xf numFmtId="1" fontId="0" fillId="13" borderId="3" xfId="0" applyNumberFormat="1" applyFill="1" applyBorder="1" applyAlignment="1">
      <alignment horizontal="center" vertical="center"/>
    </xf>
    <xf numFmtId="2" fontId="24" fillId="13" borderId="3" xfId="0" applyNumberFormat="1" applyFont="1" applyFill="1" applyBorder="1" applyAlignment="1">
      <alignment horizontal="center"/>
    </xf>
    <xf numFmtId="2" fontId="0" fillId="5" borderId="22" xfId="0" applyNumberFormat="1" applyFill="1" applyBorder="1" applyAlignment="1">
      <alignment horizontal="center" vertical="center"/>
    </xf>
    <xf numFmtId="0" fontId="0" fillId="5" borderId="22" xfId="0" applyFill="1" applyBorder="1" applyAlignment="1">
      <alignment horizontal="center" vertical="center"/>
    </xf>
    <xf numFmtId="2" fontId="0" fillId="5" borderId="22" xfId="0" applyNumberFormat="1" applyFill="1" applyBorder="1"/>
    <xf numFmtId="0" fontId="0" fillId="0" borderId="20" xfId="0" applyBorder="1" applyAlignment="1">
      <alignment horizontal="center" vertical="center"/>
    </xf>
    <xf numFmtId="0" fontId="39" fillId="16" borderId="1" xfId="0" applyFont="1" applyFill="1" applyBorder="1" applyAlignment="1">
      <alignment horizontal="center"/>
    </xf>
    <xf numFmtId="169" fontId="24" fillId="13" borderId="1" xfId="3" applyNumberFormat="1" applyFont="1" applyFill="1" applyBorder="1" applyAlignment="1">
      <alignment horizontal="center" vertical="center"/>
    </xf>
    <xf numFmtId="1" fontId="0" fillId="0" borderId="1" xfId="0" applyNumberFormat="1" applyBorder="1" applyAlignment="1">
      <alignment horizontal="center" vertical="center"/>
    </xf>
    <xf numFmtId="2" fontId="0" fillId="0" borderId="1" xfId="0" quotePrefix="1" applyNumberFormat="1" applyBorder="1" applyAlignment="1">
      <alignment horizontal="center" vertical="center"/>
    </xf>
    <xf numFmtId="169" fontId="0" fillId="0" borderId="40" xfId="3" applyNumberFormat="1" applyFont="1" applyBorder="1" applyAlignment="1">
      <alignment horizontal="center"/>
    </xf>
    <xf numFmtId="0" fontId="0" fillId="0" borderId="37" xfId="0" applyBorder="1"/>
    <xf numFmtId="0" fontId="0" fillId="0" borderId="23" xfId="0" applyBorder="1"/>
    <xf numFmtId="0" fontId="4" fillId="0" borderId="23" xfId="0" applyFont="1" applyBorder="1" applyAlignment="1">
      <alignment horizontal="center"/>
    </xf>
    <xf numFmtId="0" fontId="4" fillId="17" borderId="41" xfId="0" applyFont="1" applyFill="1" applyBorder="1" applyAlignment="1">
      <alignment horizontal="center"/>
    </xf>
    <xf numFmtId="0" fontId="4" fillId="3" borderId="23" xfId="0" applyFont="1" applyFill="1" applyBorder="1"/>
    <xf numFmtId="1" fontId="4" fillId="3" borderId="23" xfId="0" applyNumberFormat="1" applyFont="1" applyFill="1" applyBorder="1" applyAlignment="1">
      <alignment horizontal="center"/>
    </xf>
    <xf numFmtId="2" fontId="4" fillId="3" borderId="23" xfId="0" applyNumberFormat="1" applyFont="1" applyFill="1" applyBorder="1" applyAlignment="1">
      <alignment horizontal="center"/>
    </xf>
    <xf numFmtId="169" fontId="4" fillId="3" borderId="42" xfId="3" applyNumberFormat="1" applyFont="1" applyFill="1" applyBorder="1" applyAlignment="1">
      <alignment horizontal="center"/>
    </xf>
    <xf numFmtId="0" fontId="34" fillId="0" borderId="0" xfId="0" applyFont="1" applyAlignment="1">
      <alignment vertical="center"/>
    </xf>
    <xf numFmtId="0" fontId="43" fillId="0" borderId="0" xfId="0" applyFont="1"/>
    <xf numFmtId="0" fontId="2" fillId="0" borderId="0" xfId="0" applyFont="1" applyAlignment="1">
      <alignment horizontal="left"/>
    </xf>
    <xf numFmtId="0" fontId="0" fillId="0" borderId="0" xfId="0" applyAlignment="1">
      <alignment horizontal="left"/>
    </xf>
    <xf numFmtId="0" fontId="48" fillId="0" borderId="0" xfId="0" applyFont="1"/>
    <xf numFmtId="0" fontId="5" fillId="0" borderId="0" xfId="0" applyFont="1" applyAlignment="1">
      <alignment vertical="center" wrapText="1"/>
    </xf>
    <xf numFmtId="165" fontId="4" fillId="0" borderId="0" xfId="0" applyNumberFormat="1" applyFont="1" applyAlignment="1">
      <alignment horizontal="left" indent="1"/>
    </xf>
    <xf numFmtId="0" fontId="30" fillId="0" borderId="0" xfId="0" applyFont="1"/>
    <xf numFmtId="0" fontId="30" fillId="0" borderId="0" xfId="0" applyFont="1" applyAlignment="1">
      <alignment vertical="center"/>
    </xf>
    <xf numFmtId="0" fontId="30" fillId="0" borderId="0" xfId="0" applyFont="1" applyAlignment="1">
      <alignment horizontal="left" vertical="center" indent="5"/>
    </xf>
    <xf numFmtId="0" fontId="52" fillId="0" borderId="0" xfId="0" applyFont="1" applyAlignment="1">
      <alignment vertical="center"/>
    </xf>
    <xf numFmtId="0" fontId="30" fillId="0" borderId="0" xfId="0" applyFont="1" applyAlignment="1">
      <alignment horizontal="left" vertical="center" indent="2"/>
    </xf>
    <xf numFmtId="0" fontId="28" fillId="0" borderId="0" xfId="0" applyFont="1" applyAlignment="1">
      <alignment horizontal="left" vertical="center" wrapText="1"/>
    </xf>
    <xf numFmtId="0" fontId="30" fillId="0" borderId="0" xfId="0" applyFont="1" applyAlignment="1">
      <alignment horizontal="left" vertical="center" wrapText="1"/>
    </xf>
    <xf numFmtId="0" fontId="0" fillId="0" borderId="35" xfId="0" applyBorder="1" applyAlignment="1">
      <alignment vertical="center"/>
    </xf>
    <xf numFmtId="0" fontId="0" fillId="0" borderId="36" xfId="0" applyBorder="1" applyAlignment="1">
      <alignment vertical="center"/>
    </xf>
    <xf numFmtId="0" fontId="0" fillId="0" borderId="37" xfId="0" applyBorder="1" applyAlignment="1">
      <alignment vertical="center"/>
    </xf>
    <xf numFmtId="0" fontId="0" fillId="0" borderId="23" xfId="0" applyBorder="1" applyAlignment="1">
      <alignment vertical="center"/>
    </xf>
    <xf numFmtId="0" fontId="0" fillId="0" borderId="24" xfId="0" applyBorder="1" applyAlignment="1">
      <alignment vertical="center"/>
    </xf>
    <xf numFmtId="0" fontId="55" fillId="0" borderId="0" xfId="10" applyFont="1" applyAlignment="1" applyProtection="1">
      <alignment horizontal="left" vertical="center"/>
      <protection locked="0"/>
    </xf>
    <xf numFmtId="0" fontId="55" fillId="0" borderId="0" xfId="11" applyFont="1" applyAlignment="1" applyProtection="1">
      <alignment horizontal="left" vertical="center"/>
      <protection locked="0"/>
    </xf>
    <xf numFmtId="0" fontId="55" fillId="0" borderId="0" xfId="10" applyFont="1" applyAlignment="1">
      <alignment horizontal="left" vertical="center"/>
    </xf>
    <xf numFmtId="0" fontId="24" fillId="0" borderId="0" xfId="11" applyFont="1" applyAlignment="1" applyProtection="1">
      <alignment horizontal="left" vertical="center"/>
      <protection locked="0"/>
    </xf>
    <xf numFmtId="0" fontId="24" fillId="0" borderId="0" xfId="11" applyFont="1" applyAlignment="1">
      <alignment horizontal="left" vertical="center"/>
    </xf>
    <xf numFmtId="0" fontId="24" fillId="0" borderId="0" xfId="11" applyFont="1" applyAlignment="1" applyProtection="1">
      <alignment vertical="center"/>
      <protection locked="0"/>
    </xf>
    <xf numFmtId="0" fontId="24" fillId="0" borderId="0" xfId="11" applyFont="1" applyAlignment="1">
      <alignment vertical="center"/>
    </xf>
    <xf numFmtId="0" fontId="6" fillId="0" borderId="0" xfId="0" applyFont="1" applyAlignment="1">
      <alignment vertical="center"/>
    </xf>
    <xf numFmtId="0" fontId="53" fillId="19" borderId="49" xfId="0" applyFont="1" applyFill="1" applyBorder="1" applyAlignment="1">
      <alignment vertical="center"/>
    </xf>
    <xf numFmtId="0" fontId="53" fillId="19" borderId="50" xfId="0" applyFont="1" applyFill="1" applyBorder="1" applyAlignment="1">
      <alignment vertical="center"/>
    </xf>
    <xf numFmtId="0" fontId="53" fillId="19" borderId="51" xfId="0" applyFont="1" applyFill="1" applyBorder="1" applyAlignment="1">
      <alignment vertical="center"/>
    </xf>
    <xf numFmtId="0" fontId="61" fillId="19" borderId="49" xfId="0" applyFont="1" applyFill="1" applyBorder="1" applyAlignment="1">
      <alignment vertical="center"/>
    </xf>
    <xf numFmtId="0" fontId="61" fillId="19" borderId="50" xfId="0" applyFont="1" applyFill="1" applyBorder="1" applyAlignment="1">
      <alignment vertical="center"/>
    </xf>
    <xf numFmtId="0" fontId="61" fillId="19" borderId="52" xfId="0" applyFont="1" applyFill="1" applyBorder="1" applyAlignment="1">
      <alignment vertical="center"/>
    </xf>
    <xf numFmtId="0" fontId="61" fillId="19" borderId="53" xfId="0" applyFont="1" applyFill="1" applyBorder="1" applyAlignment="1">
      <alignment vertical="center"/>
    </xf>
    <xf numFmtId="0" fontId="61" fillId="19" borderId="51" xfId="0" applyFont="1" applyFill="1" applyBorder="1" applyAlignment="1">
      <alignment vertical="center"/>
    </xf>
    <xf numFmtId="0" fontId="6" fillId="0" borderId="44" xfId="0" applyFont="1" applyBorder="1" applyAlignment="1">
      <alignment vertical="center"/>
    </xf>
    <xf numFmtId="0" fontId="6" fillId="0" borderId="45" xfId="0" applyFont="1" applyBorder="1" applyAlignment="1">
      <alignment vertical="center"/>
    </xf>
    <xf numFmtId="0" fontId="0" fillId="0" borderId="46" xfId="0" applyBorder="1" applyAlignment="1">
      <alignment vertical="center"/>
    </xf>
    <xf numFmtId="0" fontId="15" fillId="0" borderId="0" xfId="0" applyFont="1" applyAlignment="1">
      <alignment vertical="center"/>
    </xf>
    <xf numFmtId="0" fontId="2" fillId="0" borderId="0" xfId="0" applyFont="1" applyAlignment="1">
      <alignment vertical="center"/>
    </xf>
    <xf numFmtId="0" fontId="14" fillId="0" borderId="0" xfId="0" applyFont="1" applyAlignment="1">
      <alignment horizontal="left" vertical="center"/>
    </xf>
    <xf numFmtId="1" fontId="4" fillId="0" borderId="0" xfId="0" applyNumberFormat="1" applyFont="1" applyAlignment="1">
      <alignment horizontal="right" vertical="center"/>
    </xf>
    <xf numFmtId="0" fontId="4" fillId="0" borderId="0" xfId="0" applyFont="1" applyAlignment="1">
      <alignment horizontal="left" vertical="center" wrapText="1"/>
    </xf>
    <xf numFmtId="0" fontId="0" fillId="0" borderId="0" xfId="0" applyAlignment="1">
      <alignment horizontal="right" vertical="center"/>
    </xf>
    <xf numFmtId="0" fontId="0" fillId="0" borderId="0" xfId="0" applyAlignment="1">
      <alignment horizontal="left" vertical="center" wrapText="1" indent="4"/>
    </xf>
    <xf numFmtId="0" fontId="40" fillId="0" borderId="0" xfId="0" applyFont="1" applyAlignment="1">
      <alignment horizontal="left" vertical="center"/>
    </xf>
    <xf numFmtId="0" fontId="24"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right" vertical="center" wrapText="1"/>
    </xf>
    <xf numFmtId="0" fontId="24" fillId="0" borderId="0" xfId="0" applyFont="1" applyAlignment="1">
      <alignment horizontal="center" vertical="center" wrapText="1"/>
    </xf>
    <xf numFmtId="0" fontId="40" fillId="0" borderId="0" xfId="0" quotePrefix="1" applyFont="1" applyAlignment="1">
      <alignment vertical="center" wrapText="1"/>
    </xf>
    <xf numFmtId="0" fontId="24" fillId="0" borderId="0" xfId="0" quotePrefix="1"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xf>
    <xf numFmtId="0" fontId="4" fillId="0" borderId="0" xfId="11" applyFont="1" applyAlignment="1">
      <alignment horizontal="left" vertical="center"/>
    </xf>
    <xf numFmtId="0" fontId="24" fillId="0" borderId="0" xfId="10" applyFont="1" applyAlignment="1" applyProtection="1">
      <alignment horizontal="left" vertical="center"/>
      <protection locked="0"/>
    </xf>
    <xf numFmtId="0" fontId="57" fillId="0" borderId="0" xfId="10" applyFont="1" applyAlignment="1">
      <alignment horizontal="left" vertical="center"/>
    </xf>
    <xf numFmtId="3" fontId="24" fillId="0" borderId="0" xfId="10" applyNumberFormat="1" applyFont="1" applyAlignment="1">
      <alignment horizontal="left" vertical="center"/>
    </xf>
    <xf numFmtId="165" fontId="24" fillId="0" borderId="0" xfId="10" applyNumberFormat="1" applyFont="1" applyAlignment="1">
      <alignment horizontal="left" vertical="center"/>
    </xf>
    <xf numFmtId="0" fontId="0" fillId="0" borderId="0" xfId="0" quotePrefix="1" applyAlignment="1">
      <alignment vertical="center"/>
    </xf>
    <xf numFmtId="0" fontId="0" fillId="0" borderId="0" xfId="11" applyFont="1" applyAlignment="1" applyProtection="1">
      <alignment horizontal="left" vertical="center"/>
      <protection locked="0"/>
    </xf>
    <xf numFmtId="0" fontId="24" fillId="0" borderId="0" xfId="10" applyFont="1" applyAlignment="1">
      <alignment horizontal="left" vertical="center"/>
    </xf>
    <xf numFmtId="0" fontId="68" fillId="0" borderId="16" xfId="10" applyFont="1" applyBorder="1" applyAlignment="1">
      <alignment horizontal="left" vertical="center" wrapText="1"/>
    </xf>
    <xf numFmtId="0" fontId="68" fillId="0" borderId="0" xfId="0" applyFont="1" applyAlignment="1">
      <alignment horizontal="left" vertical="center" wrapText="1"/>
    </xf>
    <xf numFmtId="0" fontId="68" fillId="0" borderId="16" xfId="0" applyFont="1" applyBorder="1" applyAlignment="1">
      <alignment horizontal="left" vertical="center" wrapText="1"/>
    </xf>
    <xf numFmtId="0" fontId="24" fillId="0" borderId="0" xfId="12" applyFont="1" applyAlignment="1">
      <alignment horizontal="left" vertical="center"/>
    </xf>
    <xf numFmtId="9" fontId="24" fillId="0" borderId="0" xfId="12" applyNumberFormat="1" applyFont="1" applyAlignment="1">
      <alignment horizontal="left" vertical="center"/>
    </xf>
    <xf numFmtId="0" fontId="24" fillId="0" borderId="0" xfId="13" applyFont="1" applyAlignment="1">
      <alignment horizontal="left" vertical="center"/>
    </xf>
    <xf numFmtId="0" fontId="56" fillId="0" borderId="0" xfId="12" applyFont="1" applyAlignment="1">
      <alignment horizontal="left" vertical="center"/>
    </xf>
    <xf numFmtId="3" fontId="67" fillId="0" borderId="0" xfId="12" applyNumberFormat="1" applyFont="1" applyAlignment="1">
      <alignment horizontal="left" vertical="center"/>
    </xf>
    <xf numFmtId="9" fontId="56" fillId="0" borderId="0" xfId="12" applyNumberFormat="1" applyFont="1" applyAlignment="1">
      <alignment horizontal="left" vertical="center"/>
    </xf>
    <xf numFmtId="0" fontId="56" fillId="0" borderId="0" xfId="13" applyFont="1" applyAlignment="1">
      <alignment horizontal="left" vertical="center"/>
    </xf>
    <xf numFmtId="0" fontId="55" fillId="0" borderId="0" xfId="0" applyFont="1" applyAlignment="1">
      <alignment horizontal="left" vertical="center"/>
    </xf>
    <xf numFmtId="171" fontId="57" fillId="0" borderId="0" xfId="12" applyNumberFormat="1" applyFont="1" applyAlignment="1">
      <alignment horizontal="left" vertical="center"/>
    </xf>
    <xf numFmtId="38" fontId="57" fillId="0" borderId="0" xfId="12" applyNumberFormat="1" applyFont="1" applyAlignment="1">
      <alignment horizontal="left" vertical="center"/>
    </xf>
    <xf numFmtId="171" fontId="57" fillId="0" borderId="0" xfId="13" applyNumberFormat="1" applyFont="1" applyAlignment="1">
      <alignment horizontal="left" vertical="center"/>
    </xf>
    <xf numFmtId="0" fontId="57" fillId="0" borderId="0" xfId="13" applyFont="1" applyAlignment="1">
      <alignment horizontal="left" vertical="center"/>
    </xf>
    <xf numFmtId="3" fontId="24" fillId="0" borderId="0" xfId="0" applyNumberFormat="1" applyFont="1" applyAlignment="1">
      <alignment horizontal="left" vertical="center"/>
    </xf>
    <xf numFmtId="0" fontId="40" fillId="0" borderId="0" xfId="10" applyFont="1" applyAlignment="1">
      <alignment horizontal="left" vertical="center"/>
    </xf>
    <xf numFmtId="170" fontId="24" fillId="0" borderId="0" xfId="0" applyNumberFormat="1" applyFont="1" applyAlignment="1">
      <alignment horizontal="left" vertical="center"/>
    </xf>
    <xf numFmtId="0" fontId="55" fillId="0" borderId="0" xfId="0" applyFont="1"/>
    <xf numFmtId="0" fontId="40" fillId="0" borderId="12" xfId="0" applyFont="1" applyBorder="1" applyAlignment="1">
      <alignment vertical="center"/>
    </xf>
    <xf numFmtId="0" fontId="24" fillId="0" borderId="0" xfId="0" applyFont="1"/>
    <xf numFmtId="0" fontId="24" fillId="0" borderId="0" xfId="0" applyFont="1" applyAlignment="1">
      <alignment horizontal="left" indent="2"/>
    </xf>
    <xf numFmtId="0" fontId="24" fillId="0" borderId="0" xfId="0" quotePrefix="1" applyFont="1" applyAlignment="1">
      <alignment horizontal="left"/>
    </xf>
    <xf numFmtId="0" fontId="55" fillId="0" borderId="0" xfId="10" applyFont="1"/>
    <xf numFmtId="0" fontId="55" fillId="0" borderId="0" xfId="10" applyFont="1" applyAlignment="1">
      <alignment vertical="top"/>
    </xf>
    <xf numFmtId="0" fontId="57" fillId="0" borderId="0" xfId="15" applyFont="1" applyAlignment="1">
      <alignment horizontal="left" indent="2"/>
    </xf>
    <xf numFmtId="0" fontId="57" fillId="0" borderId="0" xfId="15" applyFont="1" applyAlignment="1">
      <alignment horizontal="center"/>
    </xf>
    <xf numFmtId="173" fontId="57" fillId="0" borderId="0" xfId="15" applyNumberFormat="1" applyFont="1" applyAlignment="1">
      <alignment horizontal="center"/>
    </xf>
    <xf numFmtId="0" fontId="57" fillId="0" borderId="0" xfId="15" applyFont="1" applyAlignment="1">
      <alignment horizontal="left"/>
    </xf>
    <xf numFmtId="0" fontId="57" fillId="0" borderId="0" xfId="15" applyFont="1"/>
    <xf numFmtId="3" fontId="67" fillId="0" borderId="0" xfId="12" applyNumberFormat="1" applyFont="1"/>
    <xf numFmtId="0" fontId="57" fillId="0" borderId="0" xfId="15" applyFont="1" applyAlignment="1">
      <alignment horizontal="right"/>
    </xf>
    <xf numFmtId="0" fontId="24" fillId="0" borderId="0" xfId="10" applyFont="1"/>
    <xf numFmtId="3" fontId="24" fillId="0" borderId="0" xfId="12" applyNumberFormat="1" applyFont="1"/>
    <xf numFmtId="0" fontId="56" fillId="0" borderId="0" xfId="10" applyFont="1"/>
    <xf numFmtId="0" fontId="55" fillId="0" borderId="0" xfId="10" applyFont="1" applyAlignment="1">
      <alignment horizontal="left" vertical="top"/>
    </xf>
    <xf numFmtId="0" fontId="5" fillId="0" borderId="0" xfId="0" applyFont="1" applyAlignment="1">
      <alignment vertical="center"/>
    </xf>
    <xf numFmtId="0" fontId="2" fillId="0" borderId="0" xfId="0" applyFont="1" applyAlignment="1">
      <alignment horizontal="left" vertical="center"/>
    </xf>
    <xf numFmtId="0" fontId="58" fillId="0" borderId="0" xfId="0" applyFont="1" applyAlignment="1">
      <alignment horizontal="left" vertical="center"/>
    </xf>
    <xf numFmtId="2" fontId="2" fillId="0" borderId="0" xfId="0" applyNumberFormat="1" applyFont="1" applyAlignment="1">
      <alignment horizontal="left" vertical="center"/>
    </xf>
    <xf numFmtId="0" fontId="13" fillId="0" borderId="0" xfId="0" applyFont="1" applyAlignment="1">
      <alignment horizontal="left" vertical="center"/>
    </xf>
    <xf numFmtId="0" fontId="71" fillId="0" borderId="0" xfId="0" applyFont="1" applyAlignment="1">
      <alignment horizontal="left" vertical="center"/>
    </xf>
    <xf numFmtId="0" fontId="13" fillId="0" borderId="0" xfId="0" applyFont="1" applyAlignment="1">
      <alignment vertical="center"/>
    </xf>
    <xf numFmtId="164" fontId="0" fillId="0" borderId="0" xfId="0" applyNumberFormat="1" applyAlignment="1">
      <alignment horizontal="left" vertical="center"/>
    </xf>
    <xf numFmtId="0" fontId="2" fillId="0" borderId="0" xfId="0" applyFont="1" applyAlignment="1">
      <alignment horizontal="left" vertical="center" wrapText="1"/>
    </xf>
    <xf numFmtId="0" fontId="53" fillId="19" borderId="33" xfId="0" applyFont="1" applyFill="1" applyBorder="1" applyAlignment="1">
      <alignment vertical="center"/>
    </xf>
    <xf numFmtId="0" fontId="53" fillId="19" borderId="32" xfId="0" applyFont="1" applyFill="1" applyBorder="1" applyAlignment="1">
      <alignment vertical="center"/>
    </xf>
    <xf numFmtId="0" fontId="61" fillId="19" borderId="33" xfId="0" applyFont="1" applyFill="1" applyBorder="1" applyAlignment="1">
      <alignment vertical="center"/>
    </xf>
    <xf numFmtId="0" fontId="61" fillId="19" borderId="32" xfId="0" applyFont="1" applyFill="1" applyBorder="1" applyAlignment="1">
      <alignment vertical="center"/>
    </xf>
    <xf numFmtId="0" fontId="0" fillId="0" borderId="0" xfId="0" applyAlignment="1">
      <alignment horizontal="left" wrapText="1"/>
    </xf>
    <xf numFmtId="0" fontId="0" fillId="0" borderId="0" xfId="0" quotePrefix="1" applyAlignment="1">
      <alignment vertical="center" wrapText="1"/>
    </xf>
    <xf numFmtId="0" fontId="34" fillId="0" borderId="0" xfId="0" applyFont="1" applyAlignment="1">
      <alignment horizontal="left" vertical="center"/>
    </xf>
    <xf numFmtId="0" fontId="61" fillId="19" borderId="34" xfId="0" applyFont="1" applyFill="1" applyBorder="1" applyAlignment="1">
      <alignment vertical="center"/>
    </xf>
    <xf numFmtId="0" fontId="53" fillId="19" borderId="34" xfId="0" applyFont="1" applyFill="1" applyBorder="1" applyAlignment="1">
      <alignment vertical="center"/>
    </xf>
    <xf numFmtId="0" fontId="0" fillId="0" borderId="11" xfId="0" applyBorder="1" applyAlignment="1">
      <alignment horizontal="center" vertical="center"/>
    </xf>
    <xf numFmtId="0" fontId="24" fillId="0" borderId="0" xfId="0" applyFont="1" applyAlignment="1">
      <alignment vertical="center"/>
    </xf>
    <xf numFmtId="0" fontId="24" fillId="0" borderId="0" xfId="0" applyFont="1" applyAlignment="1">
      <alignment vertical="center" wrapText="1"/>
    </xf>
    <xf numFmtId="179" fontId="4" fillId="0" borderId="0" xfId="2" applyNumberFormat="1" applyFont="1" applyAlignment="1">
      <alignment horizontal="left" vertical="center"/>
    </xf>
    <xf numFmtId="178" fontId="4" fillId="0" borderId="0" xfId="2" applyNumberFormat="1" applyFont="1" applyAlignment="1">
      <alignment horizontal="left" vertical="center"/>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9" fontId="24" fillId="0" borderId="0" xfId="16" applyNumberFormat="1" applyFont="1" applyAlignment="1">
      <alignment horizontal="center" vertical="center"/>
    </xf>
    <xf numFmtId="0" fontId="0" fillId="0" borderId="0" xfId="0" applyAlignment="1">
      <alignment horizontal="left" vertical="top" wrapText="1"/>
    </xf>
    <xf numFmtId="0" fontId="48" fillId="0" borderId="0" xfId="0" applyFont="1" applyAlignment="1">
      <alignment horizontal="left" vertical="top"/>
    </xf>
    <xf numFmtId="0" fontId="0" fillId="0" borderId="0" xfId="0" applyAlignment="1">
      <alignment horizontal="left" vertical="top"/>
    </xf>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horizontal="left"/>
    </xf>
    <xf numFmtId="0" fontId="21" fillId="0" borderId="0" xfId="0" applyFont="1" applyAlignment="1">
      <alignment horizontal="left" vertical="center"/>
    </xf>
    <xf numFmtId="0" fontId="26" fillId="0" borderId="0" xfId="0" applyFont="1" applyAlignment="1">
      <alignment horizontal="left" vertical="center"/>
    </xf>
    <xf numFmtId="167" fontId="21" fillId="0" borderId="0" xfId="0" applyNumberFormat="1" applyFont="1" applyAlignment="1">
      <alignment horizontal="left" vertical="center"/>
    </xf>
    <xf numFmtId="0" fontId="17" fillId="0" borderId="0" xfId="0" applyFont="1" applyAlignment="1">
      <alignment horizontal="left" vertical="center"/>
    </xf>
    <xf numFmtId="0" fontId="17" fillId="0" borderId="0" xfId="0" applyFont="1" applyAlignment="1">
      <alignment vertical="center"/>
    </xf>
    <xf numFmtId="0" fontId="4" fillId="0" borderId="11" xfId="0" applyFont="1" applyBorder="1" applyAlignment="1">
      <alignment vertical="center"/>
    </xf>
    <xf numFmtId="0" fontId="45" fillId="0" borderId="0" xfId="0" applyFont="1" applyAlignment="1">
      <alignment horizontal="left" vertical="center"/>
    </xf>
    <xf numFmtId="0" fontId="84" fillId="0" borderId="0" xfId="0" applyFont="1" applyAlignment="1">
      <alignment horizontal="left" vertical="center"/>
    </xf>
    <xf numFmtId="0" fontId="79" fillId="0" borderId="0" xfId="0" applyFont="1" applyAlignment="1">
      <alignment horizontal="left" vertical="center"/>
    </xf>
    <xf numFmtId="0" fontId="50" fillId="18" borderId="0" xfId="0" applyFont="1" applyFill="1" applyAlignment="1">
      <alignment horizontal="left" vertical="center"/>
    </xf>
    <xf numFmtId="0" fontId="17" fillId="18" borderId="0" xfId="0" applyFont="1" applyFill="1" applyAlignment="1">
      <alignment horizontal="left" vertical="center"/>
    </xf>
    <xf numFmtId="0" fontId="3" fillId="0" borderId="0" xfId="0" applyFont="1" applyAlignment="1">
      <alignment horizontal="left" vertical="center"/>
    </xf>
    <xf numFmtId="2" fontId="4" fillId="0" borderId="0" xfId="0" applyNumberFormat="1" applyFont="1" applyAlignment="1">
      <alignment horizontal="left" indent="1"/>
    </xf>
    <xf numFmtId="0" fontId="34" fillId="0" borderId="0" xfId="0" applyFont="1" applyAlignment="1">
      <alignment vertical="top"/>
    </xf>
    <xf numFmtId="0" fontId="0" fillId="0" borderId="0" xfId="0" applyAlignment="1">
      <alignment horizontal="center" vertical="center" wrapText="1"/>
    </xf>
    <xf numFmtId="0" fontId="21" fillId="0" borderId="0" xfId="0" applyFont="1" applyAlignment="1">
      <alignment horizontal="center" vertical="center"/>
    </xf>
    <xf numFmtId="0" fontId="21" fillId="0" borderId="0" xfId="0" applyFont="1" applyAlignment="1">
      <alignment vertical="center"/>
    </xf>
    <xf numFmtId="0" fontId="24" fillId="0" borderId="0" xfId="5" applyFont="1" applyFill="1" applyAlignment="1">
      <alignment horizontal="left" vertical="center"/>
    </xf>
    <xf numFmtId="0" fontId="46" fillId="0" borderId="0" xfId="0" applyFont="1" applyAlignment="1">
      <alignment vertical="center"/>
    </xf>
    <xf numFmtId="9" fontId="0" fillId="0" borderId="0" xfId="1" applyFont="1" applyAlignment="1">
      <alignment horizontal="left" vertical="center"/>
    </xf>
    <xf numFmtId="0" fontId="77" fillId="0" borderId="0" xfId="0" applyFont="1" applyAlignment="1">
      <alignment vertical="top"/>
    </xf>
    <xf numFmtId="0" fontId="71" fillId="0" borderId="0" xfId="0" applyFont="1" applyAlignment="1">
      <alignment vertical="top"/>
    </xf>
    <xf numFmtId="0" fontId="0" fillId="13" borderId="0" xfId="0" applyFill="1"/>
    <xf numFmtId="0" fontId="0" fillId="13" borderId="0" xfId="0" applyFill="1" applyAlignment="1">
      <alignment vertical="top"/>
    </xf>
    <xf numFmtId="0" fontId="4" fillId="13" borderId="0" xfId="0" applyFont="1" applyFill="1" applyAlignment="1">
      <alignment horizontal="right" vertical="top"/>
    </xf>
    <xf numFmtId="0" fontId="0" fillId="13" borderId="0" xfId="0" applyFill="1" applyAlignment="1">
      <alignment horizontal="center" vertical="top"/>
    </xf>
    <xf numFmtId="0" fontId="0" fillId="13" borderId="0" xfId="0" applyFill="1" applyAlignment="1">
      <alignment horizontal="left" vertical="top" wrapText="1"/>
    </xf>
    <xf numFmtId="0" fontId="0" fillId="13" borderId="0" xfId="0" applyFill="1" applyAlignment="1">
      <alignment horizontal="right" vertical="top"/>
    </xf>
    <xf numFmtId="0" fontId="0" fillId="0" borderId="0" xfId="0" quotePrefix="1" applyAlignment="1">
      <alignment horizontal="left" vertical="center"/>
    </xf>
    <xf numFmtId="0" fontId="4" fillId="13" borderId="0" xfId="0" applyFont="1" applyFill="1" applyAlignment="1">
      <alignment horizontal="right"/>
    </xf>
    <xf numFmtId="0" fontId="4" fillId="13" borderId="0" xfId="0" applyFont="1" applyFill="1"/>
    <xf numFmtId="0" fontId="2" fillId="0" borderId="0" xfId="0" applyFont="1" applyAlignment="1">
      <alignment horizontal="center" vertical="center"/>
    </xf>
    <xf numFmtId="0" fontId="0" fillId="0" borderId="0" xfId="0" applyAlignment="1">
      <alignment horizontal="right"/>
    </xf>
    <xf numFmtId="0" fontId="55" fillId="0" borderId="0" xfId="0" applyFont="1" applyAlignment="1">
      <alignment horizontal="left"/>
    </xf>
    <xf numFmtId="0" fontId="55" fillId="0" borderId="0" xfId="0" applyFont="1" applyAlignment="1">
      <alignment horizontal="center"/>
    </xf>
    <xf numFmtId="0" fontId="24" fillId="0" borderId="0" xfId="0" applyFont="1" applyAlignment="1">
      <alignment horizontal="left"/>
    </xf>
    <xf numFmtId="0" fontId="24" fillId="0" borderId="0" xfId="0" applyFont="1" applyAlignment="1">
      <alignment horizontal="center"/>
    </xf>
    <xf numFmtId="0" fontId="62" fillId="0" borderId="0" xfId="4" applyFont="1" applyAlignment="1">
      <alignment horizontal="left" indent="2"/>
    </xf>
    <xf numFmtId="0" fontId="16" fillId="0" borderId="0" xfId="4" applyAlignment="1">
      <alignment horizontal="left" indent="4"/>
    </xf>
    <xf numFmtId="0" fontId="87" fillId="0" borderId="0" xfId="4" applyFont="1"/>
    <xf numFmtId="0" fontId="87" fillId="0" borderId="0" xfId="4" applyFont="1" applyAlignment="1">
      <alignment horizontal="left"/>
    </xf>
    <xf numFmtId="0" fontId="81" fillId="24" borderId="0" xfId="0" applyFont="1" applyFill="1" applyAlignment="1">
      <alignment horizontal="center" vertical="top"/>
    </xf>
    <xf numFmtId="14" fontId="0" fillId="0" borderId="0" xfId="0" applyNumberFormat="1" applyAlignment="1">
      <alignment vertical="top"/>
    </xf>
    <xf numFmtId="14" fontId="0" fillId="0" borderId="0" xfId="0" applyNumberFormat="1" applyAlignment="1">
      <alignment vertical="top" wrapText="1"/>
    </xf>
    <xf numFmtId="16" fontId="0" fillId="0" borderId="0" xfId="0" applyNumberFormat="1" applyAlignment="1">
      <alignment vertical="top"/>
    </xf>
    <xf numFmtId="15" fontId="0" fillId="0" borderId="0" xfId="0" applyNumberFormat="1" applyAlignment="1">
      <alignment vertical="top"/>
    </xf>
    <xf numFmtId="14" fontId="81" fillId="24" borderId="0" xfId="0" applyNumberFormat="1" applyFont="1" applyFill="1" applyAlignment="1">
      <alignment horizontal="center" vertical="top"/>
    </xf>
    <xf numFmtId="0" fontId="81" fillId="24" borderId="0" xfId="0" applyFont="1" applyFill="1" applyAlignment="1">
      <alignment vertical="top"/>
    </xf>
    <xf numFmtId="0" fontId="81" fillId="0" borderId="0" xfId="0" applyFont="1" applyAlignment="1">
      <alignment vertical="top"/>
    </xf>
    <xf numFmtId="0" fontId="81" fillId="24" borderId="0" xfId="0" applyFont="1" applyFill="1" applyAlignment="1">
      <alignment horizontal="left" vertical="top"/>
    </xf>
    <xf numFmtId="0" fontId="34" fillId="0" borderId="0" xfId="0" applyFont="1" applyAlignment="1">
      <alignment vertical="center" wrapText="1"/>
    </xf>
    <xf numFmtId="0" fontId="79" fillId="0" borderId="0" xfId="0" applyFont="1" applyAlignment="1">
      <alignment vertical="top"/>
    </xf>
    <xf numFmtId="0" fontId="0" fillId="13" borderId="0" xfId="0" applyFill="1" applyAlignment="1">
      <alignment horizontal="left"/>
    </xf>
    <xf numFmtId="0" fontId="79" fillId="0" borderId="0" xfId="0" applyFont="1" applyAlignment="1">
      <alignment vertical="center"/>
    </xf>
    <xf numFmtId="0" fontId="4" fillId="13" borderId="0" xfId="0" applyFont="1" applyFill="1" applyAlignment="1">
      <alignment horizontal="right" vertical="center"/>
    </xf>
    <xf numFmtId="0" fontId="27" fillId="13" borderId="0" xfId="0" applyFont="1" applyFill="1"/>
    <xf numFmtId="2" fontId="0" fillId="0" borderId="0" xfId="0" applyNumberFormat="1"/>
    <xf numFmtId="0" fontId="0" fillId="0" borderId="0" xfId="0" applyAlignment="1">
      <alignment horizontal="right" vertical="top"/>
    </xf>
    <xf numFmtId="0" fontId="0" fillId="0" borderId="0" xfId="0" applyAlignment="1">
      <alignment horizontal="right" vertical="top" wrapText="1"/>
    </xf>
    <xf numFmtId="0" fontId="0" fillId="0" borderId="0" xfId="0" quotePrefix="1" applyAlignment="1">
      <alignment vertical="top" wrapText="1"/>
    </xf>
    <xf numFmtId="0" fontId="0" fillId="0" borderId="0" xfId="0" quotePrefix="1" applyAlignment="1">
      <alignment horizontal="right" vertical="top"/>
    </xf>
    <xf numFmtId="0" fontId="90" fillId="0" borderId="0" xfId="0" applyFont="1" applyAlignment="1">
      <alignment vertical="center" wrapText="1"/>
    </xf>
    <xf numFmtId="0" fontId="40" fillId="0" borderId="0" xfId="0" applyFont="1" applyAlignment="1">
      <alignment vertical="center"/>
    </xf>
    <xf numFmtId="0" fontId="24" fillId="0" borderId="0" xfId="0" quotePrefix="1" applyFont="1" applyAlignment="1">
      <alignment horizontal="left" vertical="center"/>
    </xf>
    <xf numFmtId="0" fontId="93" fillId="0" borderId="0" xfId="11" applyFont="1"/>
    <xf numFmtId="0" fontId="25" fillId="0" borderId="0" xfId="11"/>
    <xf numFmtId="0" fontId="94" fillId="0" borderId="0" xfId="11" applyFont="1"/>
    <xf numFmtId="0" fontId="95" fillId="0" borderId="0" xfId="11" applyFont="1"/>
    <xf numFmtId="0" fontId="96" fillId="0" borderId="0" xfId="11" applyFont="1"/>
    <xf numFmtId="0" fontId="97" fillId="0" borderId="0" xfId="11" applyFont="1"/>
    <xf numFmtId="0" fontId="98" fillId="0" borderId="0" xfId="11" applyFont="1"/>
    <xf numFmtId="0" fontId="99" fillId="0" borderId="1" xfId="11" applyFont="1" applyBorder="1" applyAlignment="1">
      <alignment horizontal="center"/>
    </xf>
    <xf numFmtId="0" fontId="100" fillId="0" borderId="0" xfId="11" applyFont="1"/>
    <xf numFmtId="0" fontId="96" fillId="0" borderId="1" xfId="11" applyFont="1" applyBorder="1" applyAlignment="1">
      <alignment horizontal="center"/>
    </xf>
    <xf numFmtId="1" fontId="96" fillId="0" borderId="1" xfId="11" applyNumberFormat="1" applyFont="1" applyBorder="1" applyAlignment="1">
      <alignment horizontal="center"/>
    </xf>
    <xf numFmtId="0" fontId="25" fillId="0" borderId="1" xfId="11" applyBorder="1" applyAlignment="1">
      <alignment horizontal="center"/>
    </xf>
    <xf numFmtId="164" fontId="96" fillId="0" borderId="1" xfId="11" applyNumberFormat="1" applyFont="1" applyBorder="1" applyAlignment="1">
      <alignment horizontal="center"/>
    </xf>
    <xf numFmtId="0" fontId="101" fillId="0" borderId="0" xfId="11" applyFont="1"/>
    <xf numFmtId="0" fontId="102" fillId="0" borderId="0" xfId="11" applyFont="1" applyAlignment="1">
      <alignment horizontal="left"/>
    </xf>
    <xf numFmtId="0" fontId="103" fillId="0" borderId="0" xfId="11" applyFont="1"/>
    <xf numFmtId="0" fontId="104" fillId="0" borderId="0" xfId="11" applyFont="1"/>
    <xf numFmtId="0" fontId="102" fillId="0" borderId="0" xfId="11" applyFont="1"/>
    <xf numFmtId="0" fontId="105" fillId="0" borderId="0" xfId="11" applyFont="1"/>
    <xf numFmtId="0" fontId="79" fillId="25" borderId="29" xfId="0" applyFont="1" applyFill="1" applyBorder="1" applyAlignment="1">
      <alignment vertical="top"/>
    </xf>
    <xf numFmtId="0" fontId="79" fillId="25" borderId="30" xfId="0" applyFont="1" applyFill="1" applyBorder="1" applyAlignment="1">
      <alignment vertical="top"/>
    </xf>
    <xf numFmtId="0" fontId="79" fillId="25" borderId="37" xfId="0" applyFont="1" applyFill="1" applyBorder="1" applyAlignment="1">
      <alignment vertical="center"/>
    </xf>
    <xf numFmtId="0" fontId="106" fillId="13" borderId="0" xfId="0" applyFont="1" applyFill="1"/>
    <xf numFmtId="0" fontId="28" fillId="0" borderId="0" xfId="0" applyFont="1" applyAlignment="1">
      <alignment horizontal="center" vertical="top" wrapText="1"/>
    </xf>
    <xf numFmtId="14" fontId="0" fillId="0" borderId="0" xfId="0" applyNumberFormat="1" applyAlignment="1">
      <alignment horizontal="left" vertical="center"/>
    </xf>
    <xf numFmtId="0" fontId="40" fillId="29" borderId="0" xfId="0" applyFont="1" applyFill="1" applyAlignment="1">
      <alignment horizontal="left" vertical="center" wrapText="1"/>
    </xf>
    <xf numFmtId="0" fontId="40" fillId="29" borderId="0" xfId="0" applyFont="1" applyFill="1" applyAlignment="1">
      <alignment horizontal="left" vertical="center"/>
    </xf>
    <xf numFmtId="0" fontId="79" fillId="25" borderId="37" xfId="0" applyFont="1" applyFill="1" applyBorder="1" applyAlignment="1">
      <alignment vertical="center" wrapText="1"/>
    </xf>
    <xf numFmtId="0" fontId="5" fillId="0" borderId="0" xfId="0" applyFont="1" applyAlignment="1">
      <alignment horizontal="left" vertical="center" wrapText="1"/>
    </xf>
    <xf numFmtId="0" fontId="40" fillId="29" borderId="0" xfId="0" applyFont="1" applyFill="1" applyAlignment="1">
      <alignment horizontal="center" vertical="center"/>
    </xf>
    <xf numFmtId="0" fontId="24" fillId="13" borderId="0" xfId="0" applyFont="1" applyFill="1" applyAlignment="1">
      <alignment vertical="top"/>
    </xf>
    <xf numFmtId="0" fontId="24" fillId="13" borderId="0" xfId="0" applyFont="1" applyFill="1" applyAlignment="1">
      <alignment horizontal="left" vertical="top" wrapText="1"/>
    </xf>
    <xf numFmtId="0" fontId="109" fillId="0" borderId="0" xfId="0" applyFont="1" applyAlignment="1">
      <alignment vertical="center"/>
    </xf>
    <xf numFmtId="0" fontId="109" fillId="0" borderId="0" xfId="0" applyFont="1" applyAlignment="1">
      <alignment horizontal="left" vertical="center" wrapText="1"/>
    </xf>
    <xf numFmtId="0" fontId="16" fillId="0" borderId="0" xfId="4" applyAlignment="1">
      <alignment horizontal="center" vertical="top"/>
    </xf>
    <xf numFmtId="0" fontId="121" fillId="0" borderId="0" xfId="4" applyFont="1" applyAlignment="1">
      <alignment horizontal="center" vertical="top"/>
    </xf>
    <xf numFmtId="0" fontId="121" fillId="0" borderId="0" xfId="4" applyFont="1" applyAlignment="1">
      <alignment horizontal="left" vertical="top"/>
    </xf>
    <xf numFmtId="0" fontId="109" fillId="0" borderId="0" xfId="0" applyFont="1" applyAlignment="1">
      <alignment horizontal="center" vertical="center"/>
    </xf>
    <xf numFmtId="0" fontId="109" fillId="0" borderId="0" xfId="0" applyFont="1" applyAlignment="1">
      <alignment horizontal="left" vertical="center"/>
    </xf>
    <xf numFmtId="0" fontId="6" fillId="0" borderId="0" xfId="0" applyFont="1" applyAlignment="1">
      <alignment horizontal="left" vertical="center"/>
    </xf>
    <xf numFmtId="0" fontId="6" fillId="0" borderId="0" xfId="0" applyFont="1"/>
    <xf numFmtId="0" fontId="125" fillId="0" borderId="0" xfId="0" applyFont="1" applyAlignment="1">
      <alignment horizontal="left" vertical="top"/>
    </xf>
    <xf numFmtId="0" fontId="127" fillId="0" borderId="0" xfId="0" applyFont="1" applyAlignment="1">
      <alignment horizontal="center" vertical="center" wrapText="1"/>
    </xf>
    <xf numFmtId="0" fontId="71" fillId="0" borderId="0" xfId="0" applyFont="1"/>
    <xf numFmtId="0" fontId="125" fillId="0" borderId="0" xfId="0" applyFont="1" applyAlignment="1">
      <alignment vertical="center" wrapText="1"/>
    </xf>
    <xf numFmtId="0" fontId="20" fillId="0" borderId="0" xfId="0" applyFont="1" applyAlignment="1">
      <alignment horizontal="center"/>
    </xf>
    <xf numFmtId="0" fontId="20" fillId="0" borderId="0" xfId="0" applyFont="1"/>
    <xf numFmtId="0" fontId="132" fillId="0" borderId="0" xfId="0" applyFont="1" applyAlignment="1">
      <alignment horizontal="left" vertical="center"/>
    </xf>
    <xf numFmtId="0" fontId="131" fillId="0" borderId="0" xfId="0" applyFont="1" applyAlignment="1">
      <alignment horizontal="left" vertical="center"/>
    </xf>
    <xf numFmtId="0" fontId="135" fillId="0" borderId="0" xfId="5" applyFont="1" applyFill="1" applyAlignment="1">
      <alignment horizontal="left" vertical="center"/>
    </xf>
    <xf numFmtId="0" fontId="136" fillId="0" borderId="0" xfId="5" applyFont="1" applyFill="1" applyAlignment="1">
      <alignment horizontal="left" vertical="center"/>
    </xf>
    <xf numFmtId="0" fontId="34" fillId="0" borderId="14" xfId="0" applyFont="1" applyBorder="1" applyAlignment="1">
      <alignment vertical="top"/>
    </xf>
    <xf numFmtId="0" fontId="71" fillId="0" borderId="14" xfId="0" applyFont="1" applyBorder="1" applyAlignment="1">
      <alignment vertical="center"/>
    </xf>
    <xf numFmtId="0" fontId="71" fillId="0" borderId="0" xfId="0" applyFont="1" applyAlignment="1">
      <alignment vertical="center"/>
    </xf>
    <xf numFmtId="0" fontId="0" fillId="0" borderId="16" xfId="0" applyBorder="1" applyAlignment="1">
      <alignment horizontal="left" vertical="center"/>
    </xf>
    <xf numFmtId="0" fontId="146" fillId="0" borderId="0" xfId="0" applyFont="1" applyAlignment="1">
      <alignment horizontal="center" vertical="center" wrapText="1"/>
    </xf>
    <xf numFmtId="0" fontId="77" fillId="0" borderId="14" xfId="0" applyFont="1" applyBorder="1" applyAlignment="1">
      <alignment vertical="top"/>
    </xf>
    <xf numFmtId="0" fontId="132" fillId="0" borderId="0" xfId="0" applyFont="1" applyAlignment="1">
      <alignment vertical="center" wrapText="1"/>
    </xf>
    <xf numFmtId="0" fontId="132" fillId="0" borderId="0" xfId="0" applyFont="1" applyAlignment="1">
      <alignment horizontal="left" vertical="center" wrapText="1"/>
    </xf>
    <xf numFmtId="2" fontId="2" fillId="0" borderId="0" xfId="0" applyNumberFormat="1" applyFont="1" applyAlignment="1">
      <alignment horizontal="center" vertical="center"/>
    </xf>
    <xf numFmtId="0" fontId="131" fillId="0" borderId="0" xfId="0" applyFont="1" applyAlignment="1">
      <alignment vertical="center"/>
    </xf>
    <xf numFmtId="0" fontId="148" fillId="0" borderId="0" xfId="0" applyFont="1" applyAlignment="1">
      <alignment horizontal="left" vertical="center"/>
    </xf>
    <xf numFmtId="165" fontId="0" fillId="0" borderId="0" xfId="0" applyNumberFormat="1" applyAlignment="1">
      <alignment horizontal="left" vertical="center"/>
    </xf>
    <xf numFmtId="4" fontId="22" fillId="0" borderId="0" xfId="0" applyNumberFormat="1" applyFont="1" applyAlignment="1">
      <alignment vertical="center"/>
    </xf>
    <xf numFmtId="0" fontId="22" fillId="0" borderId="14" xfId="0" applyFont="1" applyBorder="1" applyAlignment="1">
      <alignment vertical="center"/>
    </xf>
    <xf numFmtId="165" fontId="22" fillId="0" borderId="14" xfId="0" applyNumberFormat="1" applyFont="1" applyBorder="1" applyAlignment="1">
      <alignment vertical="center"/>
    </xf>
    <xf numFmtId="4" fontId="22" fillId="0" borderId="14" xfId="0" applyNumberFormat="1" applyFont="1" applyBorder="1" applyAlignment="1">
      <alignment vertical="center"/>
    </xf>
    <xf numFmtId="0" fontId="71" fillId="0" borderId="0" xfId="0" applyFont="1" applyAlignment="1">
      <alignment vertical="top" wrapText="1"/>
    </xf>
    <xf numFmtId="0" fontId="34" fillId="0" borderId="0" xfId="0" applyFont="1" applyAlignment="1">
      <alignment vertical="top" wrapText="1"/>
    </xf>
    <xf numFmtId="0" fontId="108" fillId="0" borderId="16" xfId="0" applyFont="1" applyBorder="1" applyAlignment="1">
      <alignment vertical="center" wrapText="1"/>
    </xf>
    <xf numFmtId="0" fontId="108" fillId="0" borderId="0" xfId="0" applyFont="1" applyAlignment="1">
      <alignment vertical="center" wrapText="1"/>
    </xf>
    <xf numFmtId="0" fontId="109" fillId="0" borderId="16" xfId="0" applyFont="1" applyBorder="1" applyAlignment="1">
      <alignment vertical="center" wrapText="1"/>
    </xf>
    <xf numFmtId="0" fontId="109" fillId="0" borderId="0" xfId="0" applyFont="1" applyAlignment="1">
      <alignment vertical="center" wrapText="1"/>
    </xf>
    <xf numFmtId="0" fontId="5" fillId="0" borderId="0" xfId="0" applyFont="1" applyAlignment="1">
      <alignment horizontal="right" vertical="center"/>
    </xf>
    <xf numFmtId="0" fontId="62" fillId="0" borderId="0" xfId="0" applyFont="1" applyAlignment="1">
      <alignment vertical="center"/>
    </xf>
    <xf numFmtId="0" fontId="4" fillId="0" borderId="0" xfId="0" applyFont="1" applyAlignment="1">
      <alignment horizontal="right" vertical="center"/>
    </xf>
    <xf numFmtId="0" fontId="71" fillId="0" borderId="0" xfId="0" applyFont="1" applyAlignment="1">
      <alignment horizontal="left"/>
    </xf>
    <xf numFmtId="0" fontId="24" fillId="0" borderId="3" xfId="0" applyFont="1" applyBorder="1" applyAlignment="1">
      <alignment horizontal="left" vertical="center"/>
    </xf>
    <xf numFmtId="0" fontId="40" fillId="0" borderId="4" xfId="0" applyFont="1" applyBorder="1" applyAlignment="1">
      <alignment horizontal="left" vertical="center"/>
    </xf>
    <xf numFmtId="0" fontId="24" fillId="0" borderId="0" xfId="0" quotePrefix="1" applyFont="1" applyAlignment="1">
      <alignment vertical="center"/>
    </xf>
    <xf numFmtId="0" fontId="40" fillId="13" borderId="0" xfId="0" applyFont="1" applyFill="1"/>
    <xf numFmtId="0" fontId="64" fillId="13" borderId="0" xfId="0" applyFont="1" applyFill="1"/>
    <xf numFmtId="0" fontId="155" fillId="13" borderId="0" xfId="0" applyFont="1" applyFill="1" applyAlignment="1">
      <alignment horizontal="left"/>
    </xf>
    <xf numFmtId="0" fontId="40" fillId="0" borderId="0" xfId="0" applyFont="1"/>
    <xf numFmtId="0" fontId="24" fillId="13" borderId="0" xfId="0" applyFont="1" applyFill="1"/>
    <xf numFmtId="0" fontId="63" fillId="13" borderId="0" xfId="0" applyFont="1" applyFill="1" applyAlignment="1">
      <alignment horizontal="center"/>
    </xf>
    <xf numFmtId="0" fontId="63" fillId="13" borderId="0" xfId="0" applyFont="1" applyFill="1"/>
    <xf numFmtId="0" fontId="64" fillId="13" borderId="0" xfId="0" applyFont="1" applyFill="1" applyAlignment="1">
      <alignment horizontal="right"/>
    </xf>
    <xf numFmtId="0" fontId="64" fillId="13" borderId="0" xfId="0" applyFont="1" applyFill="1" applyAlignment="1">
      <alignment horizontal="center" vertical="center" wrapText="1"/>
    </xf>
    <xf numFmtId="0" fontId="64" fillId="13" borderId="0" xfId="0" applyFont="1" applyFill="1" applyAlignment="1">
      <alignment horizontal="right" vertical="center"/>
    </xf>
    <xf numFmtId="0" fontId="64" fillId="0" borderId="1" xfId="0" applyFont="1" applyBorder="1" applyAlignment="1">
      <alignment horizontal="center" vertical="center" wrapText="1"/>
    </xf>
    <xf numFmtId="2" fontId="63" fillId="13" borderId="0" xfId="0" applyNumberFormat="1" applyFont="1" applyFill="1" applyAlignment="1">
      <alignment horizontal="center" vertical="center"/>
    </xf>
    <xf numFmtId="3" fontId="63" fillId="13" borderId="0" xfId="0" applyNumberFormat="1" applyFont="1" applyFill="1" applyAlignment="1">
      <alignment horizontal="center" vertical="center"/>
    </xf>
    <xf numFmtId="0" fontId="64" fillId="13" borderId="1" xfId="0" applyFont="1" applyFill="1" applyBorder="1"/>
    <xf numFmtId="0" fontId="63" fillId="13" borderId="1" xfId="0" applyFont="1" applyFill="1" applyBorder="1"/>
    <xf numFmtId="165" fontId="24" fillId="13" borderId="0" xfId="0" applyNumberFormat="1" applyFont="1" applyFill="1"/>
    <xf numFmtId="0" fontId="63" fillId="13" borderId="0" xfId="0" applyFont="1" applyFill="1" applyAlignment="1">
      <alignment horizontal="center" vertical="center" wrapText="1"/>
    </xf>
    <xf numFmtId="4" fontId="63" fillId="13" borderId="0" xfId="0" applyNumberFormat="1" applyFont="1" applyFill="1" applyAlignment="1">
      <alignment horizontal="center" vertical="center"/>
    </xf>
    <xf numFmtId="44" fontId="63" fillId="13" borderId="0" xfId="3" applyFont="1" applyFill="1"/>
    <xf numFmtId="185" fontId="63" fillId="29" borderId="1" xfId="0" applyNumberFormat="1" applyFont="1" applyFill="1" applyBorder="1" applyAlignment="1">
      <alignment horizontal="center"/>
    </xf>
    <xf numFmtId="185" fontId="63" fillId="0" borderId="1" xfId="0" applyNumberFormat="1" applyFont="1" applyBorder="1" applyAlignment="1">
      <alignment horizontal="center"/>
    </xf>
    <xf numFmtId="183" fontId="63" fillId="13" borderId="0" xfId="3" applyNumberFormat="1" applyFont="1" applyFill="1" applyAlignment="1">
      <alignment horizontal="center"/>
    </xf>
    <xf numFmtId="0" fontId="64" fillId="13" borderId="0" xfId="0" applyFont="1" applyFill="1" applyAlignment="1">
      <alignment horizontal="center"/>
    </xf>
    <xf numFmtId="0" fontId="63" fillId="0" borderId="0" xfId="0" applyFont="1"/>
    <xf numFmtId="0" fontId="64" fillId="0" borderId="1" xfId="0" applyFont="1" applyBorder="1" applyAlignment="1">
      <alignment horizontal="center" vertical="center"/>
    </xf>
    <xf numFmtId="0" fontId="63" fillId="0" borderId="1" xfId="0" applyFont="1" applyBorder="1"/>
    <xf numFmtId="0" fontId="64" fillId="0" borderId="0" xfId="0" applyFont="1" applyAlignment="1">
      <alignment horizontal="center" vertical="center" wrapText="1"/>
    </xf>
    <xf numFmtId="0" fontId="63" fillId="0" borderId="1" xfId="0" applyFont="1" applyBorder="1" applyAlignment="1">
      <alignment horizontal="center" vertical="center"/>
    </xf>
    <xf numFmtId="165" fontId="63" fillId="0" borderId="1" xfId="0" applyNumberFormat="1" applyFont="1" applyBorder="1" applyAlignment="1">
      <alignment horizontal="center" vertical="center" wrapText="1"/>
    </xf>
    <xf numFmtId="0" fontId="63" fillId="13" borderId="0" xfId="0" applyFont="1" applyFill="1" applyAlignment="1">
      <alignment wrapText="1"/>
    </xf>
    <xf numFmtId="0" fontId="63" fillId="0" borderId="0" xfId="0" applyFont="1" applyAlignment="1">
      <alignment horizontal="center" vertical="center" wrapText="1"/>
    </xf>
    <xf numFmtId="0" fontId="63" fillId="0" borderId="0" xfId="0" applyFont="1" applyAlignment="1">
      <alignment horizontal="center" vertical="center"/>
    </xf>
    <xf numFmtId="165" fontId="63" fillId="0" borderId="0" xfId="0" applyNumberFormat="1" applyFont="1" applyAlignment="1">
      <alignment horizontal="center" wrapText="1"/>
    </xf>
    <xf numFmtId="164" fontId="63" fillId="0" borderId="1" xfId="0" applyNumberFormat="1" applyFont="1" applyBorder="1" applyAlignment="1">
      <alignment horizontal="center" vertical="center" wrapText="1"/>
    </xf>
    <xf numFmtId="0" fontId="63" fillId="13" borderId="0" xfId="0" applyFont="1" applyFill="1" applyAlignment="1">
      <alignment vertical="center" wrapText="1"/>
    </xf>
    <xf numFmtId="165" fontId="63" fillId="0" borderId="1" xfId="0" applyNumberFormat="1" applyFont="1" applyBorder="1" applyAlignment="1">
      <alignment horizontal="center" wrapText="1"/>
    </xf>
    <xf numFmtId="165" fontId="63" fillId="0" borderId="1" xfId="0" applyNumberFormat="1" applyFont="1" applyBorder="1" applyAlignment="1">
      <alignment horizontal="center"/>
    </xf>
    <xf numFmtId="0" fontId="63" fillId="0" borderId="1" xfId="0" applyFont="1" applyBorder="1" applyAlignment="1">
      <alignment horizontal="center" vertical="center" wrapText="1"/>
    </xf>
    <xf numFmtId="0" fontId="63" fillId="0" borderId="1" xfId="0" applyFont="1" applyBorder="1" applyAlignment="1">
      <alignment horizontal="center" wrapText="1"/>
    </xf>
    <xf numFmtId="0" fontId="157" fillId="0" borderId="0" xfId="0" applyFont="1"/>
    <xf numFmtId="0" fontId="24" fillId="0" borderId="0" xfId="0" applyFont="1" applyAlignment="1">
      <alignment horizontal="left" vertical="center" wrapText="1"/>
    </xf>
    <xf numFmtId="9" fontId="24" fillId="0" borderId="0" xfId="16" applyNumberFormat="1" applyFont="1" applyAlignment="1">
      <alignment horizontal="center" vertical="center" wrapText="1"/>
    </xf>
    <xf numFmtId="0" fontId="4" fillId="0" borderId="0" xfId="0" applyFont="1" applyAlignment="1">
      <alignment vertical="top"/>
    </xf>
    <xf numFmtId="0" fontId="71" fillId="0" borderId="0" xfId="0" applyFont="1" applyAlignment="1">
      <alignment horizontal="left" vertical="top" wrapText="1"/>
    </xf>
    <xf numFmtId="0" fontId="21" fillId="0" borderId="0" xfId="0" applyFont="1" applyAlignment="1">
      <alignment horizontal="right" vertical="center"/>
    </xf>
    <xf numFmtId="0" fontId="76" fillId="0" borderId="0" xfId="0" applyFont="1" applyAlignment="1">
      <alignment horizontal="left" vertical="center"/>
    </xf>
    <xf numFmtId="0" fontId="163" fillId="0" borderId="0" xfId="0" applyFont="1"/>
    <xf numFmtId="3" fontId="20" fillId="0" borderId="0" xfId="0" applyNumberFormat="1" applyFont="1" applyAlignment="1">
      <alignment horizontal="center"/>
    </xf>
    <xf numFmtId="164" fontId="0" fillId="0" borderId="0" xfId="0" applyNumberFormat="1" applyAlignment="1">
      <alignment horizontal="center"/>
    </xf>
    <xf numFmtId="0" fontId="0" fillId="0" borderId="0" xfId="0" quotePrefix="1" applyAlignment="1">
      <alignment horizontal="center"/>
    </xf>
    <xf numFmtId="0" fontId="157" fillId="0" borderId="0" xfId="0" applyFont="1" applyAlignment="1">
      <alignment vertical="top"/>
    </xf>
    <xf numFmtId="0" fontId="0" fillId="0" borderId="0" xfId="0" quotePrefix="1" applyAlignment="1">
      <alignment horizontal="righ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130" fillId="0" borderId="0" xfId="0" applyFont="1" applyAlignment="1">
      <alignment horizontal="right" vertical="top"/>
    </xf>
    <xf numFmtId="0" fontId="168" fillId="0" borderId="0" xfId="0" applyFont="1" applyAlignment="1">
      <alignment vertical="top" wrapText="1"/>
    </xf>
    <xf numFmtId="0" fontId="40" fillId="0" borderId="0" xfId="0" applyFont="1" applyAlignment="1">
      <alignment vertical="center" wrapText="1"/>
    </xf>
    <xf numFmtId="3" fontId="24" fillId="0" borderId="0" xfId="0" applyNumberFormat="1" applyFont="1" applyAlignment="1">
      <alignment vertical="center" wrapText="1"/>
    </xf>
    <xf numFmtId="4" fontId="24" fillId="0" borderId="0" xfId="0" applyNumberFormat="1" applyFont="1" applyAlignment="1">
      <alignment vertical="center" wrapText="1"/>
    </xf>
    <xf numFmtId="3" fontId="0" fillId="0" borderId="0" xfId="0" applyNumberFormat="1"/>
    <xf numFmtId="4" fontId="0" fillId="0" borderId="0" xfId="0" applyNumberFormat="1"/>
    <xf numFmtId="0" fontId="4" fillId="0" borderId="0" xfId="0" applyFont="1" applyAlignment="1">
      <alignment wrapText="1"/>
    </xf>
    <xf numFmtId="3" fontId="143" fillId="0" borderId="0" xfId="0" applyNumberFormat="1" applyFont="1" applyAlignment="1">
      <alignment vertical="center"/>
    </xf>
    <xf numFmtId="0" fontId="142" fillId="0" borderId="0" xfId="0" applyFont="1" applyAlignment="1">
      <alignment vertical="center" wrapText="1"/>
    </xf>
    <xf numFmtId="0" fontId="143" fillId="0" borderId="0" xfId="0" applyFont="1" applyAlignment="1">
      <alignment vertical="center"/>
    </xf>
    <xf numFmtId="0" fontId="143" fillId="0" borderId="0" xfId="0" applyFont="1" applyAlignment="1">
      <alignment vertical="center" wrapText="1"/>
    </xf>
    <xf numFmtId="0" fontId="136" fillId="0" borderId="0" xfId="0" applyFont="1" applyAlignment="1">
      <alignment vertical="center"/>
    </xf>
    <xf numFmtId="0" fontId="136" fillId="0" borderId="0" xfId="0" applyFont="1" applyAlignment="1">
      <alignment vertical="center" wrapText="1"/>
    </xf>
    <xf numFmtId="0" fontId="131" fillId="0" borderId="0" xfId="0" applyFont="1" applyAlignment="1">
      <alignment vertical="center" wrapText="1"/>
    </xf>
    <xf numFmtId="0" fontId="137" fillId="0" borderId="0" xfId="0" applyFont="1" applyAlignment="1">
      <alignment vertical="center" wrapText="1"/>
    </xf>
    <xf numFmtId="2" fontId="132" fillId="0" borderId="0" xfId="0" applyNumberFormat="1" applyFont="1" applyAlignment="1">
      <alignment vertical="center"/>
    </xf>
    <xf numFmtId="3" fontId="24" fillId="0" borderId="0" xfId="0" applyNumberFormat="1" applyFont="1" applyAlignment="1">
      <alignment horizontal="center" vertical="center" wrapText="1"/>
    </xf>
    <xf numFmtId="4" fontId="24" fillId="0" borderId="0" xfId="0" applyNumberFormat="1" applyFont="1" applyAlignment="1">
      <alignment horizontal="center" vertical="center" wrapText="1"/>
    </xf>
    <xf numFmtId="2" fontId="131" fillId="0" borderId="0" xfId="0" applyNumberFormat="1" applyFont="1" applyAlignment="1">
      <alignment vertical="center"/>
    </xf>
    <xf numFmtId="0" fontId="137" fillId="0" borderId="0" xfId="0" applyFont="1" applyAlignment="1">
      <alignment horizontal="left" vertical="center" wrapText="1"/>
    </xf>
    <xf numFmtId="2" fontId="132" fillId="0" borderId="0" xfId="0" applyNumberFormat="1" applyFont="1" applyAlignment="1">
      <alignment horizontal="center" vertical="center"/>
    </xf>
    <xf numFmtId="0" fontId="71" fillId="0" borderId="0" xfId="0" applyFont="1" applyAlignment="1">
      <alignment vertical="center" wrapText="1"/>
    </xf>
    <xf numFmtId="0" fontId="71" fillId="0" borderId="0" xfId="0" applyFont="1" applyAlignment="1">
      <alignment horizontal="left" vertical="top"/>
    </xf>
    <xf numFmtId="0" fontId="108" fillId="0" borderId="13" xfId="0" applyFont="1" applyBorder="1" applyAlignment="1">
      <alignment vertical="center"/>
    </xf>
    <xf numFmtId="0" fontId="108" fillId="0" borderId="14" xfId="0" applyFont="1" applyBorder="1" applyAlignment="1">
      <alignment vertical="center"/>
    </xf>
    <xf numFmtId="0" fontId="108" fillId="0" borderId="15" xfId="0" applyFont="1" applyBorder="1" applyAlignment="1">
      <alignment vertical="center"/>
    </xf>
    <xf numFmtId="0" fontId="117" fillId="0" borderId="0" xfId="0" applyFont="1" applyAlignment="1">
      <alignment vertical="center" wrapText="1"/>
    </xf>
    <xf numFmtId="0" fontId="169" fillId="0" borderId="0" xfId="0" applyFont="1"/>
    <xf numFmtId="0" fontId="13" fillId="0" borderId="0" xfId="0" applyFont="1" applyAlignment="1">
      <alignment vertical="center" wrapText="1"/>
    </xf>
    <xf numFmtId="168" fontId="2" fillId="0" borderId="0" xfId="0" applyNumberFormat="1" applyFont="1" applyAlignment="1">
      <alignment vertical="center"/>
    </xf>
    <xf numFmtId="0" fontId="163" fillId="0" borderId="0" xfId="0" applyFont="1" applyAlignment="1">
      <alignment horizontal="left" vertical="top" wrapText="1"/>
    </xf>
    <xf numFmtId="0" fontId="77" fillId="0" borderId="0" xfId="0" applyFont="1" applyAlignment="1">
      <alignment horizontal="left" vertical="top"/>
    </xf>
    <xf numFmtId="0" fontId="0" fillId="0" borderId="0" xfId="0" quotePrefix="1" applyAlignment="1">
      <alignment horizontal="left" vertical="center" wrapText="1"/>
    </xf>
    <xf numFmtId="0" fontId="0" fillId="0" borderId="0" xfId="0" quotePrefix="1" applyAlignment="1">
      <alignment horizontal="center" vertical="center" wrapText="1"/>
    </xf>
    <xf numFmtId="0" fontId="124" fillId="0" borderId="0" xfId="0" applyFont="1" applyAlignment="1">
      <alignment horizontal="right" vertical="center"/>
    </xf>
    <xf numFmtId="0" fontId="6" fillId="0" borderId="0" xfId="0" applyFont="1" applyAlignment="1">
      <alignment horizontal="right" vertical="center"/>
    </xf>
    <xf numFmtId="0" fontId="6" fillId="0" borderId="0" xfId="0" quotePrefix="1" applyFont="1" applyAlignment="1">
      <alignment horizontal="left" vertical="center" wrapText="1"/>
    </xf>
    <xf numFmtId="0" fontId="6" fillId="0" borderId="0" xfId="0" applyFont="1" applyAlignment="1">
      <alignment horizontal="left" vertical="center" wrapText="1"/>
    </xf>
    <xf numFmtId="0" fontId="69" fillId="0" borderId="0" xfId="0" applyFont="1" applyAlignment="1">
      <alignment vertical="center"/>
    </xf>
    <xf numFmtId="0" fontId="5" fillId="0" borderId="0" xfId="0" applyFont="1" applyAlignment="1">
      <alignment horizontal="right" vertical="top"/>
    </xf>
    <xf numFmtId="0" fontId="40" fillId="13" borderId="0" xfId="0" applyFont="1" applyFill="1" applyAlignment="1">
      <alignment horizontal="left" vertical="top"/>
    </xf>
    <xf numFmtId="0" fontId="65" fillId="0" borderId="0" xfId="0" applyFont="1" applyAlignment="1">
      <alignment horizontal="right" vertical="top"/>
    </xf>
    <xf numFmtId="0" fontId="174" fillId="0" borderId="0" xfId="4" applyFont="1" applyAlignment="1">
      <alignment horizontal="left" vertical="top"/>
    </xf>
    <xf numFmtId="0" fontId="62" fillId="0" borderId="0" xfId="0" applyFont="1" applyAlignment="1">
      <alignment horizontal="left" vertical="center"/>
    </xf>
    <xf numFmtId="0" fontId="24" fillId="0" borderId="0" xfId="0" quotePrefix="1" applyFont="1" applyAlignment="1">
      <alignment horizontal="left" vertical="center" wrapText="1"/>
    </xf>
    <xf numFmtId="0" fontId="175" fillId="0" borderId="0" xfId="0" applyFont="1"/>
    <xf numFmtId="0" fontId="24" fillId="0" borderId="16" xfId="0" applyFont="1" applyBorder="1" applyAlignment="1">
      <alignment horizontal="left" vertical="center"/>
    </xf>
    <xf numFmtId="0" fontId="29" fillId="0" borderId="0" xfId="0" applyFont="1"/>
    <xf numFmtId="0" fontId="24" fillId="0" borderId="18" xfId="0" applyFont="1" applyBorder="1" applyAlignment="1">
      <alignment horizontal="center" vertical="center" wrapText="1"/>
    </xf>
    <xf numFmtId="164" fontId="24" fillId="0" borderId="16" xfId="0" applyNumberFormat="1" applyFont="1" applyBorder="1" applyAlignment="1">
      <alignment horizontal="center" vertical="center" wrapText="1"/>
    </xf>
    <xf numFmtId="0" fontId="40" fillId="0" borderId="0" xfId="0" applyFont="1" applyAlignment="1">
      <alignment horizontal="center" vertical="center"/>
    </xf>
    <xf numFmtId="0" fontId="40" fillId="0" borderId="22" xfId="0" applyFont="1" applyBorder="1" applyAlignment="1">
      <alignment horizontal="center" vertical="center"/>
    </xf>
    <xf numFmtId="2" fontId="24" fillId="0" borderId="0" xfId="0" applyNumberFormat="1" applyFont="1"/>
    <xf numFmtId="0" fontId="177" fillId="0" borderId="0" xfId="4" applyFont="1" applyAlignment="1">
      <alignment horizontal="left" vertical="top"/>
    </xf>
    <xf numFmtId="0" fontId="40" fillId="0" borderId="0" xfId="0" applyFont="1" applyAlignment="1">
      <alignment horizontal="right"/>
    </xf>
    <xf numFmtId="0" fontId="68" fillId="0" borderId="0" xfId="0" applyFont="1"/>
    <xf numFmtId="0" fontId="80" fillId="0" borderId="0" xfId="0" applyFont="1" applyAlignment="1">
      <alignment horizontal="left" vertical="top"/>
    </xf>
    <xf numFmtId="0" fontId="16" fillId="0" borderId="0" xfId="4" applyAlignment="1">
      <alignment horizontal="left" vertical="top"/>
    </xf>
    <xf numFmtId="0" fontId="5" fillId="0" borderId="0" xfId="0" quotePrefix="1" applyFont="1" applyAlignment="1">
      <alignment horizontal="right" vertical="top"/>
    </xf>
    <xf numFmtId="0" fontId="24" fillId="0" borderId="0" xfId="0" quotePrefix="1" applyFont="1"/>
    <xf numFmtId="0" fontId="65" fillId="0" borderId="0" xfId="0" applyFont="1" applyAlignment="1">
      <alignment horizontal="center" vertical="top" wrapText="1"/>
    </xf>
    <xf numFmtId="0" fontId="180" fillId="0" borderId="0" xfId="0" applyFont="1" applyAlignment="1">
      <alignment horizontal="center"/>
    </xf>
    <xf numFmtId="0" fontId="109" fillId="0" borderId="0" xfId="0" quotePrefix="1" applyFont="1" applyAlignment="1">
      <alignment vertical="center" wrapText="1"/>
    </xf>
    <xf numFmtId="0" fontId="183" fillId="0" borderId="0" xfId="0" applyFont="1" applyAlignment="1">
      <alignment vertical="center"/>
    </xf>
    <xf numFmtId="3" fontId="0" fillId="0" borderId="0" xfId="0" applyNumberFormat="1" applyAlignment="1">
      <alignment horizontal="center"/>
    </xf>
    <xf numFmtId="49" fontId="34" fillId="0" borderId="0" xfId="0" applyNumberFormat="1" applyFont="1" applyAlignment="1">
      <alignment vertical="top"/>
    </xf>
    <xf numFmtId="0" fontId="79" fillId="0" borderId="0" xfId="20" applyFont="1" applyAlignment="1">
      <alignment horizontal="left" vertical="center"/>
    </xf>
    <xf numFmtId="0" fontId="1" fillId="0" borderId="0" xfId="20" applyAlignment="1">
      <alignment horizontal="left" vertical="center"/>
    </xf>
    <xf numFmtId="0" fontId="1" fillId="0" borderId="0" xfId="20" applyAlignment="1">
      <alignment vertical="center"/>
    </xf>
    <xf numFmtId="0" fontId="1" fillId="0" borderId="0" xfId="20" applyAlignment="1">
      <alignment vertical="center" wrapText="1"/>
    </xf>
    <xf numFmtId="0" fontId="4" fillId="0" borderId="0" xfId="20" applyFont="1" applyAlignment="1">
      <alignment horizontal="left"/>
    </xf>
    <xf numFmtId="0" fontId="1" fillId="0" borderId="0" xfId="20" applyAlignment="1">
      <alignment horizontal="left"/>
    </xf>
    <xf numFmtId="0" fontId="4" fillId="0" borderId="0" xfId="20" applyFont="1" applyAlignment="1">
      <alignment horizontal="left" indent="1"/>
    </xf>
    <xf numFmtId="0" fontId="6" fillId="0" borderId="0" xfId="20" applyFont="1" applyAlignment="1">
      <alignment vertical="center"/>
    </xf>
    <xf numFmtId="0" fontId="79" fillId="0" borderId="0" xfId="11" applyFont="1" applyAlignment="1">
      <alignment horizontal="left" vertical="center"/>
    </xf>
    <xf numFmtId="0" fontId="63" fillId="0" borderId="0" xfId="11" applyFont="1" applyAlignment="1">
      <alignment vertical="center"/>
    </xf>
    <xf numFmtId="0" fontId="6" fillId="0" borderId="0" xfId="11" applyFont="1" applyAlignment="1">
      <alignment vertical="center"/>
    </xf>
    <xf numFmtId="0" fontId="63" fillId="0" borderId="0" xfId="11" applyFont="1" applyAlignment="1">
      <alignment vertical="center" wrapText="1"/>
    </xf>
    <xf numFmtId="0" fontId="63" fillId="0" borderId="0" xfId="11" applyFont="1" applyAlignment="1">
      <alignment horizontal="center" vertical="center"/>
    </xf>
    <xf numFmtId="0" fontId="4" fillId="0" borderId="14" xfId="11" applyFont="1" applyBorder="1" applyAlignment="1">
      <alignment horizontal="left" vertical="center"/>
    </xf>
    <xf numFmtId="0" fontId="63" fillId="0" borderId="0" xfId="10" applyFont="1"/>
    <xf numFmtId="0" fontId="63" fillId="0" borderId="0" xfId="11" applyFont="1" applyAlignment="1">
      <alignment horizontal="center"/>
    </xf>
    <xf numFmtId="0" fontId="63" fillId="0" borderId="0" xfId="11" applyFont="1" applyAlignment="1">
      <alignment horizontal="left" vertical="center" indent="1"/>
    </xf>
    <xf numFmtId="0" fontId="157" fillId="0" borderId="0" xfId="11" applyFont="1" applyAlignment="1">
      <alignment horizontal="left" vertical="center" indent="1"/>
    </xf>
    <xf numFmtId="0" fontId="185" fillId="0" borderId="0" xfId="11" applyFont="1"/>
    <xf numFmtId="0" fontId="157" fillId="0" borderId="0" xfId="10" applyFont="1"/>
    <xf numFmtId="3" fontId="157" fillId="0" borderId="0" xfId="11" applyNumberFormat="1" applyFont="1" applyAlignment="1">
      <alignment horizontal="center" vertical="center"/>
    </xf>
    <xf numFmtId="0" fontId="157" fillId="0" borderId="0" xfId="11" applyFont="1" applyAlignment="1">
      <alignment vertical="center"/>
    </xf>
    <xf numFmtId="0" fontId="157" fillId="0" borderId="0" xfId="10" applyFont="1" applyAlignment="1">
      <alignment vertical="top"/>
    </xf>
    <xf numFmtId="0" fontId="157" fillId="0" borderId="0" xfId="10" applyFont="1" applyAlignment="1">
      <alignment horizontal="right" vertical="top"/>
    </xf>
    <xf numFmtId="0" fontId="157" fillId="0" borderId="0" xfId="10" applyFont="1" applyAlignment="1">
      <alignment horizontal="left" vertical="top"/>
    </xf>
    <xf numFmtId="0" fontId="117" fillId="0" borderId="0" xfId="11" applyFont="1" applyAlignment="1">
      <alignment vertical="center"/>
    </xf>
    <xf numFmtId="0" fontId="117" fillId="0" borderId="0" xfId="11" applyFont="1"/>
    <xf numFmtId="0" fontId="117" fillId="0" borderId="0" xfId="10" applyFont="1"/>
    <xf numFmtId="0" fontId="117" fillId="0" borderId="0" xfId="11" applyFont="1" applyAlignment="1">
      <alignment horizontal="center"/>
    </xf>
    <xf numFmtId="2" fontId="4" fillId="0" borderId="0" xfId="1" applyNumberFormat="1" applyFont="1" applyAlignment="1">
      <alignment vertical="center" wrapText="1"/>
    </xf>
    <xf numFmtId="164" fontId="4" fillId="0" borderId="0" xfId="1" applyNumberFormat="1" applyFont="1" applyAlignment="1">
      <alignment vertical="center"/>
    </xf>
    <xf numFmtId="1" fontId="4" fillId="0" borderId="0" xfId="1" applyNumberFormat="1" applyFont="1" applyAlignment="1">
      <alignment vertical="center"/>
    </xf>
    <xf numFmtId="10" fontId="4" fillId="0" borderId="0" xfId="0" applyNumberFormat="1" applyFont="1" applyAlignment="1">
      <alignment vertical="center"/>
    </xf>
    <xf numFmtId="164" fontId="4" fillId="0" borderId="0" xfId="0" applyNumberFormat="1" applyFont="1" applyAlignment="1">
      <alignment horizontal="right" vertical="center"/>
    </xf>
    <xf numFmtId="198" fontId="0" fillId="0" borderId="0" xfId="0" applyNumberFormat="1" applyAlignment="1">
      <alignment horizontal="center" vertical="center"/>
    </xf>
    <xf numFmtId="199" fontId="0" fillId="0" borderId="0" xfId="0" applyNumberFormat="1" applyAlignment="1">
      <alignment horizontal="center" vertical="center"/>
    </xf>
    <xf numFmtId="2" fontId="0" fillId="0" borderId="0" xfId="1" applyNumberFormat="1" applyFont="1" applyAlignment="1">
      <alignment vertical="center"/>
    </xf>
    <xf numFmtId="164" fontId="0" fillId="0" borderId="0" xfId="1" applyNumberFormat="1" applyFont="1" applyAlignment="1">
      <alignment vertical="center"/>
    </xf>
    <xf numFmtId="1" fontId="0" fillId="0" borderId="0" xfId="1" applyNumberFormat="1" applyFont="1" applyAlignment="1">
      <alignment vertical="center"/>
    </xf>
    <xf numFmtId="10" fontId="0" fillId="0" borderId="0" xfId="1" applyNumberFormat="1" applyFont="1" applyAlignment="1">
      <alignment vertical="center"/>
    </xf>
    <xf numFmtId="10" fontId="0" fillId="0" borderId="0" xfId="0" applyNumberFormat="1" applyAlignment="1">
      <alignment vertical="center"/>
    </xf>
    <xf numFmtId="0" fontId="70" fillId="0" borderId="0" xfId="0" applyFont="1" applyAlignment="1">
      <alignment horizontal="right" vertical="center"/>
    </xf>
    <xf numFmtId="0" fontId="164" fillId="0" borderId="0" xfId="0" applyFont="1"/>
    <xf numFmtId="0" fontId="2" fillId="0" borderId="0" xfId="20" applyFont="1" applyAlignment="1">
      <alignment horizontal="center" vertical="center"/>
    </xf>
    <xf numFmtId="0" fontId="2" fillId="0" borderId="0" xfId="20" applyFont="1" applyAlignment="1">
      <alignment horizontal="left" vertical="center" wrapText="1"/>
    </xf>
    <xf numFmtId="0" fontId="2" fillId="0" borderId="0" xfId="20" applyFont="1" applyAlignment="1">
      <alignment horizontal="center" vertical="center" wrapText="1"/>
    </xf>
    <xf numFmtId="164" fontId="24" fillId="0" borderId="3" xfId="0" applyNumberFormat="1" applyFont="1" applyBorder="1" applyAlignment="1">
      <alignment horizontal="center" vertical="center" wrapText="1"/>
    </xf>
    <xf numFmtId="0" fontId="39" fillId="0" borderId="0" xfId="0" applyFont="1"/>
    <xf numFmtId="0" fontId="87" fillId="0" borderId="0" xfId="0" applyFont="1"/>
    <xf numFmtId="0" fontId="40" fillId="0" borderId="1" xfId="0" applyFont="1" applyBorder="1"/>
    <xf numFmtId="0" fontId="40" fillId="0" borderId="1" xfId="0" applyFont="1" applyBorder="1" applyAlignment="1">
      <alignment horizontal="center" vertical="center" wrapText="1"/>
    </xf>
    <xf numFmtId="0" fontId="24" fillId="0" borderId="1" xfId="0" applyFont="1" applyBorder="1"/>
    <xf numFmtId="164" fontId="24" fillId="0" borderId="1" xfId="0" applyNumberFormat="1" applyFont="1" applyBorder="1" applyAlignment="1">
      <alignment horizontal="center" vertical="center" wrapText="1"/>
    </xf>
    <xf numFmtId="0" fontId="24" fillId="0" borderId="14" xfId="0" applyFont="1" applyBorder="1"/>
    <xf numFmtId="0" fontId="24" fillId="0" borderId="19" xfId="0" applyFont="1" applyBorder="1"/>
    <xf numFmtId="0" fontId="87" fillId="0" borderId="0" xfId="0" applyFont="1" applyAlignment="1">
      <alignment horizontal="left" vertical="center"/>
    </xf>
    <xf numFmtId="164" fontId="24" fillId="0" borderId="13" xfId="0" applyNumberFormat="1" applyFont="1" applyBorder="1" applyAlignment="1">
      <alignment horizontal="center" vertical="center" wrapText="1"/>
    </xf>
    <xf numFmtId="164" fontId="24" fillId="0" borderId="14" xfId="0" applyNumberFormat="1" applyFont="1" applyBorder="1" applyAlignment="1">
      <alignment horizontal="center" vertical="center" wrapText="1"/>
    </xf>
    <xf numFmtId="0" fontId="0" fillId="0" borderId="0" xfId="20" applyFont="1" applyAlignment="1">
      <alignment vertical="top" wrapText="1"/>
    </xf>
    <xf numFmtId="0" fontId="1" fillId="0" borderId="0" xfId="20" applyAlignment="1">
      <alignment vertical="top" wrapText="1"/>
    </xf>
    <xf numFmtId="0" fontId="34" fillId="0" borderId="14" xfId="0" applyFont="1" applyBorder="1" applyAlignment="1">
      <alignment vertical="top" wrapText="1"/>
    </xf>
    <xf numFmtId="184" fontId="64" fillId="0" borderId="16" xfId="16" applyFont="1" applyBorder="1" applyAlignment="1">
      <alignment vertical="center" wrapText="1"/>
    </xf>
    <xf numFmtId="184" fontId="64" fillId="0" borderId="0" xfId="16" applyFont="1" applyAlignment="1">
      <alignment vertical="center" wrapText="1"/>
    </xf>
    <xf numFmtId="0" fontId="63" fillId="0" borderId="0" xfId="2" applyNumberFormat="1" applyFont="1" applyBorder="1" applyAlignment="1">
      <alignment horizontal="center" vertical="center"/>
    </xf>
    <xf numFmtId="6" fontId="0" fillId="0" borderId="0" xfId="0" applyNumberFormat="1" applyAlignment="1">
      <alignment horizontal="center"/>
    </xf>
    <xf numFmtId="200" fontId="0" fillId="0" borderId="0" xfId="0" applyNumberFormat="1" applyAlignment="1">
      <alignment horizontal="center"/>
    </xf>
    <xf numFmtId="0" fontId="125" fillId="0" borderId="0" xfId="0" applyFont="1" applyAlignment="1">
      <alignment horizontal="right" vertical="top"/>
    </xf>
    <xf numFmtId="4" fontId="24" fillId="0" borderId="1" xfId="0" applyNumberFormat="1" applyFont="1" applyBorder="1" applyAlignment="1">
      <alignment horizontal="center"/>
    </xf>
    <xf numFmtId="164" fontId="0" fillId="0" borderId="1" xfId="0" applyNumberFormat="1" applyBorder="1" applyAlignment="1">
      <alignment horizontal="center"/>
    </xf>
    <xf numFmtId="164" fontId="0" fillId="0" borderId="1" xfId="0" applyNumberFormat="1" applyBorder="1" applyAlignment="1">
      <alignment horizontal="center" vertical="center" wrapText="1"/>
    </xf>
    <xf numFmtId="0" fontId="1" fillId="0" borderId="0" xfId="20" applyAlignment="1">
      <alignment vertical="top"/>
    </xf>
    <xf numFmtId="0" fontId="27" fillId="0" borderId="0" xfId="0" applyFont="1"/>
    <xf numFmtId="165" fontId="0" fillId="0" borderId="1" xfId="0" applyNumberFormat="1" applyBorder="1" applyAlignment="1">
      <alignment horizontal="center"/>
    </xf>
    <xf numFmtId="4" fontId="0" fillId="0" borderId="1" xfId="0" applyNumberFormat="1" applyBorder="1" applyAlignment="1">
      <alignment horizontal="center"/>
    </xf>
    <xf numFmtId="164" fontId="164" fillId="0" borderId="0" xfId="0" applyNumberFormat="1" applyFont="1" applyAlignment="1">
      <alignment horizontal="center" vertical="center" wrapText="1"/>
    </xf>
    <xf numFmtId="164" fontId="24" fillId="0" borderId="2" xfId="0" applyNumberFormat="1" applyFont="1" applyBorder="1" applyAlignment="1">
      <alignment horizontal="center" vertical="center" wrapText="1"/>
    </xf>
    <xf numFmtId="164" fontId="24" fillId="0" borderId="1" xfId="0" applyNumberFormat="1" applyFont="1" applyBorder="1" applyAlignment="1">
      <alignment horizontal="center"/>
    </xf>
    <xf numFmtId="170" fontId="24" fillId="0" borderId="1" xfId="0" applyNumberFormat="1" applyFont="1" applyBorder="1" applyAlignment="1">
      <alignment horizontal="center"/>
    </xf>
    <xf numFmtId="3" fontId="0" fillId="0" borderId="1" xfId="0" applyNumberFormat="1" applyBorder="1" applyAlignment="1">
      <alignment horizontal="center"/>
    </xf>
    <xf numFmtId="0" fontId="164" fillId="0" borderId="0" xfId="20" applyFont="1" applyAlignment="1">
      <alignment vertical="top"/>
    </xf>
    <xf numFmtId="0" fontId="164" fillId="0" borderId="0" xfId="20" applyFont="1" applyAlignment="1">
      <alignment vertical="top" wrapText="1"/>
    </xf>
    <xf numFmtId="0" fontId="20" fillId="0" borderId="0" xfId="20" applyFont="1" applyAlignment="1">
      <alignment vertical="top"/>
    </xf>
    <xf numFmtId="0" fontId="164" fillId="0" borderId="0" xfId="0" applyFont="1" applyAlignment="1">
      <alignment vertical="top"/>
    </xf>
    <xf numFmtId="0" fontId="40" fillId="0" borderId="0" xfId="0" applyFont="1" applyAlignment="1">
      <alignment horizontal="right" vertical="center"/>
    </xf>
    <xf numFmtId="164" fontId="24" fillId="0" borderId="0" xfId="0" applyNumberFormat="1" applyFont="1" applyAlignment="1">
      <alignment horizontal="center" vertical="center" wrapText="1"/>
    </xf>
    <xf numFmtId="0" fontId="16" fillId="0" borderId="0" xfId="4" applyFill="1" applyAlignment="1">
      <alignment horizontal="left" indent="4"/>
    </xf>
    <xf numFmtId="0" fontId="157" fillId="0" borderId="0" xfId="0" applyFont="1" applyAlignment="1">
      <alignment horizontal="left" vertical="center"/>
    </xf>
    <xf numFmtId="0" fontId="117" fillId="0" borderId="0" xfId="0" applyFont="1" applyAlignment="1">
      <alignment horizontal="left" vertical="center"/>
    </xf>
    <xf numFmtId="0" fontId="117" fillId="0" borderId="0" xfId="0" applyFont="1" applyAlignment="1">
      <alignment horizontal="left" vertical="center" wrapText="1"/>
    </xf>
    <xf numFmtId="0" fontId="117" fillId="0" borderId="0" xfId="1" applyNumberFormat="1" applyFont="1" applyAlignment="1">
      <alignment horizontal="center" vertical="center" wrapText="1"/>
    </xf>
    <xf numFmtId="0" fontId="117" fillId="0" borderId="0" xfId="0" applyFont="1" applyAlignment="1">
      <alignment horizontal="center" vertical="center"/>
    </xf>
    <xf numFmtId="0" fontId="40" fillId="0" borderId="0" xfId="0" applyFont="1" applyAlignment="1">
      <alignment horizontal="left" indent="1"/>
    </xf>
    <xf numFmtId="0" fontId="24" fillId="0" borderId="0" xfId="11" applyFont="1" applyAlignment="1">
      <alignment horizontal="center" vertical="center"/>
    </xf>
    <xf numFmtId="0" fontId="157" fillId="0" borderId="0" xfId="0" applyFont="1" applyAlignment="1">
      <alignment horizontal="left"/>
    </xf>
    <xf numFmtId="2" fontId="40" fillId="0" borderId="0" xfId="0" applyNumberFormat="1" applyFont="1" applyAlignment="1">
      <alignment horizontal="left" indent="1"/>
    </xf>
    <xf numFmtId="0" fontId="40" fillId="0" borderId="0" xfId="0" applyFont="1" applyAlignment="1">
      <alignment horizontal="left"/>
    </xf>
    <xf numFmtId="0" fontId="24" fillId="0" borderId="0" xfId="0" applyFont="1" applyAlignment="1">
      <alignment vertical="top"/>
    </xf>
    <xf numFmtId="0" fontId="27" fillId="13" borderId="0" xfId="0" applyFont="1" applyFill="1" applyAlignment="1">
      <alignment horizontal="left"/>
    </xf>
    <xf numFmtId="0" fontId="20" fillId="0" borderId="0" xfId="0" applyFont="1" applyAlignment="1">
      <alignment vertical="center"/>
    </xf>
    <xf numFmtId="0" fontId="198" fillId="0" borderId="0" xfId="0" applyFont="1"/>
    <xf numFmtId="0" fontId="62" fillId="0" borderId="0" xfId="0" applyFont="1"/>
    <xf numFmtId="0" fontId="40" fillId="0" borderId="0" xfId="20" applyFont="1" applyAlignment="1">
      <alignment horizontal="right" vertical="center"/>
    </xf>
    <xf numFmtId="0" fontId="79" fillId="24" borderId="0" xfId="0" applyFont="1" applyFill="1"/>
    <xf numFmtId="0" fontId="165" fillId="0" borderId="0" xfId="0" applyFont="1"/>
    <xf numFmtId="0" fontId="40" fillId="0" borderId="1" xfId="20" applyFont="1" applyBorder="1" applyAlignment="1">
      <alignment horizontal="center" vertical="center"/>
    </xf>
    <xf numFmtId="0" fontId="24" fillId="0" borderId="0" xfId="0" applyFont="1" applyAlignment="1">
      <alignment vertical="top" wrapText="1"/>
    </xf>
    <xf numFmtId="0" fontId="142" fillId="0" borderId="0" xfId="0" applyFont="1" applyAlignment="1">
      <alignment vertical="top" wrapText="1"/>
    </xf>
    <xf numFmtId="0" fontId="62" fillId="0" borderId="0" xfId="0" applyFont="1" applyAlignment="1">
      <alignment vertical="top"/>
    </xf>
    <xf numFmtId="0" fontId="197" fillId="0" borderId="0" xfId="0" applyFont="1" applyAlignment="1">
      <alignment vertical="center"/>
    </xf>
    <xf numFmtId="0" fontId="24" fillId="0" borderId="0" xfId="0" applyFont="1" applyAlignment="1">
      <alignment horizontal="left" vertical="top" wrapText="1"/>
    </xf>
    <xf numFmtId="0" fontId="24" fillId="0" borderId="1" xfId="0" applyFont="1" applyBorder="1" applyAlignment="1">
      <alignment horizontal="center" vertical="center" wrapText="1"/>
    </xf>
    <xf numFmtId="0" fontId="24" fillId="0" borderId="16" xfId="0" applyFont="1" applyBorder="1" applyAlignment="1">
      <alignment horizontal="center" vertical="center" wrapText="1"/>
    </xf>
    <xf numFmtId="0" fontId="157" fillId="0" borderId="0" xfId="0" applyFont="1" applyAlignment="1">
      <alignment vertical="top" wrapText="1"/>
    </xf>
    <xf numFmtId="0" fontId="121" fillId="0" borderId="0" xfId="4" applyFont="1" applyFill="1" applyAlignment="1">
      <alignment horizontal="left" vertical="top"/>
    </xf>
    <xf numFmtId="0" fontId="164" fillId="0" borderId="0" xfId="0" applyFont="1" applyAlignment="1">
      <alignment vertical="center"/>
    </xf>
    <xf numFmtId="0" fontId="40" fillId="13" borderId="0" xfId="0" applyFont="1" applyFill="1" applyAlignment="1">
      <alignment horizontal="right" vertical="center"/>
    </xf>
    <xf numFmtId="164" fontId="24" fillId="0" borderId="16" xfId="0" quotePrefix="1" applyNumberFormat="1" applyFont="1" applyBorder="1" applyAlignment="1">
      <alignment horizontal="center" vertical="center" wrapText="1"/>
    </xf>
    <xf numFmtId="164" fontId="24" fillId="0" borderId="0" xfId="0" applyNumberFormat="1" applyFont="1"/>
    <xf numFmtId="164" fontId="24" fillId="0" borderId="18" xfId="0" applyNumberFormat="1" applyFont="1" applyBorder="1" applyAlignment="1">
      <alignment horizontal="center" vertical="center" wrapText="1"/>
    </xf>
    <xf numFmtId="164" fontId="29" fillId="0" borderId="16" xfId="0" quotePrefix="1" applyNumberFormat="1" applyFont="1" applyBorder="1" applyAlignment="1">
      <alignment horizontal="center" vertical="center" wrapText="1"/>
    </xf>
    <xf numFmtId="0" fontId="173" fillId="0" borderId="0" xfId="0" applyFont="1" applyAlignment="1">
      <alignment vertical="center" wrapText="1"/>
    </xf>
    <xf numFmtId="3" fontId="164" fillId="0" borderId="0" xfId="0" applyNumberFormat="1" applyFont="1" applyAlignment="1">
      <alignment vertical="center" wrapText="1"/>
    </xf>
    <xf numFmtId="3" fontId="24" fillId="0" borderId="25" xfId="0" applyNumberFormat="1" applyFont="1" applyBorder="1" applyAlignment="1">
      <alignment horizontal="center" vertical="center" wrapText="1"/>
    </xf>
    <xf numFmtId="2" fontId="24" fillId="0" borderId="25" xfId="0" applyNumberFormat="1" applyFont="1" applyBorder="1" applyAlignment="1">
      <alignment horizontal="center"/>
    </xf>
    <xf numFmtId="0" fontId="201" fillId="12" borderId="2" xfId="0" applyFont="1" applyFill="1" applyBorder="1"/>
    <xf numFmtId="0" fontId="201" fillId="12" borderId="3" xfId="0" applyFont="1" applyFill="1" applyBorder="1"/>
    <xf numFmtId="0" fontId="16" fillId="0" borderId="0" xfId="4" applyFill="1" applyAlignment="1">
      <alignment horizontal="left" indent="2"/>
    </xf>
    <xf numFmtId="165" fontId="205" fillId="0" borderId="0" xfId="0" applyNumberFormat="1" applyFont="1" applyAlignment="1">
      <alignment horizontal="center" vertical="center" wrapText="1"/>
    </xf>
    <xf numFmtId="2" fontId="205" fillId="0" borderId="0" xfId="0" applyNumberFormat="1" applyFont="1" applyAlignment="1">
      <alignment horizontal="center" vertical="center" wrapText="1"/>
    </xf>
    <xf numFmtId="191" fontId="205" fillId="0" borderId="0" xfId="0" applyNumberFormat="1" applyFont="1" applyAlignment="1">
      <alignment horizontal="center" vertical="center" wrapText="1"/>
    </xf>
    <xf numFmtId="0" fontId="157" fillId="0" borderId="0" xfId="0" applyFont="1" applyAlignment="1">
      <alignment vertical="center"/>
    </xf>
    <xf numFmtId="0" fontId="157" fillId="0" borderId="0" xfId="0" applyFont="1" applyAlignment="1">
      <alignment vertical="center" wrapText="1"/>
    </xf>
    <xf numFmtId="165" fontId="185" fillId="0" borderId="0" xfId="0" applyNumberFormat="1" applyFont="1" applyAlignment="1">
      <alignment horizontal="center" vertical="center" wrapText="1"/>
    </xf>
    <xf numFmtId="2" fontId="185" fillId="0" borderId="0" xfId="0" applyNumberFormat="1" applyFont="1" applyAlignment="1">
      <alignment horizontal="center" vertical="center" wrapText="1"/>
    </xf>
    <xf numFmtId="191" fontId="185" fillId="0" borderId="0" xfId="0" applyNumberFormat="1" applyFont="1" applyAlignment="1">
      <alignment horizontal="center" vertical="center" wrapText="1"/>
    </xf>
    <xf numFmtId="0" fontId="65" fillId="0" borderId="0" xfId="0" applyFont="1" applyAlignment="1">
      <alignment horizontal="left" vertical="top"/>
    </xf>
    <xf numFmtId="0" fontId="40" fillId="0" borderId="0" xfId="0" applyFont="1" applyAlignment="1">
      <alignment horizontal="left" vertical="top" wrapText="1"/>
    </xf>
    <xf numFmtId="0" fontId="117" fillId="0" borderId="0" xfId="0" applyFont="1" applyAlignment="1">
      <alignment vertical="center"/>
    </xf>
    <xf numFmtId="0" fontId="117" fillId="0" borderId="0" xfId="0" quotePrefix="1" applyFont="1" applyAlignment="1">
      <alignment horizontal="left" vertical="center" wrapText="1"/>
    </xf>
    <xf numFmtId="165" fontId="117" fillId="0" borderId="0" xfId="0" applyNumberFormat="1" applyFont="1" applyAlignment="1">
      <alignment horizontal="center" vertical="center" wrapText="1"/>
    </xf>
    <xf numFmtId="0" fontId="24" fillId="0" borderId="0" xfId="0" applyFont="1" applyAlignment="1">
      <alignment horizontal="left" vertical="top"/>
    </xf>
    <xf numFmtId="0" fontId="208" fillId="0" borderId="0" xfId="0" applyFont="1" applyAlignment="1">
      <alignment vertical="center"/>
    </xf>
    <xf numFmtId="0" fontId="209" fillId="0" borderId="0" xfId="0" applyFont="1" applyAlignment="1">
      <alignment horizontal="left" vertical="center"/>
    </xf>
    <xf numFmtId="0" fontId="24" fillId="0" borderId="0" xfId="0" quotePrefix="1" applyFont="1" applyAlignment="1">
      <alignment horizontal="center" vertical="center"/>
    </xf>
    <xf numFmtId="0" fontId="4" fillId="0" borderId="0" xfId="0" applyFont="1" applyAlignment="1">
      <alignment horizontal="center" vertical="center"/>
    </xf>
    <xf numFmtId="0" fontId="210" fillId="0" borderId="0" xfId="0" applyFont="1" applyAlignment="1">
      <alignment vertical="top"/>
    </xf>
    <xf numFmtId="0" fontId="20" fillId="0" borderId="0" xfId="0" applyFont="1" applyAlignment="1">
      <alignment horizontal="center" vertical="center"/>
    </xf>
    <xf numFmtId="0" fontId="211" fillId="0" borderId="0" xfId="0" applyFont="1"/>
    <xf numFmtId="205" fontId="40" fillId="0" borderId="0" xfId="0" applyNumberFormat="1" applyFont="1" applyAlignment="1">
      <alignment horizontal="left" vertical="center"/>
    </xf>
    <xf numFmtId="0" fontId="157" fillId="0" borderId="0" xfId="0" applyFont="1" applyAlignment="1">
      <alignment horizontal="left" vertical="top"/>
    </xf>
    <xf numFmtId="0" fontId="208" fillId="0" borderId="0" xfId="0" applyFont="1"/>
    <xf numFmtId="0" fontId="212" fillId="0" borderId="0" xfId="0" applyFont="1" applyAlignment="1">
      <alignment horizontal="left" vertical="top"/>
    </xf>
    <xf numFmtId="0" fontId="39" fillId="0" borderId="0" xfId="0" applyFont="1" applyAlignment="1">
      <alignment horizontal="center" vertical="center"/>
    </xf>
    <xf numFmtId="9" fontId="63" fillId="0" borderId="0" xfId="1" applyFont="1" applyBorder="1" applyAlignment="1">
      <alignment horizontal="center" vertical="center"/>
    </xf>
    <xf numFmtId="0" fontId="64" fillId="0" borderId="0" xfId="0" applyFont="1"/>
    <xf numFmtId="9" fontId="24" fillId="0" borderId="0" xfId="0" applyNumberFormat="1" applyFont="1"/>
    <xf numFmtId="0" fontId="40" fillId="29" borderId="0" xfId="0" applyFont="1" applyFill="1" applyAlignment="1">
      <alignment horizontal="center" vertical="center" wrapText="1"/>
    </xf>
    <xf numFmtId="0" fontId="79" fillId="24" borderId="0" xfId="0" applyFont="1" applyFill="1" applyAlignment="1">
      <alignment vertical="top"/>
    </xf>
    <xf numFmtId="0" fontId="68" fillId="24" borderId="0" xfId="0" applyFont="1" applyFill="1" applyAlignment="1">
      <alignment vertical="top"/>
    </xf>
    <xf numFmtId="0" fontId="24" fillId="13" borderId="88" xfId="0" applyFont="1" applyFill="1" applyBorder="1" applyAlignment="1">
      <alignment vertical="top"/>
    </xf>
    <xf numFmtId="0" fontId="24" fillId="13" borderId="89" xfId="0" applyFont="1" applyFill="1" applyBorder="1" applyAlignment="1">
      <alignment vertical="top"/>
    </xf>
    <xf numFmtId="0" fontId="24" fillId="22" borderId="85" xfId="0" applyFont="1" applyFill="1" applyBorder="1" applyAlignment="1">
      <alignment vertical="top"/>
    </xf>
    <xf numFmtId="0" fontId="24" fillId="13" borderId="83" xfId="0" applyFont="1" applyFill="1" applyBorder="1" applyAlignment="1">
      <alignment vertical="top"/>
    </xf>
    <xf numFmtId="0" fontId="24" fillId="13" borderId="85" xfId="0" applyFont="1" applyFill="1" applyBorder="1" applyAlignment="1">
      <alignment vertical="top"/>
    </xf>
    <xf numFmtId="0" fontId="24" fillId="13" borderId="80" xfId="0" applyFont="1" applyFill="1" applyBorder="1" applyAlignment="1">
      <alignment vertical="top"/>
    </xf>
    <xf numFmtId="0" fontId="24" fillId="22" borderId="82" xfId="0" applyFont="1" applyFill="1" applyBorder="1" applyAlignment="1">
      <alignment vertical="top"/>
    </xf>
    <xf numFmtId="0" fontId="24" fillId="13" borderId="90" xfId="0" applyFont="1" applyFill="1" applyBorder="1" applyAlignment="1">
      <alignment vertical="top"/>
    </xf>
    <xf numFmtId="0" fontId="24" fillId="22" borderId="83" xfId="0" applyFont="1" applyFill="1" applyBorder="1" applyAlignment="1">
      <alignment vertical="top"/>
    </xf>
    <xf numFmtId="0" fontId="24" fillId="22" borderId="86" xfId="0" applyFont="1" applyFill="1" applyBorder="1" applyAlignment="1">
      <alignment vertical="top"/>
    </xf>
    <xf numFmtId="0" fontId="24" fillId="13" borderId="86" xfId="0" applyFont="1" applyFill="1" applyBorder="1" applyAlignment="1">
      <alignment vertical="top"/>
    </xf>
    <xf numFmtId="0" fontId="40" fillId="0" borderId="0" xfId="0" applyFont="1" applyAlignment="1">
      <alignment horizontal="left" vertical="top"/>
    </xf>
    <xf numFmtId="0" fontId="24" fillId="0" borderId="0" xfId="0" quotePrefix="1" applyFont="1" applyAlignment="1">
      <alignment horizontal="right" vertical="center"/>
    </xf>
    <xf numFmtId="0" fontId="197" fillId="0" borderId="0" xfId="0" applyFont="1" applyAlignment="1">
      <alignment vertical="top"/>
    </xf>
    <xf numFmtId="0" fontId="79" fillId="25" borderId="1" xfId="0" applyFont="1" applyFill="1" applyBorder="1" applyAlignment="1">
      <alignment vertical="center"/>
    </xf>
    <xf numFmtId="0" fontId="5" fillId="0" borderId="0" xfId="0" applyFont="1" applyAlignment="1">
      <alignment horizontal="left" vertical="top"/>
    </xf>
    <xf numFmtId="0" fontId="24" fillId="0" borderId="11" xfId="0" applyFont="1" applyBorder="1" applyAlignment="1">
      <alignment vertical="center"/>
    </xf>
    <xf numFmtId="0" fontId="40" fillId="0" borderId="11" xfId="0" applyFont="1" applyBorder="1" applyAlignment="1">
      <alignment horizontal="left" vertical="center"/>
    </xf>
    <xf numFmtId="0" fontId="1" fillId="0" borderId="14" xfId="20" applyBorder="1" applyAlignment="1">
      <alignment vertical="center"/>
    </xf>
    <xf numFmtId="0" fontId="24" fillId="0" borderId="14" xfId="0" applyFont="1" applyBorder="1" applyAlignment="1">
      <alignment vertical="center"/>
    </xf>
    <xf numFmtId="0" fontId="24" fillId="0" borderId="0" xfId="0" applyFont="1" applyAlignment="1">
      <alignment horizontal="left" wrapText="1"/>
    </xf>
    <xf numFmtId="0" fontId="40" fillId="0" borderId="0" xfId="0" applyFont="1" applyAlignment="1">
      <alignment horizontal="center" vertical="center" wrapText="1"/>
    </xf>
    <xf numFmtId="164" fontId="29" fillId="0" borderId="0" xfId="0" quotePrefix="1" applyNumberFormat="1" applyFont="1" applyAlignment="1">
      <alignment horizontal="center" vertical="center" wrapText="1"/>
    </xf>
    <xf numFmtId="164" fontId="29" fillId="0" borderId="0" xfId="0" applyNumberFormat="1" applyFont="1" applyAlignment="1">
      <alignment horizontal="center" vertical="center" wrapText="1"/>
    </xf>
    <xf numFmtId="9" fontId="63" fillId="0" borderId="16" xfId="0" applyNumberFormat="1" applyFont="1" applyBorder="1" applyAlignment="1">
      <alignment vertical="center"/>
    </xf>
    <xf numFmtId="9" fontId="63" fillId="0" borderId="0" xfId="0" applyNumberFormat="1" applyFont="1" applyAlignment="1">
      <alignment vertical="center"/>
    </xf>
    <xf numFmtId="9" fontId="24" fillId="0" borderId="0" xfId="0" applyNumberFormat="1" applyFont="1" applyAlignment="1">
      <alignment horizontal="center" vertical="center"/>
    </xf>
    <xf numFmtId="0" fontId="215" fillId="0" borderId="0" xfId="0" applyFont="1" applyAlignment="1">
      <alignment horizontal="left" vertical="center"/>
    </xf>
    <xf numFmtId="0" fontId="109" fillId="0" borderId="0" xfId="0" quotePrefix="1" applyFont="1" applyAlignment="1">
      <alignment horizontal="center" vertical="center"/>
    </xf>
    <xf numFmtId="178" fontId="0" fillId="0" borderId="0" xfId="0" applyNumberFormat="1" applyAlignment="1">
      <alignment horizontal="center" vertical="center"/>
    </xf>
    <xf numFmtId="179" fontId="0" fillId="0" borderId="0" xfId="0" applyNumberFormat="1" applyAlignment="1">
      <alignment horizontal="center" vertical="center"/>
    </xf>
    <xf numFmtId="0" fontId="40" fillId="0" borderId="0" xfId="0" applyFont="1" applyAlignment="1">
      <alignment vertical="top"/>
    </xf>
    <xf numFmtId="0" fontId="24" fillId="0" borderId="0" xfId="0" quotePrefix="1" applyFont="1" applyAlignment="1">
      <alignment vertical="top" wrapText="1"/>
    </xf>
    <xf numFmtId="0" fontId="119" fillId="0" borderId="14" xfId="0" applyFont="1" applyBorder="1" applyAlignment="1">
      <alignment horizontal="center" vertical="center"/>
    </xf>
    <xf numFmtId="208" fontId="117" fillId="0" borderId="14" xfId="0" applyNumberFormat="1" applyFont="1" applyBorder="1" applyAlignment="1">
      <alignment horizontal="center" vertical="center"/>
    </xf>
    <xf numFmtId="9" fontId="24" fillId="0" borderId="0" xfId="1" applyFont="1" applyBorder="1" applyAlignment="1">
      <alignment vertical="center"/>
    </xf>
    <xf numFmtId="0" fontId="66" fillId="0" borderId="0" xfId="0" applyFont="1"/>
    <xf numFmtId="164" fontId="24" fillId="0" borderId="11" xfId="0" applyNumberFormat="1" applyFont="1" applyBorder="1" applyAlignment="1">
      <alignment horizontal="center" vertical="center" wrapText="1"/>
    </xf>
    <xf numFmtId="0" fontId="0" fillId="0" borderId="11" xfId="0" applyBorder="1" applyAlignment="1">
      <alignment horizontal="center"/>
    </xf>
    <xf numFmtId="0" fontId="167" fillId="0" borderId="0" xfId="0" applyFont="1" applyAlignment="1">
      <alignment vertical="center"/>
    </xf>
    <xf numFmtId="0" fontId="167" fillId="0" borderId="11" xfId="0" applyFont="1" applyBorder="1" applyAlignment="1">
      <alignment vertical="center"/>
    </xf>
    <xf numFmtId="0" fontId="43" fillId="0" borderId="0" xfId="0" applyFont="1" applyAlignment="1">
      <alignment vertical="top"/>
    </xf>
    <xf numFmtId="0" fontId="168" fillId="0" borderId="0" xfId="0" applyFont="1" applyAlignment="1">
      <alignment vertical="top"/>
    </xf>
    <xf numFmtId="0" fontId="109" fillId="0" borderId="1" xfId="0" applyFont="1" applyBorder="1" applyAlignment="1">
      <alignment horizontal="left" vertical="center"/>
    </xf>
    <xf numFmtId="0" fontId="0" fillId="0" borderId="1" xfId="0" applyBorder="1" applyAlignment="1">
      <alignment horizontal="left" vertical="center"/>
    </xf>
    <xf numFmtId="0" fontId="4" fillId="0" borderId="1" xfId="0" applyFont="1" applyBorder="1" applyAlignment="1">
      <alignment vertical="center"/>
    </xf>
    <xf numFmtId="0" fontId="71" fillId="0" borderId="0" xfId="0" applyFont="1" applyAlignment="1">
      <alignment wrapText="1"/>
    </xf>
    <xf numFmtId="0" fontId="34" fillId="0" borderId="0" xfId="0" applyFont="1" applyAlignment="1">
      <alignment horizontal="left" vertical="top"/>
    </xf>
    <xf numFmtId="0" fontId="34" fillId="0" borderId="0" xfId="0" applyFont="1" applyAlignment="1">
      <alignment horizontal="left" vertical="top" wrapText="1"/>
    </xf>
    <xf numFmtId="0" fontId="125" fillId="0" borderId="0" xfId="0" applyFont="1" applyAlignment="1">
      <alignment horizontal="left" vertical="top" wrapText="1"/>
    </xf>
    <xf numFmtId="0" fontId="108" fillId="0" borderId="0" xfId="0" applyFont="1" applyAlignment="1">
      <alignment horizontal="left" vertical="center"/>
    </xf>
    <xf numFmtId="0" fontId="109" fillId="0" borderId="0" xfId="0" applyFont="1" applyAlignment="1">
      <alignment horizontal="left"/>
    </xf>
    <xf numFmtId="0" fontId="24" fillId="0" borderId="0" xfId="0" applyFont="1" applyAlignment="1">
      <alignment horizontal="right"/>
    </xf>
    <xf numFmtId="0" fontId="69" fillId="0" borderId="0" xfId="0" applyFont="1"/>
    <xf numFmtId="211" fontId="20" fillId="0" borderId="0" xfId="0" applyNumberFormat="1" applyFont="1" applyAlignment="1">
      <alignment horizontal="center"/>
    </xf>
    <xf numFmtId="3" fontId="173" fillId="0" borderId="0" xfId="0" applyNumberFormat="1" applyFont="1" applyAlignment="1">
      <alignment horizontal="right" vertical="center"/>
    </xf>
    <xf numFmtId="0" fontId="109" fillId="0" borderId="0" xfId="1" applyNumberFormat="1" applyFont="1" applyAlignment="1">
      <alignment horizontal="center" vertical="center" wrapText="1"/>
    </xf>
    <xf numFmtId="0" fontId="142" fillId="0" borderId="0" xfId="0" applyFont="1" applyAlignment="1">
      <alignment horizontal="left" vertical="top" wrapText="1"/>
    </xf>
    <xf numFmtId="1" fontId="117" fillId="0" borderId="0" xfId="0" applyNumberFormat="1" applyFont="1" applyAlignment="1">
      <alignment horizontal="center" vertical="center" wrapText="1"/>
    </xf>
    <xf numFmtId="0" fontId="34" fillId="0" borderId="11" xfId="0" applyFont="1" applyBorder="1" applyAlignment="1">
      <alignment horizontal="left" vertical="top" wrapText="1"/>
    </xf>
    <xf numFmtId="0" fontId="4" fillId="0" borderId="1" xfId="0" applyFont="1" applyBorder="1"/>
    <xf numFmtId="178" fontId="0" fillId="0" borderId="0" xfId="0" applyNumberFormat="1" applyAlignment="1">
      <alignment horizontal="center"/>
    </xf>
    <xf numFmtId="178" fontId="24" fillId="0" borderId="0" xfId="0" applyNumberFormat="1" applyFont="1" applyAlignment="1">
      <alignment horizontal="right"/>
    </xf>
    <xf numFmtId="0" fontId="16" fillId="0" borderId="0" xfId="4" applyFill="1"/>
    <xf numFmtId="0" fontId="224" fillId="0" borderId="0" xfId="0" applyFont="1" applyAlignment="1">
      <alignment horizontal="left" vertical="center" wrapText="1"/>
    </xf>
    <xf numFmtId="9" fontId="224" fillId="0" borderId="0" xfId="16" applyNumberFormat="1" applyFont="1" applyAlignment="1">
      <alignment horizontal="center" vertical="center" wrapText="1"/>
    </xf>
    <xf numFmtId="184" fontId="222" fillId="0" borderId="16" xfId="16" applyFont="1" applyBorder="1" applyAlignment="1">
      <alignment vertical="center" wrapText="1"/>
    </xf>
    <xf numFmtId="184" fontId="222" fillId="0" borderId="0" xfId="16" applyFont="1" applyAlignment="1">
      <alignment vertical="center" wrapText="1"/>
    </xf>
    <xf numFmtId="0" fontId="224" fillId="0" borderId="0" xfId="0" applyFont="1" applyAlignment="1">
      <alignment vertical="center" wrapText="1"/>
    </xf>
    <xf numFmtId="0" fontId="224" fillId="0" borderId="0" xfId="0" applyFont="1" applyAlignment="1">
      <alignment horizontal="left" wrapText="1"/>
    </xf>
    <xf numFmtId="0" fontId="224" fillId="0" borderId="0" xfId="0" applyFont="1"/>
    <xf numFmtId="0" fontId="224" fillId="0" borderId="0" xfId="0" applyFont="1" applyAlignment="1">
      <alignment horizontal="left" vertical="center"/>
    </xf>
    <xf numFmtId="9" fontId="224" fillId="0" borderId="0" xfId="16" applyNumberFormat="1" applyFont="1" applyAlignment="1">
      <alignment horizontal="center" vertical="center"/>
    </xf>
    <xf numFmtId="9" fontId="223" fillId="0" borderId="16" xfId="0" applyNumberFormat="1" applyFont="1" applyBorder="1" applyAlignment="1">
      <alignment vertical="center"/>
    </xf>
    <xf numFmtId="9" fontId="223" fillId="0" borderId="0" xfId="0" applyNumberFormat="1" applyFont="1" applyAlignment="1">
      <alignment vertical="center"/>
    </xf>
    <xf numFmtId="0" fontId="224" fillId="0" borderId="0" xfId="0" applyFont="1" applyAlignment="1">
      <alignment vertical="center"/>
    </xf>
    <xf numFmtId="0" fontId="224" fillId="0" borderId="0" xfId="0" applyFont="1" applyAlignment="1">
      <alignment horizontal="left"/>
    </xf>
    <xf numFmtId="9" fontId="224" fillId="0" borderId="0" xfId="0" applyNumberFormat="1" applyFont="1" applyAlignment="1">
      <alignment horizontal="center" vertical="center"/>
    </xf>
    <xf numFmtId="0" fontId="40" fillId="2" borderId="2" xfId="0" applyFont="1" applyFill="1" applyBorder="1" applyAlignment="1">
      <alignment vertical="center"/>
    </xf>
    <xf numFmtId="0" fontId="40" fillId="2" borderId="3" xfId="0" applyFont="1" applyFill="1" applyBorder="1" applyAlignment="1">
      <alignment vertical="center"/>
    </xf>
    <xf numFmtId="0" fontId="40" fillId="2" borderId="4" xfId="0" applyFont="1" applyFill="1" applyBorder="1" applyAlignment="1">
      <alignment vertical="center"/>
    </xf>
    <xf numFmtId="0" fontId="40" fillId="2" borderId="80" xfId="0" applyFont="1" applyFill="1" applyBorder="1" applyAlignment="1">
      <alignment vertical="top"/>
    </xf>
    <xf numFmtId="0" fontId="40" fillId="2" borderId="81" xfId="0" applyFont="1" applyFill="1" applyBorder="1" applyAlignment="1">
      <alignment vertical="top"/>
    </xf>
    <xf numFmtId="0" fontId="40" fillId="2" borderId="82" xfId="0" applyFont="1" applyFill="1" applyBorder="1" applyAlignment="1">
      <alignment vertical="top" wrapText="1"/>
    </xf>
    <xf numFmtId="0" fontId="24" fillId="22" borderId="84" xfId="0" applyFont="1" applyFill="1" applyBorder="1" applyAlignment="1">
      <alignment vertical="top"/>
    </xf>
    <xf numFmtId="0" fontId="24" fillId="22" borderId="80" xfId="0" applyFont="1" applyFill="1" applyBorder="1" applyAlignment="1">
      <alignment vertical="top"/>
    </xf>
    <xf numFmtId="0" fontId="24" fillId="22" borderId="81" xfId="0" applyFont="1" applyFill="1" applyBorder="1" applyAlignment="1">
      <alignment vertical="top"/>
    </xf>
    <xf numFmtId="0" fontId="24" fillId="22" borderId="82" xfId="0" applyFont="1" applyFill="1" applyBorder="1" applyAlignment="1">
      <alignment vertical="top" wrapText="1"/>
    </xf>
    <xf numFmtId="0" fontId="24" fillId="22" borderId="0" xfId="0" applyFont="1" applyFill="1" applyAlignment="1">
      <alignment vertical="top"/>
    </xf>
    <xf numFmtId="0" fontId="24" fillId="22" borderId="87" xfId="0" applyFont="1" applyFill="1" applyBorder="1" applyAlignment="1">
      <alignment vertical="top"/>
    </xf>
    <xf numFmtId="0" fontId="24" fillId="13" borderId="81" xfId="0" applyFont="1" applyFill="1" applyBorder="1" applyAlignment="1">
      <alignment vertical="top"/>
    </xf>
    <xf numFmtId="0" fontId="24" fillId="13" borderId="82" xfId="0" applyFont="1" applyFill="1" applyBorder="1" applyAlignment="1">
      <alignment vertical="top" wrapText="1"/>
    </xf>
    <xf numFmtId="0" fontId="24" fillId="13" borderId="84" xfId="0" applyFont="1" applyFill="1" applyBorder="1" applyAlignment="1">
      <alignment vertical="top"/>
    </xf>
    <xf numFmtId="0" fontId="24" fillId="13" borderId="88" xfId="0" applyFont="1" applyFill="1" applyBorder="1" applyAlignment="1">
      <alignment vertical="top" wrapText="1"/>
    </xf>
    <xf numFmtId="0" fontId="24" fillId="13" borderId="87" xfId="0" applyFont="1" applyFill="1" applyBorder="1" applyAlignment="1">
      <alignment vertical="top"/>
    </xf>
    <xf numFmtId="0" fontId="65" fillId="13" borderId="85" xfId="0" applyFont="1" applyFill="1" applyBorder="1" applyAlignment="1">
      <alignment vertical="top"/>
    </xf>
    <xf numFmtId="0" fontId="65" fillId="13" borderId="0" xfId="0" applyFont="1" applyFill="1" applyAlignment="1">
      <alignment vertical="top"/>
    </xf>
    <xf numFmtId="0" fontId="24" fillId="13" borderId="89" xfId="0" applyFont="1" applyFill="1" applyBorder="1" applyAlignment="1">
      <alignment vertical="top" wrapText="1"/>
    </xf>
    <xf numFmtId="0" fontId="24" fillId="22" borderId="83" xfId="0" applyFont="1" applyFill="1" applyBorder="1" applyAlignment="1">
      <alignment vertical="top" wrapText="1"/>
    </xf>
    <xf numFmtId="0" fontId="24" fillId="22" borderId="88" xfId="0" applyFont="1" applyFill="1" applyBorder="1" applyAlignment="1">
      <alignment vertical="top"/>
    </xf>
    <xf numFmtId="0" fontId="24" fillId="22" borderId="81" xfId="0" applyFont="1" applyFill="1" applyBorder="1" applyAlignment="1">
      <alignment vertical="center"/>
    </xf>
    <xf numFmtId="0" fontId="24" fillId="22" borderId="81" xfId="0" applyFont="1" applyFill="1" applyBorder="1" applyAlignment="1">
      <alignment horizontal="left" vertical="center"/>
    </xf>
    <xf numFmtId="0" fontId="65" fillId="13" borderId="80" xfId="0" applyFont="1" applyFill="1" applyBorder="1" applyAlignment="1">
      <alignment vertical="top"/>
    </xf>
    <xf numFmtId="0" fontId="65" fillId="13" borderId="81" xfId="0" applyFont="1" applyFill="1" applyBorder="1" applyAlignment="1">
      <alignment vertical="top"/>
    </xf>
    <xf numFmtId="0" fontId="24" fillId="22" borderId="85" xfId="0" applyFont="1" applyFill="1" applyBorder="1" applyAlignment="1">
      <alignment vertical="top" wrapText="1"/>
    </xf>
    <xf numFmtId="0" fontId="24" fillId="22" borderId="87" xfId="0" applyFont="1" applyFill="1" applyBorder="1" applyAlignment="1">
      <alignment vertical="center"/>
    </xf>
    <xf numFmtId="0" fontId="24" fillId="22" borderId="87" xfId="0" applyFont="1" applyFill="1" applyBorder="1" applyAlignment="1">
      <alignment horizontal="left" vertical="center"/>
    </xf>
    <xf numFmtId="0" fontId="24" fillId="22" borderId="90" xfId="0" applyFont="1" applyFill="1" applyBorder="1" applyAlignment="1">
      <alignment vertical="top" wrapText="1"/>
    </xf>
    <xf numFmtId="0" fontId="24" fillId="13" borderId="83" xfId="0" applyFont="1" applyFill="1" applyBorder="1" applyAlignment="1">
      <alignment vertical="top" wrapText="1"/>
    </xf>
    <xf numFmtId="0" fontId="24" fillId="13" borderId="81" xfId="0" applyFont="1" applyFill="1" applyBorder="1" applyAlignment="1">
      <alignment vertical="center"/>
    </xf>
    <xf numFmtId="0" fontId="24" fillId="13" borderId="81" xfId="0" applyFont="1" applyFill="1" applyBorder="1" applyAlignment="1">
      <alignment horizontal="left" vertical="center"/>
    </xf>
    <xf numFmtId="0" fontId="24" fillId="13" borderId="85" xfId="0" applyFont="1" applyFill="1" applyBorder="1" applyAlignment="1">
      <alignment vertical="top" wrapText="1"/>
    </xf>
    <xf numFmtId="0" fontId="24" fillId="13" borderId="86" xfId="0" applyFont="1" applyFill="1" applyBorder="1" applyAlignment="1">
      <alignment vertical="top" wrapText="1"/>
    </xf>
    <xf numFmtId="0" fontId="24" fillId="22" borderId="89" xfId="0" applyFont="1" applyFill="1" applyBorder="1" applyAlignment="1">
      <alignment vertical="top"/>
    </xf>
    <xf numFmtId="0" fontId="24" fillId="22" borderId="86" xfId="0" applyFont="1" applyFill="1" applyBorder="1" applyAlignment="1">
      <alignment vertical="top" wrapText="1"/>
    </xf>
    <xf numFmtId="0" fontId="24" fillId="22" borderId="90" xfId="0" applyFont="1" applyFill="1" applyBorder="1" applyAlignment="1">
      <alignment vertical="top"/>
    </xf>
    <xf numFmtId="0" fontId="65" fillId="13" borderId="83" xfId="0" applyFont="1" applyFill="1" applyBorder="1" applyAlignment="1">
      <alignment vertical="top"/>
    </xf>
    <xf numFmtId="0" fontId="65" fillId="22" borderId="80" xfId="0" applyFont="1" applyFill="1" applyBorder="1" applyAlignment="1">
      <alignment vertical="top"/>
    </xf>
    <xf numFmtId="0" fontId="65" fillId="22" borderId="83" xfId="0" applyFont="1" applyFill="1" applyBorder="1" applyAlignment="1">
      <alignment vertical="top"/>
    </xf>
    <xf numFmtId="0" fontId="24" fillId="22" borderId="88" xfId="0" applyFont="1" applyFill="1" applyBorder="1" applyAlignment="1">
      <alignment vertical="top" wrapText="1"/>
    </xf>
    <xf numFmtId="0" fontId="65" fillId="13" borderId="86" xfId="0" applyFont="1" applyFill="1" applyBorder="1" applyAlignment="1">
      <alignment vertical="top"/>
    </xf>
    <xf numFmtId="0" fontId="65" fillId="22" borderId="84" xfId="0" applyFont="1" applyFill="1" applyBorder="1" applyAlignment="1">
      <alignment vertical="top"/>
    </xf>
    <xf numFmtId="0" fontId="65" fillId="22" borderId="86" xfId="0" applyFont="1" applyFill="1" applyBorder="1" applyAlignment="1">
      <alignment vertical="top"/>
    </xf>
    <xf numFmtId="0" fontId="65" fillId="22" borderId="87" xfId="0" applyFont="1" applyFill="1" applyBorder="1" applyAlignment="1">
      <alignment vertical="top"/>
    </xf>
    <xf numFmtId="0" fontId="24" fillId="22" borderId="89" xfId="0" applyFont="1" applyFill="1" applyBorder="1" applyAlignment="1">
      <alignment vertical="top" wrapText="1"/>
    </xf>
    <xf numFmtId="0" fontId="65" fillId="13" borderId="87" xfId="0" applyFont="1" applyFill="1" applyBorder="1" applyAlignment="1">
      <alignment vertical="top"/>
    </xf>
    <xf numFmtId="0" fontId="65" fillId="22" borderId="81" xfId="0" applyFont="1" applyFill="1" applyBorder="1" applyAlignment="1">
      <alignment vertical="top"/>
    </xf>
    <xf numFmtId="0" fontId="65" fillId="13" borderId="82" xfId="0" applyFont="1" applyFill="1" applyBorder="1" applyAlignment="1">
      <alignment vertical="top"/>
    </xf>
    <xf numFmtId="0" fontId="29" fillId="13" borderId="87" xfId="0" applyFont="1" applyFill="1" applyBorder="1" applyAlignment="1">
      <alignment vertical="top"/>
    </xf>
    <xf numFmtId="0" fontId="65" fillId="13" borderId="87" xfId="0" applyFont="1" applyFill="1" applyBorder="1" applyAlignment="1">
      <alignment vertical="top" wrapText="1"/>
    </xf>
    <xf numFmtId="0" fontId="29" fillId="22" borderId="87" xfId="0" applyFont="1" applyFill="1" applyBorder="1" applyAlignment="1">
      <alignment vertical="top"/>
    </xf>
    <xf numFmtId="0" fontId="65" fillId="22" borderId="87" xfId="0" applyFont="1" applyFill="1" applyBorder="1" applyAlignment="1">
      <alignment vertical="top" wrapText="1"/>
    </xf>
    <xf numFmtId="0" fontId="65" fillId="22" borderId="82" xfId="0" applyFont="1" applyFill="1" applyBorder="1" applyAlignment="1">
      <alignment vertical="top"/>
    </xf>
    <xf numFmtId="0" fontId="29" fillId="13" borderId="82" xfId="0" applyFont="1" applyFill="1" applyBorder="1" applyAlignment="1">
      <alignment vertical="top"/>
    </xf>
    <xf numFmtId="0" fontId="24" fillId="13" borderId="81" xfId="0" applyFont="1" applyFill="1" applyBorder="1" applyAlignment="1">
      <alignment vertical="top" wrapText="1"/>
    </xf>
    <xf numFmtId="0" fontId="24" fillId="22" borderId="81" xfId="0" applyFont="1" applyFill="1" applyBorder="1" applyAlignment="1">
      <alignment vertical="top" wrapText="1"/>
    </xf>
    <xf numFmtId="0" fontId="29" fillId="22" borderId="82" xfId="0" applyFont="1" applyFill="1" applyBorder="1" applyAlignment="1">
      <alignment vertical="top"/>
    </xf>
    <xf numFmtId="0" fontId="6" fillId="0" borderId="0" xfId="0" applyFont="1" applyAlignment="1">
      <alignment vertical="center" wrapText="1"/>
    </xf>
    <xf numFmtId="0" fontId="208" fillId="0" borderId="0" xfId="0" applyFont="1" applyAlignment="1">
      <alignment vertical="top"/>
    </xf>
    <xf numFmtId="0" fontId="225" fillId="0" borderId="0" xfId="0" applyFont="1" applyAlignment="1">
      <alignment vertical="top"/>
    </xf>
    <xf numFmtId="0" fontId="64" fillId="0" borderId="0" xfId="0" applyFont="1" applyAlignment="1">
      <alignment horizontal="right"/>
    </xf>
    <xf numFmtId="0" fontId="29" fillId="0" borderId="0" xfId="0" applyFont="1" applyAlignment="1">
      <alignment horizontal="left" vertical="top" wrapText="1"/>
    </xf>
    <xf numFmtId="0" fontId="208" fillId="0" borderId="0" xfId="0" applyFont="1" applyAlignment="1">
      <alignment horizontal="left" vertical="center"/>
    </xf>
    <xf numFmtId="0" fontId="209" fillId="0" borderId="0" xfId="0" applyFont="1"/>
    <xf numFmtId="0" fontId="4" fillId="0" borderId="0" xfId="0" quotePrefix="1" applyFont="1" applyAlignment="1">
      <alignment vertical="center"/>
    </xf>
    <xf numFmtId="0" fontId="10" fillId="0" borderId="0" xfId="0" quotePrefix="1" applyFont="1" applyAlignment="1">
      <alignment vertical="center"/>
    </xf>
    <xf numFmtId="0" fontId="4" fillId="0" borderId="0" xfId="0" quotePrefix="1" applyFont="1" applyAlignment="1">
      <alignment horizontal="center" vertical="center"/>
    </xf>
    <xf numFmtId="0" fontId="4" fillId="0" borderId="0" xfId="0" quotePrefix="1" applyFont="1" applyAlignment="1">
      <alignment horizontal="left" vertical="center"/>
    </xf>
    <xf numFmtId="0" fontId="40" fillId="0" borderId="11" xfId="0" applyFont="1" applyBorder="1" applyAlignment="1">
      <alignment vertical="center"/>
    </xf>
    <xf numFmtId="0" fontId="230" fillId="0" borderId="0" xfId="0" applyFont="1" applyAlignment="1">
      <alignment vertical="center"/>
    </xf>
    <xf numFmtId="0" fontId="209" fillId="0" borderId="0" xfId="0" applyFont="1" applyAlignment="1">
      <alignment vertical="center"/>
    </xf>
    <xf numFmtId="178" fontId="164" fillId="0" borderId="0" xfId="2" applyNumberFormat="1" applyFont="1" applyFill="1" applyBorder="1" applyAlignment="1">
      <alignment horizontal="center" vertical="center"/>
    </xf>
    <xf numFmtId="209" fontId="164" fillId="0" borderId="0" xfId="0" applyNumberFormat="1" applyFont="1" applyAlignment="1">
      <alignment horizontal="center" vertical="center"/>
    </xf>
    <xf numFmtId="178" fontId="0" fillId="0" borderId="0" xfId="2" applyNumberFormat="1" applyFont="1" applyFill="1" applyBorder="1" applyAlignment="1">
      <alignment horizontal="center" vertical="center"/>
    </xf>
    <xf numFmtId="209" fontId="0" fillId="0" borderId="0" xfId="0" applyNumberFormat="1" applyAlignment="1">
      <alignment horizontal="center" vertical="center"/>
    </xf>
    <xf numFmtId="0" fontId="62" fillId="0" borderId="0" xfId="4" applyFont="1" applyFill="1" applyAlignment="1">
      <alignment horizontal="left" indent="2"/>
    </xf>
    <xf numFmtId="0" fontId="65" fillId="0" borderId="0" xfId="0" quotePrefix="1" applyFont="1" applyAlignment="1">
      <alignment horizontal="right" vertical="top"/>
    </xf>
    <xf numFmtId="0" fontId="167" fillId="0" borderId="16" xfId="0" applyFont="1" applyBorder="1" applyAlignment="1">
      <alignment vertical="center" wrapText="1"/>
    </xf>
    <xf numFmtId="0" fontId="167" fillId="0" borderId="0" xfId="0" applyFont="1" applyAlignment="1">
      <alignment vertical="center" wrapText="1"/>
    </xf>
    <xf numFmtId="2" fontId="65" fillId="0" borderId="16" xfId="0" applyNumberFormat="1" applyFont="1" applyBorder="1" applyAlignment="1">
      <alignment vertical="center"/>
    </xf>
    <xf numFmtId="2" fontId="65" fillId="0" borderId="0" xfId="0" applyNumberFormat="1" applyFont="1" applyAlignment="1">
      <alignment vertical="center"/>
    </xf>
    <xf numFmtId="0" fontId="65" fillId="13" borderId="80" xfId="0" applyFont="1" applyFill="1" applyBorder="1"/>
    <xf numFmtId="0" fontId="65" fillId="13" borderId="81" xfId="0" applyFont="1" applyFill="1" applyBorder="1"/>
    <xf numFmtId="0" fontId="24" fillId="13" borderId="81" xfId="0" applyFont="1" applyFill="1" applyBorder="1"/>
    <xf numFmtId="0" fontId="24" fillId="13" borderId="82" xfId="0" applyFont="1" applyFill="1" applyBorder="1" applyAlignment="1">
      <alignment wrapText="1"/>
    </xf>
    <xf numFmtId="0" fontId="29" fillId="0" borderId="0" xfId="0" applyFont="1" applyAlignment="1">
      <alignment vertical="center"/>
    </xf>
    <xf numFmtId="0" fontId="24" fillId="0" borderId="0" xfId="20" applyFont="1" applyAlignment="1">
      <alignment vertical="top" wrapText="1"/>
    </xf>
    <xf numFmtId="0" fontId="65" fillId="0" borderId="0" xfId="0" applyFont="1" applyAlignment="1">
      <alignment horizontal="right" vertical="center"/>
    </xf>
    <xf numFmtId="0" fontId="24" fillId="0" borderId="0" xfId="0" applyFont="1" applyAlignment="1">
      <alignment horizontal="right" vertical="center"/>
    </xf>
    <xf numFmtId="0" fontId="157" fillId="0" borderId="0" xfId="0" applyFont="1" applyAlignment="1">
      <alignment horizontal="left" vertical="top" wrapText="1"/>
    </xf>
    <xf numFmtId="165" fontId="24" fillId="0" borderId="1" xfId="0" applyNumberFormat="1" applyFont="1" applyBorder="1" applyAlignment="1">
      <alignment horizontal="center" vertical="center" wrapText="1"/>
    </xf>
    <xf numFmtId="0" fontId="24" fillId="22" borderId="88" xfId="0" applyFont="1" applyFill="1" applyBorder="1"/>
    <xf numFmtId="0" fontId="24" fillId="22" borderId="90" xfId="0" applyFont="1" applyFill="1" applyBorder="1"/>
    <xf numFmtId="0" fontId="24" fillId="22" borderId="82" xfId="0" applyFont="1" applyFill="1" applyBorder="1"/>
    <xf numFmtId="0" fontId="24" fillId="20" borderId="86" xfId="0" applyFont="1" applyFill="1" applyBorder="1" applyAlignment="1">
      <alignment vertical="top"/>
    </xf>
    <xf numFmtId="0" fontId="29" fillId="20" borderId="87" xfId="0" applyFont="1" applyFill="1" applyBorder="1" applyAlignment="1">
      <alignment vertical="top"/>
    </xf>
    <xf numFmtId="0" fontId="65" fillId="20" borderId="80" xfId="0" applyFont="1" applyFill="1" applyBorder="1" applyAlignment="1">
      <alignment vertical="top"/>
    </xf>
    <xf numFmtId="0" fontId="65" fillId="20" borderId="87" xfId="0" applyFont="1" applyFill="1" applyBorder="1" applyAlignment="1">
      <alignment vertical="top" wrapText="1"/>
    </xf>
    <xf numFmtId="0" fontId="24" fillId="20" borderId="81" xfId="0" applyFont="1" applyFill="1" applyBorder="1" applyAlignment="1">
      <alignment vertical="top"/>
    </xf>
    <xf numFmtId="0" fontId="65" fillId="20" borderId="82" xfId="0" applyFont="1" applyFill="1" applyBorder="1" applyAlignment="1">
      <alignment vertical="top"/>
    </xf>
    <xf numFmtId="0" fontId="29" fillId="13" borderId="90" xfId="0" applyFont="1" applyFill="1" applyBorder="1" applyAlignment="1">
      <alignment vertical="top"/>
    </xf>
    <xf numFmtId="0" fontId="24" fillId="13" borderId="82" xfId="0" applyFont="1" applyFill="1" applyBorder="1" applyAlignment="1">
      <alignment vertical="top"/>
    </xf>
    <xf numFmtId="0" fontId="65" fillId="13" borderId="81" xfId="0" applyFont="1" applyFill="1" applyBorder="1" applyAlignment="1">
      <alignment vertical="top" wrapText="1"/>
    </xf>
    <xf numFmtId="0" fontId="208" fillId="0" borderId="0" xfId="0" applyFont="1" applyAlignment="1">
      <alignment vertical="center" wrapText="1"/>
    </xf>
    <xf numFmtId="0" fontId="208" fillId="0" borderId="0" xfId="0" applyFont="1" applyAlignment="1">
      <alignment vertical="top" wrapText="1"/>
    </xf>
    <xf numFmtId="0" fontId="233" fillId="0" borderId="0" xfId="0" applyFont="1" applyAlignment="1">
      <alignment vertical="center"/>
    </xf>
    <xf numFmtId="0" fontId="65" fillId="0" borderId="0" xfId="0" applyFont="1" applyAlignment="1">
      <alignment horizontal="left" vertical="center"/>
    </xf>
    <xf numFmtId="0" fontId="117" fillId="0" borderId="0" xfId="0" applyFont="1" applyAlignment="1">
      <alignment horizontal="center" vertical="center" wrapText="1"/>
    </xf>
    <xf numFmtId="0" fontId="157" fillId="0" borderId="0" xfId="11" applyFont="1" applyAlignment="1">
      <alignment horizontal="left" vertical="center" wrapText="1"/>
    </xf>
    <xf numFmtId="0" fontId="157" fillId="0" borderId="0" xfId="11" applyFont="1" applyAlignment="1">
      <alignment horizontal="left" vertical="center"/>
    </xf>
    <xf numFmtId="3" fontId="117" fillId="0" borderId="0" xfId="0" applyNumberFormat="1" applyFont="1" applyAlignment="1">
      <alignment horizontal="center" vertical="center" wrapText="1"/>
    </xf>
    <xf numFmtId="0" fontId="209" fillId="0" borderId="0" xfId="0" applyFont="1" applyAlignment="1">
      <alignment vertical="top"/>
    </xf>
    <xf numFmtId="0" fontId="20" fillId="0" borderId="0" xfId="0" applyFont="1" applyAlignment="1">
      <alignment vertical="top"/>
    </xf>
    <xf numFmtId="0" fontId="234" fillId="0" borderId="0" xfId="0" applyFont="1" applyAlignment="1">
      <alignment vertical="center"/>
    </xf>
    <xf numFmtId="0" fontId="234" fillId="0" borderId="0" xfId="0" applyFont="1"/>
    <xf numFmtId="0" fontId="70" fillId="0" borderId="0" xfId="0" applyFont="1" applyAlignment="1">
      <alignment horizontal="left" vertical="center"/>
    </xf>
    <xf numFmtId="219" fontId="0" fillId="0" borderId="0" xfId="0" applyNumberFormat="1" applyAlignment="1">
      <alignment vertical="center"/>
    </xf>
    <xf numFmtId="0" fontId="234" fillId="0" borderId="0" xfId="11" applyFont="1" applyAlignment="1" applyProtection="1">
      <alignment horizontal="left" vertical="center"/>
      <protection locked="0"/>
    </xf>
    <xf numFmtId="0" fontId="236" fillId="0" borderId="0" xfId="0" applyFont="1" applyAlignment="1">
      <alignment vertical="center"/>
    </xf>
    <xf numFmtId="2" fontId="213" fillId="0" borderId="0" xfId="0" applyNumberFormat="1" applyFont="1" applyAlignment="1">
      <alignment horizontal="center" vertical="center" wrapText="1"/>
    </xf>
    <xf numFmtId="0" fontId="165" fillId="0" borderId="0" xfId="0" applyFont="1" applyAlignment="1">
      <alignment horizontal="left" vertical="top" wrapText="1"/>
    </xf>
    <xf numFmtId="0" fontId="173" fillId="0" borderId="0" xfId="0" applyFont="1" applyAlignment="1">
      <alignment vertical="top"/>
    </xf>
    <xf numFmtId="2" fontId="157" fillId="0" borderId="0" xfId="0" applyNumberFormat="1" applyFont="1" applyAlignment="1">
      <alignment horizontal="center" vertical="top" wrapText="1"/>
    </xf>
    <xf numFmtId="0" fontId="157" fillId="0" borderId="0" xfId="0" applyFont="1" applyAlignment="1">
      <alignment horizontal="center" vertical="top" wrapText="1"/>
    </xf>
    <xf numFmtId="0" fontId="65" fillId="0" borderId="0" xfId="0" applyFont="1" applyAlignment="1">
      <alignment vertical="center"/>
    </xf>
    <xf numFmtId="0" fontId="108" fillId="0" borderId="0" xfId="0" applyFont="1" applyAlignment="1">
      <alignment horizontal="center" vertical="center"/>
    </xf>
    <xf numFmtId="164" fontId="24" fillId="0" borderId="0" xfId="0" applyNumberFormat="1" applyFont="1" applyAlignment="1">
      <alignment horizontal="right" vertical="center"/>
    </xf>
    <xf numFmtId="165" fontId="24" fillId="0" borderId="0" xfId="0" applyNumberFormat="1" applyFont="1" applyAlignment="1">
      <alignment horizontal="right" vertical="center"/>
    </xf>
    <xf numFmtId="2" fontId="24" fillId="0" borderId="0" xfId="0" applyNumberFormat="1" applyFont="1" applyAlignment="1">
      <alignment horizontal="right" vertical="center"/>
    </xf>
    <xf numFmtId="0" fontId="241" fillId="0" borderId="0" xfId="0" applyFont="1" applyAlignment="1">
      <alignment horizontal="left" vertical="center" wrapText="1"/>
    </xf>
    <xf numFmtId="0" fontId="241" fillId="0" borderId="0" xfId="0" applyFont="1" applyAlignment="1">
      <alignment vertical="center"/>
    </xf>
    <xf numFmtId="0" fontId="242" fillId="0" borderId="0" xfId="0" applyFont="1" applyAlignment="1">
      <alignment horizontal="justify" vertical="center"/>
    </xf>
    <xf numFmtId="164" fontId="24" fillId="0" borderId="0" xfId="0" applyNumberFormat="1" applyFont="1" applyAlignment="1">
      <alignment vertical="center"/>
    </xf>
    <xf numFmtId="165" fontId="24" fillId="0" borderId="0" xfId="0" applyNumberFormat="1" applyFont="1" applyAlignment="1">
      <alignment vertical="center"/>
    </xf>
    <xf numFmtId="2" fontId="24" fillId="0" borderId="0" xfId="0" applyNumberFormat="1" applyFont="1" applyAlignment="1">
      <alignment vertical="center"/>
    </xf>
    <xf numFmtId="0" fontId="197" fillId="0" borderId="0" xfId="4" applyFont="1" applyFill="1"/>
    <xf numFmtId="0" fontId="197" fillId="0" borderId="0" xfId="4" applyFont="1" applyFill="1" applyAlignment="1">
      <alignment vertical="center"/>
    </xf>
    <xf numFmtId="217" fontId="24" fillId="0" borderId="16" xfId="0" applyNumberFormat="1" applyFont="1" applyBorder="1" applyAlignment="1">
      <alignment horizontal="center" vertical="center" wrapText="1"/>
    </xf>
    <xf numFmtId="218" fontId="24" fillId="0" borderId="13" xfId="0" applyNumberFormat="1" applyFont="1" applyBorder="1" applyAlignment="1">
      <alignment horizontal="center" vertical="center" wrapText="1"/>
    </xf>
    <xf numFmtId="218" fontId="24" fillId="0" borderId="16" xfId="0" applyNumberFormat="1" applyFont="1" applyBorder="1" applyAlignment="1">
      <alignment horizontal="center" vertical="center" wrapText="1"/>
    </xf>
    <xf numFmtId="220" fontId="24" fillId="0" borderId="16" xfId="0" applyNumberFormat="1" applyFont="1" applyBorder="1" applyAlignment="1">
      <alignment horizontal="center" vertical="center" wrapText="1"/>
    </xf>
    <xf numFmtId="187" fontId="24" fillId="0" borderId="16" xfId="0" applyNumberFormat="1" applyFont="1" applyBorder="1" applyAlignment="1">
      <alignment horizontal="center" vertical="center" wrapText="1"/>
    </xf>
    <xf numFmtId="214" fontId="24" fillId="0" borderId="16" xfId="0" applyNumberFormat="1" applyFont="1" applyBorder="1" applyAlignment="1">
      <alignment horizontal="center" vertical="center" wrapText="1"/>
    </xf>
    <xf numFmtId="214" fontId="24" fillId="5" borderId="16" xfId="0" applyNumberFormat="1" applyFont="1" applyFill="1" applyBorder="1" applyAlignment="1">
      <alignment horizontal="center" vertical="center" wrapText="1"/>
    </xf>
    <xf numFmtId="187" fontId="24" fillId="5" borderId="16" xfId="0" applyNumberFormat="1" applyFont="1" applyFill="1" applyBorder="1" applyAlignment="1">
      <alignment horizontal="center" vertical="center" wrapText="1"/>
    </xf>
    <xf numFmtId="0" fontId="40" fillId="0" borderId="0" xfId="0" applyFont="1" applyAlignment="1">
      <alignment horizontal="center" vertical="top" wrapText="1"/>
    </xf>
    <xf numFmtId="168" fontId="40" fillId="0" borderId="0" xfId="0" applyNumberFormat="1" applyFont="1" applyAlignment="1">
      <alignment horizontal="center" vertical="top" wrapText="1"/>
    </xf>
    <xf numFmtId="0" fontId="65" fillId="0" borderId="0" xfId="0" applyFont="1" applyAlignment="1">
      <alignment vertical="top"/>
    </xf>
    <xf numFmtId="0" fontId="24" fillId="0" borderId="0" xfId="0" applyFont="1" applyAlignment="1">
      <alignment horizontal="right" vertical="top"/>
    </xf>
    <xf numFmtId="0" fontId="39" fillId="0" borderId="0" xfId="0" applyFont="1" applyAlignment="1">
      <alignment vertical="center"/>
    </xf>
    <xf numFmtId="164" fontId="0" fillId="0" borderId="0" xfId="0" applyNumberFormat="1"/>
    <xf numFmtId="165" fontId="0" fillId="0" borderId="0" xfId="0" applyNumberFormat="1"/>
    <xf numFmtId="164" fontId="208" fillId="0" borderId="0" xfId="0" applyNumberFormat="1" applyFont="1" applyAlignment="1">
      <alignment vertical="center"/>
    </xf>
    <xf numFmtId="0" fontId="84" fillId="25" borderId="1" xfId="0" applyFont="1" applyFill="1" applyBorder="1" applyAlignment="1">
      <alignment vertical="center"/>
    </xf>
    <xf numFmtId="165" fontId="24" fillId="0" borderId="1" xfId="0" applyNumberFormat="1" applyFont="1" applyBorder="1" applyAlignment="1">
      <alignment horizontal="center"/>
    </xf>
    <xf numFmtId="217" fontId="40" fillId="0" borderId="1" xfId="0" applyNumberFormat="1" applyFont="1" applyBorder="1" applyAlignment="1">
      <alignment horizontal="center"/>
    </xf>
    <xf numFmtId="201" fontId="24" fillId="0" borderId="1" xfId="0" applyNumberFormat="1" applyFont="1" applyBorder="1" applyAlignment="1">
      <alignment horizontal="center" vertical="center" wrapText="1"/>
    </xf>
    <xf numFmtId="187" fontId="24" fillId="0" borderId="1" xfId="0" applyNumberFormat="1" applyFont="1" applyBorder="1" applyAlignment="1">
      <alignment horizontal="center" vertical="center" wrapText="1"/>
    </xf>
    <xf numFmtId="214" fontId="24" fillId="0" borderId="1" xfId="0" applyNumberFormat="1" applyFont="1" applyBorder="1" applyAlignment="1">
      <alignment horizontal="center" vertical="center" wrapText="1"/>
    </xf>
    <xf numFmtId="217" fontId="24" fillId="0" borderId="1" xfId="0" applyNumberFormat="1" applyFont="1" applyBorder="1" applyAlignment="1">
      <alignment horizontal="center" vertical="center" wrapText="1"/>
    </xf>
    <xf numFmtId="218" fontId="24" fillId="0" borderId="1" xfId="0" applyNumberFormat="1" applyFont="1" applyBorder="1" applyAlignment="1">
      <alignment horizontal="center" vertical="center" wrapText="1"/>
    </xf>
    <xf numFmtId="214" fontId="24" fillId="0" borderId="1" xfId="0" applyNumberFormat="1" applyFont="1" applyBorder="1" applyAlignment="1">
      <alignment horizontal="center"/>
    </xf>
    <xf numFmtId="217" fontId="24" fillId="0" borderId="1" xfId="0" applyNumberFormat="1" applyFont="1" applyBorder="1" applyAlignment="1">
      <alignment horizontal="center"/>
    </xf>
    <xf numFmtId="0" fontId="23" fillId="0" borderId="0" xfId="0" applyFont="1"/>
    <xf numFmtId="0" fontId="62" fillId="0" borderId="0" xfId="0" applyFont="1" applyAlignment="1">
      <alignment horizontal="left"/>
    </xf>
    <xf numFmtId="0" fontId="29" fillId="0" borderId="0" xfId="0" applyFont="1" applyAlignment="1">
      <alignment horizontal="left"/>
    </xf>
    <xf numFmtId="0" fontId="142" fillId="0" borderId="0" xfId="0" applyFont="1" applyAlignment="1">
      <alignment horizontal="left" vertical="top"/>
    </xf>
    <xf numFmtId="0" fontId="119" fillId="0" borderId="1" xfId="0" applyFont="1" applyBorder="1" applyAlignment="1">
      <alignment vertical="center"/>
    </xf>
    <xf numFmtId="0" fontId="24" fillId="0" borderId="0" xfId="0" applyFont="1" applyAlignment="1">
      <alignment wrapText="1"/>
    </xf>
    <xf numFmtId="0" fontId="164" fillId="0" borderId="0" xfId="0" applyFont="1" applyAlignment="1">
      <alignment vertical="top" wrapText="1"/>
    </xf>
    <xf numFmtId="0" fontId="135" fillId="0" borderId="16" xfId="0" applyFont="1" applyBorder="1" applyAlignment="1">
      <alignment vertical="center"/>
    </xf>
    <xf numFmtId="0" fontId="135" fillId="0" borderId="0" xfId="0" applyFont="1" applyAlignment="1">
      <alignment vertical="center"/>
    </xf>
    <xf numFmtId="0" fontId="24" fillId="22" borderId="87" xfId="0" quotePrefix="1" applyFont="1" applyFill="1" applyBorder="1" applyAlignment="1">
      <alignment horizontal="left" vertical="center"/>
    </xf>
    <xf numFmtId="0" fontId="68" fillId="24" borderId="0" xfId="0" applyFont="1" applyFill="1" applyAlignment="1">
      <alignment vertical="top" wrapText="1"/>
    </xf>
    <xf numFmtId="0" fontId="43" fillId="0" borderId="0" xfId="0" applyFont="1" applyAlignment="1">
      <alignment vertical="center"/>
    </xf>
    <xf numFmtId="0" fontId="167" fillId="0" borderId="0" xfId="0" applyFont="1" applyAlignment="1">
      <alignment horizontal="left" vertical="center"/>
    </xf>
    <xf numFmtId="0" fontId="63" fillId="0" borderId="0" xfId="0" applyFont="1" applyAlignment="1">
      <alignment horizontal="left" vertical="center" wrapText="1"/>
    </xf>
    <xf numFmtId="2" fontId="63" fillId="0" borderId="0" xfId="0" applyNumberFormat="1" applyFont="1" applyAlignment="1">
      <alignment horizontal="center" vertical="center"/>
    </xf>
    <xf numFmtId="0" fontId="249" fillId="0" borderId="0" xfId="0" applyFont="1" applyAlignment="1">
      <alignment horizontal="left" vertical="center"/>
    </xf>
    <xf numFmtId="0" fontId="250" fillId="0" borderId="0" xfId="0" applyFont="1" applyAlignment="1">
      <alignment horizontal="left" vertical="center"/>
    </xf>
    <xf numFmtId="0" fontId="252" fillId="0" borderId="0" xfId="0" applyFont="1" applyAlignment="1">
      <alignment horizontal="left" vertical="center"/>
    </xf>
    <xf numFmtId="0" fontId="164" fillId="0" borderId="0" xfId="0" quotePrefix="1" applyFont="1" applyAlignment="1">
      <alignment vertical="center"/>
    </xf>
    <xf numFmtId="0" fontId="173" fillId="0" borderId="0" xfId="0" applyFont="1" applyAlignment="1">
      <alignment horizontal="right" vertical="center"/>
    </xf>
    <xf numFmtId="0" fontId="24" fillId="0" borderId="0" xfId="0" quotePrefix="1" applyFont="1" applyAlignment="1">
      <alignment vertical="top"/>
    </xf>
    <xf numFmtId="0" fontId="253" fillId="0" borderId="0" xfId="0" applyFont="1" applyAlignment="1">
      <alignment horizontal="right" vertical="center"/>
    </xf>
    <xf numFmtId="0" fontId="62" fillId="0" borderId="0" xfId="0" applyFont="1" applyAlignment="1">
      <alignment horizontal="right" vertical="center"/>
    </xf>
    <xf numFmtId="0" fontId="62" fillId="0" borderId="0" xfId="0" quotePrefix="1" applyFont="1" applyAlignment="1">
      <alignment horizontal="left" vertical="center" wrapText="1"/>
    </xf>
    <xf numFmtId="0" fontId="62" fillId="0" borderId="0" xfId="0" applyFont="1" applyAlignment="1">
      <alignment horizontal="left" vertical="center" wrapText="1"/>
    </xf>
    <xf numFmtId="0" fontId="142" fillId="0" borderId="0" xfId="0" applyFont="1" applyAlignment="1">
      <alignment horizontal="left" vertical="center"/>
    </xf>
    <xf numFmtId="1" fontId="117" fillId="0" borderId="0" xfId="1" applyNumberFormat="1" applyFont="1" applyFill="1" applyBorder="1" applyAlignment="1">
      <alignment horizontal="center" vertical="center"/>
    </xf>
    <xf numFmtId="0" fontId="40" fillId="0" borderId="16" xfId="0" applyFont="1" applyBorder="1" applyAlignment="1">
      <alignment vertical="center"/>
    </xf>
    <xf numFmtId="0" fontId="24" fillId="0" borderId="16" xfId="0" applyFont="1" applyBorder="1" applyAlignment="1">
      <alignment vertical="center"/>
    </xf>
    <xf numFmtId="9" fontId="24" fillId="0" borderId="16" xfId="0" applyNumberFormat="1" applyFont="1" applyBorder="1"/>
    <xf numFmtId="9" fontId="40" fillId="0" borderId="0" xfId="0" applyNumberFormat="1" applyFont="1"/>
    <xf numFmtId="0" fontId="40" fillId="0" borderId="16" xfId="0" applyFont="1" applyBorder="1" applyAlignment="1">
      <alignment vertical="center" wrapText="1"/>
    </xf>
    <xf numFmtId="188" fontId="24" fillId="0" borderId="16" xfId="0" applyNumberFormat="1" applyFont="1" applyBorder="1" applyAlignment="1">
      <alignment vertical="center"/>
    </xf>
    <xf numFmtId="188" fontId="24" fillId="0" borderId="0" xfId="0" applyNumberFormat="1" applyFont="1" applyAlignment="1">
      <alignment vertical="center"/>
    </xf>
    <xf numFmtId="4" fontId="24" fillId="0" borderId="0" xfId="0" applyNumberFormat="1" applyFont="1" applyAlignment="1">
      <alignment vertical="center"/>
    </xf>
    <xf numFmtId="0" fontId="254" fillId="0" borderId="0" xfId="0" applyFont="1"/>
    <xf numFmtId="0" fontId="208" fillId="0" borderId="0" xfId="0" applyFont="1" applyAlignment="1">
      <alignment horizontal="left" vertical="top" wrapText="1"/>
    </xf>
    <xf numFmtId="0" fontId="241" fillId="0" borderId="0" xfId="0" applyFont="1" applyAlignment="1">
      <alignment vertical="center" wrapText="1"/>
    </xf>
    <xf numFmtId="0" fontId="241" fillId="0" borderId="0" xfId="0" applyFont="1" applyAlignment="1">
      <alignment horizontal="left" vertical="center"/>
    </xf>
    <xf numFmtId="0" fontId="164" fillId="0" borderId="0" xfId="0" applyFont="1" applyAlignment="1">
      <alignment horizontal="left" vertical="center"/>
    </xf>
    <xf numFmtId="0" fontId="261" fillId="0" borderId="0" xfId="0" applyFont="1" applyAlignment="1">
      <alignment horizontal="left" vertical="center"/>
    </xf>
    <xf numFmtId="0" fontId="135" fillId="0" borderId="0" xfId="0" applyFont="1" applyAlignment="1">
      <alignment horizontal="left" vertical="center"/>
    </xf>
    <xf numFmtId="0" fontId="257" fillId="0" borderId="0" xfId="0" applyFont="1" applyAlignment="1">
      <alignment horizontal="right" vertical="top"/>
    </xf>
    <xf numFmtId="0" fontId="132" fillId="0" borderId="0" xfId="0" applyFont="1" applyAlignment="1">
      <alignment vertical="center"/>
    </xf>
    <xf numFmtId="0" fontId="261" fillId="0" borderId="0" xfId="0" applyFont="1" applyAlignment="1">
      <alignment vertical="center"/>
    </xf>
    <xf numFmtId="0" fontId="260" fillId="0" borderId="0" xfId="0" applyFont="1" applyAlignment="1">
      <alignment vertical="center"/>
    </xf>
    <xf numFmtId="0" fontId="24" fillId="0" borderId="16" xfId="0" applyFont="1" applyBorder="1"/>
    <xf numFmtId="0" fontId="24" fillId="0" borderId="18" xfId="0" applyFont="1" applyBorder="1"/>
    <xf numFmtId="0" fontId="131" fillId="0" borderId="0" xfId="0" applyFont="1" applyAlignment="1">
      <alignment vertical="top"/>
    </xf>
    <xf numFmtId="0" fontId="132" fillId="0" borderId="0" xfId="0" applyFont="1" applyAlignment="1">
      <alignment vertical="top"/>
    </xf>
    <xf numFmtId="0" fontId="135" fillId="0" borderId="0" xfId="0" applyFont="1" applyAlignment="1">
      <alignment vertical="center" wrapText="1"/>
    </xf>
    <xf numFmtId="0" fontId="237" fillId="0" borderId="0" xfId="0" applyFont="1" applyAlignment="1">
      <alignment vertical="center"/>
    </xf>
    <xf numFmtId="0" fontId="264" fillId="0" borderId="0" xfId="0" applyFont="1" applyAlignment="1">
      <alignment vertical="center"/>
    </xf>
    <xf numFmtId="165" fontId="65" fillId="0" borderId="0" xfId="0" applyNumberFormat="1" applyFont="1" applyAlignment="1">
      <alignment horizontal="left" vertical="center"/>
    </xf>
    <xf numFmtId="167" fontId="65" fillId="0" borderId="0" xfId="0" applyNumberFormat="1" applyFont="1" applyAlignment="1">
      <alignment horizontal="left" vertical="center"/>
    </xf>
    <xf numFmtId="0" fontId="213" fillId="0" borderId="14" xfId="0" applyFont="1" applyBorder="1" applyAlignment="1">
      <alignment vertical="center"/>
    </xf>
    <xf numFmtId="2" fontId="213" fillId="0" borderId="14" xfId="0" applyNumberFormat="1" applyFont="1" applyBorder="1" applyAlignment="1">
      <alignment vertical="center"/>
    </xf>
    <xf numFmtId="0" fontId="208" fillId="0" borderId="0" xfId="0" applyFont="1" applyAlignment="1">
      <alignment horizontal="center"/>
    </xf>
    <xf numFmtId="0" fontId="24" fillId="13" borderId="0" xfId="0" applyFont="1" applyFill="1" applyAlignment="1">
      <alignment horizontal="right"/>
    </xf>
    <xf numFmtId="0" fontId="24" fillId="13" borderId="0" xfId="0" applyFont="1" applyFill="1" applyAlignment="1">
      <alignment horizontal="left" vertical="center"/>
    </xf>
    <xf numFmtId="0" fontId="164" fillId="0" borderId="0" xfId="0" quotePrefix="1" applyFont="1"/>
    <xf numFmtId="0" fontId="168" fillId="0" borderId="0" xfId="0" applyFont="1" applyAlignment="1">
      <alignment horizontal="left" vertical="center" wrapText="1"/>
    </xf>
    <xf numFmtId="0" fontId="142" fillId="0" borderId="0" xfId="0" applyFont="1" applyAlignment="1">
      <alignment horizontal="left" vertical="center" wrapText="1"/>
    </xf>
    <xf numFmtId="9" fontId="24" fillId="0" borderId="0" xfId="1" applyFont="1" applyAlignment="1">
      <alignment horizontal="left" vertical="center"/>
    </xf>
    <xf numFmtId="0" fontId="266" fillId="0" borderId="0" xfId="0" applyFont="1" applyAlignment="1">
      <alignment horizontal="right" vertical="top"/>
    </xf>
    <xf numFmtId="0" fontId="24" fillId="5" borderId="16" xfId="0" applyFont="1" applyFill="1" applyBorder="1" applyAlignment="1">
      <alignment horizontal="left" vertical="center"/>
    </xf>
    <xf numFmtId="0" fontId="225" fillId="5" borderId="0" xfId="0" applyFont="1" applyFill="1"/>
    <xf numFmtId="0" fontId="225" fillId="5" borderId="16" xfId="0" applyFont="1" applyFill="1" applyBorder="1" applyAlignment="1">
      <alignment horizontal="center" vertical="center" wrapText="1"/>
    </xf>
    <xf numFmtId="9" fontId="24" fillId="0" borderId="0" xfId="1" applyFont="1"/>
    <xf numFmtId="0" fontId="40" fillId="13" borderId="0" xfId="0" applyFont="1" applyFill="1" applyAlignment="1">
      <alignment horizontal="right"/>
    </xf>
    <xf numFmtId="214" fontId="225" fillId="5" borderId="16" xfId="0" applyNumberFormat="1" applyFont="1" applyFill="1" applyBorder="1" applyAlignment="1">
      <alignment horizontal="center" vertical="center" wrapText="1"/>
    </xf>
    <xf numFmtId="164" fontId="225" fillId="5" borderId="16" xfId="0" quotePrefix="1" applyNumberFormat="1" applyFont="1" applyFill="1" applyBorder="1" applyAlignment="1">
      <alignment horizontal="center" vertical="center" wrapText="1"/>
    </xf>
    <xf numFmtId="187" fontId="225" fillId="5" borderId="16" xfId="0" applyNumberFormat="1" applyFont="1" applyFill="1" applyBorder="1" applyAlignment="1">
      <alignment horizontal="center" vertical="center" wrapText="1"/>
    </xf>
    <xf numFmtId="164" fontId="200" fillId="5" borderId="16" xfId="0" quotePrefix="1" applyNumberFormat="1" applyFont="1" applyFill="1" applyBorder="1" applyAlignment="1">
      <alignment horizontal="center" vertical="center" wrapText="1"/>
    </xf>
    <xf numFmtId="220" fontId="225" fillId="5" borderId="16" xfId="0" applyNumberFormat="1" applyFont="1" applyFill="1" applyBorder="1" applyAlignment="1">
      <alignment horizontal="center" vertical="center" wrapText="1"/>
    </xf>
    <xf numFmtId="220" fontId="24" fillId="0" borderId="16" xfId="0" quotePrefix="1" applyNumberFormat="1" applyFont="1" applyBorder="1" applyAlignment="1">
      <alignment horizontal="center" vertical="center" wrapText="1"/>
    </xf>
    <xf numFmtId="0" fontId="16" fillId="0" borderId="0" xfId="4" applyAlignment="1"/>
    <xf numFmtId="0" fontId="24" fillId="0" borderId="0" xfId="0" applyFont="1" applyAlignment="1">
      <alignment horizontal="right" vertical="top" wrapText="1"/>
    </xf>
    <xf numFmtId="0" fontId="258" fillId="0" borderId="0" xfId="0" applyFont="1" applyAlignment="1">
      <alignment horizontal="left" vertical="center"/>
    </xf>
    <xf numFmtId="0" fontId="65" fillId="0" borderId="0" xfId="0" applyFont="1" applyAlignment="1">
      <alignment horizontal="left" vertical="top" wrapText="1"/>
    </xf>
    <xf numFmtId="0" fontId="24" fillId="34" borderId="28" xfId="6" applyFont="1" applyFill="1" applyAlignment="1" applyProtection="1">
      <alignment vertical="center"/>
      <protection locked="0"/>
    </xf>
    <xf numFmtId="0" fontId="164" fillId="16" borderId="1" xfId="0" applyFont="1" applyFill="1" applyBorder="1" applyAlignment="1" applyProtection="1">
      <alignment horizontal="center" vertical="center"/>
      <protection locked="0"/>
    </xf>
    <xf numFmtId="0" fontId="0" fillId="16" borderId="1" xfId="0" applyFill="1" applyBorder="1" applyAlignment="1" applyProtection="1">
      <alignment horizontal="center" vertical="center"/>
      <protection locked="0"/>
    </xf>
    <xf numFmtId="168" fontId="164" fillId="34" borderId="1" xfId="1" applyNumberFormat="1" applyFont="1" applyFill="1" applyBorder="1" applyAlignment="1" applyProtection="1">
      <alignment horizontal="center" vertical="center"/>
      <protection locked="0"/>
    </xf>
    <xf numFmtId="170" fontId="164" fillId="16" borderId="1" xfId="1" applyNumberFormat="1" applyFont="1" applyFill="1" applyBorder="1" applyAlignment="1" applyProtection="1">
      <alignment horizontal="center" vertical="center"/>
      <protection locked="0"/>
    </xf>
    <xf numFmtId="3" fontId="164" fillId="16" borderId="1" xfId="1" applyNumberFormat="1" applyFont="1" applyFill="1" applyBorder="1" applyAlignment="1" applyProtection="1">
      <alignment horizontal="center" vertical="center"/>
      <protection locked="0"/>
    </xf>
    <xf numFmtId="165" fontId="24" fillId="0" borderId="1" xfId="1" applyNumberFormat="1" applyFont="1" applyFill="1" applyBorder="1" applyAlignment="1" applyProtection="1">
      <alignment horizontal="center" vertical="center"/>
    </xf>
    <xf numFmtId="168" fontId="0" fillId="34" borderId="1" xfId="1" applyNumberFormat="1" applyFont="1" applyFill="1" applyBorder="1" applyAlignment="1" applyProtection="1">
      <alignment horizontal="center" vertical="center"/>
      <protection locked="0"/>
    </xf>
    <xf numFmtId="170" fontId="0" fillId="16" borderId="1" xfId="1" applyNumberFormat="1" applyFont="1" applyFill="1" applyBorder="1" applyAlignment="1" applyProtection="1">
      <alignment horizontal="center" vertical="center"/>
      <protection locked="0"/>
    </xf>
    <xf numFmtId="3" fontId="0" fillId="16" borderId="1" xfId="1" applyNumberFormat="1" applyFont="1" applyFill="1" applyBorder="1" applyAlignment="1" applyProtection="1">
      <alignment horizontal="center" vertical="center"/>
      <protection locked="0"/>
    </xf>
    <xf numFmtId="10" fontId="0" fillId="0" borderId="0" xfId="1" applyNumberFormat="1" applyFont="1" applyFill="1" applyBorder="1" applyAlignment="1" applyProtection="1">
      <alignment horizontal="center" vertical="center"/>
    </xf>
    <xf numFmtId="44" fontId="0" fillId="0" borderId="0" xfId="3" applyFont="1" applyFill="1" applyBorder="1" applyAlignment="1" applyProtection="1">
      <alignment vertical="center"/>
    </xf>
    <xf numFmtId="10" fontId="0" fillId="0" borderId="0" xfId="1" applyNumberFormat="1" applyFont="1" applyFill="1" applyBorder="1" applyAlignment="1" applyProtection="1">
      <alignment vertical="center"/>
    </xf>
    <xf numFmtId="0" fontId="164" fillId="34" borderId="1" xfId="0" applyFont="1" applyFill="1" applyBorder="1" applyAlignment="1" applyProtection="1">
      <alignment horizontal="center" vertical="center"/>
      <protection locked="0"/>
    </xf>
    <xf numFmtId="4" fontId="24" fillId="0" borderId="1" xfId="1" applyNumberFormat="1" applyFont="1" applyFill="1" applyBorder="1" applyAlignment="1" applyProtection="1">
      <alignment horizontal="center" vertical="center"/>
    </xf>
    <xf numFmtId="165" fontId="24" fillId="0" borderId="1" xfId="2" applyNumberFormat="1" applyFont="1" applyBorder="1" applyAlignment="1" applyProtection="1">
      <alignment horizontal="center" vertical="center"/>
    </xf>
    <xf numFmtId="165" fontId="24" fillId="0" borderId="1" xfId="2" applyNumberFormat="1" applyFont="1" applyFill="1" applyBorder="1" applyAlignment="1" applyProtection="1">
      <alignment horizontal="center" vertical="center"/>
    </xf>
    <xf numFmtId="39" fontId="24" fillId="0" borderId="1" xfId="2" applyNumberFormat="1" applyFont="1" applyBorder="1" applyAlignment="1" applyProtection="1">
      <alignment horizontal="center" vertical="center"/>
    </xf>
    <xf numFmtId="39" fontId="24" fillId="0" borderId="1" xfId="2" applyNumberFormat="1" applyFont="1" applyFill="1" applyBorder="1" applyAlignment="1" applyProtection="1">
      <alignment horizontal="center" vertical="center"/>
    </xf>
    <xf numFmtId="0" fontId="4" fillId="13" borderId="0" xfId="0" applyFont="1" applyFill="1" applyAlignment="1">
      <alignment vertical="top"/>
    </xf>
    <xf numFmtId="0" fontId="259" fillId="0" borderId="0" xfId="0" applyFont="1"/>
    <xf numFmtId="0" fontId="272" fillId="0" borderId="0" xfId="0" applyFont="1" applyAlignment="1">
      <alignment vertical="center"/>
    </xf>
    <xf numFmtId="0" fontId="273" fillId="0" borderId="0" xfId="0" applyFont="1" applyAlignment="1">
      <alignment vertical="center"/>
    </xf>
    <xf numFmtId="0" fontId="6" fillId="0" borderId="0" xfId="0" applyFont="1" applyAlignment="1">
      <alignment vertical="top"/>
    </xf>
    <xf numFmtId="0" fontId="268" fillId="0" borderId="0" xfId="0" quotePrefix="1" applyFont="1" applyAlignment="1">
      <alignment vertical="center"/>
    </xf>
    <xf numFmtId="0" fontId="208" fillId="0" borderId="0" xfId="0" applyFont="1" applyAlignment="1">
      <alignment horizontal="left"/>
    </xf>
    <xf numFmtId="0" fontId="157" fillId="0" borderId="0" xfId="0" quotePrefix="1" applyFont="1" applyAlignment="1">
      <alignment horizontal="left" vertical="top" wrapText="1"/>
    </xf>
    <xf numFmtId="0" fontId="117" fillId="0" borderId="0" xfId="0" applyFont="1" applyAlignment="1">
      <alignment horizontal="left" vertical="top"/>
    </xf>
    <xf numFmtId="208" fontId="0" fillId="0" borderId="0" xfId="0" applyNumberFormat="1"/>
    <xf numFmtId="16" fontId="0" fillId="0" borderId="0" xfId="0" applyNumberFormat="1" applyAlignment="1">
      <alignment vertical="center"/>
    </xf>
    <xf numFmtId="0" fontId="62" fillId="0" borderId="0" xfId="0" applyFont="1" applyAlignment="1">
      <alignment vertical="center" wrapText="1"/>
    </xf>
    <xf numFmtId="0" fontId="29" fillId="0" borderId="0" xfId="0" quotePrefix="1" applyFont="1" applyAlignment="1">
      <alignment vertical="center"/>
    </xf>
    <xf numFmtId="0" fontId="40" fillId="0" borderId="0" xfId="0" quotePrefix="1" applyFont="1" applyAlignment="1">
      <alignment vertical="center"/>
    </xf>
    <xf numFmtId="0" fontId="119" fillId="0" borderId="0" xfId="0" quotePrefix="1" applyFont="1" applyAlignment="1">
      <alignment horizontal="center" wrapText="1"/>
    </xf>
    <xf numFmtId="0" fontId="117" fillId="0" borderId="0" xfId="0" quotePrefix="1" applyFont="1" applyAlignment="1">
      <alignment horizontal="center" vertical="center"/>
    </xf>
    <xf numFmtId="2" fontId="65" fillId="0" borderId="1" xfId="0" applyNumberFormat="1" applyFont="1" applyBorder="1" applyAlignment="1">
      <alignment horizontal="center" vertical="center"/>
    </xf>
    <xf numFmtId="0" fontId="40" fillId="0" borderId="1" xfId="0" applyFont="1" applyBorder="1" applyAlignment="1">
      <alignment horizontal="center" vertical="center"/>
    </xf>
    <xf numFmtId="0" fontId="4" fillId="0" borderId="1" xfId="0" applyFont="1" applyBorder="1" applyAlignment="1">
      <alignment horizontal="center" vertical="center"/>
    </xf>
    <xf numFmtId="0" fontId="65" fillId="0" borderId="1" xfId="0" applyFont="1" applyBorder="1" applyAlignment="1">
      <alignment horizontal="center" vertical="center"/>
    </xf>
    <xf numFmtId="0" fontId="0" fillId="0" borderId="1" xfId="0" applyBorder="1"/>
    <xf numFmtId="15" fontId="24" fillId="0" borderId="0" xfId="0" quotePrefix="1" applyNumberFormat="1" applyFont="1"/>
    <xf numFmtId="0" fontId="0" fillId="0" borderId="0" xfId="0" applyProtection="1">
      <protection locked="0"/>
    </xf>
    <xf numFmtId="0" fontId="63" fillId="16" borderId="1" xfId="0" applyFont="1" applyFill="1" applyBorder="1" applyAlignment="1" applyProtection="1">
      <alignment horizontal="center"/>
      <protection locked="0"/>
    </xf>
    <xf numFmtId="186" fontId="63" fillId="16" borderId="1" xfId="0" applyNumberFormat="1" applyFont="1" applyFill="1" applyBorder="1" applyAlignment="1" applyProtection="1">
      <alignment horizontal="center"/>
      <protection locked="0"/>
    </xf>
    <xf numFmtId="185" fontId="63" fillId="16" borderId="1" xfId="0" applyNumberFormat="1" applyFont="1" applyFill="1" applyBorder="1" applyAlignment="1" applyProtection="1">
      <alignment horizontal="center"/>
      <protection locked="0"/>
    </xf>
    <xf numFmtId="0" fontId="64" fillId="0" borderId="0" xfId="0" applyFont="1" applyAlignment="1" applyProtection="1">
      <alignment horizontal="right"/>
      <protection locked="0"/>
    </xf>
    <xf numFmtId="0" fontId="24" fillId="16" borderId="1" xfId="0" applyFont="1" applyFill="1" applyBorder="1" applyAlignment="1" applyProtection="1">
      <alignment horizontal="center"/>
      <protection locked="0"/>
    </xf>
    <xf numFmtId="3" fontId="0" fillId="16" borderId="1" xfId="0" applyNumberFormat="1" applyFill="1" applyBorder="1" applyAlignment="1" applyProtection="1">
      <alignment horizontal="center"/>
      <protection locked="0"/>
    </xf>
    <xf numFmtId="0" fontId="0" fillId="16" borderId="1" xfId="0" applyFill="1" applyBorder="1" applyAlignment="1" applyProtection="1">
      <alignment horizontal="center"/>
      <protection locked="0"/>
    </xf>
    <xf numFmtId="164" fontId="0" fillId="16" borderId="1" xfId="0" applyNumberFormat="1" applyFill="1" applyBorder="1" applyAlignment="1" applyProtection="1">
      <alignment horizontal="center"/>
      <protection locked="0"/>
    </xf>
    <xf numFmtId="187" fontId="0" fillId="16" borderId="1" xfId="0" applyNumberFormat="1" applyFill="1" applyBorder="1" applyAlignment="1" applyProtection="1">
      <alignment horizontal="center"/>
      <protection locked="0"/>
    </xf>
    <xf numFmtId="201" fontId="0" fillId="16" borderId="1" xfId="0" applyNumberFormat="1" applyFill="1" applyBorder="1" applyAlignment="1" applyProtection="1">
      <alignment horizontal="center"/>
      <protection locked="0"/>
    </xf>
    <xf numFmtId="3" fontId="24" fillId="16" borderId="1" xfId="0" applyNumberFormat="1" applyFont="1" applyFill="1" applyBorder="1" applyAlignment="1" applyProtection="1">
      <alignment horizontal="center"/>
      <protection locked="0"/>
    </xf>
    <xf numFmtId="164" fontId="24" fillId="16" borderId="1" xfId="0" applyNumberFormat="1" applyFont="1" applyFill="1" applyBorder="1" applyAlignment="1" applyProtection="1">
      <alignment horizontal="center"/>
      <protection locked="0"/>
    </xf>
    <xf numFmtId="0" fontId="79" fillId="24" borderId="2" xfId="0" applyFont="1" applyFill="1" applyBorder="1" applyAlignment="1">
      <alignment vertical="center"/>
    </xf>
    <xf numFmtId="0" fontId="79" fillId="24" borderId="3" xfId="0" applyFont="1" applyFill="1" applyBorder="1" applyAlignment="1">
      <alignment vertical="center"/>
    </xf>
    <xf numFmtId="0" fontId="0" fillId="24" borderId="3" xfId="0" applyFill="1" applyBorder="1" applyAlignment="1">
      <alignment vertical="center"/>
    </xf>
    <xf numFmtId="0" fontId="0" fillId="24" borderId="4" xfId="0" applyFill="1" applyBorder="1" applyAlignment="1">
      <alignment vertical="center"/>
    </xf>
    <xf numFmtId="0" fontId="121" fillId="0" borderId="0" xfId="4" applyFont="1" applyAlignment="1" applyProtection="1">
      <alignment horizontal="left" vertical="top"/>
    </xf>
    <xf numFmtId="0" fontId="84" fillId="0" borderId="0" xfId="0" applyFont="1" applyAlignment="1">
      <alignment vertical="center"/>
    </xf>
    <xf numFmtId="0" fontId="238" fillId="0" borderId="0" xfId="0" applyFont="1" applyAlignment="1">
      <alignment vertical="center"/>
    </xf>
    <xf numFmtId="0" fontId="271" fillId="0" borderId="0" xfId="0" applyFont="1" applyAlignment="1">
      <alignment vertical="center"/>
    </xf>
    <xf numFmtId="0" fontId="168" fillId="0" borderId="0" xfId="0" applyFont="1" applyAlignment="1">
      <alignment vertical="center"/>
    </xf>
    <xf numFmtId="0" fontId="213" fillId="0" borderId="0" xfId="0" applyFont="1" applyAlignment="1">
      <alignment horizontal="left" vertical="center"/>
    </xf>
    <xf numFmtId="0" fontId="262" fillId="0" borderId="0" xfId="0" applyFont="1" applyAlignment="1">
      <alignment horizontal="left" vertical="center"/>
    </xf>
    <xf numFmtId="0" fontId="269" fillId="0" borderId="0" xfId="0" applyFont="1" applyAlignment="1">
      <alignment vertical="center"/>
    </xf>
    <xf numFmtId="0" fontId="64" fillId="33" borderId="1" xfId="0" applyFont="1" applyFill="1" applyBorder="1" applyAlignment="1">
      <alignment horizontal="center" vertical="center" wrapText="1"/>
    </xf>
    <xf numFmtId="0" fontId="13" fillId="21" borderId="1" xfId="0" applyFont="1" applyFill="1" applyBorder="1" applyAlignment="1">
      <alignment horizontal="center" vertical="center" wrapText="1"/>
    </xf>
    <xf numFmtId="0" fontId="64" fillId="21"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64" fillId="3" borderId="1" xfId="0" applyFont="1" applyFill="1" applyBorder="1" applyAlignment="1">
      <alignment horizontal="center" vertical="center" wrapText="1"/>
    </xf>
    <xf numFmtId="0" fontId="64" fillId="0" borderId="22" xfId="0" applyFont="1" applyBorder="1" applyAlignment="1">
      <alignment horizontal="center" vertical="center" wrapText="1"/>
    </xf>
    <xf numFmtId="1" fontId="24" fillId="13" borderId="1" xfId="0" applyNumberFormat="1" applyFont="1" applyFill="1" applyBorder="1" applyAlignment="1">
      <alignment horizontal="center" vertical="center"/>
    </xf>
    <xf numFmtId="0" fontId="24" fillId="13" borderId="1" xfId="0" applyFont="1" applyFill="1" applyBorder="1" applyAlignment="1">
      <alignment horizontal="center" vertical="center"/>
    </xf>
    <xf numFmtId="164" fontId="24" fillId="13" borderId="1" xfId="0" applyNumberFormat="1" applyFont="1" applyFill="1" applyBorder="1" applyAlignment="1">
      <alignment horizontal="center" vertical="center"/>
    </xf>
    <xf numFmtId="0" fontId="81" fillId="25" borderId="2" xfId="0" applyFont="1" applyFill="1" applyBorder="1" applyAlignment="1">
      <alignment vertical="center"/>
    </xf>
    <xf numFmtId="0" fontId="81" fillId="25" borderId="3" xfId="0" applyFont="1" applyFill="1" applyBorder="1" applyAlignment="1">
      <alignment vertical="center"/>
    </xf>
    <xf numFmtId="0" fontId="81" fillId="25" borderId="4" xfId="0" applyFont="1" applyFill="1" applyBorder="1" applyAlignment="1">
      <alignment vertical="center"/>
    </xf>
    <xf numFmtId="165" fontId="40" fillId="0" borderId="1" xfId="0" applyNumberFormat="1" applyFont="1" applyBorder="1" applyAlignment="1">
      <alignment horizontal="center" vertical="center"/>
    </xf>
    <xf numFmtId="39" fontId="40" fillId="0" borderId="1" xfId="0" applyNumberFormat="1" applyFont="1" applyBorder="1" applyAlignment="1">
      <alignment horizontal="center" vertical="center"/>
    </xf>
    <xf numFmtId="39" fontId="40" fillId="0" borderId="13" xfId="0" applyNumberFormat="1" applyFont="1" applyBorder="1" applyAlignment="1">
      <alignment horizontal="center" vertical="center"/>
    </xf>
    <xf numFmtId="39" fontId="40" fillId="0" borderId="0" xfId="0" applyNumberFormat="1" applyFont="1" applyAlignment="1">
      <alignment horizontal="center" vertical="center"/>
    </xf>
    <xf numFmtId="0" fontId="68" fillId="0" borderId="0" xfId="0" applyFont="1" applyAlignment="1">
      <alignment vertical="center"/>
    </xf>
    <xf numFmtId="0" fontId="68" fillId="25" borderId="1" xfId="0" applyFont="1" applyFill="1" applyBorder="1" applyAlignment="1">
      <alignment horizontal="center" vertical="center"/>
    </xf>
    <xf numFmtId="0" fontId="24" fillId="4" borderId="0" xfId="0" applyFont="1" applyFill="1"/>
    <xf numFmtId="0" fontId="68" fillId="0" borderId="0" xfId="0" applyFont="1" applyAlignment="1">
      <alignment horizontal="center" vertical="center"/>
    </xf>
    <xf numFmtId="0" fontId="68" fillId="19" borderId="1" xfId="0" applyFont="1" applyFill="1" applyBorder="1" applyAlignment="1">
      <alignment horizontal="center" vertical="center"/>
    </xf>
    <xf numFmtId="0" fontId="68" fillId="19" borderId="1" xfId="0" applyFont="1" applyFill="1" applyBorder="1" applyAlignment="1">
      <alignment horizontal="center" vertical="center" wrapText="1"/>
    </xf>
    <xf numFmtId="0" fontId="68" fillId="19" borderId="1" xfId="0" applyFont="1" applyFill="1" applyBorder="1"/>
    <xf numFmtId="0" fontId="68" fillId="19" borderId="1" xfId="0" applyFont="1" applyFill="1" applyBorder="1" applyAlignment="1">
      <alignment horizontal="center"/>
    </xf>
    <xf numFmtId="170" fontId="24" fillId="0" borderId="1" xfId="22" applyNumberFormat="1" applyFont="1" applyBorder="1" applyAlignment="1">
      <alignment horizontal="center" vertical="center"/>
    </xf>
    <xf numFmtId="3" fontId="24" fillId="0" borderId="1" xfId="0" applyNumberFormat="1" applyFont="1" applyBorder="1"/>
    <xf numFmtId="4" fontId="24" fillId="0" borderId="1" xfId="0" applyNumberFormat="1" applyFont="1" applyBorder="1"/>
    <xf numFmtId="44" fontId="0" fillId="0" borderId="0" xfId="0" applyNumberFormat="1" applyAlignment="1">
      <alignment vertical="center"/>
    </xf>
    <xf numFmtId="170" fontId="4" fillId="0" borderId="1" xfId="0" applyNumberFormat="1" applyFont="1" applyBorder="1" applyAlignment="1">
      <alignment horizontal="center" vertical="center"/>
    </xf>
    <xf numFmtId="215" fontId="24" fillId="16" borderId="1" xfId="0" applyNumberFormat="1" applyFont="1" applyFill="1" applyBorder="1" applyAlignment="1" applyProtection="1">
      <alignment horizontal="center"/>
      <protection locked="0"/>
    </xf>
    <xf numFmtId="216" fontId="24" fillId="16" borderId="1" xfId="0" applyNumberFormat="1" applyFont="1" applyFill="1" applyBorder="1" applyAlignment="1" applyProtection="1">
      <alignment horizont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0" fontId="71" fillId="0" borderId="0" xfId="0" quotePrefix="1" applyFont="1"/>
    <xf numFmtId="0" fontId="79" fillId="0" borderId="0" xfId="0" applyFont="1"/>
    <xf numFmtId="15" fontId="244" fillId="0" borderId="0" xfId="0" quotePrefix="1" applyNumberFormat="1" applyFont="1" applyAlignment="1">
      <alignment horizontal="center"/>
    </xf>
    <xf numFmtId="0" fontId="244" fillId="0" borderId="0" xfId="0" applyFont="1" applyAlignment="1">
      <alignment horizontal="center"/>
    </xf>
    <xf numFmtId="0" fontId="181" fillId="0" borderId="0" xfId="0" applyFont="1" applyAlignment="1">
      <alignment horizontal="center"/>
    </xf>
    <xf numFmtId="0" fontId="180" fillId="0" borderId="0" xfId="0" applyFont="1" applyAlignment="1">
      <alignment horizontal="center"/>
    </xf>
    <xf numFmtId="0" fontId="182" fillId="0" borderId="0" xfId="0" applyFont="1" applyAlignment="1">
      <alignment horizontal="center"/>
    </xf>
    <xf numFmtId="0" fontId="79" fillId="25" borderId="37" xfId="0" applyFont="1" applyFill="1" applyBorder="1" applyAlignment="1">
      <alignment horizontal="left" vertical="center"/>
    </xf>
    <xf numFmtId="0" fontId="79" fillId="25" borderId="23" xfId="0" applyFont="1" applyFill="1" applyBorder="1" applyAlignment="1">
      <alignment horizontal="left" vertical="center"/>
    </xf>
    <xf numFmtId="0" fontId="117" fillId="0" borderId="1" xfId="0" applyFont="1" applyBorder="1" applyAlignment="1">
      <alignment horizontal="left" vertical="center"/>
    </xf>
    <xf numFmtId="0" fontId="117" fillId="0" borderId="1" xfId="0" applyFont="1" applyBorder="1" applyAlignment="1">
      <alignment horizontal="left" vertical="center" wrapText="1"/>
    </xf>
    <xf numFmtId="0" fontId="109" fillId="0" borderId="1" xfId="0" applyFont="1" applyBorder="1" applyAlignment="1">
      <alignment horizontal="left" vertical="center"/>
    </xf>
    <xf numFmtId="0" fontId="109" fillId="0" borderId="1" xfId="0" applyFont="1" applyBorder="1" applyAlignment="1">
      <alignment horizontal="left" vertical="center" wrapText="1"/>
    </xf>
    <xf numFmtId="0" fontId="79" fillId="25" borderId="35" xfId="0" applyFont="1" applyFill="1" applyBorder="1" applyAlignment="1">
      <alignment vertical="center"/>
    </xf>
    <xf numFmtId="0" fontId="79" fillId="25" borderId="0" xfId="0" applyFont="1" applyFill="1" applyAlignment="1">
      <alignment vertical="center"/>
    </xf>
    <xf numFmtId="0" fontId="4" fillId="0" borderId="1" xfId="0" applyFont="1" applyBorder="1" applyAlignment="1">
      <alignment horizontal="center" vertical="top" wrapText="1"/>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4" xfId="0" applyFont="1" applyBorder="1" applyAlignment="1">
      <alignment horizontal="center" vertical="top"/>
    </xf>
    <xf numFmtId="0" fontId="0" fillId="0" borderId="0" xfId="0" applyAlignment="1">
      <alignment horizontal="left" vertical="top" wrapText="1"/>
    </xf>
    <xf numFmtId="0" fontId="0" fillId="0" borderId="0" xfId="0" applyAlignment="1">
      <alignment horizontal="left" vertical="top"/>
    </xf>
    <xf numFmtId="0" fontId="27" fillId="0" borderId="0" xfId="0" applyFont="1" applyAlignment="1">
      <alignment horizontal="left" vertical="top"/>
    </xf>
    <xf numFmtId="0" fontId="79" fillId="25" borderId="24" xfId="0" applyFont="1" applyFill="1" applyBorder="1" applyAlignment="1">
      <alignment horizontal="left" vertical="center"/>
    </xf>
    <xf numFmtId="0" fontId="23" fillId="2" borderId="11" xfId="0" applyFont="1" applyFill="1" applyBorder="1" applyAlignment="1">
      <alignment horizontal="left" vertical="top"/>
    </xf>
    <xf numFmtId="0" fontId="0" fillId="0" borderId="14" xfId="0" applyBorder="1" applyAlignment="1">
      <alignment horizontal="left" vertical="top" wrapText="1"/>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2" borderId="4" xfId="0" applyFont="1" applyFill="1" applyBorder="1" applyAlignment="1">
      <alignment horizontal="left" vertical="center"/>
    </xf>
    <xf numFmtId="0" fontId="0" fillId="0" borderId="0" xfId="0" applyAlignment="1">
      <alignment vertical="center" wrapText="1"/>
    </xf>
    <xf numFmtId="15" fontId="232" fillId="0" borderId="11" xfId="0" applyNumberFormat="1" applyFont="1" applyFill="1" applyBorder="1" applyAlignment="1">
      <alignment horizontal="center"/>
    </xf>
    <xf numFmtId="0" fontId="232" fillId="0" borderId="11" xfId="0" applyFont="1" applyFill="1" applyBorder="1" applyAlignment="1">
      <alignment horizontal="center"/>
    </xf>
    <xf numFmtId="0" fontId="0" fillId="0" borderId="0" xfId="0" applyAlignment="1">
      <alignment horizontal="center" vertical="top"/>
    </xf>
    <xf numFmtId="15" fontId="232" fillId="0" borderId="11" xfId="0" applyNumberFormat="1" applyFont="1" applyBorder="1" applyAlignment="1">
      <alignment horizontal="center"/>
    </xf>
    <xf numFmtId="0" fontId="232" fillId="0" borderId="11" xfId="0" applyFont="1" applyBorder="1" applyAlignment="1">
      <alignment horizontal="center"/>
    </xf>
    <xf numFmtId="0" fontId="0" fillId="0" borderId="14" xfId="0" applyBorder="1" applyAlignment="1">
      <alignment horizontal="center" vertical="top"/>
    </xf>
    <xf numFmtId="0" fontId="0" fillId="13" borderId="14" xfId="0" applyFill="1" applyBorder="1" applyAlignment="1">
      <alignment horizontal="center" vertical="top"/>
    </xf>
    <xf numFmtId="0" fontId="106" fillId="0" borderId="11" xfId="0" applyFont="1" applyBorder="1" applyAlignment="1">
      <alignment horizontal="center"/>
    </xf>
    <xf numFmtId="0" fontId="106" fillId="13" borderId="11" xfId="0" applyFont="1" applyFill="1" applyBorder="1" applyAlignment="1">
      <alignment horizontal="center" vertical="center" wrapText="1"/>
    </xf>
    <xf numFmtId="0" fontId="106" fillId="13" borderId="11" xfId="0" applyFont="1" applyFill="1" applyBorder="1" applyAlignment="1">
      <alignment horizontal="center" vertical="center"/>
    </xf>
    <xf numFmtId="0" fontId="0" fillId="13" borderId="0" xfId="0" applyFill="1" applyAlignment="1">
      <alignment horizontal="center" vertical="top"/>
    </xf>
    <xf numFmtId="0" fontId="106" fillId="13" borderId="11" xfId="0" applyFont="1" applyFill="1" applyBorder="1" applyAlignment="1">
      <alignment horizontal="center"/>
    </xf>
    <xf numFmtId="0" fontId="106" fillId="13" borderId="11" xfId="0" applyFont="1" applyFill="1" applyBorder="1" applyAlignment="1">
      <alignment horizontal="center" wrapText="1"/>
    </xf>
    <xf numFmtId="15" fontId="232" fillId="13" borderId="11" xfId="0" applyNumberFormat="1" applyFont="1" applyFill="1" applyBorder="1" applyAlignment="1">
      <alignment horizontal="center"/>
    </xf>
    <xf numFmtId="0" fontId="232" fillId="13" borderId="11" xfId="0" applyFont="1" applyFill="1" applyBorder="1" applyAlignment="1">
      <alignment horizontal="center"/>
    </xf>
    <xf numFmtId="0" fontId="4" fillId="0" borderId="0" xfId="0" applyFont="1" applyAlignment="1">
      <alignment horizontal="left" vertical="top" wrapText="1"/>
    </xf>
    <xf numFmtId="0" fontId="24" fillId="0" borderId="0" xfId="0" applyFont="1" applyAlignment="1">
      <alignment horizontal="left" vertical="top" wrapText="1"/>
    </xf>
    <xf numFmtId="0" fontId="4" fillId="0" borderId="0" xfId="0" applyFont="1" applyAlignment="1">
      <alignment horizontal="right" vertical="top" wrapText="1"/>
    </xf>
    <xf numFmtId="0" fontId="79" fillId="25" borderId="29" xfId="0" applyFont="1" applyFill="1" applyBorder="1" applyAlignment="1">
      <alignment horizontal="left" vertical="top"/>
    </xf>
    <xf numFmtId="0" fontId="79" fillId="25" borderId="30" xfId="0" applyFont="1" applyFill="1" applyBorder="1" applyAlignment="1">
      <alignment horizontal="left" vertical="top"/>
    </xf>
    <xf numFmtId="0" fontId="79" fillId="25" borderId="31" xfId="0" applyFont="1" applyFill="1" applyBorder="1" applyAlignment="1">
      <alignment horizontal="left" vertical="top"/>
    </xf>
    <xf numFmtId="0" fontId="24" fillId="0" borderId="0" xfId="0" applyFont="1" applyAlignment="1">
      <alignment vertical="top" wrapText="1"/>
    </xf>
    <xf numFmtId="0" fontId="24" fillId="13" borderId="84" xfId="0" applyFont="1" applyFill="1" applyBorder="1" applyAlignment="1">
      <alignment vertical="top" wrapText="1"/>
    </xf>
    <xf numFmtId="0" fontId="24" fillId="13" borderId="0" xfId="0" applyFont="1" applyFill="1" applyAlignment="1">
      <alignment vertical="top" wrapText="1"/>
    </xf>
    <xf numFmtId="0" fontId="24" fillId="13" borderId="87" xfId="0" applyFont="1" applyFill="1" applyBorder="1" applyAlignment="1">
      <alignment vertical="top" wrapText="1"/>
    </xf>
    <xf numFmtId="0" fontId="24" fillId="22" borderId="92" xfId="0" applyFont="1" applyFill="1" applyBorder="1" applyAlignment="1">
      <alignment vertical="top" wrapText="1"/>
    </xf>
    <xf numFmtId="0" fontId="24" fillId="22" borderId="93" xfId="0" applyFont="1" applyFill="1" applyBorder="1" applyAlignment="1">
      <alignment vertical="top" wrapText="1"/>
    </xf>
    <xf numFmtId="0" fontId="24" fillId="22" borderId="94" xfId="0" applyFont="1" applyFill="1" applyBorder="1" applyAlignment="1">
      <alignment vertical="top" wrapText="1"/>
    </xf>
    <xf numFmtId="0" fontId="24" fillId="13" borderId="92" xfId="0" applyFont="1" applyFill="1" applyBorder="1" applyAlignment="1">
      <alignment vertical="top" wrapText="1"/>
    </xf>
    <xf numFmtId="0" fontId="24" fillId="13" borderId="93" xfId="0" applyFont="1" applyFill="1" applyBorder="1" applyAlignment="1">
      <alignment vertical="top" wrapText="1"/>
    </xf>
    <xf numFmtId="0" fontId="24" fillId="13" borderId="94" xfId="0" applyFont="1" applyFill="1" applyBorder="1" applyAlignment="1">
      <alignment vertical="top" wrapText="1"/>
    </xf>
    <xf numFmtId="6" fontId="224" fillId="0" borderId="13" xfId="0" applyNumberFormat="1" applyFont="1" applyBorder="1" applyAlignment="1">
      <alignment horizontal="center"/>
    </xf>
    <xf numFmtId="6" fontId="224" fillId="0" borderId="14" xfId="0" applyNumberFormat="1" applyFont="1" applyBorder="1" applyAlignment="1">
      <alignment horizontal="center"/>
    </xf>
    <xf numFmtId="6" fontId="224" fillId="0" borderId="15" xfId="0" applyNumberFormat="1" applyFont="1" applyBorder="1" applyAlignment="1">
      <alignment horizontal="center"/>
    </xf>
    <xf numFmtId="6" fontId="224" fillId="0" borderId="2" xfId="0" applyNumberFormat="1" applyFont="1" applyBorder="1" applyAlignment="1">
      <alignment horizontal="center"/>
    </xf>
    <xf numFmtId="6" fontId="224" fillId="0" borderId="3" xfId="0" applyNumberFormat="1" applyFont="1" applyBorder="1" applyAlignment="1">
      <alignment horizontal="center"/>
    </xf>
    <xf numFmtId="6" fontId="224" fillId="0" borderId="4" xfId="0" applyNumberFormat="1" applyFont="1" applyBorder="1" applyAlignment="1">
      <alignment horizontal="center"/>
    </xf>
    <xf numFmtId="6" fontId="24" fillId="0" borderId="2" xfId="0" applyNumberFormat="1" applyFont="1" applyBorder="1" applyAlignment="1">
      <alignment horizontal="center"/>
    </xf>
    <xf numFmtId="6" fontId="24" fillId="0" borderId="3" xfId="0" applyNumberFormat="1" applyFont="1" applyBorder="1" applyAlignment="1">
      <alignment horizontal="center"/>
    </xf>
    <xf numFmtId="6" fontId="24" fillId="0" borderId="4" xfId="0" applyNumberFormat="1" applyFont="1" applyBorder="1" applyAlignment="1">
      <alignment horizontal="center"/>
    </xf>
    <xf numFmtId="200" fontId="24" fillId="0" borderId="2" xfId="0" applyNumberFormat="1" applyFont="1" applyBorder="1" applyAlignment="1">
      <alignment horizontal="center"/>
    </xf>
    <xf numFmtId="200" fontId="24" fillId="0" borderId="3" xfId="0" applyNumberFormat="1" applyFont="1" applyBorder="1" applyAlignment="1">
      <alignment horizontal="center"/>
    </xf>
    <xf numFmtId="200" fontId="24" fillId="0" borderId="4" xfId="0" applyNumberFormat="1" applyFont="1" applyBorder="1" applyAlignment="1">
      <alignment horizontal="center"/>
    </xf>
    <xf numFmtId="0" fontId="63" fillId="0" borderId="2" xfId="2" applyNumberFormat="1" applyFont="1" applyBorder="1" applyAlignment="1">
      <alignment horizontal="center" vertical="center"/>
    </xf>
    <xf numFmtId="0" fontId="63" fillId="0" borderId="3" xfId="2" applyNumberFormat="1" applyFont="1" applyBorder="1" applyAlignment="1">
      <alignment horizontal="center" vertical="center"/>
    </xf>
    <xf numFmtId="0" fontId="63" fillId="0" borderId="4" xfId="2" applyNumberFormat="1" applyFont="1" applyBorder="1" applyAlignment="1">
      <alignment horizontal="center" vertical="center"/>
    </xf>
    <xf numFmtId="6" fontId="24" fillId="0" borderId="13" xfId="0" applyNumberFormat="1" applyFont="1" applyBorder="1" applyAlignment="1">
      <alignment horizontal="center"/>
    </xf>
    <xf numFmtId="6" fontId="24" fillId="0" borderId="14" xfId="0" applyNumberFormat="1" applyFont="1" applyBorder="1" applyAlignment="1">
      <alignment horizontal="center"/>
    </xf>
    <xf numFmtId="6" fontId="24" fillId="0" borderId="15" xfId="0" applyNumberFormat="1" applyFont="1" applyBorder="1" applyAlignment="1">
      <alignment horizontal="center"/>
    </xf>
    <xf numFmtId="166" fontId="64" fillId="6" borderId="2" xfId="18" applyNumberFormat="1" applyFont="1" applyFill="1" applyBorder="1" applyAlignment="1">
      <alignment horizontal="center" vertical="center"/>
    </xf>
    <xf numFmtId="166" fontId="64" fillId="6" borderId="3" xfId="18" applyNumberFormat="1" applyFont="1" applyFill="1" applyBorder="1" applyAlignment="1">
      <alignment horizontal="center" vertical="center"/>
    </xf>
    <xf numFmtId="166" fontId="64" fillId="6" borderId="4" xfId="18" applyNumberFormat="1" applyFont="1" applyFill="1" applyBorder="1" applyAlignment="1">
      <alignment horizontal="center" vertical="center"/>
    </xf>
    <xf numFmtId="184" fontId="64" fillId="6" borderId="2" xfId="16" applyFont="1" applyFill="1" applyBorder="1" applyAlignment="1">
      <alignment horizontal="center" vertical="center"/>
    </xf>
    <xf numFmtId="184" fontId="64" fillId="6" borderId="3" xfId="16" applyFont="1" applyFill="1" applyBorder="1" applyAlignment="1">
      <alignment horizontal="center" vertical="center"/>
    </xf>
    <xf numFmtId="184" fontId="64" fillId="6" borderId="4" xfId="16" applyFont="1" applyFill="1" applyBorder="1" applyAlignment="1">
      <alignment horizontal="center" vertical="center"/>
    </xf>
    <xf numFmtId="184" fontId="64" fillId="6" borderId="2" xfId="16" applyFont="1" applyFill="1" applyBorder="1" applyAlignment="1">
      <alignment horizontal="center" vertical="center" wrapText="1"/>
    </xf>
    <xf numFmtId="184" fontId="64" fillId="6" borderId="3" xfId="16" applyFont="1" applyFill="1" applyBorder="1" applyAlignment="1">
      <alignment horizontal="center" vertical="center" wrapText="1"/>
    </xf>
    <xf numFmtId="184" fontId="64" fillId="6" borderId="4" xfId="16" applyFont="1" applyFill="1" applyBorder="1" applyAlignment="1">
      <alignment horizontal="center" vertical="center" wrapText="1"/>
    </xf>
    <xf numFmtId="9" fontId="63" fillId="0" borderId="2" xfId="16" applyNumberFormat="1" applyFont="1" applyBorder="1" applyAlignment="1">
      <alignment horizontal="center" vertical="center"/>
    </xf>
    <xf numFmtId="9" fontId="63" fillId="0" borderId="3" xfId="16" applyNumberFormat="1" applyFont="1" applyBorder="1" applyAlignment="1">
      <alignment horizontal="center" vertical="center"/>
    </xf>
    <xf numFmtId="9" fontId="63" fillId="0" borderId="4" xfId="16" applyNumberFormat="1" applyFont="1" applyBorder="1" applyAlignment="1">
      <alignment horizontal="center" vertical="center"/>
    </xf>
    <xf numFmtId="0" fontId="64" fillId="6" borderId="2" xfId="0" applyFont="1" applyFill="1" applyBorder="1" applyAlignment="1">
      <alignment horizontal="center" vertical="center" wrapText="1"/>
    </xf>
    <xf numFmtId="0" fontId="64" fillId="6" borderId="3" xfId="0" applyFont="1" applyFill="1" applyBorder="1" applyAlignment="1">
      <alignment horizontal="center" vertical="center" wrapText="1"/>
    </xf>
    <xf numFmtId="0" fontId="64" fillId="6" borderId="4" xfId="0" applyFont="1" applyFill="1" applyBorder="1" applyAlignment="1">
      <alignment horizontal="center" vertical="center" wrapText="1"/>
    </xf>
    <xf numFmtId="0" fontId="64" fillId="6" borderId="2" xfId="0" applyFont="1" applyFill="1" applyBorder="1" applyAlignment="1">
      <alignment horizontal="center" vertical="center"/>
    </xf>
    <xf numFmtId="0" fontId="64" fillId="6" borderId="3" xfId="0" applyFont="1" applyFill="1" applyBorder="1" applyAlignment="1">
      <alignment horizontal="center" vertical="center"/>
    </xf>
    <xf numFmtId="0" fontId="64" fillId="6" borderId="4" xfId="0" applyFont="1" applyFill="1" applyBorder="1" applyAlignment="1">
      <alignment horizontal="center" vertical="center"/>
    </xf>
    <xf numFmtId="200" fontId="224" fillId="0" borderId="2" xfId="0" applyNumberFormat="1" applyFont="1" applyBorder="1" applyAlignment="1">
      <alignment horizontal="center"/>
    </xf>
    <xf numFmtId="200" fontId="224" fillId="0" borderId="3" xfId="0" applyNumberFormat="1" applyFont="1" applyBorder="1" applyAlignment="1">
      <alignment horizontal="center"/>
    </xf>
    <xf numFmtId="200" fontId="224" fillId="0" borderId="4" xfId="0" applyNumberFormat="1" applyFont="1" applyBorder="1" applyAlignment="1">
      <alignment horizontal="center"/>
    </xf>
    <xf numFmtId="0" fontId="223" fillId="0" borderId="2" xfId="2" applyNumberFormat="1" applyFont="1" applyBorder="1" applyAlignment="1">
      <alignment horizontal="center" vertical="center"/>
    </xf>
    <xf numFmtId="0" fontId="223" fillId="0" borderId="3" xfId="2" applyNumberFormat="1" applyFont="1" applyBorder="1" applyAlignment="1">
      <alignment horizontal="center" vertical="center"/>
    </xf>
    <xf numFmtId="0" fontId="223" fillId="0" borderId="4" xfId="2" applyNumberFormat="1" applyFont="1" applyBorder="1" applyAlignment="1">
      <alignment horizontal="center" vertical="center"/>
    </xf>
    <xf numFmtId="0" fontId="223" fillId="0" borderId="1" xfId="2" applyNumberFormat="1" applyFont="1" applyBorder="1" applyAlignment="1">
      <alignment horizontal="center" vertical="center"/>
    </xf>
    <xf numFmtId="166" fontId="222" fillId="20" borderId="2" xfId="18" applyNumberFormat="1" applyFont="1" applyFill="1" applyBorder="1" applyAlignment="1">
      <alignment horizontal="center" vertical="center"/>
    </xf>
    <xf numFmtId="166" fontId="222" fillId="20" borderId="3" xfId="18" applyNumberFormat="1" applyFont="1" applyFill="1" applyBorder="1" applyAlignment="1">
      <alignment horizontal="center" vertical="center"/>
    </xf>
    <xf numFmtId="166" fontId="222" fillId="20" borderId="4" xfId="18" applyNumberFormat="1" applyFont="1" applyFill="1" applyBorder="1" applyAlignment="1">
      <alignment horizontal="center" vertical="center"/>
    </xf>
    <xf numFmtId="184" fontId="222" fillId="20" borderId="1" xfId="16" applyFont="1" applyFill="1" applyBorder="1" applyAlignment="1">
      <alignment horizontal="center" vertical="center"/>
    </xf>
    <xf numFmtId="184" fontId="222" fillId="20" borderId="1" xfId="16" applyFont="1" applyFill="1" applyBorder="1" applyAlignment="1">
      <alignment horizontal="center" vertical="center" wrapText="1"/>
    </xf>
    <xf numFmtId="184" fontId="222" fillId="20" borderId="2" xfId="16" applyFont="1" applyFill="1" applyBorder="1" applyAlignment="1">
      <alignment horizontal="center" vertical="center" wrapText="1"/>
    </xf>
    <xf numFmtId="184" fontId="222" fillId="20" borderId="3" xfId="16" applyFont="1" applyFill="1" applyBorder="1" applyAlignment="1">
      <alignment horizontal="center" vertical="center" wrapText="1"/>
    </xf>
    <xf numFmtId="184" fontId="222" fillId="20" borderId="4" xfId="16" applyFont="1" applyFill="1" applyBorder="1" applyAlignment="1">
      <alignment horizontal="center" vertical="center" wrapText="1"/>
    </xf>
    <xf numFmtId="166" fontId="222" fillId="20" borderId="1" xfId="18" applyNumberFormat="1" applyFont="1" applyFill="1" applyBorder="1" applyAlignment="1">
      <alignment horizontal="center" vertical="center"/>
    </xf>
    <xf numFmtId="0" fontId="222" fillId="20" borderId="1" xfId="0" applyFont="1" applyFill="1" applyBorder="1" applyAlignment="1">
      <alignment horizontal="center" vertical="center"/>
    </xf>
    <xf numFmtId="168" fontId="71" fillId="0" borderId="0" xfId="0" applyNumberFormat="1" applyFont="1" applyAlignment="1">
      <alignment horizontal="center"/>
    </xf>
    <xf numFmtId="0" fontId="71" fillId="0" borderId="0" xfId="0" quotePrefix="1" applyFont="1"/>
    <xf numFmtId="0" fontId="71" fillId="0" borderId="0" xfId="0" applyFont="1" applyAlignment="1">
      <alignment vertical="top" wrapText="1"/>
    </xf>
    <xf numFmtId="9" fontId="223" fillId="0" borderId="2" xfId="16" applyNumberFormat="1" applyFont="1" applyBorder="1" applyAlignment="1">
      <alignment horizontal="center" vertical="center"/>
    </xf>
    <xf numFmtId="9" fontId="223" fillId="0" borderId="3" xfId="16" applyNumberFormat="1" applyFont="1" applyBorder="1" applyAlignment="1">
      <alignment horizontal="center" vertical="center"/>
    </xf>
    <xf numFmtId="9" fontId="223" fillId="0" borderId="4" xfId="16" applyNumberFormat="1" applyFont="1" applyBorder="1" applyAlignment="1">
      <alignment horizontal="center" vertical="center"/>
    </xf>
    <xf numFmtId="0" fontId="222" fillId="20" borderId="1"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top"/>
    </xf>
    <xf numFmtId="0" fontId="0" fillId="0" borderId="1" xfId="0" applyBorder="1" applyAlignment="1">
      <alignment horizontal="center"/>
    </xf>
    <xf numFmtId="0" fontId="5" fillId="0" borderId="0" xfId="0" applyFont="1" applyAlignment="1">
      <alignment horizontal="left" vertical="top" wrapText="1"/>
    </xf>
    <xf numFmtId="0" fontId="0" fillId="0" borderId="0" xfId="0" applyAlignment="1">
      <alignment vertical="top" wrapText="1"/>
    </xf>
    <xf numFmtId="0" fontId="4" fillId="6" borderId="1" xfId="0" applyFont="1" applyFill="1" applyBorder="1" applyAlignment="1">
      <alignment horizontal="center"/>
    </xf>
    <xf numFmtId="0" fontId="24" fillId="0" borderId="1" xfId="0" applyFont="1" applyBorder="1" applyAlignment="1">
      <alignment horizontal="left"/>
    </xf>
    <xf numFmtId="168" fontId="24" fillId="0" borderId="1" xfId="0" applyNumberFormat="1" applyFont="1" applyBorder="1" applyAlignment="1">
      <alignment horizontal="center"/>
    </xf>
    <xf numFmtId="0" fontId="65" fillId="0" borderId="1" xfId="0" applyFont="1" applyBorder="1" applyAlignment="1">
      <alignment horizontal="left" vertical="center" wrapText="1"/>
    </xf>
    <xf numFmtId="0" fontId="4" fillId="2" borderId="2" xfId="0" applyFont="1" applyFill="1" applyBorder="1" applyAlignment="1">
      <alignment horizontal="left" vertical="top"/>
    </xf>
    <xf numFmtId="0" fontId="4" fillId="2" borderId="3" xfId="0" applyFont="1" applyFill="1" applyBorder="1" applyAlignment="1">
      <alignment horizontal="left" vertical="top"/>
    </xf>
    <xf numFmtId="0" fontId="4" fillId="2" borderId="4" xfId="0" applyFont="1" applyFill="1" applyBorder="1" applyAlignment="1">
      <alignment horizontal="left" vertical="top"/>
    </xf>
    <xf numFmtId="0" fontId="65" fillId="0" borderId="13" xfId="0" applyFont="1" applyBorder="1" applyAlignment="1">
      <alignment horizontal="left" vertical="center"/>
    </xf>
    <xf numFmtId="0" fontId="65" fillId="0" borderId="14" xfId="0" applyFont="1" applyBorder="1" applyAlignment="1">
      <alignment horizontal="left" vertical="center"/>
    </xf>
    <xf numFmtId="0" fontId="65" fillId="0" borderId="15" xfId="0" applyFont="1" applyBorder="1" applyAlignment="1">
      <alignment horizontal="left" vertical="center"/>
    </xf>
    <xf numFmtId="0" fontId="65" fillId="0" borderId="18" xfId="0" applyFont="1" applyBorder="1" applyAlignment="1">
      <alignment horizontal="left" vertical="center"/>
    </xf>
    <xf numFmtId="0" fontId="65" fillId="0" borderId="11" xfId="0" applyFont="1" applyBorder="1" applyAlignment="1">
      <alignment horizontal="left" vertical="center"/>
    </xf>
    <xf numFmtId="0" fontId="65" fillId="0" borderId="19" xfId="0" applyFont="1" applyBorder="1" applyAlignment="1">
      <alignment horizontal="left" vertical="center"/>
    </xf>
    <xf numFmtId="0" fontId="142" fillId="0" borderId="0" xfId="0" applyFont="1" applyAlignment="1">
      <alignment horizontal="left" vertical="top"/>
    </xf>
    <xf numFmtId="0" fontId="142" fillId="0" borderId="0" xfId="0" applyFont="1" applyAlignment="1">
      <alignment vertical="top" wrapText="1"/>
    </xf>
    <xf numFmtId="0" fontId="4" fillId="0" borderId="0" xfId="0" applyFont="1" applyAlignment="1">
      <alignment horizontal="left"/>
    </xf>
    <xf numFmtId="0" fontId="21" fillId="0" borderId="1" xfId="0" applyFont="1" applyBorder="1" applyAlignment="1">
      <alignment horizontal="left" vertical="center" wrapText="1"/>
    </xf>
    <xf numFmtId="0" fontId="17" fillId="26" borderId="1" xfId="0" applyFont="1" applyFill="1" applyBorder="1" applyAlignment="1">
      <alignment horizontal="left" vertical="center"/>
    </xf>
    <xf numFmtId="0" fontId="21" fillId="0" borderId="1" xfId="0" applyFont="1" applyBorder="1" applyAlignment="1">
      <alignment horizontal="left" vertical="center"/>
    </xf>
    <xf numFmtId="0" fontId="17" fillId="26" borderId="2" xfId="0" applyFont="1" applyFill="1" applyBorder="1" applyAlignment="1">
      <alignment horizontal="center" vertical="center"/>
    </xf>
    <xf numFmtId="0" fontId="17" fillId="26" borderId="3" xfId="0" applyFont="1" applyFill="1" applyBorder="1" applyAlignment="1">
      <alignment horizontal="center" vertical="center"/>
    </xf>
    <xf numFmtId="0" fontId="17" fillId="26" borderId="4" xfId="0" applyFont="1" applyFill="1" applyBorder="1" applyAlignment="1">
      <alignment horizontal="center" vertical="center"/>
    </xf>
    <xf numFmtId="2" fontId="21" fillId="0" borderId="1" xfId="0" applyNumberFormat="1" applyFont="1" applyBorder="1" applyAlignment="1">
      <alignment horizontal="center" vertical="center"/>
    </xf>
    <xf numFmtId="0" fontId="24" fillId="0" borderId="1" xfId="0" applyFont="1" applyBorder="1" applyAlignment="1">
      <alignment horizontal="left" vertical="center"/>
    </xf>
    <xf numFmtId="0" fontId="79" fillId="25" borderId="29" xfId="0" applyFont="1" applyFill="1" applyBorder="1" applyAlignment="1">
      <alignment horizontal="left" vertical="center"/>
    </xf>
    <xf numFmtId="0" fontId="79" fillId="25" borderId="30" xfId="0" applyFont="1" applyFill="1" applyBorder="1" applyAlignment="1">
      <alignment horizontal="left" vertical="center"/>
    </xf>
    <xf numFmtId="0" fontId="66" fillId="0" borderId="0" xfId="0" applyFont="1" applyAlignment="1">
      <alignment horizontal="left" vertical="top"/>
    </xf>
    <xf numFmtId="0" fontId="0" fillId="0" borderId="0" xfId="0" applyAlignment="1">
      <alignment horizontal="center"/>
    </xf>
    <xf numFmtId="0" fontId="0" fillId="0" borderId="1" xfId="0" applyBorder="1" applyAlignment="1">
      <alignment horizontal="left" vertical="center"/>
    </xf>
    <xf numFmtId="165" fontId="65" fillId="0" borderId="1" xfId="0" applyNumberFormat="1" applyFont="1" applyBorder="1" applyAlignment="1">
      <alignment horizontal="center" vertical="center"/>
    </xf>
    <xf numFmtId="2" fontId="65" fillId="0" borderId="1" xfId="0" applyNumberFormat="1" applyFont="1" applyBorder="1" applyAlignment="1">
      <alignment horizontal="center" vertical="center"/>
    </xf>
    <xf numFmtId="0" fontId="65" fillId="0" borderId="1" xfId="0" applyFont="1" applyBorder="1" applyAlignment="1">
      <alignment horizontal="left" vertical="center"/>
    </xf>
    <xf numFmtId="0" fontId="142" fillId="0" borderId="14" xfId="0" applyFont="1" applyBorder="1" applyAlignment="1">
      <alignment vertical="top" wrapText="1"/>
    </xf>
    <xf numFmtId="0" fontId="142" fillId="0" borderId="14" xfId="0" applyFont="1" applyBorder="1" applyAlignment="1">
      <alignment horizontal="left" vertical="top"/>
    </xf>
    <xf numFmtId="3" fontId="164" fillId="0" borderId="1" xfId="0" applyNumberFormat="1" applyFont="1" applyBorder="1" applyAlignment="1">
      <alignment horizontal="right" vertical="center"/>
    </xf>
    <xf numFmtId="0" fontId="24" fillId="0" borderId="1" xfId="0" applyFont="1" applyBorder="1" applyAlignment="1">
      <alignment horizontal="center" vertical="center"/>
    </xf>
    <xf numFmtId="210" fontId="24" fillId="0" borderId="1" xfId="0" applyNumberFormat="1" applyFont="1" applyBorder="1" applyAlignment="1">
      <alignment horizontal="center" vertical="center"/>
    </xf>
    <xf numFmtId="4" fontId="24" fillId="0" borderId="1" xfId="0" applyNumberFormat="1" applyFont="1" applyBorder="1" applyAlignment="1">
      <alignment horizontal="center" vertical="center"/>
    </xf>
    <xf numFmtId="0" fontId="16" fillId="0" borderId="0" xfId="4" applyAlignment="1">
      <alignment vertical="top"/>
    </xf>
    <xf numFmtId="0" fontId="24" fillId="0" borderId="0" xfId="0" applyFont="1" applyAlignment="1">
      <alignment vertical="top"/>
    </xf>
    <xf numFmtId="0" fontId="16" fillId="0" borderId="0" xfId="4"/>
    <xf numFmtId="0" fontId="157" fillId="0" borderId="0" xfId="0" applyFont="1" applyAlignment="1">
      <alignment vertical="top"/>
    </xf>
    <xf numFmtId="0" fontId="157" fillId="0" borderId="0" xfId="0" applyFont="1" applyAlignment="1">
      <alignment vertical="top" wrapText="1"/>
    </xf>
    <xf numFmtId="0" fontId="0" fillId="0" borderId="2" xfId="0" applyBorder="1" applyAlignment="1">
      <alignment horizontal="right"/>
    </xf>
    <xf numFmtId="0" fontId="0" fillId="0" borderId="3" xfId="0" applyBorder="1" applyAlignment="1">
      <alignment horizontal="right"/>
    </xf>
    <xf numFmtId="0" fontId="0" fillId="0" borderId="3" xfId="0" applyBorder="1" applyAlignment="1">
      <alignment horizontal="center"/>
    </xf>
    <xf numFmtId="0" fontId="0" fillId="0" borderId="3" xfId="0" applyBorder="1" applyAlignment="1">
      <alignment horizontal="left"/>
    </xf>
    <xf numFmtId="0" fontId="0" fillId="0" borderId="4" xfId="0" applyBorder="1" applyAlignment="1">
      <alignment horizontal="left"/>
    </xf>
    <xf numFmtId="212" fontId="173" fillId="37" borderId="1" xfId="0" applyNumberFormat="1" applyFont="1" applyFill="1" applyBorder="1" applyAlignment="1">
      <alignment horizontal="right" vertical="center"/>
    </xf>
    <xf numFmtId="211" fontId="20" fillId="16" borderId="2" xfId="0" applyNumberFormat="1" applyFont="1" applyFill="1" applyBorder="1" applyAlignment="1" applyProtection="1">
      <alignment horizontal="center"/>
      <protection locked="0"/>
    </xf>
    <xf numFmtId="211" fontId="20" fillId="16" borderId="3" xfId="0" applyNumberFormat="1" applyFont="1" applyFill="1" applyBorder="1" applyAlignment="1" applyProtection="1">
      <alignment horizontal="center"/>
      <protection locked="0"/>
    </xf>
    <xf numFmtId="211" fontId="20" fillId="16" borderId="4" xfId="0" applyNumberFormat="1" applyFont="1" applyFill="1" applyBorder="1" applyAlignment="1" applyProtection="1">
      <alignment horizontal="center"/>
      <protection locked="0"/>
    </xf>
    <xf numFmtId="0" fontId="4" fillId="0" borderId="2" xfId="0" applyFont="1" applyBorder="1" applyAlignment="1">
      <alignment horizontal="center" wrapText="1"/>
    </xf>
    <xf numFmtId="0" fontId="4" fillId="0" borderId="3" xfId="0" applyFont="1" applyBorder="1" applyAlignment="1">
      <alignment horizontal="center" wrapText="1"/>
    </xf>
    <xf numFmtId="0" fontId="4" fillId="0" borderId="4" xfId="0" applyFont="1" applyBorder="1" applyAlignment="1">
      <alignment horizontal="center" wrapText="1"/>
    </xf>
    <xf numFmtId="0" fontId="4" fillId="0" borderId="1" xfId="0" applyFont="1" applyBorder="1" applyAlignment="1">
      <alignment horizontal="center" vertical="center"/>
    </xf>
    <xf numFmtId="3" fontId="173" fillId="37" borderId="1" xfId="0" applyNumberFormat="1" applyFont="1" applyFill="1" applyBorder="1" applyAlignment="1">
      <alignment horizontal="right"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8" xfId="0" applyFont="1" applyBorder="1" applyAlignment="1">
      <alignment horizontal="center" vertical="center"/>
    </xf>
    <xf numFmtId="0" fontId="4" fillId="0" borderId="11" xfId="0" applyFont="1" applyBorder="1" applyAlignment="1">
      <alignment horizontal="center" vertical="center"/>
    </xf>
    <xf numFmtId="0" fontId="4" fillId="0" borderId="19" xfId="0" applyFont="1" applyBorder="1" applyAlignment="1">
      <alignment horizontal="center" vertical="center"/>
    </xf>
    <xf numFmtId="0" fontId="4" fillId="0" borderId="1" xfId="0" applyFont="1" applyBorder="1" applyAlignment="1">
      <alignment horizontal="center" vertical="center" wrapText="1"/>
    </xf>
    <xf numFmtId="0" fontId="24" fillId="0" borderId="14" xfId="0" applyFont="1" applyBorder="1" applyAlignment="1">
      <alignment vertical="top" wrapText="1"/>
    </xf>
    <xf numFmtId="0" fontId="40" fillId="0" borderId="13" xfId="0" applyFont="1" applyBorder="1" applyAlignment="1">
      <alignment horizontal="center" vertical="center"/>
    </xf>
    <xf numFmtId="0" fontId="40" fillId="0" borderId="14" xfId="0" applyFont="1" applyBorder="1" applyAlignment="1">
      <alignment horizontal="center" vertical="center"/>
    </xf>
    <xf numFmtId="0" fontId="40" fillId="0" borderId="15" xfId="0" applyFont="1" applyBorder="1" applyAlignment="1">
      <alignment horizontal="center" vertical="center"/>
    </xf>
    <xf numFmtId="0" fontId="40" fillId="0" borderId="18" xfId="0" applyFont="1" applyBorder="1" applyAlignment="1">
      <alignment horizontal="center" vertical="center"/>
    </xf>
    <xf numFmtId="0" fontId="40" fillId="0" borderId="11" xfId="0" applyFont="1" applyBorder="1" applyAlignment="1">
      <alignment horizontal="center" vertical="center"/>
    </xf>
    <xf numFmtId="0" fontId="40" fillId="0" borderId="19" xfId="0" applyFont="1" applyBorder="1" applyAlignment="1">
      <alignment horizontal="center" vertical="center"/>
    </xf>
    <xf numFmtId="0" fontId="40" fillId="0" borderId="1" xfId="0" applyFont="1" applyBorder="1" applyAlignment="1">
      <alignment horizontal="center" vertical="center" wrapText="1"/>
    </xf>
    <xf numFmtId="0" fontId="40" fillId="0" borderId="1" xfId="0" applyFont="1" applyBorder="1" applyAlignment="1">
      <alignment horizontal="center" vertical="center"/>
    </xf>
    <xf numFmtId="164" fontId="24" fillId="0" borderId="1" xfId="0" applyNumberFormat="1" applyFont="1" applyBorder="1" applyAlignment="1">
      <alignment horizontal="center" vertical="center"/>
    </xf>
    <xf numFmtId="0" fontId="157" fillId="0" borderId="14" xfId="0" applyFont="1" applyBorder="1"/>
    <xf numFmtId="0" fontId="24" fillId="0" borderId="0" xfId="0" applyFont="1" applyAlignment="1">
      <alignment wrapText="1"/>
    </xf>
    <xf numFmtId="0" fontId="65" fillId="0" borderId="13" xfId="0" applyFont="1" applyBorder="1" applyAlignment="1">
      <alignment horizontal="left" vertical="center" wrapText="1"/>
    </xf>
    <xf numFmtId="0" fontId="65" fillId="0" borderId="14" xfId="0" applyFont="1" applyBorder="1" applyAlignment="1">
      <alignment horizontal="left" vertical="center" wrapText="1"/>
    </xf>
    <xf numFmtId="0" fontId="65" fillId="0" borderId="15" xfId="0" applyFont="1" applyBorder="1" applyAlignment="1">
      <alignment horizontal="left" vertical="center" wrapText="1"/>
    </xf>
    <xf numFmtId="0" fontId="65" fillId="0" borderId="18" xfId="0" applyFont="1" applyBorder="1" applyAlignment="1">
      <alignment horizontal="left" vertical="center" wrapText="1"/>
    </xf>
    <xf numFmtId="0" fontId="65" fillId="0" borderId="11" xfId="0" applyFont="1" applyBorder="1" applyAlignment="1">
      <alignment horizontal="left" vertical="center" wrapText="1"/>
    </xf>
    <xf numFmtId="0" fontId="65" fillId="0" borderId="19" xfId="0" applyFont="1" applyBorder="1" applyAlignment="1">
      <alignment horizontal="left" vertical="center" wrapText="1"/>
    </xf>
    <xf numFmtId="6" fontId="65" fillId="0" borderId="2" xfId="0" applyNumberFormat="1" applyFont="1" applyBorder="1" applyAlignment="1">
      <alignment horizontal="center"/>
    </xf>
    <xf numFmtId="6" fontId="65" fillId="0" borderId="3" xfId="0" applyNumberFormat="1" applyFont="1" applyBorder="1" applyAlignment="1">
      <alignment horizontal="center"/>
    </xf>
    <xf numFmtId="6" fontId="65" fillId="0" borderId="4" xfId="0" applyNumberFormat="1" applyFont="1" applyBorder="1" applyAlignment="1">
      <alignment horizontal="center"/>
    </xf>
    <xf numFmtId="200" fontId="65" fillId="0" borderId="2" xfId="0" applyNumberFormat="1" applyFont="1" applyBorder="1" applyAlignment="1">
      <alignment horizontal="center"/>
    </xf>
    <xf numFmtId="200" fontId="65" fillId="0" borderId="3" xfId="0" applyNumberFormat="1" applyFont="1" applyBorder="1" applyAlignment="1">
      <alignment horizontal="center"/>
    </xf>
    <xf numFmtId="200" fontId="65" fillId="0" borderId="4" xfId="0" applyNumberFormat="1" applyFont="1" applyBorder="1" applyAlignment="1">
      <alignment horizontal="center"/>
    </xf>
    <xf numFmtId="0" fontId="213" fillId="0" borderId="2" xfId="2" applyNumberFormat="1" applyFont="1" applyBorder="1" applyAlignment="1">
      <alignment horizontal="center" vertical="center"/>
    </xf>
    <xf numFmtId="0" fontId="213" fillId="0" borderId="3" xfId="2" applyNumberFormat="1" applyFont="1" applyBorder="1" applyAlignment="1">
      <alignment horizontal="center" vertical="center"/>
    </xf>
    <xf numFmtId="0" fontId="213" fillId="0" borderId="4" xfId="2" applyNumberFormat="1"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1" xfId="0" applyBorder="1" applyAlignment="1">
      <alignment horizontal="center" vertical="center"/>
    </xf>
    <xf numFmtId="0" fontId="0" fillId="0" borderId="19" xfId="0" applyBorder="1" applyAlignment="1">
      <alignment horizontal="center" vertical="center"/>
    </xf>
    <xf numFmtId="165" fontId="0" fillId="0" borderId="1" xfId="0" applyNumberFormat="1" applyBorder="1" applyAlignment="1">
      <alignment horizontal="center" vertical="top"/>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1" xfId="0" applyBorder="1" applyAlignment="1">
      <alignment horizontal="center" vertical="center" wrapText="1"/>
    </xf>
    <xf numFmtId="0" fontId="0" fillId="0" borderId="19" xfId="0" applyBorder="1" applyAlignment="1">
      <alignment horizontal="center" vertical="center" wrapText="1"/>
    </xf>
    <xf numFmtId="0" fontId="0" fillId="0" borderId="2" xfId="0" applyBorder="1" applyAlignment="1">
      <alignment horizontal="center"/>
    </xf>
    <xf numFmtId="0" fontId="0" fillId="0" borderId="4" xfId="0" applyBorder="1" applyAlignment="1">
      <alignment horizontal="center"/>
    </xf>
    <xf numFmtId="222" fontId="71" fillId="0" borderId="14" xfId="0" applyNumberFormat="1" applyFont="1" applyBorder="1" applyAlignment="1">
      <alignment horizontal="right"/>
    </xf>
    <xf numFmtId="0" fontId="79" fillId="24" borderId="0" xfId="0" applyFont="1" applyFill="1"/>
    <xf numFmtId="0" fontId="121" fillId="0" borderId="1" xfId="4" applyFont="1" applyFill="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0" xfId="0" applyFont="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19" xfId="0" applyFont="1" applyBorder="1" applyAlignment="1">
      <alignment horizontal="center" vertical="center"/>
    </xf>
    <xf numFmtId="0" fontId="121" fillId="0" borderId="1" xfId="4" applyFont="1" applyBorder="1" applyAlignment="1">
      <alignment horizontal="left"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40" fillId="2" borderId="2" xfId="0" applyFont="1" applyFill="1" applyBorder="1" applyAlignment="1">
      <alignment horizontal="left" vertical="center"/>
    </xf>
    <xf numFmtId="0" fontId="40" fillId="2" borderId="3" xfId="0" applyFont="1" applyFill="1" applyBorder="1" applyAlignment="1">
      <alignment horizontal="left" vertical="center"/>
    </xf>
    <xf numFmtId="0" fontId="40" fillId="2" borderId="4" xfId="0" applyFont="1" applyFill="1" applyBorder="1" applyAlignment="1">
      <alignment horizontal="left" vertical="center"/>
    </xf>
    <xf numFmtId="0" fontId="79" fillId="25" borderId="35" xfId="0" applyFont="1" applyFill="1" applyBorder="1" applyAlignment="1">
      <alignment horizontal="left" vertical="center"/>
    </xf>
    <xf numFmtId="0" fontId="79" fillId="25" borderId="0" xfId="0" applyFont="1" applyFill="1" applyAlignment="1">
      <alignment horizontal="left" vertical="center"/>
    </xf>
    <xf numFmtId="0" fontId="0" fillId="0" borderId="0" xfId="0" applyAlignment="1">
      <alignment horizontal="left"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4" fillId="15" borderId="2" xfId="0" applyFont="1" applyFill="1" applyBorder="1" applyAlignment="1">
      <alignment horizontal="center" vertical="center"/>
    </xf>
    <xf numFmtId="0" fontId="4" fillId="15" borderId="3" xfId="0" applyFont="1" applyFill="1" applyBorder="1" applyAlignment="1">
      <alignment horizontal="center" vertical="center"/>
    </xf>
    <xf numFmtId="0" fontId="4" fillId="15" borderId="4" xfId="0" applyFont="1" applyFill="1" applyBorder="1" applyAlignment="1">
      <alignment horizontal="center" vertical="center"/>
    </xf>
    <xf numFmtId="0" fontId="121" fillId="0" borderId="1" xfId="4" applyFont="1" applyBorder="1" applyAlignment="1">
      <alignment horizontal="left" vertical="center"/>
    </xf>
    <xf numFmtId="0" fontId="13" fillId="0" borderId="1" xfId="0" applyFont="1" applyBorder="1" applyAlignment="1">
      <alignment horizontal="center" vertical="center" wrapText="1"/>
    </xf>
    <xf numFmtId="1" fontId="2" fillId="0" borderId="1" xfId="0" applyNumberFormat="1" applyFont="1" applyBorder="1" applyAlignment="1">
      <alignment horizontal="center" vertical="center"/>
    </xf>
    <xf numFmtId="0" fontId="13" fillId="15" borderId="1" xfId="0" applyFont="1" applyFill="1" applyBorder="1" applyAlignment="1">
      <alignment horizontal="center" vertical="center"/>
    </xf>
    <xf numFmtId="0" fontId="13" fillId="0" borderId="1" xfId="0" applyFont="1" applyBorder="1" applyAlignment="1">
      <alignment horizontal="center" vertical="center"/>
    </xf>
    <xf numFmtId="3" fontId="2" fillId="0" borderId="1" xfId="0" applyNumberFormat="1" applyFont="1" applyBorder="1" applyAlignment="1">
      <alignment horizontal="center" vertical="center"/>
    </xf>
    <xf numFmtId="0" fontId="121" fillId="0" borderId="2" xfId="4" applyFont="1" applyBorder="1" applyAlignment="1">
      <alignment vertical="center"/>
    </xf>
    <xf numFmtId="0" fontId="121" fillId="0" borderId="3" xfId="4" applyFont="1" applyBorder="1" applyAlignment="1">
      <alignment vertical="center"/>
    </xf>
    <xf numFmtId="0" fontId="121" fillId="0" borderId="4" xfId="4" applyFont="1"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2" fontId="0" fillId="0" borderId="2" xfId="0" applyNumberFormat="1" applyBorder="1" applyAlignment="1">
      <alignment horizontal="center" vertical="center"/>
    </xf>
    <xf numFmtId="2" fontId="0" fillId="0" borderId="3" xfId="0" applyNumberFormat="1" applyBorder="1" applyAlignment="1">
      <alignment horizontal="center" vertical="center"/>
    </xf>
    <xf numFmtId="2" fontId="0" fillId="0" borderId="4" xfId="0" applyNumberFormat="1" applyBorder="1" applyAlignment="1">
      <alignment horizontal="center" vertical="center"/>
    </xf>
    <xf numFmtId="0" fontId="71" fillId="0" borderId="0" xfId="0" applyFont="1" applyAlignment="1">
      <alignment horizontal="left" vertical="top" wrapText="1"/>
    </xf>
    <xf numFmtId="0" fontId="71" fillId="0" borderId="14" xfId="0" applyFont="1" applyBorder="1" applyAlignment="1">
      <alignment horizontal="left" vertical="top"/>
    </xf>
    <xf numFmtId="0" fontId="71" fillId="0" borderId="0" xfId="0" applyFont="1" applyAlignment="1">
      <alignment horizontal="left" vertical="top"/>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79" fillId="25" borderId="31" xfId="0" applyFont="1" applyFill="1" applyBorder="1" applyAlignment="1">
      <alignment horizontal="left" vertical="center"/>
    </xf>
    <xf numFmtId="0" fontId="4" fillId="0" borderId="0" xfId="0" applyFont="1" applyAlignment="1">
      <alignment horizontal="left" vertical="top"/>
    </xf>
    <xf numFmtId="2" fontId="4" fillId="0" borderId="2" xfId="0" applyNumberFormat="1" applyFont="1" applyBorder="1" applyAlignment="1">
      <alignment horizontal="center" vertical="center"/>
    </xf>
    <xf numFmtId="2" fontId="4" fillId="0" borderId="3" xfId="0" applyNumberFormat="1" applyFont="1" applyBorder="1" applyAlignment="1">
      <alignment horizontal="center" vertical="center"/>
    </xf>
    <xf numFmtId="2" fontId="4" fillId="0" borderId="4" xfId="0" applyNumberFormat="1"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3" fontId="24" fillId="0" borderId="2" xfId="0" applyNumberFormat="1" applyFont="1" applyBorder="1" applyAlignment="1">
      <alignment horizontal="center" vertical="center" wrapText="1"/>
    </xf>
    <xf numFmtId="3" fontId="24" fillId="0" borderId="3" xfId="0" applyNumberFormat="1" applyFont="1" applyBorder="1" applyAlignment="1">
      <alignment horizontal="center" vertical="center" wrapText="1"/>
    </xf>
    <xf numFmtId="3" fontId="24" fillId="0" borderId="4" xfId="0" applyNumberFormat="1" applyFont="1" applyBorder="1" applyAlignment="1">
      <alignment horizontal="center" vertical="center" wrapText="1"/>
    </xf>
    <xf numFmtId="4" fontId="24" fillId="0" borderId="2" xfId="0" applyNumberFormat="1" applyFont="1" applyBorder="1" applyAlignment="1">
      <alignment horizontal="center" vertical="center" wrapText="1"/>
    </xf>
    <xf numFmtId="4" fontId="24" fillId="0" borderId="3" xfId="0" applyNumberFormat="1" applyFont="1" applyBorder="1" applyAlignment="1">
      <alignment horizontal="center" vertical="center" wrapText="1"/>
    </xf>
    <xf numFmtId="4" fontId="24" fillId="0" borderId="4" xfId="0" applyNumberFormat="1" applyFont="1" applyBorder="1" applyAlignment="1">
      <alignment horizontal="center" vertical="center" wrapText="1"/>
    </xf>
    <xf numFmtId="0" fontId="4" fillId="0" borderId="1" xfId="0" applyFont="1" applyBorder="1" applyAlignment="1">
      <alignment horizontal="center"/>
    </xf>
    <xf numFmtId="3" fontId="65" fillId="0" borderId="2" xfId="0" applyNumberFormat="1" applyFont="1" applyBorder="1" applyAlignment="1">
      <alignment horizontal="center" vertical="center"/>
    </xf>
    <xf numFmtId="3" fontId="65" fillId="0" borderId="3" xfId="0" applyNumberFormat="1" applyFont="1" applyBorder="1" applyAlignment="1">
      <alignment horizontal="center" vertical="center"/>
    </xf>
    <xf numFmtId="3" fontId="65" fillId="0" borderId="4" xfId="0" applyNumberFormat="1" applyFont="1" applyBorder="1" applyAlignment="1">
      <alignment horizontal="center" vertical="center"/>
    </xf>
    <xf numFmtId="0" fontId="40" fillId="0" borderId="2"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4" xfId="0" applyFont="1" applyBorder="1" applyAlignment="1">
      <alignment horizontal="center" vertical="center" wrapText="1"/>
    </xf>
    <xf numFmtId="0" fontId="24" fillId="0" borderId="2" xfId="0" applyFont="1" applyBorder="1" applyAlignment="1">
      <alignment vertical="center"/>
    </xf>
    <xf numFmtId="0" fontId="24" fillId="0" borderId="3" xfId="0" applyFont="1" applyBorder="1" applyAlignment="1">
      <alignment vertical="center"/>
    </xf>
    <xf numFmtId="0" fontId="24" fillId="0" borderId="4" xfId="0" applyFont="1" applyBorder="1" applyAlignment="1">
      <alignment vertical="center"/>
    </xf>
    <xf numFmtId="4" fontId="65" fillId="0" borderId="2" xfId="0" applyNumberFormat="1" applyFont="1" applyBorder="1" applyAlignment="1">
      <alignment horizontal="center" vertical="center"/>
    </xf>
    <xf numFmtId="4" fontId="65" fillId="0" borderId="3" xfId="0" applyNumberFormat="1" applyFont="1" applyBorder="1" applyAlignment="1">
      <alignment horizontal="center" vertical="center"/>
    </xf>
    <xf numFmtId="4" fontId="65" fillId="0" borderId="4" xfId="0" applyNumberFormat="1" applyFont="1" applyBorder="1" applyAlignment="1">
      <alignment horizontal="center" vertical="center"/>
    </xf>
    <xf numFmtId="3" fontId="24" fillId="0" borderId="2"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4" fontId="24" fillId="0" borderId="1" xfId="0" applyNumberFormat="1" applyFont="1" applyBorder="1" applyAlignment="1">
      <alignment horizontal="center"/>
    </xf>
    <xf numFmtId="0" fontId="24" fillId="0" borderId="1" xfId="0" applyFont="1" applyBorder="1" applyAlignment="1">
      <alignment horizontal="center"/>
    </xf>
    <xf numFmtId="0" fontId="24" fillId="0" borderId="2" xfId="0" applyFont="1" applyBorder="1"/>
    <xf numFmtId="0" fontId="24" fillId="0" borderId="3" xfId="0" applyFont="1" applyBorder="1"/>
    <xf numFmtId="0" fontId="24" fillId="0" borderId="4" xfId="0" applyFont="1" applyBorder="1"/>
    <xf numFmtId="0" fontId="71" fillId="0" borderId="0" xfId="0" applyFont="1"/>
    <xf numFmtId="0" fontId="4" fillId="0" borderId="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142" fillId="0" borderId="14" xfId="0" applyFont="1" applyBorder="1" applyAlignment="1">
      <alignment horizontal="left" vertical="top" wrapText="1"/>
    </xf>
    <xf numFmtId="0" fontId="157" fillId="0" borderId="14" xfId="0" applyFont="1" applyBorder="1" applyAlignment="1">
      <alignment vertical="center"/>
    </xf>
    <xf numFmtId="0" fontId="132" fillId="0" borderId="0" xfId="0" applyFont="1" applyAlignment="1">
      <alignment horizontal="left" vertical="top" wrapText="1"/>
    </xf>
    <xf numFmtId="0" fontId="132" fillId="0" borderId="0" xfId="0" applyFont="1" applyAlignment="1">
      <alignment vertical="top" wrapText="1"/>
    </xf>
    <xf numFmtId="0" fontId="79" fillId="25" borderId="1" xfId="0" applyFont="1" applyFill="1" applyBorder="1" applyAlignment="1">
      <alignment horizontal="left" vertical="center"/>
    </xf>
    <xf numFmtId="0" fontId="0" fillId="13" borderId="0" xfId="0" applyFill="1" applyAlignment="1">
      <alignment horizontal="left" vertical="top" wrapText="1"/>
    </xf>
    <xf numFmtId="0" fontId="0" fillId="0" borderId="0" xfId="0" applyAlignment="1">
      <alignment horizontal="left" wrapText="1"/>
    </xf>
    <xf numFmtId="0" fontId="0" fillId="13" borderId="0" xfId="0" applyFill="1" applyAlignment="1">
      <alignment horizontal="left" vertical="top"/>
    </xf>
    <xf numFmtId="0" fontId="4" fillId="13" borderId="0" xfId="0" applyFont="1" applyFill="1" applyAlignment="1">
      <alignment horizontal="left" vertical="top" wrapText="1"/>
    </xf>
    <xf numFmtId="0" fontId="107" fillId="25" borderId="1" xfId="0" applyFont="1" applyFill="1" applyBorder="1" applyAlignment="1">
      <alignment horizontal="left" vertical="center"/>
    </xf>
    <xf numFmtId="0" fontId="5" fillId="0" borderId="0" xfId="0" applyFont="1" applyAlignment="1">
      <alignment horizontal="left" wrapText="1"/>
    </xf>
    <xf numFmtId="0" fontId="24" fillId="13" borderId="0" xfId="0" applyFont="1" applyFill="1" applyAlignment="1">
      <alignment horizontal="left" vertical="top" wrapText="1"/>
    </xf>
    <xf numFmtId="0" fontId="4" fillId="2" borderId="1" xfId="0" applyFont="1" applyFill="1" applyBorder="1" applyAlignment="1">
      <alignment horizontal="left" vertical="center"/>
    </xf>
    <xf numFmtId="0" fontId="0" fillId="0" borderId="0" xfId="0" applyAlignment="1">
      <alignment vertical="center"/>
    </xf>
    <xf numFmtId="0" fontId="108" fillId="0" borderId="1" xfId="0" applyFont="1" applyBorder="1" applyAlignment="1">
      <alignment horizontal="center" vertical="center"/>
    </xf>
    <xf numFmtId="0" fontId="6" fillId="0" borderId="0" xfId="0" applyFont="1" applyAlignment="1">
      <alignment vertical="center"/>
    </xf>
    <xf numFmtId="0" fontId="0" fillId="0" borderId="0" xfId="0" applyAlignment="1">
      <alignment vertical="top"/>
    </xf>
    <xf numFmtId="0" fontId="29" fillId="0" borderId="0" xfId="0" applyFont="1" applyAlignment="1">
      <alignment vertical="top" wrapText="1"/>
    </xf>
    <xf numFmtId="0" fontId="29" fillId="0" borderId="0" xfId="0" applyFont="1" applyAlignment="1">
      <alignment vertical="top"/>
    </xf>
    <xf numFmtId="0" fontId="109" fillId="0" borderId="2" xfId="0" applyFont="1" applyBorder="1" applyAlignment="1">
      <alignment horizontal="left" vertical="center" wrapText="1"/>
    </xf>
    <xf numFmtId="0" fontId="109" fillId="0" borderId="3" xfId="0" applyFont="1" applyBorder="1" applyAlignment="1">
      <alignment horizontal="left" vertical="center" wrapText="1"/>
    </xf>
    <xf numFmtId="0" fontId="109" fillId="0" borderId="4" xfId="0" applyFont="1" applyBorder="1" applyAlignment="1">
      <alignment horizontal="left" vertical="center" wrapText="1"/>
    </xf>
    <xf numFmtId="0" fontId="109" fillId="0" borderId="2" xfId="0" applyFont="1" applyBorder="1" applyAlignment="1">
      <alignment horizontal="center" vertical="center" wrapText="1"/>
    </xf>
    <xf numFmtId="0" fontId="109" fillId="0" borderId="3" xfId="0" applyFont="1" applyBorder="1" applyAlignment="1">
      <alignment horizontal="center" vertical="center" wrapText="1"/>
    </xf>
    <xf numFmtId="0" fontId="109" fillId="0" borderId="4" xfId="0" applyFont="1" applyBorder="1" applyAlignment="1">
      <alignment horizontal="center" vertical="center" wrapText="1"/>
    </xf>
    <xf numFmtId="0" fontId="109" fillId="0" borderId="2" xfId="0" applyFont="1" applyBorder="1" applyAlignment="1">
      <alignment horizontal="left" vertical="center"/>
    </xf>
    <xf numFmtId="0" fontId="109" fillId="0" borderId="3" xfId="0" applyFont="1" applyBorder="1" applyAlignment="1">
      <alignment horizontal="left" vertical="center"/>
    </xf>
    <xf numFmtId="0" fontId="109" fillId="0" borderId="4" xfId="0" applyFont="1" applyBorder="1" applyAlignment="1">
      <alignment horizontal="left" vertical="center"/>
    </xf>
    <xf numFmtId="0" fontId="117" fillId="0" borderId="13" xfId="0" applyFont="1" applyBorder="1" applyAlignment="1">
      <alignment horizontal="left" vertical="center"/>
    </xf>
    <xf numFmtId="0" fontId="117" fillId="0" borderId="14" xfId="0" applyFont="1" applyBorder="1" applyAlignment="1">
      <alignment horizontal="left" vertical="center"/>
    </xf>
    <xf numFmtId="0" fontId="117" fillId="0" borderId="15" xfId="0" applyFont="1" applyBorder="1" applyAlignment="1">
      <alignment horizontal="left" vertical="center"/>
    </xf>
    <xf numFmtId="0" fontId="117" fillId="0" borderId="18" xfId="0" applyFont="1" applyBorder="1" applyAlignment="1">
      <alignment horizontal="left" vertical="center"/>
    </xf>
    <xf numFmtId="0" fontId="117" fillId="0" borderId="11" xfId="0" applyFont="1" applyBorder="1" applyAlignment="1">
      <alignment horizontal="left" vertical="center"/>
    </xf>
    <xf numFmtId="0" fontId="117" fillId="0" borderId="19" xfId="0" applyFont="1" applyBorder="1" applyAlignment="1">
      <alignment horizontal="left" vertical="center"/>
    </xf>
    <xf numFmtId="0" fontId="117" fillId="0" borderId="2" xfId="0" applyFont="1" applyBorder="1" applyAlignment="1">
      <alignment horizontal="left" vertical="center" wrapText="1"/>
    </xf>
    <xf numFmtId="0" fontId="117" fillId="0" borderId="3" xfId="0" applyFont="1" applyBorder="1" applyAlignment="1">
      <alignment horizontal="left" vertical="center" wrapText="1"/>
    </xf>
    <xf numFmtId="0" fontId="117" fillId="0" borderId="4" xfId="0" applyFont="1" applyBorder="1" applyAlignment="1">
      <alignment horizontal="left" vertical="center" wrapText="1"/>
    </xf>
    <xf numFmtId="0" fontId="117" fillId="0" borderId="2" xfId="0" applyFont="1" applyBorder="1" applyAlignment="1">
      <alignment horizontal="center" vertical="center" wrapText="1"/>
    </xf>
    <xf numFmtId="0" fontId="117" fillId="0" borderId="3" xfId="0" applyFont="1" applyBorder="1" applyAlignment="1">
      <alignment horizontal="center" vertical="center" wrapText="1"/>
    </xf>
    <xf numFmtId="0" fontId="117" fillId="0" borderId="4" xfId="0" applyFont="1" applyBorder="1" applyAlignment="1">
      <alignment horizontal="center" vertical="center" wrapText="1"/>
    </xf>
    <xf numFmtId="164" fontId="109" fillId="0" borderId="2" xfId="1" applyNumberFormat="1" applyFont="1" applyBorder="1" applyAlignment="1">
      <alignment horizontal="center" vertical="center" wrapText="1"/>
    </xf>
    <xf numFmtId="164" fontId="109" fillId="0" borderId="3" xfId="1" applyNumberFormat="1" applyFont="1" applyBorder="1" applyAlignment="1">
      <alignment horizontal="center" vertical="center" wrapText="1"/>
    </xf>
    <xf numFmtId="164" fontId="109" fillId="0" borderId="4" xfId="1" applyNumberFormat="1" applyFont="1" applyBorder="1" applyAlignment="1">
      <alignment horizontal="center" vertical="center" wrapText="1"/>
    </xf>
    <xf numFmtId="0" fontId="109" fillId="0" borderId="2" xfId="0" applyFont="1" applyBorder="1" applyAlignment="1">
      <alignment horizontal="left" vertical="top" wrapText="1"/>
    </xf>
    <xf numFmtId="0" fontId="109" fillId="0" borderId="3" xfId="0" applyFont="1" applyBorder="1" applyAlignment="1">
      <alignment horizontal="left" vertical="top" wrapText="1"/>
    </xf>
    <xf numFmtId="0" fontId="109" fillId="0" borderId="4" xfId="0" applyFont="1" applyBorder="1" applyAlignment="1">
      <alignment horizontal="left" vertical="top" wrapText="1"/>
    </xf>
    <xf numFmtId="0" fontId="4" fillId="0" borderId="1" xfId="0" applyFont="1" applyBorder="1" applyAlignment="1">
      <alignment vertical="center"/>
    </xf>
    <xf numFmtId="0" fontId="4" fillId="0" borderId="1" xfId="0" applyFont="1" applyBorder="1" applyAlignment="1">
      <alignment horizontal="right" vertical="center"/>
    </xf>
    <xf numFmtId="0" fontId="0" fillId="0" borderId="1" xfId="0" applyBorder="1" applyAlignment="1">
      <alignment vertical="center" wrapText="1"/>
    </xf>
    <xf numFmtId="2" fontId="0" fillId="0" borderId="1" xfId="0" applyNumberFormat="1" applyBorder="1" applyAlignment="1">
      <alignment horizontal="center" vertical="center" wrapText="1"/>
    </xf>
    <xf numFmtId="164" fontId="0" fillId="0" borderId="1" xfId="0" applyNumberFormat="1" applyBorder="1" applyAlignment="1">
      <alignment horizontal="center" vertical="center" wrapText="1"/>
    </xf>
    <xf numFmtId="0" fontId="4" fillId="0" borderId="11" xfId="0" applyFont="1" applyBorder="1" applyAlignment="1">
      <alignment horizontal="left" vertical="top" wrapText="1"/>
    </xf>
    <xf numFmtId="0" fontId="108" fillId="0" borderId="1" xfId="0" applyFont="1" applyBorder="1" applyAlignment="1">
      <alignment vertical="center" wrapText="1"/>
    </xf>
    <xf numFmtId="0" fontId="108" fillId="0" borderId="1" xfId="0" applyFont="1" applyBorder="1" applyAlignment="1">
      <alignment vertical="center"/>
    </xf>
    <xf numFmtId="0" fontId="108" fillId="0" borderId="2" xfId="0" applyFont="1" applyBorder="1" applyAlignment="1">
      <alignment horizontal="center" vertical="center" wrapTex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9" fillId="0" borderId="1" xfId="0" applyFont="1" applyBorder="1" applyAlignment="1">
      <alignment vertical="center" wrapText="1"/>
    </xf>
    <xf numFmtId="178" fontId="108" fillId="3" borderId="2" xfId="0" applyNumberFormat="1" applyFont="1" applyFill="1" applyBorder="1" applyAlignment="1">
      <alignment horizontal="center" vertical="center" wrapText="1"/>
    </xf>
    <xf numFmtId="178" fontId="108" fillId="3" borderId="3" xfId="0" applyNumberFormat="1" applyFont="1" applyFill="1" applyBorder="1" applyAlignment="1">
      <alignment horizontal="center" vertical="center" wrapText="1"/>
    </xf>
    <xf numFmtId="178" fontId="108" fillId="3" borderId="4" xfId="0" applyNumberFormat="1" applyFont="1" applyFill="1" applyBorder="1" applyAlignment="1">
      <alignment horizontal="center" vertical="center" wrapText="1"/>
    </xf>
    <xf numFmtId="191" fontId="108" fillId="3" borderId="2" xfId="0" applyNumberFormat="1" applyFont="1" applyFill="1" applyBorder="1" applyAlignment="1">
      <alignment horizontal="center" vertical="center" wrapText="1"/>
    </xf>
    <xf numFmtId="191" fontId="108" fillId="3" borderId="3" xfId="0" applyNumberFormat="1" applyFont="1" applyFill="1" applyBorder="1" applyAlignment="1">
      <alignment horizontal="center" vertical="center" wrapText="1"/>
    </xf>
    <xf numFmtId="191" fontId="108" fillId="3" borderId="4" xfId="0" applyNumberFormat="1" applyFont="1" applyFill="1" applyBorder="1" applyAlignment="1">
      <alignment horizontal="center" vertical="center" wrapText="1"/>
    </xf>
    <xf numFmtId="191" fontId="108" fillId="22" borderId="2" xfId="0" applyNumberFormat="1" applyFont="1" applyFill="1" applyBorder="1" applyAlignment="1">
      <alignment horizontal="center" vertical="center" wrapText="1"/>
    </xf>
    <xf numFmtId="191" fontId="108" fillId="22" borderId="3" xfId="0" applyNumberFormat="1" applyFont="1" applyFill="1" applyBorder="1" applyAlignment="1">
      <alignment horizontal="center" vertical="center" wrapText="1"/>
    </xf>
    <xf numFmtId="191" fontId="108" fillId="22" borderId="4" xfId="0" applyNumberFormat="1" applyFont="1" applyFill="1" applyBorder="1" applyAlignment="1">
      <alignment horizontal="center" vertical="center" wrapText="1"/>
    </xf>
    <xf numFmtId="0" fontId="202" fillId="0" borderId="11" xfId="0" applyFont="1" applyBorder="1" applyAlignment="1">
      <alignment vertical="top" wrapText="1"/>
    </xf>
    <xf numFmtId="0" fontId="119" fillId="0" borderId="13" xfId="0" applyFont="1" applyBorder="1" applyAlignment="1">
      <alignment horizontal="center" vertical="center" wrapText="1"/>
    </xf>
    <xf numFmtId="0" fontId="119" fillId="0" borderId="14" xfId="0" applyFont="1" applyBorder="1" applyAlignment="1">
      <alignment horizontal="center" vertical="center" wrapText="1"/>
    </xf>
    <xf numFmtId="0" fontId="119" fillId="0" borderId="15" xfId="0" applyFont="1" applyBorder="1" applyAlignment="1">
      <alignment horizontal="center" vertical="center" wrapText="1"/>
    </xf>
    <xf numFmtId="0" fontId="119" fillId="0" borderId="18" xfId="0" applyFont="1" applyBorder="1" applyAlignment="1">
      <alignment horizontal="center" vertical="center" wrapText="1"/>
    </xf>
    <xf numFmtId="0" fontId="119" fillId="0" borderId="11" xfId="0" applyFont="1" applyBorder="1" applyAlignment="1">
      <alignment horizontal="center" vertical="center" wrapText="1"/>
    </xf>
    <xf numFmtId="0" fontId="119" fillId="0" borderId="19" xfId="0" applyFont="1" applyBorder="1" applyAlignment="1">
      <alignment horizontal="center" vertical="center" wrapText="1"/>
    </xf>
    <xf numFmtId="0" fontId="119" fillId="0" borderId="2" xfId="0" applyFont="1" applyBorder="1" applyAlignment="1">
      <alignment horizontal="center" vertical="center" wrapText="1"/>
    </xf>
    <xf numFmtId="0" fontId="119" fillId="0" borderId="3" xfId="0" applyFont="1" applyBorder="1" applyAlignment="1">
      <alignment horizontal="center" vertical="center" wrapText="1"/>
    </xf>
    <xf numFmtId="0" fontId="119" fillId="0" borderId="4" xfId="0" applyFont="1" applyBorder="1" applyAlignment="1">
      <alignment horizontal="center" vertical="center" wrapText="1"/>
    </xf>
    <xf numFmtId="0" fontId="119" fillId="0" borderId="1" xfId="0" applyFont="1" applyBorder="1" applyAlignment="1">
      <alignment horizontal="center" vertical="center" wrapText="1"/>
    </xf>
    <xf numFmtId="0" fontId="117" fillId="0" borderId="2" xfId="0" applyFont="1" applyBorder="1" applyAlignment="1">
      <alignment vertical="center" wrapText="1"/>
    </xf>
    <xf numFmtId="0" fontId="117" fillId="0" borderId="3" xfId="0" applyFont="1" applyBorder="1" applyAlignment="1">
      <alignment vertical="center" wrapText="1"/>
    </xf>
    <xf numFmtId="0" fontId="117" fillId="0" borderId="4" xfId="0" applyFont="1" applyBorder="1" applyAlignment="1">
      <alignment vertical="center" wrapText="1"/>
    </xf>
    <xf numFmtId="165" fontId="119" fillId="3" borderId="2" xfId="0" applyNumberFormat="1" applyFont="1" applyFill="1" applyBorder="1" applyAlignment="1">
      <alignment horizontal="center" vertical="center" wrapText="1"/>
    </xf>
    <xf numFmtId="165" fontId="119" fillId="3" borderId="3" xfId="0" applyNumberFormat="1" applyFont="1" applyFill="1" applyBorder="1" applyAlignment="1">
      <alignment horizontal="center" vertical="center" wrapText="1"/>
    </xf>
    <xf numFmtId="2" fontId="119" fillId="3" borderId="2" xfId="0" applyNumberFormat="1" applyFont="1" applyFill="1" applyBorder="1" applyAlignment="1">
      <alignment horizontal="center" vertical="center" wrapText="1"/>
    </xf>
    <xf numFmtId="2" fontId="119" fillId="3" borderId="3" xfId="0" applyNumberFormat="1" applyFont="1" applyFill="1" applyBorder="1" applyAlignment="1">
      <alignment horizontal="center" vertical="center" wrapText="1"/>
    </xf>
    <xf numFmtId="191" fontId="119" fillId="22" borderId="2" xfId="0" applyNumberFormat="1" applyFont="1" applyFill="1" applyBorder="1" applyAlignment="1">
      <alignment horizontal="center" vertical="center" wrapText="1"/>
    </xf>
    <xf numFmtId="191" fontId="119" fillId="22" borderId="3" xfId="0" applyNumberFormat="1" applyFont="1" applyFill="1" applyBorder="1" applyAlignment="1">
      <alignment horizontal="center" vertical="center" wrapText="1"/>
    </xf>
    <xf numFmtId="191" fontId="119" fillId="22" borderId="4" xfId="0" applyNumberFormat="1" applyFont="1" applyFill="1" applyBorder="1" applyAlignment="1">
      <alignment horizontal="center" vertical="center" wrapText="1"/>
    </xf>
    <xf numFmtId="0" fontId="109" fillId="0" borderId="1" xfId="0" applyFont="1" applyBorder="1" applyAlignment="1">
      <alignment vertical="center"/>
    </xf>
    <xf numFmtId="178" fontId="119" fillId="3" borderId="2" xfId="0" applyNumberFormat="1" applyFont="1" applyFill="1" applyBorder="1" applyAlignment="1">
      <alignment horizontal="center" vertical="center" wrapText="1"/>
    </xf>
    <xf numFmtId="178" fontId="119" fillId="3" borderId="3" xfId="0" applyNumberFormat="1" applyFont="1" applyFill="1" applyBorder="1" applyAlignment="1">
      <alignment horizontal="center" vertical="center" wrapText="1"/>
    </xf>
    <xf numFmtId="178" fontId="119" fillId="3" borderId="4" xfId="0" applyNumberFormat="1" applyFont="1" applyFill="1" applyBorder="1" applyAlignment="1">
      <alignment horizontal="center" vertical="center" wrapText="1"/>
    </xf>
    <xf numFmtId="191" fontId="119" fillId="3" borderId="2" xfId="0" applyNumberFormat="1" applyFont="1" applyFill="1" applyBorder="1" applyAlignment="1">
      <alignment horizontal="center" vertical="center" wrapText="1"/>
    </xf>
    <xf numFmtId="191" fontId="119" fillId="3" borderId="3" xfId="0" applyNumberFormat="1" applyFont="1" applyFill="1" applyBorder="1" applyAlignment="1">
      <alignment horizontal="center" vertical="center" wrapText="1"/>
    </xf>
    <xf numFmtId="191" fontId="119" fillId="3" borderId="4" xfId="0" applyNumberFormat="1" applyFont="1" applyFill="1" applyBorder="1" applyAlignment="1">
      <alignment horizontal="center" vertical="center" wrapText="1"/>
    </xf>
    <xf numFmtId="164" fontId="20" fillId="16" borderId="2" xfId="0" applyNumberFormat="1" applyFont="1" applyFill="1" applyBorder="1" applyAlignment="1" applyProtection="1">
      <alignment horizontal="center" vertical="center"/>
      <protection locked="0"/>
    </xf>
    <xf numFmtId="164" fontId="20" fillId="16" borderId="3" xfId="0" applyNumberFormat="1" applyFont="1" applyFill="1" applyBorder="1" applyAlignment="1" applyProtection="1">
      <alignment horizontal="center" vertical="center"/>
      <protection locked="0"/>
    </xf>
    <xf numFmtId="164" fontId="20" fillId="16" borderId="4" xfId="0" applyNumberFormat="1" applyFont="1" applyFill="1" applyBorder="1" applyAlignment="1" applyProtection="1">
      <alignment horizontal="center" vertical="center"/>
      <protection locked="0"/>
    </xf>
    <xf numFmtId="164" fontId="0" fillId="0" borderId="2" xfId="0" applyNumberFormat="1" applyBorder="1" applyAlignment="1">
      <alignment horizontal="center" vertical="center"/>
    </xf>
    <xf numFmtId="164" fontId="0" fillId="0" borderId="3" xfId="0" applyNumberFormat="1" applyBorder="1" applyAlignment="1">
      <alignment horizontal="center" vertical="center"/>
    </xf>
    <xf numFmtId="164" fontId="0" fillId="0" borderId="4" xfId="0" applyNumberFormat="1" applyBorder="1" applyAlignment="1">
      <alignment horizontal="center" vertical="center"/>
    </xf>
    <xf numFmtId="178" fontId="226" fillId="3" borderId="2" xfId="0" applyNumberFormat="1" applyFont="1" applyFill="1" applyBorder="1" applyAlignment="1">
      <alignment horizontal="center" vertical="center" wrapText="1"/>
    </xf>
    <xf numFmtId="178" fontId="226" fillId="3" borderId="3" xfId="0" applyNumberFormat="1" applyFont="1" applyFill="1" applyBorder="1" applyAlignment="1">
      <alignment horizontal="center" vertical="center" wrapText="1"/>
    </xf>
    <xf numFmtId="178" fontId="226" fillId="3" borderId="4" xfId="0" applyNumberFormat="1" applyFont="1" applyFill="1" applyBorder="1" applyAlignment="1">
      <alignment horizontal="center" vertical="center" wrapText="1"/>
    </xf>
    <xf numFmtId="191" fontId="226" fillId="3" borderId="2" xfId="0" applyNumberFormat="1" applyFont="1" applyFill="1" applyBorder="1" applyAlignment="1">
      <alignment horizontal="center" vertical="center" wrapText="1"/>
    </xf>
    <xf numFmtId="191" fontId="226" fillId="3" borderId="3" xfId="0" applyNumberFormat="1" applyFont="1" applyFill="1" applyBorder="1" applyAlignment="1">
      <alignment horizontal="center" vertical="center" wrapText="1"/>
    </xf>
    <xf numFmtId="191" fontId="226" fillId="3" borderId="4" xfId="0" applyNumberFormat="1" applyFont="1" applyFill="1" applyBorder="1" applyAlignment="1">
      <alignment horizontal="center" vertical="center" wrapText="1"/>
    </xf>
    <xf numFmtId="191" fontId="226" fillId="22" borderId="2" xfId="0" applyNumberFormat="1" applyFont="1" applyFill="1" applyBorder="1" applyAlignment="1">
      <alignment horizontal="center" vertical="center" wrapText="1"/>
    </xf>
    <xf numFmtId="191" fontId="226" fillId="22" borderId="3" xfId="0" applyNumberFormat="1" applyFont="1" applyFill="1" applyBorder="1" applyAlignment="1">
      <alignment horizontal="center" vertical="center" wrapText="1"/>
    </xf>
    <xf numFmtId="191" fontId="226" fillId="22" borderId="4" xfId="0" applyNumberFormat="1" applyFont="1" applyFill="1" applyBorder="1" applyAlignment="1">
      <alignment horizontal="center" vertical="center" wrapText="1"/>
    </xf>
    <xf numFmtId="165" fontId="226" fillId="3" borderId="2" xfId="0" applyNumberFormat="1" applyFont="1" applyFill="1" applyBorder="1" applyAlignment="1">
      <alignment horizontal="center" vertical="center" wrapText="1"/>
    </xf>
    <xf numFmtId="165" fontId="226" fillId="3" borderId="3" xfId="0" applyNumberFormat="1" applyFont="1" applyFill="1" applyBorder="1" applyAlignment="1">
      <alignment horizontal="center" vertical="center" wrapText="1"/>
    </xf>
    <xf numFmtId="2" fontId="226" fillId="3" borderId="2" xfId="0" applyNumberFormat="1" applyFont="1" applyFill="1" applyBorder="1" applyAlignment="1">
      <alignment horizontal="center" vertical="center" wrapText="1"/>
    </xf>
    <xf numFmtId="2" fontId="226" fillId="3" borderId="3" xfId="0" applyNumberFormat="1" applyFont="1" applyFill="1" applyBorder="1" applyAlignment="1">
      <alignment horizontal="center" vertical="center" wrapText="1"/>
    </xf>
    <xf numFmtId="0" fontId="109" fillId="0" borderId="2" xfId="0" applyFont="1" applyBorder="1" applyAlignment="1">
      <alignment horizontal="center" vertical="center"/>
    </xf>
    <xf numFmtId="0" fontId="109" fillId="0" borderId="3" xfId="0" applyFont="1" applyBorder="1" applyAlignment="1">
      <alignment horizontal="center" vertical="center"/>
    </xf>
    <xf numFmtId="0" fontId="109" fillId="0" borderId="4" xfId="0" applyFont="1" applyBorder="1" applyAlignment="1">
      <alignment horizontal="center" vertical="center"/>
    </xf>
    <xf numFmtId="0" fontId="113" fillId="0" borderId="2" xfId="0" applyFont="1" applyBorder="1" applyAlignment="1">
      <alignment horizontal="lef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4" fillId="2" borderId="0" xfId="0" applyFont="1" applyFill="1" applyAlignment="1">
      <alignment horizontal="lef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0" fillId="0" borderId="0" xfId="0" applyAlignment="1">
      <alignment horizontal="right" vertical="center"/>
    </xf>
    <xf numFmtId="0" fontId="0" fillId="0" borderId="0" xfId="0" quotePrefix="1" applyAlignment="1">
      <alignment horizontal="left" vertical="center"/>
    </xf>
    <xf numFmtId="0" fontId="6" fillId="0" borderId="0" xfId="0" applyFont="1" applyAlignment="1">
      <alignment vertical="center" wrapText="1"/>
    </xf>
    <xf numFmtId="0" fontId="24" fillId="0" borderId="0" xfId="0" applyFont="1" applyAlignment="1">
      <alignmen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xf numFmtId="0" fontId="109" fillId="0" borderId="2" xfId="0" quotePrefix="1" applyFont="1" applyBorder="1" applyAlignment="1">
      <alignment horizontal="center" vertical="center"/>
    </xf>
    <xf numFmtId="0" fontId="109" fillId="0" borderId="13" xfId="0" applyFont="1" applyBorder="1" applyAlignment="1">
      <alignment vertical="center" wrapText="1"/>
    </xf>
    <xf numFmtId="0" fontId="109" fillId="0" borderId="14" xfId="0" applyFont="1" applyBorder="1" applyAlignment="1">
      <alignment vertical="center" wrapText="1"/>
    </xf>
    <xf numFmtId="0" fontId="109" fillId="0" borderId="15" xfId="0" applyFont="1" applyBorder="1" applyAlignment="1">
      <alignment vertical="center" wrapText="1"/>
    </xf>
    <xf numFmtId="0" fontId="109" fillId="0" borderId="18" xfId="0" applyFont="1" applyBorder="1" applyAlignment="1">
      <alignment vertical="center" wrapText="1"/>
    </xf>
    <xf numFmtId="0" fontId="109" fillId="0" borderId="11" xfId="0" applyFont="1" applyBorder="1" applyAlignment="1">
      <alignment vertical="center" wrapText="1"/>
    </xf>
    <xf numFmtId="0" fontId="109" fillId="0" borderId="19" xfId="0" applyFont="1" applyBorder="1" applyAlignment="1">
      <alignment vertical="center" wrapText="1"/>
    </xf>
    <xf numFmtId="3" fontId="109" fillId="0" borderId="2" xfId="0" applyNumberFormat="1" applyFont="1" applyBorder="1" applyAlignment="1">
      <alignment horizontal="left" vertical="center"/>
    </xf>
    <xf numFmtId="3" fontId="109" fillId="0" borderId="1" xfId="0" applyNumberFormat="1" applyFont="1" applyBorder="1" applyAlignment="1">
      <alignment horizontal="center" vertical="center"/>
    </xf>
    <xf numFmtId="0" fontId="71" fillId="0" borderId="14" xfId="0" applyFont="1" applyBorder="1" applyAlignment="1">
      <alignment horizontal="left" vertical="top" wrapText="1"/>
    </xf>
    <xf numFmtId="0" fontId="108" fillId="0" borderId="1" xfId="0" applyFont="1" applyBorder="1" applyAlignment="1">
      <alignment horizontal="left" vertical="center" wrapText="1"/>
    </xf>
    <xf numFmtId="0" fontId="108" fillId="0" borderId="1" xfId="0" applyFont="1" applyBorder="1" applyAlignment="1">
      <alignment horizontal="center" vertical="center" wrapText="1"/>
    </xf>
    <xf numFmtId="2" fontId="109" fillId="0" borderId="1" xfId="0" applyNumberFormat="1" applyFont="1" applyBorder="1" applyAlignment="1">
      <alignment horizontal="center" vertical="center"/>
    </xf>
    <xf numFmtId="0" fontId="108" fillId="0" borderId="1" xfId="0" applyFont="1" applyBorder="1" applyAlignment="1">
      <alignment horizontal="left" vertical="center"/>
    </xf>
    <xf numFmtId="0" fontId="109" fillId="0" borderId="1" xfId="0" applyFont="1" applyBorder="1" applyAlignment="1">
      <alignment horizontal="center" vertical="center"/>
    </xf>
    <xf numFmtId="0" fontId="20" fillId="16" borderId="1" xfId="0" applyFont="1" applyFill="1" applyBorder="1" applyAlignment="1" applyProtection="1">
      <alignment horizontal="center"/>
      <protection locked="0"/>
    </xf>
    <xf numFmtId="2" fontId="20" fillId="16" borderId="1" xfId="0" applyNumberFormat="1" applyFont="1" applyFill="1" applyBorder="1" applyAlignment="1" applyProtection="1">
      <alignment horizontal="center"/>
      <protection locked="0"/>
    </xf>
    <xf numFmtId="0" fontId="4" fillId="0" borderId="6" xfId="0" applyFont="1" applyBorder="1" applyAlignment="1">
      <alignment horizontal="center" vertical="center" wrapText="1"/>
    </xf>
    <xf numFmtId="0" fontId="4" fillId="0" borderId="53" xfId="0" applyFont="1" applyBorder="1" applyAlignment="1">
      <alignment horizontal="center" vertical="center"/>
    </xf>
    <xf numFmtId="178" fontId="164" fillId="3" borderId="9" xfId="0" applyNumberFormat="1" applyFont="1" applyFill="1" applyBorder="1" applyAlignment="1">
      <alignment horizontal="center"/>
    </xf>
    <xf numFmtId="191" fontId="164" fillId="3" borderId="9" xfId="0" applyNumberFormat="1" applyFont="1" applyFill="1" applyBorder="1" applyAlignment="1">
      <alignment horizontal="center"/>
    </xf>
    <xf numFmtId="191" fontId="164" fillId="3" borderId="43" xfId="0" applyNumberFormat="1" applyFont="1" applyFill="1" applyBorder="1" applyAlignment="1">
      <alignment horizontal="center"/>
    </xf>
    <xf numFmtId="191" fontId="164" fillId="22" borderId="9" xfId="0" applyNumberFormat="1" applyFont="1" applyFill="1" applyBorder="1" applyAlignment="1">
      <alignment horizontal="center"/>
    </xf>
    <xf numFmtId="191" fontId="164" fillId="22" borderId="10" xfId="0" applyNumberFormat="1" applyFont="1" applyFill="1" applyBorder="1" applyAlignment="1">
      <alignment horizontal="center"/>
    </xf>
    <xf numFmtId="2" fontId="20" fillId="16" borderId="2" xfId="0" applyNumberFormat="1" applyFont="1" applyFill="1" applyBorder="1" applyAlignment="1" applyProtection="1">
      <alignment horizontal="center"/>
      <protection locked="0"/>
    </xf>
    <xf numFmtId="2" fontId="20" fillId="16" borderId="3" xfId="0" applyNumberFormat="1" applyFont="1" applyFill="1" applyBorder="1" applyAlignment="1" applyProtection="1">
      <alignment horizontal="center"/>
      <protection locked="0"/>
    </xf>
    <xf numFmtId="2" fontId="20" fillId="16" borderId="4" xfId="0" applyNumberFormat="1" applyFont="1" applyFill="1" applyBorder="1" applyAlignment="1" applyProtection="1">
      <alignment horizontal="center"/>
      <protection locked="0"/>
    </xf>
    <xf numFmtId="3" fontId="20" fillId="16" borderId="1" xfId="0" applyNumberFormat="1" applyFont="1" applyFill="1" applyBorder="1" applyAlignment="1" applyProtection="1">
      <alignment horizontal="center"/>
      <protection locked="0"/>
    </xf>
    <xf numFmtId="164" fontId="20" fillId="16" borderId="1" xfId="0" applyNumberFormat="1" applyFont="1" applyFill="1" applyBorder="1" applyAlignment="1" applyProtection="1">
      <alignment horizontal="center"/>
      <protection locked="0"/>
    </xf>
    <xf numFmtId="0" fontId="40" fillId="2" borderId="1" xfId="0" applyFont="1" applyFill="1" applyBorder="1" applyAlignment="1">
      <alignment horizontal="left" vertical="center"/>
    </xf>
    <xf numFmtId="0" fontId="65" fillId="0" borderId="0" xfId="0" applyFont="1" applyAlignment="1">
      <alignment vertical="top" wrapText="1"/>
    </xf>
    <xf numFmtId="0" fontId="24" fillId="0" borderId="20" xfId="0" quotePrefix="1" applyFont="1" applyBorder="1" applyAlignment="1">
      <alignment horizontal="center" vertical="center"/>
    </xf>
    <xf numFmtId="178" fontId="24" fillId="3" borderId="1" xfId="0" applyNumberFormat="1" applyFont="1" applyFill="1" applyBorder="1" applyAlignment="1">
      <alignment horizontal="center" vertical="center"/>
    </xf>
    <xf numFmtId="209" fontId="24" fillId="3" borderId="2" xfId="0" applyNumberFormat="1" applyFont="1" applyFill="1" applyBorder="1" applyAlignment="1">
      <alignment horizontal="center" vertical="center"/>
    </xf>
    <xf numFmtId="209" fontId="24" fillId="3" borderId="3" xfId="0" applyNumberFormat="1" applyFont="1" applyFill="1" applyBorder="1" applyAlignment="1">
      <alignment horizontal="center" vertical="center"/>
    </xf>
    <xf numFmtId="209" fontId="24" fillId="3" borderId="4" xfId="0" applyNumberFormat="1" applyFont="1" applyFill="1" applyBorder="1" applyAlignment="1">
      <alignment horizontal="center" vertical="center"/>
    </xf>
    <xf numFmtId="209" fontId="24" fillId="22" borderId="1" xfId="0" applyNumberFormat="1" applyFont="1" applyFill="1" applyBorder="1" applyAlignment="1">
      <alignment horizontal="center" vertical="center"/>
    </xf>
    <xf numFmtId="209" fontId="24" fillId="22" borderId="21" xfId="0" applyNumberFormat="1" applyFont="1" applyFill="1" applyBorder="1" applyAlignment="1">
      <alignment horizontal="center" vertical="center"/>
    </xf>
    <xf numFmtId="0" fontId="65" fillId="0" borderId="20" xfId="0" quotePrefix="1" applyFont="1" applyBorder="1" applyAlignment="1">
      <alignment horizontal="center" vertical="center"/>
    </xf>
    <xf numFmtId="0" fontId="65" fillId="0" borderId="1" xfId="0" applyFont="1" applyBorder="1" applyAlignment="1">
      <alignment horizontal="center" vertical="center"/>
    </xf>
    <xf numFmtId="0" fontId="65" fillId="0" borderId="8" xfId="0" quotePrefix="1" applyFont="1" applyBorder="1" applyAlignment="1">
      <alignment horizontal="center" vertical="center"/>
    </xf>
    <xf numFmtId="0" fontId="65" fillId="0" borderId="9" xfId="0" applyFont="1" applyBorder="1" applyAlignment="1">
      <alignment horizontal="center" vertical="center"/>
    </xf>
    <xf numFmtId="178" fontId="24" fillId="3" borderId="9" xfId="0" applyNumberFormat="1" applyFont="1" applyFill="1" applyBorder="1" applyAlignment="1">
      <alignment horizontal="center" vertical="center"/>
    </xf>
    <xf numFmtId="209" fontId="24" fillId="3" borderId="43" xfId="0" applyNumberFormat="1" applyFont="1" applyFill="1" applyBorder="1" applyAlignment="1">
      <alignment horizontal="center" vertical="center"/>
    </xf>
    <xf numFmtId="209" fontId="24" fillId="3" borderId="44" xfId="0" applyNumberFormat="1" applyFont="1" applyFill="1" applyBorder="1" applyAlignment="1">
      <alignment horizontal="center" vertical="center"/>
    </xf>
    <xf numFmtId="209" fontId="24" fillId="3" borderId="45" xfId="0" applyNumberFormat="1" applyFont="1" applyFill="1" applyBorder="1" applyAlignment="1">
      <alignment horizontal="center" vertical="center"/>
    </xf>
    <xf numFmtId="209" fontId="24" fillId="22" borderId="9" xfId="0" applyNumberFormat="1" applyFont="1" applyFill="1" applyBorder="1" applyAlignment="1">
      <alignment horizontal="center" vertical="center"/>
    </xf>
    <xf numFmtId="209" fontId="24" fillId="22" borderId="10" xfId="0" applyNumberFormat="1" applyFont="1" applyFill="1" applyBorder="1" applyAlignment="1">
      <alignment horizontal="center" vertical="center"/>
    </xf>
    <xf numFmtId="0" fontId="157" fillId="0" borderId="0" xfId="11" applyFont="1" applyAlignment="1">
      <alignment horizontal="left" vertical="center" wrapText="1"/>
    </xf>
    <xf numFmtId="0" fontId="40" fillId="0" borderId="5"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6" xfId="0" applyFont="1" applyBorder="1" applyAlignment="1">
      <alignment horizontal="center" vertical="center"/>
    </xf>
    <xf numFmtId="0" fontId="40" fillId="0" borderId="7" xfId="0" applyFont="1" applyBorder="1" applyAlignment="1">
      <alignment horizontal="center" vertical="center"/>
    </xf>
    <xf numFmtId="16" fontId="24" fillId="0" borderId="20" xfId="0" quotePrefix="1" applyNumberFormat="1" applyFont="1" applyBorder="1" applyAlignment="1">
      <alignment horizontal="center" vertical="center"/>
    </xf>
    <xf numFmtId="209" fontId="24" fillId="3" borderId="1" xfId="0" applyNumberFormat="1" applyFont="1" applyFill="1" applyBorder="1" applyAlignment="1">
      <alignment horizontal="center" vertical="center"/>
    </xf>
    <xf numFmtId="0" fontId="117" fillId="0" borderId="2" xfId="11" applyFont="1" applyBorder="1" applyAlignment="1">
      <alignment horizontal="left" vertical="center"/>
    </xf>
    <xf numFmtId="0" fontId="117" fillId="0" borderId="3" xfId="11" applyFont="1" applyBorder="1" applyAlignment="1">
      <alignment horizontal="left" vertical="center"/>
    </xf>
    <xf numFmtId="0" fontId="117" fillId="0" borderId="4" xfId="11" applyFont="1" applyBorder="1" applyAlignment="1">
      <alignment horizontal="left" vertical="center"/>
    </xf>
    <xf numFmtId="4" fontId="117" fillId="0" borderId="2" xfId="0" applyNumberFormat="1" applyFont="1" applyBorder="1" applyAlignment="1">
      <alignment horizontal="center" vertical="center" wrapText="1"/>
    </xf>
    <xf numFmtId="4" fontId="117" fillId="0" borderId="3" xfId="0" applyNumberFormat="1" applyFont="1" applyBorder="1" applyAlignment="1">
      <alignment horizontal="center" vertical="center" wrapText="1"/>
    </xf>
    <xf numFmtId="4" fontId="117" fillId="0" borderId="4" xfId="0" applyNumberFormat="1" applyFont="1" applyBorder="1" applyAlignment="1">
      <alignment horizontal="center" vertical="center" wrapText="1"/>
    </xf>
    <xf numFmtId="0" fontId="117" fillId="0" borderId="2" xfId="11" applyFont="1" applyBorder="1" applyAlignment="1">
      <alignment horizontal="left" vertical="center" wrapText="1"/>
    </xf>
    <xf numFmtId="0" fontId="117" fillId="0" borderId="3" xfId="11" applyFont="1" applyBorder="1" applyAlignment="1">
      <alignment horizontal="left" vertical="center" wrapText="1"/>
    </xf>
    <xf numFmtId="0" fontId="117" fillId="0" borderId="4" xfId="11" applyFont="1" applyBorder="1" applyAlignment="1">
      <alignment horizontal="left" vertical="center" wrapText="1"/>
    </xf>
    <xf numFmtId="3" fontId="117" fillId="0" borderId="2" xfId="0" applyNumberFormat="1" applyFont="1" applyBorder="1" applyAlignment="1">
      <alignment horizontal="center" vertical="center" wrapText="1"/>
    </xf>
    <xf numFmtId="3" fontId="117" fillId="0" borderId="3" xfId="0" applyNumberFormat="1" applyFont="1" applyBorder="1" applyAlignment="1">
      <alignment horizontal="center" vertical="center" wrapText="1"/>
    </xf>
    <xf numFmtId="3" fontId="117" fillId="0" borderId="4" xfId="0" applyNumberFormat="1" applyFont="1" applyBorder="1" applyAlignment="1">
      <alignment horizontal="center" vertical="center" wrapText="1"/>
    </xf>
    <xf numFmtId="0" fontId="157" fillId="0" borderId="14" xfId="11" applyFont="1" applyBorder="1" applyAlignment="1">
      <alignment horizontal="left" vertical="center" wrapText="1"/>
    </xf>
    <xf numFmtId="0" fontId="24" fillId="0" borderId="14" xfId="0" applyFont="1" applyBorder="1" applyAlignment="1">
      <alignment vertical="center" wrapText="1"/>
    </xf>
    <xf numFmtId="2" fontId="117" fillId="0" borderId="2" xfId="0" applyNumberFormat="1" applyFont="1" applyBorder="1" applyAlignment="1">
      <alignment horizontal="center" vertical="center" wrapText="1"/>
    </xf>
    <xf numFmtId="2" fontId="117" fillId="0" borderId="3" xfId="0" applyNumberFormat="1" applyFont="1" applyBorder="1" applyAlignment="1">
      <alignment horizontal="center" vertical="center" wrapText="1"/>
    </xf>
    <xf numFmtId="2" fontId="117" fillId="0" borderId="4" xfId="0" applyNumberFormat="1" applyFont="1" applyBorder="1" applyAlignment="1">
      <alignment horizontal="center" vertical="center" wrapText="1"/>
    </xf>
    <xf numFmtId="9" fontId="117" fillId="0" borderId="2" xfId="0" applyNumberFormat="1" applyFont="1" applyBorder="1" applyAlignment="1">
      <alignment horizontal="center" vertical="center" wrapText="1"/>
    </xf>
    <xf numFmtId="9" fontId="117" fillId="0" borderId="3" xfId="0" applyNumberFormat="1" applyFont="1" applyBorder="1" applyAlignment="1">
      <alignment horizontal="center" vertical="center" wrapText="1"/>
    </xf>
    <xf numFmtId="9" fontId="117" fillId="0" borderId="4" xfId="0" applyNumberFormat="1" applyFont="1" applyBorder="1" applyAlignment="1">
      <alignment horizontal="center" vertical="center" wrapText="1"/>
    </xf>
    <xf numFmtId="0" fontId="40" fillId="20" borderId="2" xfId="0" applyFont="1" applyFill="1" applyBorder="1" applyAlignment="1">
      <alignment horizontal="center" vertical="center"/>
    </xf>
    <xf numFmtId="0" fontId="40" fillId="20" borderId="3" xfId="0" applyFont="1" applyFill="1" applyBorder="1" applyAlignment="1">
      <alignment horizontal="center" vertical="center"/>
    </xf>
    <xf numFmtId="0" fontId="40" fillId="20" borderId="4" xfId="0" applyFont="1" applyFill="1" applyBorder="1" applyAlignment="1">
      <alignment horizontal="center" vertical="center"/>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2" fontId="117" fillId="0" borderId="1" xfId="0" applyNumberFormat="1" applyFont="1" applyBorder="1" applyAlignment="1">
      <alignment horizontal="center" vertical="center" wrapText="1"/>
    </xf>
    <xf numFmtId="4" fontId="117" fillId="0" borderId="1" xfId="0" applyNumberFormat="1" applyFont="1" applyBorder="1" applyAlignment="1">
      <alignment horizontal="center" vertical="center" wrapText="1"/>
    </xf>
    <xf numFmtId="0" fontId="117" fillId="0" borderId="1" xfId="0" applyFont="1" applyBorder="1" applyAlignment="1">
      <alignment horizontal="center" vertical="center" wrapText="1"/>
    </xf>
    <xf numFmtId="3" fontId="117" fillId="0" borderId="1" xfId="0" applyNumberFormat="1" applyFont="1" applyBorder="1" applyAlignment="1">
      <alignment horizontal="center" vertical="center" wrapText="1"/>
    </xf>
    <xf numFmtId="9" fontId="117" fillId="0" borderId="1" xfId="0" applyNumberFormat="1" applyFont="1" applyBorder="1" applyAlignment="1">
      <alignment horizontal="center" vertical="center" wrapText="1"/>
    </xf>
    <xf numFmtId="0" fontId="119" fillId="0" borderId="0" xfId="0" applyFont="1" applyAlignment="1">
      <alignment horizontal="center" vertical="center" wrapText="1"/>
    </xf>
    <xf numFmtId="0" fontId="119" fillId="0" borderId="17" xfId="0" applyFont="1" applyBorder="1" applyAlignment="1">
      <alignment horizontal="center" vertical="center" wrapText="1"/>
    </xf>
    <xf numFmtId="0" fontId="119" fillId="0" borderId="22" xfId="0" applyFont="1" applyBorder="1" applyAlignment="1">
      <alignment horizontal="center" vertical="center" wrapText="1"/>
    </xf>
    <xf numFmtId="0" fontId="117" fillId="0" borderId="2" xfId="0" applyFont="1" applyBorder="1" applyAlignment="1">
      <alignment horizontal="left" vertical="center"/>
    </xf>
    <xf numFmtId="0" fontId="117" fillId="0" borderId="3" xfId="0" applyFont="1" applyBorder="1" applyAlignment="1">
      <alignment horizontal="left" vertical="center"/>
    </xf>
    <xf numFmtId="0" fontId="117" fillId="0" borderId="4" xfId="0" applyFont="1" applyBorder="1" applyAlignment="1">
      <alignment horizontal="left" vertical="center"/>
    </xf>
    <xf numFmtId="0" fontId="117" fillId="0" borderId="2" xfId="0" applyFont="1" applyBorder="1" applyAlignment="1">
      <alignment horizontal="center" vertical="center"/>
    </xf>
    <xf numFmtId="0" fontId="117" fillId="0" borderId="3" xfId="0" applyFont="1" applyBorder="1" applyAlignment="1">
      <alignment horizontal="center" vertical="center"/>
    </xf>
    <xf numFmtId="0" fontId="117" fillId="0" borderId="4" xfId="0" applyFont="1" applyBorder="1" applyAlignment="1">
      <alignment horizontal="center" vertical="center"/>
    </xf>
    <xf numFmtId="0" fontId="157" fillId="0" borderId="0" xfId="0" applyFont="1" applyAlignment="1">
      <alignment horizontal="left" vertical="top" wrapText="1"/>
    </xf>
    <xf numFmtId="0" fontId="40" fillId="0" borderId="0" xfId="0" applyFont="1" applyAlignment="1">
      <alignment horizontal="left" vertical="center" wrapText="1"/>
    </xf>
    <xf numFmtId="0" fontId="24" fillId="20" borderId="3" xfId="0" applyFont="1" applyFill="1" applyBorder="1" applyAlignment="1">
      <alignment horizontal="center" vertical="center"/>
    </xf>
    <xf numFmtId="0" fontId="24" fillId="20" borderId="4" xfId="0" applyFont="1" applyFill="1" applyBorder="1" applyAlignment="1">
      <alignment horizontal="center" vertical="center"/>
    </xf>
    <xf numFmtId="3" fontId="117" fillId="0" borderId="2" xfId="0" applyNumberFormat="1" applyFont="1" applyBorder="1" applyAlignment="1">
      <alignment horizontal="center" vertical="center"/>
    </xf>
    <xf numFmtId="3" fontId="117" fillId="0" borderId="3" xfId="0" applyNumberFormat="1" applyFont="1" applyBorder="1" applyAlignment="1">
      <alignment horizontal="center" vertical="center"/>
    </xf>
    <xf numFmtId="3" fontId="117" fillId="0" borderId="4" xfId="0" applyNumberFormat="1" applyFont="1" applyBorder="1" applyAlignment="1">
      <alignment horizontal="center" vertical="center"/>
    </xf>
    <xf numFmtId="9" fontId="117" fillId="0" borderId="2" xfId="0" applyNumberFormat="1" applyFont="1" applyBorder="1" applyAlignment="1">
      <alignment horizontal="center" vertical="center"/>
    </xf>
    <xf numFmtId="9" fontId="117" fillId="0" borderId="3" xfId="0" applyNumberFormat="1" applyFont="1" applyBorder="1" applyAlignment="1">
      <alignment horizontal="center" vertical="center"/>
    </xf>
    <xf numFmtId="9" fontId="117" fillId="0" borderId="4" xfId="0" applyNumberFormat="1" applyFont="1" applyBorder="1" applyAlignment="1">
      <alignment horizontal="center" vertical="center"/>
    </xf>
    <xf numFmtId="0" fontId="117" fillId="0" borderId="2" xfId="0" quotePrefix="1" applyFont="1" applyBorder="1" applyAlignment="1">
      <alignment horizontal="center" vertical="center"/>
    </xf>
    <xf numFmtId="0" fontId="119" fillId="0" borderId="2" xfId="0" applyFont="1" applyBorder="1" applyAlignment="1">
      <alignment horizontal="center" vertical="center"/>
    </xf>
    <xf numFmtId="0" fontId="119" fillId="0" borderId="3" xfId="0" applyFont="1" applyBorder="1" applyAlignment="1">
      <alignment horizontal="center" vertical="center"/>
    </xf>
    <xf numFmtId="0" fontId="119" fillId="0" borderId="4" xfId="0" applyFont="1" applyBorder="1" applyAlignment="1">
      <alignment horizontal="center" vertical="center"/>
    </xf>
    <xf numFmtId="1" fontId="117" fillId="0" borderId="2" xfId="0" applyNumberFormat="1" applyFont="1" applyBorder="1" applyAlignment="1">
      <alignment horizontal="center" vertical="center"/>
    </xf>
    <xf numFmtId="1" fontId="117" fillId="0" borderId="3" xfId="0" applyNumberFormat="1" applyFont="1" applyBorder="1" applyAlignment="1">
      <alignment horizontal="center" vertical="center"/>
    </xf>
    <xf numFmtId="1" fontId="117" fillId="0" borderId="4" xfId="0" applyNumberFormat="1" applyFont="1" applyBorder="1" applyAlignment="1">
      <alignment horizontal="center" vertical="center"/>
    </xf>
    <xf numFmtId="0" fontId="24" fillId="0" borderId="0" xfId="0" applyFont="1" applyAlignment="1">
      <alignment vertical="center"/>
    </xf>
    <xf numFmtId="0" fontId="24" fillId="0" borderId="0" xfId="0" applyFont="1" applyAlignment="1">
      <alignment horizontal="left" vertical="center" wrapText="1"/>
    </xf>
    <xf numFmtId="0" fontId="24" fillId="0" borderId="0" xfId="11" applyFont="1" applyAlignment="1">
      <alignment vertical="center"/>
    </xf>
    <xf numFmtId="4" fontId="117" fillId="0" borderId="2" xfId="0" applyNumberFormat="1" applyFont="1" applyBorder="1" applyAlignment="1">
      <alignment horizontal="center" vertical="center"/>
    </xf>
    <xf numFmtId="4" fontId="117" fillId="0" borderId="3" xfId="0" applyNumberFormat="1" applyFont="1" applyBorder="1" applyAlignment="1">
      <alignment horizontal="center" vertical="center"/>
    </xf>
    <xf numFmtId="4" fontId="117" fillId="0" borderId="4" xfId="0" applyNumberFormat="1" applyFont="1" applyBorder="1" applyAlignment="1">
      <alignment horizontal="center" vertical="center"/>
    </xf>
    <xf numFmtId="0" fontId="24" fillId="0" borderId="3" xfId="0" applyFont="1" applyBorder="1" applyAlignment="1">
      <alignment vertical="center" wrapText="1"/>
    </xf>
    <xf numFmtId="0" fontId="24" fillId="0" borderId="4" xfId="0" applyFont="1" applyBorder="1" applyAlignment="1">
      <alignment vertical="center" wrapText="1"/>
    </xf>
    <xf numFmtId="2" fontId="117" fillId="0" borderId="2" xfId="0" applyNumberFormat="1" applyFont="1" applyBorder="1" applyAlignment="1">
      <alignment horizontal="center" vertical="center"/>
    </xf>
    <xf numFmtId="2" fontId="117" fillId="0" borderId="3" xfId="0" applyNumberFormat="1" applyFont="1" applyBorder="1" applyAlignment="1">
      <alignment horizontal="center" vertical="center"/>
    </xf>
    <xf numFmtId="2" fontId="117" fillId="0" borderId="4" xfId="0" applyNumberFormat="1" applyFont="1" applyBorder="1" applyAlignment="1">
      <alignment horizontal="center" vertical="center"/>
    </xf>
    <xf numFmtId="0" fontId="117" fillId="0" borderId="1" xfId="11" applyFont="1" applyBorder="1" applyAlignment="1">
      <alignment horizontal="left" vertical="center" wrapText="1"/>
    </xf>
    <xf numFmtId="0" fontId="117" fillId="0" borderId="1" xfId="0" applyFont="1" applyBorder="1" applyAlignment="1">
      <alignment vertical="center" wrapText="1"/>
    </xf>
    <xf numFmtId="164" fontId="117" fillId="0" borderId="2" xfId="0" applyNumberFormat="1" applyFont="1" applyBorder="1" applyAlignment="1">
      <alignment horizontal="center" vertical="center"/>
    </xf>
    <xf numFmtId="164" fontId="117" fillId="0" borderId="3" xfId="0" applyNumberFormat="1" applyFont="1" applyBorder="1" applyAlignment="1">
      <alignment horizontal="center" vertical="center"/>
    </xf>
    <xf numFmtId="164" fontId="24" fillId="0" borderId="3" xfId="0" applyNumberFormat="1" applyFont="1" applyBorder="1" applyAlignment="1">
      <alignment horizontal="center" vertical="center"/>
    </xf>
    <xf numFmtId="164" fontId="24" fillId="0" borderId="4" xfId="0" applyNumberFormat="1" applyFont="1" applyBorder="1" applyAlignment="1">
      <alignment horizontal="center" vertical="center"/>
    </xf>
    <xf numFmtId="0" fontId="40" fillId="0" borderId="14"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9" xfId="0" applyFont="1" applyBorder="1" applyAlignment="1">
      <alignment horizontal="center" vertical="center" wrapText="1"/>
    </xf>
    <xf numFmtId="9" fontId="117" fillId="0" borderId="2" xfId="1" applyFont="1" applyBorder="1" applyAlignment="1">
      <alignment horizontal="center" vertical="center"/>
    </xf>
    <xf numFmtId="9" fontId="117" fillId="0" borderId="3" xfId="1" applyFont="1" applyBorder="1" applyAlignment="1">
      <alignment horizontal="center" vertical="center"/>
    </xf>
    <xf numFmtId="9" fontId="117" fillId="0" borderId="4" xfId="1" applyFont="1" applyBorder="1" applyAlignment="1">
      <alignment horizontal="center" vertical="center"/>
    </xf>
    <xf numFmtId="0" fontId="117" fillId="0" borderId="1" xfId="11" applyFont="1" applyBorder="1" applyAlignment="1">
      <alignment horizontal="left" vertical="center"/>
    </xf>
    <xf numFmtId="0" fontId="117" fillId="0" borderId="1" xfId="0" applyFont="1" applyBorder="1" applyAlignment="1">
      <alignment vertical="center"/>
    </xf>
    <xf numFmtId="0" fontId="117" fillId="0" borderId="2" xfId="0" applyFont="1" applyBorder="1" applyAlignment="1">
      <alignment horizontal="left" vertical="top" wrapText="1"/>
    </xf>
    <xf numFmtId="0" fontId="117" fillId="0" borderId="3" xfId="0" applyFont="1" applyBorder="1" applyAlignment="1">
      <alignment horizontal="left" vertical="top" wrapText="1"/>
    </xf>
    <xf numFmtId="0" fontId="117" fillId="0" borderId="4" xfId="0" applyFont="1" applyBorder="1" applyAlignment="1">
      <alignment horizontal="left" vertical="top" wrapText="1"/>
    </xf>
    <xf numFmtId="3" fontId="109" fillId="0" borderId="2" xfId="0" applyNumberFormat="1" applyFont="1" applyBorder="1" applyAlignment="1">
      <alignment horizontal="center" vertical="center"/>
    </xf>
    <xf numFmtId="0" fontId="0" fillId="0" borderId="0" xfId="0" applyAlignment="1">
      <alignment wrapText="1"/>
    </xf>
    <xf numFmtId="0" fontId="119" fillId="0" borderId="1" xfId="0" applyFont="1" applyBorder="1" applyAlignment="1">
      <alignment horizontal="center" vertical="center"/>
    </xf>
    <xf numFmtId="0" fontId="157" fillId="0" borderId="14" xfId="0" applyFont="1" applyBorder="1" applyAlignment="1">
      <alignment vertical="top" wrapText="1"/>
    </xf>
    <xf numFmtId="0" fontId="4" fillId="0" borderId="7" xfId="0" applyFont="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178" fontId="164" fillId="3" borderId="9" xfId="2" applyNumberFormat="1" applyFont="1" applyFill="1" applyBorder="1" applyAlignment="1">
      <alignment horizontal="center" vertical="center"/>
    </xf>
    <xf numFmtId="209" fontId="164" fillId="3" borderId="9" xfId="0" applyNumberFormat="1" applyFont="1" applyFill="1" applyBorder="1" applyAlignment="1">
      <alignment horizontal="center" vertical="center"/>
    </xf>
    <xf numFmtId="209" fontId="164" fillId="22" borderId="9" xfId="0" applyNumberFormat="1" applyFont="1" applyFill="1" applyBorder="1" applyAlignment="1">
      <alignment horizontal="center" vertical="center"/>
    </xf>
    <xf numFmtId="209" fontId="164" fillId="22" borderId="10" xfId="0" applyNumberFormat="1" applyFont="1" applyFill="1" applyBorder="1" applyAlignment="1">
      <alignment horizontal="center" vertical="center"/>
    </xf>
    <xf numFmtId="178" fontId="0" fillId="3" borderId="9" xfId="0" applyNumberFormat="1" applyFill="1" applyBorder="1" applyAlignment="1">
      <alignment horizontal="center" vertical="center"/>
    </xf>
    <xf numFmtId="179" fontId="0" fillId="3" borderId="9" xfId="0" applyNumberFormat="1" applyFill="1" applyBorder="1" applyAlignment="1">
      <alignment horizontal="center" vertical="center"/>
    </xf>
    <xf numFmtId="179" fontId="0" fillId="3" borderId="10" xfId="0" applyNumberFormat="1" applyFill="1" applyBorder="1" applyAlignment="1">
      <alignment horizontal="center" vertical="center"/>
    </xf>
    <xf numFmtId="180" fontId="0" fillId="0" borderId="1" xfId="0" applyNumberFormat="1" applyBorder="1" applyAlignment="1">
      <alignment horizontal="right" vertical="center"/>
    </xf>
    <xf numFmtId="178" fontId="0" fillId="0" borderId="1" xfId="0" applyNumberFormat="1" applyBorder="1" applyAlignment="1">
      <alignment horizontal="right" vertical="center"/>
    </xf>
    <xf numFmtId="2" fontId="0" fillId="0" borderId="1" xfId="0" applyNumberFormat="1" applyBorder="1" applyAlignment="1">
      <alignment horizontal="center" vertical="center"/>
    </xf>
    <xf numFmtId="9" fontId="0" fillId="0" borderId="1" xfId="1" applyFont="1" applyBorder="1" applyAlignment="1">
      <alignment horizontal="center" vertical="center"/>
    </xf>
    <xf numFmtId="0" fontId="108" fillId="0" borderId="4" xfId="0" applyFont="1" applyBorder="1" applyAlignment="1">
      <alignment horizontal="center" vertical="center"/>
    </xf>
    <xf numFmtId="0" fontId="5" fillId="0" borderId="0" xfId="0" applyFont="1" applyAlignment="1">
      <alignment horizontal="right" vertical="center"/>
    </xf>
    <xf numFmtId="0" fontId="0" fillId="0" borderId="0" xfId="0" applyAlignment="1">
      <alignment horizontal="left" vertical="center"/>
    </xf>
    <xf numFmtId="0" fontId="0" fillId="0" borderId="1" xfId="0" applyBorder="1" applyAlignment="1">
      <alignment vertical="center"/>
    </xf>
    <xf numFmtId="181" fontId="0" fillId="3" borderId="9" xfId="0" applyNumberFormat="1" applyFill="1" applyBorder="1" applyAlignment="1">
      <alignment horizontal="center" vertical="center"/>
    </xf>
    <xf numFmtId="182" fontId="0" fillId="3" borderId="9" xfId="0" applyNumberFormat="1" applyFill="1" applyBorder="1" applyAlignment="1">
      <alignment horizontal="center" vertical="center"/>
    </xf>
    <xf numFmtId="182" fontId="0" fillId="3" borderId="10" xfId="0" applyNumberFormat="1" applyFill="1" applyBorder="1" applyAlignment="1">
      <alignment horizontal="center" vertical="center"/>
    </xf>
    <xf numFmtId="0" fontId="119" fillId="0" borderId="1" xfId="10" applyFont="1" applyBorder="1" applyAlignment="1">
      <alignment horizontal="left" vertical="center"/>
    </xf>
    <xf numFmtId="0" fontId="40" fillId="0" borderId="1" xfId="0" applyFont="1" applyBorder="1" applyAlignment="1">
      <alignment horizontal="left" vertical="center"/>
    </xf>
    <xf numFmtId="4" fontId="24" fillId="0" borderId="2" xfId="0" applyNumberFormat="1" applyFont="1" applyBorder="1" applyAlignment="1">
      <alignment horizontal="center" vertical="center"/>
    </xf>
    <xf numFmtId="4" fontId="24" fillId="0" borderId="3" xfId="0" applyNumberFormat="1" applyFont="1" applyBorder="1" applyAlignment="1">
      <alignment horizontal="center" vertical="center"/>
    </xf>
    <xf numFmtId="4" fontId="24" fillId="0" borderId="4" xfId="0" applyNumberFormat="1" applyFont="1"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24" fillId="0" borderId="1" xfId="0" applyFont="1" applyBorder="1" applyAlignment="1" applyProtection="1">
      <alignment horizontal="center" vertical="center"/>
      <protection locked="0"/>
    </xf>
    <xf numFmtId="0" fontId="24" fillId="0" borderId="1" xfId="9" applyNumberFormat="1" applyFont="1" applyBorder="1" applyAlignment="1" applyProtection="1">
      <alignment horizontal="center" vertical="center"/>
      <protection locked="0"/>
    </xf>
    <xf numFmtId="0" fontId="24" fillId="0" borderId="1" xfId="0" applyFont="1" applyBorder="1" applyAlignment="1">
      <alignment horizontal="left" vertical="center" wrapText="1"/>
    </xf>
    <xf numFmtId="0" fontId="24" fillId="0" borderId="1" xfId="12" applyFont="1" applyBorder="1" applyAlignment="1" applyProtection="1">
      <alignment horizontal="center" vertical="center"/>
      <protection locked="0"/>
    </xf>
    <xf numFmtId="3" fontId="24" fillId="0" borderId="1" xfId="0" applyNumberFormat="1" applyFont="1" applyBorder="1" applyAlignment="1">
      <alignment horizontal="center" vertical="center"/>
    </xf>
    <xf numFmtId="9" fontId="24" fillId="0" borderId="1" xfId="10" applyNumberFormat="1" applyFont="1" applyBorder="1" applyAlignment="1" applyProtection="1">
      <alignment horizontal="center" vertical="center"/>
      <protection locked="0"/>
    </xf>
    <xf numFmtId="9" fontId="24" fillId="0" borderId="1" xfId="10" applyNumberFormat="1" applyFont="1" applyBorder="1" applyAlignment="1">
      <alignment horizontal="center" vertical="center"/>
    </xf>
    <xf numFmtId="3" fontId="24" fillId="0" borderId="1" xfId="0" applyNumberFormat="1" applyFont="1" applyBorder="1" applyAlignment="1">
      <alignment horizontal="left" vertical="center"/>
    </xf>
    <xf numFmtId="0" fontId="24" fillId="0" borderId="1" xfId="10" applyFont="1" applyBorder="1" applyAlignment="1" applyProtection="1">
      <alignment horizontal="center" vertical="center" wrapText="1"/>
      <protection locked="0"/>
    </xf>
    <xf numFmtId="9" fontId="109" fillId="0" borderId="2" xfId="1" applyFont="1" applyBorder="1" applyAlignment="1">
      <alignment horizontal="center" vertical="center"/>
    </xf>
    <xf numFmtId="9" fontId="109" fillId="0" borderId="3" xfId="1" applyFont="1" applyBorder="1" applyAlignment="1">
      <alignment horizontal="center" vertical="center"/>
    </xf>
    <xf numFmtId="9" fontId="109" fillId="0" borderId="4" xfId="1" applyFont="1" applyBorder="1" applyAlignment="1">
      <alignment horizontal="center" vertical="center"/>
    </xf>
    <xf numFmtId="3" fontId="24" fillId="0" borderId="0" xfId="12" applyNumberFormat="1" applyFont="1" applyAlignment="1">
      <alignment horizontal="left" vertical="top" wrapText="1"/>
    </xf>
    <xf numFmtId="0" fontId="24" fillId="0" borderId="0" xfId="0" applyFont="1" applyAlignment="1">
      <alignment horizontal="left" vertical="top"/>
    </xf>
    <xf numFmtId="0" fontId="24" fillId="0" borderId="0" xfId="0" applyFont="1" applyAlignment="1">
      <alignment horizontal="left" wrapText="1"/>
    </xf>
    <xf numFmtId="0" fontId="24" fillId="0" borderId="0" xfId="0" applyFont="1" applyAlignment="1">
      <alignment horizontal="left"/>
    </xf>
    <xf numFmtId="0" fontId="0" fillId="0" borderId="20" xfId="0" applyBorder="1" applyAlignment="1">
      <alignment horizontal="center" vertical="center"/>
    </xf>
    <xf numFmtId="178" fontId="0" fillId="3" borderId="1" xfId="0" applyNumberFormat="1" applyFill="1" applyBorder="1" applyAlignment="1">
      <alignment horizontal="center" vertical="center"/>
    </xf>
    <xf numFmtId="179" fontId="0" fillId="3" borderId="1" xfId="0" applyNumberFormat="1" applyFill="1" applyBorder="1" applyAlignment="1">
      <alignment horizontal="center" vertical="center"/>
    </xf>
    <xf numFmtId="179" fontId="0" fillId="3" borderId="21" xfId="0" applyNumberFormat="1" applyFill="1" applyBorder="1" applyAlignment="1">
      <alignment horizontal="center" vertical="center"/>
    </xf>
    <xf numFmtId="178" fontId="0" fillId="0" borderId="1" xfId="0" applyNumberFormat="1" applyBorder="1" applyAlignment="1">
      <alignment vertical="center"/>
    </xf>
    <xf numFmtId="180" fontId="0" fillId="0" borderId="1" xfId="0" applyNumberFormat="1" applyBorder="1" applyAlignment="1">
      <alignmen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172" fontId="0" fillId="0" borderId="1" xfId="0" applyNumberFormat="1" applyBorder="1" applyAlignment="1">
      <alignment horizontal="center" vertical="center"/>
    </xf>
    <xf numFmtId="174" fontId="0" fillId="0" borderId="1" xfId="0" applyNumberFormat="1" applyBorder="1" applyAlignment="1">
      <alignment horizontal="center" vertical="center"/>
    </xf>
    <xf numFmtId="178" fontId="0" fillId="0" borderId="1" xfId="0" applyNumberFormat="1" applyBorder="1" applyAlignment="1">
      <alignment horizontal="center" vertical="center"/>
    </xf>
    <xf numFmtId="179" fontId="0" fillId="0" borderId="1" xfId="0" applyNumberFormat="1" applyBorder="1" applyAlignment="1">
      <alignment horizontal="center" vertical="center"/>
    </xf>
    <xf numFmtId="0" fontId="24" fillId="0" borderId="20" xfId="0" applyFont="1" applyBorder="1" applyAlignment="1">
      <alignment horizontal="center" vertical="center" wrapText="1"/>
    </xf>
    <xf numFmtId="178" fontId="24" fillId="3" borderId="2" xfId="0" applyNumberFormat="1" applyFont="1" applyFill="1" applyBorder="1" applyAlignment="1">
      <alignment horizontal="center" vertical="center"/>
    </xf>
    <xf numFmtId="178" fontId="24" fillId="3" borderId="3" xfId="0" applyNumberFormat="1" applyFont="1" applyFill="1" applyBorder="1" applyAlignment="1">
      <alignment horizontal="center" vertical="center"/>
    </xf>
    <xf numFmtId="178" fontId="24" fillId="3" borderId="4" xfId="0" applyNumberFormat="1" applyFont="1" applyFill="1" applyBorder="1" applyAlignment="1">
      <alignment horizontal="center" vertical="center"/>
    </xf>
    <xf numFmtId="209" fontId="24" fillId="22" borderId="2" xfId="0" applyNumberFormat="1" applyFont="1" applyFill="1" applyBorder="1" applyAlignment="1">
      <alignment horizontal="center" vertical="center"/>
    </xf>
    <xf numFmtId="209" fontId="24" fillId="22" borderId="3" xfId="0" applyNumberFormat="1" applyFont="1" applyFill="1" applyBorder="1" applyAlignment="1">
      <alignment horizontal="center" vertical="center"/>
    </xf>
    <xf numFmtId="209" fontId="24" fillId="22" borderId="39" xfId="0" applyNumberFormat="1" applyFont="1" applyFill="1" applyBorder="1" applyAlignment="1">
      <alignment horizontal="center" vertical="center"/>
    </xf>
    <xf numFmtId="0" fontId="24" fillId="0" borderId="8" xfId="0" applyFont="1" applyBorder="1" applyAlignment="1">
      <alignment horizontal="center" vertical="center" wrapText="1"/>
    </xf>
    <xf numFmtId="0" fontId="24" fillId="0" borderId="9" xfId="0" applyFont="1" applyBorder="1" applyAlignment="1">
      <alignment horizontal="center" vertical="center"/>
    </xf>
    <xf numFmtId="178" fontId="24" fillId="3" borderId="43" xfId="0" applyNumberFormat="1" applyFont="1" applyFill="1" applyBorder="1" applyAlignment="1">
      <alignment horizontal="center" vertical="center"/>
    </xf>
    <xf numFmtId="178" fontId="24" fillId="3" borderId="44" xfId="0" applyNumberFormat="1" applyFont="1" applyFill="1" applyBorder="1" applyAlignment="1">
      <alignment horizontal="center" vertical="center"/>
    </xf>
    <xf numFmtId="178" fontId="24" fillId="3" borderId="45" xfId="0" applyNumberFormat="1" applyFont="1" applyFill="1" applyBorder="1" applyAlignment="1">
      <alignment horizontal="center" vertical="center"/>
    </xf>
    <xf numFmtId="209" fontId="24" fillId="22" borderId="43" xfId="0" applyNumberFormat="1" applyFont="1" applyFill="1" applyBorder="1" applyAlignment="1">
      <alignment horizontal="center" vertical="center"/>
    </xf>
    <xf numFmtId="209" fontId="24" fillId="22" borderId="44" xfId="0" applyNumberFormat="1" applyFont="1" applyFill="1" applyBorder="1" applyAlignment="1">
      <alignment horizontal="center" vertical="center"/>
    </xf>
    <xf numFmtId="209" fontId="24" fillId="22" borderId="54" xfId="0" applyNumberFormat="1" applyFont="1" applyFill="1" applyBorder="1" applyAlignment="1">
      <alignment horizontal="center" vertical="center"/>
    </xf>
    <xf numFmtId="0" fontId="40" fillId="0" borderId="5" xfId="0" applyFont="1" applyBorder="1" applyAlignment="1">
      <alignment horizontal="center" vertical="center"/>
    </xf>
    <xf numFmtId="0" fontId="24" fillId="0" borderId="38" xfId="0" applyFont="1" applyBorder="1" applyAlignment="1">
      <alignment horizontal="center" vertical="center" wrapText="1"/>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2" xfId="0" applyFont="1" applyBorder="1" applyAlignment="1">
      <alignment horizontal="center" vertical="center"/>
    </xf>
    <xf numFmtId="2" fontId="24" fillId="0" borderId="1" xfId="0" applyNumberFormat="1" applyFont="1" applyBorder="1" applyAlignment="1">
      <alignment horizontal="center" vertical="center"/>
    </xf>
    <xf numFmtId="2" fontId="24" fillId="0" borderId="2" xfId="0" applyNumberFormat="1" applyFont="1" applyBorder="1" applyAlignment="1">
      <alignment horizontal="center" vertical="center"/>
    </xf>
    <xf numFmtId="2" fontId="24" fillId="0" borderId="3" xfId="0" applyNumberFormat="1" applyFont="1" applyBorder="1" applyAlignment="1">
      <alignment horizontal="center" vertical="center"/>
    </xf>
    <xf numFmtId="2" fontId="24" fillId="0" borderId="4" xfId="0" applyNumberFormat="1" applyFont="1" applyBorder="1" applyAlignment="1">
      <alignment horizontal="center" vertical="center"/>
    </xf>
    <xf numFmtId="0" fontId="40" fillId="0" borderId="13" xfId="0" applyFont="1" applyBorder="1" applyAlignment="1">
      <alignment horizontal="center" vertical="center" wrapText="1"/>
    </xf>
    <xf numFmtId="0" fontId="24" fillId="0" borderId="18" xfId="0" applyFont="1" applyBorder="1" applyAlignment="1">
      <alignment horizontal="center" vertical="center" wrapText="1"/>
    </xf>
    <xf numFmtId="0" fontId="40" fillId="0" borderId="19" xfId="0" applyFont="1" applyBorder="1" applyAlignment="1">
      <alignment vertical="center" wrapText="1"/>
    </xf>
    <xf numFmtId="0" fontId="24" fillId="0" borderId="22" xfId="0" applyFont="1" applyBorder="1" applyAlignment="1">
      <alignment vertical="center" wrapText="1"/>
    </xf>
    <xf numFmtId="0" fontId="24" fillId="0" borderId="18" xfId="0" applyFont="1" applyBorder="1" applyAlignment="1">
      <alignment vertical="center" wrapText="1"/>
    </xf>
    <xf numFmtId="0" fontId="157" fillId="0" borderId="1" xfId="0" applyFont="1" applyBorder="1" applyAlignment="1">
      <alignment horizontal="center" vertical="center" wrapText="1"/>
    </xf>
    <xf numFmtId="0" fontId="142" fillId="0" borderId="1" xfId="0" applyFont="1" applyBorder="1" applyAlignment="1">
      <alignment horizontal="center" vertical="center" wrapText="1"/>
    </xf>
    <xf numFmtId="0" fontId="157" fillId="0" borderId="1" xfId="0" applyFont="1" applyBorder="1" applyAlignment="1">
      <alignment horizontal="center" vertical="center"/>
    </xf>
    <xf numFmtId="2" fontId="142" fillId="0" borderId="1" xfId="0" applyNumberFormat="1" applyFont="1" applyBorder="1" applyAlignment="1">
      <alignment horizontal="center" vertical="center" wrapText="1"/>
    </xf>
    <xf numFmtId="0" fontId="157" fillId="0" borderId="1" xfId="0" applyFont="1" applyBorder="1" applyAlignment="1">
      <alignment vertical="center" wrapText="1"/>
    </xf>
    <xf numFmtId="0" fontId="157" fillId="0" borderId="1" xfId="0" applyFont="1" applyBorder="1" applyAlignment="1">
      <alignment vertical="center"/>
    </xf>
    <xf numFmtId="2" fontId="157" fillId="0" borderId="1" xfId="0" applyNumberFormat="1" applyFont="1" applyBorder="1" applyAlignment="1">
      <alignment horizontal="center" vertical="center" wrapText="1"/>
    </xf>
    <xf numFmtId="0" fontId="237" fillId="0" borderId="1" xfId="0" applyFont="1" applyBorder="1" applyAlignment="1">
      <alignment horizontal="center" vertical="center" wrapText="1"/>
    </xf>
    <xf numFmtId="0" fontId="63" fillId="0" borderId="1" xfId="0" applyFont="1" applyBorder="1" applyAlignment="1">
      <alignment vertical="center"/>
    </xf>
    <xf numFmtId="0" fontId="63" fillId="0" borderId="1" xfId="0" applyFont="1" applyBorder="1" applyAlignment="1">
      <alignment horizontal="center" vertical="center"/>
    </xf>
    <xf numFmtId="0" fontId="63" fillId="0" borderId="1" xfId="0" applyFont="1" applyBorder="1" applyAlignment="1">
      <alignment horizontal="center" vertical="center" wrapText="1"/>
    </xf>
    <xf numFmtId="2" fontId="63" fillId="0" borderId="1" xfId="0" applyNumberFormat="1" applyFont="1" applyBorder="1" applyAlignment="1">
      <alignment horizontal="center" vertical="center" wrapText="1"/>
    </xf>
    <xf numFmtId="0" fontId="213"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238" fillId="0" borderId="1" xfId="0" applyFont="1" applyBorder="1" applyAlignment="1">
      <alignment horizontal="center" vertical="center" wrapText="1"/>
    </xf>
    <xf numFmtId="2" fontId="213" fillId="0" borderId="1" xfId="0" applyNumberFormat="1" applyFont="1" applyBorder="1" applyAlignment="1">
      <alignment horizontal="center" vertical="center" wrapText="1"/>
    </xf>
    <xf numFmtId="0" fontId="63" fillId="0" borderId="1" xfId="0" applyFont="1" applyBorder="1" applyAlignment="1">
      <alignment vertical="center" wrapText="1"/>
    </xf>
    <xf numFmtId="0" fontId="117" fillId="0" borderId="1" xfId="0" applyFont="1" applyBorder="1" applyAlignment="1">
      <alignment horizontal="center" vertical="center"/>
    </xf>
    <xf numFmtId="0" fontId="24" fillId="0" borderId="1" xfId="0" applyFont="1" applyBorder="1" applyAlignment="1">
      <alignment vertical="center"/>
    </xf>
    <xf numFmtId="0" fontId="64" fillId="0" borderId="1" xfId="0" applyFont="1" applyBorder="1" applyAlignment="1">
      <alignment horizontal="center" vertical="center" wrapText="1"/>
    </xf>
    <xf numFmtId="0" fontId="120" fillId="0" borderId="2" xfId="0" applyFont="1" applyBorder="1" applyAlignment="1">
      <alignment horizontal="left" vertical="center"/>
    </xf>
    <xf numFmtId="0" fontId="62" fillId="0" borderId="0" xfId="0" applyFont="1" applyAlignment="1">
      <alignment vertical="center"/>
    </xf>
    <xf numFmtId="0" fontId="24" fillId="0" borderId="20" xfId="0" applyFont="1" applyBorder="1" applyAlignment="1">
      <alignment horizontal="left" vertical="center" wrapText="1"/>
    </xf>
    <xf numFmtId="178" fontId="24" fillId="3" borderId="1" xfId="0" applyNumberFormat="1" applyFont="1" applyFill="1" applyBorder="1" applyAlignment="1">
      <alignment horizontal="center" vertical="center" wrapText="1"/>
    </xf>
    <xf numFmtId="179" fontId="24" fillId="3" borderId="1" xfId="0" applyNumberFormat="1" applyFont="1" applyFill="1" applyBorder="1" applyAlignment="1">
      <alignment horizontal="center" vertical="center" wrapText="1"/>
    </xf>
    <xf numFmtId="209" fontId="24" fillId="22" borderId="1" xfId="0" applyNumberFormat="1" applyFont="1" applyFill="1" applyBorder="1" applyAlignment="1">
      <alignment horizontal="center" vertical="center" wrapText="1"/>
    </xf>
    <xf numFmtId="209" fontId="24" fillId="22" borderId="21" xfId="0" applyNumberFormat="1" applyFont="1" applyFill="1" applyBorder="1" applyAlignment="1">
      <alignment horizontal="center" vertical="center" wrapText="1"/>
    </xf>
    <xf numFmtId="0" fontId="24" fillId="0" borderId="8" xfId="0" applyFont="1" applyBorder="1" applyAlignment="1">
      <alignment horizontal="left" vertical="center" wrapText="1"/>
    </xf>
    <xf numFmtId="0" fontId="24" fillId="0" borderId="9" xfId="0" applyFont="1" applyBorder="1" applyAlignment="1">
      <alignment horizontal="left" vertical="center" wrapText="1"/>
    </xf>
    <xf numFmtId="178" fontId="24" fillId="3" borderId="9" xfId="0" applyNumberFormat="1" applyFont="1" applyFill="1" applyBorder="1" applyAlignment="1">
      <alignment horizontal="center" vertical="center" wrapText="1"/>
    </xf>
    <xf numFmtId="179" fontId="24" fillId="3" borderId="9" xfId="0" applyNumberFormat="1" applyFont="1" applyFill="1" applyBorder="1" applyAlignment="1">
      <alignment horizontal="center" vertical="center" wrapText="1"/>
    </xf>
    <xf numFmtId="209" fontId="24" fillId="22" borderId="9" xfId="0" applyNumberFormat="1" applyFont="1" applyFill="1" applyBorder="1" applyAlignment="1">
      <alignment horizontal="center" vertical="center" wrapText="1"/>
    </xf>
    <xf numFmtId="209" fontId="24" fillId="22" borderId="10" xfId="0" applyNumberFormat="1" applyFont="1" applyFill="1" applyBorder="1" applyAlignment="1">
      <alignment horizontal="center" vertical="center" wrapText="1"/>
    </xf>
    <xf numFmtId="179" fontId="24" fillId="3" borderId="2" xfId="0" applyNumberFormat="1" applyFont="1" applyFill="1" applyBorder="1" applyAlignment="1">
      <alignment horizontal="center" vertical="center" wrapText="1"/>
    </xf>
    <xf numFmtId="0" fontId="40" fillId="0" borderId="53" xfId="0" applyFont="1" applyBorder="1" applyAlignment="1">
      <alignment horizontal="center" vertical="center" wrapText="1"/>
    </xf>
    <xf numFmtId="0" fontId="40" fillId="0" borderId="7" xfId="0" applyFont="1" applyBorder="1" applyAlignment="1">
      <alignment horizontal="center" vertical="center" wrapText="1"/>
    </xf>
    <xf numFmtId="0" fontId="117" fillId="0" borderId="1" xfId="0" applyFont="1" applyBorder="1" applyAlignment="1">
      <alignment horizontal="center"/>
    </xf>
    <xf numFmtId="0" fontId="117" fillId="0" borderId="2" xfId="0" applyFont="1" applyBorder="1" applyAlignment="1">
      <alignment horizontal="center"/>
    </xf>
    <xf numFmtId="0" fontId="117" fillId="0" borderId="3" xfId="0" applyFont="1" applyBorder="1" applyAlignment="1">
      <alignment horizontal="center"/>
    </xf>
    <xf numFmtId="0" fontId="117" fillId="0" borderId="4" xfId="0" applyFont="1" applyBorder="1" applyAlignment="1">
      <alignment horizontal="center"/>
    </xf>
    <xf numFmtId="3" fontId="117" fillId="0" borderId="1" xfId="0" applyNumberFormat="1" applyFont="1" applyBorder="1" applyAlignment="1">
      <alignment horizontal="center" vertical="center"/>
    </xf>
    <xf numFmtId="0" fontId="117" fillId="0" borderId="1" xfId="0" quotePrefix="1" applyFont="1" applyBorder="1" applyAlignment="1">
      <alignment horizontal="center" vertical="center" wrapText="1"/>
    </xf>
    <xf numFmtId="0" fontId="227" fillId="0" borderId="1" xfId="0" applyFont="1" applyBorder="1" applyAlignment="1">
      <alignment horizontal="left" vertical="center"/>
    </xf>
    <xf numFmtId="0" fontId="239" fillId="0" borderId="1" xfId="0" applyFont="1" applyBorder="1" applyAlignment="1">
      <alignment horizontal="left" vertical="center"/>
    </xf>
    <xf numFmtId="0" fontId="40" fillId="0" borderId="0" xfId="0" applyFont="1" applyAlignment="1">
      <alignment vertical="center" wrapText="1"/>
    </xf>
    <xf numFmtId="0" fontId="119" fillId="0" borderId="1" xfId="0" applyFont="1" applyBorder="1" applyAlignment="1">
      <alignment horizontal="center" vertical="top" wrapText="1"/>
    </xf>
    <xf numFmtId="2" fontId="117" fillId="0" borderId="1" xfId="0" applyNumberFormat="1" applyFont="1" applyBorder="1" applyAlignment="1">
      <alignment horizontal="center" vertical="top" wrapText="1"/>
    </xf>
    <xf numFmtId="0" fontId="117" fillId="0" borderId="1" xfId="0" applyFont="1" applyBorder="1" applyAlignment="1">
      <alignment horizontal="center" vertical="top" wrapText="1"/>
    </xf>
    <xf numFmtId="0" fontId="62" fillId="0" borderId="1" xfId="0" quotePrefix="1" applyFont="1" applyBorder="1" applyAlignment="1">
      <alignment vertical="center"/>
    </xf>
    <xf numFmtId="0" fontId="62" fillId="0" borderId="1" xfId="0" applyFont="1" applyBorder="1" applyAlignment="1">
      <alignment vertical="center"/>
    </xf>
    <xf numFmtId="0" fontId="24" fillId="0" borderId="1" xfId="0" applyFont="1" applyBorder="1" applyAlignment="1">
      <alignment horizontal="center" vertical="center" wrapText="1"/>
    </xf>
    <xf numFmtId="164" fontId="24" fillId="0" borderId="1" xfId="0" applyNumberFormat="1" applyFont="1" applyBorder="1" applyAlignment="1">
      <alignment horizontal="right" vertical="center"/>
    </xf>
    <xf numFmtId="165" fontId="24" fillId="0" borderId="1" xfId="0" applyNumberFormat="1" applyFont="1" applyBorder="1" applyAlignment="1">
      <alignment horizontal="right" vertical="center"/>
    </xf>
    <xf numFmtId="2" fontId="24" fillId="0" borderId="1" xfId="0" applyNumberFormat="1" applyFont="1" applyBorder="1" applyAlignment="1">
      <alignment horizontal="right" vertical="center"/>
    </xf>
    <xf numFmtId="0" fontId="40" fillId="0" borderId="1" xfId="0" applyFont="1" applyBorder="1" applyAlignment="1">
      <alignment vertical="center"/>
    </xf>
    <xf numFmtId="0" fontId="40" fillId="0" borderId="53" xfId="0" applyFont="1" applyBorder="1" applyAlignment="1">
      <alignment horizontal="center" vertical="center"/>
    </xf>
    <xf numFmtId="0" fontId="24" fillId="0" borderId="50" xfId="0" applyFont="1" applyBorder="1" applyAlignment="1">
      <alignment horizontal="center" vertical="center"/>
    </xf>
    <xf numFmtId="0" fontId="24" fillId="0" borderId="51" xfId="0" applyFont="1" applyBorder="1" applyAlignment="1">
      <alignment horizontal="center" vertical="center"/>
    </xf>
    <xf numFmtId="179" fontId="24" fillId="3" borderId="1" xfId="0" applyNumberFormat="1" applyFont="1" applyFill="1" applyBorder="1" applyAlignment="1">
      <alignment horizontal="center" vertical="center"/>
    </xf>
    <xf numFmtId="191" fontId="24" fillId="22" borderId="1" xfId="11" applyNumberFormat="1" applyFont="1" applyFill="1" applyBorder="1" applyAlignment="1">
      <alignment horizontal="center" vertical="center"/>
    </xf>
    <xf numFmtId="191" fontId="24" fillId="22" borderId="21" xfId="11" applyNumberFormat="1" applyFont="1" applyFill="1" applyBorder="1" applyAlignment="1">
      <alignment horizontal="center" vertical="center"/>
    </xf>
    <xf numFmtId="191" fontId="24" fillId="3" borderId="1" xfId="11" applyNumberFormat="1" applyFont="1" applyFill="1" applyBorder="1" applyAlignment="1">
      <alignment horizontal="center" vertical="center"/>
    </xf>
    <xf numFmtId="191" fontId="24" fillId="22" borderId="4" xfId="11" applyNumberFormat="1" applyFont="1" applyFill="1" applyBorder="1" applyAlignment="1">
      <alignment horizontal="center" vertical="center"/>
    </xf>
    <xf numFmtId="0" fontId="24" fillId="0" borderId="9" xfId="0" applyFont="1" applyBorder="1" applyAlignment="1">
      <alignment horizontal="center" vertical="center" wrapText="1"/>
    </xf>
    <xf numFmtId="179" fontId="24" fillId="3" borderId="9" xfId="0" applyNumberFormat="1" applyFont="1" applyFill="1" applyBorder="1" applyAlignment="1">
      <alignment horizontal="center" vertical="center"/>
    </xf>
    <xf numFmtId="191" fontId="24" fillId="22" borderId="9" xfId="11" applyNumberFormat="1" applyFont="1" applyFill="1" applyBorder="1" applyAlignment="1">
      <alignment horizontal="center" vertical="center"/>
    </xf>
    <xf numFmtId="191" fontId="24" fillId="22" borderId="10" xfId="11" applyNumberFormat="1" applyFont="1" applyFill="1" applyBorder="1" applyAlignment="1">
      <alignment horizontal="center" vertical="center"/>
    </xf>
    <xf numFmtId="0" fontId="62" fillId="0" borderId="1" xfId="0" quotePrefix="1" applyFont="1" applyBorder="1" applyAlignment="1">
      <alignment vertical="center" wrapText="1"/>
    </xf>
    <xf numFmtId="0" fontId="62" fillId="0" borderId="1" xfId="0" applyFont="1" applyBorder="1" applyAlignment="1">
      <alignment vertical="center" wrapText="1"/>
    </xf>
    <xf numFmtId="164" fontId="24" fillId="0" borderId="1" xfId="0" applyNumberFormat="1" applyFont="1" applyBorder="1" applyAlignment="1">
      <alignment horizontal="right" vertical="center" wrapText="1"/>
    </xf>
    <xf numFmtId="165" fontId="24" fillId="0" borderId="2" xfId="0" applyNumberFormat="1" applyFont="1" applyBorder="1" applyAlignment="1">
      <alignment horizontal="right" vertical="center" wrapText="1"/>
    </xf>
    <xf numFmtId="165" fontId="24" fillId="0" borderId="3" xfId="0" applyNumberFormat="1" applyFont="1" applyBorder="1" applyAlignment="1">
      <alignment horizontal="right" vertical="center" wrapText="1"/>
    </xf>
    <xf numFmtId="165" fontId="24" fillId="0" borderId="4" xfId="0" applyNumberFormat="1" applyFont="1" applyBorder="1" applyAlignment="1">
      <alignment horizontal="right" vertical="center" wrapText="1"/>
    </xf>
    <xf numFmtId="2" fontId="24" fillId="0" borderId="2" xfId="0" applyNumberFormat="1" applyFont="1" applyBorder="1" applyAlignment="1">
      <alignment horizontal="right" vertical="center" wrapText="1"/>
    </xf>
    <xf numFmtId="2" fontId="24" fillId="0" borderId="3" xfId="0" applyNumberFormat="1" applyFont="1" applyBorder="1" applyAlignment="1">
      <alignment horizontal="right" vertical="center" wrapText="1"/>
    </xf>
    <xf numFmtId="2" fontId="24" fillId="0" borderId="4" xfId="0" applyNumberFormat="1" applyFont="1" applyBorder="1" applyAlignment="1">
      <alignment horizontal="right" vertical="center" wrapText="1"/>
    </xf>
    <xf numFmtId="0" fontId="40" fillId="0" borderId="1" xfId="0" applyFont="1" applyBorder="1" applyAlignment="1">
      <alignment vertical="center" wrapText="1"/>
    </xf>
    <xf numFmtId="165" fontId="24" fillId="0" borderId="1" xfId="0" applyNumberFormat="1" applyFont="1" applyBorder="1" applyAlignment="1">
      <alignment horizontal="right" vertical="center" wrapText="1"/>
    </xf>
    <xf numFmtId="2" fontId="24" fillId="0" borderId="1" xfId="0" applyNumberFormat="1" applyFont="1" applyBorder="1" applyAlignment="1">
      <alignment horizontal="righ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0" fillId="0" borderId="3" xfId="0" applyBorder="1" applyAlignment="1">
      <alignment vertical="center" wrapText="1"/>
    </xf>
    <xf numFmtId="0" fontId="0" fillId="0" borderId="4" xfId="0" applyBorder="1" applyAlignment="1">
      <alignment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108" fillId="0" borderId="13" xfId="0" applyFont="1" applyBorder="1" applyAlignment="1">
      <alignment horizontal="center" vertical="center" wrapText="1"/>
    </xf>
    <xf numFmtId="0" fontId="108" fillId="0" borderId="14" xfId="0" applyFont="1" applyBorder="1" applyAlignment="1">
      <alignment horizontal="center" vertical="center" wrapText="1"/>
    </xf>
    <xf numFmtId="0" fontId="0" fillId="0" borderId="15" xfId="0" applyBorder="1" applyAlignment="1">
      <alignment vertical="center" wrapText="1"/>
    </xf>
    <xf numFmtId="0" fontId="0" fillId="0" borderId="1" xfId="0" applyBorder="1" applyAlignment="1">
      <alignment horizontal="left" vertical="center" wrapText="1"/>
    </xf>
    <xf numFmtId="0" fontId="109" fillId="0" borderId="1" xfId="0" applyFont="1" applyBorder="1" applyAlignment="1">
      <alignment horizontal="center"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219" fillId="0" borderId="1" xfId="0" applyFont="1" applyBorder="1" applyAlignment="1">
      <alignment horizontal="left" vertical="center" wrapText="1"/>
    </xf>
    <xf numFmtId="3" fontId="109" fillId="0" borderId="3" xfId="0" applyNumberFormat="1" applyFont="1" applyBorder="1" applyAlignment="1">
      <alignment horizontal="center" vertical="center"/>
    </xf>
    <xf numFmtId="3" fontId="109" fillId="0" borderId="4" xfId="0" applyNumberFormat="1" applyFont="1" applyBorder="1" applyAlignment="1">
      <alignment horizontal="center" vertical="center"/>
    </xf>
    <xf numFmtId="0" fontId="113" fillId="0" borderId="1" xfId="0" applyFont="1" applyBorder="1" applyAlignment="1">
      <alignment horizontal="left" vertical="center" wrapText="1"/>
    </xf>
    <xf numFmtId="0" fontId="0" fillId="0" borderId="1" xfId="0" applyBorder="1" applyAlignment="1">
      <alignment horizontal="center" vertical="center" wrapText="1"/>
    </xf>
    <xf numFmtId="2" fontId="0" fillId="0" borderId="1" xfId="0" applyNumberFormat="1" applyBorder="1" applyAlignment="1">
      <alignment vertical="center" wrapText="1"/>
    </xf>
    <xf numFmtId="164" fontId="0" fillId="0" borderId="1" xfId="0" applyNumberFormat="1" applyBorder="1" applyAlignment="1">
      <alignment vertical="center" wrapText="1"/>
    </xf>
    <xf numFmtId="0" fontId="0" fillId="0" borderId="2" xfId="2" applyNumberFormat="1" applyFont="1"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2" xfId="2" applyNumberFormat="1" applyFont="1" applyBorder="1" applyAlignment="1">
      <alignment horizontal="center" vertical="center" wrapText="1"/>
    </xf>
    <xf numFmtId="0" fontId="40" fillId="0" borderId="11" xfId="0" applyFont="1" applyBorder="1" applyAlignment="1">
      <alignment vertical="center" wrapText="1"/>
    </xf>
    <xf numFmtId="0" fontId="0" fillId="0" borderId="11" xfId="0" applyBorder="1" applyAlignment="1">
      <alignment vertical="center" wrapText="1"/>
    </xf>
    <xf numFmtId="43" fontId="0" fillId="0" borderId="1" xfId="0" applyNumberFormat="1" applyBorder="1" applyAlignment="1">
      <alignment vertical="center" wrapText="1"/>
    </xf>
    <xf numFmtId="213" fontId="0" fillId="0" borderId="1" xfId="2" applyNumberFormat="1" applyFont="1" applyBorder="1" applyAlignment="1">
      <alignment horizontal="center" vertical="center" wrapText="1"/>
    </xf>
    <xf numFmtId="213" fontId="0" fillId="0" borderId="1" xfId="2" applyNumberFormat="1" applyFont="1" applyBorder="1" applyAlignment="1">
      <alignment vertical="center" wrapText="1"/>
    </xf>
    <xf numFmtId="213" fontId="0" fillId="0" borderId="1" xfId="0" applyNumberFormat="1" applyBorder="1" applyAlignment="1">
      <alignment vertical="center"/>
    </xf>
    <xf numFmtId="213" fontId="0" fillId="0" borderId="2" xfId="2" applyNumberFormat="1" applyFont="1" applyBorder="1" applyAlignment="1">
      <alignment horizontal="center" vertical="center" wrapText="1"/>
    </xf>
    <xf numFmtId="213" fontId="0" fillId="0" borderId="3" xfId="2" applyNumberFormat="1" applyFont="1" applyBorder="1" applyAlignment="1">
      <alignment horizontal="center" vertical="center" wrapText="1"/>
    </xf>
    <xf numFmtId="213" fontId="0" fillId="0" borderId="4" xfId="2" applyNumberFormat="1" applyFont="1" applyBorder="1" applyAlignment="1">
      <alignment horizontal="center" vertical="center" wrapText="1"/>
    </xf>
    <xf numFmtId="0" fontId="4" fillId="0" borderId="13" xfId="0" applyFont="1" applyBorder="1" applyAlignment="1">
      <alignment horizontal="center" wrapText="1"/>
    </xf>
    <xf numFmtId="0" fontId="4" fillId="0" borderId="14" xfId="0" applyFont="1" applyBorder="1" applyAlignment="1">
      <alignment horizontal="center" wrapText="1"/>
    </xf>
    <xf numFmtId="0" fontId="4" fillId="0" borderId="15" xfId="0" applyFont="1" applyBorder="1" applyAlignment="1">
      <alignment horizontal="center" wrapText="1"/>
    </xf>
    <xf numFmtId="0" fontId="0" fillId="0" borderId="1" xfId="0" applyBorder="1"/>
    <xf numFmtId="213" fontId="0" fillId="0" borderId="1" xfId="2" applyNumberFormat="1" applyFont="1" applyFill="1" applyBorder="1" applyAlignment="1">
      <alignment horizontal="center" vertical="center" wrapText="1"/>
    </xf>
    <xf numFmtId="0" fontId="0" fillId="0" borderId="2" xfId="0" applyBorder="1"/>
    <xf numFmtId="0" fontId="0" fillId="0" borderId="3" xfId="0" applyBorder="1"/>
    <xf numFmtId="0" fontId="0" fillId="0" borderId="4" xfId="0" applyBorder="1"/>
    <xf numFmtId="9" fontId="0" fillId="0" borderId="1" xfId="0" applyNumberFormat="1" applyBorder="1" applyAlignment="1">
      <alignment horizontal="center"/>
    </xf>
    <xf numFmtId="0" fontId="0" fillId="0" borderId="56" xfId="0" applyBorder="1"/>
    <xf numFmtId="0" fontId="0" fillId="0" borderId="57" xfId="0" applyBorder="1"/>
    <xf numFmtId="0" fontId="0" fillId="0" borderId="58" xfId="0" applyBorder="1"/>
    <xf numFmtId="9" fontId="0" fillId="0" borderId="55" xfId="0" applyNumberFormat="1" applyBorder="1" applyAlignment="1">
      <alignment horizontal="center"/>
    </xf>
    <xf numFmtId="0" fontId="0" fillId="0" borderId="95" xfId="0" applyBorder="1"/>
    <xf numFmtId="0" fontId="0" fillId="0" borderId="96" xfId="0" applyBorder="1"/>
    <xf numFmtId="0" fontId="0" fillId="0" borderId="97" xfId="0" applyBorder="1"/>
    <xf numFmtId="9" fontId="0" fillId="0" borderId="22" xfId="0" applyNumberFormat="1" applyBorder="1" applyAlignment="1">
      <alignment horizontal="center"/>
    </xf>
    <xf numFmtId="0" fontId="0" fillId="0" borderId="17" xfId="0" applyBorder="1" applyAlignment="1">
      <alignment horizontal="left" vertical="top" wrapText="1"/>
    </xf>
    <xf numFmtId="0" fontId="0" fillId="16" borderId="1" xfId="0" applyFill="1" applyBorder="1" applyAlignment="1" applyProtection="1">
      <alignment horizontal="left" vertical="center" wrapText="1"/>
      <protection locked="0"/>
    </xf>
    <xf numFmtId="0" fontId="0" fillId="16" borderId="1" xfId="0" applyFill="1" applyBorder="1" applyAlignment="1" applyProtection="1">
      <alignment horizontal="left" vertical="center"/>
      <protection locked="0"/>
    </xf>
    <xf numFmtId="0" fontId="0" fillId="0" borderId="5" xfId="0" applyBorder="1" applyAlignment="1">
      <alignment horizontal="center" vertical="center" wrapText="1"/>
    </xf>
    <xf numFmtId="0" fontId="0" fillId="0" borderId="6" xfId="0" applyBorder="1" applyAlignment="1">
      <alignment horizontal="center" vertical="center"/>
    </xf>
    <xf numFmtId="178" fontId="0" fillId="3" borderId="6" xfId="0" applyNumberFormat="1" applyFill="1" applyBorder="1" applyAlignment="1">
      <alignment horizontal="center" vertical="center"/>
    </xf>
    <xf numFmtId="191" fontId="0" fillId="3" borderId="6" xfId="0" applyNumberFormat="1" applyFill="1" applyBorder="1" applyAlignment="1">
      <alignment horizontal="center" vertical="center"/>
    </xf>
    <xf numFmtId="191" fontId="24" fillId="22" borderId="6" xfId="11" applyNumberFormat="1" applyFont="1" applyFill="1" applyBorder="1" applyAlignment="1">
      <alignment horizontal="center" vertical="center"/>
    </xf>
    <xf numFmtId="191" fontId="24" fillId="22" borderId="7" xfId="11" applyNumberFormat="1" applyFont="1" applyFill="1" applyBorder="1" applyAlignment="1">
      <alignment horizontal="center" vertical="center"/>
    </xf>
    <xf numFmtId="0" fontId="0" fillId="0" borderId="20" xfId="0" applyBorder="1" applyAlignment="1">
      <alignment horizontal="center" vertical="center" wrapText="1"/>
    </xf>
    <xf numFmtId="191" fontId="0" fillId="3" borderId="1" xfId="0" applyNumberFormat="1" applyFill="1" applyBorder="1" applyAlignment="1">
      <alignment horizontal="center" vertical="center"/>
    </xf>
    <xf numFmtId="0" fontId="4" fillId="0" borderId="33" xfId="0" applyFont="1" applyBorder="1" applyAlignment="1">
      <alignment horizontal="center" vertical="center"/>
    </xf>
    <xf numFmtId="0" fontId="4" fillId="0" borderId="32" xfId="0" applyFont="1" applyBorder="1" applyAlignment="1">
      <alignment horizontal="center" vertical="center"/>
    </xf>
    <xf numFmtId="0" fontId="4" fillId="0" borderId="59" xfId="0" applyFont="1" applyBorder="1" applyAlignment="1">
      <alignment horizontal="center" vertical="center"/>
    </xf>
    <xf numFmtId="0" fontId="4" fillId="0" borderId="68" xfId="0" applyFont="1" applyBorder="1" applyAlignment="1">
      <alignment horizontal="center" vertical="center"/>
    </xf>
    <xf numFmtId="0" fontId="4" fillId="0" borderId="34" xfId="0" applyFont="1" applyBorder="1" applyAlignment="1">
      <alignment horizontal="center" vertical="center"/>
    </xf>
    <xf numFmtId="0" fontId="0" fillId="0" borderId="73" xfId="0" applyBorder="1" applyAlignment="1">
      <alignment horizontal="center" vertical="center" wrapText="1"/>
    </xf>
    <xf numFmtId="0" fontId="0" fillId="0" borderId="22" xfId="0" applyBorder="1" applyAlignment="1">
      <alignment horizontal="center" vertical="center"/>
    </xf>
    <xf numFmtId="178" fontId="0" fillId="3" borderId="22" xfId="0" applyNumberFormat="1" applyFill="1" applyBorder="1" applyAlignment="1">
      <alignment horizontal="center" vertical="center"/>
    </xf>
    <xf numFmtId="191" fontId="0" fillId="3" borderId="22" xfId="0" applyNumberFormat="1" applyFill="1" applyBorder="1" applyAlignment="1">
      <alignment horizontal="center" vertical="center"/>
    </xf>
    <xf numFmtId="191" fontId="24" fillId="22" borderId="22" xfId="11" applyNumberFormat="1" applyFont="1" applyFill="1" applyBorder="1" applyAlignment="1">
      <alignment horizontal="center" vertical="center"/>
    </xf>
    <xf numFmtId="191" fontId="24" fillId="22" borderId="70" xfId="11" applyNumberFormat="1" applyFont="1" applyFill="1" applyBorder="1" applyAlignment="1">
      <alignment horizontal="center" vertical="center"/>
    </xf>
    <xf numFmtId="178" fontId="0" fillId="3" borderId="2" xfId="0" applyNumberFormat="1" applyFill="1" applyBorder="1" applyAlignment="1">
      <alignment horizontal="center" vertical="center"/>
    </xf>
    <xf numFmtId="178" fontId="0" fillId="3" borderId="3" xfId="0" applyNumberFormat="1" applyFill="1" applyBorder="1" applyAlignment="1">
      <alignment horizontal="center" vertical="center"/>
    </xf>
    <xf numFmtId="178" fontId="0" fillId="3" borderId="4" xfId="0" applyNumberFormat="1" applyFill="1" applyBorder="1" applyAlignment="1">
      <alignment horizontal="center" vertical="center"/>
    </xf>
    <xf numFmtId="178" fontId="0" fillId="3" borderId="43" xfId="0" applyNumberFormat="1" applyFill="1" applyBorder="1" applyAlignment="1">
      <alignment horizontal="center" vertical="center"/>
    </xf>
    <xf numFmtId="178" fontId="0" fillId="3" borderId="44" xfId="0" applyNumberFormat="1" applyFill="1" applyBorder="1" applyAlignment="1">
      <alignment horizontal="center" vertical="center"/>
    </xf>
    <xf numFmtId="178" fontId="0" fillId="3" borderId="45" xfId="0" applyNumberFormat="1" applyFill="1" applyBorder="1" applyAlignment="1">
      <alignment horizontal="center" vertical="center"/>
    </xf>
    <xf numFmtId="191" fontId="0" fillId="3" borderId="74" xfId="0" applyNumberFormat="1" applyFill="1" applyBorder="1" applyAlignment="1">
      <alignment horizontal="center" vertical="center"/>
    </xf>
    <xf numFmtId="191" fontId="0" fillId="3" borderId="2" xfId="0" applyNumberFormat="1" applyFill="1" applyBorder="1" applyAlignment="1">
      <alignment horizontal="center" vertical="center"/>
    </xf>
    <xf numFmtId="191" fontId="0" fillId="3" borderId="3" xfId="0" applyNumberFormat="1" applyFill="1" applyBorder="1" applyAlignment="1">
      <alignment horizontal="center" vertical="center"/>
    </xf>
    <xf numFmtId="191" fontId="0" fillId="3" borderId="4" xfId="0" applyNumberFormat="1" applyFill="1" applyBorder="1" applyAlignment="1">
      <alignment horizontal="center" vertical="center"/>
    </xf>
    <xf numFmtId="191" fontId="24" fillId="22" borderId="2" xfId="11" applyNumberFormat="1" applyFont="1" applyFill="1" applyBorder="1" applyAlignment="1">
      <alignment horizontal="center" vertical="center"/>
    </xf>
    <xf numFmtId="191" fontId="24" fillId="22" borderId="3" xfId="11" applyNumberFormat="1" applyFont="1" applyFill="1" applyBorder="1" applyAlignment="1">
      <alignment horizontal="center" vertical="center"/>
    </xf>
    <xf numFmtId="191" fontId="24" fillId="22" borderId="39" xfId="11" applyNumberFormat="1" applyFont="1" applyFill="1" applyBorder="1" applyAlignment="1">
      <alignment horizontal="center" vertical="center"/>
    </xf>
    <xf numFmtId="0" fontId="0" fillId="0" borderId="0" xfId="0" quotePrefix="1" applyAlignment="1">
      <alignment horizontal="right" vertical="center"/>
    </xf>
    <xf numFmtId="191" fontId="0" fillId="3" borderId="43" xfId="0" applyNumberFormat="1" applyFill="1" applyBorder="1" applyAlignment="1">
      <alignment horizontal="center" vertical="center"/>
    </xf>
    <xf numFmtId="191" fontId="0" fillId="3" borderId="44" xfId="0" applyNumberFormat="1" applyFill="1" applyBorder="1" applyAlignment="1">
      <alignment horizontal="center" vertical="center"/>
    </xf>
    <xf numFmtId="191" fontId="0" fillId="3" borderId="45" xfId="0" applyNumberFormat="1" applyFill="1" applyBorder="1" applyAlignment="1">
      <alignment horizontal="center" vertical="center"/>
    </xf>
    <xf numFmtId="191" fontId="24" fillId="22" borderId="43" xfId="11" applyNumberFormat="1" applyFont="1" applyFill="1" applyBorder="1" applyAlignment="1">
      <alignment horizontal="center" vertical="center"/>
    </xf>
    <xf numFmtId="191" fontId="24" fillId="22" borderId="44" xfId="11" applyNumberFormat="1" applyFont="1" applyFill="1" applyBorder="1" applyAlignment="1">
      <alignment horizontal="center" vertical="center"/>
    </xf>
    <xf numFmtId="191" fontId="24" fillId="22" borderId="54" xfId="11" applyNumberFormat="1" applyFont="1" applyFill="1" applyBorder="1" applyAlignment="1">
      <alignment horizontal="center" vertical="center"/>
    </xf>
    <xf numFmtId="0" fontId="0" fillId="0" borderId="0" xfId="0" applyAlignment="1">
      <alignment horizontal="left" vertical="top" wrapText="1" indent="9"/>
    </xf>
    <xf numFmtId="0" fontId="16" fillId="0" borderId="2" xfId="4" applyBorder="1" applyAlignment="1">
      <alignment horizontal="center" vertical="center" wrapText="1"/>
    </xf>
    <xf numFmtId="0" fontId="16" fillId="0" borderId="3" xfId="4" applyBorder="1" applyAlignment="1">
      <alignment horizontal="center" vertical="center" wrapText="1"/>
    </xf>
    <xf numFmtId="0" fontId="16" fillId="0" borderId="4" xfId="4" applyBorder="1" applyAlignment="1">
      <alignment horizontal="center" vertical="center" wrapText="1"/>
    </xf>
    <xf numFmtId="0" fontId="158" fillId="0" borderId="2" xfId="4" applyFont="1" applyBorder="1" applyAlignment="1">
      <alignment horizontal="center" vertical="center" wrapText="1"/>
    </xf>
    <xf numFmtId="0" fontId="158" fillId="0" borderId="3" xfId="4" applyFont="1" applyBorder="1" applyAlignment="1">
      <alignment horizontal="center" vertical="center" wrapText="1"/>
    </xf>
    <xf numFmtId="0" fontId="158" fillId="0" borderId="4" xfId="4" applyFont="1" applyBorder="1" applyAlignment="1">
      <alignment horizontal="center" vertical="center" wrapText="1"/>
    </xf>
    <xf numFmtId="3" fontId="24" fillId="0" borderId="1" xfId="0" applyNumberFormat="1" applyFont="1" applyBorder="1" applyAlignment="1">
      <alignment horizontal="center" vertical="center" wrapText="1"/>
    </xf>
    <xf numFmtId="4" fontId="24" fillId="0" borderId="1" xfId="0" applyNumberFormat="1" applyFont="1" applyBorder="1" applyAlignment="1">
      <alignment horizontal="center" vertical="center" wrapText="1"/>
    </xf>
    <xf numFmtId="0" fontId="24" fillId="0" borderId="2" xfId="0" applyFont="1" applyBorder="1" applyAlignment="1">
      <alignment horizontal="center" vertical="center" wrapText="1"/>
    </xf>
    <xf numFmtId="0" fontId="24" fillId="0" borderId="14" xfId="0" applyFont="1" applyBorder="1" applyAlignment="1">
      <alignment horizontal="left" vertical="center"/>
    </xf>
    <xf numFmtId="0" fontId="16" fillId="0" borderId="14" xfId="4" applyBorder="1" applyAlignment="1">
      <alignment horizontal="left" vertical="center"/>
    </xf>
    <xf numFmtId="0" fontId="29" fillId="0" borderId="0" xfId="0" applyFont="1" applyAlignment="1">
      <alignment horizontal="left" vertical="top" wrapText="1"/>
    </xf>
    <xf numFmtId="2" fontId="63" fillId="13" borderId="1" xfId="0" applyNumberFormat="1" applyFont="1" applyFill="1" applyBorder="1" applyAlignment="1">
      <alignment horizontal="center" vertical="center"/>
    </xf>
    <xf numFmtId="188" fontId="63" fillId="0" borderId="1" xfId="0" applyNumberFormat="1" applyFont="1" applyBorder="1" applyAlignment="1">
      <alignment horizontal="center" vertical="center"/>
    </xf>
    <xf numFmtId="0" fontId="156" fillId="0" borderId="0" xfId="0" applyFont="1" applyAlignment="1">
      <alignment horizontal="center" vertical="center" textRotation="90" wrapText="1"/>
    </xf>
    <xf numFmtId="0" fontId="63" fillId="0" borderId="12" xfId="0" applyFont="1" applyBorder="1" applyAlignment="1">
      <alignment horizontal="center" vertical="center" wrapText="1"/>
    </xf>
    <xf numFmtId="0" fontId="63" fillId="0" borderId="25" xfId="0" applyFont="1" applyBorder="1" applyAlignment="1">
      <alignment horizontal="center" vertical="center" wrapText="1"/>
    </xf>
    <xf numFmtId="0" fontId="63" fillId="0" borderId="22" xfId="0" applyFont="1" applyBorder="1" applyAlignment="1">
      <alignment horizontal="center" vertical="center" wrapText="1"/>
    </xf>
    <xf numFmtId="4" fontId="63" fillId="0" borderId="1" xfId="0" applyNumberFormat="1" applyFont="1" applyBorder="1" applyAlignment="1">
      <alignment horizontal="center" vertical="center"/>
    </xf>
    <xf numFmtId="0" fontId="155" fillId="13" borderId="0" xfId="0" applyFont="1" applyFill="1" applyAlignment="1">
      <alignment horizontal="left"/>
    </xf>
    <xf numFmtId="0" fontId="155" fillId="0" borderId="0" xfId="0" applyFont="1" applyAlignment="1">
      <alignment horizontal="center"/>
    </xf>
    <xf numFmtId="4" fontId="63" fillId="13" borderId="1" xfId="0" applyNumberFormat="1" applyFont="1" applyFill="1" applyBorder="1" applyAlignment="1">
      <alignment horizontal="center" vertical="center"/>
    </xf>
    <xf numFmtId="3" fontId="63" fillId="13" borderId="1" xfId="0" applyNumberFormat="1" applyFont="1" applyFill="1" applyBorder="1" applyAlignment="1">
      <alignment horizontal="center" vertical="center"/>
    </xf>
    <xf numFmtId="0" fontId="64" fillId="0" borderId="0" xfId="0" applyFont="1" applyAlignment="1">
      <alignment horizontal="right" wrapText="1"/>
    </xf>
    <xf numFmtId="0" fontId="164" fillId="0" borderId="0" xfId="0" applyFont="1" applyAlignment="1">
      <alignment vertical="top" wrapText="1"/>
    </xf>
    <xf numFmtId="0" fontId="24" fillId="0" borderId="0" xfId="0" applyFont="1" applyAlignment="1">
      <alignment horizontal="right" vertical="center" wrapText="1"/>
    </xf>
    <xf numFmtId="4" fontId="24" fillId="13" borderId="1" xfId="0" applyNumberFormat="1" applyFont="1" applyFill="1" applyBorder="1" applyAlignment="1">
      <alignment horizontal="center" vertical="center"/>
    </xf>
    <xf numFmtId="2" fontId="24" fillId="13" borderId="1" xfId="0" applyNumberFormat="1" applyFont="1" applyFill="1" applyBorder="1" applyAlignment="1">
      <alignment horizontal="center" vertical="center"/>
    </xf>
    <xf numFmtId="0" fontId="24" fillId="0" borderId="25"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157" fillId="0" borderId="0" xfId="0" applyFont="1" applyAlignment="1">
      <alignment horizontal="left" vertical="center" wrapText="1"/>
    </xf>
    <xf numFmtId="0" fontId="27" fillId="13" borderId="0" xfId="0" applyFont="1" applyFill="1" applyAlignment="1">
      <alignment horizontal="left"/>
    </xf>
    <xf numFmtId="3" fontId="24" fillId="13" borderId="1" xfId="0" applyNumberFormat="1" applyFont="1" applyFill="1" applyBorder="1" applyAlignment="1">
      <alignment horizontal="center" vertical="center"/>
    </xf>
    <xf numFmtId="188" fontId="24" fillId="13" borderId="1" xfId="0" applyNumberFormat="1" applyFont="1" applyFill="1" applyBorder="1" applyAlignment="1">
      <alignment horizontal="center" vertical="center"/>
    </xf>
    <xf numFmtId="164" fontId="24" fillId="0" borderId="16" xfId="0" applyNumberFormat="1" applyFont="1" applyBorder="1" applyAlignment="1">
      <alignment horizontal="center" vertical="center" wrapText="1"/>
    </xf>
    <xf numFmtId="164" fontId="24" fillId="0" borderId="17" xfId="0" applyNumberFormat="1" applyFont="1" applyBorder="1" applyAlignment="1">
      <alignment horizontal="center" vertical="center" wrapText="1"/>
    </xf>
    <xf numFmtId="0" fontId="6" fillId="0" borderId="0" xfId="20" applyFont="1" applyAlignment="1">
      <alignment vertical="center"/>
    </xf>
    <xf numFmtId="0" fontId="0" fillId="0" borderId="0" xfId="20" applyFont="1" applyAlignment="1">
      <alignment vertical="top" wrapText="1"/>
    </xf>
    <xf numFmtId="0" fontId="1" fillId="0" borderId="0" xfId="20" applyAlignment="1">
      <alignment vertical="top" wrapText="1"/>
    </xf>
    <xf numFmtId="0" fontId="0" fillId="0" borderId="0" xfId="20" applyFont="1" applyAlignment="1">
      <alignment vertical="top"/>
    </xf>
    <xf numFmtId="0" fontId="1" fillId="0" borderId="0" xfId="20" applyAlignment="1">
      <alignment vertical="top"/>
    </xf>
    <xf numFmtId="0" fontId="79" fillId="25" borderId="1" xfId="20" applyFont="1" applyFill="1" applyBorder="1" applyAlignment="1">
      <alignment horizontal="left" vertical="center"/>
    </xf>
    <xf numFmtId="0" fontId="4" fillId="2" borderId="1" xfId="20" applyFont="1" applyFill="1" applyBorder="1" applyAlignment="1">
      <alignment horizontal="left" vertical="center"/>
    </xf>
    <xf numFmtId="0" fontId="40" fillId="0" borderId="1" xfId="20" applyFont="1" applyBorder="1" applyAlignment="1">
      <alignment horizontal="center" vertical="top"/>
    </xf>
    <xf numFmtId="0" fontId="40" fillId="0" borderId="0" xfId="20" applyFont="1" applyAlignment="1">
      <alignment vertical="top"/>
    </xf>
    <xf numFmtId="0" fontId="40" fillId="0" borderId="13" xfId="20" applyFont="1" applyBorder="1" applyAlignment="1">
      <alignment horizontal="center" vertical="top"/>
    </xf>
    <xf numFmtId="0" fontId="40" fillId="0" borderId="14" xfId="20" applyFont="1" applyBorder="1" applyAlignment="1">
      <alignment horizontal="center" vertical="top"/>
    </xf>
    <xf numFmtId="0" fontId="40" fillId="0" borderId="15" xfId="20" applyFont="1" applyBorder="1" applyAlignment="1">
      <alignment horizontal="center" vertical="top"/>
    </xf>
    <xf numFmtId="0" fontId="40" fillId="0" borderId="18" xfId="20" applyFont="1" applyBorder="1" applyAlignment="1">
      <alignment horizontal="center" vertical="top"/>
    </xf>
    <xf numFmtId="0" fontId="40" fillId="0" borderId="11" xfId="20" applyFont="1" applyBorder="1" applyAlignment="1">
      <alignment horizontal="center" vertical="top"/>
    </xf>
    <xf numFmtId="0" fontId="40" fillId="0" borderId="19" xfId="20" applyFont="1" applyBorder="1" applyAlignment="1">
      <alignment horizontal="center" vertical="top"/>
    </xf>
    <xf numFmtId="0" fontId="24" fillId="0" borderId="0" xfId="20" applyFont="1" applyAlignment="1">
      <alignment vertical="top" wrapText="1"/>
    </xf>
    <xf numFmtId="0" fontId="24" fillId="0" borderId="0" xfId="20" applyFont="1" applyAlignment="1">
      <alignment vertical="top"/>
    </xf>
    <xf numFmtId="164" fontId="24" fillId="0" borderId="1" xfId="20" applyNumberFormat="1" applyFont="1" applyBorder="1" applyAlignment="1">
      <alignment horizontal="center" vertical="top"/>
    </xf>
    <xf numFmtId="0" fontId="24" fillId="0" borderId="1" xfId="20" applyFont="1" applyBorder="1" applyAlignment="1">
      <alignment horizontal="center" vertical="top"/>
    </xf>
    <xf numFmtId="0" fontId="157" fillId="0" borderId="0" xfId="20" applyFont="1" applyAlignment="1">
      <alignment vertical="top" wrapText="1"/>
    </xf>
    <xf numFmtId="0" fontId="157" fillId="0" borderId="14" xfId="20" applyFont="1" applyBorder="1" applyAlignment="1">
      <alignment vertical="top" wrapText="1"/>
    </xf>
    <xf numFmtId="0" fontId="108" fillId="0" borderId="1" xfId="20" applyFont="1" applyBorder="1" applyAlignment="1">
      <alignment horizontal="center" vertical="center"/>
    </xf>
    <xf numFmtId="0" fontId="108" fillId="0" borderId="2" xfId="20" applyFont="1" applyBorder="1" applyAlignment="1">
      <alignment horizontal="center" vertical="center"/>
    </xf>
    <xf numFmtId="0" fontId="108" fillId="0" borderId="3" xfId="20" applyFont="1" applyBorder="1" applyAlignment="1">
      <alignment horizontal="center" vertical="center"/>
    </xf>
    <xf numFmtId="0" fontId="108" fillId="0" borderId="4" xfId="20" applyFont="1" applyBorder="1" applyAlignment="1">
      <alignment horizontal="center" vertical="center"/>
    </xf>
    <xf numFmtId="0" fontId="109" fillId="0" borderId="2" xfId="20" applyFont="1" applyBorder="1" applyAlignment="1">
      <alignment horizontal="left" vertical="center"/>
    </xf>
    <xf numFmtId="0" fontId="109" fillId="0" borderId="3" xfId="20" applyFont="1" applyBorder="1" applyAlignment="1">
      <alignment horizontal="left" vertical="center"/>
    </xf>
    <xf numFmtId="0" fontId="109" fillId="0" borderId="4" xfId="20" applyFont="1" applyBorder="1" applyAlignment="1">
      <alignment horizontal="left" vertical="center"/>
    </xf>
    <xf numFmtId="0" fontId="109" fillId="0" borderId="1" xfId="20" applyFont="1" applyBorder="1" applyAlignment="1">
      <alignment horizontal="left" vertical="center" wrapText="1"/>
    </xf>
    <xf numFmtId="3" fontId="117" fillId="0" borderId="1" xfId="20" applyNumberFormat="1" applyFont="1" applyBorder="1" applyAlignment="1">
      <alignment horizontal="center" vertical="center" wrapText="1"/>
    </xf>
    <xf numFmtId="0" fontId="117" fillId="0" borderId="2" xfId="20" applyFont="1" applyBorder="1" applyAlignment="1">
      <alignment horizontal="center" vertical="center" wrapText="1"/>
    </xf>
    <xf numFmtId="0" fontId="117" fillId="0" borderId="3" xfId="20" applyFont="1" applyBorder="1" applyAlignment="1">
      <alignment horizontal="center" vertical="center" wrapText="1"/>
    </xf>
    <xf numFmtId="0" fontId="117" fillId="0" borderId="4" xfId="20" applyFont="1" applyBorder="1" applyAlignment="1">
      <alignment horizontal="center" vertical="center" wrapText="1"/>
    </xf>
    <xf numFmtId="0" fontId="117" fillId="0" borderId="2" xfId="20" applyFont="1" applyBorder="1" applyAlignment="1">
      <alignment horizontal="left" vertical="center" wrapText="1"/>
    </xf>
    <xf numFmtId="0" fontId="117" fillId="0" borderId="3" xfId="20" applyFont="1" applyBorder="1" applyAlignment="1">
      <alignment horizontal="left" vertical="center" wrapText="1"/>
    </xf>
    <xf numFmtId="0" fontId="117" fillId="0" borderId="4" xfId="20" applyFont="1" applyBorder="1" applyAlignment="1">
      <alignment horizontal="left" vertical="center" wrapText="1"/>
    </xf>
    <xf numFmtId="164" fontId="117" fillId="0" borderId="1" xfId="20" applyNumberFormat="1" applyFont="1" applyBorder="1" applyAlignment="1">
      <alignment horizontal="center" vertical="center" wrapText="1"/>
    </xf>
    <xf numFmtId="0" fontId="109" fillId="0" borderId="1" xfId="20" applyFont="1" applyBorder="1" applyAlignment="1">
      <alignment horizontal="center" vertical="center" wrapText="1"/>
    </xf>
    <xf numFmtId="0" fontId="109" fillId="0" borderId="2" xfId="20" applyFont="1" applyBorder="1" applyAlignment="1">
      <alignment horizontal="center" vertical="center" wrapText="1"/>
    </xf>
    <xf numFmtId="0" fontId="109" fillId="0" borderId="3" xfId="20" applyFont="1" applyBorder="1" applyAlignment="1">
      <alignment horizontal="center" vertical="center" wrapText="1"/>
    </xf>
    <xf numFmtId="0" fontId="109" fillId="0" borderId="4" xfId="20" applyFont="1" applyBorder="1" applyAlignment="1">
      <alignment horizontal="center" vertical="center" wrapText="1"/>
    </xf>
    <xf numFmtId="0" fontId="109" fillId="0" borderId="2" xfId="20" applyFont="1" applyBorder="1" applyAlignment="1">
      <alignment horizontal="left" vertical="center" wrapText="1"/>
    </xf>
    <xf numFmtId="0" fontId="109" fillId="0" borderId="3" xfId="20" applyFont="1" applyBorder="1" applyAlignment="1">
      <alignment horizontal="left" vertical="center" wrapText="1"/>
    </xf>
    <xf numFmtId="0" fontId="109" fillId="0" borderId="4" xfId="20" applyFont="1" applyBorder="1" applyAlignment="1">
      <alignment horizontal="left" vertical="center" wrapText="1"/>
    </xf>
    <xf numFmtId="3" fontId="109" fillId="0" borderId="1" xfId="20" applyNumberFormat="1" applyFont="1" applyBorder="1" applyAlignment="1">
      <alignment horizontal="center" vertical="center" wrapText="1"/>
    </xf>
    <xf numFmtId="0" fontId="157" fillId="0" borderId="0" xfId="20" applyFont="1" applyAlignment="1">
      <alignment horizontal="left" vertical="top" wrapText="1"/>
    </xf>
    <xf numFmtId="0" fontId="71" fillId="0" borderId="0" xfId="20" applyFont="1" applyAlignment="1">
      <alignment horizontal="left" vertical="top" wrapText="1"/>
    </xf>
    <xf numFmtId="0" fontId="16" fillId="0" borderId="0" xfId="4" applyFill="1" applyAlignment="1">
      <alignment horizontal="center"/>
    </xf>
    <xf numFmtId="0" fontId="40" fillId="0" borderId="12" xfId="0" applyFont="1" applyBorder="1" applyAlignment="1">
      <alignment vertical="center"/>
    </xf>
    <xf numFmtId="0" fontId="40" fillId="0" borderId="22" xfId="0" applyFont="1" applyBorder="1" applyAlignment="1">
      <alignment vertical="center"/>
    </xf>
    <xf numFmtId="0" fontId="40" fillId="0" borderId="2" xfId="0" applyFont="1" applyBorder="1" applyAlignment="1">
      <alignment horizontal="center" wrapText="1"/>
    </xf>
    <xf numFmtId="0" fontId="40" fillId="0" borderId="4" xfId="0" applyFont="1" applyBorder="1" applyAlignment="1">
      <alignment horizontal="center" wrapText="1"/>
    </xf>
    <xf numFmtId="0" fontId="40" fillId="0" borderId="2" xfId="0" applyFont="1" applyBorder="1" applyAlignment="1">
      <alignment horizontal="center"/>
    </xf>
    <xf numFmtId="0" fontId="40" fillId="0" borderId="4" xfId="0" applyFont="1" applyBorder="1" applyAlignment="1">
      <alignment horizontal="center"/>
    </xf>
    <xf numFmtId="0" fontId="76" fillId="0" borderId="0" xfId="0" applyFont="1" applyAlignment="1">
      <alignment vertical="top" wrapText="1"/>
    </xf>
    <xf numFmtId="0" fontId="13" fillId="20" borderId="1" xfId="0" applyFont="1" applyFill="1" applyBorder="1" applyAlignment="1">
      <alignment horizontal="center" vertical="top" wrapText="1"/>
    </xf>
    <xf numFmtId="168" fontId="2" fillId="20" borderId="1" xfId="0" applyNumberFormat="1" applyFont="1" applyFill="1" applyBorder="1" applyAlignment="1">
      <alignment horizontal="center" vertical="top" wrapText="1"/>
    </xf>
    <xf numFmtId="0" fontId="13" fillId="0" borderId="11" xfId="0" applyFont="1" applyBorder="1" applyAlignment="1">
      <alignment horizontal="left" vertical="center" wrapText="1"/>
    </xf>
    <xf numFmtId="0" fontId="76" fillId="0" borderId="14" xfId="0" applyFont="1" applyBorder="1" applyAlignment="1">
      <alignment vertical="top" wrapText="1"/>
    </xf>
    <xf numFmtId="0" fontId="76" fillId="0" borderId="1" xfId="0" applyFont="1" applyBorder="1" applyAlignment="1">
      <alignment horizontal="center" vertical="center" wrapText="1"/>
    </xf>
    <xf numFmtId="2" fontId="76" fillId="0" borderId="1" xfId="0" applyNumberFormat="1" applyFont="1" applyBorder="1" applyAlignment="1">
      <alignment horizontal="center" vertical="center"/>
    </xf>
    <xf numFmtId="3" fontId="76" fillId="0" borderId="1" xfId="0" applyNumberFormat="1" applyFont="1" applyBorder="1" applyAlignment="1">
      <alignment horizontal="center" vertical="center"/>
    </xf>
    <xf numFmtId="194" fontId="71" fillId="0" borderId="1" xfId="0" applyNumberFormat="1" applyFont="1" applyBorder="1" applyAlignment="1">
      <alignment horizontal="center" vertical="center"/>
    </xf>
    <xf numFmtId="195" fontId="71" fillId="0" borderId="1" xfId="0" applyNumberFormat="1" applyFont="1" applyBorder="1" applyAlignment="1">
      <alignment horizontal="center" vertical="center"/>
    </xf>
    <xf numFmtId="195" fontId="71" fillId="0" borderId="2" xfId="0" applyNumberFormat="1" applyFont="1" applyBorder="1" applyAlignment="1">
      <alignment horizontal="center" vertical="center"/>
    </xf>
    <xf numFmtId="195" fontId="71" fillId="0" borderId="3" xfId="0" applyNumberFormat="1" applyFont="1" applyBorder="1" applyAlignment="1">
      <alignment horizontal="center" vertical="center"/>
    </xf>
    <xf numFmtId="195" fontId="71" fillId="0" borderId="4" xfId="0" applyNumberFormat="1" applyFont="1" applyBorder="1" applyAlignment="1">
      <alignment horizontal="center" vertical="center"/>
    </xf>
    <xf numFmtId="194" fontId="71" fillId="0" borderId="2" xfId="0" applyNumberFormat="1" applyFont="1" applyBorder="1" applyAlignment="1">
      <alignment horizontal="center" vertical="center"/>
    </xf>
    <xf numFmtId="194" fontId="71" fillId="0" borderId="3" xfId="0" applyNumberFormat="1" applyFont="1" applyBorder="1" applyAlignment="1">
      <alignment horizontal="center" vertical="center"/>
    </xf>
    <xf numFmtId="194" fontId="71" fillId="0" borderId="4" xfId="0" applyNumberFormat="1" applyFont="1" applyBorder="1" applyAlignment="1">
      <alignment horizontal="center" vertical="center"/>
    </xf>
    <xf numFmtId="0" fontId="13" fillId="0" borderId="1" xfId="0" applyFont="1" applyBorder="1" applyAlignment="1">
      <alignment horizontal="center" vertical="top" wrapText="1"/>
    </xf>
    <xf numFmtId="168" fontId="2" fillId="0" borderId="1" xfId="0" applyNumberFormat="1" applyFont="1" applyBorder="1" applyAlignment="1">
      <alignment horizontal="center" vertical="top" wrapText="1"/>
    </xf>
    <xf numFmtId="168" fontId="0" fillId="0" borderId="2" xfId="0" applyNumberFormat="1" applyBorder="1" applyAlignment="1">
      <alignment horizontal="center" vertical="center"/>
    </xf>
    <xf numFmtId="168" fontId="0" fillId="0" borderId="3" xfId="0" applyNumberFormat="1" applyBorder="1" applyAlignment="1">
      <alignment horizontal="center" vertical="center"/>
    </xf>
    <xf numFmtId="168" fontId="0" fillId="0" borderId="4" xfId="0" applyNumberFormat="1" applyBorder="1" applyAlignment="1">
      <alignment horizontal="center" vertical="center"/>
    </xf>
    <xf numFmtId="0" fontId="20" fillId="16" borderId="2" xfId="0" applyFont="1" applyFill="1" applyBorder="1" applyAlignment="1" applyProtection="1">
      <alignment horizontal="center" vertical="center"/>
      <protection locked="0"/>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168" fontId="20" fillId="16" borderId="2" xfId="0" applyNumberFormat="1" applyFont="1" applyFill="1" applyBorder="1" applyAlignment="1" applyProtection="1">
      <alignment horizontal="center" vertical="center"/>
      <protection locked="0"/>
    </xf>
    <xf numFmtId="168" fontId="20" fillId="16" borderId="3" xfId="0" applyNumberFormat="1" applyFont="1" applyFill="1" applyBorder="1" applyAlignment="1" applyProtection="1">
      <alignment horizontal="center" vertical="center"/>
      <protection locked="0"/>
    </xf>
    <xf numFmtId="168" fontId="20" fillId="16" borderId="4" xfId="0" applyNumberFormat="1" applyFont="1" applyFill="1" applyBorder="1" applyAlignment="1" applyProtection="1">
      <alignment horizontal="center" vertical="center"/>
      <protection locked="0"/>
    </xf>
    <xf numFmtId="3" fontId="20" fillId="16" borderId="2" xfId="0" applyNumberFormat="1" applyFont="1" applyFill="1" applyBorder="1" applyAlignment="1" applyProtection="1">
      <alignment horizontal="center" vertical="center"/>
      <protection locked="0"/>
    </xf>
    <xf numFmtId="3" fontId="20" fillId="16" borderId="3" xfId="0" applyNumberFormat="1" applyFont="1" applyFill="1" applyBorder="1" applyAlignment="1" applyProtection="1">
      <alignment horizontal="center" vertical="center"/>
      <protection locked="0"/>
    </xf>
    <xf numFmtId="3" fontId="20" fillId="16" borderId="4" xfId="0" applyNumberFormat="1" applyFont="1" applyFill="1" applyBorder="1" applyAlignment="1" applyProtection="1">
      <alignment horizontal="center" vertical="center"/>
      <protection locked="0"/>
    </xf>
    <xf numFmtId="0" fontId="74" fillId="0" borderId="1" xfId="0" applyFont="1" applyBorder="1" applyAlignment="1">
      <alignment horizontal="center" vertical="center" wrapText="1"/>
    </xf>
    <xf numFmtId="0" fontId="74" fillId="0" borderId="1" xfId="0" applyFont="1" applyBorder="1" applyAlignment="1">
      <alignment horizontal="center" vertical="center"/>
    </xf>
    <xf numFmtId="0" fontId="70" fillId="0" borderId="1" xfId="0" applyFont="1" applyBorder="1" applyAlignment="1">
      <alignment horizontal="center" vertical="center" wrapText="1"/>
    </xf>
    <xf numFmtId="0" fontId="109" fillId="0" borderId="2" xfId="0" applyFont="1" applyBorder="1" applyAlignment="1">
      <alignment vertical="center" wrapText="1"/>
    </xf>
    <xf numFmtId="0" fontId="109" fillId="0" borderId="3" xfId="0" applyFont="1" applyBorder="1" applyAlignment="1">
      <alignment vertical="center" wrapText="1"/>
    </xf>
    <xf numFmtId="0" fontId="109" fillId="0" borderId="4" xfId="0" applyFont="1" applyBorder="1" applyAlignment="1">
      <alignment vertical="center" wrapText="1"/>
    </xf>
    <xf numFmtId="0" fontId="158" fillId="0" borderId="2" xfId="4" applyFont="1" applyBorder="1" applyAlignment="1">
      <alignment vertical="center" wrapText="1"/>
    </xf>
    <xf numFmtId="0" fontId="158" fillId="0" borderId="3" xfId="4" applyFont="1" applyBorder="1" applyAlignment="1">
      <alignment vertical="center" wrapText="1"/>
    </xf>
    <xf numFmtId="0" fontId="158" fillId="0" borderId="4" xfId="4" applyFont="1" applyBorder="1" applyAlignment="1">
      <alignment vertical="center" wrapText="1"/>
    </xf>
    <xf numFmtId="0" fontId="109" fillId="0" borderId="2" xfId="1" applyNumberFormat="1" applyFont="1" applyBorder="1" applyAlignment="1">
      <alignment horizontal="center" vertical="center"/>
    </xf>
    <xf numFmtId="0" fontId="109" fillId="0" borderId="3" xfId="1" applyNumberFormat="1" applyFont="1" applyBorder="1" applyAlignment="1">
      <alignment horizontal="center" vertical="center"/>
    </xf>
    <xf numFmtId="0" fontId="109" fillId="0" borderId="4" xfId="1" applyNumberFormat="1" applyFont="1" applyBorder="1" applyAlignment="1">
      <alignment horizontal="center" vertical="center"/>
    </xf>
    <xf numFmtId="0" fontId="105" fillId="0" borderId="0" xfId="11" applyFont="1" applyAlignment="1">
      <alignment horizontal="left" wrapText="1"/>
    </xf>
    <xf numFmtId="0" fontId="24" fillId="0" borderId="0" xfId="0" applyFont="1" applyAlignment="1">
      <alignment horizontal="left" vertical="center"/>
    </xf>
    <xf numFmtId="0" fontId="79" fillId="25" borderId="16" xfId="0" applyFont="1" applyFill="1" applyBorder="1" applyAlignment="1">
      <alignment horizontal="left" vertical="center"/>
    </xf>
    <xf numFmtId="0" fontId="16" fillId="0" borderId="2" xfId="4" applyFill="1" applyBorder="1" applyAlignment="1">
      <alignment horizontal="center" vertical="center" wrapText="1"/>
    </xf>
    <xf numFmtId="0" fontId="16" fillId="0" borderId="3" xfId="4" applyFill="1" applyBorder="1" applyAlignment="1">
      <alignment horizontal="center" vertical="center" wrapText="1"/>
    </xf>
    <xf numFmtId="0" fontId="16" fillId="0" borderId="4" xfId="4" applyFill="1" applyBorder="1" applyAlignment="1">
      <alignment horizontal="center" vertical="center" wrapText="1"/>
    </xf>
    <xf numFmtId="0" fontId="40" fillId="2" borderId="16" xfId="0" applyFont="1" applyFill="1" applyBorder="1" applyAlignment="1">
      <alignment horizontal="left" vertical="center"/>
    </xf>
    <xf numFmtId="0" fontId="40" fillId="2" borderId="0" xfId="0" applyFont="1" applyFill="1" applyAlignment="1">
      <alignment horizontal="left" vertical="center"/>
    </xf>
    <xf numFmtId="0" fontId="16" fillId="0" borderId="0" xfId="4" applyFill="1" applyAlignment="1">
      <alignment vertical="center"/>
    </xf>
    <xf numFmtId="0" fontId="66" fillId="13" borderId="0" xfId="0" applyFont="1" applyFill="1" applyAlignment="1">
      <alignment horizontal="left"/>
    </xf>
    <xf numFmtId="164" fontId="29" fillId="0" borderId="0" xfId="0" quotePrefix="1" applyNumberFormat="1" applyFont="1" applyAlignment="1">
      <alignment horizontal="center" vertical="center" wrapText="1"/>
    </xf>
    <xf numFmtId="164" fontId="29" fillId="0" borderId="0" xfId="0" applyNumberFormat="1" applyFont="1" applyAlignment="1">
      <alignment horizontal="center" vertical="center" wrapText="1"/>
    </xf>
    <xf numFmtId="164" fontId="24" fillId="0" borderId="0" xfId="0" applyNumberFormat="1" applyFont="1" applyAlignment="1">
      <alignment horizontal="center" vertical="center" wrapText="1"/>
    </xf>
    <xf numFmtId="0" fontId="154" fillId="0" borderId="2" xfId="0" applyFont="1" applyBorder="1" applyAlignment="1">
      <alignment horizontal="left" vertical="center" wrapText="1"/>
    </xf>
    <xf numFmtId="0" fontId="154" fillId="0" borderId="3" xfId="0" applyFont="1" applyBorder="1" applyAlignment="1">
      <alignment horizontal="left" vertical="center" wrapText="1"/>
    </xf>
    <xf numFmtId="0" fontId="154" fillId="0" borderId="4" xfId="0" applyFont="1" applyBorder="1" applyAlignment="1">
      <alignment horizontal="left" vertical="center" wrapText="1"/>
    </xf>
    <xf numFmtId="0" fontId="40" fillId="0" borderId="2" xfId="0" applyFont="1" applyBorder="1" applyAlignment="1">
      <alignment horizontal="center" vertical="center"/>
    </xf>
    <xf numFmtId="0" fontId="40" fillId="0" borderId="3" xfId="0" applyFont="1" applyBorder="1" applyAlignment="1">
      <alignment horizontal="center" vertical="center"/>
    </xf>
    <xf numFmtId="0" fontId="40" fillId="0" borderId="4" xfId="0" applyFont="1" applyBorder="1" applyAlignment="1">
      <alignment horizontal="center" vertical="center"/>
    </xf>
    <xf numFmtId="196" fontId="24" fillId="3" borderId="1" xfId="0" applyNumberFormat="1" applyFont="1" applyFill="1" applyBorder="1" applyAlignment="1">
      <alignment horizontal="center" vertical="center" wrapText="1"/>
    </xf>
    <xf numFmtId="197" fontId="24" fillId="3" borderId="2" xfId="0" applyNumberFormat="1" applyFont="1" applyFill="1" applyBorder="1" applyAlignment="1">
      <alignment horizontal="center" vertical="center" wrapText="1"/>
    </xf>
    <xf numFmtId="197" fontId="24" fillId="3" borderId="3" xfId="0" applyNumberFormat="1" applyFont="1" applyFill="1" applyBorder="1" applyAlignment="1">
      <alignment horizontal="center" vertical="center" wrapText="1"/>
    </xf>
    <xf numFmtId="197" fontId="24" fillId="3" borderId="4" xfId="0" applyNumberFormat="1" applyFont="1" applyFill="1" applyBorder="1" applyAlignment="1">
      <alignment horizontal="center" vertical="center" wrapText="1"/>
    </xf>
    <xf numFmtId="197" fontId="24" fillId="22" borderId="1" xfId="0" applyNumberFormat="1" applyFont="1" applyFill="1" applyBorder="1" applyAlignment="1">
      <alignment horizontal="center" vertical="center" wrapText="1"/>
    </xf>
    <xf numFmtId="165" fontId="213" fillId="0" borderId="2" xfId="0" applyNumberFormat="1" applyFont="1" applyBorder="1" applyAlignment="1">
      <alignment horizontal="center" vertical="center"/>
    </xf>
    <xf numFmtId="165" fontId="213" fillId="0" borderId="3" xfId="0" applyNumberFormat="1" applyFont="1" applyBorder="1" applyAlignment="1">
      <alignment horizontal="center" vertical="center"/>
    </xf>
    <xf numFmtId="165" fontId="213" fillId="0" borderId="4" xfId="0" applyNumberFormat="1" applyFont="1" applyBorder="1" applyAlignment="1">
      <alignment horizontal="center" vertical="center"/>
    </xf>
    <xf numFmtId="2" fontId="213" fillId="0" borderId="2" xfId="0" applyNumberFormat="1" applyFont="1" applyBorder="1" applyAlignment="1">
      <alignment horizontal="center" vertical="center"/>
    </xf>
    <xf numFmtId="2" fontId="213" fillId="0" borderId="3" xfId="0" applyNumberFormat="1" applyFont="1" applyBorder="1" applyAlignment="1">
      <alignment horizontal="center" vertical="center"/>
    </xf>
    <xf numFmtId="2" fontId="213" fillId="0" borderId="4" xfId="0" applyNumberFormat="1" applyFont="1" applyBorder="1" applyAlignment="1">
      <alignment horizontal="center" vertical="center"/>
    </xf>
    <xf numFmtId="0" fontId="22" fillId="0" borderId="2"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135" fillId="0" borderId="16" xfId="0" applyFont="1" applyBorder="1" applyAlignment="1">
      <alignment horizontal="left" vertical="center"/>
    </xf>
    <xf numFmtId="0" fontId="135" fillId="0" borderId="0" xfId="0" applyFont="1" applyAlignment="1">
      <alignment horizontal="left" vertical="center"/>
    </xf>
    <xf numFmtId="0" fontId="135" fillId="0" borderId="17" xfId="0" applyFont="1" applyBorder="1" applyAlignment="1">
      <alignment horizontal="left" vertical="center"/>
    </xf>
    <xf numFmtId="0" fontId="16" fillId="0" borderId="1" xfId="4" applyFill="1" applyBorder="1"/>
    <xf numFmtId="0" fontId="132" fillId="0" borderId="16" xfId="0" applyFont="1" applyBorder="1" applyAlignment="1">
      <alignment horizontal="left" vertical="center"/>
    </xf>
    <xf numFmtId="0" fontId="132" fillId="0" borderId="0" xfId="0" applyFont="1" applyAlignment="1">
      <alignment horizontal="left" vertical="center"/>
    </xf>
    <xf numFmtId="0" fontId="132" fillId="0" borderId="17" xfId="0" applyFont="1" applyBorder="1" applyAlignment="1">
      <alignment horizontal="left" vertical="center"/>
    </xf>
    <xf numFmtId="0" fontId="213" fillId="0" borderId="2" xfId="0" applyFont="1" applyBorder="1" applyAlignment="1">
      <alignment horizontal="left" vertical="center"/>
    </xf>
    <xf numFmtId="0" fontId="213" fillId="0" borderId="3" xfId="0" applyFont="1" applyBorder="1" applyAlignment="1">
      <alignment horizontal="left" vertical="center"/>
    </xf>
    <xf numFmtId="0" fontId="213" fillId="0" borderId="4" xfId="0" applyFont="1" applyBorder="1" applyAlignment="1">
      <alignment horizontal="left" vertical="center"/>
    </xf>
    <xf numFmtId="0" fontId="46" fillId="0" borderId="2" xfId="0" applyFont="1" applyBorder="1" applyAlignment="1">
      <alignment horizontal="center" vertical="center"/>
    </xf>
    <xf numFmtId="0" fontId="46" fillId="0" borderId="3" xfId="0" applyFont="1" applyBorder="1" applyAlignment="1">
      <alignment horizontal="center" vertical="center"/>
    </xf>
    <xf numFmtId="0" fontId="46" fillId="0" borderId="4" xfId="0" applyFont="1" applyBorder="1" applyAlignment="1">
      <alignment horizontal="center" vertical="center"/>
    </xf>
    <xf numFmtId="0" fontId="237" fillId="27" borderId="2" xfId="0" applyFont="1" applyFill="1" applyBorder="1" applyAlignment="1">
      <alignment horizontal="center" vertical="center"/>
    </xf>
    <xf numFmtId="0" fontId="237" fillId="27" borderId="3" xfId="0" applyFont="1" applyFill="1" applyBorder="1" applyAlignment="1">
      <alignment horizontal="center" vertical="center"/>
    </xf>
    <xf numFmtId="0" fontId="237" fillId="27" borderId="4" xfId="0" applyFont="1" applyFill="1" applyBorder="1" applyAlignment="1">
      <alignment horizontal="center" vertical="center"/>
    </xf>
    <xf numFmtId="0" fontId="237" fillId="28" borderId="2" xfId="0" applyFont="1" applyFill="1" applyBorder="1" applyAlignment="1">
      <alignment horizontal="center" vertical="center"/>
    </xf>
    <xf numFmtId="0" fontId="237" fillId="28" borderId="3" xfId="0" applyFont="1" applyFill="1" applyBorder="1" applyAlignment="1">
      <alignment horizontal="center" vertical="center"/>
    </xf>
    <xf numFmtId="0" fontId="237" fillId="28" borderId="4" xfId="0" applyFont="1" applyFill="1" applyBorder="1" applyAlignment="1">
      <alignment horizontal="center" vertical="center"/>
    </xf>
    <xf numFmtId="0" fontId="64" fillId="0" borderId="2" xfId="0" applyFont="1" applyBorder="1" applyAlignment="1">
      <alignment horizontal="center" vertical="center"/>
    </xf>
    <xf numFmtId="0" fontId="64" fillId="0" borderId="3" xfId="0" applyFont="1" applyBorder="1" applyAlignment="1">
      <alignment horizontal="center" vertical="center"/>
    </xf>
    <xf numFmtId="0" fontId="64" fillId="0" borderId="4" xfId="0" applyFont="1" applyBorder="1" applyAlignment="1">
      <alignment horizontal="center" vertical="center"/>
    </xf>
    <xf numFmtId="188" fontId="2" fillId="0" borderId="2" xfId="0" applyNumberFormat="1" applyFont="1" applyBorder="1" applyAlignment="1">
      <alignment horizontal="center" vertical="center"/>
    </xf>
    <xf numFmtId="188" fontId="2" fillId="0" borderId="3" xfId="0" applyNumberFormat="1" applyFont="1" applyBorder="1" applyAlignment="1">
      <alignment horizontal="center" vertical="center"/>
    </xf>
    <xf numFmtId="188" fontId="2" fillId="0" borderId="4" xfId="0" applyNumberFormat="1" applyFont="1" applyBorder="1" applyAlignment="1">
      <alignment horizontal="center" vertical="center"/>
    </xf>
    <xf numFmtId="165" fontId="22" fillId="0" borderId="1" xfId="0" applyNumberFormat="1" applyFont="1" applyBorder="1" applyAlignment="1">
      <alignment horizontal="center" vertical="center"/>
    </xf>
    <xf numFmtId="165" fontId="22" fillId="0" borderId="2" xfId="0" applyNumberFormat="1" applyFont="1" applyBorder="1" applyAlignment="1">
      <alignment horizontal="center" vertical="center"/>
    </xf>
    <xf numFmtId="165" fontId="22" fillId="0" borderId="3" xfId="0" applyNumberFormat="1" applyFont="1" applyBorder="1" applyAlignment="1">
      <alignment horizontal="center" vertical="center"/>
    </xf>
    <xf numFmtId="165" fontId="22" fillId="0" borderId="4" xfId="0" applyNumberFormat="1" applyFont="1" applyBorder="1" applyAlignment="1">
      <alignment horizontal="center" vertical="center"/>
    </xf>
    <xf numFmtId="165" fontId="213" fillId="0" borderId="1" xfId="0" applyNumberFormat="1" applyFont="1" applyBorder="1" applyAlignment="1">
      <alignment horizontal="center" vertical="center"/>
    </xf>
    <xf numFmtId="4" fontId="213" fillId="0" borderId="1" xfId="0" applyNumberFormat="1" applyFont="1" applyBorder="1" applyAlignment="1">
      <alignment horizontal="center" vertical="center"/>
    </xf>
    <xf numFmtId="4" fontId="213" fillId="0" borderId="2" xfId="0" applyNumberFormat="1" applyFont="1" applyBorder="1" applyAlignment="1">
      <alignment horizontal="center" vertical="center"/>
    </xf>
    <xf numFmtId="4" fontId="213" fillId="0" borderId="3" xfId="0" applyNumberFormat="1" applyFont="1" applyBorder="1" applyAlignment="1">
      <alignment horizontal="center" vertical="center"/>
    </xf>
    <xf numFmtId="4" fontId="213" fillId="0" borderId="4" xfId="0" applyNumberFormat="1" applyFont="1" applyBorder="1" applyAlignment="1">
      <alignment horizontal="center" vertical="center"/>
    </xf>
    <xf numFmtId="0" fontId="237" fillId="27" borderId="1" xfId="0" applyFont="1" applyFill="1" applyBorder="1" applyAlignment="1">
      <alignment horizontal="center" vertical="center"/>
    </xf>
    <xf numFmtId="0" fontId="237" fillId="28" borderId="1" xfId="0" applyFont="1" applyFill="1" applyBorder="1" applyAlignment="1">
      <alignment horizontal="center" vertical="center"/>
    </xf>
    <xf numFmtId="0" fontId="237" fillId="0" borderId="2" xfId="0" applyFont="1" applyBorder="1" applyAlignment="1">
      <alignment horizontal="center" vertical="center"/>
    </xf>
    <xf numFmtId="0" fontId="237" fillId="0" borderId="3" xfId="0" applyFont="1" applyBorder="1" applyAlignment="1">
      <alignment horizontal="center" vertical="center"/>
    </xf>
    <xf numFmtId="0" fontId="237" fillId="0" borderId="4" xfId="0" applyFont="1" applyBorder="1" applyAlignment="1">
      <alignment horizontal="center" vertical="center"/>
    </xf>
    <xf numFmtId="2" fontId="213" fillId="0" borderId="1" xfId="0" applyNumberFormat="1" applyFont="1" applyBorder="1" applyAlignment="1">
      <alignment horizontal="center" vertical="center"/>
    </xf>
    <xf numFmtId="2" fontId="22" fillId="0" borderId="1" xfId="0" applyNumberFormat="1" applyFont="1" applyBorder="1" applyAlignment="1">
      <alignment horizontal="center" vertical="center"/>
    </xf>
    <xf numFmtId="2" fontId="132" fillId="0" borderId="2" xfId="0" applyNumberFormat="1" applyFont="1" applyBorder="1" applyAlignment="1">
      <alignment horizontal="center" vertical="center"/>
    </xf>
    <xf numFmtId="2" fontId="132" fillId="0" borderId="3" xfId="0" applyNumberFormat="1" applyFont="1" applyBorder="1" applyAlignment="1">
      <alignment horizontal="center" vertical="center"/>
    </xf>
    <xf numFmtId="2" fontId="132" fillId="0" borderId="4" xfId="0" applyNumberFormat="1" applyFont="1" applyBorder="1" applyAlignment="1">
      <alignment horizontal="center" vertical="center"/>
    </xf>
    <xf numFmtId="0" fontId="146" fillId="0" borderId="0" xfId="0" applyFont="1" applyAlignment="1">
      <alignment horizontal="center" vertical="center" wrapText="1"/>
    </xf>
    <xf numFmtId="0" fontId="46" fillId="9" borderId="2" xfId="0" applyFont="1" applyFill="1" applyBorder="1" applyAlignment="1">
      <alignment horizontal="center" vertical="center"/>
    </xf>
    <xf numFmtId="0" fontId="46" fillId="9" borderId="3" xfId="0" applyFont="1" applyFill="1" applyBorder="1" applyAlignment="1">
      <alignment horizontal="center" vertical="center"/>
    </xf>
    <xf numFmtId="0" fontId="46" fillId="9" borderId="4" xfId="0" applyFont="1" applyFill="1" applyBorder="1" applyAlignment="1">
      <alignment horizontal="center" vertical="center"/>
    </xf>
    <xf numFmtId="0" fontId="46" fillId="10" borderId="1" xfId="0" applyFont="1" applyFill="1" applyBorder="1" applyAlignment="1">
      <alignment horizontal="center" vertical="center"/>
    </xf>
    <xf numFmtId="0" fontId="147" fillId="27" borderId="1" xfId="0" applyFont="1" applyFill="1" applyBorder="1" applyAlignment="1">
      <alignment horizontal="center" vertical="center" wrapText="1"/>
    </xf>
    <xf numFmtId="0" fontId="147" fillId="28" borderId="2" xfId="0" applyFont="1" applyFill="1" applyBorder="1" applyAlignment="1">
      <alignment horizontal="center" vertical="center" wrapText="1"/>
    </xf>
    <xf numFmtId="0" fontId="147" fillId="28" borderId="3" xfId="0" applyFont="1" applyFill="1" applyBorder="1" applyAlignment="1">
      <alignment horizontal="center" vertical="center" wrapText="1"/>
    </xf>
    <xf numFmtId="0" fontId="147" fillId="28" borderId="4" xfId="0" applyFont="1" applyFill="1" applyBorder="1" applyAlignment="1">
      <alignment horizontal="center" vertical="center" wrapText="1"/>
    </xf>
    <xf numFmtId="0" fontId="147" fillId="28" borderId="1" xfId="0" applyFont="1" applyFill="1" applyBorder="1" applyAlignment="1">
      <alignment horizontal="center" vertical="center" wrapText="1"/>
    </xf>
    <xf numFmtId="0" fontId="137" fillId="0" borderId="2" xfId="0" applyFont="1" applyBorder="1" applyAlignment="1">
      <alignment horizontal="left" vertical="center" wrapText="1"/>
    </xf>
    <xf numFmtId="0" fontId="137" fillId="0" borderId="3" xfId="0" applyFont="1" applyBorder="1" applyAlignment="1">
      <alignment horizontal="left" vertical="center" wrapText="1"/>
    </xf>
    <xf numFmtId="0" fontId="137" fillId="0" borderId="4" xfId="0" applyFont="1" applyBorder="1" applyAlignment="1">
      <alignment horizontal="left" vertical="center" wrapText="1"/>
    </xf>
    <xf numFmtId="0" fontId="131" fillId="0" borderId="13" xfId="0" applyFont="1" applyBorder="1" applyAlignment="1">
      <alignment horizontal="center" vertical="center" wrapText="1"/>
    </xf>
    <xf numFmtId="0" fontId="131" fillId="0" borderId="14" xfId="0" applyFont="1" applyBorder="1" applyAlignment="1">
      <alignment horizontal="center" vertical="center" wrapText="1"/>
    </xf>
    <xf numFmtId="0" fontId="131" fillId="0" borderId="15" xfId="0" applyFont="1" applyBorder="1" applyAlignment="1">
      <alignment horizontal="center" vertical="center" wrapText="1"/>
    </xf>
    <xf numFmtId="0" fontId="131" fillId="0" borderId="16" xfId="0" applyFont="1" applyBorder="1" applyAlignment="1">
      <alignment horizontal="center" vertical="center" wrapText="1"/>
    </xf>
    <xf numFmtId="0" fontId="131" fillId="0" borderId="0" xfId="0" applyFont="1" applyAlignment="1">
      <alignment horizontal="center" vertical="center" wrapText="1"/>
    </xf>
    <xf numFmtId="0" fontId="131" fillId="0" borderId="17" xfId="0" applyFont="1" applyBorder="1" applyAlignment="1">
      <alignment horizontal="center" vertical="center" wrapText="1"/>
    </xf>
    <xf numFmtId="0" fontId="131" fillId="0" borderId="18" xfId="0" applyFont="1" applyBorder="1" applyAlignment="1">
      <alignment horizontal="center" vertical="center" wrapText="1"/>
    </xf>
    <xf numFmtId="0" fontId="131" fillId="0" borderId="11" xfId="0" applyFont="1" applyBorder="1" applyAlignment="1">
      <alignment horizontal="center" vertical="center" wrapText="1"/>
    </xf>
    <xf numFmtId="0" fontId="131" fillId="0" borderId="19" xfId="0" applyFont="1" applyBorder="1" applyAlignment="1">
      <alignment horizontal="center" vertical="center" wrapText="1"/>
    </xf>
    <xf numFmtId="0" fontId="71" fillId="0" borderId="0" xfId="0" applyFont="1" applyAlignment="1">
      <alignment horizontal="left" vertical="center" wrapText="1"/>
    </xf>
    <xf numFmtId="0" fontId="71" fillId="0" borderId="14" xfId="0" applyFont="1" applyBorder="1" applyAlignment="1">
      <alignment horizontal="left" vertical="center"/>
    </xf>
    <xf numFmtId="0" fontId="71" fillId="0" borderId="0" xfId="0" applyFont="1" applyAlignment="1">
      <alignment horizontal="left" vertical="center"/>
    </xf>
    <xf numFmtId="0" fontId="71" fillId="0" borderId="0" xfId="0" applyFont="1" applyAlignment="1">
      <alignment vertical="center" wrapText="1"/>
    </xf>
    <xf numFmtId="2" fontId="131" fillId="0" borderId="2" xfId="0" applyNumberFormat="1" applyFont="1" applyBorder="1" applyAlignment="1">
      <alignment horizontal="center" vertical="center"/>
    </xf>
    <xf numFmtId="2" fontId="131" fillId="0" borderId="3" xfId="0" applyNumberFormat="1" applyFont="1" applyBorder="1" applyAlignment="1">
      <alignment horizontal="center" vertical="center"/>
    </xf>
    <xf numFmtId="2" fontId="131" fillId="0" borderId="4" xfId="0" applyNumberFormat="1" applyFont="1" applyBorder="1" applyAlignment="1">
      <alignment horizontal="center" vertical="center"/>
    </xf>
    <xf numFmtId="0" fontId="132" fillId="0" borderId="1" xfId="0" applyFont="1" applyBorder="1" applyAlignment="1">
      <alignment horizontal="left" vertical="center" wrapText="1"/>
    </xf>
    <xf numFmtId="2" fontId="132" fillId="0" borderId="1" xfId="0" applyNumberFormat="1" applyFont="1" applyBorder="1" applyAlignment="1">
      <alignment horizontal="center" vertical="center"/>
    </xf>
    <xf numFmtId="0" fontId="137" fillId="0" borderId="1" xfId="0" applyFont="1" applyBorder="1" applyAlignment="1">
      <alignment horizontal="left" vertical="center" wrapText="1"/>
    </xf>
    <xf numFmtId="0" fontId="132" fillId="0" borderId="14" xfId="0" applyFont="1" applyBorder="1" applyAlignment="1">
      <alignment horizontal="left" vertical="center" wrapText="1"/>
    </xf>
    <xf numFmtId="0" fontId="40" fillId="0" borderId="11" xfId="0" applyFont="1" applyBorder="1" applyAlignment="1">
      <alignment horizontal="left" vertical="center" wrapText="1"/>
    </xf>
    <xf numFmtId="0" fontId="132" fillId="0" borderId="0" xfId="0" applyFont="1" applyAlignment="1">
      <alignment horizontal="left" vertical="center" wrapText="1"/>
    </xf>
    <xf numFmtId="0" fontId="132" fillId="0" borderId="0" xfId="0" applyFont="1" applyAlignment="1">
      <alignment vertical="center" wrapText="1"/>
    </xf>
    <xf numFmtId="0" fontId="131" fillId="0" borderId="1" xfId="0" applyFont="1" applyBorder="1" applyAlignment="1">
      <alignment horizontal="center" vertical="center" wrapText="1"/>
    </xf>
    <xf numFmtId="165" fontId="132" fillId="0" borderId="1" xfId="0" quotePrefix="1" applyNumberFormat="1" applyFont="1" applyBorder="1" applyAlignment="1">
      <alignment horizontal="center" vertical="center"/>
    </xf>
    <xf numFmtId="165" fontId="132" fillId="0" borderId="1" xfId="0" applyNumberFormat="1" applyFont="1" applyBorder="1" applyAlignment="1">
      <alignment horizontal="center" vertical="center"/>
    </xf>
    <xf numFmtId="0" fontId="132" fillId="0" borderId="1" xfId="0" quotePrefix="1" applyFont="1" applyBorder="1" applyAlignment="1">
      <alignment horizontal="center" vertical="center"/>
    </xf>
    <xf numFmtId="0" fontId="132" fillId="0" borderId="1" xfId="0" applyFont="1" applyBorder="1" applyAlignment="1">
      <alignment horizontal="center" vertical="center"/>
    </xf>
    <xf numFmtId="0" fontId="131" fillId="0" borderId="1" xfId="0" applyFont="1" applyBorder="1" applyAlignment="1">
      <alignment horizontal="center" vertical="center"/>
    </xf>
    <xf numFmtId="0" fontId="136" fillId="0" borderId="2" xfId="0" applyFont="1" applyBorder="1" applyAlignment="1">
      <alignment horizontal="center" vertical="center" wrapText="1"/>
    </xf>
    <xf numFmtId="0" fontId="136" fillId="0" borderId="3" xfId="0" applyFont="1" applyBorder="1" applyAlignment="1">
      <alignment horizontal="center" vertical="center" wrapText="1"/>
    </xf>
    <xf numFmtId="0" fontId="136" fillId="0" borderId="4" xfId="0" applyFont="1" applyBorder="1" applyAlignment="1">
      <alignment horizontal="center" vertical="center" wrapText="1"/>
    </xf>
    <xf numFmtId="0" fontId="136" fillId="0" borderId="13" xfId="0" applyFont="1" applyBorder="1" applyAlignment="1">
      <alignment horizontal="center" vertical="center"/>
    </xf>
    <xf numFmtId="0" fontId="136" fillId="0" borderId="14" xfId="0" applyFont="1" applyBorder="1" applyAlignment="1">
      <alignment horizontal="center" vertical="center"/>
    </xf>
    <xf numFmtId="0" fontId="136" fillId="0" borderId="15" xfId="0" applyFont="1" applyBorder="1" applyAlignment="1">
      <alignment horizontal="center" vertical="center"/>
    </xf>
    <xf numFmtId="0" fontId="136" fillId="0" borderId="18" xfId="0" applyFont="1" applyBorder="1" applyAlignment="1">
      <alignment horizontal="center" vertical="center"/>
    </xf>
    <xf numFmtId="0" fontId="136" fillId="0" borderId="11" xfId="0" applyFont="1" applyBorder="1" applyAlignment="1">
      <alignment horizontal="center" vertical="center"/>
    </xf>
    <xf numFmtId="0" fontId="136" fillId="0" borderId="19" xfId="0" applyFont="1" applyBorder="1" applyAlignment="1">
      <alignment horizontal="center" vertical="center"/>
    </xf>
    <xf numFmtId="0" fontId="131" fillId="0" borderId="1" xfId="0" applyFont="1" applyBorder="1" applyAlignment="1">
      <alignment horizontal="left" vertical="center" wrapText="1"/>
    </xf>
    <xf numFmtId="165" fontId="135" fillId="0" borderId="1" xfId="0" quotePrefix="1" applyNumberFormat="1" applyFont="1" applyBorder="1" applyAlignment="1">
      <alignment horizontal="center" vertical="center" wrapText="1"/>
    </xf>
    <xf numFmtId="165" fontId="135" fillId="0" borderId="1" xfId="0" applyNumberFormat="1" applyFont="1" applyBorder="1" applyAlignment="1">
      <alignment horizontal="center" vertical="center" wrapText="1"/>
    </xf>
    <xf numFmtId="0" fontId="135" fillId="0" borderId="1" xfId="0" quotePrefix="1" applyFont="1" applyBorder="1" applyAlignment="1">
      <alignment horizontal="center" vertical="center" wrapText="1"/>
    </xf>
    <xf numFmtId="0" fontId="135" fillId="0" borderId="1" xfId="0" applyFont="1" applyBorder="1" applyAlignment="1">
      <alignment horizontal="center" vertical="center" wrapText="1"/>
    </xf>
    <xf numFmtId="0" fontId="135" fillId="0" borderId="1" xfId="0" applyFont="1" applyBorder="1" applyAlignment="1">
      <alignment horizontal="left" vertical="center" wrapText="1"/>
    </xf>
    <xf numFmtId="165" fontId="135" fillId="0" borderId="2" xfId="0" applyNumberFormat="1" applyFont="1" applyBorder="1" applyAlignment="1">
      <alignment horizontal="center" vertical="center" wrapText="1"/>
    </xf>
    <xf numFmtId="165" fontId="135" fillId="0" borderId="4" xfId="0" applyNumberFormat="1" applyFont="1" applyBorder="1" applyAlignment="1">
      <alignment horizontal="center" vertical="center" wrapText="1"/>
    </xf>
    <xf numFmtId="0" fontId="135" fillId="0" borderId="1" xfId="0" applyFont="1" applyBorder="1" applyAlignment="1">
      <alignment vertical="center" wrapText="1"/>
    </xf>
    <xf numFmtId="0" fontId="63" fillId="0" borderId="2" xfId="0" applyFont="1" applyBorder="1" applyAlignment="1">
      <alignment horizontal="left" vertical="center"/>
    </xf>
    <xf numFmtId="0" fontId="63" fillId="0" borderId="3" xfId="0" applyFont="1" applyBorder="1" applyAlignment="1">
      <alignment horizontal="left" vertical="center"/>
    </xf>
    <xf numFmtId="0" fontId="63" fillId="0" borderId="4" xfId="0" applyFont="1" applyBorder="1" applyAlignment="1">
      <alignment horizontal="left" vertical="center"/>
    </xf>
    <xf numFmtId="0" fontId="63" fillId="0" borderId="1" xfId="0" quotePrefix="1" applyFont="1" applyBorder="1" applyAlignment="1">
      <alignment horizontal="left" vertical="center" wrapText="1"/>
    </xf>
    <xf numFmtId="0" fontId="63" fillId="0" borderId="1" xfId="0" applyFont="1" applyBorder="1" applyAlignment="1">
      <alignment horizontal="left" vertical="center" wrapText="1"/>
    </xf>
    <xf numFmtId="0" fontId="135" fillId="0" borderId="2" xfId="0" applyFont="1" applyBorder="1" applyAlignment="1">
      <alignment horizontal="left" vertical="center" wrapText="1"/>
    </xf>
    <xf numFmtId="0" fontId="135" fillId="0" borderId="3" xfId="0" applyFont="1" applyBorder="1" applyAlignment="1">
      <alignment horizontal="left" vertical="center" wrapText="1"/>
    </xf>
    <xf numFmtId="0" fontId="135" fillId="0" borderId="4" xfId="0" applyFont="1" applyBorder="1" applyAlignment="1">
      <alignment horizontal="left" vertical="center" wrapText="1"/>
    </xf>
    <xf numFmtId="165" fontId="63" fillId="0" borderId="2" xfId="0" applyNumberFormat="1" applyFont="1" applyBorder="1" applyAlignment="1">
      <alignment horizontal="center" vertical="center" wrapText="1"/>
    </xf>
    <xf numFmtId="165" fontId="63" fillId="0" borderId="3" xfId="0" applyNumberFormat="1" applyFont="1" applyBorder="1" applyAlignment="1">
      <alignment horizontal="center" vertical="center" wrapText="1"/>
    </xf>
    <xf numFmtId="165" fontId="63" fillId="0" borderId="4" xfId="0" applyNumberFormat="1" applyFont="1" applyBorder="1" applyAlignment="1">
      <alignment horizontal="center" vertical="center" wrapText="1"/>
    </xf>
    <xf numFmtId="0" fontId="63" fillId="0" borderId="1" xfId="0" quotePrefix="1" applyFont="1" applyBorder="1" applyAlignment="1">
      <alignment horizontal="center" vertical="center"/>
    </xf>
    <xf numFmtId="0" fontId="63" fillId="0" borderId="2" xfId="0" applyFont="1" applyBorder="1" applyAlignment="1">
      <alignment horizontal="left" vertical="center" wrapText="1"/>
    </xf>
    <xf numFmtId="0" fontId="63" fillId="0" borderId="3" xfId="0" applyFont="1" applyBorder="1" applyAlignment="1">
      <alignment horizontal="left" vertical="center" wrapText="1"/>
    </xf>
    <xf numFmtId="0" fontId="63" fillId="0" borderId="4" xfId="0" applyFont="1" applyBorder="1" applyAlignment="1">
      <alignment horizontal="left" vertical="center" wrapText="1"/>
    </xf>
    <xf numFmtId="2" fontId="63" fillId="0" borderId="1" xfId="1" applyNumberFormat="1" applyFont="1" applyBorder="1" applyAlignment="1">
      <alignment horizontal="center" vertical="center" wrapText="1"/>
    </xf>
    <xf numFmtId="0" fontId="63" fillId="0" borderId="1" xfId="0" applyFont="1" applyBorder="1" applyAlignment="1">
      <alignment horizontal="left" vertical="center"/>
    </xf>
    <xf numFmtId="2" fontId="63" fillId="0" borderId="2" xfId="0" applyNumberFormat="1" applyFont="1" applyBorder="1" applyAlignment="1">
      <alignment horizontal="center" vertical="center" wrapText="1"/>
    </xf>
    <xf numFmtId="2" fontId="63" fillId="0" borderId="3" xfId="0" applyNumberFormat="1" applyFont="1" applyBorder="1" applyAlignment="1">
      <alignment horizontal="center" vertical="center" wrapText="1"/>
    </xf>
    <xf numFmtId="2" fontId="63" fillId="0" borderId="4" xfId="0" applyNumberFormat="1" applyFont="1" applyBorder="1" applyAlignment="1">
      <alignment horizontal="center" vertical="center" wrapText="1"/>
    </xf>
    <xf numFmtId="0" fontId="64" fillId="0" borderId="1" xfId="0" applyFont="1" applyBorder="1" applyAlignment="1">
      <alignment horizontal="center" vertical="center"/>
    </xf>
    <xf numFmtId="0" fontId="157" fillId="0" borderId="14" xfId="0" applyFont="1" applyBorder="1" applyAlignment="1">
      <alignment horizontal="left" vertical="top" wrapText="1"/>
    </xf>
    <xf numFmtId="0" fontId="46" fillId="28" borderId="1" xfId="0" applyFont="1" applyFill="1" applyBorder="1" applyAlignment="1">
      <alignment horizontal="center" vertical="center"/>
    </xf>
    <xf numFmtId="188" fontId="22" fillId="0" borderId="1" xfId="0" applyNumberFormat="1" applyFont="1" applyBorder="1" applyAlignment="1">
      <alignment horizontal="center" vertical="center"/>
    </xf>
    <xf numFmtId="188" fontId="22" fillId="0" borderId="2" xfId="0" applyNumberFormat="1" applyFont="1" applyBorder="1" applyAlignment="1">
      <alignment horizontal="center" vertical="center"/>
    </xf>
    <xf numFmtId="188" fontId="22" fillId="0" borderId="3" xfId="0" applyNumberFormat="1" applyFont="1" applyBorder="1" applyAlignment="1">
      <alignment horizontal="center" vertical="center"/>
    </xf>
    <xf numFmtId="188" fontId="22" fillId="0" borderId="4" xfId="0" applyNumberFormat="1" applyFont="1" applyBorder="1" applyAlignment="1">
      <alignment horizontal="center" vertical="center"/>
    </xf>
    <xf numFmtId="4" fontId="22" fillId="0" borderId="1" xfId="0" applyNumberFormat="1" applyFont="1" applyBorder="1" applyAlignment="1">
      <alignment horizontal="center" vertical="center"/>
    </xf>
    <xf numFmtId="0" fontId="46" fillId="27" borderId="1" xfId="0" applyFont="1" applyFill="1" applyBorder="1" applyAlignment="1">
      <alignment horizontal="center" vertical="center"/>
    </xf>
    <xf numFmtId="0" fontId="46" fillId="27" borderId="2" xfId="0" applyFont="1" applyFill="1" applyBorder="1" applyAlignment="1">
      <alignment horizontal="center" vertical="center"/>
    </xf>
    <xf numFmtId="0" fontId="46" fillId="27" borderId="3" xfId="0" applyFont="1" applyFill="1" applyBorder="1" applyAlignment="1">
      <alignment horizontal="center" vertical="center"/>
    </xf>
    <xf numFmtId="0" fontId="46" fillId="27" borderId="4" xfId="0" applyFont="1" applyFill="1" applyBorder="1" applyAlignment="1">
      <alignment horizontal="center" vertical="center"/>
    </xf>
    <xf numFmtId="0" fontId="71" fillId="0" borderId="14" xfId="0" applyFont="1" applyBorder="1" applyAlignment="1">
      <alignment vertical="center" wrapText="1"/>
    </xf>
    <xf numFmtId="4" fontId="22" fillId="0" borderId="2" xfId="0" applyNumberFormat="1" applyFont="1" applyBorder="1" applyAlignment="1">
      <alignment horizontal="center" vertical="center"/>
    </xf>
    <xf numFmtId="4" fontId="22" fillId="0" borderId="3" xfId="0" applyNumberFormat="1" applyFont="1" applyBorder="1" applyAlignment="1">
      <alignment horizontal="center" vertical="center"/>
    </xf>
    <xf numFmtId="4" fontId="22" fillId="0" borderId="4" xfId="0" applyNumberFormat="1" applyFont="1" applyBorder="1" applyAlignment="1">
      <alignment horizontal="center" vertical="center"/>
    </xf>
    <xf numFmtId="0" fontId="46" fillId="11" borderId="1" xfId="0" applyFont="1" applyFill="1" applyBorder="1" applyAlignment="1">
      <alignment horizontal="center" vertical="center"/>
    </xf>
    <xf numFmtId="0" fontId="46" fillId="16" borderId="1" xfId="0" applyFont="1" applyFill="1" applyBorder="1" applyAlignment="1">
      <alignment horizontal="center" vertical="center"/>
    </xf>
    <xf numFmtId="0" fontId="46" fillId="16" borderId="2" xfId="0" applyFont="1" applyFill="1" applyBorder="1" applyAlignment="1">
      <alignment horizontal="center" vertical="center"/>
    </xf>
    <xf numFmtId="0" fontId="46" fillId="16" borderId="3" xfId="0" applyFont="1" applyFill="1" applyBorder="1" applyAlignment="1">
      <alignment horizontal="center" vertical="center"/>
    </xf>
    <xf numFmtId="0" fontId="46" fillId="16" borderId="4" xfId="0" applyFont="1" applyFill="1" applyBorder="1" applyAlignment="1">
      <alignment horizontal="center" vertical="center"/>
    </xf>
    <xf numFmtId="0" fontId="64" fillId="32" borderId="2" xfId="0" applyFont="1" applyFill="1" applyBorder="1" applyAlignment="1">
      <alignment horizontal="center" vertical="center"/>
    </xf>
    <xf numFmtId="0" fontId="64" fillId="32" borderId="3" xfId="0" applyFont="1" applyFill="1" applyBorder="1" applyAlignment="1">
      <alignment horizontal="center" vertical="center"/>
    </xf>
    <xf numFmtId="0" fontId="64" fillId="32" borderId="4" xfId="0" applyFont="1" applyFill="1" applyBorder="1" applyAlignment="1">
      <alignment horizontal="center" vertical="center"/>
    </xf>
    <xf numFmtId="0" fontId="64" fillId="31" borderId="1" xfId="0" applyFont="1" applyFill="1" applyBorder="1" applyAlignment="1">
      <alignment horizontal="center" vertical="center"/>
    </xf>
    <xf numFmtId="0" fontId="64" fillId="32" borderId="1" xfId="0" applyFont="1" applyFill="1" applyBorder="1" applyAlignment="1">
      <alignment horizontal="center" vertical="center"/>
    </xf>
    <xf numFmtId="0" fontId="64" fillId="33" borderId="1" xfId="0" applyFont="1" applyFill="1" applyBorder="1" applyAlignment="1">
      <alignment horizontal="center" vertical="center"/>
    </xf>
    <xf numFmtId="0" fontId="64" fillId="21" borderId="1" xfId="0" applyFont="1" applyFill="1" applyBorder="1" applyAlignment="1">
      <alignment horizontal="center" vertical="center"/>
    </xf>
    <xf numFmtId="0" fontId="64" fillId="21" borderId="2" xfId="0" applyFont="1" applyFill="1" applyBorder="1" applyAlignment="1">
      <alignment horizontal="center" vertical="center"/>
    </xf>
    <xf numFmtId="0" fontId="64" fillId="21" borderId="3" xfId="0" applyFont="1" applyFill="1" applyBorder="1" applyAlignment="1">
      <alignment horizontal="center" vertical="center"/>
    </xf>
    <xf numFmtId="0" fontId="64" fillId="21" borderId="4" xfId="0" applyFont="1" applyFill="1" applyBorder="1" applyAlignment="1">
      <alignment horizontal="center" vertical="center"/>
    </xf>
    <xf numFmtId="0" fontId="13" fillId="9" borderId="2" xfId="0" applyFont="1" applyFill="1" applyBorder="1" applyAlignment="1">
      <alignment horizontal="center" vertical="center"/>
    </xf>
    <xf numFmtId="0" fontId="13" fillId="9" borderId="3" xfId="0" applyFont="1" applyFill="1" applyBorder="1" applyAlignment="1">
      <alignment horizontal="center" vertical="center"/>
    </xf>
    <xf numFmtId="0" fontId="13" fillId="9" borderId="4" xfId="0" applyFont="1" applyFill="1" applyBorder="1" applyAlignment="1">
      <alignment horizontal="center" vertical="center"/>
    </xf>
    <xf numFmtId="0" fontId="13" fillId="10" borderId="1" xfId="0" applyFont="1" applyFill="1" applyBorder="1" applyAlignment="1">
      <alignment horizontal="center" vertical="center"/>
    </xf>
    <xf numFmtId="2" fontId="2" fillId="0" borderId="1" xfId="0" applyNumberFormat="1" applyFont="1" applyBorder="1" applyAlignment="1">
      <alignment horizontal="center" vertical="center"/>
    </xf>
    <xf numFmtId="0" fontId="237" fillId="16" borderId="1" xfId="0" applyFont="1" applyFill="1" applyBorder="1" applyAlignment="1">
      <alignment horizontal="center" wrapText="1"/>
    </xf>
    <xf numFmtId="0" fontId="237" fillId="11" borderId="1" xfId="0" applyFont="1" applyFill="1" applyBorder="1" applyAlignment="1">
      <alignment horizontal="center" wrapText="1"/>
    </xf>
    <xf numFmtId="0" fontId="237" fillId="11" borderId="2" xfId="0" applyFont="1" applyFill="1" applyBorder="1" applyAlignment="1">
      <alignment horizontal="center" wrapText="1"/>
    </xf>
    <xf numFmtId="0" fontId="237" fillId="11" borderId="3" xfId="0" applyFont="1" applyFill="1" applyBorder="1" applyAlignment="1">
      <alignment horizontal="center" wrapText="1"/>
    </xf>
    <xf numFmtId="0" fontId="237" fillId="11" borderId="4" xfId="0" applyFont="1" applyFill="1" applyBorder="1" applyAlignment="1">
      <alignment horizontal="center" wrapText="1"/>
    </xf>
    <xf numFmtId="2" fontId="22" fillId="0" borderId="2" xfId="0" applyNumberFormat="1" applyFont="1" applyBorder="1" applyAlignment="1">
      <alignment horizontal="center" vertical="center"/>
    </xf>
    <xf numFmtId="2" fontId="22" fillId="0" borderId="3" xfId="0" applyNumberFormat="1" applyFont="1" applyBorder="1" applyAlignment="1">
      <alignment horizontal="center" vertical="center"/>
    </xf>
    <xf numFmtId="2" fontId="22" fillId="0" borderId="4" xfId="0" applyNumberFormat="1" applyFont="1" applyBorder="1" applyAlignment="1">
      <alignment horizontal="center" vertical="center"/>
    </xf>
    <xf numFmtId="0" fontId="46" fillId="33" borderId="2" xfId="0" applyFont="1" applyFill="1" applyBorder="1" applyAlignment="1">
      <alignment horizontal="center" vertical="center"/>
    </xf>
    <xf numFmtId="0" fontId="46" fillId="33" borderId="3" xfId="0" applyFont="1" applyFill="1" applyBorder="1" applyAlignment="1">
      <alignment horizontal="center" vertical="center"/>
    </xf>
    <xf numFmtId="0" fontId="46" fillId="33" borderId="4" xfId="0" applyFont="1" applyFill="1" applyBorder="1" applyAlignment="1">
      <alignment horizontal="center" vertical="center"/>
    </xf>
    <xf numFmtId="0" fontId="246" fillId="11" borderId="2" xfId="0" applyFont="1" applyFill="1" applyBorder="1" applyAlignment="1">
      <alignment horizontal="center" vertical="center" wrapText="1"/>
    </xf>
    <xf numFmtId="0" fontId="246" fillId="11" borderId="3" xfId="0" applyFont="1" applyFill="1" applyBorder="1" applyAlignment="1">
      <alignment horizontal="center" vertical="center" wrapText="1"/>
    </xf>
    <xf numFmtId="0" fontId="246" fillId="11" borderId="4" xfId="0" applyFont="1" applyFill="1" applyBorder="1" applyAlignment="1">
      <alignment horizontal="center" vertical="center" wrapText="1"/>
    </xf>
    <xf numFmtId="0" fontId="246" fillId="11" borderId="1" xfId="0" applyFont="1" applyFill="1" applyBorder="1" applyAlignment="1">
      <alignment horizontal="center" vertical="center" wrapText="1"/>
    </xf>
    <xf numFmtId="0" fontId="246" fillId="16" borderId="1" xfId="0" applyFont="1" applyFill="1" applyBorder="1" applyAlignment="1">
      <alignment horizontal="center" vertical="center" wrapText="1"/>
    </xf>
    <xf numFmtId="0" fontId="237" fillId="16" borderId="1" xfId="0" applyFont="1" applyFill="1" applyBorder="1" applyAlignment="1">
      <alignment horizontal="center" vertical="center"/>
    </xf>
    <xf numFmtId="0" fontId="237" fillId="11" borderId="1" xfId="0" applyFont="1" applyFill="1" applyBorder="1" applyAlignment="1">
      <alignment horizontal="center" vertical="center"/>
    </xf>
    <xf numFmtId="3" fontId="143" fillId="0" borderId="2" xfId="0" applyNumberFormat="1" applyFont="1" applyBorder="1" applyAlignment="1">
      <alignment horizontal="center" vertical="center"/>
    </xf>
    <xf numFmtId="3" fontId="143" fillId="0" borderId="3" xfId="0" applyNumberFormat="1" applyFont="1" applyBorder="1" applyAlignment="1">
      <alignment horizontal="center" vertical="center"/>
    </xf>
    <xf numFmtId="3" fontId="143" fillId="0" borderId="4" xfId="0" applyNumberFormat="1" applyFont="1" applyBorder="1" applyAlignment="1">
      <alignment horizontal="center" vertical="center"/>
    </xf>
    <xf numFmtId="0" fontId="143" fillId="0" borderId="1" xfId="0" applyFont="1" applyBorder="1" applyAlignment="1">
      <alignment horizontal="left" vertical="center"/>
    </xf>
    <xf numFmtId="3" fontId="143" fillId="0" borderId="1" xfId="0" applyNumberFormat="1" applyFont="1" applyBorder="1" applyAlignment="1">
      <alignment horizontal="center" vertical="center"/>
    </xf>
    <xf numFmtId="0" fontId="64" fillId="31" borderId="2" xfId="0" applyFont="1" applyFill="1" applyBorder="1" applyAlignment="1">
      <alignment horizontal="center" vertical="center"/>
    </xf>
    <xf numFmtId="0" fontId="64" fillId="31" borderId="3" xfId="0" applyFont="1" applyFill="1" applyBorder="1" applyAlignment="1">
      <alignment horizontal="center" vertical="center"/>
    </xf>
    <xf numFmtId="0" fontId="64" fillId="31" borderId="4" xfId="0" applyFont="1" applyFill="1" applyBorder="1" applyAlignment="1">
      <alignment horizontal="center" vertical="center"/>
    </xf>
    <xf numFmtId="0" fontId="136" fillId="0" borderId="1" xfId="0" applyFont="1" applyBorder="1" applyAlignment="1">
      <alignment horizontal="center" vertical="center"/>
    </xf>
    <xf numFmtId="0" fontId="143" fillId="0" borderId="1" xfId="0" applyFont="1" applyBorder="1" applyAlignment="1">
      <alignment horizontal="left" vertical="center" wrapText="1"/>
    </xf>
    <xf numFmtId="0" fontId="135" fillId="0" borderId="1" xfId="0" applyFont="1" applyBorder="1" applyAlignment="1">
      <alignment horizontal="center" vertical="center"/>
    </xf>
    <xf numFmtId="0" fontId="136" fillId="0" borderId="13" xfId="0" applyFont="1" applyBorder="1" applyAlignment="1">
      <alignment horizontal="center" vertical="center" wrapText="1"/>
    </xf>
    <xf numFmtId="0" fontId="136" fillId="0" borderId="14" xfId="0" applyFont="1" applyBorder="1" applyAlignment="1">
      <alignment horizontal="center" vertical="center" wrapText="1"/>
    </xf>
    <xf numFmtId="0" fontId="136" fillId="0" borderId="15" xfId="0" applyFont="1" applyBorder="1" applyAlignment="1">
      <alignment horizontal="center" vertical="center" wrapText="1"/>
    </xf>
    <xf numFmtId="0" fontId="136" fillId="0" borderId="18" xfId="0" applyFont="1" applyBorder="1" applyAlignment="1">
      <alignment horizontal="center" vertical="center" wrapText="1"/>
    </xf>
    <xf numFmtId="0" fontId="136" fillId="0" borderId="11" xfId="0" applyFont="1" applyBorder="1" applyAlignment="1">
      <alignment horizontal="center" vertical="center" wrapText="1"/>
    </xf>
    <xf numFmtId="0" fontId="136" fillId="0" borderId="19" xfId="0" applyFont="1" applyBorder="1" applyAlignment="1">
      <alignment horizontal="center" vertical="center" wrapText="1"/>
    </xf>
    <xf numFmtId="0" fontId="142" fillId="0" borderId="14" xfId="0" applyFont="1" applyBorder="1" applyAlignment="1">
      <alignment horizontal="left" vertical="center" wrapText="1"/>
    </xf>
    <xf numFmtId="0" fontId="136" fillId="0" borderId="1" xfId="0" applyFont="1" applyBorder="1" applyAlignment="1">
      <alignment horizontal="center" vertical="center" wrapText="1"/>
    </xf>
    <xf numFmtId="0" fontId="46" fillId="30" borderId="2" xfId="0" applyFont="1" applyFill="1" applyBorder="1" applyAlignment="1">
      <alignment horizontal="center" vertical="center"/>
    </xf>
    <xf numFmtId="0" fontId="46" fillId="30" borderId="3" xfId="0" applyFont="1" applyFill="1" applyBorder="1" applyAlignment="1">
      <alignment horizontal="center" vertical="center"/>
    </xf>
    <xf numFmtId="0" fontId="46" fillId="30" borderId="4" xfId="0" applyFont="1" applyFill="1" applyBorder="1" applyAlignment="1">
      <alignment horizontal="center" vertical="center"/>
    </xf>
    <xf numFmtId="0" fontId="64" fillId="17" borderId="2" xfId="0" applyFont="1" applyFill="1" applyBorder="1" applyAlignment="1">
      <alignment horizontal="center" vertical="center"/>
    </xf>
    <xf numFmtId="0" fontId="64" fillId="17" borderId="3" xfId="0" applyFont="1" applyFill="1" applyBorder="1" applyAlignment="1">
      <alignment horizontal="center" vertical="center"/>
    </xf>
    <xf numFmtId="0" fontId="64" fillId="17" borderId="4" xfId="0" applyFont="1" applyFill="1" applyBorder="1" applyAlignment="1">
      <alignment horizontal="center" vertical="center"/>
    </xf>
    <xf numFmtId="0" fontId="64" fillId="3" borderId="2" xfId="0" applyFont="1" applyFill="1" applyBorder="1" applyAlignment="1">
      <alignment horizontal="center" vertical="center"/>
    </xf>
    <xf numFmtId="0" fontId="64" fillId="3" borderId="3" xfId="0" applyFont="1" applyFill="1" applyBorder="1" applyAlignment="1">
      <alignment horizontal="center" vertical="center"/>
    </xf>
    <xf numFmtId="0" fontId="64" fillId="3" borderId="4" xfId="0" applyFont="1" applyFill="1" applyBorder="1" applyAlignment="1">
      <alignment horizontal="center" vertical="center"/>
    </xf>
    <xf numFmtId="0" fontId="64" fillId="29" borderId="2" xfId="0" applyFont="1" applyFill="1" applyBorder="1" applyAlignment="1">
      <alignment horizontal="center" vertical="center"/>
    </xf>
    <xf numFmtId="0" fontId="64" fillId="29" borderId="3" xfId="0" applyFont="1" applyFill="1" applyBorder="1" applyAlignment="1">
      <alignment horizontal="center" vertical="center"/>
    </xf>
    <xf numFmtId="0" fontId="64" fillId="29" borderId="4" xfId="0" applyFont="1" applyFill="1" applyBorder="1" applyAlignment="1">
      <alignment horizontal="center" vertical="center"/>
    </xf>
    <xf numFmtId="0" fontId="64" fillId="3" borderId="1" xfId="0" applyFont="1" applyFill="1" applyBorder="1" applyAlignment="1">
      <alignment horizontal="center" vertical="center"/>
    </xf>
    <xf numFmtId="0" fontId="64" fillId="29" borderId="1" xfId="0" applyFont="1" applyFill="1" applyBorder="1" applyAlignment="1">
      <alignment horizontal="center" vertical="center"/>
    </xf>
    <xf numFmtId="0" fontId="13" fillId="30" borderId="2" xfId="0" applyFont="1" applyFill="1" applyBorder="1" applyAlignment="1">
      <alignment horizontal="center" vertical="center"/>
    </xf>
    <xf numFmtId="0" fontId="13" fillId="30" borderId="3" xfId="0" applyFont="1" applyFill="1" applyBorder="1" applyAlignment="1">
      <alignment horizontal="center" vertical="center"/>
    </xf>
    <xf numFmtId="0" fontId="13" fillId="30" borderId="4" xfId="0" applyFont="1" applyFill="1" applyBorder="1" applyAlignment="1">
      <alignment horizontal="center" vertical="center"/>
    </xf>
    <xf numFmtId="4" fontId="63" fillId="0" borderId="2" xfId="0" applyNumberFormat="1" applyFont="1" applyBorder="1" applyAlignment="1">
      <alignment horizontal="center" vertical="center"/>
    </xf>
    <xf numFmtId="4" fontId="63" fillId="0" borderId="3" xfId="0" applyNumberFormat="1" applyFont="1" applyBorder="1" applyAlignment="1">
      <alignment horizontal="center" vertical="center"/>
    </xf>
    <xf numFmtId="4" fontId="63" fillId="0" borderId="4" xfId="0" applyNumberFormat="1" applyFont="1" applyBorder="1" applyAlignment="1">
      <alignment horizontal="center" vertical="center"/>
    </xf>
    <xf numFmtId="165" fontId="135" fillId="0" borderId="1" xfId="0" applyNumberFormat="1" applyFont="1" applyBorder="1" applyAlignment="1">
      <alignment horizontal="center" vertical="center"/>
    </xf>
    <xf numFmtId="0" fontId="135" fillId="0" borderId="1" xfId="0" quotePrefix="1" applyFont="1" applyBorder="1" applyAlignment="1">
      <alignment horizontal="center" vertical="center"/>
    </xf>
    <xf numFmtId="0" fontId="46" fillId="21" borderId="2" xfId="0" applyFont="1" applyFill="1" applyBorder="1" applyAlignment="1">
      <alignment horizontal="center" vertical="center"/>
    </xf>
    <xf numFmtId="0" fontId="46" fillId="21" borderId="3" xfId="0" applyFont="1" applyFill="1" applyBorder="1" applyAlignment="1">
      <alignment horizontal="center" vertical="center"/>
    </xf>
    <xf numFmtId="0" fontId="46" fillId="21" borderId="4" xfId="0" applyFont="1" applyFill="1" applyBorder="1" applyAlignment="1">
      <alignment horizontal="center" vertical="center"/>
    </xf>
    <xf numFmtId="165" fontId="136" fillId="0" borderId="13" xfId="0" applyNumberFormat="1" applyFont="1" applyBorder="1" applyAlignment="1">
      <alignment horizontal="center" vertical="center" wrapText="1"/>
    </xf>
    <xf numFmtId="165" fontId="136" fillId="0" borderId="15" xfId="0" applyNumberFormat="1" applyFont="1" applyBorder="1" applyAlignment="1">
      <alignment horizontal="center" vertical="center" wrapText="1"/>
    </xf>
    <xf numFmtId="165" fontId="136" fillId="0" borderId="18" xfId="0" applyNumberFormat="1" applyFont="1" applyBorder="1" applyAlignment="1">
      <alignment horizontal="center" vertical="center" wrapText="1"/>
    </xf>
    <xf numFmtId="165" fontId="136" fillId="0" borderId="19" xfId="0" applyNumberFormat="1" applyFont="1" applyBorder="1" applyAlignment="1">
      <alignment horizontal="center" vertical="center" wrapText="1"/>
    </xf>
    <xf numFmtId="165" fontId="135" fillId="0" borderId="1" xfId="0" applyNumberFormat="1" applyFont="1" applyBorder="1" applyAlignment="1">
      <alignment horizontal="left" vertical="center" wrapText="1"/>
    </xf>
    <xf numFmtId="0" fontId="237" fillId="9" borderId="2" xfId="0" applyFont="1" applyFill="1" applyBorder="1" applyAlignment="1">
      <alignment horizontal="center" vertical="center"/>
    </xf>
    <xf numFmtId="0" fontId="237" fillId="9" borderId="3" xfId="0" applyFont="1" applyFill="1" applyBorder="1" applyAlignment="1">
      <alignment horizontal="center" vertical="center"/>
    </xf>
    <xf numFmtId="0" fontId="237" fillId="9" borderId="4" xfId="0" applyFont="1" applyFill="1" applyBorder="1" applyAlignment="1">
      <alignment horizontal="center" vertical="center"/>
    </xf>
    <xf numFmtId="0" fontId="237" fillId="10" borderId="2" xfId="0" applyFont="1" applyFill="1" applyBorder="1" applyAlignment="1">
      <alignment horizontal="center" vertical="center"/>
    </xf>
    <xf numFmtId="0" fontId="237" fillId="10" borderId="3" xfId="0" applyFont="1" applyFill="1" applyBorder="1" applyAlignment="1">
      <alignment horizontal="center" vertical="center"/>
    </xf>
    <xf numFmtId="0" fontId="237" fillId="10" borderId="4" xfId="0" applyFont="1" applyFill="1" applyBorder="1" applyAlignment="1">
      <alignment horizontal="center" vertical="center"/>
    </xf>
    <xf numFmtId="0" fontId="237" fillId="30" borderId="2" xfId="0" applyFont="1" applyFill="1" applyBorder="1" applyAlignment="1">
      <alignment horizontal="center" vertical="center"/>
    </xf>
    <xf numFmtId="0" fontId="237" fillId="30" borderId="3" xfId="0" applyFont="1" applyFill="1" applyBorder="1" applyAlignment="1">
      <alignment horizontal="center" vertical="center"/>
    </xf>
    <xf numFmtId="0" fontId="237" fillId="30" borderId="4" xfId="0" applyFont="1" applyFill="1" applyBorder="1" applyAlignment="1">
      <alignment horizontal="center" vertical="center"/>
    </xf>
    <xf numFmtId="0" fontId="237" fillId="16" borderId="2" xfId="0" applyFont="1" applyFill="1" applyBorder="1" applyAlignment="1">
      <alignment horizontal="center" vertical="center"/>
    </xf>
    <xf numFmtId="0" fontId="237" fillId="16" borderId="3" xfId="0" applyFont="1" applyFill="1" applyBorder="1" applyAlignment="1">
      <alignment horizontal="center" vertical="center"/>
    </xf>
    <xf numFmtId="0" fontId="237" fillId="16" borderId="4" xfId="0" applyFont="1" applyFill="1" applyBorder="1" applyAlignment="1">
      <alignment horizontal="center" vertical="center"/>
    </xf>
    <xf numFmtId="0" fontId="237" fillId="11" borderId="2" xfId="0" applyFont="1" applyFill="1" applyBorder="1" applyAlignment="1">
      <alignment horizontal="center" vertical="center"/>
    </xf>
    <xf numFmtId="0" fontId="237" fillId="11" borderId="3" xfId="0" applyFont="1" applyFill="1" applyBorder="1" applyAlignment="1">
      <alignment horizontal="center" vertical="center"/>
    </xf>
    <xf numFmtId="0" fontId="237" fillId="11" borderId="4" xfId="0" applyFont="1" applyFill="1" applyBorder="1" applyAlignment="1">
      <alignment horizontal="center" vertical="center"/>
    </xf>
    <xf numFmtId="0" fontId="237" fillId="10" borderId="11" xfId="0" applyFont="1" applyFill="1" applyBorder="1" applyAlignment="1">
      <alignment horizontal="center" vertical="center"/>
    </xf>
    <xf numFmtId="0" fontId="237" fillId="30" borderId="11" xfId="0" applyFont="1" applyFill="1" applyBorder="1" applyAlignment="1">
      <alignment horizontal="center" vertical="center"/>
    </xf>
    <xf numFmtId="0" fontId="46" fillId="32" borderId="2" xfId="0" applyFont="1" applyFill="1" applyBorder="1" applyAlignment="1">
      <alignment horizontal="center" vertical="center"/>
    </xf>
    <xf numFmtId="0" fontId="46" fillId="32" borderId="3" xfId="0" applyFont="1" applyFill="1" applyBorder="1" applyAlignment="1">
      <alignment horizontal="center" vertical="center"/>
    </xf>
    <xf numFmtId="0" fontId="46" fillId="32" borderId="4" xfId="0" applyFont="1" applyFill="1" applyBorder="1" applyAlignment="1">
      <alignment horizontal="center" vertical="center"/>
    </xf>
    <xf numFmtId="0" fontId="237" fillId="34" borderId="2" xfId="0" applyFont="1" applyFill="1" applyBorder="1" applyAlignment="1">
      <alignment horizontal="center" vertical="center"/>
    </xf>
    <xf numFmtId="0" fontId="237" fillId="34" borderId="3" xfId="0" applyFont="1" applyFill="1" applyBorder="1" applyAlignment="1">
      <alignment horizontal="center" vertical="center"/>
    </xf>
    <xf numFmtId="0" fontId="237" fillId="34" borderId="4" xfId="0" applyFont="1" applyFill="1" applyBorder="1" applyAlignment="1">
      <alignment horizontal="center" vertical="center"/>
    </xf>
    <xf numFmtId="0" fontId="246" fillId="27" borderId="1" xfId="0" applyFont="1" applyFill="1" applyBorder="1" applyAlignment="1">
      <alignment horizontal="center" vertical="center" wrapText="1"/>
    </xf>
    <xf numFmtId="0" fontId="246" fillId="27" borderId="2" xfId="0" applyFont="1" applyFill="1" applyBorder="1" applyAlignment="1">
      <alignment horizontal="center" vertical="center" wrapText="1"/>
    </xf>
    <xf numFmtId="0" fontId="246" fillId="27" borderId="3" xfId="0" applyFont="1" applyFill="1" applyBorder="1" applyAlignment="1">
      <alignment horizontal="center" vertical="center" wrapText="1"/>
    </xf>
    <xf numFmtId="0" fontId="246" fillId="27" borderId="4" xfId="0" applyFont="1" applyFill="1" applyBorder="1" applyAlignment="1">
      <alignment horizontal="center" vertical="center" wrapText="1"/>
    </xf>
    <xf numFmtId="0" fontId="246" fillId="28" borderId="1" xfId="0" applyFont="1" applyFill="1" applyBorder="1" applyAlignment="1">
      <alignment horizontal="center" vertical="center" wrapText="1"/>
    </xf>
    <xf numFmtId="0" fontId="246" fillId="37" borderId="1" xfId="0" applyFont="1" applyFill="1" applyBorder="1" applyAlignment="1">
      <alignment horizontal="center" vertical="center" wrapText="1"/>
    </xf>
    <xf numFmtId="0" fontId="43" fillId="0" borderId="14" xfId="0" applyFont="1" applyBorder="1" applyAlignment="1">
      <alignment horizontal="left" vertical="top"/>
    </xf>
    <xf numFmtId="0" fontId="168" fillId="0" borderId="14" xfId="0" applyFont="1" applyBorder="1" applyAlignment="1">
      <alignment horizontal="left" vertical="top"/>
    </xf>
    <xf numFmtId="0" fontId="246" fillId="34" borderId="1" xfId="0" applyFont="1" applyFill="1" applyBorder="1" applyAlignment="1">
      <alignment horizontal="center" vertical="center" wrapText="1"/>
    </xf>
    <xf numFmtId="0" fontId="237" fillId="10" borderId="1" xfId="0" applyFont="1" applyFill="1" applyBorder="1" applyAlignment="1">
      <alignment horizontal="center" vertical="center"/>
    </xf>
    <xf numFmtId="2" fontId="63" fillId="0" borderId="2" xfId="0" applyNumberFormat="1" applyFont="1" applyBorder="1" applyAlignment="1">
      <alignment horizontal="center" vertical="center"/>
    </xf>
    <xf numFmtId="2" fontId="63" fillId="0" borderId="3" xfId="0" applyNumberFormat="1" applyFont="1" applyBorder="1" applyAlignment="1">
      <alignment horizontal="center" vertical="center"/>
    </xf>
    <xf numFmtId="2" fontId="63" fillId="0" borderId="4" xfId="0" applyNumberFormat="1" applyFont="1" applyBorder="1" applyAlignment="1">
      <alignment horizontal="center" vertical="center"/>
    </xf>
    <xf numFmtId="0" fontId="64" fillId="33" borderId="2" xfId="0" applyFont="1" applyFill="1" applyBorder="1" applyAlignment="1">
      <alignment horizontal="center" vertical="center"/>
    </xf>
    <xf numFmtId="0" fontId="64" fillId="33" borderId="3" xfId="0" applyFont="1" applyFill="1" applyBorder="1" applyAlignment="1">
      <alignment horizontal="center" vertical="center"/>
    </xf>
    <xf numFmtId="0" fontId="64" fillId="33" borderId="4" xfId="0" applyFont="1" applyFill="1" applyBorder="1" applyAlignment="1">
      <alignment horizontal="center" vertical="center"/>
    </xf>
    <xf numFmtId="0" fontId="64" fillId="21" borderId="2" xfId="0" applyFont="1" applyFill="1" applyBorder="1" applyAlignment="1">
      <alignment horizontal="center" vertical="center" wrapText="1"/>
    </xf>
    <xf numFmtId="0" fontId="64" fillId="21" borderId="3" xfId="0" applyFont="1" applyFill="1" applyBorder="1" applyAlignment="1">
      <alignment horizontal="center" vertical="center" wrapText="1"/>
    </xf>
    <xf numFmtId="0" fontId="64" fillId="21" borderId="4" xfId="0" applyFont="1" applyFill="1" applyBorder="1" applyAlignment="1">
      <alignment horizontal="center" vertical="center" wrapText="1"/>
    </xf>
    <xf numFmtId="0" fontId="64" fillId="33" borderId="2" xfId="0" applyFont="1" applyFill="1" applyBorder="1" applyAlignment="1">
      <alignment horizontal="center" vertical="center" wrapText="1"/>
    </xf>
    <xf numFmtId="0" fontId="64" fillId="33" borderId="3" xfId="0" applyFont="1" applyFill="1" applyBorder="1" applyAlignment="1">
      <alignment horizontal="center" vertical="center" wrapText="1"/>
    </xf>
    <xf numFmtId="0" fontId="64" fillId="33" borderId="4" xfId="0" applyFont="1" applyFill="1" applyBorder="1" applyAlignment="1">
      <alignment horizontal="center" vertical="center" wrapText="1"/>
    </xf>
    <xf numFmtId="0" fontId="63" fillId="0" borderId="2" xfId="0" applyFont="1" applyBorder="1" applyAlignment="1">
      <alignment horizontal="center" vertical="center"/>
    </xf>
    <xf numFmtId="0" fontId="63" fillId="0" borderId="3" xfId="0" applyFont="1" applyBorder="1" applyAlignment="1">
      <alignment horizontal="center" vertical="center"/>
    </xf>
    <xf numFmtId="0" fontId="63" fillId="0" borderId="4" xfId="0" applyFont="1" applyBorder="1" applyAlignment="1">
      <alignment horizontal="center" vertical="center"/>
    </xf>
    <xf numFmtId="0" fontId="34" fillId="0" borderId="14" xfId="0" applyFont="1" applyBorder="1" applyAlignment="1">
      <alignment horizontal="left" vertical="top"/>
    </xf>
    <xf numFmtId="0" fontId="237" fillId="0" borderId="2" xfId="0" applyFont="1" applyBorder="1" applyAlignment="1">
      <alignment horizontal="center"/>
    </xf>
    <xf numFmtId="0" fontId="237" fillId="0" borderId="3" xfId="0" applyFont="1" applyBorder="1" applyAlignment="1">
      <alignment horizontal="center"/>
    </xf>
    <xf numFmtId="0" fontId="237" fillId="0" borderId="4" xfId="0" applyFont="1" applyBorder="1" applyAlignment="1">
      <alignment horizontal="center"/>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131" fillId="0" borderId="2" xfId="0" applyFont="1" applyBorder="1" applyAlignment="1">
      <alignment horizontal="left" vertical="center"/>
    </xf>
    <xf numFmtId="0" fontId="131" fillId="0" borderId="3" xfId="0" applyFont="1" applyBorder="1" applyAlignment="1">
      <alignment horizontal="left" vertical="center"/>
    </xf>
    <xf numFmtId="0" fontId="131" fillId="0" borderId="4" xfId="0" applyFont="1" applyBorder="1" applyAlignment="1">
      <alignment horizontal="left" vertical="center"/>
    </xf>
    <xf numFmtId="0" fontId="136" fillId="0" borderId="2" xfId="0" applyFont="1" applyBorder="1" applyAlignment="1">
      <alignment horizontal="center" vertical="center"/>
    </xf>
    <xf numFmtId="0" fontId="136" fillId="0" borderId="3" xfId="0" applyFont="1" applyBorder="1" applyAlignment="1">
      <alignment horizontal="center" vertical="center"/>
    </xf>
    <xf numFmtId="0" fontId="136" fillId="0" borderId="4" xfId="0" applyFont="1" applyBorder="1" applyAlignment="1">
      <alignment horizontal="center" vertical="center"/>
    </xf>
    <xf numFmtId="0" fontId="132" fillId="0" borderId="18" xfId="0" applyFont="1" applyBorder="1" applyAlignment="1">
      <alignment horizontal="left" vertical="center"/>
    </xf>
    <xf numFmtId="0" fontId="132" fillId="0" borderId="11" xfId="0" applyFont="1" applyBorder="1" applyAlignment="1">
      <alignment horizontal="left" vertical="center"/>
    </xf>
    <xf numFmtId="0" fontId="132" fillId="0" borderId="19" xfId="0" applyFont="1" applyBorder="1" applyAlignment="1">
      <alignment horizontal="left" vertical="center"/>
    </xf>
    <xf numFmtId="0" fontId="131" fillId="0" borderId="2" xfId="0" applyFont="1" applyBorder="1" applyAlignment="1">
      <alignment horizontal="left" vertical="top"/>
    </xf>
    <xf numFmtId="0" fontId="131" fillId="0" borderId="3" xfId="0" applyFont="1" applyBorder="1" applyAlignment="1">
      <alignment horizontal="left" vertical="top"/>
    </xf>
    <xf numFmtId="0" fontId="131" fillId="0" borderId="4" xfId="0" applyFont="1" applyBorder="1" applyAlignment="1">
      <alignment horizontal="left" vertical="top"/>
    </xf>
    <xf numFmtId="0" fontId="131" fillId="0" borderId="2" xfId="0" applyFont="1" applyBorder="1" applyAlignment="1">
      <alignment horizontal="center" vertical="center"/>
    </xf>
    <xf numFmtId="0" fontId="131" fillId="0" borderId="3" xfId="0" applyFont="1" applyBorder="1" applyAlignment="1">
      <alignment horizontal="center" vertical="center"/>
    </xf>
    <xf numFmtId="0" fontId="131" fillId="0" borderId="4" xfId="0" applyFont="1" applyBorder="1" applyAlignment="1">
      <alignment horizontal="center" vertical="center"/>
    </xf>
    <xf numFmtId="0" fontId="132" fillId="0" borderId="16" xfId="0" applyFont="1" applyBorder="1" applyAlignment="1">
      <alignment horizontal="left" vertical="top"/>
    </xf>
    <xf numFmtId="0" fontId="132" fillId="0" borderId="0" xfId="0" applyFont="1" applyAlignment="1">
      <alignment horizontal="left" vertical="top"/>
    </xf>
    <xf numFmtId="0" fontId="132" fillId="0" borderId="17" xfId="0" applyFont="1" applyBorder="1" applyAlignment="1">
      <alignment horizontal="left" vertical="top"/>
    </xf>
    <xf numFmtId="0" fontId="117" fillId="0" borderId="1" xfId="0" quotePrefix="1" applyFont="1" applyBorder="1" applyAlignment="1">
      <alignment horizontal="left" vertical="center" wrapText="1"/>
    </xf>
    <xf numFmtId="165" fontId="117" fillId="0" borderId="2" xfId="0" applyNumberFormat="1" applyFont="1" applyBorder="1" applyAlignment="1">
      <alignment horizontal="center" vertical="center" wrapText="1"/>
    </xf>
    <xf numFmtId="165" fontId="117" fillId="0" borderId="3" xfId="0" applyNumberFormat="1" applyFont="1" applyBorder="1" applyAlignment="1">
      <alignment horizontal="center" vertical="center" wrapText="1"/>
    </xf>
    <xf numFmtId="165" fontId="117" fillId="0" borderId="4" xfId="0" applyNumberFormat="1" applyFont="1" applyBorder="1" applyAlignment="1">
      <alignment horizontal="center" vertical="center" wrapText="1"/>
    </xf>
    <xf numFmtId="0" fontId="24" fillId="0" borderId="20" xfId="0" applyFont="1" applyBorder="1" applyAlignment="1">
      <alignment horizontal="center" vertical="center"/>
    </xf>
    <xf numFmtId="179" fontId="24" fillId="22" borderId="1" xfId="0" applyNumberFormat="1" applyFont="1" applyFill="1" applyBorder="1" applyAlignment="1">
      <alignment horizontal="center" vertical="center"/>
    </xf>
    <xf numFmtId="179" fontId="24" fillId="22" borderId="21" xfId="0" applyNumberFormat="1" applyFont="1" applyFill="1" applyBorder="1" applyAlignment="1">
      <alignment horizontal="center" vertical="center"/>
    </xf>
    <xf numFmtId="178" fontId="164" fillId="3" borderId="1" xfId="0" applyNumberFormat="1" applyFont="1" applyFill="1" applyBorder="1" applyAlignment="1">
      <alignment horizontal="center" vertical="center"/>
    </xf>
    <xf numFmtId="179" fontId="164" fillId="3" borderId="1" xfId="0" applyNumberFormat="1" applyFont="1" applyFill="1" applyBorder="1" applyAlignment="1">
      <alignment horizontal="center" vertical="center"/>
    </xf>
    <xf numFmtId="179" fontId="164" fillId="22" borderId="1" xfId="0" applyNumberFormat="1" applyFont="1" applyFill="1" applyBorder="1" applyAlignment="1">
      <alignment horizontal="center" vertical="center"/>
    </xf>
    <xf numFmtId="179" fontId="164" fillId="22" borderId="21" xfId="0" applyNumberFormat="1" applyFont="1" applyFill="1" applyBorder="1" applyAlignment="1">
      <alignment horizontal="center" vertical="center"/>
    </xf>
    <xf numFmtId="0" fontId="117" fillId="0" borderId="1" xfId="0" quotePrefix="1" applyFont="1" applyBorder="1" applyAlignment="1">
      <alignment horizontal="center" vertical="center"/>
    </xf>
    <xf numFmtId="0" fontId="117" fillId="0" borderId="13" xfId="0" applyFont="1" applyBorder="1" applyAlignment="1">
      <alignment horizontal="left" vertical="center" wrapText="1"/>
    </xf>
    <xf numFmtId="0" fontId="117" fillId="0" borderId="14" xfId="0" applyFont="1" applyBorder="1" applyAlignment="1">
      <alignment horizontal="left" vertical="center" wrapText="1"/>
    </xf>
    <xf numFmtId="0" fontId="117" fillId="0" borderId="15" xfId="0" applyFont="1" applyBorder="1" applyAlignment="1">
      <alignment horizontal="left" vertical="center" wrapText="1"/>
    </xf>
    <xf numFmtId="0" fontId="117" fillId="0" borderId="18" xfId="0" applyFont="1" applyBorder="1" applyAlignment="1">
      <alignment horizontal="left" vertical="center" wrapText="1"/>
    </xf>
    <xf numFmtId="0" fontId="117" fillId="0" borderId="11" xfId="0" applyFont="1" applyBorder="1" applyAlignment="1">
      <alignment horizontal="left" vertical="center" wrapText="1"/>
    </xf>
    <xf numFmtId="0" fontId="117" fillId="0" borderId="19" xfId="0" applyFont="1" applyBorder="1" applyAlignment="1">
      <alignment horizontal="left" vertical="center" wrapText="1"/>
    </xf>
    <xf numFmtId="0" fontId="24" fillId="0" borderId="8" xfId="0" applyFont="1" applyBorder="1" applyAlignment="1">
      <alignment horizontal="center" vertical="center"/>
    </xf>
    <xf numFmtId="179" fontId="24" fillId="22" borderId="9" xfId="0" applyNumberFormat="1" applyFont="1" applyFill="1" applyBorder="1" applyAlignment="1">
      <alignment horizontal="center" vertical="center"/>
    </xf>
    <xf numFmtId="179" fontId="24" fillId="22" borderId="10" xfId="0" applyNumberFormat="1" applyFont="1" applyFill="1" applyBorder="1" applyAlignment="1">
      <alignment horizontal="center" vertical="center"/>
    </xf>
    <xf numFmtId="0" fontId="4" fillId="0" borderId="53" xfId="0" applyFont="1" applyBorder="1" applyAlignment="1">
      <alignment horizontal="center" vertical="center" wrapText="1"/>
    </xf>
    <xf numFmtId="178" fontId="164" fillId="3" borderId="9" xfId="0" applyNumberFormat="1" applyFont="1" applyFill="1" applyBorder="1" applyAlignment="1">
      <alignment horizontal="center" vertical="center"/>
    </xf>
    <xf numFmtId="179" fontId="164" fillId="3" borderId="9" xfId="0" applyNumberFormat="1" applyFont="1" applyFill="1" applyBorder="1" applyAlignment="1">
      <alignment horizontal="center" vertical="center"/>
    </xf>
    <xf numFmtId="179" fontId="164" fillId="22" borderId="9" xfId="0" applyNumberFormat="1" applyFont="1" applyFill="1" applyBorder="1" applyAlignment="1">
      <alignment horizontal="center" vertical="center"/>
    </xf>
    <xf numFmtId="179" fontId="164" fillId="22" borderId="10" xfId="0" applyNumberFormat="1" applyFont="1" applyFill="1" applyBorder="1" applyAlignment="1">
      <alignment horizontal="center" vertical="center"/>
    </xf>
    <xf numFmtId="0" fontId="109" fillId="0" borderId="1" xfId="0" quotePrefix="1" applyFont="1" applyBorder="1" applyAlignment="1">
      <alignment horizontal="left" vertical="center" wrapText="1"/>
    </xf>
    <xf numFmtId="165" fontId="109" fillId="0" borderId="2" xfId="0" applyNumberFormat="1" applyFont="1" applyBorder="1" applyAlignment="1">
      <alignment horizontal="center" vertical="center" wrapText="1"/>
    </xf>
    <xf numFmtId="165" fontId="109" fillId="0" borderId="3" xfId="0" applyNumberFormat="1" applyFont="1" applyBorder="1" applyAlignment="1">
      <alignment horizontal="center" vertical="center" wrapText="1"/>
    </xf>
    <xf numFmtId="165" fontId="109" fillId="0" borderId="4" xfId="0" applyNumberFormat="1" applyFont="1" applyBorder="1" applyAlignment="1">
      <alignment horizontal="center" vertical="center" wrapText="1"/>
    </xf>
    <xf numFmtId="2" fontId="109" fillId="0" borderId="2" xfId="0" applyNumberFormat="1" applyFont="1" applyBorder="1" applyAlignment="1">
      <alignment horizontal="center" vertical="center" wrapText="1"/>
    </xf>
    <xf numFmtId="2" fontId="109" fillId="0" borderId="3" xfId="0" applyNumberFormat="1" applyFont="1" applyBorder="1" applyAlignment="1">
      <alignment horizontal="center" vertical="center" wrapText="1"/>
    </xf>
    <xf numFmtId="2" fontId="109" fillId="0" borderId="4" xfId="0" applyNumberFormat="1" applyFont="1" applyBorder="1" applyAlignment="1">
      <alignment horizontal="center" vertical="center" wrapText="1"/>
    </xf>
    <xf numFmtId="0" fontId="109" fillId="0" borderId="1" xfId="0" quotePrefix="1" applyFont="1" applyBorder="1" applyAlignment="1">
      <alignment horizontal="center" vertical="center"/>
    </xf>
    <xf numFmtId="3" fontId="109" fillId="0" borderId="1" xfId="1" applyNumberFormat="1" applyFont="1" applyBorder="1" applyAlignment="1">
      <alignment horizontal="center" vertical="center" wrapText="1"/>
    </xf>
    <xf numFmtId="0" fontId="109" fillId="0" borderId="2" xfId="0" quotePrefix="1" applyFont="1" applyBorder="1" applyAlignment="1">
      <alignment horizontal="left" vertical="center" wrapText="1"/>
    </xf>
    <xf numFmtId="0" fontId="109" fillId="0" borderId="3" xfId="0" quotePrefix="1" applyFont="1" applyBorder="1" applyAlignment="1">
      <alignment horizontal="left" vertical="center" wrapText="1"/>
    </xf>
    <xf numFmtId="0" fontId="109" fillId="0" borderId="4" xfId="0" quotePrefix="1" applyFont="1" applyBorder="1" applyAlignment="1">
      <alignment horizontal="left" vertical="center" wrapText="1"/>
    </xf>
    <xf numFmtId="165" fontId="109" fillId="0" borderId="1" xfId="0" quotePrefix="1" applyNumberFormat="1" applyFont="1" applyBorder="1" applyAlignment="1">
      <alignment horizontal="center" vertical="center" wrapText="1"/>
    </xf>
    <xf numFmtId="165" fontId="109" fillId="0" borderId="1" xfId="0" applyNumberFormat="1" applyFont="1" applyBorder="1" applyAlignment="1">
      <alignment horizontal="center" vertical="center" wrapText="1"/>
    </xf>
    <xf numFmtId="0" fontId="46" fillId="0" borderId="1" xfId="0" applyFont="1" applyBorder="1" applyAlignment="1">
      <alignment horizontal="center" vertical="center"/>
    </xf>
    <xf numFmtId="0" fontId="46" fillId="9" borderId="1" xfId="0" applyFont="1" applyFill="1" applyBorder="1" applyAlignment="1">
      <alignment horizontal="center" vertical="center"/>
    </xf>
    <xf numFmtId="0" fontId="22" fillId="0" borderId="1" xfId="0" applyFont="1" applyBorder="1" applyAlignment="1">
      <alignment horizontal="left" vertical="center"/>
    </xf>
    <xf numFmtId="0" fontId="46" fillId="30" borderId="1" xfId="0" applyFont="1" applyFill="1" applyBorder="1" applyAlignment="1">
      <alignment horizontal="center" vertical="center"/>
    </xf>
    <xf numFmtId="0" fontId="213" fillId="0" borderId="1" xfId="0" applyFont="1" applyBorder="1" applyAlignment="1">
      <alignment horizontal="left" vertical="center"/>
    </xf>
    <xf numFmtId="2" fontId="63" fillId="0" borderId="1" xfId="0" applyNumberFormat="1" applyFont="1" applyBorder="1" applyAlignment="1">
      <alignment horizontal="center" vertical="center"/>
    </xf>
    <xf numFmtId="0" fontId="237" fillId="0" borderId="1" xfId="0" applyFont="1" applyBorder="1" applyAlignment="1">
      <alignment horizontal="center" vertical="center"/>
    </xf>
    <xf numFmtId="0" fontId="64" fillId="30" borderId="1" xfId="0" applyFont="1" applyFill="1" applyBorder="1" applyAlignment="1">
      <alignment horizontal="center" vertical="center"/>
    </xf>
    <xf numFmtId="9" fontId="135" fillId="0" borderId="1" xfId="0" applyNumberFormat="1" applyFont="1" applyBorder="1" applyAlignment="1">
      <alignment horizontal="center" vertical="center"/>
    </xf>
    <xf numFmtId="9" fontId="135" fillId="0" borderId="1" xfId="1" applyFont="1" applyBorder="1" applyAlignment="1">
      <alignment horizontal="center" vertical="center"/>
    </xf>
    <xf numFmtId="0" fontId="64" fillId="9" borderId="1" xfId="0" applyFont="1" applyFill="1" applyBorder="1" applyAlignment="1">
      <alignment horizontal="center" vertical="center"/>
    </xf>
    <xf numFmtId="0" fontId="64" fillId="10" borderId="1" xfId="0" applyFont="1" applyFill="1" applyBorder="1" applyAlignment="1">
      <alignment horizontal="center" vertical="center"/>
    </xf>
    <xf numFmtId="0" fontId="113" fillId="0" borderId="3" xfId="0" applyFont="1" applyBorder="1" applyAlignment="1">
      <alignment horizontal="left" vertical="center"/>
    </xf>
    <xf numFmtId="0" fontId="113" fillId="0" borderId="4" xfId="0" applyFont="1" applyBorder="1" applyAlignment="1">
      <alignment horizontal="left" vertical="center"/>
    </xf>
    <xf numFmtId="9" fontId="16" fillId="0" borderId="1" xfId="4" applyNumberFormat="1" applyBorder="1" applyAlignment="1">
      <alignment horizontal="center" vertical="center" wrapText="1"/>
    </xf>
    <xf numFmtId="2" fontId="109" fillId="0" borderId="2" xfId="1" applyNumberFormat="1" applyFont="1" applyBorder="1" applyAlignment="1">
      <alignment horizontal="center" vertical="center"/>
    </xf>
    <xf numFmtId="2" fontId="109" fillId="0" borderId="3" xfId="1" applyNumberFormat="1" applyFont="1" applyBorder="1" applyAlignment="1">
      <alignment horizontal="center" vertical="center"/>
    </xf>
    <xf numFmtId="2" fontId="109" fillId="0" borderId="4" xfId="1" applyNumberFormat="1" applyFont="1" applyBorder="1" applyAlignment="1">
      <alignment horizontal="center" vertical="center"/>
    </xf>
    <xf numFmtId="0" fontId="113" fillId="0" borderId="1" xfId="0" applyFont="1" applyBorder="1" applyAlignment="1">
      <alignment horizontal="left" vertical="center"/>
    </xf>
    <xf numFmtId="0" fontId="154" fillId="0" borderId="2" xfId="0" applyFont="1" applyBorder="1" applyAlignment="1">
      <alignment horizontal="left" vertical="center"/>
    </xf>
    <xf numFmtId="0" fontId="154" fillId="0" borderId="3" xfId="0" applyFont="1" applyBorder="1" applyAlignment="1">
      <alignment horizontal="left" vertical="center"/>
    </xf>
    <xf numFmtId="0" fontId="154" fillId="0" borderId="4" xfId="0" applyFont="1" applyBorder="1" applyAlignment="1">
      <alignment horizontal="left" vertical="center"/>
    </xf>
    <xf numFmtId="2" fontId="117" fillId="0" borderId="2" xfId="1" applyNumberFormat="1" applyFont="1" applyBorder="1" applyAlignment="1">
      <alignment horizontal="center" vertical="center"/>
    </xf>
    <xf numFmtId="2" fontId="117" fillId="0" borderId="3" xfId="1" applyNumberFormat="1" applyFont="1" applyBorder="1" applyAlignment="1">
      <alignment horizontal="center" vertical="center"/>
    </xf>
    <xf numFmtId="2" fontId="117" fillId="0" borderId="4" xfId="1" applyNumberFormat="1" applyFont="1" applyBorder="1" applyAlignment="1">
      <alignment horizontal="center" vertical="center"/>
    </xf>
    <xf numFmtId="9" fontId="117" fillId="0" borderId="1" xfId="1" applyFont="1" applyBorder="1" applyAlignment="1">
      <alignment horizontal="center" vertical="center"/>
    </xf>
    <xf numFmtId="0" fontId="154" fillId="0" borderId="1" xfId="0" applyFont="1" applyBorder="1" applyAlignment="1">
      <alignment horizontal="left" vertical="center"/>
    </xf>
    <xf numFmtId="0" fontId="4" fillId="17" borderId="47" xfId="0" applyFont="1" applyFill="1" applyBorder="1" applyAlignment="1">
      <alignment horizontal="center" vertical="center"/>
    </xf>
    <xf numFmtId="0" fontId="4" fillId="17" borderId="48" xfId="0" applyFont="1" applyFill="1" applyBorder="1" applyAlignment="1">
      <alignment horizontal="center" vertical="center"/>
    </xf>
    <xf numFmtId="0" fontId="4" fillId="17" borderId="68" xfId="0" applyFont="1" applyFill="1" applyBorder="1" applyAlignment="1">
      <alignment horizontal="center" vertical="center"/>
    </xf>
    <xf numFmtId="0" fontId="4" fillId="3" borderId="48" xfId="0" applyFont="1" applyFill="1" applyBorder="1" applyAlignment="1">
      <alignment horizontal="center" vertical="center" wrapText="1"/>
    </xf>
    <xf numFmtId="0" fontId="4" fillId="3" borderId="67" xfId="0" applyFont="1" applyFill="1" applyBorder="1" applyAlignment="1">
      <alignment horizontal="center" vertical="center" wrapText="1"/>
    </xf>
    <xf numFmtId="0" fontId="0" fillId="0" borderId="33" xfId="0" applyBorder="1" applyAlignment="1">
      <alignment horizontal="center" vertical="center" wrapText="1"/>
    </xf>
    <xf numFmtId="0" fontId="0" fillId="0" borderId="32" xfId="0" applyBorder="1" applyAlignment="1">
      <alignment horizontal="center" vertical="center" wrapText="1"/>
    </xf>
    <xf numFmtId="0" fontId="0" fillId="0" borderId="35" xfId="0" applyBorder="1" applyAlignment="1">
      <alignment horizontal="center" vertical="center" wrapText="1"/>
    </xf>
    <xf numFmtId="0" fontId="0" fillId="0" borderId="37" xfId="0" applyBorder="1" applyAlignment="1">
      <alignment horizontal="center" vertical="center" wrapText="1"/>
    </xf>
    <xf numFmtId="0" fontId="0" fillId="0" borderId="23" xfId="0" applyBorder="1" applyAlignment="1">
      <alignment horizontal="center" vertical="center" wrapText="1"/>
    </xf>
    <xf numFmtId="175" fontId="0" fillId="0" borderId="6" xfId="0" applyNumberFormat="1" applyBorder="1" applyAlignment="1">
      <alignment horizontal="center"/>
    </xf>
    <xf numFmtId="191" fontId="21" fillId="0" borderId="6" xfId="0" applyNumberFormat="1" applyFont="1" applyBorder="1" applyAlignment="1">
      <alignment horizontal="center" vertical="center"/>
    </xf>
    <xf numFmtId="191" fontId="21" fillId="0" borderId="7" xfId="0" applyNumberFormat="1" applyFont="1" applyBorder="1" applyAlignment="1">
      <alignment horizontal="center" vertical="center"/>
    </xf>
    <xf numFmtId="175" fontId="0" fillId="0" borderId="1" xfId="0" applyNumberFormat="1" applyBorder="1" applyAlignment="1">
      <alignment horizontal="center"/>
    </xf>
    <xf numFmtId="191" fontId="21" fillId="0" borderId="1" xfId="0" applyNumberFormat="1" applyFont="1" applyBorder="1" applyAlignment="1">
      <alignment horizontal="center" vertical="center"/>
    </xf>
    <xf numFmtId="191" fontId="21" fillId="0" borderId="21" xfId="0" applyNumberFormat="1" applyFont="1" applyBorder="1" applyAlignment="1">
      <alignment horizontal="center" vertical="center"/>
    </xf>
    <xf numFmtId="175" fontId="0" fillId="0" borderId="9" xfId="0" applyNumberFormat="1" applyBorder="1" applyAlignment="1">
      <alignment horizontal="center"/>
    </xf>
    <xf numFmtId="191" fontId="21" fillId="0" borderId="9" xfId="0" applyNumberFormat="1" applyFont="1" applyBorder="1" applyAlignment="1">
      <alignment horizontal="center" vertical="center"/>
    </xf>
    <xf numFmtId="191" fontId="21" fillId="0" borderId="10" xfId="0" applyNumberFormat="1" applyFont="1" applyBorder="1" applyAlignment="1">
      <alignment horizontal="center" vertical="center"/>
    </xf>
    <xf numFmtId="0" fontId="0" fillId="0" borderId="69" xfId="0" applyBorder="1" applyAlignment="1">
      <alignment horizontal="center" vertical="center" wrapText="1"/>
    </xf>
    <xf numFmtId="0" fontId="0" fillId="0" borderId="38" xfId="0" applyBorder="1" applyAlignment="1">
      <alignment horizontal="center" vertical="center" wrapText="1"/>
    </xf>
    <xf numFmtId="0" fontId="0" fillId="0" borderId="46" xfId="0" applyBorder="1" applyAlignment="1">
      <alignment horizontal="center" vertical="center" wrapText="1"/>
    </xf>
    <xf numFmtId="0" fontId="0" fillId="0" borderId="44" xfId="0" applyBorder="1" applyAlignment="1">
      <alignment horizontal="center" vertical="center" wrapText="1"/>
    </xf>
    <xf numFmtId="175" fontId="0" fillId="0" borderId="22" xfId="0" applyNumberFormat="1" applyBorder="1" applyAlignment="1">
      <alignment horizontal="center"/>
    </xf>
    <xf numFmtId="191" fontId="21" fillId="0" borderId="22" xfId="0" applyNumberFormat="1" applyFont="1" applyBorder="1" applyAlignment="1">
      <alignment horizontal="center" vertical="center"/>
    </xf>
    <xf numFmtId="191" fontId="21" fillId="0" borderId="70" xfId="0" applyNumberFormat="1" applyFont="1" applyBorder="1" applyAlignment="1">
      <alignment horizontal="center" vertical="center"/>
    </xf>
    <xf numFmtId="0" fontId="4" fillId="30" borderId="47" xfId="0" applyFont="1" applyFill="1" applyBorder="1" applyAlignment="1">
      <alignment horizontal="center" vertical="center"/>
    </xf>
    <xf numFmtId="0" fontId="4" fillId="30" borderId="48" xfId="0" applyFont="1" applyFill="1" applyBorder="1" applyAlignment="1">
      <alignment horizontal="center" vertical="center"/>
    </xf>
    <xf numFmtId="0" fontId="4" fillId="30" borderId="68" xfId="0" applyFont="1" applyFill="1" applyBorder="1" applyAlignment="1">
      <alignment horizontal="center" vertical="center"/>
    </xf>
    <xf numFmtId="0" fontId="4" fillId="34" borderId="48" xfId="0" applyFont="1" applyFill="1" applyBorder="1" applyAlignment="1">
      <alignment horizontal="center" vertical="center" wrapText="1"/>
    </xf>
    <xf numFmtId="0" fontId="4" fillId="34" borderId="67" xfId="0" applyFont="1" applyFill="1" applyBorder="1" applyAlignment="1">
      <alignment horizontal="center" vertical="center" wrapText="1"/>
    </xf>
    <xf numFmtId="178" fontId="21" fillId="0" borderId="22" xfId="0" applyNumberFormat="1" applyFont="1" applyBorder="1" applyAlignment="1">
      <alignment horizontal="center" vertical="center"/>
    </xf>
    <xf numFmtId="179" fontId="21" fillId="0" borderId="22" xfId="0" applyNumberFormat="1" applyFont="1" applyBorder="1" applyAlignment="1">
      <alignment horizontal="center" vertical="center"/>
    </xf>
    <xf numFmtId="179" fontId="21" fillId="0" borderId="70" xfId="0" applyNumberFormat="1" applyFont="1" applyBorder="1" applyAlignment="1">
      <alignment horizontal="center" vertical="center"/>
    </xf>
    <xf numFmtId="178" fontId="21" fillId="0" borderId="9" xfId="0" applyNumberFormat="1" applyFont="1" applyBorder="1" applyAlignment="1">
      <alignment horizontal="center" vertical="center"/>
    </xf>
    <xf numFmtId="179" fontId="21" fillId="0" borderId="9" xfId="0" applyNumberFormat="1" applyFont="1" applyBorder="1" applyAlignment="1">
      <alignment horizontal="center" vertical="center"/>
    </xf>
    <xf numFmtId="179" fontId="21" fillId="0" borderId="10" xfId="0" applyNumberFormat="1" applyFont="1" applyBorder="1" applyAlignment="1">
      <alignment horizontal="center" vertical="center"/>
    </xf>
    <xf numFmtId="0" fontId="4" fillId="32" borderId="5" xfId="0" applyFont="1" applyFill="1" applyBorder="1" applyAlignment="1">
      <alignment horizontal="center" vertical="center"/>
    </xf>
    <xf numFmtId="0" fontId="4" fillId="32" borderId="6" xfId="0" applyFont="1" applyFill="1" applyBorder="1" applyAlignment="1">
      <alignment horizontal="center" vertical="center"/>
    </xf>
    <xf numFmtId="0" fontId="4" fillId="32" borderId="53" xfId="0" applyFont="1" applyFill="1" applyBorder="1" applyAlignment="1">
      <alignment horizontal="center" vertical="center"/>
    </xf>
    <xf numFmtId="0" fontId="4" fillId="21" borderId="6" xfId="0" applyFont="1" applyFill="1" applyBorder="1" applyAlignment="1">
      <alignment horizontal="center" vertical="center" wrapText="1"/>
    </xf>
    <xf numFmtId="0" fontId="4" fillId="33" borderId="6" xfId="0" applyFont="1" applyFill="1" applyBorder="1" applyAlignment="1">
      <alignment horizontal="center" vertical="center" wrapText="1"/>
    </xf>
    <xf numFmtId="0" fontId="4" fillId="33" borderId="7" xfId="0" applyFont="1" applyFill="1" applyBorder="1" applyAlignment="1">
      <alignment horizontal="center" vertical="center" wrapText="1"/>
    </xf>
    <xf numFmtId="178" fontId="21" fillId="0" borderId="6" xfId="0" applyNumberFormat="1" applyFont="1" applyBorder="1" applyAlignment="1">
      <alignment horizontal="center" vertical="center"/>
    </xf>
    <xf numFmtId="179" fontId="21" fillId="0" borderId="6" xfId="0" applyNumberFormat="1" applyFont="1" applyBorder="1" applyAlignment="1">
      <alignment horizontal="center" vertical="center"/>
    </xf>
    <xf numFmtId="179" fontId="21" fillId="0" borderId="7" xfId="0" applyNumberFormat="1" applyFont="1" applyBorder="1" applyAlignment="1">
      <alignment horizontal="center" vertical="center"/>
    </xf>
    <xf numFmtId="178" fontId="21" fillId="0" borderId="1" xfId="0" applyNumberFormat="1" applyFont="1" applyBorder="1" applyAlignment="1">
      <alignment horizontal="center" vertical="center"/>
    </xf>
    <xf numFmtId="179" fontId="21" fillId="0" borderId="1" xfId="0" applyNumberFormat="1" applyFont="1" applyBorder="1" applyAlignment="1">
      <alignment horizontal="center" vertical="center"/>
    </xf>
    <xf numFmtId="179" fontId="21" fillId="0" borderId="21" xfId="0" applyNumberFormat="1" applyFont="1" applyBorder="1" applyAlignment="1">
      <alignment horizontal="center" vertical="center"/>
    </xf>
    <xf numFmtId="0" fontId="71" fillId="0" borderId="0" xfId="0" applyFont="1" applyAlignment="1">
      <alignment wrapText="1"/>
    </xf>
    <xf numFmtId="0" fontId="24" fillId="0" borderId="33" xfId="0" applyFont="1" applyBorder="1" applyAlignment="1">
      <alignment horizontal="center" vertical="center" wrapText="1"/>
    </xf>
    <xf numFmtId="0" fontId="24" fillId="0" borderId="32" xfId="0" applyFont="1" applyBorder="1" applyAlignment="1">
      <alignment horizontal="center" vertical="center" wrapText="1"/>
    </xf>
    <xf numFmtId="0" fontId="24" fillId="0" borderId="35" xfId="0" applyFont="1" applyBorder="1" applyAlignment="1">
      <alignment horizontal="center" vertical="center" wrapText="1"/>
    </xf>
    <xf numFmtId="0" fontId="24" fillId="0" borderId="0" xfId="0" applyFont="1" applyAlignment="1">
      <alignment horizontal="center" vertical="center" wrapText="1"/>
    </xf>
    <xf numFmtId="0" fontId="24" fillId="0" borderId="37" xfId="0" applyFont="1" applyBorder="1" applyAlignment="1">
      <alignment horizontal="center" vertical="center" wrapText="1"/>
    </xf>
    <xf numFmtId="0" fontId="24" fillId="0" borderId="23" xfId="0" applyFont="1" applyBorder="1" applyAlignment="1">
      <alignment horizontal="center" vertical="center" wrapText="1"/>
    </xf>
    <xf numFmtId="0" fontId="40" fillId="27" borderId="33" xfId="0" applyFont="1" applyFill="1" applyBorder="1" applyAlignment="1">
      <alignment horizontal="center" vertical="center"/>
    </xf>
    <xf numFmtId="0" fontId="40" fillId="27" borderId="32" xfId="0" applyFont="1" applyFill="1" applyBorder="1" applyAlignment="1">
      <alignment horizontal="center" vertical="center"/>
    </xf>
    <xf numFmtId="0" fontId="40" fillId="27" borderId="59" xfId="0" applyFont="1" applyFill="1" applyBorder="1" applyAlignment="1">
      <alignment horizontal="center" vertical="center"/>
    </xf>
    <xf numFmtId="0" fontId="40" fillId="27" borderId="37" xfId="0" applyFont="1" applyFill="1" applyBorder="1" applyAlignment="1">
      <alignment horizontal="center" vertical="center"/>
    </xf>
    <xf numFmtId="0" fontId="40" fillId="27" borderId="23" xfId="0" applyFont="1" applyFill="1" applyBorder="1" applyAlignment="1">
      <alignment horizontal="center" vertical="center"/>
    </xf>
    <xf numFmtId="0" fontId="40" fillId="27" borderId="60" xfId="0" applyFont="1" applyFill="1" applyBorder="1" applyAlignment="1">
      <alignment horizontal="center" vertical="center"/>
    </xf>
    <xf numFmtId="0" fontId="40" fillId="27" borderId="68" xfId="0" applyFont="1" applyFill="1" applyBorder="1" applyAlignment="1">
      <alignment horizontal="center" vertical="center"/>
    </xf>
    <xf numFmtId="0" fontId="40" fillId="27" borderId="66" xfId="0" applyFont="1" applyFill="1" applyBorder="1" applyAlignment="1">
      <alignment horizontal="center" vertical="center"/>
    </xf>
    <xf numFmtId="0" fontId="40" fillId="9" borderId="66" xfId="0" applyFont="1" applyFill="1" applyBorder="1" applyAlignment="1">
      <alignment horizontal="center" vertical="center" wrapText="1"/>
    </xf>
    <xf numFmtId="0" fontId="40" fillId="9" borderId="23" xfId="0" applyFont="1" applyFill="1" applyBorder="1" applyAlignment="1">
      <alignment horizontal="center" vertical="center" wrapText="1"/>
    </xf>
    <xf numFmtId="0" fontId="40" fillId="9" borderId="60" xfId="0" applyFont="1" applyFill="1" applyBorder="1" applyAlignment="1">
      <alignment horizontal="center" vertical="center" wrapText="1"/>
    </xf>
    <xf numFmtId="0" fontId="40" fillId="10" borderId="66" xfId="0" applyFont="1" applyFill="1" applyBorder="1" applyAlignment="1">
      <alignment horizontal="center" vertical="center" wrapText="1"/>
    </xf>
    <xf numFmtId="0" fontId="40" fillId="10" borderId="23" xfId="0" applyFont="1" applyFill="1" applyBorder="1" applyAlignment="1">
      <alignment horizontal="center" vertical="center" wrapText="1"/>
    </xf>
    <xf numFmtId="0" fontId="40" fillId="10" borderId="60" xfId="0" applyFont="1" applyFill="1" applyBorder="1" applyAlignment="1">
      <alignment horizontal="center" vertical="center" wrapText="1"/>
    </xf>
    <xf numFmtId="0" fontId="40" fillId="10" borderId="24" xfId="0" applyFont="1" applyFill="1" applyBorder="1" applyAlignment="1">
      <alignment horizontal="center" vertical="center" wrapText="1"/>
    </xf>
    <xf numFmtId="178" fontId="65" fillId="0" borderId="53" xfId="0" applyNumberFormat="1" applyFont="1" applyBorder="1" applyAlignment="1">
      <alignment horizontal="center" vertical="center"/>
    </xf>
    <xf numFmtId="178" fontId="65" fillId="0" borderId="50" xfId="0" applyNumberFormat="1" applyFont="1" applyBorder="1" applyAlignment="1">
      <alignment horizontal="center" vertical="center"/>
    </xf>
    <xf numFmtId="178" fontId="65" fillId="0" borderId="52" xfId="0" applyNumberFormat="1" applyFont="1" applyBorder="1" applyAlignment="1">
      <alignment horizontal="center" vertical="center"/>
    </xf>
    <xf numFmtId="179" fontId="65" fillId="0" borderId="53" xfId="0" applyNumberFormat="1" applyFont="1" applyBorder="1" applyAlignment="1">
      <alignment horizontal="center" vertical="center"/>
    </xf>
    <xf numFmtId="179" fontId="65" fillId="0" borderId="50" xfId="0" applyNumberFormat="1" applyFont="1" applyBorder="1" applyAlignment="1">
      <alignment horizontal="center" vertical="center"/>
    </xf>
    <xf numFmtId="179" fontId="65" fillId="0" borderId="52" xfId="0" applyNumberFormat="1" applyFont="1" applyBorder="1" applyAlignment="1">
      <alignment horizontal="center" vertical="center"/>
    </xf>
    <xf numFmtId="179" fontId="65" fillId="0" borderId="51" xfId="0" applyNumberFormat="1" applyFont="1" applyBorder="1" applyAlignment="1">
      <alignment horizontal="center" vertical="center"/>
    </xf>
    <xf numFmtId="175" fontId="24" fillId="0" borderId="1" xfId="0" applyNumberFormat="1" applyFont="1" applyBorder="1" applyAlignment="1">
      <alignment horizontal="center"/>
    </xf>
    <xf numFmtId="175" fontId="24" fillId="0" borderId="9" xfId="0" applyNumberFormat="1" applyFont="1" applyBorder="1" applyAlignment="1">
      <alignment horizontal="center"/>
    </xf>
    <xf numFmtId="178" fontId="65" fillId="0" borderId="2" xfId="0" applyNumberFormat="1" applyFont="1" applyBorder="1" applyAlignment="1">
      <alignment horizontal="center" vertical="center"/>
    </xf>
    <xf numFmtId="178" fontId="65" fillId="0" borderId="3" xfId="0" applyNumberFormat="1" applyFont="1" applyBorder="1" applyAlignment="1">
      <alignment horizontal="center" vertical="center"/>
    </xf>
    <xf numFmtId="178" fontId="65" fillId="0" borderId="4" xfId="0" applyNumberFormat="1" applyFont="1" applyBorder="1" applyAlignment="1">
      <alignment horizontal="center" vertical="center"/>
    </xf>
    <xf numFmtId="179" fontId="65" fillId="0" borderId="2" xfId="0" applyNumberFormat="1" applyFont="1" applyBorder="1" applyAlignment="1">
      <alignment horizontal="center" vertical="center"/>
    </xf>
    <xf numFmtId="179" fontId="65" fillId="0" borderId="3" xfId="0" applyNumberFormat="1" applyFont="1" applyBorder="1" applyAlignment="1">
      <alignment horizontal="center" vertical="center"/>
    </xf>
    <xf numFmtId="179" fontId="65" fillId="0" borderId="4" xfId="0" applyNumberFormat="1" applyFont="1" applyBorder="1" applyAlignment="1">
      <alignment horizontal="center" vertical="center"/>
    </xf>
    <xf numFmtId="179" fontId="65" fillId="0" borderId="18" xfId="0" applyNumberFormat="1" applyFont="1" applyBorder="1" applyAlignment="1">
      <alignment horizontal="center" vertical="center"/>
    </xf>
    <xf numFmtId="179" fontId="65" fillId="0" borderId="11" xfId="0" applyNumberFormat="1" applyFont="1" applyBorder="1" applyAlignment="1">
      <alignment horizontal="center" vertical="center"/>
    </xf>
    <xf numFmtId="179" fontId="65" fillId="0" borderId="71" xfId="0" applyNumberFormat="1" applyFont="1" applyBorder="1" applyAlignment="1">
      <alignment horizontal="center" vertical="center"/>
    </xf>
    <xf numFmtId="178" fontId="65" fillId="0" borderId="43" xfId="0" applyNumberFormat="1" applyFont="1" applyBorder="1" applyAlignment="1">
      <alignment horizontal="center" vertical="center"/>
    </xf>
    <xf numFmtId="178" fontId="65" fillId="0" borderId="44" xfId="0" applyNumberFormat="1" applyFont="1" applyBorder="1" applyAlignment="1">
      <alignment horizontal="center" vertical="center"/>
    </xf>
    <xf numFmtId="178" fontId="65" fillId="0" borderId="45" xfId="0" applyNumberFormat="1" applyFont="1" applyBorder="1" applyAlignment="1">
      <alignment horizontal="center" vertical="center"/>
    </xf>
    <xf numFmtId="179" fontId="65" fillId="0" borderId="43" xfId="0" applyNumberFormat="1" applyFont="1" applyBorder="1" applyAlignment="1">
      <alignment horizontal="center" vertical="center"/>
    </xf>
    <xf numFmtId="179" fontId="65" fillId="0" borderId="44" xfId="0" applyNumberFormat="1" applyFont="1" applyBorder="1" applyAlignment="1">
      <alignment horizontal="center" vertical="center"/>
    </xf>
    <xf numFmtId="179" fontId="65" fillId="0" borderId="45" xfId="0" applyNumberFormat="1" applyFont="1" applyBorder="1" applyAlignment="1">
      <alignment horizontal="center" vertical="center"/>
    </xf>
    <xf numFmtId="49" fontId="109" fillId="0" borderId="1" xfId="0" applyNumberFormat="1" applyFont="1" applyBorder="1" applyAlignment="1">
      <alignment horizontal="center" vertical="center" wrapText="1"/>
    </xf>
    <xf numFmtId="2" fontId="109" fillId="0" borderId="1" xfId="0" applyNumberFormat="1" applyFont="1" applyBorder="1" applyAlignment="1">
      <alignment horizontal="center" vertical="center" wrapText="1"/>
    </xf>
    <xf numFmtId="1" fontId="109" fillId="0" borderId="1" xfId="0" applyNumberFormat="1" applyFont="1" applyBorder="1" applyAlignment="1">
      <alignment horizontal="center" vertical="center" wrapText="1"/>
    </xf>
    <xf numFmtId="3" fontId="109" fillId="0" borderId="1" xfId="0" applyNumberFormat="1" applyFont="1" applyBorder="1" applyAlignment="1">
      <alignment horizontal="center" vertical="center" wrapText="1"/>
    </xf>
    <xf numFmtId="0" fontId="109" fillId="0" borderId="1" xfId="0" quotePrefix="1" applyFont="1" applyBorder="1" applyAlignment="1">
      <alignment horizontal="center" vertical="center" wrapText="1"/>
    </xf>
    <xf numFmtId="175" fontId="24" fillId="0" borderId="6" xfId="0" applyNumberFormat="1" applyFont="1" applyBorder="1" applyAlignment="1">
      <alignment horizontal="center"/>
    </xf>
    <xf numFmtId="0" fontId="40" fillId="9" borderId="6" xfId="0" applyFont="1" applyFill="1" applyBorder="1" applyAlignment="1">
      <alignment horizontal="center" vertical="center" wrapText="1"/>
    </xf>
    <xf numFmtId="0" fontId="40" fillId="10" borderId="6" xfId="0" applyFont="1" applyFill="1" applyBorder="1" applyAlignment="1">
      <alignment horizontal="center" vertical="center" wrapText="1"/>
    </xf>
    <xf numFmtId="0" fontId="40" fillId="10" borderId="7" xfId="0" applyFont="1" applyFill="1" applyBorder="1" applyAlignment="1">
      <alignment horizontal="center" vertical="center" wrapText="1"/>
    </xf>
    <xf numFmtId="167" fontId="109" fillId="0" borderId="1" xfId="0" applyNumberFormat="1" applyFont="1" applyBorder="1" applyAlignment="1">
      <alignment horizontal="center" vertical="center" wrapText="1"/>
    </xf>
    <xf numFmtId="0" fontId="24" fillId="0" borderId="69"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44" xfId="0" applyFont="1" applyBorder="1" applyAlignment="1">
      <alignment horizontal="center" vertical="center" wrapText="1"/>
    </xf>
    <xf numFmtId="179" fontId="65" fillId="0" borderId="54" xfId="0" applyNumberFormat="1" applyFont="1" applyBorder="1" applyAlignment="1">
      <alignment horizontal="center" vertical="center"/>
    </xf>
    <xf numFmtId="175" fontId="24" fillId="0" borderId="22" xfId="0" applyNumberFormat="1" applyFont="1" applyBorder="1" applyAlignment="1">
      <alignment horizontal="center"/>
    </xf>
    <xf numFmtId="179" fontId="0" fillId="22" borderId="9" xfId="0" applyNumberFormat="1" applyFill="1" applyBorder="1" applyAlignment="1">
      <alignment horizontal="center" vertical="center"/>
    </xf>
    <xf numFmtId="179" fontId="0" fillId="22" borderId="10" xfId="0" applyNumberFormat="1" applyFill="1" applyBorder="1" applyAlignment="1">
      <alignment horizontal="center" vertical="center"/>
    </xf>
    <xf numFmtId="179" fontId="0" fillId="22" borderId="1" xfId="0" applyNumberFormat="1" applyFill="1" applyBorder="1" applyAlignment="1">
      <alignment horizontal="center" vertical="center"/>
    </xf>
    <xf numFmtId="179" fontId="0" fillId="22" borderId="21" xfId="0" applyNumberFormat="1" applyFill="1" applyBorder="1" applyAlignment="1">
      <alignment horizontal="center" vertical="center"/>
    </xf>
    <xf numFmtId="9" fontId="109" fillId="0" borderId="2" xfId="0" applyNumberFormat="1" applyFont="1" applyBorder="1" applyAlignment="1">
      <alignment horizontal="center" vertical="center"/>
    </xf>
    <xf numFmtId="9" fontId="109" fillId="0" borderId="3" xfId="0" applyNumberFormat="1" applyFont="1" applyBorder="1" applyAlignment="1">
      <alignment horizontal="center" vertical="center"/>
    </xf>
    <xf numFmtId="9" fontId="109" fillId="0" borderId="4" xfId="0" applyNumberFormat="1" applyFont="1" applyBorder="1" applyAlignment="1">
      <alignment horizontal="center" vertical="center"/>
    </xf>
    <xf numFmtId="0" fontId="16" fillId="0" borderId="13" xfId="4" applyBorder="1" applyAlignment="1">
      <alignment horizontal="left" vertical="center" wrapText="1"/>
    </xf>
    <xf numFmtId="0" fontId="16" fillId="0" borderId="14" xfId="4" applyBorder="1" applyAlignment="1">
      <alignment horizontal="left" vertical="center" wrapText="1"/>
    </xf>
    <xf numFmtId="0" fontId="16" fillId="0" borderId="15" xfId="4" applyBorder="1" applyAlignment="1">
      <alignment horizontal="left" vertical="center" wrapText="1"/>
    </xf>
    <xf numFmtId="0" fontId="16" fillId="0" borderId="16" xfId="4" applyBorder="1" applyAlignment="1">
      <alignment horizontal="left" vertical="center" wrapText="1"/>
    </xf>
    <xf numFmtId="0" fontId="16" fillId="0" borderId="0" xfId="4" applyAlignment="1">
      <alignment horizontal="left" vertical="center" wrapText="1"/>
    </xf>
    <xf numFmtId="0" fontId="16" fillId="0" borderId="17" xfId="4" applyBorder="1" applyAlignment="1">
      <alignment horizontal="left" vertical="center" wrapText="1"/>
    </xf>
    <xf numFmtId="0" fontId="16" fillId="0" borderId="18" xfId="4" applyBorder="1" applyAlignment="1">
      <alignment horizontal="left" vertical="center" wrapText="1"/>
    </xf>
    <xf numFmtId="0" fontId="16" fillId="0" borderId="11" xfId="4" applyBorder="1" applyAlignment="1">
      <alignment horizontal="left" vertical="center" wrapText="1"/>
    </xf>
    <xf numFmtId="0" fontId="16" fillId="0" borderId="19" xfId="4" applyBorder="1" applyAlignment="1">
      <alignment horizontal="left" vertical="center" wrapText="1"/>
    </xf>
    <xf numFmtId="0" fontId="132" fillId="0" borderId="14" xfId="0" applyFont="1" applyBorder="1" applyAlignment="1">
      <alignment vertical="center" wrapText="1"/>
    </xf>
    <xf numFmtId="0" fontId="114" fillId="0" borderId="1" xfId="0" applyFont="1" applyBorder="1" applyAlignment="1">
      <alignment horizontal="left" vertical="center" wrapText="1"/>
    </xf>
    <xf numFmtId="2" fontId="109" fillId="0" borderId="1" xfId="0" quotePrefix="1" applyNumberFormat="1" applyFont="1" applyBorder="1" applyAlignment="1">
      <alignment horizontal="center" vertical="center"/>
    </xf>
    <xf numFmtId="191" fontId="164" fillId="3" borderId="9" xfId="0" applyNumberFormat="1" applyFont="1" applyFill="1" applyBorder="1" applyAlignment="1">
      <alignment horizontal="center" vertical="center"/>
    </xf>
    <xf numFmtId="191" fontId="164" fillId="3" borderId="10" xfId="0" applyNumberFormat="1" applyFont="1" applyFill="1" applyBorder="1" applyAlignment="1">
      <alignment horizontal="center" vertical="center"/>
    </xf>
    <xf numFmtId="191" fontId="164" fillId="22" borderId="9" xfId="0" applyNumberFormat="1" applyFont="1" applyFill="1" applyBorder="1" applyAlignment="1">
      <alignment horizontal="center" vertical="center"/>
    </xf>
    <xf numFmtId="191" fontId="164" fillId="22" borderId="10" xfId="0" applyNumberFormat="1" applyFont="1" applyFill="1" applyBorder="1" applyAlignment="1">
      <alignment horizontal="center" vertical="center"/>
    </xf>
    <xf numFmtId="0" fontId="0" fillId="0" borderId="14" xfId="0" applyBorder="1"/>
    <xf numFmtId="0" fontId="109" fillId="0" borderId="0" xfId="0" applyFont="1" applyAlignment="1">
      <alignment vertical="center"/>
    </xf>
    <xf numFmtId="165" fontId="109" fillId="0" borderId="2" xfId="0" applyNumberFormat="1" applyFont="1" applyBorder="1" applyAlignment="1">
      <alignment horizontal="center" vertical="center"/>
    </xf>
    <xf numFmtId="165" fontId="109" fillId="0" borderId="3" xfId="0" applyNumberFormat="1" applyFont="1" applyBorder="1" applyAlignment="1">
      <alignment horizontal="center" vertical="center"/>
    </xf>
    <xf numFmtId="0" fontId="20" fillId="16" borderId="1" xfId="0" applyFont="1" applyFill="1" applyBorder="1" applyAlignment="1" applyProtection="1">
      <alignment horizontal="center" vertical="center"/>
      <protection locked="0"/>
    </xf>
    <xf numFmtId="3" fontId="109" fillId="0" borderId="2" xfId="0" applyNumberFormat="1" applyFont="1" applyBorder="1" applyAlignment="1">
      <alignment horizontal="center" vertical="center" wrapText="1"/>
    </xf>
    <xf numFmtId="3" fontId="109" fillId="0" borderId="13" xfId="0" applyNumberFormat="1" applyFont="1" applyBorder="1" applyAlignment="1">
      <alignment horizontal="center" vertical="center" wrapText="1"/>
    </xf>
    <xf numFmtId="0" fontId="109" fillId="0" borderId="14" xfId="0" applyFont="1" applyBorder="1" applyAlignment="1">
      <alignment horizontal="center" vertical="center" wrapText="1"/>
    </xf>
    <xf numFmtId="0" fontId="109" fillId="0" borderId="15" xfId="0" applyFont="1" applyBorder="1" applyAlignment="1">
      <alignment horizontal="center" vertical="center" wrapText="1"/>
    </xf>
    <xf numFmtId="0" fontId="117" fillId="0" borderId="13" xfId="0" applyFont="1" applyBorder="1" applyAlignment="1">
      <alignment horizontal="center" vertical="center" wrapText="1"/>
    </xf>
    <xf numFmtId="0" fontId="117" fillId="0" borderId="14" xfId="0" applyFont="1" applyBorder="1" applyAlignment="1">
      <alignment horizontal="center" vertical="center" wrapText="1"/>
    </xf>
    <xf numFmtId="0" fontId="117" fillId="0" borderId="15" xfId="0" applyFont="1" applyBorder="1" applyAlignment="1">
      <alignment horizontal="center" vertical="center" wrapText="1"/>
    </xf>
    <xf numFmtId="0" fontId="142" fillId="0" borderId="2" xfId="0" applyFont="1" applyBorder="1" applyAlignment="1">
      <alignment horizontal="left" vertical="center" wrapText="1"/>
    </xf>
    <xf numFmtId="0" fontId="71" fillId="0" borderId="3" xfId="0" applyFont="1" applyBorder="1" applyAlignment="1">
      <alignment vertical="center" wrapText="1"/>
    </xf>
    <xf numFmtId="0" fontId="71" fillId="0" borderId="4" xfId="0" applyFont="1" applyBorder="1" applyAlignment="1">
      <alignment vertical="center" wrapText="1"/>
    </xf>
    <xf numFmtId="0" fontId="154" fillId="0" borderId="1" xfId="0" applyFont="1" applyBorder="1" applyAlignment="1">
      <alignment horizontal="left" vertical="center" wrapText="1"/>
    </xf>
    <xf numFmtId="0" fontId="109" fillId="0" borderId="13" xfId="0" applyFont="1" applyBorder="1" applyAlignment="1">
      <alignment horizontal="center" vertical="center" wrapText="1"/>
    </xf>
    <xf numFmtId="0" fontId="142" fillId="0" borderId="16" xfId="0" applyFont="1" applyBorder="1" applyAlignment="1">
      <alignment vertical="top" wrapText="1"/>
    </xf>
    <xf numFmtId="0" fontId="71" fillId="0" borderId="17" xfId="0" applyFont="1" applyBorder="1" applyAlignment="1">
      <alignment wrapText="1"/>
    </xf>
    <xf numFmtId="0" fontId="157" fillId="0" borderId="0" xfId="0" applyFont="1" applyAlignment="1">
      <alignment wrapText="1"/>
    </xf>
    <xf numFmtId="0" fontId="157" fillId="0" borderId="17" xfId="0" applyFont="1" applyBorder="1" applyAlignment="1">
      <alignment wrapText="1"/>
    </xf>
    <xf numFmtId="0" fontId="199" fillId="0" borderId="16" xfId="0" applyFont="1" applyBorder="1" applyAlignment="1">
      <alignment vertical="top" wrapText="1"/>
    </xf>
    <xf numFmtId="0" fontId="154" fillId="0" borderId="12" xfId="0" applyFont="1" applyBorder="1" applyAlignment="1">
      <alignment horizontal="left" vertical="center" wrapText="1"/>
    </xf>
    <xf numFmtId="0" fontId="109" fillId="0" borderId="12" xfId="0" applyFont="1" applyBorder="1" applyAlignment="1">
      <alignment horizontal="left" vertical="center" wrapText="1"/>
    </xf>
    <xf numFmtId="0" fontId="142" fillId="0" borderId="13" xfId="0" applyFont="1" applyBorder="1" applyAlignment="1">
      <alignment vertical="top" wrapText="1"/>
    </xf>
    <xf numFmtId="0" fontId="71" fillId="0" borderId="14" xfId="0" applyFont="1" applyBorder="1" applyAlignment="1">
      <alignment wrapText="1"/>
    </xf>
    <xf numFmtId="0" fontId="71" fillId="0" borderId="15" xfId="0" applyFont="1" applyBorder="1" applyAlignment="1">
      <alignment wrapText="1"/>
    </xf>
    <xf numFmtId="170" fontId="154" fillId="0" borderId="2" xfId="0" applyNumberFormat="1" applyFont="1" applyBorder="1" applyAlignment="1">
      <alignment horizontal="center" vertical="center"/>
    </xf>
    <xf numFmtId="170" fontId="154" fillId="0" borderId="3" xfId="0" applyNumberFormat="1" applyFont="1" applyBorder="1" applyAlignment="1">
      <alignment horizontal="center" vertical="center"/>
    </xf>
    <xf numFmtId="170" fontId="154" fillId="0" borderId="4" xfId="0" applyNumberFormat="1" applyFont="1" applyBorder="1" applyAlignment="1">
      <alignment horizontal="center" vertical="center"/>
    </xf>
    <xf numFmtId="0" fontId="125" fillId="0" borderId="18" xfId="0" applyFont="1" applyBorder="1" applyAlignment="1">
      <alignment horizontal="left" vertical="center" wrapText="1"/>
    </xf>
    <xf numFmtId="0" fontId="125" fillId="0" borderId="11" xfId="0" applyFont="1" applyBorder="1" applyAlignment="1">
      <alignment horizontal="left" vertical="center" wrapText="1"/>
    </xf>
    <xf numFmtId="0" fontId="125" fillId="0" borderId="19" xfId="0" applyFont="1" applyBorder="1" applyAlignment="1">
      <alignment horizontal="left" vertical="center" wrapText="1"/>
    </xf>
    <xf numFmtId="0" fontId="4" fillId="0" borderId="14" xfId="0" applyFont="1" applyBorder="1" applyAlignment="1">
      <alignment vertical="center" wrapText="1"/>
    </xf>
    <xf numFmtId="0" fontId="4" fillId="0" borderId="15" xfId="0" applyFont="1" applyBorder="1" applyAlignment="1">
      <alignment vertical="center" wrapText="1"/>
    </xf>
    <xf numFmtId="0" fontId="4" fillId="0" borderId="18" xfId="0" applyFont="1" applyBorder="1" applyAlignment="1">
      <alignment vertical="center" wrapText="1"/>
    </xf>
    <xf numFmtId="0" fontId="4" fillId="0" borderId="11" xfId="0" applyFont="1" applyBorder="1" applyAlignment="1">
      <alignment vertical="center" wrapText="1"/>
    </xf>
    <xf numFmtId="0" fontId="4" fillId="0" borderId="19" xfId="0" applyFont="1" applyBorder="1" applyAlignment="1">
      <alignment vertical="center" wrapText="1"/>
    </xf>
    <xf numFmtId="0" fontId="125" fillId="0" borderId="13" xfId="0" applyFont="1" applyBorder="1" applyAlignment="1">
      <alignment horizontal="left" vertical="center" wrapText="1"/>
    </xf>
    <xf numFmtId="0" fontId="125" fillId="0" borderId="14" xfId="0" applyFont="1" applyBorder="1" applyAlignment="1">
      <alignment horizontal="left" vertical="center" wrapText="1"/>
    </xf>
    <xf numFmtId="0" fontId="125" fillId="0" borderId="15" xfId="0" applyFont="1" applyBorder="1" applyAlignment="1">
      <alignment horizontal="left" vertical="center" wrapText="1"/>
    </xf>
    <xf numFmtId="170" fontId="154" fillId="0" borderId="13" xfId="0" applyNumberFormat="1" applyFont="1" applyBorder="1" applyAlignment="1">
      <alignment horizontal="center" vertical="center"/>
    </xf>
    <xf numFmtId="170" fontId="154" fillId="0" borderId="14" xfId="0" applyNumberFormat="1" applyFont="1" applyBorder="1" applyAlignment="1">
      <alignment horizontal="center" vertical="center"/>
    </xf>
    <xf numFmtId="170" fontId="154" fillId="0" borderId="15" xfId="0" applyNumberFormat="1" applyFont="1" applyBorder="1" applyAlignment="1">
      <alignment horizontal="center" vertical="center"/>
    </xf>
    <xf numFmtId="3" fontId="154" fillId="0" borderId="1" xfId="0" applyNumberFormat="1" applyFont="1" applyBorder="1" applyAlignment="1">
      <alignment horizontal="center" vertical="center" wrapText="1"/>
    </xf>
    <xf numFmtId="0" fontId="109" fillId="0" borderId="12" xfId="0" applyFont="1" applyBorder="1" applyAlignment="1">
      <alignment horizontal="center" vertical="center" wrapText="1"/>
    </xf>
    <xf numFmtId="0" fontId="125" fillId="0" borderId="16" xfId="0" applyFont="1" applyBorder="1" applyAlignment="1">
      <alignment horizontal="left" vertical="center" wrapText="1"/>
    </xf>
    <xf numFmtId="0" fontId="125" fillId="0" borderId="0" xfId="0" applyFont="1" applyAlignment="1">
      <alignment horizontal="left" vertical="center" wrapText="1"/>
    </xf>
    <xf numFmtId="0" fontId="125" fillId="0" borderId="17" xfId="0" applyFont="1" applyBorder="1" applyAlignment="1">
      <alignment horizontal="left" vertical="center" wrapText="1"/>
    </xf>
    <xf numFmtId="0" fontId="5" fillId="0" borderId="0" xfId="0" applyFont="1" applyAlignment="1">
      <alignment vertical="top" wrapText="1"/>
    </xf>
    <xf numFmtId="0" fontId="4" fillId="0" borderId="12" xfId="0" applyFont="1" applyBorder="1" applyAlignment="1">
      <alignment horizontal="center" vertical="center"/>
    </xf>
    <xf numFmtId="165" fontId="117" fillId="0" borderId="1" xfId="0" applyNumberFormat="1" applyFont="1" applyBorder="1" applyAlignment="1">
      <alignment horizontal="center" vertical="center" wrapText="1"/>
    </xf>
    <xf numFmtId="0" fontId="71" fillId="0" borderId="13" xfId="0" applyFont="1" applyBorder="1" applyAlignment="1">
      <alignment horizontal="left" vertical="top" wrapText="1"/>
    </xf>
    <xf numFmtId="0" fontId="71" fillId="0" borderId="15" xfId="0" applyFont="1" applyBorder="1" applyAlignment="1">
      <alignment horizontal="left" vertical="top" wrapText="1"/>
    </xf>
    <xf numFmtId="2" fontId="20" fillId="16" borderId="2" xfId="0" applyNumberFormat="1" applyFont="1" applyFill="1" applyBorder="1" applyAlignment="1" applyProtection="1">
      <alignment horizontal="center" wrapText="1"/>
      <protection locked="0"/>
    </xf>
    <xf numFmtId="2" fontId="20" fillId="16" borderId="3" xfId="0" applyNumberFormat="1" applyFont="1" applyFill="1" applyBorder="1" applyAlignment="1" applyProtection="1">
      <alignment horizontal="center" wrapText="1"/>
      <protection locked="0"/>
    </xf>
    <xf numFmtId="0" fontId="0" fillId="0" borderId="3" xfId="0" applyBorder="1" applyAlignment="1" applyProtection="1">
      <alignment wrapText="1"/>
      <protection locked="0"/>
    </xf>
    <xf numFmtId="0" fontId="0" fillId="0" borderId="4" xfId="0" applyBorder="1" applyAlignment="1" applyProtection="1">
      <alignment wrapText="1"/>
      <protection locked="0"/>
    </xf>
    <xf numFmtId="0" fontId="20" fillId="16" borderId="2" xfId="0" applyFont="1" applyFill="1" applyBorder="1" applyAlignment="1" applyProtection="1">
      <alignment horizontal="center"/>
      <protection locked="0"/>
    </xf>
    <xf numFmtId="0" fontId="20" fillId="16" borderId="3" xfId="0" applyFont="1" applyFill="1" applyBorder="1" applyAlignment="1" applyProtection="1">
      <alignment horizontal="center"/>
      <protection locked="0"/>
    </xf>
    <xf numFmtId="0" fontId="20" fillId="16" borderId="4" xfId="0" applyFont="1" applyFill="1" applyBorder="1" applyAlignment="1" applyProtection="1">
      <alignment horizontal="center"/>
      <protection locked="0"/>
    </xf>
    <xf numFmtId="0" fontId="71" fillId="0" borderId="16" xfId="0" applyFont="1" applyBorder="1" applyAlignment="1">
      <alignment horizontal="left" vertical="top" wrapText="1"/>
    </xf>
    <xf numFmtId="0" fontId="71" fillId="0" borderId="17" xfId="0" applyFont="1" applyBorder="1" applyAlignment="1">
      <alignment horizontal="left" vertical="top" wrapText="1"/>
    </xf>
    <xf numFmtId="0" fontId="71" fillId="0" borderId="18" xfId="0" applyFont="1" applyBorder="1" applyAlignment="1">
      <alignment horizontal="left" vertical="top" wrapText="1"/>
    </xf>
    <xf numFmtId="0" fontId="71" fillId="0" borderId="11" xfId="0" applyFont="1" applyBorder="1" applyAlignment="1">
      <alignment horizontal="left" vertical="top" wrapText="1"/>
    </xf>
    <xf numFmtId="0" fontId="71" fillId="0" borderId="19" xfId="0" applyFont="1" applyBorder="1" applyAlignment="1">
      <alignment horizontal="left" vertical="top" wrapText="1"/>
    </xf>
    <xf numFmtId="0" fontId="142" fillId="0" borderId="18" xfId="0" applyFont="1" applyBorder="1" applyAlignment="1">
      <alignment vertical="top" wrapText="1"/>
    </xf>
    <xf numFmtId="0" fontId="142" fillId="0" borderId="11" xfId="0" applyFont="1" applyBorder="1" applyAlignment="1">
      <alignment vertical="top" wrapText="1"/>
    </xf>
    <xf numFmtId="0" fontId="71" fillId="0" borderId="11" xfId="0" applyFont="1" applyBorder="1" applyAlignment="1">
      <alignment wrapText="1"/>
    </xf>
    <xf numFmtId="0" fontId="71" fillId="0" borderId="19" xfId="0" applyFont="1" applyBorder="1" applyAlignment="1">
      <alignment wrapText="1"/>
    </xf>
    <xf numFmtId="2" fontId="164" fillId="0" borderId="8" xfId="0" applyNumberFormat="1" applyFont="1" applyBorder="1" applyAlignment="1">
      <alignment horizontal="center" vertical="center" wrapText="1"/>
    </xf>
    <xf numFmtId="0" fontId="164" fillId="0" borderId="9" xfId="0" applyFont="1" applyBorder="1" applyAlignment="1">
      <alignment horizontal="center" vertical="center" wrapText="1"/>
    </xf>
    <xf numFmtId="178" fontId="164" fillId="3" borderId="43" xfId="7" applyNumberFormat="1" applyFont="1" applyFill="1" applyBorder="1" applyAlignment="1">
      <alignment horizontal="center" vertical="center"/>
    </xf>
    <xf numFmtId="178" fontId="164" fillId="3" borderId="44" xfId="7" applyNumberFormat="1" applyFont="1" applyFill="1" applyBorder="1" applyAlignment="1">
      <alignment horizontal="center" vertical="center"/>
    </xf>
    <xf numFmtId="178" fontId="164" fillId="3" borderId="45" xfId="7" applyNumberFormat="1" applyFont="1" applyFill="1" applyBorder="1" applyAlignment="1">
      <alignment horizontal="center" vertical="center"/>
    </xf>
    <xf numFmtId="191" fontId="164" fillId="3" borderId="9" xfId="7" applyNumberFormat="1" applyFont="1" applyFill="1" applyBorder="1" applyAlignment="1">
      <alignment horizontal="center" vertical="center"/>
    </xf>
    <xf numFmtId="191" fontId="164" fillId="22" borderId="9" xfId="7" applyNumberFormat="1" applyFont="1" applyFill="1" applyBorder="1" applyAlignment="1">
      <alignment horizontal="center" vertical="center"/>
    </xf>
    <xf numFmtId="191" fontId="164" fillId="22" borderId="10" xfId="7" applyNumberFormat="1" applyFont="1" applyFill="1" applyBorder="1" applyAlignment="1">
      <alignment horizontal="center" vertical="center"/>
    </xf>
    <xf numFmtId="1" fontId="20" fillId="16" borderId="2" xfId="0" applyNumberFormat="1" applyFont="1" applyFill="1" applyBorder="1" applyAlignment="1" applyProtection="1">
      <alignment horizontal="center"/>
      <protection locked="0"/>
    </xf>
    <xf numFmtId="1" fontId="20" fillId="16" borderId="3" xfId="0" applyNumberFormat="1" applyFont="1" applyFill="1" applyBorder="1" applyAlignment="1" applyProtection="1">
      <alignment horizontal="center"/>
      <protection locked="0"/>
    </xf>
    <xf numFmtId="1" fontId="20" fillId="16" borderId="4" xfId="0" applyNumberFormat="1" applyFont="1" applyFill="1" applyBorder="1" applyAlignment="1" applyProtection="1">
      <alignment horizontal="center"/>
      <protection locked="0"/>
    </xf>
    <xf numFmtId="0" fontId="208" fillId="0" borderId="0" xfId="0" applyFont="1" applyAlignment="1">
      <alignment horizontal="center"/>
    </xf>
    <xf numFmtId="0" fontId="24" fillId="0" borderId="2" xfId="0" applyFont="1" applyBorder="1" applyAlignment="1">
      <alignment horizontal="center"/>
    </xf>
    <xf numFmtId="0" fontId="24" fillId="13" borderId="2" xfId="0" applyFont="1" applyFill="1" applyBorder="1" applyAlignment="1">
      <alignment horizontal="center"/>
    </xf>
    <xf numFmtId="0" fontId="24" fillId="13" borderId="3" xfId="0" applyFont="1" applyFill="1" applyBorder="1" applyAlignment="1">
      <alignment horizontal="center"/>
    </xf>
    <xf numFmtId="0" fontId="24" fillId="13" borderId="4" xfId="0" applyFont="1" applyFill="1" applyBorder="1" applyAlignment="1">
      <alignment horizontal="center"/>
    </xf>
    <xf numFmtId="0" fontId="4" fillId="0" borderId="50" xfId="0" applyFont="1" applyBorder="1" applyAlignment="1">
      <alignment horizontal="center" vertical="center" wrapText="1"/>
    </xf>
    <xf numFmtId="0" fontId="4" fillId="0" borderId="52" xfId="0" applyFont="1" applyBorder="1" applyAlignment="1">
      <alignment horizontal="center" vertical="center" wrapText="1"/>
    </xf>
    <xf numFmtId="0" fontId="24" fillId="0" borderId="1" xfId="0" applyFont="1" applyBorder="1" applyAlignment="1">
      <alignment vertical="center" wrapText="1"/>
    </xf>
    <xf numFmtId="0" fontId="40" fillId="0" borderId="1" xfId="0" applyFont="1" applyBorder="1" applyAlignment="1">
      <alignment horizontal="center" vertical="top"/>
    </xf>
    <xf numFmtId="0" fontId="40" fillId="0" borderId="0" xfId="0" applyFont="1" applyAlignment="1">
      <alignment horizontal="left" vertical="top" wrapText="1"/>
    </xf>
    <xf numFmtId="0" fontId="0" fillId="0" borderId="1" xfId="0" applyBorder="1" applyAlignment="1">
      <alignment horizontal="right" vertical="center"/>
    </xf>
    <xf numFmtId="2" fontId="0" fillId="0" borderId="1" xfId="0" applyNumberFormat="1" applyBorder="1" applyAlignment="1">
      <alignment horizontal="right" vertical="center"/>
    </xf>
    <xf numFmtId="165" fontId="0" fillId="0" borderId="1" xfId="0" applyNumberFormat="1" applyBorder="1" applyAlignment="1">
      <alignment horizontal="right" vertical="center"/>
    </xf>
    <xf numFmtId="2" fontId="109" fillId="0" borderId="1" xfId="1" applyNumberFormat="1" applyFont="1" applyBorder="1" applyAlignment="1">
      <alignment horizontal="center" vertical="center"/>
    </xf>
    <xf numFmtId="9" fontId="109" fillId="0" borderId="1" xfId="1" applyFont="1" applyBorder="1" applyAlignment="1">
      <alignment horizontal="center" vertical="center"/>
    </xf>
    <xf numFmtId="168" fontId="109" fillId="0" borderId="1" xfId="1" applyNumberFormat="1" applyFont="1" applyBorder="1" applyAlignment="1">
      <alignment horizontal="center" vertical="center"/>
    </xf>
    <xf numFmtId="3" fontId="109" fillId="0" borderId="1" xfId="1" applyNumberFormat="1" applyFont="1" applyBorder="1" applyAlignment="1">
      <alignment horizontal="center" vertical="center"/>
    </xf>
    <xf numFmtId="192" fontId="0" fillId="3" borderId="9" xfId="0" applyNumberFormat="1" applyFill="1" applyBorder="1" applyAlignment="1">
      <alignment horizontal="center" vertical="center"/>
    </xf>
    <xf numFmtId="192" fontId="0" fillId="3" borderId="1" xfId="0" applyNumberFormat="1" applyFill="1" applyBorder="1" applyAlignment="1">
      <alignment horizontal="center" vertical="center"/>
    </xf>
    <xf numFmtId="0" fontId="0" fillId="0" borderId="20" xfId="0" applyBorder="1" applyAlignment="1">
      <alignment horizontal="left" vertical="center" wrapText="1"/>
    </xf>
    <xf numFmtId="193" fontId="0" fillId="3" borderId="1" xfId="0" applyNumberFormat="1" applyFill="1" applyBorder="1" applyAlignment="1">
      <alignment horizontal="center" vertical="center"/>
    </xf>
    <xf numFmtId="193" fontId="0" fillId="3" borderId="21" xfId="0" applyNumberFormat="1" applyFill="1" applyBorder="1" applyAlignment="1">
      <alignment horizontal="center" vertical="center"/>
    </xf>
    <xf numFmtId="180" fontId="0" fillId="3" borderId="9" xfId="0" applyNumberFormat="1" applyFill="1" applyBorder="1" applyAlignment="1">
      <alignment horizontal="center" vertical="center"/>
    </xf>
    <xf numFmtId="180" fontId="0" fillId="3" borderId="10" xfId="0" applyNumberFormat="1" applyFill="1" applyBorder="1" applyAlignment="1">
      <alignment horizontal="center" vertical="center"/>
    </xf>
    <xf numFmtId="0" fontId="0" fillId="0" borderId="8" xfId="0" applyBorder="1" applyAlignment="1">
      <alignment horizontal="left" vertical="center" wrapText="1"/>
    </xf>
    <xf numFmtId="0" fontId="0" fillId="0" borderId="9" xfId="0" applyBorder="1" applyAlignment="1">
      <alignment horizontal="left" vertical="center" wrapText="1"/>
    </xf>
    <xf numFmtId="176" fontId="0" fillId="3" borderId="9" xfId="0" applyNumberFormat="1" applyFill="1" applyBorder="1" applyAlignment="1">
      <alignment horizontal="center" vertical="center"/>
    </xf>
    <xf numFmtId="177" fontId="0" fillId="3" borderId="9" xfId="0" applyNumberFormat="1" applyFill="1" applyBorder="1" applyAlignment="1">
      <alignment horizontal="center" vertical="center"/>
    </xf>
    <xf numFmtId="177" fontId="0" fillId="3" borderId="10" xfId="0" applyNumberFormat="1" applyFill="1" applyBorder="1" applyAlignment="1">
      <alignment horizontal="center" vertical="center"/>
    </xf>
    <xf numFmtId="0" fontId="108" fillId="0" borderId="2" xfId="0" applyFont="1" applyBorder="1" applyAlignment="1">
      <alignment horizontal="left" vertical="center"/>
    </xf>
    <xf numFmtId="0" fontId="108" fillId="0" borderId="3" xfId="0" applyFont="1" applyBorder="1" applyAlignment="1">
      <alignment horizontal="left" vertical="center"/>
    </xf>
    <xf numFmtId="0" fontId="108" fillId="0" borderId="4" xfId="0" applyFont="1" applyBorder="1" applyAlignment="1">
      <alignment horizontal="left" vertical="center"/>
    </xf>
    <xf numFmtId="0" fontId="79" fillId="25" borderId="2" xfId="0" applyFont="1" applyFill="1" applyBorder="1" applyAlignment="1">
      <alignment horizontal="left" vertical="center"/>
    </xf>
    <xf numFmtId="0" fontId="79" fillId="25" borderId="3" xfId="0" applyFont="1" applyFill="1" applyBorder="1" applyAlignment="1">
      <alignment horizontal="left" vertical="center"/>
    </xf>
    <xf numFmtId="0" fontId="79" fillId="25" borderId="4" xfId="0" applyFont="1" applyFill="1" applyBorder="1" applyAlignment="1">
      <alignment horizontal="left" vertical="center"/>
    </xf>
    <xf numFmtId="0" fontId="4" fillId="0" borderId="51" xfId="0" applyFont="1" applyBorder="1" applyAlignment="1">
      <alignment horizontal="center" vertical="center" wrapText="1"/>
    </xf>
    <xf numFmtId="0" fontId="0" fillId="0" borderId="38"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189" fontId="0" fillId="3" borderId="2" xfId="0" applyNumberFormat="1" applyFill="1" applyBorder="1" applyAlignment="1">
      <alignment horizontal="center" vertical="center"/>
    </xf>
    <xf numFmtId="189" fontId="0" fillId="3" borderId="3" xfId="0" applyNumberFormat="1" applyFill="1" applyBorder="1" applyAlignment="1">
      <alignment horizontal="center" vertical="center"/>
    </xf>
    <xf numFmtId="189" fontId="0" fillId="3" borderId="4" xfId="0" applyNumberFormat="1" applyFill="1" applyBorder="1" applyAlignment="1">
      <alignment horizontal="center" vertical="center"/>
    </xf>
    <xf numFmtId="190" fontId="0" fillId="3" borderId="2" xfId="0" applyNumberFormat="1" applyFill="1" applyBorder="1" applyAlignment="1">
      <alignment horizontal="center" vertical="center"/>
    </xf>
    <xf numFmtId="190" fontId="0" fillId="3" borderId="3" xfId="0" applyNumberFormat="1" applyFill="1" applyBorder="1" applyAlignment="1">
      <alignment horizontal="center" vertical="center"/>
    </xf>
    <xf numFmtId="190" fontId="0" fillId="3" borderId="4" xfId="0" applyNumberFormat="1" applyFill="1" applyBorder="1" applyAlignment="1">
      <alignment horizontal="center" vertical="center"/>
    </xf>
    <xf numFmtId="190" fontId="0" fillId="22" borderId="2" xfId="0" applyNumberFormat="1" applyFill="1" applyBorder="1" applyAlignment="1">
      <alignment horizontal="center" vertical="center"/>
    </xf>
    <xf numFmtId="190" fontId="0" fillId="22" borderId="3" xfId="0" applyNumberFormat="1" applyFill="1" applyBorder="1" applyAlignment="1">
      <alignment horizontal="center" vertical="center"/>
    </xf>
    <xf numFmtId="190" fontId="0" fillId="22" borderId="39" xfId="0" applyNumberFormat="1" applyFill="1" applyBorder="1" applyAlignment="1">
      <alignment horizontal="center" vertical="center"/>
    </xf>
    <xf numFmtId="0" fontId="0" fillId="0" borderId="46" xfId="0"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xf>
    <xf numFmtId="189" fontId="0" fillId="3" borderId="43" xfId="0" applyNumberFormat="1" applyFill="1" applyBorder="1" applyAlignment="1">
      <alignment horizontal="center" vertical="center"/>
    </xf>
    <xf numFmtId="189" fontId="0" fillId="3" borderId="44" xfId="0" applyNumberFormat="1" applyFill="1" applyBorder="1" applyAlignment="1">
      <alignment horizontal="center" vertical="center"/>
    </xf>
    <xf numFmtId="189" fontId="0" fillId="3" borderId="45" xfId="0" applyNumberFormat="1" applyFill="1" applyBorder="1" applyAlignment="1">
      <alignment horizontal="center" vertical="center"/>
    </xf>
    <xf numFmtId="190" fontId="0" fillId="3" borderId="43" xfId="0" applyNumberFormat="1" applyFill="1" applyBorder="1" applyAlignment="1">
      <alignment horizontal="center" vertical="center"/>
    </xf>
    <xf numFmtId="190" fontId="0" fillId="3" borderId="44" xfId="0" applyNumberFormat="1" applyFill="1" applyBorder="1" applyAlignment="1">
      <alignment horizontal="center" vertical="center"/>
    </xf>
    <xf numFmtId="190" fontId="0" fillId="3" borderId="45" xfId="0" applyNumberFormat="1" applyFill="1" applyBorder="1" applyAlignment="1">
      <alignment horizontal="center" vertical="center"/>
    </xf>
    <xf numFmtId="190" fontId="0" fillId="22" borderId="43" xfId="0" applyNumberFormat="1" applyFill="1" applyBorder="1" applyAlignment="1">
      <alignment horizontal="center" vertical="center"/>
    </xf>
    <xf numFmtId="190" fontId="0" fillId="22" borderId="44" xfId="0" applyNumberFormat="1" applyFill="1" applyBorder="1" applyAlignment="1">
      <alignment horizontal="center" vertical="center"/>
    </xf>
    <xf numFmtId="190" fontId="0" fillId="22" borderId="54" xfId="0" applyNumberFormat="1" applyFill="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2" xfId="0" applyFont="1" applyBorder="1" applyAlignment="1">
      <alignment horizontal="center" vertical="center"/>
    </xf>
    <xf numFmtId="0" fontId="40" fillId="0" borderId="49" xfId="0" applyFont="1" applyBorder="1" applyAlignment="1">
      <alignment horizontal="center" vertical="center"/>
    </xf>
    <xf numFmtId="0" fontId="40" fillId="0" borderId="50" xfId="0" applyFont="1" applyBorder="1" applyAlignment="1">
      <alignment horizontal="center" vertical="center"/>
    </xf>
    <xf numFmtId="0" fontId="40" fillId="0" borderId="52" xfId="0" applyFont="1" applyBorder="1" applyAlignment="1">
      <alignment horizontal="center" vertical="center"/>
    </xf>
    <xf numFmtId="0" fontId="40" fillId="0" borderId="50" xfId="0" applyFont="1" applyBorder="1" applyAlignment="1">
      <alignment horizontal="center" vertical="center" wrapText="1"/>
    </xf>
    <xf numFmtId="0" fontId="40" fillId="0" borderId="52" xfId="0" applyFont="1" applyBorder="1" applyAlignment="1">
      <alignment horizontal="center" vertical="center" wrapText="1"/>
    </xf>
    <xf numFmtId="0" fontId="40" fillId="0" borderId="51" xfId="0" applyFont="1" applyBorder="1" applyAlignment="1">
      <alignment horizontal="center" vertical="center" wrapText="1"/>
    </xf>
    <xf numFmtId="0" fontId="164" fillId="0" borderId="46" xfId="0" applyFont="1" applyBorder="1" applyAlignment="1">
      <alignment horizontal="center" vertical="center" wrapText="1"/>
    </xf>
    <xf numFmtId="0" fontId="164" fillId="0" borderId="44" xfId="0" applyFont="1" applyBorder="1" applyAlignment="1">
      <alignment horizontal="center" vertical="center" wrapText="1"/>
    </xf>
    <xf numFmtId="0" fontId="164" fillId="0" borderId="45" xfId="0" applyFont="1" applyBorder="1" applyAlignment="1">
      <alignment horizontal="center" vertical="center" wrapText="1"/>
    </xf>
    <xf numFmtId="191" fontId="164" fillId="3" borderId="43" xfId="7" applyNumberFormat="1" applyFont="1" applyFill="1" applyBorder="1" applyAlignment="1">
      <alignment horizontal="center" vertical="center"/>
    </xf>
    <xf numFmtId="191" fontId="164" fillId="3" borderId="44" xfId="7" applyNumberFormat="1" applyFont="1" applyFill="1" applyBorder="1" applyAlignment="1">
      <alignment horizontal="center" vertical="center"/>
    </xf>
    <xf numFmtId="191" fontId="164" fillId="3" borderId="45" xfId="7" applyNumberFormat="1" applyFont="1" applyFill="1" applyBorder="1" applyAlignment="1">
      <alignment horizontal="center" vertical="center"/>
    </xf>
    <xf numFmtId="191" fontId="164" fillId="22" borderId="43" xfId="7" applyNumberFormat="1" applyFont="1" applyFill="1" applyBorder="1" applyAlignment="1">
      <alignment horizontal="center" vertical="center"/>
    </xf>
    <xf numFmtId="191" fontId="164" fillId="22" borderId="44" xfId="7" applyNumberFormat="1" applyFont="1" applyFill="1" applyBorder="1" applyAlignment="1">
      <alignment horizontal="center" vertical="center"/>
    </xf>
    <xf numFmtId="191" fontId="164" fillId="22" borderId="54" xfId="7" applyNumberFormat="1" applyFont="1" applyFill="1" applyBorder="1" applyAlignment="1">
      <alignment horizontal="center" vertical="center"/>
    </xf>
    <xf numFmtId="188" fontId="24" fillId="0" borderId="2" xfId="0" applyNumberFormat="1" applyFont="1" applyBorder="1" applyAlignment="1">
      <alignment horizontal="center" vertical="center"/>
    </xf>
    <xf numFmtId="188" fontId="24" fillId="0" borderId="3" xfId="0" applyNumberFormat="1" applyFont="1" applyBorder="1" applyAlignment="1">
      <alignment horizontal="center" vertical="center"/>
    </xf>
    <xf numFmtId="188" fontId="24" fillId="0" borderId="4" xfId="0" applyNumberFormat="1" applyFont="1" applyBorder="1" applyAlignment="1">
      <alignment horizontal="center" vertical="center"/>
    </xf>
    <xf numFmtId="0" fontId="40" fillId="0" borderId="15"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9" xfId="0" applyFont="1" applyBorder="1" applyAlignment="1">
      <alignment horizontal="center" vertical="center" wrapText="1"/>
    </xf>
    <xf numFmtId="1" fontId="24" fillId="5" borderId="2" xfId="0" applyNumberFormat="1" applyFont="1" applyFill="1" applyBorder="1" applyAlignment="1">
      <alignment horizontal="center"/>
    </xf>
    <xf numFmtId="1" fontId="24" fillId="5" borderId="3" xfId="0" applyNumberFormat="1" applyFont="1" applyFill="1" applyBorder="1" applyAlignment="1">
      <alignment horizontal="center"/>
    </xf>
    <xf numFmtId="1" fontId="24" fillId="5" borderId="4" xfId="0" applyNumberFormat="1" applyFont="1" applyFill="1" applyBorder="1" applyAlignment="1">
      <alignment horizontal="center"/>
    </xf>
    <xf numFmtId="3" fontId="24" fillId="0" borderId="3" xfId="0" applyNumberFormat="1" applyFont="1" applyBorder="1" applyAlignment="1">
      <alignment horizontal="center"/>
    </xf>
    <xf numFmtId="3" fontId="24" fillId="0" borderId="4" xfId="0" applyNumberFormat="1" applyFont="1" applyBorder="1" applyAlignment="1">
      <alignment horizontal="center"/>
    </xf>
    <xf numFmtId="2" fontId="24" fillId="0" borderId="2" xfId="0" applyNumberFormat="1" applyFont="1" applyBorder="1" applyAlignment="1">
      <alignment horizontal="center"/>
    </xf>
    <xf numFmtId="2" fontId="24" fillId="0" borderId="3" xfId="0" applyNumberFormat="1" applyFont="1" applyBorder="1" applyAlignment="1">
      <alignment horizontal="center"/>
    </xf>
    <xf numFmtId="2" fontId="24" fillId="0" borderId="4" xfId="0" applyNumberFormat="1" applyFont="1" applyBorder="1" applyAlignment="1">
      <alignment horizontal="center"/>
    </xf>
    <xf numFmtId="9" fontId="40" fillId="0" borderId="2" xfId="0" applyNumberFormat="1" applyFont="1" applyBorder="1" applyAlignment="1">
      <alignment horizontal="center" vertical="center" wrapText="1"/>
    </xf>
    <xf numFmtId="9" fontId="40" fillId="0" borderId="3" xfId="0" applyNumberFormat="1" applyFont="1" applyBorder="1" applyAlignment="1">
      <alignment horizontal="center" vertical="center" wrapText="1"/>
    </xf>
    <xf numFmtId="9" fontId="40" fillId="0" borderId="4" xfId="0" applyNumberFormat="1" applyFont="1" applyBorder="1" applyAlignment="1">
      <alignment horizontal="center" vertical="center" wrapText="1"/>
    </xf>
    <xf numFmtId="9" fontId="40" fillId="0" borderId="2" xfId="0" applyNumberFormat="1" applyFont="1" applyBorder="1" applyAlignment="1">
      <alignment horizontal="center" vertical="center"/>
    </xf>
    <xf numFmtId="9" fontId="40" fillId="0" borderId="3" xfId="0" applyNumberFormat="1" applyFont="1" applyBorder="1" applyAlignment="1">
      <alignment horizontal="center" vertical="center"/>
    </xf>
    <xf numFmtId="9" fontId="40" fillId="0" borderId="4" xfId="0" applyNumberFormat="1" applyFont="1" applyBorder="1" applyAlignment="1">
      <alignment horizontal="center" vertical="center"/>
    </xf>
    <xf numFmtId="9" fontId="24" fillId="0" borderId="2" xfId="0" applyNumberFormat="1" applyFont="1" applyBorder="1" applyAlignment="1">
      <alignment horizontal="center"/>
    </xf>
    <xf numFmtId="9" fontId="24" fillId="0" borderId="3" xfId="0" applyNumberFormat="1" applyFont="1" applyBorder="1" applyAlignment="1">
      <alignment horizontal="center"/>
    </xf>
    <xf numFmtId="9" fontId="24" fillId="0" borderId="4" xfId="0" applyNumberFormat="1" applyFont="1" applyBorder="1" applyAlignment="1">
      <alignment horizontal="center"/>
    </xf>
    <xf numFmtId="164" fontId="24" fillId="0" borderId="2" xfId="0" applyNumberFormat="1" applyFont="1" applyBorder="1" applyAlignment="1">
      <alignment horizontal="center" vertical="center"/>
    </xf>
    <xf numFmtId="0" fontId="40" fillId="0" borderId="3" xfId="0" applyFont="1" applyBorder="1" applyAlignment="1">
      <alignment horizontal="center"/>
    </xf>
    <xf numFmtId="0" fontId="154" fillId="0" borderId="2" xfId="0" applyFont="1" applyBorder="1" applyAlignment="1">
      <alignment horizontal="center" vertical="center"/>
    </xf>
    <xf numFmtId="0" fontId="154" fillId="0" borderId="3" xfId="0" applyFont="1" applyBorder="1" applyAlignment="1">
      <alignment horizontal="center" vertical="center"/>
    </xf>
    <xf numFmtId="0" fontId="154" fillId="0" borderId="4" xfId="0" applyFont="1" applyBorder="1" applyAlignment="1">
      <alignment horizontal="center" vertical="center"/>
    </xf>
    <xf numFmtId="1" fontId="117" fillId="0" borderId="2" xfId="1" applyNumberFormat="1" applyFont="1" applyFill="1" applyBorder="1" applyAlignment="1">
      <alignment horizontal="center" vertical="center"/>
    </xf>
    <xf numFmtId="1" fontId="117" fillId="0" borderId="3" xfId="1" applyNumberFormat="1" applyFont="1" applyFill="1" applyBorder="1" applyAlignment="1">
      <alignment horizontal="center" vertical="center"/>
    </xf>
    <xf numFmtId="1" fontId="117" fillId="0" borderId="4" xfId="1" applyNumberFormat="1" applyFont="1" applyFill="1" applyBorder="1" applyAlignment="1">
      <alignment horizontal="center" vertical="center"/>
    </xf>
    <xf numFmtId="9" fontId="117" fillId="0" borderId="2" xfId="1" applyFont="1" applyBorder="1" applyAlignment="1">
      <alignment horizontal="center" vertical="center" wrapText="1"/>
    </xf>
    <xf numFmtId="9" fontId="117" fillId="0" borderId="3" xfId="1" applyFont="1" applyBorder="1" applyAlignment="1">
      <alignment horizontal="center" vertical="center" wrapText="1"/>
    </xf>
    <xf numFmtId="9" fontId="117" fillId="0" borderId="4" xfId="1" applyFont="1" applyBorder="1" applyAlignment="1">
      <alignment horizontal="center" vertical="center" wrapText="1"/>
    </xf>
    <xf numFmtId="0" fontId="16" fillId="0" borderId="2" xfId="4" applyFill="1" applyBorder="1" applyAlignment="1">
      <alignment horizontal="left" vertical="center" wrapText="1"/>
    </xf>
    <xf numFmtId="0" fontId="16" fillId="0" borderId="3" xfId="4" applyFill="1" applyBorder="1" applyAlignment="1">
      <alignment horizontal="left" vertical="center" wrapText="1"/>
    </xf>
    <xf numFmtId="0" fontId="16" fillId="0" borderId="4" xfId="4" applyFill="1" applyBorder="1" applyAlignment="1">
      <alignment horizontal="left" vertical="center" wrapText="1"/>
    </xf>
    <xf numFmtId="0" fontId="117" fillId="0" borderId="4" xfId="0" quotePrefix="1" applyFont="1" applyBorder="1" applyAlignment="1">
      <alignment horizontal="center" vertical="center"/>
    </xf>
    <xf numFmtId="1" fontId="117" fillId="0" borderId="2" xfId="1" applyNumberFormat="1" applyFont="1" applyBorder="1" applyAlignment="1">
      <alignment horizontal="center" vertical="center"/>
    </xf>
    <xf numFmtId="1" fontId="117" fillId="0" borderId="3" xfId="1" applyNumberFormat="1" applyFont="1" applyBorder="1" applyAlignment="1">
      <alignment horizontal="center" vertical="center"/>
    </xf>
    <xf numFmtId="1" fontId="117" fillId="0" borderId="4" xfId="1" applyNumberFormat="1" applyFont="1" applyBorder="1" applyAlignment="1">
      <alignment horizontal="center" vertical="center"/>
    </xf>
    <xf numFmtId="164" fontId="117" fillId="0" borderId="1" xfId="1" applyNumberFormat="1" applyFont="1" applyBorder="1" applyAlignment="1">
      <alignment horizontal="center" vertical="center"/>
    </xf>
    <xf numFmtId="0" fontId="109" fillId="0" borderId="1" xfId="0" applyFont="1" applyBorder="1" applyAlignment="1">
      <alignment horizontal="center"/>
    </xf>
    <xf numFmtId="164" fontId="109" fillId="0" borderId="1" xfId="1" applyNumberFormat="1" applyFont="1" applyBorder="1" applyAlignment="1">
      <alignment horizontal="center" vertical="center"/>
    </xf>
    <xf numFmtId="0" fontId="113" fillId="0" borderId="1" xfId="0" applyFont="1" applyBorder="1" applyAlignment="1">
      <alignment horizontal="center" vertical="center"/>
    </xf>
    <xf numFmtId="0" fontId="109" fillId="0" borderId="8" xfId="0" applyFont="1" applyBorder="1" applyAlignment="1">
      <alignment horizontal="center" vertical="center"/>
    </xf>
    <xf numFmtId="0" fontId="109" fillId="0" borderId="9" xfId="0" applyFont="1" applyBorder="1" applyAlignment="1">
      <alignment horizontal="center" vertical="center"/>
    </xf>
    <xf numFmtId="189" fontId="0" fillId="3" borderId="9" xfId="0" applyNumberFormat="1" applyFill="1" applyBorder="1" applyAlignment="1">
      <alignment horizontal="center" vertical="center"/>
    </xf>
    <xf numFmtId="190" fontId="0" fillId="3" borderId="9" xfId="0" applyNumberFormat="1" applyFill="1" applyBorder="1" applyAlignment="1">
      <alignment horizontal="center" vertical="center"/>
    </xf>
    <xf numFmtId="190" fontId="0" fillId="3" borderId="10" xfId="0" applyNumberFormat="1" applyFill="1" applyBorder="1" applyAlignment="1">
      <alignment horizontal="center" vertical="center"/>
    </xf>
    <xf numFmtId="0" fontId="108" fillId="0" borderId="1" xfId="0" applyFont="1" applyBorder="1" applyAlignment="1">
      <alignment horizontal="center"/>
    </xf>
    <xf numFmtId="0" fontId="108" fillId="0" borderId="1" xfId="0" applyFont="1" applyBorder="1" applyAlignment="1">
      <alignment horizontal="center" wrapText="1"/>
    </xf>
    <xf numFmtId="0" fontId="4" fillId="0" borderId="0" xfId="0" applyFont="1" applyAlignment="1">
      <alignment horizontal="right" vertical="center"/>
    </xf>
    <xf numFmtId="0" fontId="109" fillId="0" borderId="1" xfId="1" applyNumberFormat="1" applyFont="1" applyBorder="1" applyAlignment="1">
      <alignment horizontal="center" vertical="center"/>
    </xf>
    <xf numFmtId="0" fontId="89" fillId="0" borderId="13" xfId="0" applyFont="1" applyBorder="1" applyAlignment="1">
      <alignment horizontal="left" vertical="center"/>
    </xf>
    <xf numFmtId="0" fontId="2" fillId="0" borderId="14" xfId="0" applyFont="1" applyBorder="1" applyAlignment="1">
      <alignment horizontal="left" vertical="center"/>
    </xf>
    <xf numFmtId="0" fontId="2" fillId="0" borderId="16" xfId="0" applyFont="1" applyBorder="1" applyAlignment="1">
      <alignment horizontal="left" vertical="center"/>
    </xf>
    <xf numFmtId="0" fontId="2" fillId="0" borderId="0" xfId="0" applyFont="1" applyAlignment="1">
      <alignment horizontal="left" vertical="center"/>
    </xf>
    <xf numFmtId="0" fontId="2" fillId="0" borderId="18" xfId="0" applyFont="1" applyBorder="1" applyAlignment="1">
      <alignment horizontal="left" vertical="center"/>
    </xf>
    <xf numFmtId="0" fontId="2" fillId="0" borderId="11" xfId="0" applyFont="1" applyBorder="1" applyAlignment="1">
      <alignment horizontal="left" vertical="center"/>
    </xf>
    <xf numFmtId="0" fontId="117" fillId="0" borderId="13" xfId="0" applyFont="1" applyBorder="1" applyAlignment="1">
      <alignment horizontal="center" vertical="center"/>
    </xf>
    <xf numFmtId="0" fontId="117" fillId="0" borderId="14" xfId="0" applyFont="1" applyBorder="1" applyAlignment="1">
      <alignment horizontal="center" vertical="center"/>
    </xf>
    <xf numFmtId="0" fontId="117" fillId="0" borderId="15" xfId="0" applyFont="1" applyBorder="1" applyAlignment="1">
      <alignment horizontal="center" vertical="center"/>
    </xf>
    <xf numFmtId="0" fontId="172" fillId="0" borderId="16" xfId="0" applyFont="1" applyBorder="1" applyAlignment="1">
      <alignment horizontal="center" vertical="center" wrapText="1"/>
    </xf>
    <xf numFmtId="0" fontId="172" fillId="0" borderId="0" xfId="0" applyFont="1" applyAlignment="1">
      <alignment horizontal="center" vertical="center" wrapText="1"/>
    </xf>
    <xf numFmtId="0" fontId="172" fillId="0" borderId="17" xfId="0" applyFont="1" applyBorder="1" applyAlignment="1">
      <alignment horizontal="center" vertical="center" wrapText="1"/>
    </xf>
    <xf numFmtId="0" fontId="117" fillId="0" borderId="16" xfId="0" applyFont="1" applyBorder="1" applyAlignment="1">
      <alignment horizontal="center" vertical="center" wrapText="1"/>
    </xf>
    <xf numFmtId="0" fontId="117" fillId="0" borderId="0" xfId="0" applyFont="1" applyAlignment="1">
      <alignment horizontal="center" vertical="center" wrapText="1"/>
    </xf>
    <xf numFmtId="0" fontId="117" fillId="0" borderId="17" xfId="0" applyFont="1" applyBorder="1" applyAlignment="1">
      <alignment horizontal="center" vertical="center" wrapText="1"/>
    </xf>
    <xf numFmtId="0" fontId="117" fillId="0" borderId="16" xfId="0" applyFont="1" applyBorder="1" applyAlignment="1">
      <alignment horizontal="center" vertical="center"/>
    </xf>
    <xf numFmtId="0" fontId="117" fillId="0" borderId="0" xfId="0" applyFont="1" applyAlignment="1">
      <alignment horizontal="center" vertical="center"/>
    </xf>
    <xf numFmtId="0" fontId="117" fillId="0" borderId="17" xfId="0" applyFont="1" applyBorder="1" applyAlignment="1">
      <alignment horizontal="center" vertical="center"/>
    </xf>
    <xf numFmtId="0" fontId="109" fillId="0" borderId="16" xfId="0" applyFont="1" applyBorder="1" applyAlignment="1">
      <alignment horizontal="center" vertical="center" wrapText="1"/>
    </xf>
    <xf numFmtId="0" fontId="109" fillId="0" borderId="0" xfId="0" applyFont="1" applyAlignment="1">
      <alignment horizontal="center" vertical="center" wrapText="1"/>
    </xf>
    <xf numFmtId="0" fontId="109" fillId="0" borderId="17" xfId="0" applyFont="1" applyBorder="1" applyAlignment="1">
      <alignment horizontal="center" vertical="center" wrapText="1"/>
    </xf>
    <xf numFmtId="2" fontId="117" fillId="0" borderId="16" xfId="0" applyNumberFormat="1" applyFont="1" applyBorder="1" applyAlignment="1">
      <alignment horizontal="center" vertical="center" wrapText="1"/>
    </xf>
    <xf numFmtId="2" fontId="117" fillId="0" borderId="0" xfId="0" applyNumberFormat="1" applyFont="1" applyAlignment="1">
      <alignment horizontal="center" vertical="center" wrapText="1"/>
    </xf>
    <xf numFmtId="2" fontId="117" fillId="0" borderId="17" xfId="0" applyNumberFormat="1" applyFont="1" applyBorder="1" applyAlignment="1">
      <alignment horizontal="center" vertical="center" wrapText="1"/>
    </xf>
    <xf numFmtId="0" fontId="109" fillId="0" borderId="13" xfId="0" applyFont="1" applyBorder="1" applyAlignment="1">
      <alignment horizontal="left" vertical="center" wrapText="1"/>
    </xf>
    <xf numFmtId="0" fontId="109" fillId="0" borderId="14" xfId="0" applyFont="1" applyBorder="1" applyAlignment="1">
      <alignment horizontal="left" vertical="center" wrapText="1"/>
    </xf>
    <xf numFmtId="0" fontId="109" fillId="0" borderId="15" xfId="0" applyFont="1" applyBorder="1" applyAlignment="1">
      <alignment horizontal="left" vertical="center" wrapText="1"/>
    </xf>
    <xf numFmtId="0" fontId="2" fillId="0" borderId="13" xfId="0" applyFont="1" applyBorder="1" applyAlignment="1">
      <alignment horizontal="left" vertical="center"/>
    </xf>
    <xf numFmtId="0" fontId="2" fillId="0" borderId="15" xfId="0" applyFont="1" applyBorder="1" applyAlignment="1">
      <alignment horizontal="left" vertical="center"/>
    </xf>
    <xf numFmtId="0" fontId="2" fillId="0" borderId="17" xfId="0" applyFont="1" applyBorder="1" applyAlignment="1">
      <alignment horizontal="left" vertical="center"/>
    </xf>
    <xf numFmtId="0" fontId="2" fillId="0" borderId="19" xfId="0" applyFont="1" applyBorder="1" applyAlignment="1">
      <alignment horizontal="left" vertical="center"/>
    </xf>
    <xf numFmtId="0" fontId="117" fillId="0" borderId="0" xfId="0" applyFont="1" applyAlignment="1">
      <alignment horizontal="left" vertical="center" wrapText="1"/>
    </xf>
    <xf numFmtId="0" fontId="117" fillId="0" borderId="17" xfId="0" applyFont="1" applyBorder="1" applyAlignment="1">
      <alignment horizontal="left" vertical="center" wrapText="1"/>
    </xf>
    <xf numFmtId="0" fontId="109" fillId="0" borderId="18" xfId="0" applyFont="1" applyBorder="1" applyAlignment="1">
      <alignment horizontal="center" vertical="center" wrapText="1"/>
    </xf>
    <xf numFmtId="0" fontId="109" fillId="0" borderId="11" xfId="0" applyFont="1" applyBorder="1" applyAlignment="1">
      <alignment horizontal="center" vertical="center" wrapText="1"/>
    </xf>
    <xf numFmtId="0" fontId="117" fillId="0" borderId="16" xfId="0" applyFont="1" applyBorder="1" applyAlignment="1">
      <alignment horizontal="left" vertical="center" wrapText="1"/>
    </xf>
    <xf numFmtId="164" fontId="117" fillId="0" borderId="16" xfId="0" applyNumberFormat="1" applyFont="1" applyBorder="1" applyAlignment="1">
      <alignment horizontal="center" vertical="center" wrapText="1"/>
    </xf>
    <xf numFmtId="164" fontId="117" fillId="0" borderId="0" xfId="0" applyNumberFormat="1" applyFont="1" applyAlignment="1">
      <alignment horizontal="center" vertical="center" wrapText="1"/>
    </xf>
    <xf numFmtId="164" fontId="117" fillId="0" borderId="17" xfId="0" applyNumberFormat="1" applyFont="1" applyBorder="1" applyAlignment="1">
      <alignment horizontal="center" vertical="center" wrapText="1"/>
    </xf>
    <xf numFmtId="0" fontId="109" fillId="0" borderId="19" xfId="0" applyFont="1" applyBorder="1" applyAlignment="1">
      <alignment horizontal="center" vertical="center" wrapText="1"/>
    </xf>
    <xf numFmtId="0" fontId="117" fillId="0" borderId="18" xfId="0" applyFont="1" applyBorder="1" applyAlignment="1">
      <alignment horizontal="center" vertical="center"/>
    </xf>
    <xf numFmtId="0" fontId="117" fillId="0" borderId="11" xfId="0" applyFont="1" applyBorder="1" applyAlignment="1">
      <alignment horizontal="center" vertical="center"/>
    </xf>
    <xf numFmtId="0" fontId="117" fillId="0" borderId="19" xfId="0" applyFont="1" applyBorder="1" applyAlignment="1">
      <alignment horizontal="center" vertical="center"/>
    </xf>
    <xf numFmtId="0" fontId="109" fillId="0" borderId="18" xfId="0" applyFont="1" applyBorder="1" applyAlignment="1">
      <alignment horizontal="center" vertical="center"/>
    </xf>
    <xf numFmtId="0" fontId="109" fillId="0" borderId="11" xfId="0" applyFont="1" applyBorder="1" applyAlignment="1">
      <alignment horizontal="center" vertical="center"/>
    </xf>
    <xf numFmtId="0" fontId="109" fillId="0" borderId="19" xfId="0" applyFont="1" applyBorder="1" applyAlignment="1">
      <alignment horizontal="center" vertical="center"/>
    </xf>
    <xf numFmtId="0" fontId="109" fillId="0" borderId="13" xfId="0" applyFont="1" applyBorder="1" applyAlignment="1">
      <alignment horizontal="center" vertical="center"/>
    </xf>
    <xf numFmtId="0" fontId="109" fillId="0" borderId="14" xfId="0" applyFont="1" applyBorder="1" applyAlignment="1">
      <alignment horizontal="center" vertical="center"/>
    </xf>
    <xf numFmtId="0" fontId="109" fillId="0" borderId="15" xfId="0" applyFont="1" applyBorder="1" applyAlignment="1">
      <alignment horizontal="center" vertical="center"/>
    </xf>
    <xf numFmtId="0" fontId="0" fillId="0" borderId="0" xfId="0" quotePrefix="1" applyAlignment="1">
      <alignment horizontal="center" vertical="center" wrapText="1"/>
    </xf>
    <xf numFmtId="0" fontId="63" fillId="0" borderId="0" xfId="0" applyFont="1" applyAlignment="1">
      <alignment horizontal="left" vertical="center"/>
    </xf>
    <xf numFmtId="0" fontId="63" fillId="0" borderId="0" xfId="0" applyFont="1" applyAlignment="1">
      <alignment horizontal="left" vertical="center" wrapText="1"/>
    </xf>
    <xf numFmtId="0" fontId="40" fillId="0" borderId="68" xfId="0" applyFont="1" applyBorder="1" applyAlignment="1">
      <alignment horizontal="center" vertical="center" wrapText="1"/>
    </xf>
    <xf numFmtId="0" fontId="40" fillId="0" borderId="32" xfId="0" applyFont="1" applyBorder="1" applyAlignment="1">
      <alignment horizontal="center" vertical="center"/>
    </xf>
    <xf numFmtId="0" fontId="40" fillId="0" borderId="59" xfId="0" applyFont="1" applyBorder="1" applyAlignment="1">
      <alignment horizontal="center" vertical="center"/>
    </xf>
    <xf numFmtId="0" fontId="40" fillId="0" borderId="32" xfId="0" applyFont="1" applyBorder="1" applyAlignment="1">
      <alignment horizontal="center" vertical="center" wrapText="1"/>
    </xf>
    <xf numFmtId="0" fontId="40" fillId="0" borderId="34" xfId="0" applyFont="1" applyBorder="1" applyAlignment="1">
      <alignment horizontal="center" vertical="center" wrapText="1"/>
    </xf>
    <xf numFmtId="0" fontId="40" fillId="0" borderId="71" xfId="0" applyFont="1" applyBorder="1" applyAlignment="1">
      <alignment horizontal="center" vertical="center" wrapText="1"/>
    </xf>
    <xf numFmtId="0" fontId="24" fillId="0" borderId="61" xfId="0" applyFont="1" applyBorder="1" applyAlignment="1">
      <alignment horizontal="left" vertical="center" wrapText="1"/>
    </xf>
    <xf numFmtId="0" fontId="24" fillId="0" borderId="12" xfId="0" applyFont="1" applyBorder="1" applyAlignment="1">
      <alignment horizontal="left" vertical="center" wrapText="1"/>
    </xf>
    <xf numFmtId="191" fontId="24" fillId="3" borderId="2" xfId="0" applyNumberFormat="1" applyFont="1" applyFill="1" applyBorder="1" applyAlignment="1">
      <alignment horizontal="center" vertical="center"/>
    </xf>
    <xf numFmtId="191" fontId="24" fillId="3" borderId="3" xfId="0" applyNumberFormat="1" applyFont="1" applyFill="1" applyBorder="1" applyAlignment="1">
      <alignment horizontal="center" vertical="center"/>
    </xf>
    <xf numFmtId="191" fontId="24" fillId="3" borderId="4" xfId="0" applyNumberFormat="1" applyFont="1" applyFill="1" applyBorder="1" applyAlignment="1">
      <alignment horizontal="center" vertical="center"/>
    </xf>
    <xf numFmtId="191" fontId="24" fillId="22" borderId="2" xfId="0" applyNumberFormat="1" applyFont="1" applyFill="1" applyBorder="1" applyAlignment="1">
      <alignment horizontal="center" vertical="center"/>
    </xf>
    <xf numFmtId="191" fontId="24" fillId="22" borderId="3" xfId="0" applyNumberFormat="1" applyFont="1" applyFill="1" applyBorder="1" applyAlignment="1">
      <alignment horizontal="center" vertical="center"/>
    </xf>
    <xf numFmtId="191" fontId="24" fillId="22" borderId="39" xfId="0" applyNumberFormat="1" applyFont="1" applyFill="1" applyBorder="1" applyAlignment="1">
      <alignment horizontal="center" vertical="center"/>
    </xf>
    <xf numFmtId="0" fontId="40" fillId="0" borderId="61" xfId="0" applyFont="1" applyBorder="1" applyAlignment="1">
      <alignment horizontal="center" vertical="center"/>
    </xf>
    <xf numFmtId="0" fontId="40" fillId="0" borderId="12" xfId="0" applyFont="1" applyBorder="1" applyAlignment="1">
      <alignment horizontal="center" vertical="center"/>
    </xf>
    <xf numFmtId="191" fontId="24" fillId="3" borderId="9" xfId="0" applyNumberFormat="1" applyFont="1" applyFill="1" applyBorder="1" applyAlignment="1">
      <alignment horizontal="center" vertical="center"/>
    </xf>
    <xf numFmtId="191" fontId="24" fillId="22" borderId="43" xfId="0" applyNumberFormat="1" applyFont="1" applyFill="1" applyBorder="1" applyAlignment="1">
      <alignment horizontal="center" vertical="center"/>
    </xf>
    <xf numFmtId="191" fontId="24" fillId="22" borderId="44" xfId="0" applyNumberFormat="1" applyFont="1" applyFill="1" applyBorder="1" applyAlignment="1">
      <alignment horizontal="center" vertical="center"/>
    </xf>
    <xf numFmtId="191" fontId="24" fillId="22" borderId="54" xfId="0" applyNumberFormat="1" applyFont="1" applyFill="1" applyBorder="1" applyAlignment="1">
      <alignment horizontal="center" vertical="center"/>
    </xf>
    <xf numFmtId="0" fontId="164" fillId="0" borderId="8" xfId="0" applyFont="1" applyBorder="1" applyAlignment="1">
      <alignment horizontal="center" vertical="center" wrapText="1"/>
    </xf>
    <xf numFmtId="178" fontId="164" fillId="3" borderId="9" xfId="7" applyNumberFormat="1" applyFont="1" applyFill="1" applyBorder="1" applyAlignment="1">
      <alignment horizontal="center" vertical="center"/>
    </xf>
    <xf numFmtId="4" fontId="0" fillId="0" borderId="1" xfId="0" applyNumberFormat="1" applyBorder="1" applyAlignment="1">
      <alignment horizontal="center" vertical="center"/>
    </xf>
    <xf numFmtId="188" fontId="0" fillId="0" borderId="1" xfId="0" applyNumberFormat="1" applyBorder="1" applyAlignment="1">
      <alignment horizontal="center" vertical="center"/>
    </xf>
    <xf numFmtId="0" fontId="109" fillId="0" borderId="13" xfId="0" applyFont="1" applyBorder="1" applyAlignment="1">
      <alignment vertical="center"/>
    </xf>
    <xf numFmtId="0" fontId="109" fillId="0" borderId="14" xfId="0" applyFont="1" applyBorder="1" applyAlignment="1">
      <alignment vertical="center"/>
    </xf>
    <xf numFmtId="0" fontId="109" fillId="0" borderId="15" xfId="0" applyFont="1" applyBorder="1" applyAlignment="1">
      <alignment vertical="center"/>
    </xf>
    <xf numFmtId="0" fontId="109" fillId="0" borderId="18" xfId="0" applyFont="1" applyBorder="1" applyAlignment="1">
      <alignment vertical="center"/>
    </xf>
    <xf numFmtId="0" fontId="109" fillId="0" borderId="11" xfId="0" applyFont="1" applyBorder="1" applyAlignment="1">
      <alignment vertical="center"/>
    </xf>
    <xf numFmtId="0" fontId="109" fillId="0" borderId="19" xfId="0" applyFont="1" applyBorder="1" applyAlignment="1">
      <alignment vertical="center"/>
    </xf>
    <xf numFmtId="0" fontId="109" fillId="0" borderId="18" xfId="0" applyFont="1" applyBorder="1" applyAlignment="1">
      <alignment horizontal="left" vertical="center" wrapText="1"/>
    </xf>
    <xf numFmtId="0" fontId="109" fillId="0" borderId="11" xfId="0" applyFont="1" applyBorder="1" applyAlignment="1">
      <alignment horizontal="left" vertical="center" wrapText="1"/>
    </xf>
    <xf numFmtId="0" fontId="109" fillId="0" borderId="19" xfId="0" applyFont="1" applyBorder="1" applyAlignment="1">
      <alignment horizontal="left" vertical="center" wrapText="1"/>
    </xf>
    <xf numFmtId="0" fontId="109" fillId="0" borderId="13" xfId="0" applyFont="1" applyBorder="1" applyAlignment="1">
      <alignment horizontal="left" vertical="center"/>
    </xf>
    <xf numFmtId="0" fontId="109" fillId="0" borderId="14" xfId="0" applyFont="1" applyBorder="1" applyAlignment="1">
      <alignment horizontal="left" vertical="center"/>
    </xf>
    <xf numFmtId="0" fontId="109" fillId="0" borderId="15" xfId="0" applyFont="1" applyBorder="1" applyAlignment="1">
      <alignment horizontal="left" vertical="center"/>
    </xf>
    <xf numFmtId="0" fontId="109" fillId="0" borderId="18" xfId="0" applyFont="1" applyBorder="1" applyAlignment="1">
      <alignment horizontal="left" vertical="center"/>
    </xf>
    <xf numFmtId="0" fontId="109" fillId="0" borderId="11" xfId="0" applyFont="1" applyBorder="1" applyAlignment="1">
      <alignment horizontal="left" vertical="center"/>
    </xf>
    <xf numFmtId="0" fontId="109" fillId="0" borderId="19" xfId="0" applyFont="1" applyBorder="1" applyAlignment="1">
      <alignment horizontal="left" vertical="center"/>
    </xf>
    <xf numFmtId="0" fontId="108" fillId="0" borderId="13" xfId="0" applyFont="1" applyBorder="1" applyAlignment="1">
      <alignment horizontal="center" vertical="center"/>
    </xf>
    <xf numFmtId="0" fontId="108" fillId="0" borderId="14" xfId="0" applyFont="1" applyBorder="1" applyAlignment="1">
      <alignment horizontal="center" vertical="center"/>
    </xf>
    <xf numFmtId="0" fontId="108" fillId="0" borderId="15" xfId="0" applyFont="1" applyBorder="1" applyAlignment="1">
      <alignment horizontal="center" vertical="center"/>
    </xf>
    <xf numFmtId="0" fontId="108" fillId="0" borderId="18" xfId="0" applyFont="1" applyBorder="1" applyAlignment="1">
      <alignment horizontal="center" vertical="center"/>
    </xf>
    <xf numFmtId="0" fontId="108" fillId="0" borderId="11" xfId="0" applyFont="1" applyBorder="1" applyAlignment="1">
      <alignment horizontal="center" vertical="center"/>
    </xf>
    <xf numFmtId="0" fontId="108" fillId="0" borderId="19" xfId="0" applyFont="1" applyBorder="1" applyAlignment="1">
      <alignment horizontal="center" vertical="center"/>
    </xf>
    <xf numFmtId="0" fontId="119" fillId="0" borderId="13" xfId="0" applyFont="1" applyBorder="1" applyAlignment="1">
      <alignment horizontal="center" vertical="center"/>
    </xf>
    <xf numFmtId="0" fontId="119" fillId="0" borderId="14" xfId="0" applyFont="1" applyBorder="1" applyAlignment="1">
      <alignment horizontal="center" vertical="center"/>
    </xf>
    <xf numFmtId="0" fontId="119" fillId="0" borderId="15" xfId="0" applyFont="1" applyBorder="1" applyAlignment="1">
      <alignment horizontal="center" vertical="center"/>
    </xf>
    <xf numFmtId="0" fontId="119" fillId="0" borderId="18" xfId="0" applyFont="1" applyBorder="1" applyAlignment="1">
      <alignment horizontal="center" vertical="center"/>
    </xf>
    <xf numFmtId="0" fontId="119" fillId="0" borderId="11" xfId="0" applyFont="1" applyBorder="1" applyAlignment="1">
      <alignment horizontal="center" vertical="center"/>
    </xf>
    <xf numFmtId="0" fontId="119" fillId="0" borderId="19" xfId="0" applyFont="1" applyBorder="1" applyAlignment="1">
      <alignment horizontal="center" vertical="center"/>
    </xf>
    <xf numFmtId="0" fontId="109" fillId="0" borderId="1" xfId="1" applyNumberFormat="1" applyFont="1" applyFill="1" applyBorder="1" applyAlignment="1">
      <alignment horizontal="center" vertical="center" wrapText="1"/>
    </xf>
    <xf numFmtId="0" fontId="109" fillId="0" borderId="1" xfId="1" applyNumberFormat="1" applyFont="1" applyBorder="1" applyAlignment="1">
      <alignment horizontal="center" vertical="center" wrapText="1"/>
    </xf>
    <xf numFmtId="1" fontId="109" fillId="0" borderId="1" xfId="0" applyNumberFormat="1" applyFont="1" applyBorder="1" applyAlignment="1">
      <alignment horizontal="left" vertical="center"/>
    </xf>
    <xf numFmtId="165" fontId="24" fillId="0" borderId="1" xfId="0" applyNumberFormat="1" applyFont="1" applyBorder="1" applyAlignment="1">
      <alignment horizontal="center" vertical="center"/>
    </xf>
    <xf numFmtId="188" fontId="24" fillId="0" borderId="1" xfId="0" applyNumberFormat="1" applyFont="1" applyBorder="1" applyAlignment="1">
      <alignment horizontal="center" vertical="center"/>
    </xf>
    <xf numFmtId="0" fontId="40" fillId="0" borderId="22" xfId="0" applyFont="1" applyBorder="1" applyAlignment="1">
      <alignment horizontal="center" vertical="center"/>
    </xf>
    <xf numFmtId="0" fontId="119" fillId="0" borderId="1" xfId="0" applyFont="1" applyBorder="1" applyAlignment="1">
      <alignment vertical="center"/>
    </xf>
    <xf numFmtId="168" fontId="117" fillId="0" borderId="2" xfId="0" applyNumberFormat="1" applyFont="1" applyBorder="1" applyAlignment="1">
      <alignment horizontal="center" vertical="center"/>
    </xf>
    <xf numFmtId="168" fontId="117" fillId="0" borderId="3" xfId="0" applyNumberFormat="1" applyFont="1" applyBorder="1" applyAlignment="1">
      <alignment horizontal="center" vertical="center"/>
    </xf>
    <xf numFmtId="168" fontId="117" fillId="0" borderId="4" xfId="0" applyNumberFormat="1" applyFont="1" applyBorder="1" applyAlignment="1">
      <alignment horizontal="center" vertical="center"/>
    </xf>
    <xf numFmtId="0" fontId="40" fillId="0" borderId="12" xfId="0" applyFont="1" applyBorder="1" applyAlignment="1">
      <alignment horizontal="center" vertical="center" wrapText="1"/>
    </xf>
    <xf numFmtId="208" fontId="117" fillId="0" borderId="1" xfId="0" applyNumberFormat="1" applyFont="1" applyBorder="1" applyAlignment="1">
      <alignment horizontal="center" vertical="center"/>
    </xf>
    <xf numFmtId="4" fontId="117" fillId="0" borderId="1" xfId="0" applyNumberFormat="1" applyFont="1" applyBorder="1" applyAlignment="1">
      <alignment horizontal="center" vertical="center"/>
    </xf>
    <xf numFmtId="0" fontId="24" fillId="0" borderId="1" xfId="0" applyFont="1" applyBorder="1" applyAlignment="1">
      <alignment horizontal="left" vertical="top" wrapText="1"/>
    </xf>
    <xf numFmtId="0" fontId="24" fillId="0" borderId="13" xfId="0" applyFont="1" applyBorder="1" applyAlignment="1">
      <alignment horizontal="left" vertical="top" wrapText="1"/>
    </xf>
    <xf numFmtId="0" fontId="24" fillId="0" borderId="14" xfId="0" applyFont="1" applyBorder="1" applyAlignment="1">
      <alignment horizontal="left" vertical="top" wrapText="1"/>
    </xf>
    <xf numFmtId="0" fontId="24" fillId="0" borderId="15" xfId="0" applyFont="1" applyBorder="1" applyAlignment="1">
      <alignment horizontal="left" vertical="top" wrapText="1"/>
    </xf>
    <xf numFmtId="0" fontId="24" fillId="0" borderId="18" xfId="0" applyFont="1" applyBorder="1" applyAlignment="1">
      <alignment horizontal="left" vertical="top" wrapText="1"/>
    </xf>
    <xf numFmtId="0" fontId="24" fillId="0" borderId="11" xfId="0" applyFont="1" applyBorder="1" applyAlignment="1">
      <alignment horizontal="left" vertical="top" wrapText="1"/>
    </xf>
    <xf numFmtId="0" fontId="24" fillId="0" borderId="19" xfId="0" applyFont="1" applyBorder="1" applyAlignment="1">
      <alignment horizontal="left" vertical="top" wrapText="1"/>
    </xf>
    <xf numFmtId="0" fontId="119" fillId="0" borderId="1" xfId="0" applyFont="1" applyBorder="1" applyAlignment="1">
      <alignment horizontal="center"/>
    </xf>
    <xf numFmtId="0" fontId="119" fillId="0" borderId="2" xfId="0" applyFont="1" applyBorder="1" applyAlignment="1">
      <alignment horizontal="center"/>
    </xf>
    <xf numFmtId="0" fontId="119" fillId="0" borderId="3" xfId="0" applyFont="1" applyBorder="1" applyAlignment="1">
      <alignment horizontal="center"/>
    </xf>
    <xf numFmtId="0" fontId="119" fillId="0" borderId="4" xfId="0" applyFont="1" applyBorder="1" applyAlignment="1">
      <alignment horizontal="center"/>
    </xf>
    <xf numFmtId="0" fontId="119" fillId="0" borderId="1" xfId="0" applyFont="1" applyBorder="1" applyAlignment="1">
      <alignment horizontal="center" vertical="top"/>
    </xf>
    <xf numFmtId="0" fontId="40" fillId="0" borderId="1" xfId="0" applyFont="1" applyBorder="1" applyAlignment="1">
      <alignment horizontal="center"/>
    </xf>
    <xf numFmtId="0" fontId="6" fillId="0" borderId="0" xfId="0" applyFont="1" applyAlignment="1">
      <alignment horizontal="left" vertical="center"/>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168" fontId="109" fillId="0" borderId="1" xfId="0" applyNumberFormat="1" applyFont="1" applyBorder="1" applyAlignment="1">
      <alignment horizontal="center" vertical="center" wrapText="1"/>
    </xf>
    <xf numFmtId="0" fontId="4" fillId="0" borderId="1" xfId="0" applyFont="1" applyBorder="1" applyAlignment="1">
      <alignment horizontal="center" wrapText="1"/>
    </xf>
    <xf numFmtId="0" fontId="122" fillId="0" borderId="1" xfId="0" applyFont="1" applyBorder="1" applyAlignment="1">
      <alignment horizontal="left" vertical="center"/>
    </xf>
    <xf numFmtId="0" fontId="118" fillId="0" borderId="1" xfId="0" applyFont="1" applyBorder="1" applyAlignment="1">
      <alignment horizontal="left" vertical="center"/>
    </xf>
    <xf numFmtId="168" fontId="108" fillId="0" borderId="1" xfId="0" applyNumberFormat="1" applyFont="1" applyBorder="1" applyAlignment="1">
      <alignment horizontal="center" vertical="center" wrapText="1"/>
    </xf>
    <xf numFmtId="0" fontId="108" fillId="0" borderId="1" xfId="0" quotePrefix="1" applyFont="1" applyBorder="1" applyAlignment="1">
      <alignment horizontal="center" vertical="center"/>
    </xf>
    <xf numFmtId="0" fontId="119" fillId="0" borderId="1" xfId="0" applyFont="1" applyBorder="1" applyAlignment="1">
      <alignment vertical="center" wrapText="1"/>
    </xf>
    <xf numFmtId="0" fontId="184" fillId="0" borderId="1" xfId="0" applyFont="1" applyBorder="1" applyAlignment="1">
      <alignment horizontal="center" vertical="center"/>
    </xf>
    <xf numFmtId="2" fontId="0" fillId="0" borderId="1" xfId="0" applyNumberFormat="1" applyBorder="1" applyAlignment="1">
      <alignment horizontal="center"/>
    </xf>
    <xf numFmtId="3" fontId="0" fillId="0" borderId="1" xfId="0" applyNumberFormat="1" applyBorder="1" applyAlignment="1">
      <alignment horizontal="center"/>
    </xf>
    <xf numFmtId="4" fontId="0" fillId="0" borderId="2" xfId="0" applyNumberFormat="1" applyBorder="1" applyAlignment="1">
      <alignment horizontal="center"/>
    </xf>
    <xf numFmtId="4" fontId="0" fillId="0" borderId="3" xfId="0" applyNumberFormat="1" applyBorder="1" applyAlignment="1">
      <alignment horizontal="center"/>
    </xf>
    <xf numFmtId="4" fontId="0" fillId="0" borderId="4" xfId="0" applyNumberFormat="1" applyBorder="1" applyAlignment="1">
      <alignment horizontal="center"/>
    </xf>
    <xf numFmtId="164" fontId="20" fillId="16" borderId="2" xfId="0" applyNumberFormat="1" applyFont="1" applyFill="1" applyBorder="1" applyAlignment="1" applyProtection="1">
      <alignment horizontal="center"/>
      <protection locked="0"/>
    </xf>
    <xf numFmtId="164" fontId="20" fillId="16" borderId="3" xfId="0" applyNumberFormat="1" applyFont="1" applyFill="1" applyBorder="1" applyAlignment="1" applyProtection="1">
      <alignment horizontal="center"/>
      <protection locked="0"/>
    </xf>
    <xf numFmtId="164" fontId="20" fillId="16" borderId="4" xfId="0" applyNumberFormat="1" applyFont="1" applyFill="1" applyBorder="1" applyAlignment="1" applyProtection="1">
      <alignment horizontal="center"/>
      <protection locked="0"/>
    </xf>
    <xf numFmtId="3" fontId="0" fillId="0" borderId="2" xfId="0" applyNumberFormat="1" applyBorder="1" applyAlignment="1">
      <alignment horizontal="center"/>
    </xf>
    <xf numFmtId="3" fontId="0" fillId="0" borderId="3" xfId="0" applyNumberFormat="1" applyBorder="1" applyAlignment="1">
      <alignment horizontal="center"/>
    </xf>
    <xf numFmtId="3" fontId="0" fillId="0" borderId="4" xfId="0" applyNumberFormat="1" applyBorder="1" applyAlignment="1">
      <alignment horizontal="center"/>
    </xf>
    <xf numFmtId="2" fontId="0" fillId="0" borderId="2" xfId="0" applyNumberFormat="1" applyBorder="1" applyAlignment="1">
      <alignment horizontal="center"/>
    </xf>
    <xf numFmtId="2" fontId="0" fillId="0" borderId="3" xfId="0" applyNumberFormat="1" applyBorder="1" applyAlignment="1">
      <alignment horizontal="center"/>
    </xf>
    <xf numFmtId="2" fontId="0" fillId="0" borderId="4" xfId="0" applyNumberFormat="1" applyBorder="1" applyAlignment="1">
      <alignment horizontal="center"/>
    </xf>
    <xf numFmtId="3" fontId="20" fillId="16" borderId="2" xfId="0" applyNumberFormat="1" applyFont="1" applyFill="1" applyBorder="1" applyAlignment="1" applyProtection="1">
      <alignment horizontal="center"/>
      <protection locked="0"/>
    </xf>
    <xf numFmtId="3" fontId="20" fillId="16" borderId="3" xfId="0" applyNumberFormat="1" applyFont="1" applyFill="1" applyBorder="1" applyAlignment="1" applyProtection="1">
      <alignment horizontal="center"/>
      <protection locked="0"/>
    </xf>
    <xf numFmtId="3" fontId="20" fillId="16" borderId="4" xfId="0" applyNumberFormat="1" applyFont="1" applyFill="1" applyBorder="1" applyAlignment="1" applyProtection="1">
      <alignment horizontal="center"/>
      <protection locked="0"/>
    </xf>
    <xf numFmtId="164" fontId="0" fillId="0" borderId="1" xfId="0" applyNumberFormat="1" applyBorder="1" applyAlignment="1">
      <alignment horizontal="center"/>
    </xf>
    <xf numFmtId="0" fontId="24" fillId="0" borderId="0" xfId="0" quotePrefix="1" applyFont="1" applyAlignment="1">
      <alignment horizontal="center" vertical="center"/>
    </xf>
    <xf numFmtId="0" fontId="24" fillId="0" borderId="0" xfId="0" applyFont="1" applyAlignment="1">
      <alignment horizontal="center" vertical="center"/>
    </xf>
    <xf numFmtId="0" fontId="117" fillId="0" borderId="1" xfId="0" quotePrefix="1" applyFont="1" applyBorder="1" applyAlignment="1">
      <alignment vertical="center" wrapText="1"/>
    </xf>
    <xf numFmtId="10" fontId="109" fillId="0" borderId="1" xfId="1" applyNumberFormat="1" applyFont="1" applyBorder="1" applyAlignment="1">
      <alignment horizontal="center" vertical="center" wrapText="1"/>
    </xf>
    <xf numFmtId="0" fontId="229" fillId="0" borderId="1" xfId="0" applyFont="1" applyBorder="1" applyAlignment="1">
      <alignment horizontal="center" vertical="center" wrapText="1"/>
    </xf>
    <xf numFmtId="0" fontId="229" fillId="0" borderId="1" xfId="0" applyFont="1" applyBorder="1" applyAlignment="1">
      <alignment horizontal="center" vertical="top" wrapText="1"/>
    </xf>
    <xf numFmtId="0" fontId="228" fillId="35" borderId="1" xfId="0" applyFont="1" applyFill="1" applyBorder="1" applyAlignment="1">
      <alignment horizontal="center" vertical="center" wrapText="1"/>
    </xf>
    <xf numFmtId="0" fontId="229" fillId="0" borderId="13" xfId="0" applyFont="1" applyBorder="1" applyAlignment="1">
      <alignment horizontal="center" vertical="center" wrapText="1"/>
    </xf>
    <xf numFmtId="0" fontId="229" fillId="0" borderId="14" xfId="0" applyFont="1" applyBorder="1" applyAlignment="1">
      <alignment horizontal="center" vertical="center" wrapText="1"/>
    </xf>
    <xf numFmtId="0" fontId="229" fillId="0" borderId="15" xfId="0" applyFont="1" applyBorder="1" applyAlignment="1">
      <alignment horizontal="center" vertical="center" wrapText="1"/>
    </xf>
    <xf numFmtId="0" fontId="229" fillId="0" borderId="16" xfId="0" applyFont="1" applyBorder="1" applyAlignment="1">
      <alignment horizontal="center" vertical="center" wrapText="1"/>
    </xf>
    <xf numFmtId="0" fontId="229" fillId="0" borderId="0" xfId="0" applyFont="1" applyAlignment="1">
      <alignment horizontal="center" vertical="center" wrapText="1"/>
    </xf>
    <xf numFmtId="0" fontId="229" fillId="0" borderId="17" xfId="0" applyFont="1" applyBorder="1" applyAlignment="1">
      <alignment horizontal="center" vertical="center" wrapText="1"/>
    </xf>
    <xf numFmtId="0" fontId="229" fillId="0" borderId="18" xfId="0" applyFont="1" applyBorder="1" applyAlignment="1">
      <alignment horizontal="center" vertical="center" wrapText="1"/>
    </xf>
    <xf numFmtId="0" fontId="229" fillId="0" borderId="11" xfId="0" applyFont="1" applyBorder="1" applyAlignment="1">
      <alignment horizontal="center" vertical="center" wrapText="1"/>
    </xf>
    <xf numFmtId="0" fontId="229" fillId="0" borderId="19" xfId="0" applyFont="1" applyBorder="1" applyAlignment="1">
      <alignment horizontal="center" vertical="center" wrapText="1"/>
    </xf>
    <xf numFmtId="0" fontId="229" fillId="0" borderId="2" xfId="0" applyFont="1" applyBorder="1" applyAlignment="1">
      <alignment horizontal="center" vertical="center" wrapText="1"/>
    </xf>
    <xf numFmtId="0" fontId="229" fillId="0" borderId="3" xfId="0" applyFont="1" applyBorder="1" applyAlignment="1">
      <alignment horizontal="center" vertical="center" wrapText="1"/>
    </xf>
    <xf numFmtId="0" fontId="229" fillId="0" borderId="4" xfId="0" applyFont="1" applyBorder="1" applyAlignment="1">
      <alignment horizontal="center" vertical="center" wrapText="1"/>
    </xf>
    <xf numFmtId="2" fontId="109" fillId="0" borderId="1" xfId="0" applyNumberFormat="1" applyFont="1" applyBorder="1" applyAlignment="1">
      <alignment horizontal="center"/>
    </xf>
    <xf numFmtId="3" fontId="109" fillId="0" borderId="1" xfId="0" applyNumberFormat="1" applyFont="1" applyBorder="1" applyAlignment="1">
      <alignment horizontal="center"/>
    </xf>
    <xf numFmtId="0" fontId="0" fillId="0" borderId="69" xfId="0" applyBorder="1" applyAlignment="1">
      <alignment horizontal="center" vertical="center"/>
    </xf>
    <xf numFmtId="178" fontId="0" fillId="3" borderId="2" xfId="0" applyNumberFormat="1" applyFill="1" applyBorder="1" applyAlignment="1">
      <alignment horizontal="center" vertical="center" wrapText="1"/>
    </xf>
    <xf numFmtId="178" fontId="0" fillId="3" borderId="3" xfId="0" applyNumberFormat="1" applyFill="1" applyBorder="1" applyAlignment="1">
      <alignment horizontal="center" vertical="center" wrapText="1"/>
    </xf>
    <xf numFmtId="178" fontId="0" fillId="3" borderId="4" xfId="0" applyNumberFormat="1" applyFill="1" applyBorder="1" applyAlignment="1">
      <alignment horizontal="center" vertical="center" wrapText="1"/>
    </xf>
    <xf numFmtId="191" fontId="0" fillId="3" borderId="2" xfId="0" applyNumberFormat="1" applyFill="1" applyBorder="1" applyAlignment="1">
      <alignment horizontal="center" vertical="center" wrapText="1"/>
    </xf>
    <xf numFmtId="191" fontId="0" fillId="3" borderId="3" xfId="0" applyNumberFormat="1" applyFill="1" applyBorder="1" applyAlignment="1">
      <alignment horizontal="center" vertical="center" wrapText="1"/>
    </xf>
    <xf numFmtId="191" fontId="0" fillId="3" borderId="4" xfId="0" applyNumberFormat="1" applyFill="1" applyBorder="1" applyAlignment="1">
      <alignment horizontal="center" vertical="center" wrapText="1"/>
    </xf>
    <xf numFmtId="191" fontId="24" fillId="22" borderId="1" xfId="7" applyNumberFormat="1" applyFont="1" applyFill="1" applyBorder="1" applyAlignment="1">
      <alignment horizontal="center" vertical="center"/>
    </xf>
    <xf numFmtId="191" fontId="24" fillId="22" borderId="21" xfId="7" applyNumberFormat="1" applyFont="1" applyFill="1" applyBorder="1" applyAlignment="1">
      <alignment horizontal="center" vertical="center"/>
    </xf>
    <xf numFmtId="178" fontId="0" fillId="3" borderId="43" xfId="0" applyNumberFormat="1" applyFill="1" applyBorder="1" applyAlignment="1">
      <alignment horizontal="center" vertical="center" wrapText="1"/>
    </xf>
    <xf numFmtId="178" fontId="0" fillId="3" borderId="44" xfId="0" applyNumberFormat="1" applyFill="1" applyBorder="1" applyAlignment="1">
      <alignment horizontal="center" vertical="center" wrapText="1"/>
    </xf>
    <xf numFmtId="178" fontId="0" fillId="3" borderId="45" xfId="0" applyNumberFormat="1" applyFill="1" applyBorder="1" applyAlignment="1">
      <alignment horizontal="center" vertical="center" wrapText="1"/>
    </xf>
    <xf numFmtId="191" fontId="0" fillId="3" borderId="43" xfId="0" applyNumberFormat="1" applyFill="1" applyBorder="1" applyAlignment="1">
      <alignment horizontal="center" vertical="center" wrapText="1"/>
    </xf>
    <xf numFmtId="191" fontId="0" fillId="3" borderId="44" xfId="0" applyNumberFormat="1" applyFill="1" applyBorder="1" applyAlignment="1">
      <alignment horizontal="center" vertical="center" wrapText="1"/>
    </xf>
    <xf numFmtId="191" fontId="0" fillId="3" borderId="45" xfId="0" applyNumberFormat="1" applyFill="1" applyBorder="1" applyAlignment="1">
      <alignment horizontal="center" vertical="center" wrapText="1"/>
    </xf>
    <xf numFmtId="191" fontId="24" fillId="22" borderId="9" xfId="7" applyNumberFormat="1" applyFont="1" applyFill="1" applyBorder="1" applyAlignment="1">
      <alignment horizontal="center" vertical="center"/>
    </xf>
    <xf numFmtId="191" fontId="24" fillId="22" borderId="10" xfId="7" applyNumberFormat="1" applyFont="1" applyFill="1" applyBorder="1" applyAlignment="1">
      <alignment horizontal="center" vertical="center"/>
    </xf>
    <xf numFmtId="178" fontId="164" fillId="3" borderId="43" xfId="0" applyNumberFormat="1" applyFont="1" applyFill="1" applyBorder="1" applyAlignment="1">
      <alignment horizontal="center" vertical="center" wrapText="1"/>
    </xf>
    <xf numFmtId="178" fontId="164" fillId="3" borderId="44" xfId="0" applyNumberFormat="1" applyFont="1" applyFill="1" applyBorder="1" applyAlignment="1">
      <alignment horizontal="center" vertical="center" wrapText="1"/>
    </xf>
    <xf numFmtId="178" fontId="164" fillId="3" borderId="45" xfId="0" applyNumberFormat="1" applyFont="1" applyFill="1" applyBorder="1" applyAlignment="1">
      <alignment horizontal="center" vertical="center" wrapText="1"/>
    </xf>
    <xf numFmtId="191" fontId="164" fillId="3" borderId="43" xfId="0" applyNumberFormat="1" applyFont="1" applyFill="1" applyBorder="1" applyAlignment="1">
      <alignment horizontal="center" vertical="center" wrapText="1"/>
    </xf>
    <xf numFmtId="191" fontId="164" fillId="3" borderId="44" xfId="0" applyNumberFormat="1" applyFont="1" applyFill="1" applyBorder="1" applyAlignment="1">
      <alignment horizontal="center" vertical="center" wrapText="1"/>
    </xf>
    <xf numFmtId="191" fontId="164" fillId="3" borderId="45" xfId="0" applyNumberFormat="1" applyFont="1" applyFill="1" applyBorder="1" applyAlignment="1">
      <alignment horizontal="center" vertical="center" wrapText="1"/>
    </xf>
    <xf numFmtId="4" fontId="24" fillId="0" borderId="2" xfId="0" applyNumberFormat="1" applyFont="1" applyBorder="1" applyAlignment="1">
      <alignment horizontal="center"/>
    </xf>
    <xf numFmtId="4" fontId="24" fillId="0" borderId="3" xfId="0" applyNumberFormat="1" applyFont="1" applyBorder="1" applyAlignment="1">
      <alignment horizontal="center"/>
    </xf>
    <xf numFmtId="4" fontId="24" fillId="0" borderId="4" xfId="0" applyNumberFormat="1" applyFont="1" applyBorder="1" applyAlignment="1">
      <alignment horizontal="center"/>
    </xf>
    <xf numFmtId="0" fontId="0" fillId="0" borderId="0" xfId="0" quotePrefix="1" applyAlignment="1">
      <alignment horizontal="left" vertical="top" wrapText="1"/>
    </xf>
    <xf numFmtId="0" fontId="65" fillId="0" borderId="0" xfId="0" applyFont="1" applyAlignment="1">
      <alignment horizontal="left" vertical="top" wrapText="1"/>
    </xf>
    <xf numFmtId="0" fontId="16" fillId="0" borderId="0" xfId="4" applyFill="1" applyAlignment="1">
      <alignment horizontal="center" vertical="center"/>
    </xf>
    <xf numFmtId="0" fontId="65" fillId="16" borderId="2" xfId="0" applyFont="1" applyFill="1" applyBorder="1" applyAlignment="1" applyProtection="1">
      <alignment horizontal="center" vertical="center"/>
      <protection locked="0"/>
    </xf>
    <xf numFmtId="0" fontId="65" fillId="16" borderId="3" xfId="0" applyFont="1" applyFill="1" applyBorder="1" applyAlignment="1" applyProtection="1">
      <alignment horizontal="center" vertical="center"/>
      <protection locked="0"/>
    </xf>
    <xf numFmtId="0" fontId="65" fillId="16" borderId="4" xfId="0" applyFont="1" applyFill="1" applyBorder="1" applyAlignment="1" applyProtection="1">
      <alignment horizontal="center" vertical="center"/>
      <protection locked="0"/>
    </xf>
    <xf numFmtId="0" fontId="47" fillId="0" borderId="12" xfId="0" applyFont="1" applyBorder="1" applyAlignment="1">
      <alignment horizontal="center" vertical="center" wrapText="1"/>
    </xf>
    <xf numFmtId="0" fontId="47" fillId="0" borderId="22"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22" xfId="0" applyFont="1" applyBorder="1" applyAlignment="1">
      <alignment horizontal="center" vertical="center" wrapText="1"/>
    </xf>
    <xf numFmtId="0" fontId="40" fillId="0" borderId="22" xfId="0" applyFont="1" applyBorder="1" applyAlignment="1">
      <alignment horizontal="center" vertical="center" wrapText="1"/>
    </xf>
    <xf numFmtId="0" fontId="68" fillId="25" borderId="2" xfId="0" applyFont="1" applyFill="1" applyBorder="1" applyAlignment="1">
      <alignment horizontal="center" vertical="center"/>
    </xf>
    <xf numFmtId="0" fontId="68" fillId="25" borderId="4" xfId="0" applyFont="1" applyFill="1" applyBorder="1" applyAlignment="1">
      <alignment horizontal="center" vertical="center"/>
    </xf>
    <xf numFmtId="0" fontId="68" fillId="25" borderId="11" xfId="0" applyFont="1" applyFill="1" applyBorder="1" applyAlignment="1">
      <alignment horizontal="center" vertical="center"/>
    </xf>
    <xf numFmtId="0" fontId="68" fillId="25" borderId="19" xfId="0" applyFont="1" applyFill="1" applyBorder="1" applyAlignment="1">
      <alignment horizontal="center" vertical="center"/>
    </xf>
    <xf numFmtId="0" fontId="40" fillId="33" borderId="2" xfId="0" applyFont="1" applyFill="1" applyBorder="1" applyAlignment="1">
      <alignment horizontal="center" vertical="center" wrapText="1"/>
    </xf>
    <xf numFmtId="0" fontId="40" fillId="33" borderId="3" xfId="0" applyFont="1" applyFill="1" applyBorder="1" applyAlignment="1">
      <alignment horizontal="center" vertical="center" wrapText="1"/>
    </xf>
    <xf numFmtId="0" fontId="40" fillId="33" borderId="4" xfId="0" applyFont="1" applyFill="1" applyBorder="1" applyAlignment="1">
      <alignment horizontal="center" vertical="center" wrapText="1"/>
    </xf>
    <xf numFmtId="0" fontId="4" fillId="33" borderId="2" xfId="0" applyFont="1" applyFill="1" applyBorder="1" applyAlignment="1">
      <alignment horizontal="center" vertical="center" wrapText="1"/>
    </xf>
    <xf numFmtId="0" fontId="4" fillId="33" borderId="4" xfId="0" applyFont="1" applyFill="1" applyBorder="1" applyAlignment="1">
      <alignment horizontal="center" vertical="center" wrapText="1"/>
    </xf>
    <xf numFmtId="0" fontId="4" fillId="21" borderId="2" xfId="0" applyFont="1" applyFill="1" applyBorder="1" applyAlignment="1">
      <alignment horizontal="center" vertical="center" wrapText="1"/>
    </xf>
    <xf numFmtId="0" fontId="4" fillId="21" borderId="4"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5" xfId="0" applyFont="1" applyFill="1" applyBorder="1" applyAlignment="1">
      <alignment horizontal="center" vertical="center" wrapText="1"/>
    </xf>
    <xf numFmtId="179" fontId="24" fillId="3" borderId="13" xfId="0" applyNumberFormat="1" applyFont="1" applyFill="1" applyBorder="1" applyAlignment="1">
      <alignment horizontal="center" vertical="center"/>
    </xf>
    <xf numFmtId="179" fontId="24" fillId="3" borderId="14" xfId="0" applyNumberFormat="1" applyFont="1" applyFill="1" applyBorder="1" applyAlignment="1">
      <alignment horizontal="center" vertical="center"/>
    </xf>
    <xf numFmtId="179" fontId="24" fillId="3" borderId="15" xfId="0" applyNumberFormat="1" applyFont="1" applyFill="1" applyBorder="1" applyAlignment="1">
      <alignment horizontal="center" vertical="center"/>
    </xf>
    <xf numFmtId="191" fontId="24" fillId="22" borderId="14" xfId="0" applyNumberFormat="1" applyFont="1" applyFill="1" applyBorder="1" applyAlignment="1">
      <alignment horizontal="center" vertical="center"/>
    </xf>
    <xf numFmtId="191" fontId="24" fillId="22" borderId="26" xfId="0" applyNumberFormat="1" applyFont="1" applyFill="1" applyBorder="1" applyAlignment="1">
      <alignment horizontal="center" vertical="center"/>
    </xf>
    <xf numFmtId="179" fontId="24" fillId="3" borderId="43" xfId="0" applyNumberFormat="1" applyFont="1" applyFill="1" applyBorder="1" applyAlignment="1">
      <alignment horizontal="center" vertical="center"/>
    </xf>
    <xf numFmtId="179" fontId="24" fillId="3" borderId="44" xfId="0" applyNumberFormat="1" applyFont="1" applyFill="1" applyBorder="1" applyAlignment="1">
      <alignment horizontal="center" vertical="center"/>
    </xf>
    <xf numFmtId="179" fontId="24" fillId="3" borderId="45" xfId="0" applyNumberFormat="1" applyFont="1" applyFill="1" applyBorder="1" applyAlignment="1">
      <alignment horizontal="center" vertical="center"/>
    </xf>
    <xf numFmtId="2" fontId="117" fillId="0" borderId="2" xfId="1" applyNumberFormat="1" applyFont="1" applyBorder="1" applyAlignment="1">
      <alignment horizontal="center" vertical="center" wrapText="1"/>
    </xf>
    <xf numFmtId="2" fontId="117" fillId="0" borderId="3" xfId="1" applyNumberFormat="1" applyFont="1" applyBorder="1" applyAlignment="1">
      <alignment horizontal="center" vertical="center" wrapText="1"/>
    </xf>
    <xf numFmtId="2" fontId="117" fillId="0" borderId="4" xfId="1" applyNumberFormat="1" applyFont="1" applyBorder="1" applyAlignment="1">
      <alignment horizontal="center" vertical="center" wrapText="1"/>
    </xf>
    <xf numFmtId="164" fontId="117" fillId="0" borderId="1" xfId="0" applyNumberFormat="1" applyFont="1" applyBorder="1" applyAlignment="1">
      <alignment horizontal="center" vertical="center" wrapText="1"/>
    </xf>
    <xf numFmtId="2" fontId="117" fillId="0" borderId="1" xfId="0" quotePrefix="1" applyNumberFormat="1" applyFont="1" applyBorder="1" applyAlignment="1">
      <alignment horizontal="center" vertical="center" wrapText="1"/>
    </xf>
    <xf numFmtId="0" fontId="40" fillId="0" borderId="0" xfId="0" applyFont="1" applyAlignment="1">
      <alignment vertical="top" wrapText="1"/>
    </xf>
    <xf numFmtId="168" fontId="117" fillId="0" borderId="1" xfId="0" applyNumberFormat="1" applyFont="1" applyBorder="1" applyAlignment="1">
      <alignment horizontal="center" vertical="center" wrapText="1"/>
    </xf>
    <xf numFmtId="0" fontId="119" fillId="0" borderId="2" xfId="0" applyFont="1" applyBorder="1" applyAlignment="1">
      <alignment horizontal="left" vertical="center" wrapText="1"/>
    </xf>
    <xf numFmtId="0" fontId="119" fillId="0" borderId="3" xfId="0" applyFont="1" applyBorder="1" applyAlignment="1">
      <alignment horizontal="left" vertical="center" wrapText="1"/>
    </xf>
    <xf numFmtId="0" fontId="119" fillId="0" borderId="4" xfId="0" applyFont="1" applyBorder="1" applyAlignment="1">
      <alignment horizontal="left" vertical="center" wrapText="1"/>
    </xf>
    <xf numFmtId="168" fontId="119" fillId="0" borderId="1" xfId="0" applyNumberFormat="1" applyFont="1" applyBorder="1" applyAlignment="1">
      <alignment horizontal="center" vertical="center" wrapText="1"/>
    </xf>
    <xf numFmtId="0" fontId="24" fillId="0" borderId="0" xfId="0" quotePrefix="1" applyFont="1" applyAlignment="1">
      <alignment vertical="center"/>
    </xf>
    <xf numFmtId="0" fontId="117" fillId="0" borderId="13" xfId="0" applyFont="1" applyBorder="1" applyAlignment="1">
      <alignment vertical="center" wrapText="1"/>
    </xf>
    <xf numFmtId="0" fontId="117" fillId="0" borderId="14" xfId="0" applyFont="1" applyBorder="1" applyAlignment="1">
      <alignment vertical="center" wrapText="1"/>
    </xf>
    <xf numFmtId="0" fontId="117" fillId="0" borderId="15" xfId="0" applyFont="1" applyBorder="1" applyAlignment="1">
      <alignment vertical="center" wrapText="1"/>
    </xf>
    <xf numFmtId="0" fontId="117" fillId="0" borderId="18" xfId="0" applyFont="1" applyBorder="1" applyAlignment="1">
      <alignment vertical="center" wrapText="1"/>
    </xf>
    <xf numFmtId="0" fontId="117" fillId="0" borderId="11" xfId="0" applyFont="1" applyBorder="1" applyAlignment="1">
      <alignment vertical="center" wrapText="1"/>
    </xf>
    <xf numFmtId="0" fontId="117" fillId="0" borderId="19" xfId="0" applyFont="1" applyBorder="1" applyAlignment="1">
      <alignment vertical="center" wrapText="1"/>
    </xf>
    <xf numFmtId="0" fontId="109" fillId="0" borderId="16" xfId="0" applyFont="1" applyBorder="1" applyAlignment="1">
      <alignment horizontal="left" vertical="center"/>
    </xf>
    <xf numFmtId="0" fontId="109" fillId="0" borderId="0" xfId="0" applyFont="1" applyAlignment="1">
      <alignment horizontal="left" vertical="center"/>
    </xf>
    <xf numFmtId="0" fontId="109" fillId="0" borderId="17" xfId="0" applyFont="1" applyBorder="1" applyAlignment="1">
      <alignment horizontal="left" vertical="center"/>
    </xf>
    <xf numFmtId="0" fontId="109" fillId="0" borderId="16" xfId="0" applyFont="1" applyBorder="1" applyAlignment="1">
      <alignment vertical="center" wrapText="1"/>
    </xf>
    <xf numFmtId="0" fontId="109" fillId="0" borderId="0" xfId="0" applyFont="1" applyAlignment="1">
      <alignment vertical="center" wrapText="1"/>
    </xf>
    <xf numFmtId="0" fontId="109" fillId="0" borderId="17" xfId="0" applyFont="1" applyBorder="1" applyAlignment="1">
      <alignment vertical="center" wrapText="1"/>
    </xf>
    <xf numFmtId="178" fontId="24" fillId="3" borderId="1" xfId="7" applyNumberFormat="1" applyFont="1" applyFill="1" applyBorder="1" applyAlignment="1">
      <alignment horizontal="center" vertical="center"/>
    </xf>
    <xf numFmtId="0" fontId="225" fillId="0" borderId="0" xfId="0" applyFont="1" applyAlignment="1">
      <alignment vertical="top" wrapText="1"/>
    </xf>
    <xf numFmtId="178" fontId="24" fillId="3" borderId="9" xfId="7" applyNumberFormat="1" applyFont="1" applyFill="1" applyBorder="1" applyAlignment="1">
      <alignment horizontal="center" vertical="center"/>
    </xf>
    <xf numFmtId="0" fontId="0" fillId="0" borderId="0" xfId="0" quotePrefix="1" applyAlignment="1">
      <alignment horizontal="left" vertical="center" wrapText="1"/>
    </xf>
    <xf numFmtId="168" fontId="109" fillId="0" borderId="2" xfId="1" applyNumberFormat="1" applyFont="1" applyBorder="1" applyAlignment="1">
      <alignment horizontal="center" vertical="center" wrapText="1"/>
    </xf>
    <xf numFmtId="168" fontId="109" fillId="0" borderId="3" xfId="1" applyNumberFormat="1" applyFont="1" applyBorder="1" applyAlignment="1">
      <alignment horizontal="center" vertical="center" wrapText="1"/>
    </xf>
    <xf numFmtId="168" fontId="109" fillId="0" borderId="4" xfId="1" applyNumberFormat="1" applyFont="1" applyBorder="1" applyAlignment="1">
      <alignment horizontal="center" vertical="center" wrapText="1"/>
    </xf>
    <xf numFmtId="9" fontId="109" fillId="0" borderId="2" xfId="2" applyNumberFormat="1" applyFont="1" applyBorder="1" applyAlignment="1">
      <alignment horizontal="center" vertical="center"/>
    </xf>
    <xf numFmtId="9" fontId="109" fillId="0" borderId="3" xfId="2" applyNumberFormat="1" applyFont="1" applyBorder="1" applyAlignment="1">
      <alignment horizontal="center" vertical="center"/>
    </xf>
    <xf numFmtId="9" fontId="109" fillId="0" borderId="4" xfId="2" applyNumberFormat="1" applyFont="1" applyBorder="1" applyAlignment="1">
      <alignment horizontal="center" vertical="center"/>
    </xf>
    <xf numFmtId="0" fontId="110" fillId="0" borderId="1" xfId="0" applyFont="1" applyBorder="1" applyAlignment="1">
      <alignment vertical="center" wrapText="1"/>
    </xf>
    <xf numFmtId="1" fontId="109" fillId="0" borderId="2" xfId="2" applyNumberFormat="1" applyFont="1" applyBorder="1" applyAlignment="1">
      <alignment horizontal="center" vertical="center"/>
    </xf>
    <xf numFmtId="1" fontId="109" fillId="0" borderId="3" xfId="2" applyNumberFormat="1" applyFont="1" applyBorder="1" applyAlignment="1">
      <alignment horizontal="center" vertical="center"/>
    </xf>
    <xf numFmtId="1" fontId="109" fillId="0" borderId="4" xfId="2" applyNumberFormat="1" applyFont="1" applyBorder="1" applyAlignment="1">
      <alignment horizontal="center" vertical="center"/>
    </xf>
    <xf numFmtId="178" fontId="0" fillId="3" borderId="9" xfId="0" applyNumberFormat="1" applyFill="1" applyBorder="1" applyAlignment="1">
      <alignment horizontal="center"/>
    </xf>
    <xf numFmtId="179" fontId="0" fillId="3" borderId="9" xfId="0" applyNumberFormat="1" applyFill="1" applyBorder="1" applyAlignment="1">
      <alignment horizontal="center"/>
    </xf>
    <xf numFmtId="179" fontId="0" fillId="3" borderId="43" xfId="0" applyNumberFormat="1" applyFill="1" applyBorder="1" applyAlignment="1">
      <alignment horizontal="center"/>
    </xf>
    <xf numFmtId="179" fontId="0" fillId="22" borderId="9" xfId="0" applyNumberFormat="1" applyFill="1" applyBorder="1" applyAlignment="1">
      <alignment horizontal="center"/>
    </xf>
    <xf numFmtId="179" fontId="0" fillId="22" borderId="10" xfId="0" applyNumberFormat="1" applyFill="1" applyBorder="1" applyAlignment="1">
      <alignment horizontal="center"/>
    </xf>
    <xf numFmtId="2" fontId="109" fillId="0" borderId="1" xfId="1" applyNumberFormat="1" applyFont="1" applyBorder="1" applyAlignment="1">
      <alignment horizontal="center" vertical="center" wrapText="1"/>
    </xf>
    <xf numFmtId="0" fontId="4" fillId="0" borderId="0" xfId="0" applyFont="1" applyAlignment="1">
      <alignment horizontal="right"/>
    </xf>
    <xf numFmtId="0" fontId="0" fillId="0" borderId="0" xfId="0" quotePrefix="1" applyAlignment="1">
      <alignment horizontal="left"/>
    </xf>
    <xf numFmtId="0" fontId="117" fillId="0" borderId="0" xfId="11" applyFont="1" applyAlignment="1">
      <alignment horizontal="right" vertical="center"/>
    </xf>
    <xf numFmtId="0" fontId="4" fillId="0" borderId="6" xfId="11" applyFont="1" applyBorder="1" applyAlignment="1">
      <alignment horizontal="center" vertical="center"/>
    </xf>
    <xf numFmtId="0" fontId="4" fillId="0" borderId="7" xfId="11" applyFont="1" applyBorder="1" applyAlignment="1">
      <alignment horizontal="center" vertical="center"/>
    </xf>
    <xf numFmtId="164" fontId="117" fillId="0" borderId="2" xfId="11" applyNumberFormat="1" applyFont="1" applyBorder="1" applyAlignment="1">
      <alignment horizontal="center" vertical="center"/>
    </xf>
    <xf numFmtId="164" fontId="117" fillId="0" borderId="3" xfId="11" applyNumberFormat="1" applyFont="1" applyBorder="1" applyAlignment="1">
      <alignment horizontal="center" vertical="center"/>
    </xf>
    <xf numFmtId="164" fontId="117" fillId="0" borderId="4" xfId="11" applyNumberFormat="1" applyFont="1" applyBorder="1" applyAlignment="1">
      <alignment horizontal="center" vertical="center"/>
    </xf>
    <xf numFmtId="0" fontId="117" fillId="0" borderId="2" xfId="11" applyFont="1" applyBorder="1" applyAlignment="1">
      <alignment horizontal="center" vertical="center"/>
    </xf>
    <xf numFmtId="0" fontId="117" fillId="0" borderId="3" xfId="11" applyFont="1" applyBorder="1" applyAlignment="1">
      <alignment horizontal="center" vertical="center"/>
    </xf>
    <xf numFmtId="0" fontId="117" fillId="0" borderId="4" xfId="11" applyFont="1" applyBorder="1" applyAlignment="1">
      <alignment horizontal="center" vertical="center"/>
    </xf>
    <xf numFmtId="0" fontId="109" fillId="0" borderId="2" xfId="11" applyFont="1" applyBorder="1" applyAlignment="1">
      <alignment horizontal="left" vertical="center" wrapText="1"/>
    </xf>
    <xf numFmtId="0" fontId="109" fillId="0" borderId="3" xfId="11" applyFont="1" applyBorder="1" applyAlignment="1">
      <alignment horizontal="left" vertical="center" wrapText="1"/>
    </xf>
    <xf numFmtId="0" fontId="109" fillId="0" borderId="4" xfId="11" applyFont="1" applyBorder="1" applyAlignment="1">
      <alignment horizontal="left" vertical="center" wrapText="1"/>
    </xf>
    <xf numFmtId="0" fontId="4" fillId="5" borderId="2" xfId="11" applyFont="1" applyFill="1" applyBorder="1" applyAlignment="1">
      <alignment horizontal="left" vertical="center"/>
    </xf>
    <xf numFmtId="0" fontId="4" fillId="5" borderId="3" xfId="11" applyFont="1" applyFill="1" applyBorder="1" applyAlignment="1">
      <alignment horizontal="left" vertical="center"/>
    </xf>
    <xf numFmtId="0" fontId="4" fillId="5" borderId="4" xfId="11" applyFont="1" applyFill="1" applyBorder="1" applyAlignment="1">
      <alignment horizontal="left" vertical="center"/>
    </xf>
    <xf numFmtId="0" fontId="79" fillId="25" borderId="1" xfId="11" applyFont="1" applyFill="1" applyBorder="1" applyAlignment="1">
      <alignment horizontal="left" vertical="center"/>
    </xf>
    <xf numFmtId="0" fontId="24" fillId="0" borderId="0" xfId="11" applyFont="1" applyAlignment="1">
      <alignment vertical="center" wrapText="1"/>
    </xf>
    <xf numFmtId="0" fontId="4" fillId="5" borderId="1" xfId="11" applyFont="1" applyFill="1" applyBorder="1" applyAlignment="1">
      <alignment horizontal="left" vertical="center"/>
    </xf>
    <xf numFmtId="0" fontId="4" fillId="0" borderId="1" xfId="11" applyFont="1" applyBorder="1" applyAlignment="1">
      <alignment horizontal="center" vertical="center"/>
    </xf>
    <xf numFmtId="0" fontId="4" fillId="0" borderId="2" xfId="11" applyFont="1" applyBorder="1" applyAlignment="1">
      <alignment horizontal="center" vertical="center"/>
    </xf>
    <xf numFmtId="0" fontId="4" fillId="0" borderId="3" xfId="11" applyFont="1" applyBorder="1" applyAlignment="1">
      <alignment horizontal="center" vertical="center"/>
    </xf>
    <xf numFmtId="0" fontId="4" fillId="0" borderId="4" xfId="11" applyFont="1" applyBorder="1" applyAlignment="1">
      <alignment horizontal="center" vertical="center"/>
    </xf>
    <xf numFmtId="4" fontId="117" fillId="0" borderId="2" xfId="8" applyNumberFormat="1" applyFont="1" applyBorder="1" applyAlignment="1">
      <alignment horizontal="center" vertical="center"/>
    </xf>
    <xf numFmtId="4" fontId="117" fillId="0" borderId="3" xfId="8" applyNumberFormat="1" applyFont="1" applyBorder="1" applyAlignment="1">
      <alignment horizontal="center" vertical="center"/>
    </xf>
    <xf numFmtId="4" fontId="117" fillId="0" borderId="4" xfId="8" applyNumberFormat="1" applyFont="1" applyBorder="1" applyAlignment="1">
      <alignment horizontal="center" vertical="center"/>
    </xf>
    <xf numFmtId="0" fontId="109" fillId="0" borderId="2" xfId="11" applyFont="1" applyBorder="1" applyAlignment="1">
      <alignment vertical="center"/>
    </xf>
    <xf numFmtId="0" fontId="108" fillId="0" borderId="3" xfId="11" applyFont="1" applyBorder="1" applyAlignment="1">
      <alignment vertical="center"/>
    </xf>
    <xf numFmtId="0" fontId="108" fillId="0" borderId="4" xfId="11" applyFont="1" applyBorder="1" applyAlignment="1">
      <alignment vertical="center"/>
    </xf>
    <xf numFmtId="0" fontId="108" fillId="0" borderId="3" xfId="11" applyFont="1" applyBorder="1" applyAlignment="1">
      <alignment horizontal="left" vertical="center" wrapText="1"/>
    </xf>
    <xf numFmtId="0" fontId="108" fillId="0" borderId="4" xfId="11" applyFont="1" applyBorder="1" applyAlignment="1">
      <alignment horizontal="left" vertical="center" wrapText="1"/>
    </xf>
    <xf numFmtId="3" fontId="117" fillId="0" borderId="2" xfId="11" applyNumberFormat="1" applyFont="1" applyBorder="1" applyAlignment="1">
      <alignment horizontal="center" vertical="center"/>
    </xf>
    <xf numFmtId="3" fontId="117" fillId="0" borderId="3" xfId="11" applyNumberFormat="1" applyFont="1" applyBorder="1" applyAlignment="1">
      <alignment horizontal="center" vertical="center"/>
    </xf>
    <xf numFmtId="3" fontId="117" fillId="0" borderId="4" xfId="11" applyNumberFormat="1" applyFont="1" applyBorder="1" applyAlignment="1">
      <alignment horizontal="center" vertical="center"/>
    </xf>
    <xf numFmtId="0" fontId="117" fillId="0" borderId="2" xfId="11" applyFont="1" applyBorder="1" applyAlignment="1">
      <alignment vertical="center" wrapText="1"/>
    </xf>
    <xf numFmtId="0" fontId="117" fillId="0" borderId="3" xfId="11" applyFont="1" applyBorder="1" applyAlignment="1">
      <alignment vertical="center" wrapText="1"/>
    </xf>
    <xf numFmtId="0" fontId="117" fillId="0" borderId="4" xfId="11" applyFont="1" applyBorder="1" applyAlignment="1">
      <alignment vertical="center" wrapText="1"/>
    </xf>
    <xf numFmtId="0" fontId="117" fillId="0" borderId="2" xfId="11" applyFont="1" applyBorder="1" applyAlignment="1">
      <alignment vertical="center"/>
    </xf>
    <xf numFmtId="0" fontId="117" fillId="0" borderId="3" xfId="11" applyFont="1" applyBorder="1" applyAlignment="1">
      <alignment vertical="center"/>
    </xf>
    <xf numFmtId="0" fontId="117" fillId="0" borderId="4" xfId="11" applyFont="1" applyBorder="1" applyAlignment="1">
      <alignment vertical="center"/>
    </xf>
    <xf numFmtId="3" fontId="117" fillId="0" borderId="4" xfId="11" applyNumberFormat="1" applyFont="1" applyBorder="1" applyAlignment="1">
      <alignment horizontal="left" vertical="center"/>
    </xf>
    <xf numFmtId="3" fontId="117" fillId="0" borderId="1" xfId="11" applyNumberFormat="1" applyFont="1" applyBorder="1" applyAlignment="1">
      <alignment horizontal="left" vertical="center"/>
    </xf>
    <xf numFmtId="0" fontId="64" fillId="0" borderId="1" xfId="11" applyFont="1" applyBorder="1" applyAlignment="1">
      <alignment horizontal="center" vertical="center"/>
    </xf>
    <xf numFmtId="0" fontId="119" fillId="0" borderId="1" xfId="11" applyFont="1" applyBorder="1" applyAlignment="1">
      <alignment horizontal="center"/>
    </xf>
    <xf numFmtId="0" fontId="119" fillId="0" borderId="2" xfId="11" applyFont="1" applyBorder="1" applyAlignment="1">
      <alignment horizontal="center"/>
    </xf>
    <xf numFmtId="188" fontId="117" fillId="0" borderId="1" xfId="11" applyNumberFormat="1" applyFont="1" applyBorder="1" applyAlignment="1">
      <alignment horizontal="center" vertical="center"/>
    </xf>
    <xf numFmtId="4" fontId="117" fillId="0" borderId="1" xfId="11" applyNumberFormat="1" applyFont="1" applyBorder="1" applyAlignment="1">
      <alignment horizontal="center" vertical="center"/>
    </xf>
    <xf numFmtId="0" fontId="4" fillId="0" borderId="53" xfId="11" applyFont="1" applyBorder="1" applyAlignment="1">
      <alignment horizontal="center" vertical="center"/>
    </xf>
    <xf numFmtId="0" fontId="24" fillId="0" borderId="8" xfId="11" applyFont="1" applyBorder="1" applyAlignment="1">
      <alignment horizontal="center" vertical="center"/>
    </xf>
    <xf numFmtId="0" fontId="24" fillId="0" borderId="9" xfId="11" applyFont="1" applyBorder="1" applyAlignment="1">
      <alignment horizontal="center" vertical="center"/>
    </xf>
    <xf numFmtId="178" fontId="24" fillId="3" borderId="9" xfId="11" applyNumberFormat="1" applyFont="1" applyFill="1" applyBorder="1" applyAlignment="1">
      <alignment horizontal="center" vertical="center"/>
    </xf>
    <xf numFmtId="179" fontId="24" fillId="3" borderId="9" xfId="11" applyNumberFormat="1" applyFont="1" applyFill="1" applyBorder="1" applyAlignment="1">
      <alignment horizontal="center" vertical="center"/>
    </xf>
    <xf numFmtId="179" fontId="24" fillId="3" borderId="43" xfId="11" applyNumberFormat="1" applyFont="1" applyFill="1" applyBorder="1" applyAlignment="1">
      <alignment horizontal="center" vertical="center"/>
    </xf>
    <xf numFmtId="0" fontId="4" fillId="0" borderId="5" xfId="11" applyFont="1" applyBorder="1" applyAlignment="1">
      <alignment horizontal="center" vertical="center"/>
    </xf>
    <xf numFmtId="0" fontId="0" fillId="0" borderId="0" xfId="0" quotePrefix="1" applyAlignment="1">
      <alignment vertical="center"/>
    </xf>
    <xf numFmtId="178" fontId="24" fillId="3" borderId="74" xfId="7" applyNumberFormat="1" applyFont="1" applyFill="1" applyBorder="1" applyAlignment="1">
      <alignment horizontal="center" vertical="center"/>
    </xf>
    <xf numFmtId="0" fontId="109" fillId="0" borderId="16" xfId="0" applyFont="1" applyBorder="1" applyAlignment="1">
      <alignment horizontal="left" vertical="center" wrapText="1"/>
    </xf>
    <xf numFmtId="0" fontId="109" fillId="0" borderId="0" xfId="0" applyFont="1" applyAlignment="1">
      <alignment horizontal="left" vertical="center" wrapText="1"/>
    </xf>
    <xf numFmtId="0" fontId="109" fillId="0" borderId="17" xfId="0" applyFont="1" applyBorder="1" applyAlignment="1">
      <alignment horizontal="left" vertical="center" wrapText="1"/>
    </xf>
    <xf numFmtId="0" fontId="108" fillId="0" borderId="2" xfId="1" applyNumberFormat="1" applyFont="1" applyBorder="1" applyAlignment="1">
      <alignment horizontal="center" vertical="center"/>
    </xf>
    <xf numFmtId="0" fontId="108" fillId="0" borderId="3" xfId="1" applyNumberFormat="1" applyFont="1" applyBorder="1" applyAlignment="1">
      <alignment horizontal="center" vertical="center"/>
    </xf>
    <xf numFmtId="0" fontId="108" fillId="0" borderId="4" xfId="1" applyNumberFormat="1" applyFont="1" applyBorder="1" applyAlignment="1">
      <alignment horizontal="center" vertical="center"/>
    </xf>
    <xf numFmtId="4" fontId="109" fillId="0" borderId="1" xfId="0" applyNumberFormat="1" applyFont="1" applyBorder="1" applyAlignment="1">
      <alignment horizontal="center" vertical="center"/>
    </xf>
    <xf numFmtId="0" fontId="109" fillId="0" borderId="13" xfId="0" quotePrefix="1" applyFont="1" applyBorder="1" applyAlignment="1">
      <alignment horizontal="center" vertical="center"/>
    </xf>
    <xf numFmtId="0" fontId="109" fillId="0" borderId="14" xfId="0" quotePrefix="1" applyFont="1" applyBorder="1" applyAlignment="1">
      <alignment horizontal="center" vertical="center"/>
    </xf>
    <xf numFmtId="0" fontId="109" fillId="0" borderId="15" xfId="0" quotePrefix="1" applyFont="1" applyBorder="1" applyAlignment="1">
      <alignment horizontal="center" vertical="center"/>
    </xf>
    <xf numFmtId="0" fontId="109" fillId="0" borderId="18" xfId="0" quotePrefix="1" applyFont="1" applyBorder="1" applyAlignment="1">
      <alignment horizontal="center" vertical="center"/>
    </xf>
    <xf numFmtId="0" fontId="109" fillId="0" borderId="11" xfId="0" quotePrefix="1" applyFont="1" applyBorder="1" applyAlignment="1">
      <alignment horizontal="center" vertical="center"/>
    </xf>
    <xf numFmtId="0" fontId="109" fillId="0" borderId="19" xfId="0" quotePrefix="1" applyFont="1" applyBorder="1" applyAlignment="1">
      <alignment horizontal="center" vertical="center"/>
    </xf>
    <xf numFmtId="0" fontId="111" fillId="0" borderId="1" xfId="0" applyFont="1" applyBorder="1" applyAlignment="1">
      <alignment horizontal="center" vertical="center"/>
    </xf>
    <xf numFmtId="0" fontId="108" fillId="0" borderId="2" xfId="0" applyFont="1" applyBorder="1" applyAlignment="1">
      <alignment horizontal="center" vertical="top" wrapText="1"/>
    </xf>
    <xf numFmtId="0" fontId="108" fillId="0" borderId="3" xfId="0" applyFont="1" applyBorder="1" applyAlignment="1">
      <alignment horizontal="center" vertical="top" wrapText="1"/>
    </xf>
    <xf numFmtId="0" fontId="108" fillId="0" borderId="4" xfId="0" applyFont="1" applyBorder="1" applyAlignment="1">
      <alignment horizontal="center" vertical="top" wrapText="1"/>
    </xf>
    <xf numFmtId="0" fontId="108" fillId="0" borderId="1" xfId="0" applyFont="1" applyBorder="1" applyAlignment="1">
      <alignment horizontal="center" vertical="top" wrapText="1"/>
    </xf>
    <xf numFmtId="0" fontId="109" fillId="0" borderId="2" xfId="0" applyFont="1" applyBorder="1" applyAlignment="1">
      <alignment horizontal="center" vertical="top"/>
    </xf>
    <xf numFmtId="0" fontId="109" fillId="0" borderId="3" xfId="0" applyFont="1" applyBorder="1" applyAlignment="1">
      <alignment horizontal="center" vertical="top"/>
    </xf>
    <xf numFmtId="0" fontId="109" fillId="0" borderId="4" xfId="0" applyFont="1" applyBorder="1" applyAlignment="1">
      <alignment horizontal="center" vertical="top"/>
    </xf>
    <xf numFmtId="167" fontId="109" fillId="0" borderId="1" xfId="0" applyNumberFormat="1" applyFont="1" applyBorder="1" applyAlignment="1">
      <alignment horizontal="center" vertical="top"/>
    </xf>
    <xf numFmtId="0" fontId="108" fillId="0" borderId="1" xfId="0" applyFont="1" applyBorder="1" applyAlignment="1">
      <alignment horizontal="center" vertical="top"/>
    </xf>
    <xf numFmtId="0" fontId="109" fillId="0" borderId="1" xfId="0" applyFont="1" applyBorder="1" applyAlignment="1">
      <alignment horizontal="center" vertical="top"/>
    </xf>
    <xf numFmtId="0" fontId="10" fillId="0" borderId="0" xfId="0" applyFont="1" applyAlignment="1">
      <alignment vertical="top" wrapText="1"/>
    </xf>
    <xf numFmtId="2" fontId="109" fillId="0" borderId="1" xfId="0" applyNumberFormat="1" applyFont="1" applyBorder="1" applyAlignment="1">
      <alignment horizontal="center" vertical="top"/>
    </xf>
    <xf numFmtId="0" fontId="109" fillId="0" borderId="1" xfId="0" applyFont="1" applyBorder="1" applyAlignment="1">
      <alignment horizontal="center" vertical="top" wrapText="1"/>
    </xf>
    <xf numFmtId="209" fontId="164" fillId="3" borderId="9" xfId="7" applyNumberFormat="1" applyFont="1" applyFill="1" applyBorder="1" applyAlignment="1">
      <alignment horizontal="center" vertical="center"/>
    </xf>
    <xf numFmtId="167" fontId="0" fillId="0" borderId="2" xfId="0" applyNumberFormat="1" applyBorder="1" applyAlignment="1">
      <alignment horizontal="center"/>
    </xf>
    <xf numFmtId="167" fontId="0" fillId="0" borderId="3" xfId="0" applyNumberFormat="1" applyBorder="1" applyAlignment="1">
      <alignment horizontal="center"/>
    </xf>
    <xf numFmtId="167" fontId="0" fillId="0" borderId="4" xfId="0" applyNumberFormat="1" applyBorder="1" applyAlignment="1">
      <alignment horizontal="center"/>
    </xf>
    <xf numFmtId="9" fontId="0" fillId="0" borderId="2" xfId="1" applyFont="1" applyBorder="1" applyAlignment="1">
      <alignment horizontal="center"/>
    </xf>
    <xf numFmtId="9" fontId="0" fillId="0" borderId="3" xfId="1" applyFont="1" applyBorder="1" applyAlignment="1">
      <alignment horizontal="center"/>
    </xf>
    <xf numFmtId="9" fontId="0" fillId="0" borderId="4" xfId="1" applyFont="1" applyBorder="1" applyAlignment="1">
      <alignment horizontal="center"/>
    </xf>
    <xf numFmtId="0" fontId="40" fillId="0" borderId="51" xfId="0" applyFont="1" applyBorder="1" applyAlignment="1">
      <alignment horizontal="center" vertical="center"/>
    </xf>
    <xf numFmtId="178" fontId="0" fillId="3" borderId="1" xfId="0" applyNumberFormat="1" applyFill="1" applyBorder="1" applyAlignment="1">
      <alignment horizontal="center"/>
    </xf>
    <xf numFmtId="179" fontId="0" fillId="3" borderId="1" xfId="0" applyNumberFormat="1" applyFill="1" applyBorder="1" applyAlignment="1">
      <alignment horizontal="center"/>
    </xf>
    <xf numFmtId="179" fontId="24" fillId="22" borderId="2" xfId="0" applyNumberFormat="1" applyFont="1" applyFill="1" applyBorder="1" applyAlignment="1">
      <alignment horizontal="center"/>
    </xf>
    <xf numFmtId="179" fontId="24" fillId="22" borderId="3" xfId="0" applyNumberFormat="1" applyFont="1" applyFill="1" applyBorder="1" applyAlignment="1">
      <alignment horizontal="center"/>
    </xf>
    <xf numFmtId="179" fontId="24" fillId="22" borderId="39" xfId="0" applyNumberFormat="1" applyFont="1" applyFill="1" applyBorder="1" applyAlignment="1">
      <alignment horizontal="center"/>
    </xf>
    <xf numFmtId="0" fontId="0" fillId="0" borderId="91" xfId="0" applyBorder="1" applyAlignment="1">
      <alignment horizontal="center" vertical="center"/>
    </xf>
    <xf numFmtId="0" fontId="0" fillId="0" borderId="74" xfId="0" applyBorder="1" applyAlignment="1">
      <alignment horizontal="center" vertical="center"/>
    </xf>
    <xf numFmtId="178" fontId="0" fillId="3" borderId="74" xfId="0" applyNumberFormat="1" applyFill="1" applyBorder="1" applyAlignment="1">
      <alignment horizontal="center"/>
    </xf>
    <xf numFmtId="179" fontId="0" fillId="3" borderId="74" xfId="0" applyNumberFormat="1" applyFill="1" applyBorder="1" applyAlignment="1">
      <alignment horizontal="center"/>
    </xf>
    <xf numFmtId="179" fontId="0" fillId="3" borderId="66" xfId="0" applyNumberFormat="1" applyFill="1" applyBorder="1" applyAlignment="1">
      <alignment horizontal="center"/>
    </xf>
    <xf numFmtId="179" fontId="24" fillId="22" borderId="43" xfId="0" applyNumberFormat="1" applyFont="1" applyFill="1" applyBorder="1" applyAlignment="1">
      <alignment horizontal="center"/>
    </xf>
    <xf numFmtId="179" fontId="24" fillId="22" borderId="44" xfId="0" applyNumberFormat="1" applyFont="1" applyFill="1" applyBorder="1" applyAlignment="1">
      <alignment horizontal="center"/>
    </xf>
    <xf numFmtId="179" fontId="24" fillId="22" borderId="54" xfId="0" applyNumberFormat="1" applyFont="1" applyFill="1" applyBorder="1" applyAlignment="1">
      <alignment horizontal="center"/>
    </xf>
    <xf numFmtId="0" fontId="164" fillId="0" borderId="8" xfId="0" applyFont="1" applyBorder="1" applyAlignment="1">
      <alignment horizontal="left" vertical="center" wrapText="1"/>
    </xf>
    <xf numFmtId="0" fontId="164" fillId="0" borderId="9" xfId="0" applyFont="1" applyBorder="1" applyAlignment="1">
      <alignment horizontal="left" vertical="center" wrapText="1"/>
    </xf>
    <xf numFmtId="209" fontId="164" fillId="22" borderId="43" xfId="0" applyNumberFormat="1" applyFont="1" applyFill="1" applyBorder="1" applyAlignment="1">
      <alignment horizontal="center" vertical="center"/>
    </xf>
    <xf numFmtId="209" fontId="164" fillId="22" borderId="44" xfId="0" applyNumberFormat="1" applyFont="1" applyFill="1" applyBorder="1" applyAlignment="1">
      <alignment horizontal="center" vertical="center"/>
    </xf>
    <xf numFmtId="209" fontId="164" fillId="22" borderId="54" xfId="0" applyNumberFormat="1" applyFont="1" applyFill="1" applyBorder="1" applyAlignment="1">
      <alignment horizontal="center" vertical="center"/>
    </xf>
    <xf numFmtId="0" fontId="24" fillId="0" borderId="0" xfId="0" applyFont="1"/>
    <xf numFmtId="179" fontId="0" fillId="3" borderId="10" xfId="0" applyNumberFormat="1" applyFill="1" applyBorder="1" applyAlignment="1">
      <alignment horizontal="center"/>
    </xf>
    <xf numFmtId="0" fontId="108" fillId="0" borderId="0" xfId="0" applyFont="1" applyAlignment="1">
      <alignment horizontal="right"/>
    </xf>
    <xf numFmtId="0" fontId="108" fillId="0" borderId="0" xfId="0" applyFont="1" applyAlignment="1">
      <alignment horizontal="right" vertical="top"/>
    </xf>
    <xf numFmtId="0" fontId="109" fillId="0" borderId="0" xfId="0" quotePrefix="1" applyFont="1" applyAlignment="1">
      <alignment horizontal="left" vertical="center" wrapText="1"/>
    </xf>
    <xf numFmtId="0" fontId="109" fillId="0" borderId="0" xfId="0" quotePrefix="1" applyFont="1" applyAlignment="1">
      <alignment horizontal="left" vertical="top" wrapText="1"/>
    </xf>
    <xf numFmtId="0" fontId="109" fillId="0" borderId="2" xfId="0" applyFont="1" applyBorder="1" applyAlignment="1">
      <alignment horizontal="left" vertical="top"/>
    </xf>
    <xf numFmtId="0" fontId="109" fillId="0" borderId="3" xfId="0" applyFont="1" applyBorder="1" applyAlignment="1">
      <alignment horizontal="left" vertical="top"/>
    </xf>
    <xf numFmtId="0" fontId="109" fillId="0" borderId="4" xfId="0" applyFont="1" applyBorder="1" applyAlignment="1">
      <alignment horizontal="left" vertical="top"/>
    </xf>
    <xf numFmtId="0" fontId="109" fillId="0" borderId="1" xfId="0" applyFont="1" applyBorder="1" applyAlignment="1">
      <alignment horizontal="left" vertical="top" wrapText="1"/>
    </xf>
    <xf numFmtId="1" fontId="109" fillId="0" borderId="1" xfId="0" applyNumberFormat="1" applyFont="1" applyBorder="1" applyAlignment="1">
      <alignment horizontal="center" vertical="top" wrapText="1"/>
    </xf>
    <xf numFmtId="164" fontId="109" fillId="0" borderId="1" xfId="0" applyNumberFormat="1" applyFont="1" applyBorder="1" applyAlignment="1">
      <alignment horizontal="center" vertical="top" wrapText="1"/>
    </xf>
    <xf numFmtId="3" fontId="109" fillId="0" borderId="1" xfId="0" applyNumberFormat="1" applyFont="1" applyBorder="1" applyAlignment="1">
      <alignment horizontal="center" vertical="top" wrapText="1"/>
    </xf>
    <xf numFmtId="165" fontId="109" fillId="0" borderId="1" xfId="0" applyNumberFormat="1" applyFont="1" applyBorder="1" applyAlignment="1">
      <alignment horizontal="center" vertical="top" wrapText="1"/>
    </xf>
    <xf numFmtId="0" fontId="34" fillId="0" borderId="14" xfId="0" applyFont="1" applyBorder="1" applyAlignment="1">
      <alignment horizontal="left" vertical="top" wrapText="1"/>
    </xf>
    <xf numFmtId="9" fontId="109" fillId="0" borderId="1" xfId="0" applyNumberFormat="1" applyFont="1" applyBorder="1" applyAlignment="1">
      <alignment horizontal="center" vertical="top" wrapText="1"/>
    </xf>
    <xf numFmtId="164" fontId="109" fillId="0" borderId="1" xfId="20" applyNumberFormat="1" applyFont="1" applyBorder="1" applyAlignment="1">
      <alignment horizontal="center" vertical="center" wrapText="1"/>
    </xf>
    <xf numFmtId="0" fontId="16" fillId="0" borderId="0" xfId="4" applyAlignment="1">
      <alignment horizontal="center"/>
    </xf>
    <xf numFmtId="164" fontId="24" fillId="0" borderId="2" xfId="0" applyNumberFormat="1" applyFont="1" applyBorder="1" applyAlignment="1">
      <alignment vertical="center" wrapText="1"/>
    </xf>
    <xf numFmtId="164" fontId="24" fillId="0" borderId="3" xfId="0" applyNumberFormat="1" applyFont="1" applyBorder="1" applyAlignment="1">
      <alignment vertical="center" wrapText="1"/>
    </xf>
    <xf numFmtId="164" fontId="24" fillId="0" borderId="4" xfId="0" applyNumberFormat="1" applyFont="1" applyBorder="1" applyAlignment="1">
      <alignment vertical="center" wrapText="1"/>
    </xf>
    <xf numFmtId="0" fontId="63" fillId="0" borderId="0" xfId="0" applyFont="1" applyAlignment="1">
      <alignment vertical="top" wrapText="1"/>
    </xf>
    <xf numFmtId="0" fontId="16" fillId="0" borderId="0" xfId="4" applyFill="1"/>
    <xf numFmtId="164" fontId="117" fillId="0" borderId="2" xfId="0" applyNumberFormat="1" applyFont="1" applyBorder="1" applyAlignment="1">
      <alignment horizontal="center" vertical="center" wrapText="1"/>
    </xf>
    <xf numFmtId="164" fontId="117" fillId="0" borderId="3" xfId="0" applyNumberFormat="1" applyFont="1" applyBorder="1" applyAlignment="1">
      <alignment horizontal="center" vertical="center" wrapText="1"/>
    </xf>
    <xf numFmtId="164" fontId="117" fillId="0" borderId="4" xfId="0" applyNumberFormat="1" applyFont="1" applyBorder="1" applyAlignment="1">
      <alignment horizontal="center" vertical="center" wrapText="1"/>
    </xf>
    <xf numFmtId="164" fontId="24" fillId="0" borderId="2" xfId="0" applyNumberFormat="1" applyFont="1" applyBorder="1" applyAlignment="1">
      <alignment horizontal="right" vertical="center" wrapText="1"/>
    </xf>
    <xf numFmtId="164" fontId="24" fillId="0" borderId="3" xfId="0" applyNumberFormat="1" applyFont="1" applyBorder="1" applyAlignment="1">
      <alignment horizontal="right" vertical="center" wrapText="1"/>
    </xf>
    <xf numFmtId="0" fontId="208" fillId="0" borderId="0" xfId="0" applyFont="1" applyAlignment="1">
      <alignment vertical="center"/>
    </xf>
    <xf numFmtId="165" fontId="24" fillId="0" borderId="1" xfId="0" applyNumberFormat="1" applyFont="1" applyBorder="1" applyAlignment="1">
      <alignment horizontal="center" vertical="center" wrapText="1"/>
    </xf>
    <xf numFmtId="0" fontId="117" fillId="0" borderId="1" xfId="20" applyFont="1" applyBorder="1" applyAlignment="1">
      <alignment horizontal="center" vertical="center" wrapText="1"/>
    </xf>
    <xf numFmtId="3" fontId="117" fillId="0" borderId="2" xfId="1" applyNumberFormat="1" applyFont="1" applyBorder="1" applyAlignment="1">
      <alignment horizontal="center" vertical="center" wrapText="1"/>
    </xf>
    <xf numFmtId="3" fontId="117" fillId="0" borderId="3" xfId="1" applyNumberFormat="1" applyFont="1" applyBorder="1" applyAlignment="1">
      <alignment horizontal="center" vertical="center" wrapText="1"/>
    </xf>
    <xf numFmtId="3" fontId="117" fillId="0" borderId="4" xfId="1" applyNumberFormat="1" applyFont="1" applyBorder="1" applyAlignment="1">
      <alignment horizontal="center" vertical="center" wrapText="1"/>
    </xf>
    <xf numFmtId="0" fontId="117" fillId="0" borderId="2" xfId="20" applyFont="1" applyBorder="1" applyAlignment="1">
      <alignment horizontal="left" vertical="center"/>
    </xf>
    <xf numFmtId="0" fontId="117" fillId="0" borderId="3" xfId="20" applyFont="1" applyBorder="1" applyAlignment="1">
      <alignment horizontal="left" vertical="center"/>
    </xf>
    <xf numFmtId="0" fontId="117" fillId="0" borderId="4" xfId="20" applyFont="1" applyBorder="1" applyAlignment="1">
      <alignment horizontal="left" vertical="center"/>
    </xf>
    <xf numFmtId="0" fontId="117" fillId="0" borderId="1" xfId="20" applyFont="1" applyBorder="1" applyAlignment="1">
      <alignment horizontal="left" vertical="center" wrapText="1"/>
    </xf>
    <xf numFmtId="0" fontId="117" fillId="0" borderId="13" xfId="20" applyFont="1" applyBorder="1" applyAlignment="1">
      <alignment horizontal="left" vertical="center"/>
    </xf>
    <xf numFmtId="0" fontId="117" fillId="0" borderId="14" xfId="20" applyFont="1" applyBorder="1" applyAlignment="1">
      <alignment horizontal="left" vertical="center"/>
    </xf>
    <xf numFmtId="0" fontId="117" fillId="0" borderId="15" xfId="20" applyFont="1" applyBorder="1" applyAlignment="1">
      <alignment horizontal="left" vertical="center"/>
    </xf>
    <xf numFmtId="0" fontId="117" fillId="0" borderId="18" xfId="20" applyFont="1" applyBorder="1" applyAlignment="1">
      <alignment horizontal="left" vertical="center"/>
    </xf>
    <xf numFmtId="0" fontId="117" fillId="0" borderId="11" xfId="20" applyFont="1" applyBorder="1" applyAlignment="1">
      <alignment horizontal="left" vertical="center"/>
    </xf>
    <xf numFmtId="0" fontId="117" fillId="0" borderId="19" xfId="20" applyFont="1" applyBorder="1" applyAlignment="1">
      <alignment horizontal="left" vertical="center"/>
    </xf>
    <xf numFmtId="164" fontId="24" fillId="0" borderId="1" xfId="0" applyNumberFormat="1" applyFont="1" applyBorder="1" applyAlignment="1">
      <alignment horizontal="center" vertical="center" wrapText="1"/>
    </xf>
    <xf numFmtId="0" fontId="29" fillId="0" borderId="0" xfId="20" applyFont="1" applyAlignment="1">
      <alignment vertical="top" wrapText="1"/>
    </xf>
    <xf numFmtId="0" fontId="40" fillId="0" borderId="16" xfId="0" applyFont="1" applyBorder="1" applyAlignment="1">
      <alignment horizontal="center" vertical="center" wrapText="1"/>
    </xf>
    <xf numFmtId="0" fontId="40" fillId="0" borderId="0" xfId="0" applyFont="1" applyAlignment="1">
      <alignment horizontal="center" vertical="center" wrapText="1"/>
    </xf>
    <xf numFmtId="0" fontId="40" fillId="0" borderId="17" xfId="0" applyFont="1" applyBorder="1" applyAlignment="1">
      <alignment horizontal="center" vertical="center" wrapText="1"/>
    </xf>
    <xf numFmtId="0" fontId="109" fillId="0" borderId="2" xfId="1" applyNumberFormat="1" applyFont="1" applyBorder="1" applyAlignment="1">
      <alignment horizontal="center" vertical="center" wrapText="1"/>
    </xf>
    <xf numFmtId="0" fontId="109" fillId="0" borderId="3" xfId="1" applyNumberFormat="1" applyFont="1" applyBorder="1" applyAlignment="1">
      <alignment horizontal="center" vertical="center" wrapText="1"/>
    </xf>
    <xf numFmtId="0" fontId="109" fillId="0" borderId="4" xfId="1" applyNumberFormat="1" applyFont="1" applyBorder="1" applyAlignment="1">
      <alignment horizontal="center" vertical="center" wrapText="1"/>
    </xf>
    <xf numFmtId="9" fontId="109" fillId="0" borderId="2" xfId="1" applyFont="1" applyBorder="1" applyAlignment="1">
      <alignment horizontal="center" vertical="center" wrapText="1"/>
    </xf>
    <xf numFmtId="9" fontId="109" fillId="0" borderId="3" xfId="1" applyFont="1" applyBorder="1" applyAlignment="1">
      <alignment horizontal="center" vertical="center" wrapText="1"/>
    </xf>
    <xf numFmtId="9" fontId="109" fillId="0" borderId="4" xfId="1" applyFont="1" applyBorder="1" applyAlignment="1">
      <alignment horizontal="center" vertical="center" wrapText="1"/>
    </xf>
    <xf numFmtId="0" fontId="0" fillId="0" borderId="8" xfId="0" applyBorder="1" applyAlignment="1">
      <alignment horizontal="left" vertical="center"/>
    </xf>
    <xf numFmtId="0" fontId="0" fillId="0" borderId="9" xfId="0" applyBorder="1" applyAlignment="1">
      <alignment horizontal="left" vertical="center"/>
    </xf>
    <xf numFmtId="179" fontId="0" fillId="3" borderId="43" xfId="0" applyNumberFormat="1" applyFill="1" applyBorder="1" applyAlignment="1">
      <alignment horizontal="center" vertical="center"/>
    </xf>
    <xf numFmtId="179" fontId="0" fillId="3" borderId="44" xfId="0" applyNumberFormat="1" applyFill="1" applyBorder="1" applyAlignment="1">
      <alignment horizontal="center" vertical="center"/>
    </xf>
    <xf numFmtId="179" fontId="0" fillId="3" borderId="54" xfId="0" applyNumberFormat="1" applyFill="1" applyBorder="1" applyAlignment="1">
      <alignment horizontal="center" vertical="center"/>
    </xf>
    <xf numFmtId="3" fontId="109" fillId="0" borderId="2" xfId="1" applyNumberFormat="1" applyFont="1" applyBorder="1" applyAlignment="1">
      <alignment horizontal="center" vertical="center" wrapText="1"/>
    </xf>
    <xf numFmtId="3" fontId="109" fillId="0" borderId="3" xfId="1" applyNumberFormat="1" applyFont="1" applyBorder="1" applyAlignment="1">
      <alignment horizontal="center" vertical="center" wrapText="1"/>
    </xf>
    <xf numFmtId="3" fontId="109" fillId="0" borderId="4" xfId="1" applyNumberFormat="1" applyFont="1" applyBorder="1" applyAlignment="1">
      <alignment horizontal="center" vertical="center" wrapText="1"/>
    </xf>
    <xf numFmtId="3" fontId="109" fillId="0" borderId="3" xfId="0" applyNumberFormat="1" applyFont="1" applyBorder="1" applyAlignment="1">
      <alignment horizontal="center" vertical="center" wrapText="1"/>
    </xf>
    <xf numFmtId="3" fontId="109" fillId="0" borderId="4" xfId="0" applyNumberFormat="1" applyFont="1" applyBorder="1" applyAlignment="1">
      <alignment horizontal="center" vertical="center" wrapText="1"/>
    </xf>
    <xf numFmtId="178" fontId="0" fillId="3" borderId="66" xfId="0" applyNumberFormat="1" applyFill="1" applyBorder="1" applyAlignment="1">
      <alignment horizontal="center"/>
    </xf>
    <xf numFmtId="178" fontId="0" fillId="3" borderId="23" xfId="0" applyNumberFormat="1" applyFill="1" applyBorder="1" applyAlignment="1">
      <alignment horizontal="center"/>
    </xf>
    <xf numFmtId="178" fontId="0" fillId="3" borderId="60" xfId="0" applyNumberFormat="1" applyFill="1" applyBorder="1" applyAlignment="1">
      <alignment horizontal="center"/>
    </xf>
    <xf numFmtId="179" fontId="0" fillId="3" borderId="23" xfId="0" applyNumberFormat="1" applyFill="1" applyBorder="1" applyAlignment="1">
      <alignment horizontal="center"/>
    </xf>
    <xf numFmtId="179" fontId="0" fillId="3" borderId="24" xfId="0" applyNumberFormat="1" applyFill="1" applyBorder="1" applyAlignment="1">
      <alignment horizontal="center"/>
    </xf>
    <xf numFmtId="0" fontId="0" fillId="0" borderId="37" xfId="0" applyBorder="1" applyAlignment="1">
      <alignment horizontal="center"/>
    </xf>
    <xf numFmtId="0" fontId="0" fillId="0" borderId="23" xfId="0" applyBorder="1" applyAlignment="1">
      <alignment horizontal="center"/>
    </xf>
    <xf numFmtId="0" fontId="0" fillId="0" borderId="60" xfId="0" applyBorder="1" applyAlignment="1">
      <alignment horizontal="center"/>
    </xf>
    <xf numFmtId="9" fontId="109" fillId="0" borderId="2" xfId="0" applyNumberFormat="1" applyFont="1" applyBorder="1" applyAlignment="1">
      <alignment horizontal="center" vertical="center" wrapText="1"/>
    </xf>
    <xf numFmtId="9" fontId="109" fillId="0" borderId="3" xfId="0" applyNumberFormat="1" applyFont="1" applyBorder="1" applyAlignment="1">
      <alignment horizontal="center" vertical="center" wrapText="1"/>
    </xf>
    <xf numFmtId="9" fontId="109" fillId="0" borderId="4" xfId="0" applyNumberFormat="1" applyFont="1" applyBorder="1" applyAlignment="1">
      <alignment horizontal="center" vertical="center" wrapText="1"/>
    </xf>
    <xf numFmtId="167" fontId="109" fillId="0" borderId="2" xfId="0" applyNumberFormat="1" applyFont="1" applyBorder="1" applyAlignment="1">
      <alignment horizontal="center" vertical="center" wrapText="1"/>
    </xf>
    <xf numFmtId="167" fontId="109" fillId="0" borderId="3" xfId="0" applyNumberFormat="1" applyFont="1" applyBorder="1" applyAlignment="1">
      <alignment horizontal="center" vertical="center" wrapText="1"/>
    </xf>
    <xf numFmtId="167" fontId="109" fillId="0" borderId="4" xfId="0" applyNumberFormat="1" applyFont="1" applyBorder="1" applyAlignment="1">
      <alignment horizontal="center" vertical="center" wrapText="1"/>
    </xf>
    <xf numFmtId="0" fontId="150" fillId="0" borderId="0" xfId="0" applyFont="1" applyAlignment="1">
      <alignment horizontal="right" vertical="top"/>
    </xf>
    <xf numFmtId="167" fontId="109" fillId="0" borderId="2" xfId="1" applyNumberFormat="1" applyFont="1" applyBorder="1" applyAlignment="1">
      <alignment horizontal="center" vertical="center" wrapText="1"/>
    </xf>
    <xf numFmtId="167" fontId="109" fillId="0" borderId="3" xfId="1" applyNumberFormat="1" applyFont="1" applyBorder="1" applyAlignment="1">
      <alignment horizontal="center" vertical="center" wrapText="1"/>
    </xf>
    <xf numFmtId="167" fontId="109" fillId="0" borderId="4" xfId="1" applyNumberFormat="1" applyFont="1" applyBorder="1" applyAlignment="1">
      <alignment horizontal="center" vertical="center" wrapText="1"/>
    </xf>
    <xf numFmtId="165" fontId="109" fillId="0" borderId="2" xfId="1" applyNumberFormat="1" applyFont="1" applyBorder="1" applyAlignment="1">
      <alignment horizontal="center" vertical="center" wrapText="1"/>
    </xf>
    <xf numFmtId="165" fontId="109" fillId="0" borderId="3" xfId="1" applyNumberFormat="1" applyFont="1" applyBorder="1" applyAlignment="1">
      <alignment horizontal="center" vertical="center" wrapText="1"/>
    </xf>
    <xf numFmtId="165" fontId="109" fillId="0" borderId="4" xfId="1" applyNumberFormat="1" applyFont="1" applyBorder="1" applyAlignment="1">
      <alignment horizontal="center" vertical="center" wrapText="1"/>
    </xf>
    <xf numFmtId="1" fontId="109" fillId="0" borderId="2" xfId="0" applyNumberFormat="1" applyFont="1" applyBorder="1" applyAlignment="1">
      <alignment horizontal="center" vertical="center" wrapText="1"/>
    </xf>
    <xf numFmtId="1" fontId="109" fillId="0" borderId="3" xfId="0" applyNumberFormat="1" applyFont="1" applyBorder="1" applyAlignment="1">
      <alignment horizontal="center" vertical="center" wrapText="1"/>
    </xf>
    <xf numFmtId="1" fontId="109" fillId="0" borderId="4" xfId="0" applyNumberFormat="1" applyFont="1" applyBorder="1" applyAlignment="1">
      <alignment horizontal="center" vertical="center" wrapText="1"/>
    </xf>
    <xf numFmtId="179" fontId="0" fillId="3" borderId="2" xfId="0" applyNumberFormat="1" applyFill="1" applyBorder="1" applyAlignment="1">
      <alignment horizontal="center" vertical="center"/>
    </xf>
    <xf numFmtId="209" fontId="0" fillId="22" borderId="1" xfId="0" applyNumberFormat="1" applyFill="1" applyBorder="1" applyAlignment="1">
      <alignment horizontal="center" vertical="center"/>
    </xf>
    <xf numFmtId="209" fontId="0" fillId="22" borderId="21" xfId="0" applyNumberFormat="1" applyFill="1" applyBorder="1" applyAlignment="1">
      <alignment horizontal="center" vertical="center"/>
    </xf>
    <xf numFmtId="0" fontId="0" fillId="0" borderId="91" xfId="0" applyBorder="1" applyAlignment="1">
      <alignment horizontal="center" vertical="center" wrapText="1"/>
    </xf>
    <xf numFmtId="0" fontId="0" fillId="0" borderId="74" xfId="0" applyBorder="1" applyAlignment="1">
      <alignment horizontal="center" vertical="center" wrapText="1"/>
    </xf>
    <xf numFmtId="178" fontId="0" fillId="3" borderId="74" xfId="0" applyNumberFormat="1" applyFill="1" applyBorder="1" applyAlignment="1">
      <alignment horizontal="center" vertical="center"/>
    </xf>
    <xf numFmtId="179" fontId="0" fillId="3" borderId="74" xfId="0" applyNumberFormat="1" applyFill="1" applyBorder="1" applyAlignment="1">
      <alignment horizontal="center" vertical="center"/>
    </xf>
    <xf numFmtId="179" fontId="0" fillId="3" borderId="66" xfId="0" applyNumberFormat="1" applyFill="1" applyBorder="1" applyAlignment="1">
      <alignment horizontal="center" vertical="center"/>
    </xf>
    <xf numFmtId="209" fontId="0" fillId="22" borderId="74" xfId="0" applyNumberFormat="1" applyFill="1" applyBorder="1" applyAlignment="1">
      <alignment horizontal="center" vertical="center"/>
    </xf>
    <xf numFmtId="209" fontId="0" fillId="22" borderId="65" xfId="0" applyNumberFormat="1" applyFill="1" applyBorder="1" applyAlignment="1">
      <alignment horizontal="center" vertical="center"/>
    </xf>
    <xf numFmtId="0" fontId="71" fillId="0" borderId="14" xfId="0" applyFont="1" applyBorder="1" applyAlignment="1">
      <alignment vertical="top" wrapText="1"/>
    </xf>
    <xf numFmtId="179" fontId="164" fillId="3" borderId="9" xfId="0" applyNumberFormat="1" applyFont="1" applyFill="1" applyBorder="1" applyAlignment="1">
      <alignment horizontal="center"/>
    </xf>
    <xf numFmtId="179" fontId="164" fillId="3" borderId="43" xfId="0" applyNumberFormat="1" applyFont="1" applyFill="1" applyBorder="1" applyAlignment="1">
      <alignment horizontal="center"/>
    </xf>
    <xf numFmtId="206" fontId="20" fillId="16" borderId="2" xfId="0" applyNumberFormat="1" applyFont="1" applyFill="1" applyBorder="1" applyAlignment="1" applyProtection="1">
      <alignment horizontal="center" vertical="center"/>
      <protection locked="0"/>
    </xf>
    <xf numFmtId="206" fontId="20" fillId="16" borderId="3" xfId="0" applyNumberFormat="1" applyFont="1" applyFill="1" applyBorder="1" applyAlignment="1" applyProtection="1">
      <alignment horizontal="center" vertical="center"/>
      <protection locked="0"/>
    </xf>
    <xf numFmtId="206" fontId="20" fillId="16" borderId="4" xfId="0" applyNumberFormat="1" applyFont="1" applyFill="1" applyBorder="1" applyAlignment="1" applyProtection="1">
      <alignment horizontal="center" vertical="center"/>
      <protection locked="0"/>
    </xf>
    <xf numFmtId="2" fontId="20" fillId="16" borderId="2" xfId="0" applyNumberFormat="1" applyFont="1" applyFill="1" applyBorder="1" applyAlignment="1" applyProtection="1">
      <alignment horizontal="center" vertical="center"/>
      <protection locked="0"/>
    </xf>
    <xf numFmtId="2" fontId="20" fillId="16" borderId="3" xfId="0" applyNumberFormat="1" applyFont="1" applyFill="1" applyBorder="1" applyAlignment="1" applyProtection="1">
      <alignment horizontal="center" vertical="center"/>
      <protection locked="0"/>
    </xf>
    <xf numFmtId="2" fontId="20" fillId="16" borderId="4" xfId="0" applyNumberFormat="1" applyFont="1" applyFill="1" applyBorder="1" applyAlignment="1" applyProtection="1">
      <alignment horizontal="center" vertical="center"/>
      <protection locked="0"/>
    </xf>
    <xf numFmtId="178" fontId="24" fillId="3" borderId="1" xfId="0" applyNumberFormat="1" applyFont="1" applyFill="1" applyBorder="1" applyAlignment="1">
      <alignment horizontal="center"/>
    </xf>
    <xf numFmtId="179" fontId="24" fillId="3" borderId="1" xfId="0" applyNumberFormat="1" applyFont="1" applyFill="1" applyBorder="1" applyAlignment="1">
      <alignment horizontal="center"/>
    </xf>
    <xf numFmtId="178" fontId="24" fillId="3" borderId="9" xfId="0" applyNumberFormat="1" applyFont="1" applyFill="1" applyBorder="1" applyAlignment="1">
      <alignment horizontal="center"/>
    </xf>
    <xf numFmtId="179" fontId="24" fillId="3" borderId="9" xfId="0" applyNumberFormat="1" applyFont="1" applyFill="1" applyBorder="1" applyAlignment="1">
      <alignment horizontal="center"/>
    </xf>
    <xf numFmtId="0" fontId="157" fillId="0" borderId="0" xfId="0" applyFont="1" applyAlignment="1">
      <alignment horizontal="left" vertical="top"/>
    </xf>
    <xf numFmtId="0" fontId="109" fillId="0" borderId="2" xfId="0" applyFont="1" applyBorder="1" applyAlignment="1">
      <alignment vertical="center"/>
    </xf>
    <xf numFmtId="0" fontId="109" fillId="0" borderId="3" xfId="0" applyFont="1" applyBorder="1" applyAlignment="1">
      <alignment vertical="center"/>
    </xf>
    <xf numFmtId="0" fontId="109" fillId="0" borderId="4" xfId="0" applyFont="1" applyBorder="1" applyAlignment="1">
      <alignment vertical="center"/>
    </xf>
    <xf numFmtId="0" fontId="154" fillId="0" borderId="13" xfId="0" applyFont="1" applyBorder="1" applyAlignment="1">
      <alignment vertical="center"/>
    </xf>
    <xf numFmtId="0" fontId="154" fillId="0" borderId="14" xfId="0" applyFont="1" applyBorder="1" applyAlignment="1">
      <alignment vertical="center"/>
    </xf>
    <xf numFmtId="0" fontId="154" fillId="0" borderId="15" xfId="0" applyFont="1" applyBorder="1" applyAlignment="1">
      <alignment vertical="center"/>
    </xf>
    <xf numFmtId="0" fontId="154" fillId="0" borderId="18" xfId="0" applyFont="1" applyBorder="1" applyAlignment="1">
      <alignment vertical="center"/>
    </xf>
    <xf numFmtId="0" fontId="154" fillId="0" borderId="11" xfId="0" applyFont="1" applyBorder="1" applyAlignment="1">
      <alignment vertical="center"/>
    </xf>
    <xf numFmtId="0" fontId="154" fillId="0" borderId="19" xfId="0" applyFont="1" applyBorder="1" applyAlignment="1">
      <alignment vertical="center"/>
    </xf>
    <xf numFmtId="0" fontId="109" fillId="0" borderId="2" xfId="20" applyFont="1" applyBorder="1" applyAlignment="1">
      <alignment vertical="center" wrapText="1"/>
    </xf>
    <xf numFmtId="0" fontId="109" fillId="0" borderId="3" xfId="20" applyFont="1" applyBorder="1" applyAlignment="1">
      <alignment vertical="center" wrapText="1"/>
    </xf>
    <xf numFmtId="0" fontId="109" fillId="0" borderId="4" xfId="20" applyFont="1" applyBorder="1" applyAlignment="1">
      <alignment vertical="center" wrapText="1"/>
    </xf>
    <xf numFmtId="0" fontId="117" fillId="0" borderId="13" xfId="0" applyFont="1" applyBorder="1" applyAlignment="1">
      <alignment vertical="center"/>
    </xf>
    <xf numFmtId="0" fontId="117" fillId="0" borderId="14" xfId="0" applyFont="1" applyBorder="1" applyAlignment="1">
      <alignment vertical="center"/>
    </xf>
    <xf numFmtId="0" fontId="117" fillId="0" borderId="15" xfId="0" applyFont="1" applyBorder="1" applyAlignment="1">
      <alignment vertical="center"/>
    </xf>
    <xf numFmtId="0" fontId="117" fillId="0" borderId="18" xfId="0" applyFont="1" applyBorder="1" applyAlignment="1">
      <alignment vertical="center"/>
    </xf>
    <xf numFmtId="0" fontId="117" fillId="0" borderId="11" xfId="0" applyFont="1" applyBorder="1" applyAlignment="1">
      <alignment vertical="center"/>
    </xf>
    <xf numFmtId="0" fontId="117" fillId="0" borderId="19" xfId="0" applyFont="1" applyBorder="1" applyAlignment="1">
      <alignment vertical="center"/>
    </xf>
    <xf numFmtId="204" fontId="164" fillId="22" borderId="9" xfId="7" applyNumberFormat="1" applyFont="1" applyFill="1" applyBorder="1" applyAlignment="1">
      <alignment horizontal="center" vertical="center"/>
    </xf>
    <xf numFmtId="204" fontId="164" fillId="22" borderId="10" xfId="7" applyNumberFormat="1" applyFont="1" applyFill="1" applyBorder="1" applyAlignment="1">
      <alignment horizontal="center" vertical="center"/>
    </xf>
    <xf numFmtId="207" fontId="20" fillId="16" borderId="2" xfId="0" applyNumberFormat="1" applyFont="1" applyFill="1" applyBorder="1" applyAlignment="1" applyProtection="1">
      <alignment horizontal="center" vertical="center"/>
      <protection locked="0"/>
    </xf>
    <xf numFmtId="207" fontId="20" fillId="16" borderId="3" xfId="0" applyNumberFormat="1" applyFont="1" applyFill="1" applyBorder="1" applyAlignment="1" applyProtection="1">
      <alignment horizontal="center" vertical="center"/>
      <protection locked="0"/>
    </xf>
    <xf numFmtId="207" fontId="20" fillId="16" borderId="4" xfId="0" applyNumberFormat="1" applyFont="1" applyFill="1" applyBorder="1" applyAlignment="1" applyProtection="1">
      <alignment horizontal="center" vertical="center"/>
      <protection locked="0"/>
    </xf>
    <xf numFmtId="204" fontId="24" fillId="22" borderId="1" xfId="7" applyNumberFormat="1" applyFont="1" applyFill="1" applyBorder="1" applyAlignment="1">
      <alignment horizontal="center" vertical="center"/>
    </xf>
    <xf numFmtId="204" fontId="24" fillId="22" borderId="21" xfId="7" applyNumberFormat="1" applyFont="1" applyFill="1" applyBorder="1" applyAlignment="1">
      <alignment horizontal="center" vertical="center"/>
    </xf>
    <xf numFmtId="204" fontId="24" fillId="22" borderId="9" xfId="7" applyNumberFormat="1" applyFont="1" applyFill="1" applyBorder="1" applyAlignment="1">
      <alignment horizontal="center" vertical="center"/>
    </xf>
    <xf numFmtId="204" fontId="24" fillId="22" borderId="10" xfId="7" applyNumberFormat="1" applyFont="1" applyFill="1" applyBorder="1" applyAlignment="1">
      <alignment horizontal="center" vertical="center"/>
    </xf>
    <xf numFmtId="0" fontId="117" fillId="0" borderId="2" xfId="1" applyNumberFormat="1" applyFont="1" applyBorder="1" applyAlignment="1">
      <alignment horizontal="center" vertical="center" wrapText="1"/>
    </xf>
    <xf numFmtId="0" fontId="117" fillId="0" borderId="3" xfId="1" applyNumberFormat="1" applyFont="1" applyBorder="1" applyAlignment="1">
      <alignment horizontal="center" vertical="center" wrapText="1"/>
    </xf>
    <xf numFmtId="0" fontId="117" fillId="0" borderId="4" xfId="1" applyNumberFormat="1" applyFont="1" applyBorder="1" applyAlignment="1">
      <alignment horizontal="center" vertical="center" wrapText="1"/>
    </xf>
    <xf numFmtId="4" fontId="117" fillId="0" borderId="1" xfId="20" applyNumberFormat="1" applyFont="1" applyBorder="1" applyAlignment="1">
      <alignment horizontal="center" vertical="center" wrapText="1"/>
    </xf>
    <xf numFmtId="0" fontId="117" fillId="0" borderId="13" xfId="20" applyFont="1" applyBorder="1" applyAlignment="1">
      <alignment vertical="center"/>
    </xf>
    <xf numFmtId="0" fontId="117" fillId="0" borderId="14" xfId="20" applyFont="1" applyBorder="1" applyAlignment="1">
      <alignment vertical="center"/>
    </xf>
    <xf numFmtId="0" fontId="117" fillId="0" borderId="15" xfId="20" applyFont="1" applyBorder="1" applyAlignment="1">
      <alignment vertical="center"/>
    </xf>
    <xf numFmtId="0" fontId="117" fillId="0" borderId="18" xfId="20" applyFont="1" applyBorder="1" applyAlignment="1">
      <alignment vertical="center"/>
    </xf>
    <xf numFmtId="0" fontId="117" fillId="0" borderId="11" xfId="20" applyFont="1" applyBorder="1" applyAlignment="1">
      <alignment vertical="center"/>
    </xf>
    <xf numFmtId="0" fontId="117" fillId="0" borderId="19" xfId="20" applyFont="1" applyBorder="1" applyAlignment="1">
      <alignment vertical="center"/>
    </xf>
    <xf numFmtId="0" fontId="117" fillId="0" borderId="16" xfId="0" applyFont="1" applyBorder="1" applyAlignment="1">
      <alignment vertical="center"/>
    </xf>
    <xf numFmtId="0" fontId="117" fillId="0" borderId="0" xfId="0" applyFont="1" applyAlignment="1">
      <alignment vertical="center"/>
    </xf>
    <xf numFmtId="0" fontId="117" fillId="0" borderId="17" xfId="0" applyFont="1" applyBorder="1" applyAlignment="1">
      <alignment vertical="center"/>
    </xf>
    <xf numFmtId="2" fontId="117" fillId="0" borderId="2" xfId="8" applyNumberFormat="1" applyFont="1" applyBorder="1" applyAlignment="1">
      <alignment horizontal="center" vertical="center"/>
    </xf>
    <xf numFmtId="2" fontId="117" fillId="0" borderId="3" xfId="8" applyNumberFormat="1" applyFont="1" applyBorder="1" applyAlignment="1">
      <alignment horizontal="center" vertical="center"/>
    </xf>
    <xf numFmtId="2" fontId="117" fillId="0" borderId="4" xfId="8" applyNumberFormat="1" applyFont="1" applyBorder="1" applyAlignment="1">
      <alignment horizontal="center" vertical="center"/>
    </xf>
    <xf numFmtId="0" fontId="109" fillId="0" borderId="2" xfId="11" applyFont="1" applyBorder="1" applyAlignment="1">
      <alignment horizontal="left" vertical="center"/>
    </xf>
    <xf numFmtId="0" fontId="108" fillId="0" borderId="3" xfId="11" applyFont="1" applyBorder="1" applyAlignment="1">
      <alignment horizontal="left" vertical="center"/>
    </xf>
    <xf numFmtId="0" fontId="108" fillId="0" borderId="4" xfId="11" applyFont="1" applyBorder="1" applyAlignment="1">
      <alignment horizontal="left" vertical="center"/>
    </xf>
    <xf numFmtId="0" fontId="117" fillId="0" borderId="2" xfId="11" applyFont="1" applyBorder="1" applyAlignment="1">
      <alignment horizontal="center" vertical="center" wrapText="1"/>
    </xf>
    <xf numFmtId="0" fontId="117" fillId="0" borderId="3" xfId="11" applyFont="1" applyBorder="1" applyAlignment="1">
      <alignment horizontal="center" vertical="center" wrapText="1"/>
    </xf>
    <xf numFmtId="0" fontId="117" fillId="0" borderId="4" xfId="11" applyFont="1" applyBorder="1" applyAlignment="1">
      <alignment horizontal="center" vertical="center" wrapText="1"/>
    </xf>
    <xf numFmtId="0" fontId="119" fillId="0" borderId="1" xfId="11" applyFont="1" applyBorder="1" applyAlignment="1">
      <alignment horizontal="center" vertical="center" wrapText="1"/>
    </xf>
    <xf numFmtId="0" fontId="117" fillId="0" borderId="1" xfId="11" applyFont="1" applyBorder="1" applyAlignment="1">
      <alignment horizontal="center" vertical="center"/>
    </xf>
    <xf numFmtId="2" fontId="117" fillId="0" borderId="1" xfId="11" applyNumberFormat="1" applyFont="1" applyBorder="1" applyAlignment="1">
      <alignment horizontal="center" vertical="center"/>
    </xf>
    <xf numFmtId="10" fontId="117" fillId="0" borderId="1" xfId="8" applyNumberFormat="1" applyFont="1" applyBorder="1" applyAlignment="1">
      <alignment horizontal="center" vertical="center"/>
    </xf>
    <xf numFmtId="43" fontId="117" fillId="0" borderId="1" xfId="7" applyFont="1" applyBorder="1" applyAlignment="1">
      <alignment horizontal="center" vertical="center"/>
    </xf>
    <xf numFmtId="0" fontId="189" fillId="0" borderId="1" xfId="21" applyFont="1" applyBorder="1" applyAlignment="1">
      <alignment horizontal="center" vertical="center" wrapText="1"/>
    </xf>
    <xf numFmtId="0" fontId="157" fillId="0" borderId="0" xfId="11" applyFont="1" applyAlignment="1">
      <alignment horizontal="right" vertical="top"/>
    </xf>
    <xf numFmtId="0" fontId="157" fillId="0" borderId="0" xfId="10" applyFont="1" applyAlignment="1">
      <alignment horizontal="left" vertical="top" wrapText="1"/>
    </xf>
    <xf numFmtId="0" fontId="157" fillId="0" borderId="0" xfId="10" applyFont="1" applyAlignment="1">
      <alignment horizontal="left" vertical="top"/>
    </xf>
    <xf numFmtId="0" fontId="117" fillId="20" borderId="1" xfId="11" applyFont="1" applyFill="1" applyBorder="1" applyAlignment="1">
      <alignment horizontal="center" vertical="center"/>
    </xf>
    <xf numFmtId="2" fontId="117" fillId="20" borderId="1" xfId="11" applyNumberFormat="1" applyFont="1" applyFill="1" applyBorder="1" applyAlignment="1">
      <alignment horizontal="center" vertical="center"/>
    </xf>
    <xf numFmtId="10" fontId="117" fillId="19" borderId="1" xfId="8" applyNumberFormat="1" applyFont="1" applyFill="1" applyBorder="1" applyAlignment="1">
      <alignment horizontal="center" vertical="center"/>
    </xf>
    <xf numFmtId="43" fontId="117" fillId="20" borderId="1" xfId="7" applyFont="1" applyFill="1" applyBorder="1" applyAlignment="1">
      <alignment horizontal="center" vertical="center"/>
    </xf>
    <xf numFmtId="0" fontId="167" fillId="0" borderId="2" xfId="0" applyFont="1" applyBorder="1" applyAlignment="1">
      <alignment horizontal="right" vertical="center"/>
    </xf>
    <xf numFmtId="0" fontId="167" fillId="0" borderId="3" xfId="0" applyFont="1" applyBorder="1" applyAlignment="1">
      <alignment horizontal="right" vertical="center"/>
    </xf>
    <xf numFmtId="0" fontId="167" fillId="0" borderId="4" xfId="0" applyFont="1" applyBorder="1" applyAlignment="1">
      <alignment horizontal="right" vertical="center"/>
    </xf>
    <xf numFmtId="165" fontId="167" fillId="0" borderId="1" xfId="0" applyNumberFormat="1" applyFont="1" applyBorder="1" applyAlignment="1">
      <alignment horizontal="center" vertical="center"/>
    </xf>
    <xf numFmtId="9" fontId="65" fillId="0" borderId="1" xfId="0" quotePrefix="1" applyNumberFormat="1" applyFont="1" applyBorder="1" applyAlignment="1">
      <alignment horizontal="center" vertical="center"/>
    </xf>
    <xf numFmtId="9" fontId="65" fillId="0" borderId="1" xfId="0" applyNumberFormat="1" applyFont="1" applyBorder="1" applyAlignment="1">
      <alignment horizontal="center" vertical="center"/>
    </xf>
    <xf numFmtId="0" fontId="125" fillId="0" borderId="0" xfId="0" applyFont="1" applyAlignment="1">
      <alignment vertical="center" wrapText="1"/>
    </xf>
    <xf numFmtId="0" fontId="167" fillId="0" borderId="1" xfId="0" applyFont="1" applyBorder="1" applyAlignment="1">
      <alignment horizontal="center" vertical="center" wrapText="1"/>
    </xf>
    <xf numFmtId="0" fontId="167" fillId="0" borderId="2" xfId="0" applyFont="1" applyBorder="1" applyAlignment="1">
      <alignment horizontal="center" vertical="center" wrapText="1"/>
    </xf>
    <xf numFmtId="0" fontId="167" fillId="0" borderId="3" xfId="0" applyFont="1" applyBorder="1" applyAlignment="1">
      <alignment horizontal="center" vertical="center" wrapText="1"/>
    </xf>
    <xf numFmtId="0" fontId="167" fillId="0" borderId="4" xfId="0" applyFont="1" applyBorder="1" applyAlignment="1">
      <alignment horizontal="center" vertical="center" wrapText="1"/>
    </xf>
    <xf numFmtId="0" fontId="117" fillId="0" borderId="2" xfId="0" quotePrefix="1" applyFont="1" applyBorder="1" applyAlignment="1">
      <alignment horizontal="left" vertical="center" wrapText="1"/>
    </xf>
    <xf numFmtId="0" fontId="117" fillId="0" borderId="2" xfId="0" quotePrefix="1" applyFont="1" applyBorder="1" applyAlignment="1">
      <alignment horizontal="center" vertical="center" wrapText="1"/>
    </xf>
    <xf numFmtId="0" fontId="125" fillId="0" borderId="0" xfId="0" applyFont="1" applyAlignment="1">
      <alignment horizontal="left" vertical="top" wrapText="1"/>
    </xf>
    <xf numFmtId="0" fontId="40" fillId="2" borderId="1" xfId="0" applyFont="1" applyFill="1" applyBorder="1" applyAlignment="1">
      <alignment horizontal="left" vertical="center" wrapText="1"/>
    </xf>
    <xf numFmtId="179" fontId="24" fillId="3" borderId="2" xfId="0" applyNumberFormat="1" applyFont="1" applyFill="1" applyBorder="1" applyAlignment="1">
      <alignment horizontal="center"/>
    </xf>
    <xf numFmtId="179" fontId="24" fillId="22" borderId="1" xfId="0" applyNumberFormat="1" applyFont="1" applyFill="1" applyBorder="1" applyAlignment="1">
      <alignment horizontal="center"/>
    </xf>
    <xf numFmtId="179" fontId="24" fillId="22" borderId="21" xfId="0" applyNumberFormat="1" applyFont="1" applyFill="1" applyBorder="1" applyAlignment="1">
      <alignment horizontal="center"/>
    </xf>
    <xf numFmtId="165" fontId="0" fillId="0" borderId="2" xfId="0" applyNumberFormat="1" applyBorder="1" applyAlignment="1">
      <alignment horizontal="center"/>
    </xf>
    <xf numFmtId="165" fontId="0" fillId="0" borderId="3" xfId="0" applyNumberFormat="1" applyBorder="1" applyAlignment="1">
      <alignment horizontal="center"/>
    </xf>
    <xf numFmtId="165" fontId="0" fillId="0" borderId="4" xfId="0" applyNumberFormat="1" applyBorder="1" applyAlignment="1">
      <alignment horizontal="center"/>
    </xf>
    <xf numFmtId="178" fontId="164" fillId="3" borderId="1" xfId="0" applyNumberFormat="1" applyFont="1" applyFill="1" applyBorder="1" applyAlignment="1">
      <alignment horizontal="center"/>
    </xf>
    <xf numFmtId="179" fontId="164" fillId="3" borderId="1" xfId="0" applyNumberFormat="1" applyFont="1" applyFill="1" applyBorder="1" applyAlignment="1">
      <alignment horizontal="center"/>
    </xf>
    <xf numFmtId="179" fontId="164" fillId="3" borderId="2" xfId="0" applyNumberFormat="1" applyFont="1" applyFill="1" applyBorder="1" applyAlignment="1">
      <alignment horizontal="center"/>
    </xf>
    <xf numFmtId="179" fontId="164" fillId="22" borderId="1" xfId="0" applyNumberFormat="1" applyFont="1" applyFill="1" applyBorder="1" applyAlignment="1">
      <alignment horizontal="center"/>
    </xf>
    <xf numFmtId="179" fontId="164" fillId="22" borderId="21" xfId="0" applyNumberFormat="1" applyFont="1" applyFill="1" applyBorder="1" applyAlignment="1">
      <alignment horizontal="center"/>
    </xf>
    <xf numFmtId="179" fontId="164" fillId="22" borderId="9" xfId="0" applyNumberFormat="1" applyFont="1" applyFill="1" applyBorder="1" applyAlignment="1">
      <alignment horizontal="center"/>
    </xf>
    <xf numFmtId="179" fontId="164" fillId="22" borderId="10" xfId="0" applyNumberFormat="1" applyFont="1" applyFill="1" applyBorder="1" applyAlignment="1">
      <alignment horizontal="center"/>
    </xf>
    <xf numFmtId="0" fontId="24" fillId="0" borderId="0" xfId="19" applyFont="1" applyAlignment="1">
      <alignment horizontal="left" vertical="top" wrapText="1" readingOrder="1"/>
    </xf>
    <xf numFmtId="179" fontId="24" fillId="22" borderId="43" xfId="0" applyNumberFormat="1" applyFont="1" applyFill="1" applyBorder="1" applyAlignment="1">
      <alignment horizontal="center" vertical="center"/>
    </xf>
    <xf numFmtId="179" fontId="24" fillId="22" borderId="44" xfId="0" applyNumberFormat="1" applyFont="1" applyFill="1" applyBorder="1" applyAlignment="1">
      <alignment horizontal="center" vertical="center"/>
    </xf>
    <xf numFmtId="179" fontId="24" fillId="22" borderId="45" xfId="0" applyNumberFormat="1" applyFont="1" applyFill="1" applyBorder="1" applyAlignment="1">
      <alignment horizontal="center" vertical="center"/>
    </xf>
    <xf numFmtId="179" fontId="24" fillId="22" borderId="54" xfId="0" applyNumberFormat="1" applyFont="1" applyFill="1" applyBorder="1" applyAlignment="1">
      <alignment horizontal="center" vertical="center"/>
    </xf>
    <xf numFmtId="179" fontId="164" fillId="3" borderId="43" xfId="0" applyNumberFormat="1" applyFont="1" applyFill="1" applyBorder="1" applyAlignment="1">
      <alignment horizontal="center" vertical="center"/>
    </xf>
    <xf numFmtId="0" fontId="40" fillId="0" borderId="33" xfId="0" applyFont="1" applyBorder="1" applyAlignment="1">
      <alignment horizontal="center" vertical="center"/>
    </xf>
    <xf numFmtId="0" fontId="40" fillId="0" borderId="69" xfId="0" applyFont="1" applyBorder="1" applyAlignment="1">
      <alignment horizontal="center" vertical="center"/>
    </xf>
    <xf numFmtId="0" fontId="1" fillId="0" borderId="0" xfId="19" applyFont="1" applyAlignment="1">
      <alignment horizontal="left" vertical="top" wrapText="1" readingOrder="1"/>
    </xf>
    <xf numFmtId="179" fontId="24" fillId="22" borderId="9" xfId="11" applyNumberFormat="1" applyFont="1" applyFill="1" applyBorder="1" applyAlignment="1">
      <alignment horizontal="center" vertical="center"/>
    </xf>
    <xf numFmtId="179" fontId="24" fillId="22" borderId="10" xfId="11" applyNumberFormat="1" applyFont="1" applyFill="1" applyBorder="1" applyAlignment="1">
      <alignment horizontal="center" vertical="center"/>
    </xf>
    <xf numFmtId="0" fontId="24" fillId="0" borderId="73" xfId="11" applyFont="1" applyBorder="1" applyAlignment="1">
      <alignment horizontal="center" vertical="center" wrapText="1"/>
    </xf>
    <xf numFmtId="0" fontId="24" fillId="0" borderId="22" xfId="11" applyFont="1" applyBorder="1" applyAlignment="1">
      <alignment horizontal="center" vertical="center" wrapText="1"/>
    </xf>
    <xf numFmtId="178" fontId="24" fillId="3" borderId="22" xfId="11" applyNumberFormat="1" applyFont="1" applyFill="1" applyBorder="1" applyAlignment="1">
      <alignment horizontal="center" vertical="center"/>
    </xf>
    <xf numFmtId="179" fontId="24" fillId="3" borderId="22" xfId="11" applyNumberFormat="1" applyFont="1" applyFill="1" applyBorder="1" applyAlignment="1">
      <alignment horizontal="center" vertical="center"/>
    </xf>
    <xf numFmtId="179" fontId="24" fillId="22" borderId="22" xfId="11" applyNumberFormat="1" applyFont="1" applyFill="1" applyBorder="1" applyAlignment="1">
      <alignment horizontal="center" vertical="center"/>
    </xf>
    <xf numFmtId="179" fontId="24" fillId="22" borderId="70" xfId="11" applyNumberFormat="1" applyFont="1" applyFill="1" applyBorder="1" applyAlignment="1">
      <alignment horizontal="center" vertical="center"/>
    </xf>
    <xf numFmtId="0" fontId="24" fillId="0" borderId="73" xfId="11" applyFont="1" applyBorder="1" applyAlignment="1">
      <alignment horizontal="center" vertical="center"/>
    </xf>
    <xf numFmtId="0" fontId="24" fillId="0" borderId="22" xfId="11" applyFont="1" applyBorder="1" applyAlignment="1">
      <alignment horizontal="center" vertical="center"/>
    </xf>
    <xf numFmtId="0" fontId="62" fillId="0" borderId="2" xfId="11" applyFont="1" applyBorder="1" applyAlignment="1">
      <alignment horizontal="center" vertical="center"/>
    </xf>
    <xf numFmtId="0" fontId="62" fillId="0" borderId="3" xfId="11" applyFont="1" applyBorder="1" applyAlignment="1">
      <alignment horizontal="center" vertical="center"/>
    </xf>
    <xf numFmtId="0" fontId="62" fillId="0" borderId="4" xfId="11" applyFont="1" applyBorder="1" applyAlignment="1">
      <alignment horizontal="center" vertical="center"/>
    </xf>
    <xf numFmtId="0" fontId="195" fillId="0" borderId="2" xfId="0" applyFont="1" applyBorder="1" applyAlignment="1">
      <alignment horizontal="center" vertical="center"/>
    </xf>
    <xf numFmtId="0" fontId="195" fillId="0" borderId="3" xfId="0" applyFont="1" applyBorder="1" applyAlignment="1">
      <alignment horizontal="center" vertical="center"/>
    </xf>
    <xf numFmtId="0" fontId="195" fillId="0" borderId="4" xfId="0" applyFont="1" applyBorder="1" applyAlignment="1">
      <alignment horizontal="center" vertical="center"/>
    </xf>
    <xf numFmtId="0" fontId="24" fillId="0" borderId="2" xfId="11" applyFont="1" applyBorder="1" applyAlignment="1">
      <alignment horizontal="center" vertical="center"/>
    </xf>
    <xf numFmtId="0" fontId="24" fillId="0" borderId="3" xfId="11" applyFont="1" applyBorder="1" applyAlignment="1">
      <alignment horizontal="center" vertical="center"/>
    </xf>
    <xf numFmtId="0" fontId="24" fillId="0" borderId="4" xfId="11" applyFont="1" applyBorder="1" applyAlignment="1">
      <alignment horizontal="center" vertical="center"/>
    </xf>
    <xf numFmtId="1" fontId="117" fillId="0" borderId="2" xfId="0" applyNumberFormat="1" applyFont="1" applyBorder="1" applyAlignment="1">
      <alignment horizontal="center" vertical="center" wrapText="1"/>
    </xf>
    <xf numFmtId="1" fontId="117" fillId="0" borderId="3" xfId="0" applyNumberFormat="1" applyFont="1" applyBorder="1" applyAlignment="1">
      <alignment horizontal="center" vertical="center" wrapText="1"/>
    </xf>
    <xf numFmtId="1" fontId="117" fillId="0" borderId="4" xfId="0" applyNumberFormat="1" applyFont="1" applyBorder="1" applyAlignment="1">
      <alignment horizontal="center" vertical="center" wrapText="1"/>
    </xf>
    <xf numFmtId="0" fontId="40" fillId="0" borderId="62" xfId="11" applyFont="1" applyBorder="1" applyAlignment="1">
      <alignment horizontal="center" vertical="center"/>
    </xf>
    <xf numFmtId="0" fontId="40" fillId="0" borderId="63" xfId="11" applyFont="1" applyBorder="1" applyAlignment="1">
      <alignment horizontal="center" vertical="center"/>
    </xf>
    <xf numFmtId="0" fontId="40" fillId="0" borderId="64" xfId="11" applyFont="1" applyBorder="1" applyAlignment="1">
      <alignment horizontal="center" vertical="center"/>
    </xf>
    <xf numFmtId="0" fontId="24" fillId="0" borderId="2" xfId="11" applyFont="1" applyBorder="1" applyAlignment="1">
      <alignment horizontal="center" vertical="center" wrapText="1"/>
    </xf>
    <xf numFmtId="0" fontId="24" fillId="0" borderId="3" xfId="11" applyFont="1" applyBorder="1" applyAlignment="1">
      <alignment horizontal="center" vertical="center" wrapText="1"/>
    </xf>
    <xf numFmtId="0" fontId="24" fillId="0" borderId="4" xfId="11" applyFont="1" applyBorder="1" applyAlignment="1">
      <alignment horizontal="center" vertical="center" wrapText="1"/>
    </xf>
    <xf numFmtId="0" fontId="62" fillId="0" borderId="0" xfId="0" applyFont="1" applyAlignment="1">
      <alignment vertical="top"/>
    </xf>
    <xf numFmtId="0" fontId="62" fillId="0" borderId="13" xfId="11" applyFont="1" applyBorder="1" applyAlignment="1">
      <alignment horizontal="center" vertical="center"/>
    </xf>
    <xf numFmtId="0" fontId="62" fillId="0" borderId="14" xfId="11" applyFont="1" applyBorder="1" applyAlignment="1">
      <alignment horizontal="center" vertical="center"/>
    </xf>
    <xf numFmtId="0" fontId="62" fillId="0" borderId="15" xfId="11" applyFont="1" applyBorder="1" applyAlignment="1">
      <alignment horizontal="center" vertical="center"/>
    </xf>
    <xf numFmtId="0" fontId="62" fillId="0" borderId="18" xfId="11" applyFont="1" applyBorder="1" applyAlignment="1">
      <alignment horizontal="center" vertical="center"/>
    </xf>
    <xf numFmtId="0" fontId="62" fillId="0" borderId="11" xfId="11" applyFont="1" applyBorder="1" applyAlignment="1">
      <alignment horizontal="center" vertical="center"/>
    </xf>
    <xf numFmtId="0" fontId="62" fillId="0" borderId="19" xfId="11" applyFont="1" applyBorder="1" applyAlignment="1">
      <alignment horizontal="center" vertical="center"/>
    </xf>
    <xf numFmtId="0" fontId="195" fillId="0" borderId="13" xfId="0" applyFont="1" applyBorder="1" applyAlignment="1">
      <alignment horizontal="center" vertical="center"/>
    </xf>
    <xf numFmtId="0" fontId="195" fillId="0" borderId="14" xfId="0" applyFont="1" applyBorder="1" applyAlignment="1">
      <alignment horizontal="center" vertical="center"/>
    </xf>
    <xf numFmtId="0" fontId="195" fillId="0" borderId="15" xfId="0" applyFont="1" applyBorder="1" applyAlignment="1">
      <alignment horizontal="center" vertical="center"/>
    </xf>
    <xf numFmtId="0" fontId="195" fillId="0" borderId="18" xfId="0" applyFont="1" applyBorder="1" applyAlignment="1">
      <alignment horizontal="center" vertical="center"/>
    </xf>
    <xf numFmtId="0" fontId="195" fillId="0" borderId="11" xfId="0" applyFont="1" applyBorder="1" applyAlignment="1">
      <alignment horizontal="center" vertical="center"/>
    </xf>
    <xf numFmtId="0" fontId="195" fillId="0" borderId="19" xfId="0" applyFont="1" applyBorder="1" applyAlignment="1">
      <alignment horizontal="center" vertical="center"/>
    </xf>
    <xf numFmtId="178" fontId="24" fillId="3" borderId="43" xfId="11" applyNumberFormat="1" applyFont="1" applyFill="1" applyBorder="1" applyAlignment="1">
      <alignment horizontal="center" vertical="center"/>
    </xf>
    <xf numFmtId="178" fontId="24" fillId="3" borderId="44" xfId="11" applyNumberFormat="1" applyFont="1" applyFill="1" applyBorder="1" applyAlignment="1">
      <alignment horizontal="center" vertical="center"/>
    </xf>
    <xf numFmtId="178" fontId="24" fillId="3" borderId="45" xfId="11" applyNumberFormat="1" applyFont="1" applyFill="1" applyBorder="1" applyAlignment="1">
      <alignment horizontal="center" vertical="center"/>
    </xf>
    <xf numFmtId="0" fontId="24" fillId="0" borderId="1" xfId="11" applyFont="1" applyBorder="1" applyAlignment="1">
      <alignment horizontal="center" vertical="center"/>
    </xf>
    <xf numFmtId="179" fontId="24" fillId="22" borderId="74" xfId="11" applyNumberFormat="1" applyFont="1" applyFill="1" applyBorder="1" applyAlignment="1">
      <alignment horizontal="center" vertical="center"/>
    </xf>
    <xf numFmtId="179" fontId="24" fillId="22" borderId="65" xfId="11" applyNumberFormat="1" applyFont="1" applyFill="1" applyBorder="1" applyAlignment="1">
      <alignment horizontal="center" vertical="center"/>
    </xf>
    <xf numFmtId="1" fontId="117" fillId="0" borderId="1" xfId="0" applyNumberFormat="1" applyFont="1" applyBorder="1" applyAlignment="1">
      <alignment horizontal="center" vertical="center" wrapText="1"/>
    </xf>
    <xf numFmtId="0" fontId="40" fillId="0" borderId="104" xfId="11" applyFont="1" applyBorder="1" applyAlignment="1">
      <alignment horizontal="center" vertical="center"/>
    </xf>
    <xf numFmtId="0" fontId="40" fillId="0" borderId="30" xfId="11" applyFont="1" applyBorder="1" applyAlignment="1">
      <alignment horizontal="center" vertical="center"/>
    </xf>
    <xf numFmtId="0" fontId="40" fillId="0" borderId="72" xfId="11" applyFont="1" applyBorder="1" applyAlignment="1">
      <alignment horizontal="center" vertical="center"/>
    </xf>
    <xf numFmtId="178" fontId="24" fillId="3" borderId="53" xfId="11" applyNumberFormat="1" applyFont="1" applyFill="1" applyBorder="1" applyAlignment="1">
      <alignment horizontal="center" vertical="center"/>
    </xf>
    <xf numFmtId="178" fontId="24" fillId="3" borderId="50" xfId="11" applyNumberFormat="1" applyFont="1" applyFill="1" applyBorder="1" applyAlignment="1">
      <alignment horizontal="center" vertical="center"/>
    </xf>
    <xf numFmtId="178" fontId="24" fillId="3" borderId="52" xfId="11" applyNumberFormat="1" applyFont="1" applyFill="1" applyBorder="1" applyAlignment="1">
      <alignment horizontal="center" vertical="center"/>
    </xf>
    <xf numFmtId="179" fontId="24" fillId="22" borderId="6" xfId="11" applyNumberFormat="1" applyFont="1" applyFill="1" applyBorder="1" applyAlignment="1">
      <alignment horizontal="center" vertical="center"/>
    </xf>
    <xf numFmtId="179" fontId="24" fillId="22" borderId="7" xfId="11" applyNumberFormat="1" applyFont="1" applyFill="1" applyBorder="1" applyAlignment="1">
      <alignment horizontal="center" vertical="center"/>
    </xf>
    <xf numFmtId="0" fontId="24" fillId="0" borderId="46" xfId="11" applyFont="1" applyBorder="1" applyAlignment="1">
      <alignment horizontal="center" vertical="center" wrapText="1"/>
    </xf>
    <xf numFmtId="0" fontId="24" fillId="0" borderId="44" xfId="11" applyFont="1" applyBorder="1" applyAlignment="1">
      <alignment horizontal="center" vertical="center" wrapText="1"/>
    </xf>
    <xf numFmtId="0" fontId="24" fillId="0" borderId="45" xfId="11" applyFont="1" applyBorder="1" applyAlignment="1">
      <alignment horizontal="center" vertical="center" wrapText="1"/>
    </xf>
    <xf numFmtId="202" fontId="24" fillId="3" borderId="9" xfId="11" applyNumberFormat="1" applyFont="1" applyFill="1" applyBorder="1" applyAlignment="1">
      <alignment horizontal="center" vertical="center"/>
    </xf>
    <xf numFmtId="203" fontId="24" fillId="3" borderId="9" xfId="11" applyNumberFormat="1" applyFont="1" applyFill="1" applyBorder="1" applyAlignment="1">
      <alignment horizontal="center" vertical="center"/>
    </xf>
    <xf numFmtId="203" fontId="24" fillId="3" borderId="43" xfId="11" applyNumberFormat="1" applyFont="1" applyFill="1" applyBorder="1" applyAlignment="1">
      <alignment horizontal="center" vertical="center"/>
    </xf>
    <xf numFmtId="203" fontId="24" fillId="22" borderId="9" xfId="11" applyNumberFormat="1" applyFont="1" applyFill="1" applyBorder="1" applyAlignment="1">
      <alignment horizontal="center" vertical="center"/>
    </xf>
    <xf numFmtId="203" fontId="24" fillId="22" borderId="10" xfId="11" applyNumberFormat="1" applyFont="1" applyFill="1" applyBorder="1" applyAlignment="1">
      <alignment horizontal="center" vertical="center"/>
    </xf>
    <xf numFmtId="165" fontId="164" fillId="3" borderId="9" xfId="11" applyNumberFormat="1" applyFont="1" applyFill="1" applyBorder="1" applyAlignment="1">
      <alignment horizontal="center" vertical="center"/>
    </xf>
    <xf numFmtId="2" fontId="164" fillId="3" borderId="9" xfId="11" applyNumberFormat="1" applyFont="1" applyFill="1" applyBorder="1" applyAlignment="1">
      <alignment horizontal="center" vertical="center"/>
    </xf>
    <xf numFmtId="2" fontId="164" fillId="22" borderId="9" xfId="11" applyNumberFormat="1" applyFont="1" applyFill="1" applyBorder="1" applyAlignment="1">
      <alignment horizontal="center" vertical="center"/>
    </xf>
    <xf numFmtId="2" fontId="164" fillId="22" borderId="10" xfId="11" applyNumberFormat="1" applyFont="1" applyFill="1" applyBorder="1" applyAlignment="1">
      <alignment horizontal="center" vertical="center"/>
    </xf>
    <xf numFmtId="0" fontId="40" fillId="0" borderId="5" xfId="11" applyFont="1" applyBorder="1" applyAlignment="1">
      <alignment horizontal="center" vertical="center"/>
    </xf>
    <xf numFmtId="0" fontId="40" fillId="0" borderId="6" xfId="11" applyFont="1" applyBorder="1" applyAlignment="1">
      <alignment horizontal="center" vertical="center"/>
    </xf>
    <xf numFmtId="0" fontId="40" fillId="0" borderId="53" xfId="11" applyFont="1" applyBorder="1" applyAlignment="1">
      <alignment horizontal="center" vertical="center"/>
    </xf>
    <xf numFmtId="0" fontId="40" fillId="0" borderId="7" xfId="11" applyFont="1" applyBorder="1" applyAlignment="1">
      <alignment horizontal="center" vertical="center"/>
    </xf>
    <xf numFmtId="0" fontId="109" fillId="0" borderId="2" xfId="0" quotePrefix="1" applyFont="1" applyBorder="1" applyAlignment="1">
      <alignment horizontal="center" vertical="center" wrapText="1"/>
    </xf>
    <xf numFmtId="1" fontId="24" fillId="0" borderId="2" xfId="0" applyNumberFormat="1" applyFont="1" applyBorder="1" applyAlignment="1">
      <alignment horizontal="center" vertical="center" wrapText="1"/>
    </xf>
    <xf numFmtId="1" fontId="24" fillId="0" borderId="3" xfId="0" applyNumberFormat="1" applyFont="1" applyBorder="1" applyAlignment="1">
      <alignment horizontal="center" vertical="center" wrapText="1"/>
    </xf>
    <xf numFmtId="1" fontId="24" fillId="0" borderId="4" xfId="0" applyNumberFormat="1" applyFont="1" applyBorder="1" applyAlignment="1">
      <alignment horizontal="center" vertical="center" wrapText="1"/>
    </xf>
    <xf numFmtId="0" fontId="40" fillId="0" borderId="11" xfId="0" applyFont="1" applyBorder="1" applyAlignment="1">
      <alignment vertical="top" wrapText="1"/>
    </xf>
    <xf numFmtId="0" fontId="0" fillId="0" borderId="11" xfId="0" applyBorder="1" applyAlignment="1">
      <alignment vertical="top" wrapText="1"/>
    </xf>
    <xf numFmtId="0" fontId="195" fillId="0" borderId="2" xfId="0" applyFont="1" applyBorder="1" applyAlignment="1">
      <alignment horizontal="center" vertical="center" wrapText="1"/>
    </xf>
    <xf numFmtId="0" fontId="195" fillId="0" borderId="3" xfId="0" applyFont="1" applyBorder="1" applyAlignment="1">
      <alignment horizontal="center" vertical="center" wrapText="1"/>
    </xf>
    <xf numFmtId="0" fontId="195" fillId="0" borderId="4"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21" fillId="0" borderId="1" xfId="0" applyFont="1" applyBorder="1" applyAlignment="1">
      <alignment horizontal="center" vertical="center"/>
    </xf>
    <xf numFmtId="9" fontId="21" fillId="0" borderId="1" xfId="0" applyNumberFormat="1" applyFont="1" applyBorder="1" applyAlignment="1">
      <alignment horizontal="center" vertical="center"/>
    </xf>
    <xf numFmtId="0" fontId="24" fillId="0" borderId="1" xfId="11" applyFont="1" applyBorder="1" applyAlignment="1">
      <alignment horizontal="left" vertical="center"/>
    </xf>
    <xf numFmtId="3" fontId="1" fillId="0" borderId="1" xfId="0" applyNumberFormat="1" applyFont="1" applyBorder="1" applyAlignment="1">
      <alignment horizontal="right" vertical="center"/>
    </xf>
    <xf numFmtId="0" fontId="1" fillId="0" borderId="1" xfId="0" applyFont="1" applyBorder="1" applyAlignment="1">
      <alignment horizontal="right" vertical="center"/>
    </xf>
    <xf numFmtId="9" fontId="24" fillId="0" borderId="1" xfId="1" applyFont="1" applyBorder="1" applyAlignment="1">
      <alignment horizontal="right" vertical="center" wrapText="1"/>
    </xf>
    <xf numFmtId="0" fontId="142" fillId="0" borderId="0" xfId="0" applyFont="1" applyAlignment="1">
      <alignment horizontal="left" vertical="top" wrapText="1"/>
    </xf>
    <xf numFmtId="0" fontId="62" fillId="0" borderId="1" xfId="11" applyFont="1" applyBorder="1" applyAlignment="1">
      <alignment horizontal="center" vertical="center"/>
    </xf>
    <xf numFmtId="0" fontId="62" fillId="0" borderId="1" xfId="0" applyFont="1" applyBorder="1" applyAlignment="1">
      <alignment horizontal="center" vertical="center" wrapText="1"/>
    </xf>
    <xf numFmtId="0" fontId="157" fillId="0" borderId="0" xfId="11" applyFont="1" applyAlignment="1">
      <alignment horizontal="left" vertical="top" wrapText="1"/>
    </xf>
    <xf numFmtId="0" fontId="40" fillId="0" borderId="1" xfId="11" applyFont="1" applyBorder="1" applyAlignment="1">
      <alignment horizontal="left" vertical="center"/>
    </xf>
    <xf numFmtId="3" fontId="4" fillId="0" borderId="1" xfId="0" applyNumberFormat="1" applyFont="1" applyBorder="1" applyAlignment="1">
      <alignment horizontal="right" vertical="center"/>
    </xf>
    <xf numFmtId="9" fontId="40" fillId="0" borderId="1" xfId="1" applyFont="1" applyBorder="1" applyAlignment="1">
      <alignment horizontal="right" vertical="center" wrapText="1"/>
    </xf>
    <xf numFmtId="0" fontId="24" fillId="0" borderId="46" xfId="11" applyFont="1" applyBorder="1" applyAlignment="1">
      <alignment horizontal="center" vertical="center"/>
    </xf>
    <xf numFmtId="0" fontId="24" fillId="0" borderId="44" xfId="11" applyFont="1" applyBorder="1" applyAlignment="1">
      <alignment horizontal="center" vertical="center"/>
    </xf>
    <xf numFmtId="0" fontId="24" fillId="0" borderId="45" xfId="11" applyFont="1" applyBorder="1" applyAlignment="1">
      <alignment horizontal="center" vertical="center"/>
    </xf>
    <xf numFmtId="179" fontId="24" fillId="3" borderId="74" xfId="11" applyNumberFormat="1" applyFont="1" applyFill="1" applyBorder="1" applyAlignment="1">
      <alignment horizontal="center" vertical="center"/>
    </xf>
    <xf numFmtId="0" fontId="62" fillId="0" borderId="0" xfId="0" applyFont="1" applyAlignment="1">
      <alignment wrapText="1"/>
    </xf>
    <xf numFmtId="0" fontId="40" fillId="0" borderId="23" xfId="0" applyFont="1" applyBorder="1" applyAlignment="1">
      <alignment horizontal="center"/>
    </xf>
    <xf numFmtId="0" fontId="24" fillId="0" borderId="38" xfId="11" applyFont="1" applyBorder="1" applyAlignment="1">
      <alignment horizontal="center" vertical="center"/>
    </xf>
    <xf numFmtId="179" fontId="24" fillId="22" borderId="2" xfId="11" applyNumberFormat="1" applyFont="1" applyFill="1" applyBorder="1" applyAlignment="1">
      <alignment horizontal="center" vertical="center"/>
    </xf>
    <xf numFmtId="179" fontId="24" fillId="22" borderId="3" xfId="11" applyNumberFormat="1" applyFont="1" applyFill="1" applyBorder="1" applyAlignment="1">
      <alignment horizontal="center" vertical="center"/>
    </xf>
    <xf numFmtId="179" fontId="24" fillId="22" borderId="39" xfId="11" applyNumberFormat="1" applyFont="1" applyFill="1" applyBorder="1" applyAlignment="1">
      <alignment horizontal="center" vertical="center"/>
    </xf>
    <xf numFmtId="179" fontId="24" fillId="22" borderId="43" xfId="11" applyNumberFormat="1" applyFont="1" applyFill="1" applyBorder="1" applyAlignment="1">
      <alignment horizontal="center" vertical="center"/>
    </xf>
    <xf numFmtId="179" fontId="24" fillId="22" borderId="44" xfId="11" applyNumberFormat="1" applyFont="1" applyFill="1" applyBorder="1" applyAlignment="1">
      <alignment horizontal="center" vertical="center"/>
    </xf>
    <xf numFmtId="179" fontId="24" fillId="22" borderId="54" xfId="11" applyNumberFormat="1" applyFont="1" applyFill="1" applyBorder="1" applyAlignment="1">
      <alignment horizontal="center" vertical="center"/>
    </xf>
    <xf numFmtId="179" fontId="24" fillId="3" borderId="44" xfId="11" applyNumberFormat="1" applyFont="1" applyFill="1" applyBorder="1" applyAlignment="1">
      <alignment horizontal="center" vertical="center"/>
    </xf>
    <xf numFmtId="179" fontId="24" fillId="3" borderId="45" xfId="11" applyNumberFormat="1" applyFont="1" applyFill="1" applyBorder="1" applyAlignment="1">
      <alignment horizontal="center" vertical="center"/>
    </xf>
    <xf numFmtId="0" fontId="24" fillId="0" borderId="69" xfId="11" applyFont="1" applyBorder="1" applyAlignment="1">
      <alignment horizontal="center" vertical="center"/>
    </xf>
    <xf numFmtId="0" fontId="24" fillId="0" borderId="11" xfId="11" applyFont="1" applyBorder="1" applyAlignment="1">
      <alignment horizontal="center" vertical="center"/>
    </xf>
    <xf numFmtId="0" fontId="24" fillId="0" borderId="19" xfId="11" applyFont="1" applyBorder="1" applyAlignment="1">
      <alignment horizontal="center" vertical="center"/>
    </xf>
    <xf numFmtId="179" fontId="24" fillId="3" borderId="1" xfId="11" applyNumberFormat="1" applyFont="1" applyFill="1" applyBorder="1" applyAlignment="1">
      <alignment horizontal="center" vertical="center"/>
    </xf>
    <xf numFmtId="164" fontId="117" fillId="0" borderId="2" xfId="1" applyNumberFormat="1" applyFont="1" applyBorder="1" applyAlignment="1">
      <alignment horizontal="center" vertical="center" wrapText="1"/>
    </xf>
    <xf numFmtId="164" fontId="117" fillId="0" borderId="3" xfId="1" applyNumberFormat="1" applyFont="1" applyBorder="1" applyAlignment="1">
      <alignment horizontal="center" vertical="center" wrapText="1"/>
    </xf>
    <xf numFmtId="164" fontId="117" fillId="0" borderId="4" xfId="1" applyNumberFormat="1" applyFont="1" applyBorder="1" applyAlignment="1">
      <alignment horizontal="center" vertical="center" wrapText="1"/>
    </xf>
    <xf numFmtId="0" fontId="157" fillId="0" borderId="14" xfId="0" applyFont="1" applyBorder="1" applyAlignment="1">
      <alignment horizontal="left" vertical="top"/>
    </xf>
    <xf numFmtId="0" fontId="109" fillId="0" borderId="2" xfId="0" applyFont="1" applyBorder="1" applyAlignment="1">
      <alignment horizontal="center"/>
    </xf>
    <xf numFmtId="0" fontId="109" fillId="0" borderId="3" xfId="0" applyFont="1" applyBorder="1" applyAlignment="1">
      <alignment horizontal="center"/>
    </xf>
    <xf numFmtId="0" fontId="109" fillId="0" borderId="4" xfId="0" applyFont="1" applyBorder="1" applyAlignment="1">
      <alignment horizontal="center"/>
    </xf>
    <xf numFmtId="0" fontId="219" fillId="0" borderId="13" xfId="0" applyFont="1" applyBorder="1" applyAlignment="1">
      <alignment horizontal="center" vertical="center" textRotation="255"/>
    </xf>
    <xf numFmtId="0" fontId="219" fillId="0" borderId="15" xfId="0" applyFont="1" applyBorder="1" applyAlignment="1">
      <alignment horizontal="center" vertical="center" textRotation="255"/>
    </xf>
    <xf numFmtId="0" fontId="219" fillId="0" borderId="16" xfId="0" applyFont="1" applyBorder="1" applyAlignment="1">
      <alignment horizontal="center" vertical="center" textRotation="255"/>
    </xf>
    <xf numFmtId="0" fontId="219" fillId="0" borderId="17" xfId="0" applyFont="1" applyBorder="1" applyAlignment="1">
      <alignment horizontal="center" vertical="center" textRotation="255"/>
    </xf>
    <xf numFmtId="0" fontId="219" fillId="0" borderId="18" xfId="0" applyFont="1" applyBorder="1" applyAlignment="1">
      <alignment horizontal="center" vertical="center" textRotation="255"/>
    </xf>
    <xf numFmtId="0" fontId="219" fillId="0" borderId="19" xfId="0" applyFont="1" applyBorder="1" applyAlignment="1">
      <alignment horizontal="center" vertical="center" textRotation="255"/>
    </xf>
    <xf numFmtId="1" fontId="109" fillId="0" borderId="2" xfId="0" applyNumberFormat="1" applyFont="1" applyBorder="1" applyAlignment="1">
      <alignment horizontal="center" vertical="center"/>
    </xf>
    <xf numFmtId="1" fontId="109" fillId="0" borderId="3" xfId="0" applyNumberFormat="1" applyFont="1" applyBorder="1" applyAlignment="1">
      <alignment horizontal="center" vertical="center"/>
    </xf>
    <xf numFmtId="1" fontId="109" fillId="0" borderId="4" xfId="0" applyNumberFormat="1" applyFont="1" applyBorder="1" applyAlignment="1">
      <alignment horizontal="center" vertical="center"/>
    </xf>
    <xf numFmtId="167" fontId="109" fillId="0" borderId="2" xfId="0" applyNumberFormat="1" applyFont="1" applyBorder="1" applyAlignment="1">
      <alignment horizontal="center" vertical="center"/>
    </xf>
    <xf numFmtId="167" fontId="109" fillId="0" borderId="3" xfId="0" applyNumberFormat="1" applyFont="1" applyBorder="1" applyAlignment="1">
      <alignment horizontal="center" vertical="center"/>
    </xf>
    <xf numFmtId="167" fontId="109" fillId="0" borderId="4" xfId="0" applyNumberFormat="1" applyFont="1" applyBorder="1" applyAlignment="1">
      <alignment horizontal="center" vertical="center"/>
    </xf>
    <xf numFmtId="1" fontId="108" fillId="0" borderId="2" xfId="0" applyNumberFormat="1" applyFont="1" applyBorder="1" applyAlignment="1">
      <alignment horizontal="center" vertical="center"/>
    </xf>
    <xf numFmtId="1" fontId="108" fillId="0" borderId="3" xfId="0" applyNumberFormat="1" applyFont="1" applyBorder="1" applyAlignment="1">
      <alignment horizontal="center" vertical="center"/>
    </xf>
    <xf numFmtId="1" fontId="108" fillId="0" borderId="4" xfId="0" applyNumberFormat="1" applyFont="1" applyBorder="1" applyAlignment="1">
      <alignment horizontal="center" vertical="center"/>
    </xf>
    <xf numFmtId="0" fontId="0" fillId="0" borderId="61" xfId="0" applyBorder="1" applyAlignment="1">
      <alignment horizontal="center" vertical="center" wrapText="1"/>
    </xf>
    <xf numFmtId="0" fontId="0" fillId="0" borderId="12" xfId="0" applyBorder="1" applyAlignment="1">
      <alignment horizontal="center" vertical="center" wrapText="1"/>
    </xf>
    <xf numFmtId="178" fontId="0" fillId="3" borderId="12" xfId="0" applyNumberFormat="1" applyFill="1" applyBorder="1" applyAlignment="1">
      <alignment horizontal="center" vertical="center"/>
    </xf>
    <xf numFmtId="179" fontId="0" fillId="3" borderId="12" xfId="0" applyNumberFormat="1" applyFill="1" applyBorder="1" applyAlignment="1">
      <alignment horizontal="center" vertical="center"/>
    </xf>
    <xf numFmtId="179" fontId="0" fillId="3" borderId="13" xfId="0" applyNumberFormat="1" applyFill="1" applyBorder="1" applyAlignment="1">
      <alignment horizontal="center" vertical="center"/>
    </xf>
    <xf numFmtId="179" fontId="24" fillId="22" borderId="12" xfId="0" applyNumberFormat="1" applyFont="1" applyFill="1" applyBorder="1" applyAlignment="1">
      <alignment horizontal="center" vertical="center"/>
    </xf>
    <xf numFmtId="179" fontId="24" fillId="22" borderId="40" xfId="0" applyNumberFormat="1" applyFont="1" applyFill="1" applyBorder="1" applyAlignment="1">
      <alignment horizontal="center" vertical="center"/>
    </xf>
    <xf numFmtId="0" fontId="0" fillId="0" borderId="6" xfId="0" applyBorder="1" applyAlignment="1">
      <alignment horizontal="center" vertical="center" wrapText="1"/>
    </xf>
    <xf numFmtId="179" fontId="0" fillId="3" borderId="6" xfId="0" applyNumberFormat="1" applyFill="1" applyBorder="1" applyAlignment="1">
      <alignment horizontal="center" vertical="center"/>
    </xf>
    <xf numFmtId="179" fontId="0" fillId="3" borderId="53" xfId="0" applyNumberFormat="1" applyFill="1" applyBorder="1" applyAlignment="1">
      <alignment horizontal="center" vertical="center"/>
    </xf>
    <xf numFmtId="179" fontId="24" fillId="22" borderId="6" xfId="0" applyNumberFormat="1" applyFont="1" applyFill="1" applyBorder="1" applyAlignment="1">
      <alignment horizontal="center" vertical="center"/>
    </xf>
    <xf numFmtId="179" fontId="24" fillId="22" borderId="7" xfId="0" applyNumberFormat="1" applyFont="1" applyFill="1" applyBorder="1" applyAlignment="1">
      <alignment horizontal="center" vertical="center"/>
    </xf>
    <xf numFmtId="0" fontId="114" fillId="0" borderId="1" xfId="0" applyFont="1" applyBorder="1" applyAlignment="1">
      <alignment vertical="center" wrapText="1"/>
    </xf>
    <xf numFmtId="0" fontId="24" fillId="0" borderId="21" xfId="0" applyFont="1" applyBorder="1" applyAlignment="1">
      <alignment horizontal="center" vertical="center" wrapText="1"/>
    </xf>
    <xf numFmtId="164" fontId="24" fillId="0" borderId="9" xfId="0" applyNumberFormat="1" applyFont="1" applyBorder="1" applyAlignment="1">
      <alignment horizontal="center" vertical="center" wrapText="1"/>
    </xf>
    <xf numFmtId="0" fontId="24" fillId="0" borderId="10" xfId="0" applyFont="1" applyBorder="1" applyAlignment="1">
      <alignment horizontal="center" vertical="center" wrapText="1"/>
    </xf>
    <xf numFmtId="191" fontId="24" fillId="3" borderId="1" xfId="0" applyNumberFormat="1" applyFont="1" applyFill="1" applyBorder="1" applyAlignment="1">
      <alignment horizontal="center" vertical="center" wrapText="1"/>
    </xf>
    <xf numFmtId="0" fontId="24" fillId="0" borderId="91" xfId="0" applyFont="1" applyBorder="1" applyAlignment="1">
      <alignment horizontal="center" vertical="center" wrapText="1"/>
    </xf>
    <xf numFmtId="0" fontId="24" fillId="0" borderId="74" xfId="0" applyFont="1" applyBorder="1" applyAlignment="1">
      <alignment horizontal="center" vertical="center" wrapText="1"/>
    </xf>
    <xf numFmtId="221" fontId="24" fillId="3" borderId="66" xfId="0" applyNumberFormat="1" applyFont="1" applyFill="1" applyBorder="1" applyAlignment="1">
      <alignment horizontal="center" vertical="center" wrapText="1"/>
    </xf>
    <xf numFmtId="221" fontId="24" fillId="3" borderId="23" xfId="0" applyNumberFormat="1" applyFont="1" applyFill="1" applyBorder="1" applyAlignment="1">
      <alignment horizontal="center" vertical="center" wrapText="1"/>
    </xf>
    <xf numFmtId="221" fontId="24" fillId="3" borderId="60" xfId="0" applyNumberFormat="1" applyFont="1" applyFill="1" applyBorder="1" applyAlignment="1">
      <alignment horizontal="center" vertical="center" wrapText="1"/>
    </xf>
    <xf numFmtId="191" fontId="24" fillId="22" borderId="74" xfId="7" applyNumberFormat="1" applyFont="1" applyFill="1" applyBorder="1" applyAlignment="1">
      <alignment horizontal="center" vertical="center"/>
    </xf>
    <xf numFmtId="191" fontId="24" fillId="22" borderId="65" xfId="7" applyNumberFormat="1" applyFont="1" applyFill="1" applyBorder="1" applyAlignment="1">
      <alignment horizontal="center" vertical="center"/>
    </xf>
    <xf numFmtId="0" fontId="217" fillId="0" borderId="16" xfId="0" applyFont="1" applyBorder="1" applyAlignment="1">
      <alignment horizontal="center" vertical="center" wrapText="1"/>
    </xf>
    <xf numFmtId="0" fontId="217" fillId="0" borderId="0" xfId="0" applyFont="1" applyAlignment="1">
      <alignment horizontal="center" vertical="center" wrapText="1"/>
    </xf>
    <xf numFmtId="0" fontId="217" fillId="0" borderId="17" xfId="0" applyFont="1" applyBorder="1" applyAlignment="1">
      <alignment horizontal="center" vertical="center" wrapText="1"/>
    </xf>
    <xf numFmtId="0" fontId="63" fillId="0" borderId="13" xfId="0" applyFont="1" applyBorder="1" applyAlignment="1">
      <alignment horizontal="left" vertical="center"/>
    </xf>
    <xf numFmtId="0" fontId="63" fillId="0" borderId="14" xfId="0" applyFont="1" applyBorder="1" applyAlignment="1">
      <alignment horizontal="left" vertical="center"/>
    </xf>
    <xf numFmtId="0" fontId="63" fillId="0" borderId="15" xfId="0" applyFont="1" applyBorder="1" applyAlignment="1">
      <alignment horizontal="left" vertical="center"/>
    </xf>
    <xf numFmtId="0" fontId="63" fillId="0" borderId="16" xfId="0" applyFont="1" applyBorder="1" applyAlignment="1">
      <alignment horizontal="left" vertical="center"/>
    </xf>
    <xf numFmtId="0" fontId="63" fillId="0" borderId="17" xfId="0" applyFont="1" applyBorder="1" applyAlignment="1">
      <alignment horizontal="left" vertical="center"/>
    </xf>
    <xf numFmtId="0" fontId="63" fillId="0" borderId="18" xfId="0" applyFont="1" applyBorder="1" applyAlignment="1">
      <alignment horizontal="left" vertical="center"/>
    </xf>
    <xf numFmtId="0" fontId="63" fillId="0" borderId="11" xfId="0" applyFont="1" applyBorder="1" applyAlignment="1">
      <alignment horizontal="left" vertical="center"/>
    </xf>
    <xf numFmtId="0" fontId="63" fillId="0" borderId="19" xfId="0" applyFont="1" applyBorder="1" applyAlignment="1">
      <alignment horizontal="left" vertical="center"/>
    </xf>
    <xf numFmtId="0" fontId="117" fillId="0" borderId="18" xfId="0" applyFont="1" applyBorder="1" applyAlignment="1">
      <alignment horizontal="center" vertical="center" wrapText="1"/>
    </xf>
    <xf numFmtId="0" fontId="117" fillId="0" borderId="11" xfId="0" applyFont="1" applyBorder="1" applyAlignment="1">
      <alignment horizontal="center" vertical="center" wrapText="1"/>
    </xf>
    <xf numFmtId="0" fontId="117" fillId="0" borderId="19" xfId="0" applyFont="1" applyBorder="1" applyAlignment="1">
      <alignment horizontal="center" vertical="center" wrapText="1"/>
    </xf>
    <xf numFmtId="164" fontId="117" fillId="0" borderId="18" xfId="0" applyNumberFormat="1" applyFont="1" applyBorder="1" applyAlignment="1">
      <alignment horizontal="center" vertical="center" wrapText="1"/>
    </xf>
    <xf numFmtId="164" fontId="117" fillId="0" borderId="11" xfId="0" applyNumberFormat="1" applyFont="1" applyBorder="1" applyAlignment="1">
      <alignment horizontal="center" vertical="center" wrapText="1"/>
    </xf>
    <xf numFmtId="164" fontId="117" fillId="0" borderId="19" xfId="0" applyNumberFormat="1" applyFont="1" applyBorder="1" applyAlignment="1">
      <alignment horizontal="center" vertical="center" wrapText="1"/>
    </xf>
    <xf numFmtId="0" fontId="92" fillId="0" borderId="13" xfId="0" applyFont="1" applyBorder="1" applyAlignment="1">
      <alignment horizontal="left" vertical="center"/>
    </xf>
    <xf numFmtId="0" fontId="4" fillId="0" borderId="68"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59"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71" xfId="0" applyFont="1" applyBorder="1" applyAlignment="1">
      <alignment horizontal="center" vertical="center" wrapText="1"/>
    </xf>
    <xf numFmtId="0" fontId="24" fillId="0" borderId="38" xfId="0" applyFont="1" applyBorder="1" applyAlignment="1">
      <alignment horizontal="left" vertical="center" wrapText="1"/>
    </xf>
    <xf numFmtId="0" fontId="24" fillId="0" borderId="3" xfId="0" applyFont="1" applyBorder="1" applyAlignment="1">
      <alignment horizontal="left" vertical="center" wrapText="1"/>
    </xf>
    <xf numFmtId="0" fontId="24" fillId="0" borderId="4" xfId="0" applyFont="1" applyBorder="1" applyAlignment="1">
      <alignment horizontal="left" vertical="center" wrapText="1"/>
    </xf>
    <xf numFmtId="0" fontId="4" fillId="0" borderId="38" xfId="0" applyFont="1" applyBorder="1" applyAlignment="1">
      <alignment horizontal="center" vertical="center"/>
    </xf>
    <xf numFmtId="0" fontId="24" fillId="0" borderId="46" xfId="0" applyFont="1" applyBorder="1" applyAlignment="1">
      <alignment horizontal="left" vertical="center" wrapText="1"/>
    </xf>
    <xf numFmtId="0" fontId="24" fillId="0" borderId="44" xfId="0" applyFont="1" applyBorder="1" applyAlignment="1">
      <alignment horizontal="left" vertical="center" wrapText="1"/>
    </xf>
    <xf numFmtId="0" fontId="24" fillId="0" borderId="45" xfId="0" applyFont="1" applyBorder="1" applyAlignment="1">
      <alignment horizontal="left" vertical="center" wrapText="1"/>
    </xf>
    <xf numFmtId="191" fontId="24" fillId="3" borderId="43" xfId="0" applyNumberFormat="1" applyFont="1" applyFill="1" applyBorder="1" applyAlignment="1">
      <alignment horizontal="center" vertical="center"/>
    </xf>
    <xf numFmtId="191" fontId="24" fillId="3" borderId="44" xfId="0" applyNumberFormat="1" applyFont="1" applyFill="1" applyBorder="1" applyAlignment="1">
      <alignment horizontal="center" vertical="center"/>
    </xf>
    <xf numFmtId="191" fontId="24" fillId="3" borderId="45" xfId="0" applyNumberFormat="1" applyFont="1" applyFill="1" applyBorder="1" applyAlignment="1">
      <alignment horizontal="center" vertical="center"/>
    </xf>
    <xf numFmtId="0" fontId="20" fillId="16" borderId="98" xfId="0" applyFont="1" applyFill="1" applyBorder="1" applyAlignment="1" applyProtection="1">
      <alignment horizontal="center" vertical="center" wrapText="1"/>
      <protection locked="0"/>
    </xf>
    <xf numFmtId="0" fontId="20" fillId="16" borderId="99" xfId="0" applyFont="1" applyFill="1" applyBorder="1" applyAlignment="1" applyProtection="1">
      <alignment horizontal="center" vertical="center" wrapText="1"/>
      <protection locked="0"/>
    </xf>
    <xf numFmtId="0" fontId="20" fillId="16" borderId="100" xfId="0" applyFont="1" applyFill="1" applyBorder="1" applyAlignment="1" applyProtection="1">
      <alignment horizontal="center" vertical="center" wrapText="1"/>
      <protection locked="0"/>
    </xf>
    <xf numFmtId="0" fontId="20" fillId="16" borderId="101" xfId="0" applyFont="1" applyFill="1" applyBorder="1" applyAlignment="1" applyProtection="1">
      <alignment horizontal="center" vertical="center" wrapText="1"/>
      <protection locked="0"/>
    </xf>
    <xf numFmtId="0" fontId="20" fillId="16" borderId="102" xfId="0" applyFont="1" applyFill="1" applyBorder="1" applyAlignment="1" applyProtection="1">
      <alignment horizontal="center" vertical="center" wrapText="1"/>
      <protection locked="0"/>
    </xf>
    <xf numFmtId="0" fontId="20" fillId="16" borderId="103" xfId="0" applyFont="1" applyFill="1" applyBorder="1" applyAlignment="1" applyProtection="1">
      <alignment horizontal="center" vertical="center" wrapText="1"/>
      <protection locked="0"/>
    </xf>
    <xf numFmtId="0" fontId="109" fillId="13" borderId="2" xfId="0" applyFont="1" applyFill="1" applyBorder="1" applyAlignment="1">
      <alignment horizontal="center" vertical="center" wrapText="1"/>
    </xf>
    <xf numFmtId="0" fontId="109" fillId="13" borderId="3" xfId="0" applyFont="1" applyFill="1" applyBorder="1" applyAlignment="1">
      <alignment horizontal="center" vertical="center" wrapText="1"/>
    </xf>
    <xf numFmtId="0" fontId="109" fillId="13" borderId="4" xfId="0" applyFont="1" applyFill="1" applyBorder="1" applyAlignment="1">
      <alignment horizontal="center" vertical="center" wrapText="1"/>
    </xf>
    <xf numFmtId="191" fontId="24" fillId="3" borderId="2" xfId="0" applyNumberFormat="1" applyFont="1" applyFill="1" applyBorder="1" applyAlignment="1">
      <alignment horizontal="center" vertical="center" wrapText="1"/>
    </xf>
    <xf numFmtId="191" fontId="24" fillId="3" borderId="3" xfId="0" applyNumberFormat="1" applyFont="1" applyFill="1" applyBorder="1" applyAlignment="1">
      <alignment horizontal="center" vertical="center" wrapText="1"/>
    </xf>
    <xf numFmtId="191" fontId="24" fillId="3" borderId="4" xfId="0" applyNumberFormat="1" applyFont="1" applyFill="1" applyBorder="1" applyAlignment="1">
      <alignment horizontal="center" vertical="center" wrapText="1"/>
    </xf>
    <xf numFmtId="191" fontId="24" fillId="3" borderId="43" xfId="0" applyNumberFormat="1" applyFont="1" applyFill="1" applyBorder="1" applyAlignment="1">
      <alignment horizontal="center" vertical="center" wrapText="1"/>
    </xf>
    <xf numFmtId="191" fontId="24" fillId="3" borderId="44" xfId="0" applyNumberFormat="1" applyFont="1" applyFill="1" applyBorder="1" applyAlignment="1">
      <alignment horizontal="center" vertical="center" wrapText="1"/>
    </xf>
    <xf numFmtId="191" fontId="24" fillId="3" borderId="45" xfId="0" applyNumberFormat="1" applyFont="1" applyFill="1" applyBorder="1" applyAlignment="1">
      <alignment horizontal="center" vertical="center" wrapText="1"/>
    </xf>
    <xf numFmtId="0" fontId="117" fillId="13" borderId="1" xfId="0" quotePrefix="1" applyFont="1" applyFill="1" applyBorder="1" applyAlignment="1">
      <alignment horizontal="center" vertical="center"/>
    </xf>
    <xf numFmtId="0" fontId="119" fillId="35" borderId="1" xfId="0" applyFont="1" applyFill="1" applyBorder="1" applyAlignment="1">
      <alignment horizontal="center" vertical="center" wrapText="1"/>
    </xf>
    <xf numFmtId="10" fontId="117" fillId="0" borderId="1" xfId="1" applyNumberFormat="1" applyFont="1" applyBorder="1" applyAlignment="1">
      <alignment horizontal="center" vertical="center" wrapText="1"/>
    </xf>
    <xf numFmtId="0" fontId="117" fillId="0" borderId="1" xfId="0" applyFont="1" applyBorder="1" applyAlignment="1">
      <alignment horizontal="left" vertical="top" wrapText="1"/>
    </xf>
    <xf numFmtId="2" fontId="117" fillId="0" borderId="1" xfId="0" applyNumberFormat="1" applyFont="1" applyBorder="1" applyAlignment="1">
      <alignment horizontal="center" vertical="top"/>
    </xf>
    <xf numFmtId="0" fontId="117" fillId="0" borderId="1" xfId="0" applyFont="1" applyBorder="1" applyAlignment="1">
      <alignment horizontal="center" vertical="top"/>
    </xf>
    <xf numFmtId="0" fontId="108" fillId="0" borderId="12" xfId="0" quotePrefix="1" applyFont="1" applyBorder="1" applyAlignment="1">
      <alignment horizontal="center" wrapText="1"/>
    </xf>
    <xf numFmtId="0" fontId="208" fillId="0" borderId="0" xfId="0" applyFont="1" applyAlignment="1">
      <alignment horizontal="left" vertical="center" wrapText="1"/>
    </xf>
    <xf numFmtId="0" fontId="71" fillId="0" borderId="14" xfId="0" applyFont="1" applyBorder="1" applyAlignment="1">
      <alignment horizontal="center" vertical="center"/>
    </xf>
    <xf numFmtId="0" fontId="71" fillId="0" borderId="0" xfId="0" applyFont="1" applyAlignment="1">
      <alignment horizontal="center" vertical="center"/>
    </xf>
    <xf numFmtId="0" fontId="255" fillId="0" borderId="1" xfId="0" applyFont="1" applyBorder="1" applyAlignment="1">
      <alignment horizontal="left" vertical="center"/>
    </xf>
    <xf numFmtId="0" fontId="276" fillId="0" borderId="1" xfId="0" applyFont="1" applyBorder="1" applyAlignment="1">
      <alignment vertical="center" wrapText="1"/>
    </xf>
    <xf numFmtId="0" fontId="276" fillId="0" borderId="1" xfId="0" applyFont="1" applyBorder="1" applyAlignment="1">
      <alignment horizontal="center" vertical="center"/>
    </xf>
    <xf numFmtId="0" fontId="119" fillId="0" borderId="1" xfId="0" quotePrefix="1" applyFont="1" applyBorder="1" applyAlignment="1">
      <alignment horizontal="center" vertical="center" wrapText="1"/>
    </xf>
    <xf numFmtId="16" fontId="117" fillId="0" borderId="1" xfId="0" quotePrefix="1" applyNumberFormat="1" applyFont="1" applyBorder="1" applyAlignment="1">
      <alignment horizontal="center" vertical="center"/>
    </xf>
    <xf numFmtId="0" fontId="119" fillId="0" borderId="1" xfId="0" quotePrefix="1" applyFont="1" applyBorder="1" applyAlignment="1">
      <alignment horizontal="center" wrapText="1"/>
    </xf>
    <xf numFmtId="0" fontId="117" fillId="0" borderId="3" xfId="0" quotePrefix="1" applyFont="1" applyBorder="1" applyAlignment="1">
      <alignment horizontal="center" vertical="center"/>
    </xf>
    <xf numFmtId="2" fontId="117" fillId="0" borderId="2" xfId="0" quotePrefix="1" applyNumberFormat="1" applyFont="1" applyBorder="1" applyAlignment="1">
      <alignment horizontal="center" vertical="center"/>
    </xf>
    <xf numFmtId="2" fontId="117" fillId="0" borderId="3" xfId="0" quotePrefix="1" applyNumberFormat="1" applyFont="1" applyBorder="1" applyAlignment="1">
      <alignment horizontal="center" vertical="center"/>
    </xf>
    <xf numFmtId="2" fontId="117" fillId="0" borderId="4" xfId="0" quotePrefix="1" applyNumberFormat="1" applyFont="1" applyBorder="1" applyAlignment="1">
      <alignment horizontal="center" vertical="center"/>
    </xf>
    <xf numFmtId="178" fontId="24" fillId="3" borderId="43" xfId="7" applyNumberFormat="1" applyFont="1" applyFill="1" applyBorder="1" applyAlignment="1">
      <alignment horizontal="center" vertical="center"/>
    </xf>
    <xf numFmtId="178" fontId="24" fillId="3" borderId="44" xfId="7" applyNumberFormat="1" applyFont="1" applyFill="1" applyBorder="1" applyAlignment="1">
      <alignment horizontal="center" vertical="center"/>
    </xf>
    <xf numFmtId="178" fontId="24" fillId="3" borderId="45" xfId="7" applyNumberFormat="1" applyFont="1" applyFill="1" applyBorder="1" applyAlignment="1">
      <alignment horizontal="center" vertical="center"/>
    </xf>
    <xf numFmtId="191" fontId="24" fillId="3" borderId="9" xfId="7" applyNumberFormat="1" applyFont="1" applyFill="1" applyBorder="1" applyAlignment="1">
      <alignment horizontal="center" vertical="center"/>
    </xf>
    <xf numFmtId="178" fontId="24" fillId="3" borderId="104" xfId="7" applyNumberFormat="1" applyFont="1" applyFill="1" applyBorder="1" applyAlignment="1">
      <alignment horizontal="center" vertical="center"/>
    </xf>
    <xf numFmtId="178" fontId="24" fillId="3" borderId="30" xfId="7" applyNumberFormat="1" applyFont="1" applyFill="1" applyBorder="1" applyAlignment="1">
      <alignment horizontal="center" vertical="center"/>
    </xf>
    <xf numFmtId="178" fontId="24" fillId="3" borderId="72" xfId="7" applyNumberFormat="1" applyFont="1" applyFill="1" applyBorder="1" applyAlignment="1">
      <alignment horizontal="center" vertical="center"/>
    </xf>
    <xf numFmtId="0" fontId="208" fillId="0" borderId="0" xfId="0" applyFont="1" applyAlignment="1">
      <alignment horizontal="left" vertical="top" wrapText="1"/>
    </xf>
    <xf numFmtId="0" fontId="208" fillId="0" borderId="0" xfId="0" applyFont="1" applyAlignment="1">
      <alignment vertical="center" wrapText="1"/>
    </xf>
    <xf numFmtId="179" fontId="0" fillId="22" borderId="45" xfId="0" applyNumberFormat="1" applyFill="1" applyBorder="1" applyAlignment="1">
      <alignment horizontal="center" vertical="center"/>
    </xf>
    <xf numFmtId="0" fontId="24" fillId="0" borderId="73" xfId="0" applyFont="1" applyBorder="1" applyAlignment="1">
      <alignment horizontal="center"/>
    </xf>
    <xf numFmtId="0" fontId="24" fillId="0" borderId="22" xfId="0" applyFont="1" applyBorder="1" applyAlignment="1">
      <alignment horizontal="center"/>
    </xf>
    <xf numFmtId="0" fontId="24" fillId="0" borderId="18" xfId="0" applyFont="1" applyBorder="1" applyAlignment="1">
      <alignment horizontal="center"/>
    </xf>
    <xf numFmtId="165" fontId="24" fillId="3" borderId="73" xfId="0" applyNumberFormat="1" applyFont="1" applyFill="1" applyBorder="1" applyAlignment="1">
      <alignment horizontal="center"/>
    </xf>
    <xf numFmtId="165" fontId="24" fillId="3" borderId="22" xfId="0" applyNumberFormat="1" applyFont="1" applyFill="1" applyBorder="1" applyAlignment="1">
      <alignment horizontal="center"/>
    </xf>
    <xf numFmtId="165" fontId="24" fillId="3" borderId="70" xfId="0" applyNumberFormat="1" applyFont="1" applyFill="1" applyBorder="1" applyAlignment="1">
      <alignment horizontal="center"/>
    </xf>
    <xf numFmtId="2" fontId="24" fillId="3" borderId="19" xfId="0" applyNumberFormat="1" applyFont="1" applyFill="1" applyBorder="1" applyAlignment="1">
      <alignment horizontal="center"/>
    </xf>
    <xf numFmtId="2" fontId="24" fillId="3" borderId="22" xfId="0" applyNumberFormat="1" applyFont="1" applyFill="1" applyBorder="1" applyAlignment="1">
      <alignment horizontal="center"/>
    </xf>
    <xf numFmtId="2" fontId="24" fillId="3" borderId="70" xfId="0" applyNumberFormat="1" applyFont="1" applyFill="1" applyBorder="1" applyAlignment="1">
      <alignment horizontal="center"/>
    </xf>
    <xf numFmtId="4" fontId="24" fillId="22" borderId="49" xfId="0" applyNumberFormat="1" applyFont="1" applyFill="1" applyBorder="1" applyAlignment="1">
      <alignment horizontal="center"/>
    </xf>
    <xf numFmtId="4" fontId="24" fillId="22" borderId="50" xfId="0" applyNumberFormat="1" applyFont="1" applyFill="1" applyBorder="1" applyAlignment="1">
      <alignment horizontal="center"/>
    </xf>
    <xf numFmtId="4" fontId="24" fillId="22" borderId="51" xfId="0" applyNumberFormat="1" applyFont="1" applyFill="1" applyBorder="1" applyAlignment="1">
      <alignment horizontal="center"/>
    </xf>
    <xf numFmtId="0" fontId="24" fillId="0" borderId="8" xfId="0" applyFont="1" applyBorder="1" applyAlignment="1">
      <alignment horizontal="center"/>
    </xf>
    <xf numFmtId="0" fontId="24" fillId="0" borderId="9" xfId="0" applyFont="1" applyBorder="1" applyAlignment="1">
      <alignment horizontal="center"/>
    </xf>
    <xf numFmtId="0" fontId="24" fillId="0" borderId="43" xfId="0" applyFont="1" applyBorder="1" applyAlignment="1">
      <alignment horizontal="center"/>
    </xf>
    <xf numFmtId="165" fontId="24" fillId="3" borderId="8" xfId="0" applyNumberFormat="1" applyFont="1" applyFill="1" applyBorder="1" applyAlignment="1">
      <alignment horizontal="center"/>
    </xf>
    <xf numFmtId="165" fontId="24" fillId="3" borderId="9" xfId="0" applyNumberFormat="1" applyFont="1" applyFill="1" applyBorder="1" applyAlignment="1">
      <alignment horizontal="center"/>
    </xf>
    <xf numFmtId="165" fontId="24" fillId="3" borderId="10" xfId="0" applyNumberFormat="1" applyFont="1" applyFill="1" applyBorder="1" applyAlignment="1">
      <alignment horizontal="center"/>
    </xf>
    <xf numFmtId="2" fontId="24" fillId="3" borderId="8" xfId="0" applyNumberFormat="1" applyFont="1" applyFill="1" applyBorder="1" applyAlignment="1">
      <alignment horizontal="center"/>
    </xf>
    <xf numFmtId="2" fontId="24" fillId="3" borderId="9" xfId="0" applyNumberFormat="1" applyFont="1" applyFill="1" applyBorder="1" applyAlignment="1">
      <alignment horizontal="center"/>
    </xf>
    <xf numFmtId="2" fontId="24" fillId="3" borderId="10" xfId="0" applyNumberFormat="1" applyFont="1" applyFill="1" applyBorder="1" applyAlignment="1">
      <alignment horizontal="center"/>
    </xf>
    <xf numFmtId="4" fontId="24" fillId="22" borderId="42" xfId="0" applyNumberFormat="1" applyFont="1" applyFill="1" applyBorder="1" applyAlignment="1">
      <alignment horizontal="center"/>
    </xf>
    <xf numFmtId="0" fontId="24" fillId="0" borderId="78" xfId="0" applyFont="1" applyBorder="1" applyAlignment="1">
      <alignment horizontal="center"/>
    </xf>
    <xf numFmtId="165" fontId="24" fillId="3" borderId="78" xfId="0" applyNumberFormat="1" applyFont="1" applyFill="1" applyBorder="1" applyAlignment="1">
      <alignment horizontal="center"/>
    </xf>
    <xf numFmtId="2" fontId="24" fillId="36" borderId="78" xfId="0" applyNumberFormat="1" applyFont="1" applyFill="1" applyBorder="1" applyAlignment="1">
      <alignment horizontal="center"/>
    </xf>
    <xf numFmtId="0" fontId="24" fillId="0" borderId="42" xfId="0" applyFont="1" applyBorder="1" applyAlignment="1">
      <alignment horizontal="center"/>
    </xf>
    <xf numFmtId="165" fontId="24" fillId="3" borderId="42" xfId="0" applyNumberFormat="1" applyFont="1" applyFill="1" applyBorder="1" applyAlignment="1">
      <alignment horizontal="center"/>
    </xf>
    <xf numFmtId="2" fontId="24" fillId="3" borderId="42" xfId="0" applyNumberFormat="1" applyFont="1" applyFill="1" applyBorder="1" applyAlignment="1">
      <alignment horizontal="center"/>
    </xf>
    <xf numFmtId="0" fontId="40" fillId="0" borderId="75" xfId="0" applyFont="1" applyBorder="1" applyAlignment="1">
      <alignment horizontal="center" vertical="center"/>
    </xf>
    <xf numFmtId="0" fontId="40" fillId="0" borderId="76" xfId="0" applyFont="1" applyBorder="1" applyAlignment="1">
      <alignment horizontal="center" vertical="center"/>
    </xf>
    <xf numFmtId="0" fontId="40" fillId="0" borderId="41" xfId="0" applyFont="1" applyBorder="1" applyAlignment="1">
      <alignment horizontal="center"/>
    </xf>
    <xf numFmtId="0" fontId="40" fillId="0" borderId="76" xfId="0" applyFont="1" applyBorder="1" applyAlignment="1">
      <alignment horizontal="center"/>
    </xf>
    <xf numFmtId="0" fontId="40" fillId="0" borderId="77" xfId="0" applyFont="1" applyBorder="1" applyAlignment="1">
      <alignment horizontal="center"/>
    </xf>
    <xf numFmtId="165" fontId="24" fillId="3" borderId="53" xfId="0" applyNumberFormat="1" applyFont="1" applyFill="1" applyBorder="1" applyAlignment="1">
      <alignment horizontal="center"/>
    </xf>
    <xf numFmtId="165" fontId="24" fillId="3" borderId="50" xfId="0" applyNumberFormat="1" applyFont="1" applyFill="1" applyBorder="1" applyAlignment="1">
      <alignment horizontal="center"/>
    </xf>
    <xf numFmtId="165" fontId="24" fillId="3" borderId="52" xfId="0" applyNumberFormat="1" applyFont="1" applyFill="1" applyBorder="1" applyAlignment="1">
      <alignment horizontal="center"/>
    </xf>
    <xf numFmtId="2" fontId="24" fillId="3" borderId="53" xfId="0" applyNumberFormat="1" applyFont="1" applyFill="1" applyBorder="1" applyAlignment="1">
      <alignment horizontal="center"/>
    </xf>
    <xf numFmtId="2" fontId="24" fillId="3" borderId="50" xfId="0" applyNumberFormat="1" applyFont="1" applyFill="1" applyBorder="1" applyAlignment="1">
      <alignment horizontal="center"/>
    </xf>
    <xf numFmtId="2" fontId="24" fillId="3" borderId="51" xfId="0" applyNumberFormat="1" applyFont="1" applyFill="1" applyBorder="1" applyAlignment="1">
      <alignment horizontal="center"/>
    </xf>
    <xf numFmtId="2" fontId="24" fillId="22" borderId="53" xfId="0" applyNumberFormat="1" applyFont="1" applyFill="1" applyBorder="1" applyAlignment="1">
      <alignment horizontal="center"/>
    </xf>
    <xf numFmtId="2" fontId="24" fillId="22" borderId="50" xfId="0" applyNumberFormat="1" applyFont="1" applyFill="1" applyBorder="1" applyAlignment="1">
      <alignment horizontal="center"/>
    </xf>
    <xf numFmtId="2" fontId="24" fillId="22" borderId="51" xfId="0" applyNumberFormat="1" applyFont="1" applyFill="1" applyBorder="1" applyAlignment="1">
      <alignment horizontal="center"/>
    </xf>
    <xf numFmtId="165" fontId="24" fillId="3" borderId="38" xfId="0" applyNumberFormat="1" applyFont="1" applyFill="1" applyBorder="1" applyAlignment="1">
      <alignment horizontal="center"/>
    </xf>
    <xf numFmtId="165" fontId="24" fillId="3" borderId="3" xfId="0" applyNumberFormat="1" applyFont="1" applyFill="1" applyBorder="1" applyAlignment="1">
      <alignment horizontal="center"/>
    </xf>
    <xf numFmtId="165" fontId="24" fillId="3" borderId="4" xfId="0" applyNumberFormat="1" applyFont="1" applyFill="1" applyBorder="1" applyAlignment="1">
      <alignment horizontal="center"/>
    </xf>
    <xf numFmtId="2" fontId="24" fillId="3" borderId="2" xfId="0" applyNumberFormat="1" applyFont="1" applyFill="1" applyBorder="1" applyAlignment="1">
      <alignment horizontal="center"/>
    </xf>
    <xf numFmtId="2" fontId="24" fillId="3" borderId="3" xfId="0" applyNumberFormat="1" applyFont="1" applyFill="1" applyBorder="1" applyAlignment="1">
      <alignment horizontal="center"/>
    </xf>
    <xf numFmtId="2" fontId="24" fillId="3" borderId="39" xfId="0" applyNumberFormat="1" applyFont="1" applyFill="1" applyBorder="1" applyAlignment="1">
      <alignment horizontal="center"/>
    </xf>
    <xf numFmtId="165" fontId="24" fillId="3" borderId="2" xfId="0" applyNumberFormat="1" applyFont="1" applyFill="1" applyBorder="1" applyAlignment="1">
      <alignment horizontal="center"/>
    </xf>
    <xf numFmtId="2" fontId="24" fillId="22" borderId="2" xfId="0" applyNumberFormat="1" applyFont="1" applyFill="1" applyBorder="1" applyAlignment="1">
      <alignment horizontal="center"/>
    </xf>
    <xf numFmtId="2" fontId="24" fillId="22" borderId="3" xfId="0" applyNumberFormat="1" applyFont="1" applyFill="1" applyBorder="1" applyAlignment="1">
      <alignment horizontal="center"/>
    </xf>
    <xf numFmtId="2" fontId="24" fillId="22" borderId="39" xfId="0" applyNumberFormat="1" applyFont="1" applyFill="1" applyBorder="1" applyAlignment="1">
      <alignment horizontal="center"/>
    </xf>
    <xf numFmtId="0" fontId="24" fillId="0" borderId="33" xfId="0" applyFont="1" applyBorder="1" applyAlignment="1">
      <alignment horizontal="center" vertical="center"/>
    </xf>
    <xf numFmtId="0" fontId="24" fillId="0" borderId="32" xfId="0" applyFont="1" applyBorder="1" applyAlignment="1">
      <alignment horizontal="center" vertical="center"/>
    </xf>
    <xf numFmtId="0" fontId="24" fillId="0" borderId="59" xfId="0" applyFont="1" applyBorder="1" applyAlignment="1">
      <alignment horizontal="center" vertical="center"/>
    </xf>
    <xf numFmtId="0" fontId="24" fillId="0" borderId="35" xfId="0" applyFont="1" applyBorder="1" applyAlignment="1">
      <alignment horizontal="center" vertical="center"/>
    </xf>
    <xf numFmtId="0" fontId="24" fillId="0" borderId="17" xfId="0" applyFont="1" applyBorder="1" applyAlignment="1">
      <alignment horizontal="center" vertical="center"/>
    </xf>
    <xf numFmtId="0" fontId="24" fillId="0" borderId="37" xfId="0" applyFont="1" applyBorder="1" applyAlignment="1">
      <alignment horizontal="center" vertical="center"/>
    </xf>
    <xf numFmtId="0" fontId="24" fillId="0" borderId="23" xfId="0" applyFont="1" applyBorder="1" applyAlignment="1">
      <alignment horizontal="center" vertical="center"/>
    </xf>
    <xf numFmtId="0" fontId="24" fillId="0" borderId="60" xfId="0" applyFont="1" applyBorder="1" applyAlignment="1">
      <alignment horizontal="center" vertical="center"/>
    </xf>
    <xf numFmtId="0" fontId="24" fillId="0" borderId="68" xfId="0" applyFont="1" applyBorder="1" applyAlignment="1">
      <alignment horizontal="center" vertical="center"/>
    </xf>
    <xf numFmtId="0" fontId="24" fillId="0" borderId="18" xfId="0" applyFont="1" applyBorder="1" applyAlignment="1">
      <alignment horizontal="center" vertical="center"/>
    </xf>
    <xf numFmtId="0" fontId="24" fillId="0" borderId="11" xfId="0" applyFont="1" applyBorder="1" applyAlignment="1">
      <alignment horizontal="center" vertical="center"/>
    </xf>
    <xf numFmtId="0" fontId="24" fillId="0" borderId="19" xfId="0" applyFont="1" applyBorder="1" applyAlignment="1">
      <alignment horizontal="center" vertical="center"/>
    </xf>
    <xf numFmtId="0" fontId="24" fillId="0" borderId="53" xfId="0" applyFont="1" applyBorder="1" applyAlignment="1">
      <alignment horizontal="center"/>
    </xf>
    <xf numFmtId="0" fontId="24" fillId="0" borderId="50" xfId="0" applyFont="1" applyBorder="1" applyAlignment="1">
      <alignment horizontal="center"/>
    </xf>
    <xf numFmtId="165" fontId="24" fillId="3" borderId="49" xfId="0" applyNumberFormat="1" applyFont="1" applyFill="1" applyBorder="1" applyAlignment="1">
      <alignment horizontal="center"/>
    </xf>
    <xf numFmtId="0" fontId="24" fillId="0" borderId="13" xfId="0" applyFont="1" applyBorder="1" applyAlignment="1">
      <alignment horizontal="center" vertical="center"/>
    </xf>
    <xf numFmtId="0" fontId="24" fillId="0" borderId="14" xfId="0" applyFont="1" applyBorder="1" applyAlignment="1">
      <alignment horizontal="center" vertical="center"/>
    </xf>
    <xf numFmtId="0" fontId="24" fillId="0" borderId="15" xfId="0" applyFont="1" applyBorder="1" applyAlignment="1">
      <alignment horizontal="center" vertical="center"/>
    </xf>
    <xf numFmtId="0" fontId="24" fillId="0" borderId="66" xfId="0" applyFont="1" applyBorder="1" applyAlignment="1">
      <alignment horizontal="center" vertical="center"/>
    </xf>
    <xf numFmtId="0" fontId="24" fillId="0" borderId="44" xfId="0" applyFont="1" applyBorder="1" applyAlignment="1">
      <alignment horizontal="center"/>
    </xf>
    <xf numFmtId="165" fontId="24" fillId="3" borderId="46" xfId="0" applyNumberFormat="1" applyFont="1" applyFill="1" applyBorder="1" applyAlignment="1">
      <alignment horizontal="center"/>
    </xf>
    <xf numFmtId="165" fontId="24" fillId="3" borderId="44" xfId="0" applyNumberFormat="1" applyFont="1" applyFill="1" applyBorder="1" applyAlignment="1">
      <alignment horizontal="center"/>
    </xf>
    <xf numFmtId="165" fontId="24" fillId="3" borderId="45" xfId="0" applyNumberFormat="1" applyFont="1" applyFill="1" applyBorder="1" applyAlignment="1">
      <alignment horizontal="center"/>
    </xf>
    <xf numFmtId="2" fontId="24" fillId="3" borderId="43" xfId="0" applyNumberFormat="1" applyFont="1" applyFill="1" applyBorder="1" applyAlignment="1">
      <alignment horizontal="center"/>
    </xf>
    <xf numFmtId="2" fontId="24" fillId="3" borderId="44" xfId="0" applyNumberFormat="1" applyFont="1" applyFill="1" applyBorder="1" applyAlignment="1">
      <alignment horizontal="center"/>
    </xf>
    <xf numFmtId="2" fontId="24" fillId="3" borderId="54" xfId="0" applyNumberFormat="1" applyFont="1" applyFill="1" applyBorder="1" applyAlignment="1">
      <alignment horizontal="center"/>
    </xf>
    <xf numFmtId="165" fontId="24" fillId="3" borderId="43" xfId="0" applyNumberFormat="1" applyFont="1" applyFill="1" applyBorder="1" applyAlignment="1">
      <alignment horizontal="center"/>
    </xf>
    <xf numFmtId="2" fontId="24" fillId="22" borderId="43" xfId="0" applyNumberFormat="1" applyFont="1" applyFill="1" applyBorder="1" applyAlignment="1">
      <alignment horizontal="center"/>
    </xf>
    <xf numFmtId="2" fontId="24" fillId="22" borderId="44" xfId="0" applyNumberFormat="1" applyFont="1" applyFill="1" applyBorder="1" applyAlignment="1">
      <alignment horizontal="center"/>
    </xf>
    <xf numFmtId="2" fontId="24" fillId="22" borderId="54" xfId="0" applyNumberFormat="1" applyFont="1" applyFill="1" applyBorder="1" applyAlignment="1">
      <alignment horizontal="center"/>
    </xf>
    <xf numFmtId="9" fontId="24" fillId="0" borderId="2" xfId="1" applyFont="1" applyFill="1" applyBorder="1" applyAlignment="1">
      <alignment horizontal="center" vertical="center"/>
    </xf>
    <xf numFmtId="9" fontId="24" fillId="0" borderId="3" xfId="1" applyFont="1" applyFill="1" applyBorder="1" applyAlignment="1">
      <alignment horizontal="center" vertical="center"/>
    </xf>
    <xf numFmtId="9" fontId="24" fillId="0" borderId="4" xfId="1" applyFont="1" applyFill="1" applyBorder="1" applyAlignment="1">
      <alignment horizontal="center" vertical="center"/>
    </xf>
    <xf numFmtId="0" fontId="40" fillId="0" borderId="0" xfId="0" applyFont="1" applyAlignment="1">
      <alignment horizontal="left"/>
    </xf>
    <xf numFmtId="0" fontId="40" fillId="0" borderId="37" xfId="0" applyFont="1" applyBorder="1" applyAlignment="1">
      <alignment horizontal="center" vertical="center"/>
    </xf>
    <xf numFmtId="0" fontId="40" fillId="0" borderId="23" xfId="0" applyFont="1" applyBorder="1" applyAlignment="1">
      <alignment horizontal="center" vertical="center"/>
    </xf>
    <xf numFmtId="0" fontId="40" fillId="0" borderId="37" xfId="0" applyFont="1" applyBorder="1" applyAlignment="1">
      <alignment horizontal="center"/>
    </xf>
    <xf numFmtId="0" fontId="40" fillId="0" borderId="60" xfId="0" applyFont="1" applyBorder="1" applyAlignment="1">
      <alignment horizontal="center"/>
    </xf>
    <xf numFmtId="0" fontId="40" fillId="0" borderId="66" xfId="0" applyFont="1" applyBorder="1" applyAlignment="1">
      <alignment horizontal="center"/>
    </xf>
    <xf numFmtId="0" fontId="40" fillId="0" borderId="24" xfId="0" applyFont="1" applyBorder="1" applyAlignment="1">
      <alignment horizontal="center"/>
    </xf>
    <xf numFmtId="0" fontId="40" fillId="0" borderId="46" xfId="0" applyFont="1" applyBorder="1" applyAlignment="1">
      <alignment horizontal="center"/>
    </xf>
    <xf numFmtId="0" fontId="40" fillId="0" borderId="44" xfId="0" applyFont="1" applyBorder="1" applyAlignment="1">
      <alignment horizontal="center"/>
    </xf>
    <xf numFmtId="0" fontId="40" fillId="0" borderId="54" xfId="0" applyFont="1" applyBorder="1" applyAlignment="1">
      <alignment horizontal="center"/>
    </xf>
    <xf numFmtId="9" fontId="40" fillId="0" borderId="2" xfId="1" applyFont="1" applyFill="1" applyBorder="1" applyAlignment="1">
      <alignment horizontal="center" vertical="center" wrapText="1"/>
    </xf>
    <xf numFmtId="9" fontId="40" fillId="0" borderId="3" xfId="1" applyFont="1" applyFill="1" applyBorder="1" applyAlignment="1">
      <alignment horizontal="center" vertical="center" wrapText="1"/>
    </xf>
    <xf numFmtId="9" fontId="40" fillId="0" borderId="4" xfId="1" applyFont="1" applyFill="1" applyBorder="1" applyAlignment="1">
      <alignment horizontal="center" vertical="center" wrapText="1"/>
    </xf>
    <xf numFmtId="164" fontId="63" fillId="0" borderId="1" xfId="0" applyNumberFormat="1" applyFont="1" applyBorder="1" applyAlignment="1">
      <alignment horizontal="center" vertical="center"/>
    </xf>
    <xf numFmtId="164" fontId="63" fillId="0" borderId="2" xfId="0" applyNumberFormat="1" applyFont="1" applyBorder="1" applyAlignment="1">
      <alignment horizontal="center" vertical="center"/>
    </xf>
    <xf numFmtId="164" fontId="63" fillId="0" borderId="3" xfId="0" applyNumberFormat="1" applyFont="1" applyBorder="1" applyAlignment="1">
      <alignment horizontal="center" vertical="center"/>
    </xf>
    <xf numFmtId="164" fontId="63" fillId="0" borderId="4" xfId="0" applyNumberFormat="1" applyFont="1" applyBorder="1" applyAlignment="1">
      <alignment horizontal="center" vertical="center"/>
    </xf>
    <xf numFmtId="0" fontId="63" fillId="0" borderId="1" xfId="0" quotePrefix="1" applyFont="1" applyBorder="1" applyAlignment="1">
      <alignment horizontal="center" vertical="center" wrapText="1"/>
    </xf>
    <xf numFmtId="0" fontId="64" fillId="0" borderId="1" xfId="0" applyFont="1" applyBorder="1" applyAlignment="1">
      <alignment horizontal="left" vertical="center"/>
    </xf>
    <xf numFmtId="0" fontId="40" fillId="0" borderId="34" xfId="0" applyFont="1" applyBorder="1" applyAlignment="1">
      <alignment horizontal="center" vertical="center"/>
    </xf>
    <xf numFmtId="0" fontId="40" fillId="0" borderId="24" xfId="0" applyFont="1" applyBorder="1" applyAlignment="1">
      <alignment horizontal="center" vertical="center"/>
    </xf>
    <xf numFmtId="0" fontId="24" fillId="0" borderId="79" xfId="0" applyFont="1" applyBorder="1" applyAlignment="1">
      <alignment horizontal="center"/>
    </xf>
    <xf numFmtId="188" fontId="24" fillId="3" borderId="29" xfId="0" applyNumberFormat="1" applyFont="1" applyFill="1" applyBorder="1" applyAlignment="1">
      <alignment horizontal="center"/>
    </xf>
    <xf numFmtId="188" fontId="24" fillId="3" borderId="30" xfId="0" applyNumberFormat="1" applyFont="1" applyFill="1" applyBorder="1" applyAlignment="1">
      <alignment horizontal="center"/>
    </xf>
    <xf numFmtId="188" fontId="24" fillId="3" borderId="31" xfId="0" applyNumberFormat="1" applyFont="1" applyFill="1" applyBorder="1" applyAlignment="1">
      <alignment horizontal="center"/>
    </xf>
    <xf numFmtId="2" fontId="24" fillId="36" borderId="79" xfId="0" applyNumberFormat="1" applyFont="1" applyFill="1" applyBorder="1" applyAlignment="1">
      <alignment horizontal="center"/>
    </xf>
    <xf numFmtId="4" fontId="24" fillId="22" borderId="79" xfId="0" applyNumberFormat="1" applyFont="1" applyFill="1" applyBorder="1" applyAlignment="1">
      <alignment horizontal="center"/>
    </xf>
    <xf numFmtId="0" fontId="24" fillId="0" borderId="29" xfId="0" applyFont="1" applyBorder="1" applyAlignment="1">
      <alignment horizontal="center" vertical="center"/>
    </xf>
    <xf numFmtId="0" fontId="24" fillId="0" borderId="30" xfId="0" applyFont="1" applyBorder="1" applyAlignment="1">
      <alignment horizontal="center" vertical="center"/>
    </xf>
    <xf numFmtId="0" fontId="24" fillId="0" borderId="72" xfId="0" applyFont="1" applyBorder="1" applyAlignment="1">
      <alignment horizontal="center" vertical="center"/>
    </xf>
    <xf numFmtId="0" fontId="24" fillId="0" borderId="68" xfId="0" applyFont="1" applyBorder="1" applyAlignment="1">
      <alignment horizontal="center"/>
    </xf>
    <xf numFmtId="0" fontId="24" fillId="0" borderId="32" xfId="0" applyFont="1" applyBorder="1" applyAlignment="1">
      <alignment horizontal="center"/>
    </xf>
    <xf numFmtId="0" fontId="24" fillId="0" borderId="34" xfId="0" applyFont="1" applyBorder="1" applyAlignment="1">
      <alignment horizontal="center"/>
    </xf>
    <xf numFmtId="188" fontId="24" fillId="3" borderId="49" xfId="0" applyNumberFormat="1" applyFont="1" applyFill="1" applyBorder="1" applyAlignment="1">
      <alignment horizontal="center"/>
    </xf>
    <xf numFmtId="188" fontId="24" fillId="3" borderId="50" xfId="0" applyNumberFormat="1" applyFont="1" applyFill="1" applyBorder="1" applyAlignment="1">
      <alignment horizontal="center"/>
    </xf>
    <xf numFmtId="188" fontId="24" fillId="3" borderId="52" xfId="0" applyNumberFormat="1" applyFont="1" applyFill="1" applyBorder="1" applyAlignment="1">
      <alignment horizontal="center"/>
    </xf>
    <xf numFmtId="4" fontId="24" fillId="3" borderId="53" xfId="0" applyNumberFormat="1" applyFont="1" applyFill="1" applyBorder="1" applyAlignment="1">
      <alignment horizontal="center"/>
    </xf>
    <xf numFmtId="4" fontId="24" fillId="3" borderId="50" xfId="0" applyNumberFormat="1" applyFont="1" applyFill="1" applyBorder="1" applyAlignment="1">
      <alignment horizontal="center"/>
    </xf>
    <xf numFmtId="4" fontId="24" fillId="3" borderId="51" xfId="0" applyNumberFormat="1" applyFont="1" applyFill="1" applyBorder="1" applyAlignment="1">
      <alignment horizontal="center"/>
    </xf>
    <xf numFmtId="0" fontId="24" fillId="0" borderId="54" xfId="0" applyFont="1" applyBorder="1" applyAlignment="1">
      <alignment horizontal="center"/>
    </xf>
    <xf numFmtId="188" fontId="24" fillId="3" borderId="46" xfId="0" applyNumberFormat="1" applyFont="1" applyFill="1" applyBorder="1" applyAlignment="1">
      <alignment horizontal="center"/>
    </xf>
    <xf numFmtId="188" fontId="24" fillId="3" borderId="44" xfId="0" applyNumberFormat="1" applyFont="1" applyFill="1" applyBorder="1" applyAlignment="1">
      <alignment horizontal="center"/>
    </xf>
    <xf numFmtId="188" fontId="24" fillId="3" borderId="45" xfId="0" applyNumberFormat="1" applyFont="1" applyFill="1" applyBorder="1" applyAlignment="1">
      <alignment horizontal="center"/>
    </xf>
    <xf numFmtId="4" fontId="24" fillId="3" borderId="43" xfId="0" applyNumberFormat="1" applyFont="1" applyFill="1" applyBorder="1" applyAlignment="1">
      <alignment horizontal="center"/>
    </xf>
    <xf numFmtId="4" fontId="24" fillId="3" borderId="44" xfId="0" applyNumberFormat="1" applyFont="1" applyFill="1" applyBorder="1" applyAlignment="1">
      <alignment horizontal="center"/>
    </xf>
    <xf numFmtId="4" fontId="24" fillId="3" borderId="54" xfId="0" applyNumberFormat="1" applyFont="1" applyFill="1" applyBorder="1" applyAlignment="1">
      <alignment horizontal="center"/>
    </xf>
    <xf numFmtId="4" fontId="24" fillId="22" borderId="44" xfId="0" applyNumberFormat="1" applyFont="1" applyFill="1" applyBorder="1" applyAlignment="1">
      <alignment horizontal="center"/>
    </xf>
    <xf numFmtId="4" fontId="24" fillId="22" borderId="54" xfId="0" applyNumberFormat="1" applyFont="1" applyFill="1" applyBorder="1" applyAlignment="1">
      <alignment horizontal="center"/>
    </xf>
    <xf numFmtId="0" fontId="24" fillId="0" borderId="16" xfId="0" applyFont="1" applyBorder="1" applyAlignment="1">
      <alignment horizontal="center"/>
    </xf>
    <xf numFmtId="0" fontId="24" fillId="0" borderId="0" xfId="0" applyFont="1" applyAlignment="1">
      <alignment horizontal="center"/>
    </xf>
    <xf numFmtId="0" fontId="24" fillId="0" borderId="13" xfId="0" applyFont="1" applyBorder="1" applyAlignment="1">
      <alignment horizontal="center"/>
    </xf>
    <xf numFmtId="0" fontId="24" fillId="0" borderId="14" xfId="0" applyFont="1" applyBorder="1" applyAlignment="1">
      <alignment horizontal="center"/>
    </xf>
    <xf numFmtId="1" fontId="63" fillId="0" borderId="1" xfId="0" applyNumberFormat="1" applyFont="1" applyBorder="1" applyAlignment="1">
      <alignment horizontal="center" vertical="center"/>
    </xf>
    <xf numFmtId="0" fontId="63" fillId="0" borderId="2"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4" xfId="0" applyFont="1" applyBorder="1" applyAlignment="1">
      <alignment horizontal="center" vertical="center" wrapText="1"/>
    </xf>
    <xf numFmtId="0" fontId="63" fillId="0" borderId="2" xfId="0" quotePrefix="1" applyFont="1" applyBorder="1" applyAlignment="1">
      <alignment horizontal="center" vertical="center" wrapText="1"/>
    </xf>
    <xf numFmtId="0" fontId="63" fillId="0" borderId="3" xfId="0" quotePrefix="1" applyFont="1" applyBorder="1" applyAlignment="1">
      <alignment horizontal="center" vertical="center" wrapText="1"/>
    </xf>
    <xf numFmtId="0" fontId="63" fillId="0" borderId="4" xfId="0" quotePrefix="1" applyFont="1" applyBorder="1" applyAlignment="1">
      <alignment horizontal="center" vertical="center" wrapText="1"/>
    </xf>
    <xf numFmtId="0" fontId="63" fillId="0" borderId="2" xfId="0" applyFont="1" applyBorder="1" applyAlignment="1">
      <alignment vertical="center" wrapText="1"/>
    </xf>
    <xf numFmtId="0" fontId="63" fillId="0" borderId="3" xfId="0" applyFont="1" applyBorder="1" applyAlignment="1">
      <alignment vertical="center" wrapText="1"/>
    </xf>
    <xf numFmtId="0" fontId="63" fillId="0" borderId="4" xfId="0" applyFont="1" applyBorder="1" applyAlignment="1">
      <alignment vertical="center" wrapText="1"/>
    </xf>
    <xf numFmtId="0" fontId="0" fillId="0" borderId="43" xfId="0" applyBorder="1" applyAlignment="1">
      <alignment vertical="center"/>
    </xf>
    <xf numFmtId="0" fontId="0" fillId="0" borderId="44" xfId="0" applyBorder="1" applyAlignment="1">
      <alignment vertical="center"/>
    </xf>
    <xf numFmtId="0" fontId="0" fillId="0" borderId="54" xfId="0" applyBorder="1" applyAlignment="1">
      <alignment vertical="center"/>
    </xf>
    <xf numFmtId="0" fontId="4" fillId="12" borderId="1" xfId="0" applyFont="1" applyFill="1" applyBorder="1" applyAlignment="1">
      <alignment horizontal="center" vertical="center" wrapText="1"/>
    </xf>
    <xf numFmtId="0" fontId="4" fillId="12" borderId="2"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39" xfId="0" applyFont="1" applyFill="1" applyBorder="1" applyAlignment="1">
      <alignment horizontal="center" vertical="center" wrapText="1"/>
    </xf>
    <xf numFmtId="0" fontId="24" fillId="0" borderId="0" xfId="5" applyFont="1" applyFill="1" applyAlignment="1">
      <alignment horizontal="left"/>
    </xf>
    <xf numFmtId="0" fontId="0" fillId="0" borderId="0" xfId="0"/>
    <xf numFmtId="0" fontId="0" fillId="0" borderId="0" xfId="0" applyAlignment="1">
      <alignment horizontal="left"/>
    </xf>
    <xf numFmtId="0" fontId="4" fillId="6" borderId="38" xfId="0" applyFont="1" applyFill="1" applyBorder="1" applyAlignment="1">
      <alignment horizontal="center" vertical="center"/>
    </xf>
    <xf numFmtId="0" fontId="4" fillId="6" borderId="3" xfId="0" applyFont="1" applyFill="1" applyBorder="1" applyAlignment="1">
      <alignment horizontal="center" vertical="center"/>
    </xf>
    <xf numFmtId="0" fontId="4" fillId="6" borderId="4" xfId="0" applyFont="1" applyFill="1" applyBorder="1" applyAlignment="1">
      <alignment horizontal="center" vertical="center"/>
    </xf>
    <xf numFmtId="0" fontId="4" fillId="15" borderId="12" xfId="0" applyFont="1" applyFill="1" applyBorder="1" applyAlignment="1">
      <alignment horizontal="center" vertical="center" wrapText="1"/>
    </xf>
    <xf numFmtId="0" fontId="4" fillId="15" borderId="22" xfId="0" applyFont="1" applyFill="1" applyBorder="1" applyAlignment="1">
      <alignment horizontal="center" vertical="center" wrapText="1"/>
    </xf>
    <xf numFmtId="0" fontId="4" fillId="12" borderId="12" xfId="0" applyFont="1" applyFill="1" applyBorder="1" applyAlignment="1">
      <alignment horizontal="center" vertical="center"/>
    </xf>
    <xf numFmtId="0" fontId="4" fillId="12" borderId="22" xfId="0" applyFont="1" applyFill="1" applyBorder="1" applyAlignment="1">
      <alignment horizontal="center" vertical="center"/>
    </xf>
    <xf numFmtId="0" fontId="30" fillId="0" borderId="33" xfId="0" applyFont="1" applyBorder="1" applyAlignment="1">
      <alignment horizontal="left" vertical="center" wrapText="1"/>
    </xf>
    <xf numFmtId="0" fontId="0" fillId="0" borderId="32"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0" borderId="37" xfId="0" applyBorder="1" applyAlignment="1">
      <alignment horizontal="left" vertical="center"/>
    </xf>
    <xf numFmtId="0" fontId="0" fillId="0" borderId="23" xfId="0" applyBorder="1" applyAlignment="1">
      <alignment horizontal="left" vertical="center"/>
    </xf>
    <xf numFmtId="0" fontId="0" fillId="0" borderId="24" xfId="0" applyBorder="1" applyAlignment="1">
      <alignment horizontal="left" vertical="center"/>
    </xf>
    <xf numFmtId="0" fontId="36" fillId="0" borderId="3" xfId="0" applyFont="1" applyBorder="1" applyAlignment="1">
      <alignment horizontal="center" vertical="center"/>
    </xf>
    <xf numFmtId="0" fontId="0" fillId="2" borderId="38"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38" fillId="2" borderId="2" xfId="0" applyFont="1" applyFill="1" applyBorder="1" applyAlignment="1">
      <alignment horizontal="center" vertical="center"/>
    </xf>
    <xf numFmtId="0" fontId="38" fillId="2" borderId="3" xfId="0" applyFont="1" applyFill="1" applyBorder="1" applyAlignment="1">
      <alignment horizontal="center" vertical="center"/>
    </xf>
    <xf numFmtId="0" fontId="38" fillId="2" borderId="14" xfId="0" applyFont="1" applyFill="1" applyBorder="1" applyAlignment="1">
      <alignment horizontal="center" vertical="center"/>
    </xf>
    <xf numFmtId="0" fontId="38" fillId="2" borderId="15" xfId="0" applyFont="1" applyFill="1" applyBorder="1" applyAlignment="1">
      <alignment horizontal="center" vertical="center"/>
    </xf>
    <xf numFmtId="0" fontId="0" fillId="2" borderId="2" xfId="0" applyFill="1" applyBorder="1" applyAlignment="1">
      <alignment horizontal="center" wrapText="1"/>
    </xf>
    <xf numFmtId="0" fontId="0" fillId="2" borderId="3" xfId="0" applyFill="1" applyBorder="1" applyAlignment="1">
      <alignment horizontal="center" wrapText="1"/>
    </xf>
    <xf numFmtId="0" fontId="0" fillId="2" borderId="39" xfId="0" applyFill="1" applyBorder="1" applyAlignment="1">
      <alignment horizontal="center" wrapText="1"/>
    </xf>
    <xf numFmtId="0" fontId="38" fillId="9" borderId="38" xfId="0" applyFont="1" applyFill="1" applyBorder="1" applyAlignment="1">
      <alignment horizontal="left" vertical="center" wrapText="1"/>
    </xf>
    <xf numFmtId="0" fontId="38" fillId="9" borderId="3" xfId="0" applyFont="1" applyFill="1" applyBorder="1" applyAlignment="1">
      <alignment horizontal="left" vertical="center" wrapText="1"/>
    </xf>
    <xf numFmtId="0" fontId="38" fillId="9" borderId="39" xfId="0" applyFont="1" applyFill="1" applyBorder="1" applyAlignment="1">
      <alignment horizontal="left" vertical="center" wrapText="1"/>
    </xf>
    <xf numFmtId="0" fontId="22" fillId="18" borderId="1" xfId="0" applyFont="1" applyFill="1" applyBorder="1" applyAlignment="1">
      <alignment horizontal="center" vertical="center"/>
    </xf>
    <xf numFmtId="0" fontId="47" fillId="0" borderId="0" xfId="0" applyFont="1" applyAlignment="1">
      <alignment horizontal="right" vertical="center"/>
    </xf>
    <xf numFmtId="0" fontId="0" fillId="0" borderId="2" xfId="0" applyBorder="1" applyAlignment="1">
      <alignment horizontal="left" vertical="center" wrapText="1"/>
    </xf>
    <xf numFmtId="165" fontId="0" fillId="0" borderId="2" xfId="0" applyNumberFormat="1" applyBorder="1" applyAlignment="1">
      <alignment horizontal="center" vertical="center" wrapText="1"/>
    </xf>
    <xf numFmtId="165" fontId="0" fillId="0" borderId="3" xfId="0" applyNumberFormat="1" applyBorder="1" applyAlignment="1">
      <alignment horizontal="center" vertical="center" wrapText="1"/>
    </xf>
    <xf numFmtId="165" fontId="0" fillId="0" borderId="4" xfId="0" applyNumberFormat="1" applyBorder="1" applyAlignment="1">
      <alignment horizontal="center" vertical="center" wrapText="1"/>
    </xf>
    <xf numFmtId="0" fontId="0" fillId="0" borderId="2" xfId="0" applyBorder="1" applyAlignment="1">
      <alignment horizontal="center" vertical="center"/>
    </xf>
    <xf numFmtId="0" fontId="5" fillId="0" borderId="2" xfId="0" applyFont="1" applyBorder="1" applyAlignment="1">
      <alignment horizontal="left" vertical="center"/>
    </xf>
    <xf numFmtId="0" fontId="0" fillId="0" borderId="2" xfId="0" applyBorder="1" applyAlignment="1">
      <alignment horizontal="center" vertical="center" wrapText="1"/>
    </xf>
    <xf numFmtId="0" fontId="0" fillId="0" borderId="2" xfId="1" applyNumberFormat="1" applyFont="1" applyBorder="1" applyAlignment="1">
      <alignment horizontal="center" vertical="center" wrapText="1"/>
    </xf>
    <xf numFmtId="0" fontId="0" fillId="0" borderId="3" xfId="1" applyNumberFormat="1" applyFont="1" applyBorder="1" applyAlignment="1">
      <alignment horizontal="center" vertical="center" wrapText="1"/>
    </xf>
    <xf numFmtId="0" fontId="0" fillId="0" borderId="4" xfId="1" applyNumberFormat="1" applyFont="1" applyBorder="1" applyAlignment="1">
      <alignment horizontal="center" vertical="center" wrapText="1"/>
    </xf>
    <xf numFmtId="164" fontId="0" fillId="0" borderId="2" xfId="0" applyNumberFormat="1" applyBorder="1" applyAlignment="1">
      <alignment horizontal="center" vertical="center" wrapText="1"/>
    </xf>
    <xf numFmtId="164" fontId="0" fillId="0" borderId="3" xfId="0" applyNumberFormat="1" applyBorder="1" applyAlignment="1">
      <alignment horizontal="center" vertical="center" wrapText="1"/>
    </xf>
    <xf numFmtId="164" fontId="0" fillId="0" borderId="4" xfId="0" applyNumberFormat="1" applyBorder="1" applyAlignment="1">
      <alignment horizontal="center" vertical="center" wrapText="1"/>
    </xf>
    <xf numFmtId="0" fontId="22" fillId="23" borderId="1" xfId="0" applyFont="1" applyFill="1" applyBorder="1" applyAlignment="1">
      <alignment horizontal="center" vertical="center"/>
    </xf>
    <xf numFmtId="2" fontId="22" fillId="18" borderId="1" xfId="0" applyNumberFormat="1" applyFont="1" applyFill="1" applyBorder="1" applyAlignment="1">
      <alignment horizontal="center" vertical="center"/>
    </xf>
    <xf numFmtId="10" fontId="22" fillId="18" borderId="1" xfId="0" applyNumberFormat="1" applyFont="1" applyFill="1" applyBorder="1" applyAlignment="1">
      <alignment horizontal="center" vertical="center"/>
    </xf>
    <xf numFmtId="0" fontId="46" fillId="6" borderId="2" xfId="0" applyFont="1" applyFill="1" applyBorder="1" applyAlignment="1">
      <alignment horizontal="center" vertical="center" wrapText="1"/>
    </xf>
    <xf numFmtId="0" fontId="46" fillId="6" borderId="3" xfId="0" applyFont="1" applyFill="1" applyBorder="1" applyAlignment="1">
      <alignment horizontal="center" vertical="center" wrapText="1"/>
    </xf>
    <xf numFmtId="0" fontId="46" fillId="6" borderId="4"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34" fillId="0" borderId="0" xfId="0" applyFont="1" applyAlignment="1">
      <alignment horizontal="left" vertical="top"/>
    </xf>
    <xf numFmtId="0" fontId="34" fillId="0" borderId="0" xfId="0" applyFont="1" applyAlignment="1">
      <alignment horizontal="left" vertical="top" wrapText="1"/>
    </xf>
    <xf numFmtId="0" fontId="46" fillId="23" borderId="2" xfId="0" applyFont="1" applyFill="1" applyBorder="1" applyAlignment="1">
      <alignment horizontal="center" vertical="center" wrapText="1"/>
    </xf>
    <xf numFmtId="0" fontId="46" fillId="23" borderId="3" xfId="0" applyFont="1" applyFill="1" applyBorder="1" applyAlignment="1">
      <alignment horizontal="center" vertical="center" wrapText="1"/>
    </xf>
    <xf numFmtId="0" fontId="46" fillId="23" borderId="4" xfId="0" applyFont="1" applyFill="1" applyBorder="1" applyAlignment="1">
      <alignment horizontal="center" vertical="center" wrapText="1"/>
    </xf>
    <xf numFmtId="2" fontId="46" fillId="18" borderId="1" xfId="0" applyNumberFormat="1" applyFont="1" applyFill="1" applyBorder="1" applyAlignment="1">
      <alignment horizontal="center" vertical="center"/>
    </xf>
    <xf numFmtId="165" fontId="46" fillId="18" borderId="1" xfId="0" applyNumberFormat="1" applyFont="1" applyFill="1" applyBorder="1" applyAlignment="1">
      <alignment horizontal="center" vertical="center"/>
    </xf>
    <xf numFmtId="0" fontId="46" fillId="18" borderId="1" xfId="0" applyFont="1" applyFill="1" applyBorder="1" applyAlignment="1">
      <alignment horizontal="right" vertical="center"/>
    </xf>
    <xf numFmtId="0" fontId="46" fillId="6" borderId="2"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4" xfId="0" applyFont="1" applyFill="1" applyBorder="1" applyAlignment="1">
      <alignment horizontal="center" vertical="center"/>
    </xf>
    <xf numFmtId="164" fontId="22" fillId="18" borderId="1" xfId="0" applyNumberFormat="1" applyFont="1" applyFill="1" applyBorder="1" applyAlignment="1">
      <alignment horizontal="center" vertical="center"/>
    </xf>
    <xf numFmtId="9" fontId="22" fillId="18" borderId="1" xfId="0" applyNumberFormat="1" applyFont="1" applyFill="1" applyBorder="1" applyAlignment="1">
      <alignment horizontal="center" vertical="center"/>
    </xf>
    <xf numFmtId="0" fontId="4" fillId="0" borderId="1" xfId="0" applyFont="1" applyBorder="1" applyAlignment="1">
      <alignment horizontal="left"/>
    </xf>
    <xf numFmtId="165" fontId="4" fillId="5" borderId="1" xfId="0" applyNumberFormat="1" applyFont="1" applyFill="1" applyBorder="1" applyAlignment="1">
      <alignment horizontal="center"/>
    </xf>
    <xf numFmtId="2" fontId="4" fillId="5" borderId="1" xfId="0" applyNumberFormat="1" applyFont="1" applyFill="1" applyBorder="1" applyAlignment="1">
      <alignment horizontal="center"/>
    </xf>
    <xf numFmtId="0" fontId="4" fillId="0" borderId="47" xfId="0" applyFont="1" applyBorder="1" applyAlignment="1">
      <alignment horizontal="center" vertical="center"/>
    </xf>
    <xf numFmtId="0" fontId="4" fillId="0" borderId="48" xfId="0" applyFont="1" applyBorder="1" applyAlignment="1">
      <alignment horizontal="center" vertical="center"/>
    </xf>
    <xf numFmtId="0" fontId="0" fillId="3" borderId="4" xfId="0" applyFill="1" applyBorder="1" applyAlignment="1">
      <alignment horizontal="center" vertical="center"/>
    </xf>
    <xf numFmtId="0" fontId="0" fillId="3" borderId="1" xfId="0" applyFill="1" applyBorder="1" applyAlignment="1">
      <alignment horizontal="center" vertical="center"/>
    </xf>
    <xf numFmtId="0" fontId="0" fillId="3" borderId="21" xfId="0" applyFill="1" applyBorder="1" applyAlignment="1">
      <alignment horizontal="center" vertical="center"/>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3" borderId="43" xfId="0" applyFill="1" applyBorder="1" applyAlignment="1">
      <alignment horizontal="center" vertical="center"/>
    </xf>
    <xf numFmtId="0" fontId="0" fillId="3" borderId="44" xfId="0" applyFill="1" applyBorder="1" applyAlignment="1">
      <alignment horizontal="center" vertical="center"/>
    </xf>
    <xf numFmtId="0" fontId="0" fillId="3" borderId="45" xfId="0" applyFill="1" applyBorder="1" applyAlignment="1">
      <alignment horizontal="center" vertical="center"/>
    </xf>
    <xf numFmtId="0" fontId="0" fillId="0" borderId="3" xfId="0" applyBorder="1" applyAlignment="1">
      <alignment horizontal="right" vertical="center"/>
    </xf>
    <xf numFmtId="0" fontId="0" fillId="0" borderId="44" xfId="0" applyBorder="1" applyAlignment="1">
      <alignment horizontal="right" vertical="center"/>
    </xf>
    <xf numFmtId="0" fontId="0" fillId="0" borderId="38" xfId="0" applyBorder="1" applyAlignment="1">
      <alignment horizontal="right" vertical="center"/>
    </xf>
    <xf numFmtId="0" fontId="0" fillId="0" borderId="46" xfId="0" applyBorder="1" applyAlignment="1">
      <alignment horizontal="right" vertical="center"/>
    </xf>
    <xf numFmtId="0" fontId="0" fillId="0" borderId="3" xfId="0" quotePrefix="1" applyBorder="1" applyAlignment="1">
      <alignment horizontal="center" vertical="center"/>
    </xf>
    <xf numFmtId="0" fontId="0" fillId="0" borderId="44" xfId="0" quotePrefix="1" applyBorder="1" applyAlignment="1">
      <alignment horizontal="center" vertical="center"/>
    </xf>
    <xf numFmtId="0" fontId="0" fillId="0" borderId="46" xfId="0" applyBorder="1" applyAlignment="1">
      <alignment horizontal="left" vertical="center"/>
    </xf>
    <xf numFmtId="0" fontId="0" fillId="0" borderId="44" xfId="0" applyBorder="1" applyAlignment="1">
      <alignment horizontal="left" vertical="center"/>
    </xf>
    <xf numFmtId="0" fontId="0" fillId="0" borderId="45" xfId="0" applyBorder="1" applyAlignment="1">
      <alignment horizontal="left" vertical="center"/>
    </xf>
    <xf numFmtId="0" fontId="0" fillId="0" borderId="38" xfId="0" applyBorder="1" applyAlignment="1">
      <alignment horizontal="left" vertical="center"/>
    </xf>
    <xf numFmtId="0" fontId="28" fillId="0" borderId="0" xfId="0" applyFont="1" applyAlignment="1">
      <alignment horizontal="left" vertical="center" wrapText="1"/>
    </xf>
    <xf numFmtId="0" fontId="58" fillId="0" borderId="0" xfId="0" applyFont="1" applyAlignment="1">
      <alignment horizontal="left" vertical="center" wrapText="1"/>
    </xf>
    <xf numFmtId="2" fontId="71" fillId="0" borderId="1" xfId="0" applyNumberFormat="1" applyFont="1" applyBorder="1" applyAlignment="1">
      <alignment horizontal="center" vertical="center"/>
    </xf>
    <xf numFmtId="0" fontId="71" fillId="0" borderId="1" xfId="0" applyFont="1" applyBorder="1" applyAlignment="1">
      <alignment horizontal="center" vertical="center" wrapText="1"/>
    </xf>
    <xf numFmtId="165" fontId="71" fillId="0" borderId="1" xfId="0" applyNumberFormat="1" applyFont="1" applyBorder="1" applyAlignment="1">
      <alignment horizontal="center" vertical="center"/>
    </xf>
    <xf numFmtId="0" fontId="70" fillId="0" borderId="13" xfId="0" applyFont="1" applyBorder="1" applyAlignment="1">
      <alignment horizontal="center" vertical="center"/>
    </xf>
    <xf numFmtId="0" fontId="70" fillId="0" borderId="14" xfId="0" applyFont="1" applyBorder="1" applyAlignment="1">
      <alignment horizontal="center" vertical="center"/>
    </xf>
    <xf numFmtId="0" fontId="70" fillId="0" borderId="15" xfId="0" applyFont="1" applyBorder="1" applyAlignment="1">
      <alignment horizontal="center" vertical="center"/>
    </xf>
    <xf numFmtId="0" fontId="70" fillId="0" borderId="18" xfId="0" applyFont="1" applyBorder="1" applyAlignment="1">
      <alignment horizontal="center" vertical="center"/>
    </xf>
    <xf numFmtId="0" fontId="70" fillId="0" borderId="11" xfId="0" applyFont="1" applyBorder="1" applyAlignment="1">
      <alignment horizontal="center" vertical="center"/>
    </xf>
    <xf numFmtId="0" fontId="70" fillId="0" borderId="19" xfId="0" applyFont="1" applyBorder="1" applyAlignment="1">
      <alignment horizontal="center" vertical="center"/>
    </xf>
    <xf numFmtId="0" fontId="70" fillId="0" borderId="1" xfId="0" applyFont="1" applyBorder="1" applyAlignment="1">
      <alignment horizontal="center" vertical="center"/>
    </xf>
    <xf numFmtId="2" fontId="70" fillId="5" borderId="1" xfId="0" applyNumberFormat="1" applyFont="1" applyFill="1" applyBorder="1" applyAlignment="1">
      <alignment horizontal="center" vertical="center"/>
    </xf>
    <xf numFmtId="165" fontId="70" fillId="5" borderId="1" xfId="0" applyNumberFormat="1" applyFont="1" applyFill="1" applyBorder="1" applyAlignment="1">
      <alignment horizontal="center" vertical="center"/>
    </xf>
    <xf numFmtId="1" fontId="71" fillId="0" borderId="1" xfId="0" applyNumberFormat="1" applyFont="1" applyBorder="1" applyAlignment="1">
      <alignment horizontal="center" vertical="center"/>
    </xf>
    <xf numFmtId="0" fontId="34" fillId="0" borderId="0" xfId="0" applyFont="1" applyAlignment="1">
      <alignment vertical="center" wrapText="1"/>
    </xf>
    <xf numFmtId="0" fontId="34" fillId="0" borderId="0" xfId="0" applyFont="1" applyAlignment="1">
      <alignment horizontal="left" vertical="center" wrapText="1"/>
    </xf>
    <xf numFmtId="0" fontId="71" fillId="0" borderId="2" xfId="0" applyFont="1" applyBorder="1" applyAlignment="1">
      <alignment horizontal="center" vertical="center"/>
    </xf>
    <xf numFmtId="0" fontId="71" fillId="0" borderId="3" xfId="0" applyFont="1" applyBorder="1" applyAlignment="1">
      <alignment horizontal="center" vertical="center"/>
    </xf>
    <xf numFmtId="0" fontId="71" fillId="0" borderId="4" xfId="0" applyFont="1" applyBorder="1" applyAlignment="1">
      <alignment horizontal="center" vertical="center"/>
    </xf>
    <xf numFmtId="2" fontId="71" fillId="0" borderId="2" xfId="0" applyNumberFormat="1" applyFont="1" applyBorder="1" applyAlignment="1">
      <alignment horizontal="center" vertical="center"/>
    </xf>
    <xf numFmtId="2" fontId="71" fillId="0" borderId="3" xfId="0" applyNumberFormat="1" applyFont="1" applyBorder="1" applyAlignment="1">
      <alignment horizontal="center" vertical="center"/>
    </xf>
    <xf numFmtId="2" fontId="71" fillId="0" borderId="4" xfId="0" applyNumberFormat="1" applyFont="1" applyBorder="1" applyAlignment="1">
      <alignment horizontal="center" vertical="center"/>
    </xf>
    <xf numFmtId="0" fontId="70" fillId="0" borderId="2" xfId="0" applyFont="1" applyBorder="1" applyAlignment="1">
      <alignment horizontal="center" vertical="center"/>
    </xf>
    <xf numFmtId="0" fontId="70" fillId="0" borderId="3" xfId="0" applyFont="1" applyBorder="1" applyAlignment="1">
      <alignment horizontal="center" vertical="center"/>
    </xf>
    <xf numFmtId="0" fontId="70" fillId="0" borderId="4" xfId="0" applyFont="1" applyBorder="1" applyAlignment="1">
      <alignment horizontal="center" vertical="center"/>
    </xf>
    <xf numFmtId="0" fontId="71" fillId="0" borderId="2" xfId="0" applyFont="1" applyBorder="1" applyAlignment="1">
      <alignment horizontal="center" vertical="center" wrapText="1"/>
    </xf>
    <xf numFmtId="0" fontId="71" fillId="0" borderId="3" xfId="0" applyFont="1" applyBorder="1" applyAlignment="1">
      <alignment horizontal="center" vertical="center" wrapText="1"/>
    </xf>
    <xf numFmtId="0" fontId="71" fillId="0" borderId="4" xfId="0" applyFont="1" applyBorder="1" applyAlignment="1">
      <alignment horizontal="center" vertical="center" wrapText="1"/>
    </xf>
    <xf numFmtId="0" fontId="34" fillId="0" borderId="14" xfId="0" applyFont="1" applyBorder="1" applyAlignment="1">
      <alignment vertical="center" wrapText="1"/>
    </xf>
    <xf numFmtId="165" fontId="71" fillId="4" borderId="2" xfId="0" applyNumberFormat="1" applyFont="1" applyFill="1" applyBorder="1" applyAlignment="1">
      <alignment horizontal="center" vertical="center"/>
    </xf>
    <xf numFmtId="165" fontId="71" fillId="4" borderId="3" xfId="0" applyNumberFormat="1" applyFont="1" applyFill="1" applyBorder="1" applyAlignment="1">
      <alignment horizontal="center" vertical="center"/>
    </xf>
    <xf numFmtId="165" fontId="71" fillId="4" borderId="4" xfId="0" applyNumberFormat="1" applyFont="1" applyFill="1" applyBorder="1" applyAlignment="1">
      <alignment horizontal="center" vertical="center"/>
    </xf>
    <xf numFmtId="0" fontId="71" fillId="0" borderId="1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7" xfId="0" applyFont="1" applyBorder="1" applyAlignment="1">
      <alignment horizontal="center" vertical="center"/>
    </xf>
    <xf numFmtId="0" fontId="71" fillId="0" borderId="18" xfId="0" applyFont="1" applyBorder="1" applyAlignment="1">
      <alignment horizontal="center" vertical="center"/>
    </xf>
    <xf numFmtId="0" fontId="71" fillId="0" borderId="11" xfId="0" applyFont="1" applyBorder="1" applyAlignment="1">
      <alignment horizontal="center" vertical="center"/>
    </xf>
    <xf numFmtId="0" fontId="71" fillId="0" borderId="19" xfId="0" applyFont="1" applyBorder="1" applyAlignment="1">
      <alignment horizontal="center" vertical="center"/>
    </xf>
    <xf numFmtId="0" fontId="71" fillId="0" borderId="13"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6" xfId="0" applyFont="1" applyBorder="1" applyAlignment="1">
      <alignment horizontal="center" vertical="center" wrapText="1"/>
    </xf>
    <xf numFmtId="0" fontId="71" fillId="0" borderId="0" xfId="0" applyFont="1" applyAlignment="1">
      <alignment horizontal="center" vertical="center" wrapText="1"/>
    </xf>
    <xf numFmtId="0" fontId="71" fillId="0" borderId="17" xfId="0" applyFont="1" applyBorder="1" applyAlignment="1">
      <alignment horizontal="center" vertical="center" wrapText="1"/>
    </xf>
    <xf numFmtId="0" fontId="71" fillId="0" borderId="18" xfId="0" applyFont="1" applyBorder="1" applyAlignment="1">
      <alignment horizontal="center" vertical="center" wrapText="1"/>
    </xf>
    <xf numFmtId="0" fontId="71" fillId="0" borderId="11" xfId="0" applyFont="1" applyBorder="1" applyAlignment="1">
      <alignment horizontal="center" vertical="center" wrapText="1"/>
    </xf>
    <xf numFmtId="0" fontId="71" fillId="0" borderId="19" xfId="0" applyFont="1" applyBorder="1" applyAlignment="1">
      <alignment horizontal="center" vertical="center" wrapText="1"/>
    </xf>
    <xf numFmtId="2" fontId="73" fillId="4" borderId="2" xfId="0" applyNumberFormat="1" applyFont="1" applyFill="1" applyBorder="1" applyAlignment="1">
      <alignment horizontal="center" vertical="center"/>
    </xf>
    <xf numFmtId="2" fontId="73" fillId="4" borderId="3" xfId="0" applyNumberFormat="1" applyFont="1" applyFill="1" applyBorder="1" applyAlignment="1">
      <alignment horizontal="center" vertical="center"/>
    </xf>
    <xf numFmtId="2" fontId="73" fillId="4" borderId="4" xfId="0" applyNumberFormat="1" applyFont="1" applyFill="1" applyBorder="1" applyAlignment="1">
      <alignment horizontal="center" vertical="center"/>
    </xf>
    <xf numFmtId="165" fontId="2" fillId="0" borderId="2" xfId="0" applyNumberFormat="1" applyFont="1" applyBorder="1" applyAlignment="1">
      <alignment horizontal="center" vertical="center"/>
    </xf>
    <xf numFmtId="165" fontId="2" fillId="0" borderId="3" xfId="0" applyNumberFormat="1" applyFont="1" applyBorder="1" applyAlignment="1">
      <alignment horizontal="center" vertical="center"/>
    </xf>
    <xf numFmtId="165" fontId="2" fillId="0" borderId="4" xfId="0" applyNumberFormat="1" applyFont="1" applyBorder="1" applyAlignment="1">
      <alignment horizontal="center" vertical="center"/>
    </xf>
    <xf numFmtId="0" fontId="70" fillId="0" borderId="2" xfId="0" applyFont="1" applyBorder="1" applyAlignment="1">
      <alignment horizontal="center" vertical="center" wrapText="1"/>
    </xf>
    <xf numFmtId="0" fontId="70" fillId="0" borderId="3" xfId="0" applyFont="1" applyBorder="1" applyAlignment="1">
      <alignment horizontal="center" vertical="center" wrapText="1"/>
    </xf>
    <xf numFmtId="0" fontId="70" fillId="0" borderId="4" xfId="0" applyFont="1" applyBorder="1" applyAlignment="1">
      <alignment horizontal="center" vertical="center" wrapText="1"/>
    </xf>
    <xf numFmtId="0" fontId="34" fillId="0" borderId="13" xfId="0" applyFont="1" applyBorder="1" applyAlignment="1">
      <alignment horizontal="left" vertical="center" wrapText="1"/>
    </xf>
    <xf numFmtId="0" fontId="34" fillId="0" borderId="14" xfId="0" applyFont="1" applyBorder="1" applyAlignment="1">
      <alignment horizontal="left" vertical="center" wrapText="1"/>
    </xf>
    <xf numFmtId="0" fontId="34" fillId="0" borderId="0" xfId="0" applyFont="1" applyAlignment="1">
      <alignment horizontal="left" vertical="center"/>
    </xf>
    <xf numFmtId="165" fontId="2" fillId="21" borderId="2" xfId="0" applyNumberFormat="1" applyFont="1" applyFill="1" applyBorder="1" applyAlignment="1">
      <alignment horizontal="center" vertical="center"/>
    </xf>
    <xf numFmtId="165" fontId="2" fillId="21" borderId="3" xfId="0" applyNumberFormat="1" applyFont="1" applyFill="1" applyBorder="1" applyAlignment="1">
      <alignment horizontal="center" vertical="center"/>
    </xf>
    <xf numFmtId="165" fontId="2" fillId="21" borderId="4" xfId="0" applyNumberFormat="1" applyFont="1" applyFill="1" applyBorder="1" applyAlignment="1">
      <alignment horizontal="center" vertical="center"/>
    </xf>
    <xf numFmtId="0" fontId="2" fillId="21" borderId="2" xfId="0" applyFont="1" applyFill="1" applyBorder="1" applyAlignment="1">
      <alignment horizontal="center" vertical="center"/>
    </xf>
    <xf numFmtId="0" fontId="2" fillId="21" borderId="3" xfId="0" applyFont="1" applyFill="1" applyBorder="1" applyAlignment="1">
      <alignment horizontal="center" vertical="center"/>
    </xf>
    <xf numFmtId="0" fontId="2" fillId="21" borderId="4" xfId="0" applyFont="1" applyFill="1" applyBorder="1" applyAlignment="1">
      <alignment horizontal="center" vertical="center"/>
    </xf>
    <xf numFmtId="2" fontId="73" fillId="21" borderId="2" xfId="0" applyNumberFormat="1" applyFont="1" applyFill="1" applyBorder="1" applyAlignment="1">
      <alignment horizontal="center" vertical="center"/>
    </xf>
    <xf numFmtId="2" fontId="73" fillId="21" borderId="3" xfId="0" applyNumberFormat="1" applyFont="1" applyFill="1" applyBorder="1" applyAlignment="1">
      <alignment horizontal="center" vertical="center"/>
    </xf>
    <xf numFmtId="2" fontId="73" fillId="21" borderId="4" xfId="0" applyNumberFormat="1" applyFont="1" applyFill="1" applyBorder="1" applyAlignment="1">
      <alignment horizontal="center" vertical="center"/>
    </xf>
    <xf numFmtId="0" fontId="0" fillId="0" borderId="2" xfId="0" applyBorder="1" applyAlignment="1">
      <alignment vertical="center" wrapText="1"/>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4" fontId="0" fillId="0" borderId="0" xfId="0" applyNumberFormat="1" applyAlignment="1">
      <alignment horizontal="left" vertical="center"/>
    </xf>
    <xf numFmtId="43" fontId="0" fillId="5" borderId="1" xfId="2" applyFont="1" applyFill="1" applyBorder="1" applyAlignment="1">
      <alignment horizontal="center" vertical="center"/>
    </xf>
    <xf numFmtId="0" fontId="2" fillId="4" borderId="1" xfId="0" applyFont="1" applyFill="1" applyBorder="1" applyAlignment="1">
      <alignment horizontal="center" vertical="center"/>
    </xf>
    <xf numFmtId="165" fontId="0" fillId="5" borderId="1" xfId="0" applyNumberFormat="1" applyFill="1" applyBorder="1" applyAlignment="1">
      <alignment horizontal="center" vertical="center"/>
    </xf>
  </cellXfs>
  <cellStyles count="23">
    <cellStyle name="Bad" xfId="5" builtinId="27"/>
    <cellStyle name="Comma" xfId="2" builtinId="3"/>
    <cellStyle name="Comma 2" xfId="7" xr:uid="{00000000-0005-0000-0000-000002000000}"/>
    <cellStyle name="Comma 3" xfId="18" xr:uid="{00000000-0005-0000-0000-000003000000}"/>
    <cellStyle name="Currency" xfId="3" builtinId="4"/>
    <cellStyle name="Currency 2" xfId="9" xr:uid="{00000000-0005-0000-0000-000005000000}"/>
    <cellStyle name="Currency 3" xfId="17" xr:uid="{00000000-0005-0000-0000-000006000000}"/>
    <cellStyle name="Hyperlink" xfId="4" builtinId="8"/>
    <cellStyle name="Hyperlink 2" xfId="14" xr:uid="{00000000-0005-0000-0000-000008000000}"/>
    <cellStyle name="Hyperlink 3" xfId="21" xr:uid="{00000000-0005-0000-0000-000009000000}"/>
    <cellStyle name="Input" xfId="6" builtinId="20"/>
    <cellStyle name="Normal" xfId="0" builtinId="0"/>
    <cellStyle name="Normal 13" xfId="19" xr:uid="{00000000-0005-0000-0000-00000C000000}"/>
    <cellStyle name="Normal 2" xfId="20" xr:uid="{00000000-0005-0000-0000-00000D000000}"/>
    <cellStyle name="Normal 2 2" xfId="11" xr:uid="{00000000-0005-0000-0000-00000E000000}"/>
    <cellStyle name="Normal 3" xfId="16" xr:uid="{00000000-0005-0000-0000-00000F000000}"/>
    <cellStyle name="Normal 4" xfId="22" xr:uid="{12C25969-8D09-4B42-87C0-7AC0FCC0B58F}"/>
    <cellStyle name="Normal_Calc_Com Gas Fryer_product_04-29-09" xfId="13" xr:uid="{00000000-0005-0000-0000-000010000000}"/>
    <cellStyle name="Normal_Calc_Commercial Steam Cooker_product_060309" xfId="15" xr:uid="{00000000-0005-0000-0000-000011000000}"/>
    <cellStyle name="Normal_Calc_Computer_product" xfId="10" xr:uid="{00000000-0005-0000-0000-000012000000}"/>
    <cellStyle name="Normal_Commercial Electric Fryer calculator_product_092909" xfId="12" xr:uid="{00000000-0005-0000-0000-000013000000}"/>
    <cellStyle name="Percent" xfId="1" builtinId="5"/>
    <cellStyle name="Percent 2" xfId="8" xr:uid="{00000000-0005-0000-0000-000015000000}"/>
  </cellStyles>
  <dxfs count="196">
    <dxf>
      <numFmt numFmtId="214" formatCode="0.0\ &quot;SEER&quot;"/>
    </dxf>
    <dxf>
      <numFmt numFmtId="201" formatCode="0.0\ &quot;CEER&quot;"/>
    </dxf>
    <dxf>
      <numFmt numFmtId="214" formatCode="0.0\ &quot;SEER&quot;"/>
    </dxf>
    <dxf>
      <numFmt numFmtId="201" formatCode="0.0\ &quot;CEER&quot;"/>
    </dxf>
    <dxf>
      <font>
        <b/>
        <i val="0"/>
        <strike val="0"/>
      </font>
      <fill>
        <patternFill>
          <bgColor rgb="FF92D050"/>
        </patternFill>
      </fill>
    </dxf>
    <dxf>
      <font>
        <b/>
        <i val="0"/>
      </font>
      <fill>
        <patternFill>
          <bgColor rgb="FFFF0000"/>
        </patternFill>
      </fill>
    </dxf>
    <dxf>
      <fill>
        <patternFill>
          <bgColor rgb="FF92D050"/>
        </patternFill>
      </fill>
    </dxf>
    <dxf>
      <fill>
        <patternFill>
          <bgColor rgb="FFFF0000"/>
        </patternFill>
      </fill>
    </dxf>
    <dxf>
      <font>
        <b/>
        <i val="0"/>
        <strike val="0"/>
      </font>
      <fill>
        <patternFill>
          <bgColor rgb="FF92D050"/>
        </patternFill>
      </fill>
    </dxf>
    <dxf>
      <font>
        <b/>
        <i val="0"/>
      </font>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ont>
        <color theme="0" tint="-0.24994659260841701"/>
      </font>
    </dxf>
    <dxf>
      <font>
        <color theme="0" tint="-0.24994659260841701"/>
      </font>
    </dxf>
    <dxf>
      <font>
        <b/>
        <i val="0"/>
        <color indexed="10"/>
      </font>
    </dxf>
    <dxf>
      <font>
        <color theme="0" tint="-0.24994659260841701"/>
      </font>
    </dxf>
    <dxf>
      <font>
        <b/>
        <i val="0"/>
        <color indexed="10"/>
      </font>
    </dxf>
    <dxf>
      <font>
        <color theme="0" tint="-0.24994659260841701"/>
      </font>
    </dxf>
    <dxf>
      <font>
        <b/>
        <i val="0"/>
        <color indexed="10"/>
      </font>
    </dxf>
    <dxf>
      <font>
        <color theme="0" tint="-0.24994659260841701"/>
      </font>
    </dxf>
    <dxf>
      <font>
        <color theme="0" tint="-0.24994659260841701"/>
      </font>
    </dxf>
    <dxf>
      <font>
        <b/>
        <i val="0"/>
        <color indexed="10"/>
      </font>
    </dxf>
    <dxf>
      <font>
        <color theme="0" tint="-0.24994659260841701"/>
      </font>
    </dxf>
    <dxf>
      <font>
        <b/>
        <i val="0"/>
        <color indexed="10"/>
      </font>
    </dxf>
    <dxf>
      <font>
        <color theme="0" tint="-0.24994659260841701"/>
      </font>
    </dxf>
    <dxf>
      <font>
        <b/>
        <i val="0"/>
        <color indexed="10"/>
      </font>
    </dxf>
    <dxf>
      <font>
        <b/>
        <i val="0"/>
        <color indexed="10"/>
      </font>
    </dxf>
    <dxf>
      <font>
        <color theme="0"/>
      </font>
    </dxf>
    <dxf>
      <font>
        <color theme="0" tint="-0.24994659260841701"/>
      </font>
    </dxf>
    <dxf>
      <alignment horizontal="center" vertical="center" textRotation="0" wrapText="1" indent="0" justifyLastLine="0" shrinkToFit="0" readingOrder="0"/>
    </dxf>
    <dxf>
      <alignment horizontal="left" vertical="center" textRotation="0" wrapText="0" indent="0" justifyLastLine="0" shrinkToFit="0" readingOrder="0"/>
    </dxf>
    <dxf>
      <numFmt numFmtId="19" formatCode="m/d/yyyy"/>
      <alignment horizontal="left" vertical="center" textRotation="0" wrapText="0"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center" vertical="center" textRotation="0" wrapText="0" indent="0" justifyLastLine="0" shrinkToFit="0" readingOrder="0"/>
    </dxf>
    <dxf>
      <alignment horizontal="left" vertical="center" textRotation="0" wrapText="1"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5" tint="0.59999389629810485"/>
        </patternFill>
      </fill>
      <alignment horizontal="left" vertical="center" textRotation="0" wrapText="0" indent="0" justifyLastLine="0" shrinkToFit="0" readingOrder="0"/>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FF00FF"/>
      <color rgb="FFFFC000"/>
      <color rgb="FFFFCC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128" Type="http://schemas.openxmlformats.org/officeDocument/2006/relationships/customXml" Target="../customXml/item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129" Type="http://schemas.openxmlformats.org/officeDocument/2006/relationships/customXml" Target="../customXml/item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externalLink" Target="externalLinks/externalLink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5.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3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drawing36.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drawing3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67.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xdr:col>
      <xdr:colOff>120650</xdr:colOff>
      <xdr:row>35</xdr:row>
      <xdr:rowOff>114300</xdr:rowOff>
    </xdr:to>
    <xdr:sp macro="" textlink="">
      <xdr:nvSpPr>
        <xdr:cNvPr id="330753" name="AutoShape 1" descr="Image result for hawaii energy logo">
          <a:extLst>
            <a:ext uri="{FF2B5EF4-FFF2-40B4-BE49-F238E27FC236}">
              <a16:creationId xmlns:a16="http://schemas.microsoft.com/office/drawing/2014/main" id="{407D4F50-4855-40B8-ABE8-F5075E73D329}"/>
            </a:ext>
          </a:extLst>
        </xdr:cNvPr>
        <xdr:cNvSpPr>
          <a:spLocks noChangeAspect="1" noChangeArrowheads="1"/>
        </xdr:cNvSpPr>
      </xdr:nvSpPr>
      <xdr:spPr bwMode="auto">
        <a:xfrm>
          <a:off x="0" y="607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171450</xdr:colOff>
      <xdr:row>1</xdr:row>
      <xdr:rowOff>47625</xdr:rowOff>
    </xdr:from>
    <xdr:to>
      <xdr:col>18</xdr:col>
      <xdr:colOff>152400</xdr:colOff>
      <xdr:row>6</xdr:row>
      <xdr:rowOff>158750</xdr:rowOff>
    </xdr:to>
    <xdr:pic>
      <xdr:nvPicPr>
        <xdr:cNvPr id="15" name="Picture 14" descr="Image result for hawaii energy logo">
          <a:extLst>
            <a:ext uri="{FF2B5EF4-FFF2-40B4-BE49-F238E27FC236}">
              <a16:creationId xmlns:a16="http://schemas.microsoft.com/office/drawing/2014/main" id="{C7C37386-171B-43B2-9F5B-8DA69709E1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43150" y="238125"/>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28</xdr:row>
      <xdr:rowOff>0</xdr:rowOff>
    </xdr:from>
    <xdr:ext cx="2712720" cy="1828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BAAF9E73-047C-4E4F-9A9C-E2548991E29A}"/>
                </a:ext>
              </a:extLst>
            </xdr:cNvPr>
            <xdr:cNvSpPr txBox="1"/>
          </xdr:nvSpPr>
          <xdr:spPr>
            <a:xfrm>
              <a:off x="361950" y="7924800"/>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i="1">
                  <a:solidFill>
                    <a:sysClr val="windowText" lastClr="000000"/>
                  </a:solidFill>
                  <a:latin typeface="Cambria Math" panose="02040503050406030204" pitchFamily="18" charset="0"/>
                  <a:ea typeface="Cambria Math" panose="02040503050406030204" pitchFamily="18" charset="0"/>
                </a:rPr>
                <a:t> DAYS</a:t>
              </a:r>
            </a:p>
          </xdr:txBody>
        </xdr:sp>
      </mc:Choice>
      <mc:Fallback xmlns="">
        <xdr:sp macro="" textlink="">
          <xdr:nvSpPr>
            <xdr:cNvPr id="2" name="TextBox 1">
              <a:extLst>
                <a:ext uri="{FF2B5EF4-FFF2-40B4-BE49-F238E27FC236}">
                  <a16:creationId xmlns:a16="http://schemas.microsoft.com/office/drawing/2014/main" id="{BAAF9E73-047C-4E4F-9A9C-E2548991E29A}"/>
                </a:ext>
              </a:extLst>
            </xdr:cNvPr>
            <xdr:cNvSpPr txBox="1"/>
          </xdr:nvSpPr>
          <xdr:spPr>
            <a:xfrm>
              <a:off x="361950" y="7924800"/>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  − </a:t>
              </a:r>
              <a:r>
                <a:rPr lang="en-US" sz="1100" b="0" i="0">
                  <a:solidFill>
                    <a:schemeClr val="tx1"/>
                  </a:solidFill>
                  <a:effectLst/>
                  <a:latin typeface="Cambria Math" panose="02040503050406030204" pitchFamily="18" charset="0"/>
                  <a:ea typeface="+mn-ea"/>
                  <a:cs typeface="+mn-cs"/>
                </a:rPr>
                <a:t>𝐸_𝐻𝐸)</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a:solidFill>
                    <a:sysClr val="windowText" lastClr="000000"/>
                  </a:solidFill>
                  <a:latin typeface="Cambria Math" panose="02040503050406030204" pitchFamily="18" charset="0"/>
                  <a:ea typeface="Cambria Math" panose="02040503050406030204" pitchFamily="18" charset="0"/>
                </a:rPr>
                <a:t> DAYS</a:t>
              </a:r>
            </a:p>
          </xdr:txBody>
        </xdr:sp>
      </mc:Fallback>
    </mc:AlternateContent>
    <xdr:clientData/>
  </xdr:oneCellAnchor>
  <xdr:oneCellAnchor>
    <xdr:from>
      <xdr:col>2</xdr:col>
      <xdr:colOff>1</xdr:colOff>
      <xdr:row>32</xdr:row>
      <xdr:rowOff>1</xdr:rowOff>
    </xdr:from>
    <xdr:ext cx="2705100" cy="25145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B5EAFE7-4A47-43BB-820D-6A3A47A71B1F}"/>
                </a:ext>
              </a:extLst>
            </xdr:cNvPr>
            <xdr:cNvSpPr txBox="1"/>
          </xdr:nvSpPr>
          <xdr:spPr>
            <a:xfrm>
              <a:off x="361951" y="868680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FB5EAFE7-4A47-43BB-820D-6A3A47A71B1F}"/>
                </a:ext>
              </a:extLst>
            </xdr:cNvPr>
            <xdr:cNvSpPr txBox="1"/>
          </xdr:nvSpPr>
          <xdr:spPr>
            <a:xfrm>
              <a:off x="361951" y="868680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36</xdr:row>
      <xdr:rowOff>1</xdr:rowOff>
    </xdr:from>
    <xdr:ext cx="272795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A6EE5ABF-76C9-4234-98D8-5ACB1A3A1456}"/>
                </a:ext>
              </a:extLst>
            </xdr:cNvPr>
            <xdr:cNvSpPr txBox="1"/>
          </xdr:nvSpPr>
          <xdr:spPr>
            <a:xfrm>
              <a:off x="361950" y="944880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A6EE5ABF-76C9-4234-98D8-5ACB1A3A1456}"/>
                </a:ext>
              </a:extLst>
            </xdr:cNvPr>
            <xdr:cNvSpPr txBox="1"/>
          </xdr:nvSpPr>
          <xdr:spPr>
            <a:xfrm>
              <a:off x="361950" y="944880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167640</xdr:colOff>
      <xdr:row>36</xdr:row>
      <xdr:rowOff>19052</xdr:rowOff>
    </xdr:from>
    <xdr:ext cx="2686049"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25738BC-26A4-4A4B-BEEB-0B20DFFF1A9B}"/>
                </a:ext>
              </a:extLst>
            </xdr:cNvPr>
            <xdr:cNvSpPr txBox="1"/>
          </xdr:nvSpPr>
          <xdr:spPr>
            <a:xfrm>
              <a:off x="348615" y="9372602"/>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C25738BC-26A4-4A4B-BEEB-0B20DFFF1A9B}"/>
                </a:ext>
              </a:extLst>
            </xdr:cNvPr>
            <xdr:cNvSpPr txBox="1"/>
          </xdr:nvSpPr>
          <xdr:spPr>
            <a:xfrm>
              <a:off x="348615" y="9372602"/>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0</xdr:colOff>
      <xdr:row>28</xdr:row>
      <xdr:rowOff>0</xdr:rowOff>
    </xdr:from>
    <xdr:ext cx="2466975" cy="24765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49F4CBAD-305F-4253-A331-48461B7A54CD}"/>
                </a:ext>
              </a:extLst>
            </xdr:cNvPr>
            <xdr:cNvSpPr txBox="1"/>
          </xdr:nvSpPr>
          <xdr:spPr>
            <a:xfrm>
              <a:off x="361950" y="7829550"/>
              <a:ext cx="24669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r>
                <a:rPr lang="en-US" sz="1100" i="1">
                  <a:solidFill>
                    <a:sysClr val="windowText" lastClr="000000"/>
                  </a:solidFill>
                  <a:latin typeface="Cambria Math" panose="02040503050406030204" pitchFamily="18" charset="0"/>
                  <a:ea typeface="Cambria Math" panose="02040503050406030204" pitchFamily="18" charset="0"/>
                </a:rPr>
                <a:t>DAYS</a:t>
              </a:r>
            </a:p>
          </xdr:txBody>
        </xdr:sp>
      </mc:Choice>
      <mc:Fallback xmlns="">
        <xdr:sp macro="" textlink="">
          <xdr:nvSpPr>
            <xdr:cNvPr id="3" name="TextBox 2">
              <a:extLst>
                <a:ext uri="{FF2B5EF4-FFF2-40B4-BE49-F238E27FC236}">
                  <a16:creationId xmlns:a16="http://schemas.microsoft.com/office/drawing/2014/main" id="{49F4CBAD-305F-4253-A331-48461B7A54CD}"/>
                </a:ext>
              </a:extLst>
            </xdr:cNvPr>
            <xdr:cNvSpPr txBox="1"/>
          </xdr:nvSpPr>
          <xdr:spPr>
            <a:xfrm>
              <a:off x="361950" y="7829550"/>
              <a:ext cx="24669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  − </a:t>
              </a:r>
              <a:r>
                <a:rPr lang="en-US" sz="1100" b="0" i="0">
                  <a:solidFill>
                    <a:schemeClr val="tx1"/>
                  </a:solidFill>
                  <a:effectLst/>
                  <a:latin typeface="Cambria Math" panose="02040503050406030204" pitchFamily="18" charset="0"/>
                  <a:ea typeface="+mn-ea"/>
                  <a:cs typeface="+mn-cs"/>
                </a:rPr>
                <a:t>𝐸_𝐻𝐸)</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a:solidFill>
                    <a:sysClr val="windowText" lastClr="000000"/>
                  </a:solidFill>
                  <a:latin typeface="Cambria Math" panose="02040503050406030204" pitchFamily="18" charset="0"/>
                  <a:ea typeface="Cambria Math" panose="02040503050406030204" pitchFamily="18" charset="0"/>
                </a:rPr>
                <a:t> </a:t>
              </a:r>
              <a:r>
                <a:rPr lang="en-US" sz="1100" i="1">
                  <a:solidFill>
                    <a:sysClr val="windowText" lastClr="000000"/>
                  </a:solidFill>
                  <a:latin typeface="Cambria Math" panose="02040503050406030204" pitchFamily="18" charset="0"/>
                  <a:ea typeface="Cambria Math" panose="02040503050406030204" pitchFamily="18" charset="0"/>
                </a:rPr>
                <a:t>DAYS</a:t>
              </a:r>
            </a:p>
          </xdr:txBody>
        </xdr:sp>
      </mc:Fallback>
    </mc:AlternateContent>
    <xdr:clientData/>
  </xdr:oneCellAnchor>
  <xdr:oneCellAnchor>
    <xdr:from>
      <xdr:col>2</xdr:col>
      <xdr:colOff>1</xdr:colOff>
      <xdr:row>32</xdr:row>
      <xdr:rowOff>0</xdr:rowOff>
    </xdr:from>
    <xdr:ext cx="2705100" cy="2571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4C1EADF4-9BC1-49F7-B16A-D6E58248733B}"/>
                </a:ext>
              </a:extLst>
            </xdr:cNvPr>
            <xdr:cNvSpPr txBox="1"/>
          </xdr:nvSpPr>
          <xdr:spPr>
            <a:xfrm>
              <a:off x="361951" y="8591550"/>
              <a:ext cx="27051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4C1EADF4-9BC1-49F7-B16A-D6E58248733B}"/>
                </a:ext>
              </a:extLst>
            </xdr:cNvPr>
            <xdr:cNvSpPr txBox="1"/>
          </xdr:nvSpPr>
          <xdr:spPr>
            <a:xfrm>
              <a:off x="361951" y="8591550"/>
              <a:ext cx="27051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167640</xdr:colOff>
      <xdr:row>63</xdr:row>
      <xdr:rowOff>19052</xdr:rowOff>
    </xdr:from>
    <xdr:ext cx="2686049"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78B4392-6ACB-4BF1-8B6B-5370E8EE5E77}"/>
                </a:ext>
              </a:extLst>
            </xdr:cNvPr>
            <xdr:cNvSpPr txBox="1"/>
          </xdr:nvSpPr>
          <xdr:spPr>
            <a:xfrm>
              <a:off x="358140" y="13944602"/>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278B4392-6ACB-4BF1-8B6B-5370E8EE5E77}"/>
                </a:ext>
              </a:extLst>
            </xdr:cNvPr>
            <xdr:cNvSpPr txBox="1"/>
          </xdr:nvSpPr>
          <xdr:spPr>
            <a:xfrm>
              <a:off x="358140" y="13944602"/>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9525</xdr:colOff>
      <xdr:row>27</xdr:row>
      <xdr:rowOff>171450</xdr:rowOff>
    </xdr:from>
    <xdr:ext cx="4600575" cy="24765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36CF7D0-934C-441E-8982-AA4A340B348B}"/>
                </a:ext>
              </a:extLst>
            </xdr:cNvPr>
            <xdr:cNvSpPr txBox="1"/>
          </xdr:nvSpPr>
          <xdr:spPr>
            <a:xfrm>
              <a:off x="371475" y="7943850"/>
              <a:ext cx="46005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𝐸𝑛𝑒𝑟𝑔𝑦𝑆𝑡𝑎𝑟</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136CF7D0-934C-441E-8982-AA4A340B348B}"/>
                </a:ext>
              </a:extLst>
            </xdr:cNvPr>
            <xdr:cNvSpPr txBox="1"/>
          </xdr:nvSpPr>
          <xdr:spPr>
            <a:xfrm>
              <a:off x="371475" y="7943850"/>
              <a:ext cx="46005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𝑏𝑎𝑠𝑒</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𝐸𝑛𝑒𝑟𝑔𝑦𝑆𝑡𝑎𝑟</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xdr:colOff>
      <xdr:row>59</xdr:row>
      <xdr:rowOff>1</xdr:rowOff>
    </xdr:from>
    <xdr:ext cx="2705100" cy="2286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6786875-E9BC-4EF2-8922-54DB204457C8}"/>
                </a:ext>
              </a:extLst>
            </xdr:cNvPr>
            <xdr:cNvSpPr txBox="1"/>
          </xdr:nvSpPr>
          <xdr:spPr>
            <a:xfrm>
              <a:off x="361951" y="13868401"/>
              <a:ext cx="27051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F6786875-E9BC-4EF2-8922-54DB204457C8}"/>
                </a:ext>
              </a:extLst>
            </xdr:cNvPr>
            <xdr:cNvSpPr txBox="1"/>
          </xdr:nvSpPr>
          <xdr:spPr>
            <a:xfrm>
              <a:off x="361951" y="13868401"/>
              <a:ext cx="27051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57150</xdr:colOff>
      <xdr:row>31</xdr:row>
      <xdr:rowOff>160020</xdr:rowOff>
    </xdr:from>
    <xdr:ext cx="3762375" cy="24765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767E45A-B227-4D6A-9E1D-E8E2284AFA30}"/>
                </a:ext>
              </a:extLst>
            </xdr:cNvPr>
            <xdr:cNvSpPr txBox="1"/>
          </xdr:nvSpPr>
          <xdr:spPr>
            <a:xfrm>
              <a:off x="438150" y="8561070"/>
              <a:ext cx="37623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𝑤𝑎𝑡𝑒𝑟h𝑒𝑎𝑡𝑒𝑟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𝑏𝑜𝑜𝑠𝑡𝑒𝑟h𝑒𝑎𝑡𝑒𝑟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𝑖𝑑𝑙𝑒</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 name="TextBox 4">
              <a:extLst>
                <a:ext uri="{FF2B5EF4-FFF2-40B4-BE49-F238E27FC236}">
                  <a16:creationId xmlns:a16="http://schemas.microsoft.com/office/drawing/2014/main" id="{D767E45A-B227-4D6A-9E1D-E8E2284AFA30}"/>
                </a:ext>
              </a:extLst>
            </xdr:cNvPr>
            <xdr:cNvSpPr txBox="1"/>
          </xdr:nvSpPr>
          <xdr:spPr>
            <a:xfrm>
              <a:off x="438150" y="8561070"/>
              <a:ext cx="37623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𝑏𝑎𝑠𝑒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𝑤𝑎𝑡𝑒𝑟ℎ𝑒𝑎𝑡𝑒𝑟 𝑏𝑎𝑠𝑒</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𝑏𝑜𝑜𝑠𝑡𝑒𝑟ℎ𝑒𝑎𝑡𝑒𝑟 𝑏𝑎𝑠𝑒</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𝑖𝑑𝑙𝑒 𝑏𝑎𝑠𝑒</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59054</xdr:colOff>
      <xdr:row>33</xdr:row>
      <xdr:rowOff>161925</xdr:rowOff>
    </xdr:from>
    <xdr:ext cx="4551046" cy="2476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F15E1BD-A4CA-48EE-AB81-1E66348CF2AF}"/>
                </a:ext>
              </a:extLst>
            </xdr:cNvPr>
            <xdr:cNvSpPr txBox="1"/>
          </xdr:nvSpPr>
          <xdr:spPr>
            <a:xfrm>
              <a:off x="440054" y="8943975"/>
              <a:ext cx="4551046"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𝑤𝑎𝑡𝑒𝑟h𝑒𝑎𝑡𝑒𝑟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𝑏𝑜𝑜𝑠𝑡𝑒𝑟h𝑒𝑎𝑡𝑒𝑟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𝑖𝑑𝑙𝑒</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6" name="TextBox 5">
              <a:extLst>
                <a:ext uri="{FF2B5EF4-FFF2-40B4-BE49-F238E27FC236}">
                  <a16:creationId xmlns:a16="http://schemas.microsoft.com/office/drawing/2014/main" id="{FF15E1BD-A4CA-48EE-AB81-1E66348CF2AF}"/>
                </a:ext>
              </a:extLst>
            </xdr:cNvPr>
            <xdr:cNvSpPr txBox="1"/>
          </xdr:nvSpPr>
          <xdr:spPr>
            <a:xfrm>
              <a:off x="440054" y="8943975"/>
              <a:ext cx="4551046"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𝐸𝑛𝑒𝑟𝑔𝑦𝑆𝑡𝑎𝑟</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𝑤𝑎𝑡𝑒𝑟ℎ𝑒𝑎𝑡𝑒𝑟 𝐸𝑛𝑒𝑟𝑔𝑦𝑆𝑡𝑎𝑟</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𝑏𝑜𝑜𝑠𝑡𝑒𝑟ℎ𝑒𝑎𝑡𝑒𝑟 𝐸𝑛𝑒𝑟𝑔𝑦𝑆𝑡𝑎𝑟</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𝑖𝑑𝑙𝑒 𝐸𝑛𝑒𝑟𝑔𝑦𝑆𝑡𝑎𝑟</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57151</xdr:colOff>
      <xdr:row>36</xdr:row>
      <xdr:rowOff>11429</xdr:rowOff>
    </xdr:from>
    <xdr:ext cx="5143500" cy="358141"/>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E6B179E-8549-4ED9-9843-7C184DC354FF}"/>
                </a:ext>
              </a:extLst>
            </xdr:cNvPr>
            <xdr:cNvSpPr txBox="1"/>
          </xdr:nvSpPr>
          <xdr:spPr>
            <a:xfrm>
              <a:off x="419101" y="9498329"/>
              <a:ext cx="5143500" cy="3581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𝑤𝑎𝑡𝑒𝑟h𝑒𝑎𝑡𝑒𝑟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𝑊𝑎𝑡𝑒𝑟𝑈𝑠𝑒</m:t>
                  </m:r>
                </m:oMath>
              </a14:m>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m:t>
                          </m:r>
                          <m:r>
                            <a:rPr lang="en-US" sz="1100" b="0" i="1" baseline="0">
                              <a:solidFill>
                                <a:schemeClr val="tx1"/>
                              </a:solidFill>
                              <a:effectLst/>
                              <a:latin typeface="Cambria Math" panose="02040503050406030204" pitchFamily="18" charset="0"/>
                              <a:ea typeface="+mn-ea"/>
                              <a:cs typeface="+mn-cs"/>
                            </a:rPr>
                            <m:t>𝑖</m:t>
                          </m:r>
                          <m:r>
                            <a:rPr lang="en-US" sz="1100" b="0" i="1">
                              <a:solidFill>
                                <a:schemeClr val="tx1"/>
                              </a:solidFill>
                              <a:effectLst/>
                              <a:latin typeface="Cambria Math" panose="02040503050406030204" pitchFamily="18" charset="0"/>
                              <a:ea typeface="+mn-ea"/>
                              <a:cs typeface="+mn-cs"/>
                            </a:rPr>
                            <m:t>𝑤𝑎𝑡𝑒𝑟h𝑒𝑎𝑡𝑒𝑟</m:t>
                          </m:r>
                          <m:r>
                            <a:rPr lang="en-US" sz="1100" b="0" i="1">
                              <a:solidFill>
                                <a:schemeClr val="tx1"/>
                              </a:solidFill>
                              <a:effectLst/>
                              <a:latin typeface="Cambria Math" panose="02040503050406030204" pitchFamily="18" charset="0"/>
                              <a:ea typeface="+mn-ea"/>
                              <a:cs typeface="+mn-cs"/>
                            </a:rPr>
                            <m:t> ∗ </m:t>
                          </m:r>
                          <m:r>
                            <a:rPr lang="en-US" sz="110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𝑝</m:t>
                          </m:r>
                          <m:r>
                            <a:rPr lang="en-US" sz="1100" b="0" i="1">
                              <a:solidFill>
                                <a:schemeClr val="tx1"/>
                              </a:solidFill>
                              <a:effectLst/>
                              <a:latin typeface="Cambria Math" panose="02040503050406030204" pitchFamily="18" charset="0"/>
                              <a:ea typeface="+mn-ea"/>
                              <a:cs typeface="+mn-cs"/>
                            </a:rPr>
                            <m:t> ∗ </m:t>
                          </m:r>
                          <m:r>
                            <m:rPr>
                              <m:sty m:val="p"/>
                            </m:rPr>
                            <a:rPr lang="el-GR" sz="1100" b="0" i="1">
                              <a:solidFill>
                                <a:schemeClr val="tx1"/>
                              </a:solidFill>
                              <a:effectLst/>
                              <a:latin typeface="Cambria Math" panose="02040503050406030204" pitchFamily="18" charset="0"/>
                              <a:ea typeface="+mn-ea"/>
                              <a:cs typeface="+mn-cs"/>
                            </a:rPr>
                            <m:t>ρ</m:t>
                          </m:r>
                          <m:r>
                            <a:rPr lang="en-US" sz="1100" b="0" i="1">
                              <a:solidFill>
                                <a:schemeClr val="tx1"/>
                              </a:solidFill>
                              <a:effectLst/>
                              <a:latin typeface="Cambria Math" panose="02040503050406030204" pitchFamily="18" charset="0"/>
                              <a:ea typeface="+mn-ea"/>
                              <a:cs typeface="+mn-cs"/>
                            </a:rPr>
                            <m:t>  </m:t>
                          </m:r>
                        </m:num>
                        <m:den>
                          <m:r>
                            <a:rPr lang="en-US" sz="1100" b="0" i="1">
                              <a:solidFill>
                                <a:schemeClr val="tx1"/>
                              </a:solidFill>
                              <a:effectLst/>
                              <a:latin typeface="Cambria Math" panose="02040503050406030204" pitchFamily="18" charset="0"/>
                              <a:ea typeface="+mn-ea"/>
                              <a:cs typeface="+mn-cs"/>
                            </a:rPr>
                            <m:t>𝐸𝑓𝑓𝑤𝑎𝑡𝑒𝑟h𝑒𝑎𝑡𝑒𝑟</m:t>
                          </m:r>
                        </m:den>
                      </m:f>
                      <m:r>
                        <m:rPr>
                          <m:nor/>
                        </m:rPr>
                        <a:rPr lang="en-US" sz="1100" i="1" baseline="-25000">
                          <a:solidFill>
                            <a:schemeClr val="tx1"/>
                          </a:solidFill>
                          <a:effectLst/>
                          <a:latin typeface="+mn-lt"/>
                          <a:ea typeface="+mn-ea"/>
                          <a:cs typeface="+mn-cs"/>
                        </a:rPr>
                        <m:t> </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3412</m:t>
                          </m:r>
                        </m:den>
                      </m:f>
                      <m:r>
                        <m:rPr>
                          <m:nor/>
                        </m:rPr>
                        <a:rPr lang="en-US" sz="1100" i="1" baseline="-25000">
                          <a:solidFill>
                            <a:schemeClr val="tx1"/>
                          </a:solidFill>
                          <a:effectLst/>
                          <a:latin typeface="+mn-lt"/>
                          <a:ea typeface="+mn-ea"/>
                          <a:cs typeface="+mn-cs"/>
                        </a:rPr>
                        <m:t> </m:t>
                      </m:r>
                    </m:e>
                  </m:d>
                </m:oMath>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7" name="TextBox 6">
              <a:extLst>
                <a:ext uri="{FF2B5EF4-FFF2-40B4-BE49-F238E27FC236}">
                  <a16:creationId xmlns:a16="http://schemas.microsoft.com/office/drawing/2014/main" id="{EE6B179E-8549-4ED9-9843-7C184DC354FF}"/>
                </a:ext>
              </a:extLst>
            </xdr:cNvPr>
            <xdr:cNvSpPr txBox="1"/>
          </xdr:nvSpPr>
          <xdr:spPr>
            <a:xfrm>
              <a:off x="419101" y="9498329"/>
              <a:ext cx="5143500" cy="3581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𝑤𝑎𝑡𝑒𝑟ℎ𝑒𝑎𝑡𝑒𝑟 𝑏𝑎𝑠𝑒</a:t>
              </a:r>
              <a:r>
                <a:rPr lang="en-US" sz="1100" b="0" i="0">
                  <a:solidFill>
                    <a:schemeClr val="tx1"/>
                  </a:solidFill>
                  <a:effectLst/>
                  <a:latin typeface="Cambria Math" panose="02040503050406030204" pitchFamily="18" charset="0"/>
                  <a:ea typeface="+mn-ea"/>
                  <a:cs typeface="+mn-cs"/>
                </a:rPr>
                <a:t>=(𝑊𝑎𝑡𝑒𝑟𝑈𝑠𝑒</a:t>
              </a:r>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∗𝑅𝑃𝐷∗𝐷𝐴𝑌𝑆)∗((</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𝑇</a:t>
              </a:r>
              <a:r>
                <a:rPr lang="en-US" sz="1100" b="0" i="0" baseline="0">
                  <a:solidFill>
                    <a:schemeClr val="tx1"/>
                  </a:solidFill>
                  <a:effectLst/>
                  <a:latin typeface="Cambria Math" panose="02040503050406030204" pitchFamily="18" charset="0"/>
                  <a:ea typeface="+mn-ea"/>
                  <a:cs typeface="+mn-cs"/>
                </a:rPr>
                <a:t>𝑖</a:t>
              </a:r>
              <a:r>
                <a:rPr lang="en-US" sz="1100" b="0" i="0">
                  <a:solidFill>
                    <a:schemeClr val="tx1"/>
                  </a:solidFill>
                  <a:effectLst/>
                  <a:latin typeface="Cambria Math" panose="02040503050406030204" pitchFamily="18" charset="0"/>
                  <a:ea typeface="+mn-ea"/>
                  <a:cs typeface="+mn-cs"/>
                </a:rPr>
                <a:t>𝑤𝑎𝑡𝑒𝑟ℎ𝑒𝑎𝑡𝑒𝑟 ∗ </a:t>
              </a:r>
              <a:r>
                <a:rPr lang="en-US" sz="1100" i="0">
                  <a:solidFill>
                    <a:schemeClr val="tx1"/>
                  </a:solidFill>
                  <a:effectLst/>
                  <a:latin typeface="Cambria Math" panose="02040503050406030204" pitchFamily="18" charset="0"/>
                  <a:ea typeface="+mn-ea"/>
                  <a:cs typeface="+mn-cs"/>
                </a:rPr>
                <a:t>𝐶</a:t>
              </a:r>
              <a:r>
                <a:rPr lang="en-US" sz="1100" b="0" i="0">
                  <a:solidFill>
                    <a:schemeClr val="tx1"/>
                  </a:solidFill>
                  <a:effectLst/>
                  <a:latin typeface="Cambria Math" panose="02040503050406030204" pitchFamily="18" charset="0"/>
                  <a:ea typeface="+mn-ea"/>
                  <a:cs typeface="+mn-cs"/>
                </a:rPr>
                <a:t>𝑝 ∗ </a:t>
              </a:r>
              <a:r>
                <a:rPr lang="el-GR" sz="1100" b="0" i="0">
                  <a:solidFill>
                    <a:schemeClr val="tx1"/>
                  </a:solidFill>
                  <a:effectLst/>
                  <a:latin typeface="Cambria Math" panose="02040503050406030204" pitchFamily="18" charset="0"/>
                  <a:ea typeface="+mn-ea"/>
                  <a:cs typeface="+mn-cs"/>
                </a:rPr>
                <a:t>ρ</a:t>
              </a:r>
              <a:r>
                <a:rPr lang="en-US" sz="1100" b="0" i="0">
                  <a:solidFill>
                    <a:schemeClr val="tx1"/>
                  </a:solidFill>
                  <a:effectLst/>
                  <a:latin typeface="Cambria Math" panose="02040503050406030204" pitchFamily="18" charset="0"/>
                  <a:ea typeface="+mn-ea"/>
                  <a:cs typeface="+mn-cs"/>
                </a:rPr>
                <a:t>  )/𝐸𝑓𝑓𝑤𝑎𝑡𝑒𝑟ℎ𝑒𝑎𝑡𝑒𝑟</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1</a:t>
              </a:r>
              <a:r>
                <a:rPr lang="en-US" sz="1100" b="0" i="0">
                  <a:solidFill>
                    <a:schemeClr val="tx1"/>
                  </a:solidFill>
                  <a:effectLst/>
                  <a:latin typeface="Cambria Math" panose="02040503050406030204" pitchFamily="18" charset="0"/>
                  <a:ea typeface="+mn-ea"/>
                  <a:cs typeface="+mn-cs"/>
                </a:rPr>
                <a:t>/3412</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55245</xdr:colOff>
      <xdr:row>39</xdr:row>
      <xdr:rowOff>11429</xdr:rowOff>
    </xdr:from>
    <xdr:ext cx="4821556" cy="550546"/>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A0DC4DD-F86C-471D-ABB0-88BDD2D6C69B}"/>
                </a:ext>
              </a:extLst>
            </xdr:cNvPr>
            <xdr:cNvSpPr txBox="1"/>
          </xdr:nvSpPr>
          <xdr:spPr>
            <a:xfrm>
              <a:off x="417195" y="10069829"/>
              <a:ext cx="4821556" cy="5505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𝑤𝑎𝑡𝑒𝑟h𝑒𝑎𝑡𝑒𝑟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oMath>
                </m:oMathPara>
              </a14:m>
              <a:endParaRPr lang="en-US" sz="1100" b="0" i="1">
                <a:solidFill>
                  <a:schemeClr val="tx1"/>
                </a:solidFill>
                <a:effectLst/>
                <a:latin typeface="Cambria Math" panose="02040503050406030204" pitchFamily="18" charset="0"/>
                <a:ea typeface="+mn-ea"/>
                <a:cs typeface="+mn-cs"/>
              </a:endParaRPr>
            </a:p>
            <a:p>
              <a:pPr algn="l"/>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𝑊𝑎𝑡𝑒𝑟𝑈𝑠𝑒</m:t>
                  </m:r>
                </m:oMath>
              </a14:m>
              <a:r>
                <a:rPr lang="en-US" sz="1100" i="1" baseline="-25000">
                  <a:solidFill>
                    <a:sysClr val="windowText" lastClr="000000"/>
                  </a:solidFill>
                  <a:latin typeface="Cambria Math" panose="02040503050406030204" pitchFamily="18" charset="0"/>
                  <a:ea typeface="Cambria Math" panose="02040503050406030204" pitchFamily="18" charset="0"/>
                </a:rPr>
                <a:t>EnergyStar</a:t>
              </a:r>
              <a:r>
                <a:rPr lang="en-US" sz="1100" i="1" baseline="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𝑇𝑤𝑎𝑡𝑒𝑟h𝑒𝑎𝑡𝑒𝑟</m:t>
                          </m:r>
                          <m:r>
                            <a:rPr lang="en-US" sz="1100" b="0" i="1">
                              <a:solidFill>
                                <a:schemeClr val="tx1"/>
                              </a:solidFill>
                              <a:effectLst/>
                              <a:latin typeface="Cambria Math" panose="02040503050406030204" pitchFamily="18" charset="0"/>
                              <a:ea typeface="+mn-ea"/>
                              <a:cs typeface="+mn-cs"/>
                            </a:rPr>
                            <m:t> ∗ </m:t>
                          </m:r>
                          <m:r>
                            <a:rPr lang="en-US" sz="110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𝑝</m:t>
                          </m:r>
                          <m:r>
                            <a:rPr lang="en-US" sz="1100" b="0" i="1">
                              <a:solidFill>
                                <a:schemeClr val="tx1"/>
                              </a:solidFill>
                              <a:effectLst/>
                              <a:latin typeface="Cambria Math" panose="02040503050406030204" pitchFamily="18" charset="0"/>
                              <a:ea typeface="+mn-ea"/>
                              <a:cs typeface="+mn-cs"/>
                            </a:rPr>
                            <m:t> ∗ </m:t>
                          </m:r>
                          <m:r>
                            <m:rPr>
                              <m:sty m:val="p"/>
                            </m:rPr>
                            <a:rPr lang="el-GR" sz="1100" b="0" i="1">
                              <a:solidFill>
                                <a:schemeClr val="tx1"/>
                              </a:solidFill>
                              <a:effectLst/>
                              <a:latin typeface="Cambria Math" panose="02040503050406030204" pitchFamily="18" charset="0"/>
                              <a:ea typeface="+mn-ea"/>
                              <a:cs typeface="+mn-cs"/>
                            </a:rPr>
                            <m:t>ρ</m:t>
                          </m:r>
                          <m:r>
                            <a:rPr lang="en-US" sz="1100" b="0" i="1">
                              <a:solidFill>
                                <a:schemeClr val="tx1"/>
                              </a:solidFill>
                              <a:effectLst/>
                              <a:latin typeface="Cambria Math" panose="02040503050406030204" pitchFamily="18" charset="0"/>
                              <a:ea typeface="+mn-ea"/>
                              <a:cs typeface="+mn-cs"/>
                            </a:rPr>
                            <m:t>  </m:t>
                          </m:r>
                        </m:num>
                        <m:den>
                          <m:r>
                            <a:rPr lang="en-US" sz="1100" b="0" i="1">
                              <a:solidFill>
                                <a:schemeClr val="tx1"/>
                              </a:solidFill>
                              <a:effectLst/>
                              <a:latin typeface="Cambria Math" panose="02040503050406030204" pitchFamily="18" charset="0"/>
                              <a:ea typeface="+mn-ea"/>
                              <a:cs typeface="+mn-cs"/>
                            </a:rPr>
                            <m:t>𝐸𝑓𝑓𝑤𝑎𝑡𝑒𝑟h𝑒𝑎𝑡𝑒𝑟</m:t>
                          </m:r>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3412</m:t>
                          </m:r>
                        </m:den>
                      </m:f>
                      <m:r>
                        <m:rPr>
                          <m:nor/>
                        </m:rPr>
                        <a:rPr lang="en-US" sz="1100" i="1" baseline="-25000">
                          <a:solidFill>
                            <a:schemeClr val="tx1"/>
                          </a:solidFill>
                          <a:effectLst/>
                          <a:latin typeface="+mn-lt"/>
                          <a:ea typeface="+mn-ea"/>
                          <a:cs typeface="+mn-cs"/>
                        </a:rPr>
                        <m:t> </m:t>
                      </m:r>
                    </m:e>
                  </m:d>
                </m:oMath>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2A0DC4DD-F86C-471D-ABB0-88BDD2D6C69B}"/>
                </a:ext>
              </a:extLst>
            </xdr:cNvPr>
            <xdr:cNvSpPr txBox="1"/>
          </xdr:nvSpPr>
          <xdr:spPr>
            <a:xfrm>
              <a:off x="417195" y="10069829"/>
              <a:ext cx="4821556" cy="5505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𝑤𝑎𝑡𝑒𝑟ℎ𝑒𝑎𝑡𝑒𝑟 𝐸𝑛𝑒𝑟𝑔𝑦𝑆𝑡𝑎𝑟</a:t>
              </a:r>
              <a:r>
                <a:rPr lang="en-US" sz="1100" b="0" i="0">
                  <a:solidFill>
                    <a:schemeClr val="tx1"/>
                  </a:solidFill>
                  <a:effectLst/>
                  <a:latin typeface="Cambria Math" panose="02040503050406030204" pitchFamily="18" charset="0"/>
                  <a:ea typeface="+mn-ea"/>
                  <a:cs typeface="+mn-cs"/>
                </a:rPr>
                <a:t>=</a:t>
              </a:r>
              <a:endParaRPr lang="en-US" sz="1100" b="0" i="1">
                <a:solidFill>
                  <a:schemeClr val="tx1"/>
                </a:solidFill>
                <a:effectLst/>
                <a:latin typeface="Cambria Math" panose="02040503050406030204" pitchFamily="18" charset="0"/>
                <a:ea typeface="+mn-ea"/>
                <a:cs typeface="+mn-cs"/>
              </a:endParaRPr>
            </a:p>
            <a:p>
              <a:pPr algn="l"/>
              <a:r>
                <a:rPr lang="en-US" sz="1100" b="0" i="0">
                  <a:solidFill>
                    <a:schemeClr val="tx1"/>
                  </a:solidFill>
                  <a:effectLst/>
                  <a:latin typeface="Cambria Math" panose="02040503050406030204" pitchFamily="18" charset="0"/>
                  <a:ea typeface="+mn-ea"/>
                  <a:cs typeface="+mn-cs"/>
                </a:rPr>
                <a:t>(𝑊𝑎𝑡𝑒𝑟𝑈𝑠𝑒</a:t>
              </a:r>
              <a:r>
                <a:rPr lang="en-US" sz="1100" i="1" baseline="-25000">
                  <a:solidFill>
                    <a:sysClr val="windowText" lastClr="000000"/>
                  </a:solidFill>
                  <a:latin typeface="Cambria Math" panose="02040503050406030204" pitchFamily="18" charset="0"/>
                  <a:ea typeface="Cambria Math" panose="02040503050406030204" pitchFamily="18" charset="0"/>
                </a:rPr>
                <a:t>EnergyStar</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∗𝑅𝑃𝐷∗𝐷𝐴𝑌𝑆)∗((</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𝑇𝑤𝑎𝑡𝑒𝑟ℎ𝑒𝑎𝑡𝑒𝑟 ∗ </a:t>
              </a:r>
              <a:r>
                <a:rPr lang="en-US" sz="1100" i="0">
                  <a:solidFill>
                    <a:schemeClr val="tx1"/>
                  </a:solidFill>
                  <a:effectLst/>
                  <a:latin typeface="Cambria Math" panose="02040503050406030204" pitchFamily="18" charset="0"/>
                  <a:ea typeface="+mn-ea"/>
                  <a:cs typeface="+mn-cs"/>
                </a:rPr>
                <a:t>𝐶</a:t>
              </a:r>
              <a:r>
                <a:rPr lang="en-US" sz="1100" b="0" i="0">
                  <a:solidFill>
                    <a:schemeClr val="tx1"/>
                  </a:solidFill>
                  <a:effectLst/>
                  <a:latin typeface="Cambria Math" panose="02040503050406030204" pitchFamily="18" charset="0"/>
                  <a:ea typeface="+mn-ea"/>
                  <a:cs typeface="+mn-cs"/>
                </a:rPr>
                <a:t>𝑝 ∗ </a:t>
              </a:r>
              <a:r>
                <a:rPr lang="el-GR" sz="1100" b="0" i="0">
                  <a:solidFill>
                    <a:schemeClr val="tx1"/>
                  </a:solidFill>
                  <a:effectLst/>
                  <a:latin typeface="Cambria Math" panose="02040503050406030204" pitchFamily="18" charset="0"/>
                  <a:ea typeface="+mn-ea"/>
                  <a:cs typeface="+mn-cs"/>
                </a:rPr>
                <a:t>ρ</a:t>
              </a:r>
              <a:r>
                <a:rPr lang="en-US" sz="1100" b="0" i="0">
                  <a:solidFill>
                    <a:schemeClr val="tx1"/>
                  </a:solidFill>
                  <a:effectLst/>
                  <a:latin typeface="Cambria Math" panose="02040503050406030204" pitchFamily="18" charset="0"/>
                  <a:ea typeface="+mn-ea"/>
                  <a:cs typeface="+mn-cs"/>
                </a:rPr>
                <a:t>  )/𝐸𝑓𝑓𝑤𝑎𝑡𝑒𝑟ℎ𝑒𝑎𝑡𝑒𝑟)∗(</a:t>
              </a:r>
              <a:r>
                <a:rPr lang="en-US" sz="1100" i="0">
                  <a:solidFill>
                    <a:schemeClr val="tx1"/>
                  </a:solidFill>
                  <a:effectLst/>
                  <a:latin typeface="Cambria Math" panose="02040503050406030204" pitchFamily="18" charset="0"/>
                  <a:ea typeface="+mn-ea"/>
                  <a:cs typeface="+mn-cs"/>
                </a:rPr>
                <a:t>1</a:t>
              </a:r>
              <a:r>
                <a:rPr lang="en-US" sz="1100" b="0" i="0">
                  <a:solidFill>
                    <a:schemeClr val="tx1"/>
                  </a:solidFill>
                  <a:effectLst/>
                  <a:latin typeface="Cambria Math" panose="02040503050406030204" pitchFamily="18" charset="0"/>
                  <a:ea typeface="+mn-ea"/>
                  <a:cs typeface="+mn-cs"/>
                </a:rPr>
                <a:t>/3412</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49530</xdr:colOff>
      <xdr:row>43</xdr:row>
      <xdr:rowOff>19051</xdr:rowOff>
    </xdr:from>
    <xdr:ext cx="5046346" cy="352424"/>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BF1DC725-A9BD-438E-AF64-03934A7C797A}"/>
                </a:ext>
              </a:extLst>
            </xdr:cNvPr>
            <xdr:cNvSpPr txBox="1"/>
          </xdr:nvSpPr>
          <xdr:spPr>
            <a:xfrm>
              <a:off x="411480" y="10839451"/>
              <a:ext cx="5046346" cy="35242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𝑏𝑜𝑜𝑠𝑡𝑒𝑟h𝑒𝑎𝑡𝑒𝑟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𝑊𝑎𝑡𝑒𝑟𝑈𝑠𝑒</m:t>
                  </m:r>
                </m:oMath>
              </a14:m>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𝑇𝑏𝑜𝑜𝑠𝑡𝑒𝑟h</m:t>
                          </m:r>
                          <m:r>
                            <a:rPr lang="en-US" sz="1100" b="0" i="1" baseline="0">
                              <a:solidFill>
                                <a:schemeClr val="tx1"/>
                              </a:solidFill>
                              <a:effectLst/>
                              <a:latin typeface="Cambria Math" panose="02040503050406030204" pitchFamily="18" charset="0"/>
                              <a:ea typeface="+mn-ea"/>
                              <a:cs typeface="+mn-cs"/>
                            </a:rPr>
                            <m:t>𝑒𝑎𝑡𝑒𝑟</m:t>
                          </m:r>
                          <m:r>
                            <a:rPr lang="en-US" sz="1100" b="0" i="1">
                              <a:solidFill>
                                <a:schemeClr val="tx1"/>
                              </a:solidFill>
                              <a:effectLst/>
                              <a:latin typeface="Cambria Math" panose="02040503050406030204" pitchFamily="18" charset="0"/>
                              <a:ea typeface="+mn-ea"/>
                              <a:cs typeface="+mn-cs"/>
                            </a:rPr>
                            <m:t> ∗ </m:t>
                          </m:r>
                          <m:r>
                            <a:rPr lang="en-US" sz="110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𝑝</m:t>
                          </m:r>
                          <m:r>
                            <a:rPr lang="en-US" sz="1100" b="0" i="1">
                              <a:solidFill>
                                <a:schemeClr val="tx1"/>
                              </a:solidFill>
                              <a:effectLst/>
                              <a:latin typeface="Cambria Math" panose="02040503050406030204" pitchFamily="18" charset="0"/>
                              <a:ea typeface="+mn-ea"/>
                              <a:cs typeface="+mn-cs"/>
                            </a:rPr>
                            <m:t> ∗ </m:t>
                          </m:r>
                          <m:r>
                            <m:rPr>
                              <m:sty m:val="p"/>
                            </m:rPr>
                            <a:rPr lang="el-GR" sz="1100" b="0" i="1">
                              <a:solidFill>
                                <a:schemeClr val="tx1"/>
                              </a:solidFill>
                              <a:effectLst/>
                              <a:latin typeface="Cambria Math" panose="02040503050406030204" pitchFamily="18" charset="0"/>
                              <a:ea typeface="+mn-ea"/>
                              <a:cs typeface="+mn-cs"/>
                            </a:rPr>
                            <m:t>ρ</m:t>
                          </m:r>
                          <m:r>
                            <a:rPr lang="en-US" sz="1100" b="0" i="1">
                              <a:solidFill>
                                <a:schemeClr val="tx1"/>
                              </a:solidFill>
                              <a:effectLst/>
                              <a:latin typeface="Cambria Math" panose="02040503050406030204" pitchFamily="18" charset="0"/>
                              <a:ea typeface="+mn-ea"/>
                              <a:cs typeface="+mn-cs"/>
                            </a:rPr>
                            <m:t>  </m:t>
                          </m:r>
                        </m:num>
                        <m:den>
                          <m:r>
                            <a:rPr lang="en-US" sz="1100" b="0" i="1">
                              <a:solidFill>
                                <a:schemeClr val="tx1"/>
                              </a:solidFill>
                              <a:effectLst/>
                              <a:latin typeface="Cambria Math" panose="02040503050406030204" pitchFamily="18" charset="0"/>
                              <a:ea typeface="+mn-ea"/>
                              <a:cs typeface="+mn-cs"/>
                            </a:rPr>
                            <m:t>𝐸𝑓𝑓𝑏𝑜𝑜𝑠𝑡𝑒𝑟h𝑒𝑎𝑡𝑒𝑟</m:t>
                          </m:r>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3412</m:t>
                          </m:r>
                        </m:den>
                      </m:f>
                      <m:r>
                        <m:rPr>
                          <m:nor/>
                        </m:rPr>
                        <a:rPr lang="en-US" sz="1100" i="1" baseline="-25000">
                          <a:solidFill>
                            <a:schemeClr val="tx1"/>
                          </a:solidFill>
                          <a:effectLst/>
                          <a:latin typeface="+mn-lt"/>
                          <a:ea typeface="+mn-ea"/>
                          <a:cs typeface="+mn-cs"/>
                        </a:rPr>
                        <m:t> </m:t>
                      </m:r>
                    </m:e>
                  </m:d>
                </m:oMath>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BF1DC725-A9BD-438E-AF64-03934A7C797A}"/>
                </a:ext>
              </a:extLst>
            </xdr:cNvPr>
            <xdr:cNvSpPr txBox="1"/>
          </xdr:nvSpPr>
          <xdr:spPr>
            <a:xfrm>
              <a:off x="411480" y="10839451"/>
              <a:ext cx="5046346" cy="35242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𝑏𝑜𝑜𝑠𝑡𝑒𝑟ℎ𝑒𝑎𝑡𝑒𝑟 𝑏𝑎𝑠𝑒</a:t>
              </a:r>
              <a:r>
                <a:rPr lang="en-US" sz="1100" b="0" i="0">
                  <a:solidFill>
                    <a:schemeClr val="tx1"/>
                  </a:solidFill>
                  <a:effectLst/>
                  <a:latin typeface="Cambria Math" panose="02040503050406030204" pitchFamily="18" charset="0"/>
                  <a:ea typeface="+mn-ea"/>
                  <a:cs typeface="+mn-cs"/>
                </a:rPr>
                <a:t>=(𝑊𝑎𝑡𝑒𝑟𝑈𝑠𝑒</a:t>
              </a:r>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∗𝑅𝑃𝐷∗𝐷𝐴𝑌𝑆)∗((</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𝑇𝑏𝑜𝑜𝑠𝑡𝑒𝑟ℎ</a:t>
              </a:r>
              <a:r>
                <a:rPr lang="en-US" sz="1100" b="0" i="0" baseline="0">
                  <a:solidFill>
                    <a:schemeClr val="tx1"/>
                  </a:solidFill>
                  <a:effectLst/>
                  <a:latin typeface="Cambria Math" panose="02040503050406030204" pitchFamily="18" charset="0"/>
                  <a:ea typeface="+mn-ea"/>
                  <a:cs typeface="+mn-cs"/>
                </a:rPr>
                <a:t>𝑒𝑎𝑡𝑒𝑟</a:t>
              </a:r>
              <a:r>
                <a:rPr lang="en-US" sz="1100" b="0" i="0">
                  <a:solidFill>
                    <a:schemeClr val="tx1"/>
                  </a:solidFill>
                  <a:effectLst/>
                  <a:latin typeface="Cambria Math" panose="02040503050406030204" pitchFamily="18" charset="0"/>
                  <a:ea typeface="+mn-ea"/>
                  <a:cs typeface="+mn-cs"/>
                </a:rPr>
                <a:t> ∗ </a:t>
              </a:r>
              <a:r>
                <a:rPr lang="en-US" sz="1100" i="0">
                  <a:solidFill>
                    <a:schemeClr val="tx1"/>
                  </a:solidFill>
                  <a:effectLst/>
                  <a:latin typeface="Cambria Math" panose="02040503050406030204" pitchFamily="18" charset="0"/>
                  <a:ea typeface="+mn-ea"/>
                  <a:cs typeface="+mn-cs"/>
                </a:rPr>
                <a:t>𝐶</a:t>
              </a:r>
              <a:r>
                <a:rPr lang="en-US" sz="1100" b="0" i="0">
                  <a:solidFill>
                    <a:schemeClr val="tx1"/>
                  </a:solidFill>
                  <a:effectLst/>
                  <a:latin typeface="Cambria Math" panose="02040503050406030204" pitchFamily="18" charset="0"/>
                  <a:ea typeface="+mn-ea"/>
                  <a:cs typeface="+mn-cs"/>
                </a:rPr>
                <a:t>𝑝 ∗ </a:t>
              </a:r>
              <a:r>
                <a:rPr lang="el-GR" sz="1100" b="0" i="0">
                  <a:solidFill>
                    <a:schemeClr val="tx1"/>
                  </a:solidFill>
                  <a:effectLst/>
                  <a:latin typeface="Cambria Math" panose="02040503050406030204" pitchFamily="18" charset="0"/>
                  <a:ea typeface="+mn-ea"/>
                  <a:cs typeface="+mn-cs"/>
                </a:rPr>
                <a:t>ρ</a:t>
              </a:r>
              <a:r>
                <a:rPr lang="en-US" sz="1100" b="0" i="0">
                  <a:solidFill>
                    <a:schemeClr val="tx1"/>
                  </a:solidFill>
                  <a:effectLst/>
                  <a:latin typeface="Cambria Math" panose="02040503050406030204" pitchFamily="18" charset="0"/>
                  <a:ea typeface="+mn-ea"/>
                  <a:cs typeface="+mn-cs"/>
                </a:rPr>
                <a:t>  )/𝐸𝑓𝑓𝑏𝑜𝑜𝑠𝑡𝑒𝑟ℎ𝑒𝑎𝑡𝑒𝑟)∗(</a:t>
              </a:r>
              <a:r>
                <a:rPr lang="en-US" sz="1100" i="0">
                  <a:solidFill>
                    <a:schemeClr val="tx1"/>
                  </a:solidFill>
                  <a:effectLst/>
                  <a:latin typeface="Cambria Math" panose="02040503050406030204" pitchFamily="18" charset="0"/>
                  <a:ea typeface="+mn-ea"/>
                  <a:cs typeface="+mn-cs"/>
                </a:rPr>
                <a:t>1</a:t>
              </a:r>
              <a:r>
                <a:rPr lang="en-US" sz="1100" b="0" i="0">
                  <a:solidFill>
                    <a:schemeClr val="tx1"/>
                  </a:solidFill>
                  <a:effectLst/>
                  <a:latin typeface="Cambria Math" panose="02040503050406030204" pitchFamily="18" charset="0"/>
                  <a:ea typeface="+mn-ea"/>
                  <a:cs typeface="+mn-cs"/>
                </a:rPr>
                <a:t>/3412</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66676</xdr:colOff>
      <xdr:row>46</xdr:row>
      <xdr:rowOff>9525</xdr:rowOff>
    </xdr:from>
    <xdr:ext cx="4629150" cy="533400"/>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5A80E793-1560-416D-A6E6-9B34E9E4E9A4}"/>
                </a:ext>
              </a:extLst>
            </xdr:cNvPr>
            <xdr:cNvSpPr txBox="1"/>
          </xdr:nvSpPr>
          <xdr:spPr>
            <a:xfrm>
              <a:off x="428626" y="11401425"/>
              <a:ext cx="4629150" cy="5334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𝑏𝑜𝑜𝑠𝑡𝑒𝑟h𝑒𝑎𝑡𝑒𝑟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oMath>
                </m:oMathPara>
              </a14:m>
              <a:endParaRPr lang="en-US" sz="1100" b="0" i="1">
                <a:solidFill>
                  <a:schemeClr val="tx1"/>
                </a:solidFill>
                <a:effectLst/>
                <a:latin typeface="Cambria Math" panose="02040503050406030204" pitchFamily="18" charset="0"/>
                <a:ea typeface="+mn-ea"/>
                <a:cs typeface="+mn-cs"/>
              </a:endParaRPr>
            </a:p>
            <a:p>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𝑊𝑎𝑡𝑒𝑟𝑈𝑠𝑒</m:t>
                  </m:r>
                </m:oMath>
              </a14:m>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𝑇𝑏𝑜𝑜𝑠𝑡𝑒𝑟h</m:t>
                          </m:r>
                          <m:r>
                            <a:rPr lang="en-US" sz="1100" b="0" i="1" baseline="0">
                              <a:solidFill>
                                <a:schemeClr val="tx1"/>
                              </a:solidFill>
                              <a:effectLst/>
                              <a:latin typeface="Cambria Math" panose="02040503050406030204" pitchFamily="18" charset="0"/>
                              <a:ea typeface="+mn-ea"/>
                              <a:cs typeface="+mn-cs"/>
                            </a:rPr>
                            <m:t>𝑒𝑎𝑡𝑒𝑟</m:t>
                          </m:r>
                          <m:r>
                            <a:rPr lang="en-US" sz="1100" b="0" i="1">
                              <a:solidFill>
                                <a:schemeClr val="tx1"/>
                              </a:solidFill>
                              <a:effectLst/>
                              <a:latin typeface="Cambria Math" panose="02040503050406030204" pitchFamily="18" charset="0"/>
                              <a:ea typeface="+mn-ea"/>
                              <a:cs typeface="+mn-cs"/>
                            </a:rPr>
                            <m:t> ∗ </m:t>
                          </m:r>
                          <m:r>
                            <a:rPr lang="en-US" sz="110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𝑝</m:t>
                          </m:r>
                          <m:r>
                            <a:rPr lang="en-US" sz="1100" b="0" i="1">
                              <a:solidFill>
                                <a:schemeClr val="tx1"/>
                              </a:solidFill>
                              <a:effectLst/>
                              <a:latin typeface="Cambria Math" panose="02040503050406030204" pitchFamily="18" charset="0"/>
                              <a:ea typeface="+mn-ea"/>
                              <a:cs typeface="+mn-cs"/>
                            </a:rPr>
                            <m:t> ∗ </m:t>
                          </m:r>
                          <m:r>
                            <m:rPr>
                              <m:sty m:val="p"/>
                            </m:rPr>
                            <a:rPr lang="el-GR" sz="1100" b="0" i="1">
                              <a:solidFill>
                                <a:schemeClr val="tx1"/>
                              </a:solidFill>
                              <a:effectLst/>
                              <a:latin typeface="Cambria Math" panose="02040503050406030204" pitchFamily="18" charset="0"/>
                              <a:ea typeface="+mn-ea"/>
                              <a:cs typeface="+mn-cs"/>
                            </a:rPr>
                            <m:t>ρ</m:t>
                          </m:r>
                          <m:r>
                            <a:rPr lang="en-US" sz="1100" b="0" i="1">
                              <a:solidFill>
                                <a:schemeClr val="tx1"/>
                              </a:solidFill>
                              <a:effectLst/>
                              <a:latin typeface="Cambria Math" panose="02040503050406030204" pitchFamily="18" charset="0"/>
                              <a:ea typeface="+mn-ea"/>
                              <a:cs typeface="+mn-cs"/>
                            </a:rPr>
                            <m:t>  </m:t>
                          </m:r>
                        </m:num>
                        <m:den>
                          <m:r>
                            <a:rPr lang="en-US" sz="1100" b="0" i="1">
                              <a:solidFill>
                                <a:schemeClr val="tx1"/>
                              </a:solidFill>
                              <a:effectLst/>
                              <a:latin typeface="Cambria Math" panose="02040503050406030204" pitchFamily="18" charset="0"/>
                              <a:ea typeface="+mn-ea"/>
                              <a:cs typeface="+mn-cs"/>
                            </a:rPr>
                            <m:t>𝐸𝑓𝑓𝑏𝑜𝑜𝑠𝑡𝑒𝑟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h𝑒𝑎𝑡𝑒𝑟</m:t>
                          </m:r>
                        </m:den>
                      </m:f>
                      <m:r>
                        <m:rPr>
                          <m:nor/>
                        </m:rPr>
                        <a:rPr lang="en-US" sz="1100" i="1" baseline="-25000">
                          <a:solidFill>
                            <a:schemeClr val="tx1"/>
                          </a:solidFill>
                          <a:effectLst/>
                          <a:latin typeface="+mn-lt"/>
                          <a:ea typeface="+mn-ea"/>
                          <a:cs typeface="+mn-cs"/>
                        </a:rPr>
                        <m:t> </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3412</m:t>
                          </m:r>
                        </m:den>
                      </m:f>
                      <m:r>
                        <m:rPr>
                          <m:nor/>
                        </m:rPr>
                        <a:rPr lang="en-US" sz="1100" i="1" baseline="-25000">
                          <a:solidFill>
                            <a:schemeClr val="tx1"/>
                          </a:solidFill>
                          <a:effectLst/>
                          <a:latin typeface="+mn-lt"/>
                          <a:ea typeface="+mn-ea"/>
                          <a:cs typeface="+mn-cs"/>
                        </a:rPr>
                        <m:t> </m:t>
                      </m:r>
                    </m:e>
                  </m:d>
                </m:oMath>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0" name="TextBox 9">
              <a:extLst>
                <a:ext uri="{FF2B5EF4-FFF2-40B4-BE49-F238E27FC236}">
                  <a16:creationId xmlns:a16="http://schemas.microsoft.com/office/drawing/2014/main" id="{5A80E793-1560-416D-A6E6-9B34E9E4E9A4}"/>
                </a:ext>
              </a:extLst>
            </xdr:cNvPr>
            <xdr:cNvSpPr txBox="1"/>
          </xdr:nvSpPr>
          <xdr:spPr>
            <a:xfrm>
              <a:off x="428626" y="11401425"/>
              <a:ext cx="4629150" cy="5334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𝑏𝑜𝑜𝑠𝑡𝑒𝑟ℎ𝑒𝑎𝑡𝑒𝑟 𝐸𝑛𝑒𝑟𝑔𝑦𝑆𝑡𝑎𝑟</a:t>
              </a:r>
              <a:r>
                <a:rPr lang="en-US" sz="1100" b="0" i="0">
                  <a:solidFill>
                    <a:schemeClr val="tx1"/>
                  </a:solidFill>
                  <a:effectLst/>
                  <a:latin typeface="Cambria Math" panose="02040503050406030204" pitchFamily="18" charset="0"/>
                  <a:ea typeface="+mn-ea"/>
                  <a:cs typeface="+mn-cs"/>
                </a:rPr>
                <a:t>=</a:t>
              </a:r>
              <a:endParaRPr lang="en-US" sz="1100" b="0" i="1">
                <a:solidFill>
                  <a:schemeClr val="tx1"/>
                </a:solidFill>
                <a:effectLst/>
                <a:latin typeface="Cambria Math" panose="02040503050406030204" pitchFamily="18" charset="0"/>
                <a:ea typeface="+mn-ea"/>
                <a:cs typeface="+mn-cs"/>
              </a:endParaRPr>
            </a:p>
            <a:p>
              <a:r>
                <a:rPr lang="en-US" sz="1100" b="0" i="0">
                  <a:solidFill>
                    <a:schemeClr val="tx1"/>
                  </a:solidFill>
                  <a:effectLst/>
                  <a:latin typeface="Cambria Math" panose="02040503050406030204" pitchFamily="18" charset="0"/>
                  <a:ea typeface="+mn-ea"/>
                  <a:cs typeface="+mn-cs"/>
                </a:rPr>
                <a:t>(𝑊𝑎𝑡𝑒𝑟𝑈𝑠𝑒</a:t>
              </a:r>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 𝑅𝑃𝐷∗𝐷𝐴𝑌𝑆)∗ ((</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𝑇𝑏𝑜𝑜𝑠𝑡𝑒𝑟ℎ</a:t>
              </a:r>
              <a:r>
                <a:rPr lang="en-US" sz="1100" b="0" i="0" baseline="0">
                  <a:solidFill>
                    <a:schemeClr val="tx1"/>
                  </a:solidFill>
                  <a:effectLst/>
                  <a:latin typeface="Cambria Math" panose="02040503050406030204" pitchFamily="18" charset="0"/>
                  <a:ea typeface="+mn-ea"/>
                  <a:cs typeface="+mn-cs"/>
                </a:rPr>
                <a:t>𝑒𝑎𝑡𝑒𝑟</a:t>
              </a:r>
              <a:r>
                <a:rPr lang="en-US" sz="1100" b="0" i="0">
                  <a:solidFill>
                    <a:schemeClr val="tx1"/>
                  </a:solidFill>
                  <a:effectLst/>
                  <a:latin typeface="Cambria Math" panose="02040503050406030204" pitchFamily="18" charset="0"/>
                  <a:ea typeface="+mn-ea"/>
                  <a:cs typeface="+mn-cs"/>
                </a:rPr>
                <a:t> ∗ </a:t>
              </a:r>
              <a:r>
                <a:rPr lang="en-US" sz="1100" i="0">
                  <a:solidFill>
                    <a:schemeClr val="tx1"/>
                  </a:solidFill>
                  <a:effectLst/>
                  <a:latin typeface="Cambria Math" panose="02040503050406030204" pitchFamily="18" charset="0"/>
                  <a:ea typeface="+mn-ea"/>
                  <a:cs typeface="+mn-cs"/>
                </a:rPr>
                <a:t>𝐶</a:t>
              </a:r>
              <a:r>
                <a:rPr lang="en-US" sz="1100" b="0" i="0">
                  <a:solidFill>
                    <a:schemeClr val="tx1"/>
                  </a:solidFill>
                  <a:effectLst/>
                  <a:latin typeface="Cambria Math" panose="02040503050406030204" pitchFamily="18" charset="0"/>
                  <a:ea typeface="+mn-ea"/>
                  <a:cs typeface="+mn-cs"/>
                </a:rPr>
                <a:t>𝑝 ∗ </a:t>
              </a:r>
              <a:r>
                <a:rPr lang="el-GR" sz="1100" b="0" i="0">
                  <a:solidFill>
                    <a:schemeClr val="tx1"/>
                  </a:solidFill>
                  <a:effectLst/>
                  <a:latin typeface="Cambria Math" panose="02040503050406030204" pitchFamily="18" charset="0"/>
                  <a:ea typeface="+mn-ea"/>
                  <a:cs typeface="+mn-cs"/>
                </a:rPr>
                <a:t>ρ</a:t>
              </a:r>
              <a:r>
                <a:rPr lang="en-US" sz="1100" b="0" i="0">
                  <a:solidFill>
                    <a:schemeClr val="tx1"/>
                  </a:solidFill>
                  <a:effectLst/>
                  <a:latin typeface="Cambria Math" panose="02040503050406030204" pitchFamily="18" charset="0"/>
                  <a:ea typeface="+mn-ea"/>
                  <a:cs typeface="+mn-cs"/>
                </a:rPr>
                <a:t>  )/(𝐸𝑓𝑓𝑏𝑜𝑜𝑠𝑡𝑒𝑟 ℎ𝑒𝑎𝑡𝑒𝑟)</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1</a:t>
              </a:r>
              <a:r>
                <a:rPr lang="en-US" sz="1100" b="0" i="0">
                  <a:solidFill>
                    <a:schemeClr val="tx1"/>
                  </a:solidFill>
                  <a:effectLst/>
                  <a:latin typeface="Cambria Math" panose="02040503050406030204" pitchFamily="18" charset="0"/>
                  <a:ea typeface="+mn-ea"/>
                  <a:cs typeface="+mn-cs"/>
                </a:rPr>
                <a:t>/3412</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53341</xdr:colOff>
      <xdr:row>49</xdr:row>
      <xdr:rowOff>171450</xdr:rowOff>
    </xdr:from>
    <xdr:ext cx="5137784" cy="426720"/>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96481FE6-8E37-4763-8BC0-8C868D7D6E3C}"/>
                </a:ext>
              </a:extLst>
            </xdr:cNvPr>
            <xdr:cNvSpPr txBox="1"/>
          </xdr:nvSpPr>
          <xdr:spPr>
            <a:xfrm>
              <a:off x="415291" y="12134850"/>
              <a:ext cx="5137784" cy="4267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𝑖𝑑𝑙𝑒</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𝐼𝑑𝑙𝑒𝐷𝑟𝑎𝑤𝑏𝑎𝑠𝑒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𝐷𝐴𝐼𝐿𝑌</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 − </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𝑊</m:t>
                            </m:r>
                            <m:r>
                              <a:rPr lang="en-US" sz="1100" b="0" i="1">
                                <a:solidFill>
                                  <a:schemeClr val="tx1"/>
                                </a:solidFill>
                                <a:effectLst/>
                                <a:latin typeface="Cambria Math" panose="02040503050406030204" pitchFamily="18" charset="0"/>
                                <a:ea typeface="+mn-ea"/>
                                <a:cs typeface="+mn-cs"/>
                              </a:rPr>
                              <m:t>𝑎𝑠h𝑇𝑖𝑚𝑒</m:t>
                            </m:r>
                            <m:r>
                              <a:rPr lang="en-US" sz="1100" b="0" i="1" baseline="-25000">
                                <a:solidFill>
                                  <a:schemeClr val="tx1"/>
                                </a:solidFill>
                                <a:effectLst/>
                                <a:latin typeface="Cambria Math" panose="02040503050406030204" pitchFamily="18" charset="0"/>
                                <a:ea typeface="+mn-ea"/>
                                <a:cs typeface="+mn-cs"/>
                              </a:rPr>
                              <m:t>𝑏𝑎𝑠𝑒</m:t>
                            </m:r>
                          </m:num>
                          <m:den>
                            <m:r>
                              <a:rPr lang="en-US" sz="1100" b="0" i="1">
                                <a:solidFill>
                                  <a:schemeClr val="tx1"/>
                                </a:solidFill>
                                <a:effectLst/>
                                <a:latin typeface="Cambria Math" panose="02040503050406030204" pitchFamily="18" charset="0"/>
                                <a:ea typeface="+mn-ea"/>
                                <a:cs typeface="+mn-cs"/>
                              </a:rPr>
                              <m:t>60</m:t>
                            </m:r>
                          </m:den>
                        </m:f>
                      </m:e>
                    </m:d>
                    <m:r>
                      <a:rPr lang="en-US" sz="1100" b="0" i="1">
                        <a:solidFill>
                          <a:schemeClr val="tx1"/>
                        </a:solidFill>
                        <a:effectLst/>
                        <a:latin typeface="Cambria Math" panose="02040503050406030204" pitchFamily="18" charset="0"/>
                        <a:ea typeface="+mn-ea"/>
                        <a:cs typeface="+mn-cs"/>
                      </a:rPr>
                      <m:t>]</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96481FE6-8E37-4763-8BC0-8C868D7D6E3C}"/>
                </a:ext>
              </a:extLst>
            </xdr:cNvPr>
            <xdr:cNvSpPr txBox="1"/>
          </xdr:nvSpPr>
          <xdr:spPr>
            <a:xfrm>
              <a:off x="415291" y="12134850"/>
              <a:ext cx="5137784" cy="4267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𝑖𝑑𝑙𝑒 𝑏𝑎𝑠𝑒</a:t>
              </a:r>
              <a:r>
                <a:rPr lang="en-US" sz="1100" b="0" i="0">
                  <a:solidFill>
                    <a:schemeClr val="tx1"/>
                  </a:solidFill>
                  <a:effectLst/>
                  <a:latin typeface="Cambria Math" panose="02040503050406030204" pitchFamily="18" charset="0"/>
                  <a:ea typeface="+mn-ea"/>
                  <a:cs typeface="+mn-cs"/>
                </a:rPr>
                <a:t>=𝐼𝑑𝑙𝑒𝐷𝑟𝑎𝑤𝑏𝑎𝑠𝑒∗[𝐷𝐴𝐼𝐿𝑌 𝐻𝑅𝑆∗𝐷𝐴𝑌𝑆 − 𝑅𝑃𝐷∗𝐷𝐴𝑌𝑆 ∗(</a:t>
              </a:r>
              <a:r>
                <a:rPr lang="en-US" sz="1100" i="0">
                  <a:solidFill>
                    <a:schemeClr val="tx1"/>
                  </a:solidFill>
                  <a:effectLst/>
                  <a:latin typeface="Cambria Math" panose="02040503050406030204" pitchFamily="18" charset="0"/>
                  <a:ea typeface="+mn-ea"/>
                  <a:cs typeface="+mn-cs"/>
                </a:rPr>
                <a:t>𝑊</a:t>
              </a:r>
              <a:r>
                <a:rPr lang="en-US" sz="1100" b="0" i="0">
                  <a:solidFill>
                    <a:schemeClr val="tx1"/>
                  </a:solidFill>
                  <a:effectLst/>
                  <a:latin typeface="Cambria Math" panose="02040503050406030204" pitchFamily="18" charset="0"/>
                  <a:ea typeface="+mn-ea"/>
                  <a:cs typeface="+mn-cs"/>
                </a:rPr>
                <a:t>𝑎𝑠ℎ𝑇𝑖𝑚𝑒</a:t>
              </a:r>
              <a:r>
                <a:rPr lang="en-US" sz="1100" b="0" i="0" baseline="-25000">
                  <a:solidFill>
                    <a:schemeClr val="tx1"/>
                  </a:solidFill>
                  <a:effectLst/>
                  <a:latin typeface="Cambria Math" panose="02040503050406030204" pitchFamily="18" charset="0"/>
                  <a:ea typeface="+mn-ea"/>
                  <a:cs typeface="+mn-cs"/>
                </a:rPr>
                <a:t>𝑏𝑎𝑠𝑒/</a:t>
              </a:r>
              <a:r>
                <a:rPr lang="en-US" sz="1100" b="0" i="0">
                  <a:solidFill>
                    <a:schemeClr val="tx1"/>
                  </a:solidFill>
                  <a:effectLst/>
                  <a:latin typeface="Cambria Math" panose="02040503050406030204" pitchFamily="18" charset="0"/>
                  <a:ea typeface="+mn-ea"/>
                  <a:cs typeface="+mn-cs"/>
                </a:rPr>
                <a:t>60)]</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59055</xdr:colOff>
      <xdr:row>52</xdr:row>
      <xdr:rowOff>190499</xdr:rowOff>
    </xdr:from>
    <xdr:ext cx="5122545" cy="561975"/>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6E62F30C-1AB1-4C8B-8548-BF1C3AB29244}"/>
                </a:ext>
              </a:extLst>
            </xdr:cNvPr>
            <xdr:cNvSpPr txBox="1"/>
          </xdr:nvSpPr>
          <xdr:spPr>
            <a:xfrm>
              <a:off x="421005" y="12725399"/>
              <a:ext cx="5122545" cy="561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𝑖𝑑𝑙𝑒</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oMath>
                </m:oMathPara>
              </a14:m>
              <a:endParaRPr lang="en-US" sz="1100" b="0" i="1">
                <a:solidFill>
                  <a:schemeClr val="tx1"/>
                </a:solidFill>
                <a:effectLst/>
                <a:latin typeface="Cambria Math" panose="02040503050406030204" pitchFamily="18" charset="0"/>
                <a:ea typeface="+mn-ea"/>
                <a:cs typeface="+mn-cs"/>
              </a:endParaRPr>
            </a:p>
            <a:p>
              <a:pPr/>
              <a14:m>
                <m:oMathPara xmlns:m="http://schemas.openxmlformats.org/officeDocument/2006/math">
                  <m:oMathParaPr>
                    <m:jc m:val="left"/>
                  </m:oMathParaPr>
                  <m:oMath xmlns:m="http://schemas.openxmlformats.org/officeDocument/2006/math">
                    <m:r>
                      <a:rPr lang="en-US" sz="1100" b="0" i="1">
                        <a:solidFill>
                          <a:schemeClr val="tx1"/>
                        </a:solidFill>
                        <a:effectLst/>
                        <a:latin typeface="Cambria Math" panose="02040503050406030204" pitchFamily="18" charset="0"/>
                        <a:ea typeface="+mn-ea"/>
                        <a:cs typeface="+mn-cs"/>
                      </a:rPr>
                      <m:t>𝐼𝑑𝑙𝑒𝐷𝑟𝑎𝑤𝐸𝑛𝑒𝑟𝑔𝑦𝑆𝑡𝑎𝑟</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𝐷𝐴𝐼𝐿𝑌</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𝑊</m:t>
                            </m:r>
                            <m:r>
                              <a:rPr lang="en-US" sz="1100" b="0" i="1">
                                <a:solidFill>
                                  <a:schemeClr val="tx1"/>
                                </a:solidFill>
                                <a:effectLst/>
                                <a:latin typeface="Cambria Math" panose="02040503050406030204" pitchFamily="18" charset="0"/>
                                <a:ea typeface="+mn-ea"/>
                                <a:cs typeface="+mn-cs"/>
                              </a:rPr>
                              <m:t>𝑎𝑠h𝑇𝑖𝑚𝑒</m:t>
                            </m:r>
                            <m:r>
                              <a:rPr lang="en-US" sz="1100" b="0" i="1" baseline="-25000">
                                <a:solidFill>
                                  <a:schemeClr val="tx1"/>
                                </a:solidFill>
                                <a:effectLst/>
                                <a:latin typeface="Cambria Math" panose="02040503050406030204" pitchFamily="18" charset="0"/>
                                <a:ea typeface="+mn-ea"/>
                                <a:cs typeface="+mn-cs"/>
                              </a:rPr>
                              <m:t>𝐸𝑛𝑒𝑟𝑔𝑦𝑆𝑡𝑎𝑟</m:t>
                            </m:r>
                          </m:num>
                          <m:den>
                            <m:r>
                              <a:rPr lang="en-US" sz="1100" b="0" i="1">
                                <a:solidFill>
                                  <a:schemeClr val="tx1"/>
                                </a:solidFill>
                                <a:effectLst/>
                                <a:latin typeface="Cambria Math" panose="02040503050406030204" pitchFamily="18" charset="0"/>
                                <a:ea typeface="+mn-ea"/>
                                <a:cs typeface="+mn-cs"/>
                              </a:rPr>
                              <m:t>60</m:t>
                            </m:r>
                          </m:den>
                        </m:f>
                      </m:e>
                    </m:d>
                    <m:r>
                      <a:rPr lang="en-US" sz="1100" b="0" i="1">
                        <a:solidFill>
                          <a:schemeClr val="tx1"/>
                        </a:solidFill>
                        <a:effectLst/>
                        <a:latin typeface="Cambria Math" panose="02040503050406030204" pitchFamily="18" charset="0"/>
                        <a:ea typeface="+mn-ea"/>
                        <a:cs typeface="+mn-cs"/>
                      </a:rPr>
                      <m:t>]</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6E62F30C-1AB1-4C8B-8548-BF1C3AB29244}"/>
                </a:ext>
              </a:extLst>
            </xdr:cNvPr>
            <xdr:cNvSpPr txBox="1"/>
          </xdr:nvSpPr>
          <xdr:spPr>
            <a:xfrm>
              <a:off x="421005" y="12725399"/>
              <a:ext cx="5122545" cy="561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𝑖𝑑𝑙𝑒 𝐸𝑛𝑒𝑟𝑔𝑦𝑆𝑡𝑎𝑟</a:t>
              </a:r>
              <a:r>
                <a:rPr lang="en-US" sz="1100" b="0" i="0">
                  <a:solidFill>
                    <a:schemeClr val="tx1"/>
                  </a:solidFill>
                  <a:effectLst/>
                  <a:latin typeface="Cambria Math" panose="02040503050406030204" pitchFamily="18" charset="0"/>
                  <a:ea typeface="+mn-ea"/>
                  <a:cs typeface="+mn-cs"/>
                </a:rPr>
                <a:t>=</a:t>
              </a:r>
              <a:endParaRPr lang="en-US" sz="1100" b="0" i="1">
                <a:solidFill>
                  <a:schemeClr val="tx1"/>
                </a:solidFill>
                <a:effectLst/>
                <a:latin typeface="Cambria Math" panose="02040503050406030204" pitchFamily="18" charset="0"/>
                <a:ea typeface="+mn-ea"/>
                <a:cs typeface="+mn-cs"/>
              </a:endParaRPr>
            </a:p>
            <a:p>
              <a:pPr/>
              <a:r>
                <a:rPr lang="en-US" sz="1100" b="0" i="0">
                  <a:solidFill>
                    <a:schemeClr val="tx1"/>
                  </a:solidFill>
                  <a:effectLst/>
                  <a:latin typeface="Cambria Math" panose="02040503050406030204" pitchFamily="18" charset="0"/>
                  <a:ea typeface="+mn-ea"/>
                  <a:cs typeface="+mn-cs"/>
                </a:rPr>
                <a:t>𝐼𝑑𝑙𝑒𝐷𝑟𝑎𝑤𝐸𝑛𝑒𝑟𝑔𝑦𝑆𝑡𝑎𝑟∗[𝐷𝐴𝐼𝐿𝑌 𝐻𝑅𝑆∗𝐷𝐴𝑌𝑆−𝑅𝑃𝐷∗𝐷𝐴𝑌𝑆∗(</a:t>
              </a:r>
              <a:r>
                <a:rPr lang="en-US" sz="1100" i="0">
                  <a:solidFill>
                    <a:schemeClr val="tx1"/>
                  </a:solidFill>
                  <a:effectLst/>
                  <a:latin typeface="Cambria Math" panose="02040503050406030204" pitchFamily="18" charset="0"/>
                  <a:ea typeface="+mn-ea"/>
                  <a:cs typeface="+mn-cs"/>
                </a:rPr>
                <a:t>𝑊</a:t>
              </a:r>
              <a:r>
                <a:rPr lang="en-US" sz="1100" b="0" i="0">
                  <a:solidFill>
                    <a:schemeClr val="tx1"/>
                  </a:solidFill>
                  <a:effectLst/>
                  <a:latin typeface="Cambria Math" panose="02040503050406030204" pitchFamily="18" charset="0"/>
                  <a:ea typeface="+mn-ea"/>
                  <a:cs typeface="+mn-cs"/>
                </a:rPr>
                <a:t>𝑎𝑠ℎ𝑇𝑖𝑚𝑒</a:t>
              </a:r>
              <a:r>
                <a:rPr lang="en-US" sz="1100" b="0" i="0" baseline="-25000">
                  <a:solidFill>
                    <a:schemeClr val="tx1"/>
                  </a:solidFill>
                  <a:effectLst/>
                  <a:latin typeface="Cambria Math" panose="02040503050406030204" pitchFamily="18" charset="0"/>
                  <a:ea typeface="+mn-ea"/>
                  <a:cs typeface="+mn-cs"/>
                </a:rPr>
                <a:t>𝐸𝑛𝑒𝑟𝑔𝑦𝑆𝑡𝑎𝑟/</a:t>
              </a:r>
              <a:r>
                <a:rPr lang="en-US" sz="1100" b="0" i="0">
                  <a:solidFill>
                    <a:schemeClr val="tx1"/>
                  </a:solidFill>
                  <a:effectLst/>
                  <a:latin typeface="Cambria Math" panose="02040503050406030204" pitchFamily="18" charset="0"/>
                  <a:ea typeface="+mn-ea"/>
                  <a:cs typeface="+mn-cs"/>
                </a:rPr>
                <a:t>60)]</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3.xml><?xml version="1.0" encoding="utf-8"?>
<xdr:wsDr xmlns:xdr="http://schemas.openxmlformats.org/drawingml/2006/spreadsheetDrawing" xmlns:a="http://schemas.openxmlformats.org/drawingml/2006/main">
  <xdr:oneCellAnchor>
    <xdr:from>
      <xdr:col>2</xdr:col>
      <xdr:colOff>28575</xdr:colOff>
      <xdr:row>34</xdr:row>
      <xdr:rowOff>23812</xdr:rowOff>
    </xdr:from>
    <xdr:ext cx="2211888"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F123238-D7D6-4EBA-B03D-BB3BC75E1F9F}"/>
                </a:ext>
              </a:extLst>
            </xdr:cNvPr>
            <xdr:cNvSpPr txBox="1"/>
          </xdr:nvSpPr>
          <xdr:spPr>
            <a:xfrm>
              <a:off x="390525" y="7529512"/>
              <a:ext cx="221188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𝑇𝑂𝑁𝑆</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𝑃𝐸</m:t>
                            </m:r>
                          </m:e>
                          <m:sub>
                            <m:r>
                              <a:rPr lang="en-US" sz="1100" b="0" i="1">
                                <a:latin typeface="Cambria Math" panose="02040503050406030204" pitchFamily="18" charset="0"/>
                                <a:ea typeface="Cambria Math" panose="02040503050406030204" pitchFamily="18" charset="0"/>
                              </a:rPr>
                              <m:t>𝐵𝐿</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𝑃𝐸</m:t>
                            </m:r>
                          </m:e>
                          <m:sub>
                            <m:r>
                              <a:rPr lang="en-US" sz="1100" b="0" i="1">
                                <a:solidFill>
                                  <a:schemeClr val="tx1"/>
                                </a:solidFill>
                                <a:effectLst/>
                                <a:latin typeface="Cambria Math" panose="02040503050406030204" pitchFamily="18" charset="0"/>
                                <a:ea typeface="+mn-ea"/>
                                <a:cs typeface="+mn-cs"/>
                              </a:rPr>
                              <m:t>𝐸𝐸</m:t>
                            </m:r>
                          </m:sub>
                        </m:sSub>
                      </m:e>
                    </m:d>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𝐶𝐹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1F123238-D7D6-4EBA-B03D-BB3BC75E1F9F}"/>
                </a:ext>
              </a:extLst>
            </xdr:cNvPr>
            <xdr:cNvSpPr txBox="1"/>
          </xdr:nvSpPr>
          <xdr:spPr>
            <a:xfrm>
              <a:off x="390525" y="7529512"/>
              <a:ext cx="221188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𝑘𝑊=𝑇𝑂𝑁𝑆∗(〖𝑃𝐸〗_𝐵𝐿−</a:t>
              </a:r>
              <a:r>
                <a:rPr lang="en-US" sz="1100" b="0" i="0">
                  <a:solidFill>
                    <a:schemeClr val="tx1"/>
                  </a:solidFill>
                  <a:effectLst/>
                  <a:latin typeface="+mn-lt"/>
                  <a:ea typeface="+mn-ea"/>
                  <a:cs typeface="+mn-cs"/>
                </a:rPr>
                <a:t>〖𝑃𝐸〗_</a:t>
              </a:r>
              <a:r>
                <a:rPr lang="en-US" sz="1100" b="0" i="0">
                  <a:solidFill>
                    <a:schemeClr val="tx1"/>
                  </a:solidFill>
                  <a:effectLst/>
                  <a:latin typeface="Cambria Math" panose="02040503050406030204" pitchFamily="18" charset="0"/>
                  <a:ea typeface="+mn-ea"/>
                  <a:cs typeface="+mn-cs"/>
                </a:rPr>
                <a:t>𝐸𝐸</a:t>
              </a:r>
              <a:r>
                <a:rPr lang="en-US" sz="1100" b="0" i="0">
                  <a:solidFill>
                    <a:schemeClr val="tx1"/>
                  </a:solidFill>
                  <a:effectLst/>
                  <a:latin typeface="Cambria Math" panose="02040503050406030204" pitchFamily="18" charset="0"/>
                  <a:ea typeface="Cambria Math" panose="02040503050406030204" pitchFamily="18" charset="0"/>
                  <a:cs typeface="+mn-cs"/>
                </a:rPr>
                <a:t> )</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𝐶𝐹</a:t>
              </a:r>
              <a:endParaRPr lang="en-US" sz="1100"/>
            </a:p>
          </xdr:txBody>
        </xdr:sp>
      </mc:Fallback>
    </mc:AlternateContent>
    <xdr:clientData/>
  </xdr:oneCellAnchor>
  <xdr:oneCellAnchor>
    <xdr:from>
      <xdr:col>2</xdr:col>
      <xdr:colOff>19050</xdr:colOff>
      <xdr:row>38</xdr:row>
      <xdr:rowOff>19050</xdr:rowOff>
    </xdr:from>
    <xdr:ext cx="2702215"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871C278-D8D8-4B21-AE7F-F906383B0219}"/>
                </a:ext>
              </a:extLst>
            </xdr:cNvPr>
            <xdr:cNvSpPr txBox="1"/>
          </xdr:nvSpPr>
          <xdr:spPr>
            <a:xfrm>
              <a:off x="381000" y="8286750"/>
              <a:ext cx="27022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𝑇𝑂𝑁𝑆</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𝐼𝑃𝐿𝑉</m:t>
                            </m:r>
                          </m:e>
                          <m:sub>
                            <m:r>
                              <a:rPr lang="en-US" sz="1100" b="0" i="1">
                                <a:latin typeface="Cambria Math" panose="02040503050406030204" pitchFamily="18" charset="0"/>
                                <a:ea typeface="Cambria Math" panose="02040503050406030204" pitchFamily="18" charset="0"/>
                              </a:rPr>
                              <m:t>𝐵𝐿</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𝐼𝑃𝐿𝑉</m:t>
                            </m:r>
                          </m:e>
                          <m:sub>
                            <m:r>
                              <a:rPr lang="en-US" sz="1100" b="0" i="1">
                                <a:solidFill>
                                  <a:schemeClr val="tx1"/>
                                </a:solidFill>
                                <a:effectLst/>
                                <a:latin typeface="Cambria Math" panose="02040503050406030204" pitchFamily="18" charset="0"/>
                                <a:ea typeface="+mn-ea"/>
                                <a:cs typeface="+mn-cs"/>
                              </a:rPr>
                              <m:t>𝐸𝐸</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𝐸𝐹𝐿𝐻</m:t>
                    </m:r>
                  </m:oMath>
                </m:oMathPara>
              </a14:m>
              <a:endParaRPr lang="en-US" sz="1100"/>
            </a:p>
          </xdr:txBody>
        </xdr:sp>
      </mc:Choice>
      <mc:Fallback xmlns="">
        <xdr:sp macro="" textlink="">
          <xdr:nvSpPr>
            <xdr:cNvPr id="4" name="TextBox 3">
              <a:extLst>
                <a:ext uri="{FF2B5EF4-FFF2-40B4-BE49-F238E27FC236}">
                  <a16:creationId xmlns:a16="http://schemas.microsoft.com/office/drawing/2014/main" id="{2871C278-D8D8-4B21-AE7F-F906383B0219}"/>
                </a:ext>
              </a:extLst>
            </xdr:cNvPr>
            <xdr:cNvSpPr txBox="1"/>
          </xdr:nvSpPr>
          <xdr:spPr>
            <a:xfrm>
              <a:off x="381000" y="8286750"/>
              <a:ext cx="27022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𝑘𝑊ℎ=𝑇𝑂𝑁𝑆∗(〖𝐼𝑃𝐿𝑉〗_𝐵𝐿−</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𝐼𝑃𝐿𝑉</a:t>
              </a:r>
              <a:r>
                <a:rPr lang="en-US" sz="1100" b="0" i="0">
                  <a:solidFill>
                    <a:schemeClr val="tx1"/>
                  </a:solidFill>
                  <a:effectLst/>
                  <a:latin typeface="+mn-lt"/>
                  <a:ea typeface="+mn-ea"/>
                  <a:cs typeface="+mn-cs"/>
                </a:rPr>
                <a:t>〗_</a:t>
              </a:r>
              <a:r>
                <a:rPr lang="en-US" sz="1100" b="0" i="0">
                  <a:solidFill>
                    <a:schemeClr val="tx1"/>
                  </a:solidFill>
                  <a:effectLst/>
                  <a:latin typeface="Cambria Math" panose="02040503050406030204" pitchFamily="18" charset="0"/>
                  <a:ea typeface="+mn-ea"/>
                  <a:cs typeface="+mn-cs"/>
                </a:rPr>
                <a:t>𝐸𝐸</a:t>
              </a:r>
              <a:r>
                <a:rPr lang="en-US" sz="1100" b="0" i="0">
                  <a:solidFill>
                    <a:schemeClr val="tx1"/>
                  </a:solidFill>
                  <a:effectLst/>
                  <a:latin typeface="Cambria Math" panose="02040503050406030204" pitchFamily="18" charset="0"/>
                  <a:ea typeface="Cambria Math" panose="02040503050406030204" pitchFamily="18" charset="0"/>
                  <a:cs typeface="+mn-cs"/>
                </a:rPr>
                <a:t> )</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𝐸</a:t>
              </a:r>
              <a:r>
                <a:rPr lang="en-US" sz="1100" b="0" i="0">
                  <a:solidFill>
                    <a:schemeClr val="tx1"/>
                  </a:solidFill>
                  <a:effectLst/>
                  <a:latin typeface="+mn-lt"/>
                  <a:ea typeface="+mn-ea"/>
                  <a:cs typeface="+mn-cs"/>
                </a:rPr>
                <a:t>𝐹</a:t>
              </a:r>
              <a:r>
                <a:rPr lang="en-US" sz="1100" b="0" i="0">
                  <a:solidFill>
                    <a:schemeClr val="tx1"/>
                  </a:solidFill>
                  <a:effectLst/>
                  <a:latin typeface="Cambria Math" panose="02040503050406030204" pitchFamily="18" charset="0"/>
                  <a:ea typeface="+mn-ea"/>
                  <a:cs typeface="+mn-cs"/>
                </a:rPr>
                <a:t>𝐿𝐻</a:t>
              </a:r>
              <a:endParaRPr lang="en-US" sz="1100"/>
            </a:p>
          </xdr:txBody>
        </xdr:sp>
      </mc:Fallback>
    </mc:AlternateContent>
    <xdr:clientData/>
  </xdr:oneCellAnchor>
  <xdr:oneCellAnchor>
    <xdr:from>
      <xdr:col>2</xdr:col>
      <xdr:colOff>76201</xdr:colOff>
      <xdr:row>42</xdr:row>
      <xdr:rowOff>19050</xdr:rowOff>
    </xdr:from>
    <xdr:ext cx="1695450"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BC7BB0A-99A1-4563-85BC-640023C002CD}"/>
                </a:ext>
              </a:extLst>
            </xdr:cNvPr>
            <xdr:cNvSpPr txBox="1"/>
          </xdr:nvSpPr>
          <xdr:spPr>
            <a:xfrm>
              <a:off x="438151" y="9048750"/>
              <a:ext cx="169545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5" name="TextBox 4">
              <a:extLst>
                <a:ext uri="{FF2B5EF4-FFF2-40B4-BE49-F238E27FC236}">
                  <a16:creationId xmlns:a16="http://schemas.microsoft.com/office/drawing/2014/main" id="{1BC7BB0A-99A1-4563-85BC-640023C002CD}"/>
                </a:ext>
              </a:extLst>
            </xdr:cNvPr>
            <xdr:cNvSpPr txBox="1"/>
          </xdr:nvSpPr>
          <xdr:spPr>
            <a:xfrm>
              <a:off x="438151" y="9048750"/>
              <a:ext cx="169545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mn-lt"/>
                  <a:ea typeface="+mn-ea"/>
                  <a:cs typeface="+mn-cs"/>
                </a:rPr>
                <a:t>𝐸𝑈𝐿</a:t>
              </a:r>
              <a:endParaRPr lang="en-US" sz="1100"/>
            </a:p>
          </xdr:txBody>
        </xdr:sp>
      </mc:Fallback>
    </mc:AlternateContent>
    <xdr:clientData/>
  </xdr:oneCellAnchor>
</xdr:wsDr>
</file>

<file path=xl/drawings/drawing14.xml><?xml version="1.0" encoding="utf-8"?>
<xdr:wsDr xmlns:xdr="http://schemas.openxmlformats.org/drawingml/2006/spreadsheetDrawing" xmlns:a="http://schemas.openxmlformats.org/drawingml/2006/main">
  <xdr:oneCellAnchor>
    <xdr:from>
      <xdr:col>1</xdr:col>
      <xdr:colOff>133350</xdr:colOff>
      <xdr:row>68</xdr:row>
      <xdr:rowOff>9525</xdr:rowOff>
    </xdr:from>
    <xdr:ext cx="2895599"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933D4B95-2D39-4EB5-9DEC-98FD2706A75C}"/>
                </a:ext>
              </a:extLst>
            </xdr:cNvPr>
            <xdr:cNvSpPr txBox="1"/>
          </xdr:nvSpPr>
          <xdr:spPr>
            <a:xfrm>
              <a:off x="314325" y="230790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933D4B95-2D39-4EB5-9DEC-98FD2706A75C}"/>
                </a:ext>
              </a:extLst>
            </xdr:cNvPr>
            <xdr:cNvSpPr txBox="1"/>
          </xdr:nvSpPr>
          <xdr:spPr>
            <a:xfrm>
              <a:off x="314325" y="230790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1</xdr:col>
      <xdr:colOff>133350</xdr:colOff>
      <xdr:row>57</xdr:row>
      <xdr:rowOff>47626</xdr:rowOff>
    </xdr:from>
    <xdr:ext cx="3705225" cy="1722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035DCC9-EEC4-43E5-B7F4-0898BBDBDE91}"/>
                </a:ext>
              </a:extLst>
            </xdr:cNvPr>
            <xdr:cNvSpPr txBox="1"/>
          </xdr:nvSpPr>
          <xdr:spPr>
            <a:xfrm>
              <a:off x="314325" y="209835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1035DCC9-EEC4-43E5-B7F4-0898BBDBDE91}"/>
                </a:ext>
              </a:extLst>
            </xdr:cNvPr>
            <xdr:cNvSpPr txBox="1"/>
          </xdr:nvSpPr>
          <xdr:spPr>
            <a:xfrm>
              <a:off x="314325" y="209835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  1∕〖〖𝐸𝐸𝑅〗_𝐸𝐸)/1000)〗∗𝐶𝐹</a:t>
              </a:r>
              <a:endParaRPr lang="en-US" sz="1100">
                <a:solidFill>
                  <a:sysClr val="windowText" lastClr="000000"/>
                </a:solidFill>
              </a:endParaRPr>
            </a:p>
          </xdr:txBody>
        </xdr:sp>
      </mc:Fallback>
    </mc:AlternateContent>
    <xdr:clientData/>
  </xdr:oneCellAnchor>
  <xdr:oneCellAnchor>
    <xdr:from>
      <xdr:col>1</xdr:col>
      <xdr:colOff>123825</xdr:colOff>
      <xdr:row>62</xdr:row>
      <xdr:rowOff>1</xdr:rowOff>
    </xdr:from>
    <xdr:ext cx="4728322"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81CCCB94-5B99-404D-9166-2EB40639E6FF}"/>
                </a:ext>
              </a:extLst>
            </xdr:cNvPr>
            <xdr:cNvSpPr txBox="1"/>
          </xdr:nvSpPr>
          <xdr:spPr>
            <a:xfrm>
              <a:off x="304800" y="21926551"/>
              <a:ext cx="4728322"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81CCCB94-5B99-404D-9166-2EB40639E6FF}"/>
                </a:ext>
              </a:extLst>
            </xdr:cNvPr>
            <xdr:cNvSpPr txBox="1"/>
          </xdr:nvSpPr>
          <xdr:spPr>
            <a:xfrm>
              <a:off x="304800" y="21926551"/>
              <a:ext cx="4728322"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〖((1〗∕〖〖𝐼𝐸𝐸𝑅〗_𝐵𝐿−〗  1∕〖〖𝐼𝐸𝐸𝑅〗_𝐸𝐸)/1000)〗∗𝐸𝐹𝐿𝐻</a:t>
              </a:r>
              <a:endParaRPr lang="en-US" sz="1100">
                <a:solidFill>
                  <a:sysClr val="windowText" lastClr="000000"/>
                </a:solidFill>
              </a:endParaRPr>
            </a:p>
          </xdr:txBody>
        </xdr:sp>
      </mc:Fallback>
    </mc:AlternateContent>
    <xdr:clientData/>
  </xdr:oneCellAnchor>
</xdr:wsDr>
</file>

<file path=xl/drawings/drawing15.xml><?xml version="1.0" encoding="utf-8"?>
<xdr:wsDr xmlns:xdr="http://schemas.openxmlformats.org/drawingml/2006/spreadsheetDrawing" xmlns:a="http://schemas.openxmlformats.org/drawingml/2006/main">
  <xdr:oneCellAnchor>
    <xdr:from>
      <xdr:col>1</xdr:col>
      <xdr:colOff>133350</xdr:colOff>
      <xdr:row>63</xdr:row>
      <xdr:rowOff>9525</xdr:rowOff>
    </xdr:from>
    <xdr:ext cx="4953000"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1A25D5A-C9D4-4808-966E-A3672CFF1DB1}"/>
                </a:ext>
              </a:extLst>
            </xdr:cNvPr>
            <xdr:cNvSpPr txBox="1"/>
          </xdr:nvSpPr>
          <xdr:spPr>
            <a:xfrm>
              <a:off x="314325" y="1622107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𝐸𝑅</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𝐸𝑈𝐿</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61A25D5A-C9D4-4808-966E-A3672CFF1DB1}"/>
                </a:ext>
              </a:extLst>
            </xdr:cNvPr>
            <xdr:cNvSpPr txBox="1"/>
          </xdr:nvSpPr>
          <xdr:spPr>
            <a:xfrm>
              <a:off x="314325" y="1622107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𝐸𝑅)</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solidFill>
                    <a:sysClr val="windowText" lastClr="000000"/>
                  </a:solidFill>
                  <a:effectLst/>
                  <a:latin typeface="Cambria Math" panose="02040503050406030204" pitchFamily="18" charset="0"/>
                  <a:ea typeface="+mn-ea"/>
                  <a:cs typeface="+mn-cs"/>
                </a:rPr>
                <a:t>∗𝑅𝑈𝐿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a:t>
              </a:r>
              <a:r>
                <a:rPr lang="en-US" sz="1100" b="0" i="0">
                  <a:solidFill>
                    <a:schemeClr val="tx1"/>
                  </a:solidFill>
                  <a:effectLst/>
                  <a:latin typeface="Cambria Math" panose="02040503050406030204" pitchFamily="18" charset="0"/>
                  <a:ea typeface="Cambria Math" panose="02040503050406030204" pitchFamily="18" charset="0"/>
                  <a:cs typeface="+mn-cs"/>
                </a:rPr>
                <a:t>−𝑅𝑈𝐿)</a:t>
              </a:r>
              <a:endParaRPr lang="en-US" sz="1100">
                <a:solidFill>
                  <a:sysClr val="windowText" lastClr="000000"/>
                </a:solidFill>
              </a:endParaRPr>
            </a:p>
          </xdr:txBody>
        </xdr:sp>
      </mc:Fallback>
    </mc:AlternateContent>
    <xdr:clientData/>
  </xdr:oneCellAnchor>
  <xdr:oneCellAnchor>
    <xdr:from>
      <xdr:col>1</xdr:col>
      <xdr:colOff>133350</xdr:colOff>
      <xdr:row>46</xdr:row>
      <xdr:rowOff>180976</xdr:rowOff>
    </xdr:from>
    <xdr:ext cx="5200650" cy="22937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ED90F61-BFFA-4C2E-AA5E-E456D46F1865}"/>
                </a:ext>
              </a:extLst>
            </xdr:cNvPr>
            <xdr:cNvSpPr txBox="1"/>
          </xdr:nvSpPr>
          <xdr:spPr>
            <a:xfrm>
              <a:off x="314325" y="1315402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AED90F61-BFFA-4C2E-AA5E-E456D46F1865}"/>
                </a:ext>
              </a:extLst>
            </xdr:cNvPr>
            <xdr:cNvSpPr txBox="1"/>
          </xdr:nvSpPr>
          <xdr:spPr>
            <a:xfrm>
              <a:off x="314325" y="1315402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〖((1〗∕〖〖𝐸𝐸𝑅〗_(𝐵𝐿,1)−〗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54</xdr:row>
      <xdr:rowOff>178750</xdr:rowOff>
    </xdr:from>
    <xdr:ext cx="4895850" cy="2593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72673278-E8F8-40FB-B270-175449118866}"/>
                </a:ext>
              </a:extLst>
            </xdr:cNvPr>
            <xdr:cNvSpPr txBox="1"/>
          </xdr:nvSpPr>
          <xdr:spPr>
            <a:xfrm>
              <a:off x="304800" y="1467580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72673278-E8F8-40FB-B270-175449118866}"/>
                </a:ext>
              </a:extLst>
            </xdr:cNvPr>
            <xdr:cNvSpPr txBox="1"/>
          </xdr:nvSpPr>
          <xdr:spPr>
            <a:xfrm>
              <a:off x="304800" y="1467580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〖((1〗∕〖〖𝐶𝐸𝐸𝑅〗_(𝐵𝐿,1)−〗  1∕〖〖𝐶𝐸𝐸𝑅〗_𝐸𝐸)/1000)〗∗𝐸𝐹𝐿𝐻∗𝑃𝐹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50</xdr:row>
      <xdr:rowOff>180976</xdr:rowOff>
    </xdr:from>
    <xdr:ext cx="5200650" cy="229378"/>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82102878-D718-45FA-8805-92C1471C5107}"/>
                </a:ext>
              </a:extLst>
            </xdr:cNvPr>
            <xdr:cNvSpPr txBox="1"/>
          </xdr:nvSpPr>
          <xdr:spPr>
            <a:xfrm>
              <a:off x="314325" y="1391602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82102878-D718-45FA-8805-92C1471C5107}"/>
                </a:ext>
              </a:extLst>
            </xdr:cNvPr>
            <xdr:cNvSpPr txBox="1"/>
          </xdr:nvSpPr>
          <xdr:spPr>
            <a:xfrm>
              <a:off x="314325" y="1391602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〖((1〗∕〖〖𝐸𝐸𝑅〗_(𝐵𝐿,2)−〗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58</xdr:row>
      <xdr:rowOff>178750</xdr:rowOff>
    </xdr:from>
    <xdr:ext cx="4895850" cy="2593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EA165B2-A336-4EF6-820A-309C1851CC9D}"/>
                </a:ext>
              </a:extLst>
            </xdr:cNvPr>
            <xdr:cNvSpPr txBox="1"/>
          </xdr:nvSpPr>
          <xdr:spPr>
            <a:xfrm>
              <a:off x="304800" y="1543780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1EA165B2-A336-4EF6-820A-309C1851CC9D}"/>
                </a:ext>
              </a:extLst>
            </xdr:cNvPr>
            <xdr:cNvSpPr txBox="1"/>
          </xdr:nvSpPr>
          <xdr:spPr>
            <a:xfrm>
              <a:off x="304800" y="1543780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〖((1〗∕〖〖𝐶𝐸𝐸𝑅〗_(𝐵𝐿,2)−〗  1∕〖〖𝐶𝐸𝐸𝑅〗_𝐸𝐸)/1000)〗∗𝐸𝐹𝐿𝐻∗𝑃𝐹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67</xdr:row>
      <xdr:rowOff>9525</xdr:rowOff>
    </xdr:from>
    <xdr:ext cx="2895599"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DC937EF8-0EE6-4768-9818-22D7CE9D6578}"/>
                </a:ext>
              </a:extLst>
            </xdr:cNvPr>
            <xdr:cNvSpPr txBox="1"/>
          </xdr:nvSpPr>
          <xdr:spPr>
            <a:xfrm>
              <a:off x="314325" y="169830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𝑅𝑂𝐵</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DC937EF8-0EE6-4768-9818-22D7CE9D6578}"/>
                </a:ext>
              </a:extLst>
            </xdr:cNvPr>
            <xdr:cNvSpPr txBox="1"/>
          </xdr:nvSpPr>
          <xdr:spPr>
            <a:xfrm>
              <a:off x="314325" y="169830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𝑅𝑂𝐵)</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a:t>
              </a:r>
              <a:r>
                <a:rPr lang="en-US" sz="1100" b="0" i="0">
                  <a:solidFill>
                    <a:sysClr val="windowText" lastClr="000000"/>
                  </a:solidFill>
                  <a:effectLst/>
                  <a:latin typeface="Cambria Math" panose="02040503050406030204" pitchFamily="18" charset="0"/>
                  <a:ea typeface="+mn-ea"/>
                  <a:cs typeface="+mn-cs"/>
                </a:rPr>
                <a:t>∗𝐸𝑈𝐿</a:t>
              </a:r>
              <a:endParaRPr lang="en-US" sz="1100">
                <a:solidFill>
                  <a:sysClr val="windowText" lastClr="000000"/>
                </a:solidFill>
              </a:endParaRPr>
            </a:p>
          </xdr:txBody>
        </xdr:sp>
      </mc:Fallback>
    </mc:AlternateContent>
    <xdr:clientData/>
  </xdr:oneCellAnchor>
</xdr:wsDr>
</file>

<file path=xl/drawings/drawing16.xml><?xml version="1.0" encoding="utf-8"?>
<xdr:wsDr xmlns:xdr="http://schemas.openxmlformats.org/drawingml/2006/spreadsheetDrawing" xmlns:a="http://schemas.openxmlformats.org/drawingml/2006/main">
  <xdr:oneCellAnchor>
    <xdr:from>
      <xdr:col>2</xdr:col>
      <xdr:colOff>9525</xdr:colOff>
      <xdr:row>28</xdr:row>
      <xdr:rowOff>0</xdr:rowOff>
    </xdr:from>
    <xdr:ext cx="2692725" cy="182614"/>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E96E5A29-E3F3-4BC0-AB58-B580801AACE9}"/>
                </a:ext>
              </a:extLst>
            </xdr:cNvPr>
            <xdr:cNvSpPr txBox="1"/>
          </xdr:nvSpPr>
          <xdr:spPr>
            <a:xfrm>
              <a:off x="371475" y="7019925"/>
              <a:ext cx="269272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𝐻𝑃</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𝑝𝑒𝑟𝐻𝑃</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𝐿𝐹</m:t>
                            </m:r>
                          </m:num>
                          <m:den>
                            <m:r>
                              <a:rPr lang="en-US" sz="1100" b="0" i="1">
                                <a:solidFill>
                                  <a:schemeClr val="tx1"/>
                                </a:solidFill>
                                <a:effectLst/>
                                <a:latin typeface="Cambria Math" panose="02040503050406030204" pitchFamily="18" charset="0"/>
                                <a:ea typeface="Cambria Math" panose="02040503050406030204" pitchFamily="18" charset="0"/>
                                <a:cs typeface="+mn-cs"/>
                              </a:rPr>
                              <m:t>𝜂</m:t>
                            </m:r>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𝑆𝑉𝐺</m:t>
                        </m:r>
                      </m:e>
                      <m:sub>
                        <m:r>
                          <a:rPr lang="en-US" sz="1100" b="0" i="1">
                            <a:solidFill>
                              <a:schemeClr val="tx1"/>
                            </a:solidFill>
                            <a:effectLst/>
                            <a:latin typeface="Cambria Math" panose="02040503050406030204" pitchFamily="18" charset="0"/>
                            <a:ea typeface="+mn-ea"/>
                            <a:cs typeface="+mn-cs"/>
                          </a:rPr>
                          <m:t>𝑑</m:t>
                        </m:r>
                      </m:sub>
                    </m:sSub>
                  </m:oMath>
                </m:oMathPara>
              </a14:m>
              <a:endParaRPr lang="en-US" sz="1100"/>
            </a:p>
          </xdr:txBody>
        </xdr:sp>
      </mc:Choice>
      <mc:Fallback xmlns="">
        <xdr:sp macro="" textlink="">
          <xdr:nvSpPr>
            <xdr:cNvPr id="2" name="TextBox 1">
              <a:extLst>
                <a:ext uri="{FF2B5EF4-FFF2-40B4-BE49-F238E27FC236}">
                  <a16:creationId xmlns:a16="http://schemas.microsoft.com/office/drawing/2014/main" id="{E96E5A29-E3F3-4BC0-AB58-B580801AACE9}"/>
                </a:ext>
              </a:extLst>
            </xdr:cNvPr>
            <xdr:cNvSpPr txBox="1"/>
          </xdr:nvSpPr>
          <xdr:spPr>
            <a:xfrm>
              <a:off x="371475" y="7019925"/>
              <a:ext cx="269272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a:t>
              </a:r>
              <a:r>
                <a:rPr lang="en-US" sz="1100" b="0" i="0">
                  <a:latin typeface="Cambria Math" panose="02040503050406030204" pitchFamily="18" charset="0"/>
                  <a:ea typeface="Cambria Math" panose="02040503050406030204" pitchFamily="18" charset="0"/>
                </a:rPr>
                <a:t>=〖𝐻𝑃∗𝑘𝑊〗_𝑝𝑒𝑟𝐻𝑃</a:t>
              </a:r>
              <a:r>
                <a:rPr lang="en-US" sz="1100" b="0" i="0">
                  <a:solidFill>
                    <a:schemeClr val="tx1"/>
                  </a:solidFill>
                  <a:effectLst/>
                  <a:latin typeface="Cambria Math" panose="02040503050406030204" pitchFamily="18" charset="0"/>
                  <a:ea typeface="+mn-ea"/>
                  <a:cs typeface="+mn-cs"/>
                </a:rPr>
                <a:t>∗(𝐿𝐹∕</a:t>
              </a:r>
              <a:r>
                <a:rPr lang="en-US" sz="1100" b="0" i="0">
                  <a:solidFill>
                    <a:schemeClr val="tx1"/>
                  </a:solidFill>
                  <a:effectLst/>
                  <a:latin typeface="Cambria Math" panose="02040503050406030204" pitchFamily="18" charset="0"/>
                  <a:ea typeface="Cambria Math" panose="02040503050406030204" pitchFamily="18" charset="0"/>
                  <a:cs typeface="+mn-cs"/>
                </a:rPr>
                <a:t>𝜂)</a:t>
              </a:r>
              <a:r>
                <a:rPr lang="en-US" sz="1100" b="0" i="0">
                  <a:solidFill>
                    <a:schemeClr val="tx1"/>
                  </a:solidFill>
                  <a:effectLst/>
                  <a:latin typeface="Cambria Math" panose="02040503050406030204" pitchFamily="18" charset="0"/>
                  <a:ea typeface="+mn-ea"/>
                  <a:cs typeface="+mn-cs"/>
                </a:rPr>
                <a:t>∗𝐶𝐹∗〖𝑆𝑉𝐺〗_𝑑</a:t>
              </a:r>
              <a:endParaRPr lang="en-US" sz="1100"/>
            </a:p>
          </xdr:txBody>
        </xdr:sp>
      </mc:Fallback>
    </mc:AlternateContent>
    <xdr:clientData/>
  </xdr:oneCellAnchor>
  <xdr:oneCellAnchor>
    <xdr:from>
      <xdr:col>2</xdr:col>
      <xdr:colOff>76200</xdr:colOff>
      <xdr:row>36</xdr:row>
      <xdr:rowOff>19050</xdr:rowOff>
    </xdr:from>
    <xdr:ext cx="289559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39142A2-4D5C-41D7-B70B-71298517BF9F}"/>
                </a:ext>
              </a:extLst>
            </xdr:cNvPr>
            <xdr:cNvSpPr txBox="1"/>
          </xdr:nvSpPr>
          <xdr:spPr>
            <a:xfrm>
              <a:off x="438150" y="87725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F39142A2-4D5C-41D7-B70B-71298517BF9F}"/>
                </a:ext>
              </a:extLst>
            </xdr:cNvPr>
            <xdr:cNvSpPr txBox="1"/>
          </xdr:nvSpPr>
          <xdr:spPr>
            <a:xfrm>
              <a:off x="438150" y="87725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oneCellAnchor>
    <xdr:from>
      <xdr:col>2</xdr:col>
      <xdr:colOff>0</xdr:colOff>
      <xdr:row>32</xdr:row>
      <xdr:rowOff>0</xdr:rowOff>
    </xdr:from>
    <xdr:ext cx="2825004" cy="184731"/>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A0029B91-997D-461A-96D3-DF9B2398FBD4}"/>
                </a:ext>
              </a:extLst>
            </xdr:cNvPr>
            <xdr:cNvSpPr txBox="1"/>
          </xdr:nvSpPr>
          <xdr:spPr>
            <a:xfrm>
              <a:off x="361950" y="7781925"/>
              <a:ext cx="2825004"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𝐻𝑃</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𝑝𝑒𝑟𝐻𝑃</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𝐿𝐹</m:t>
                            </m:r>
                          </m:num>
                          <m:den>
                            <m:r>
                              <a:rPr lang="en-US" sz="1100" b="0" i="1">
                                <a:solidFill>
                                  <a:schemeClr val="tx1"/>
                                </a:solidFill>
                                <a:effectLst/>
                                <a:latin typeface="Cambria Math" panose="02040503050406030204" pitchFamily="18" charset="0"/>
                                <a:ea typeface="Cambria Math" panose="02040503050406030204" pitchFamily="18" charset="0"/>
                                <a:cs typeface="+mn-cs"/>
                              </a:rPr>
                              <m:t>𝜂</m:t>
                            </m:r>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𝑆𝑉𝐺</m:t>
                        </m:r>
                      </m:e>
                      <m:sub>
                        <m:r>
                          <a:rPr lang="en-US" sz="1100" b="0" i="1">
                            <a:solidFill>
                              <a:schemeClr val="tx1"/>
                            </a:solidFill>
                            <a:effectLst/>
                            <a:latin typeface="Cambria Math" panose="02040503050406030204" pitchFamily="18" charset="0"/>
                            <a:ea typeface="+mn-ea"/>
                            <a:cs typeface="+mn-cs"/>
                          </a:rPr>
                          <m:t>𝑒</m:t>
                        </m:r>
                      </m:sub>
                    </m:sSub>
                  </m:oMath>
                </m:oMathPara>
              </a14:m>
              <a:endParaRPr lang="en-US" sz="1100"/>
            </a:p>
          </xdr:txBody>
        </xdr:sp>
      </mc:Choice>
      <mc:Fallback xmlns="">
        <xdr:sp macro="" textlink="">
          <xdr:nvSpPr>
            <xdr:cNvPr id="5" name="TextBox 4">
              <a:extLst>
                <a:ext uri="{FF2B5EF4-FFF2-40B4-BE49-F238E27FC236}">
                  <a16:creationId xmlns:a16="http://schemas.microsoft.com/office/drawing/2014/main" id="{A0029B91-997D-461A-96D3-DF9B2398FBD4}"/>
                </a:ext>
              </a:extLst>
            </xdr:cNvPr>
            <xdr:cNvSpPr txBox="1"/>
          </xdr:nvSpPr>
          <xdr:spPr>
            <a:xfrm>
              <a:off x="361950" y="7781925"/>
              <a:ext cx="2825004"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𝐻𝑃∗</a:t>
              </a:r>
              <a:r>
                <a:rPr lang="en-US" sz="1100" b="0" i="0">
                  <a:solidFill>
                    <a:schemeClr val="tx1"/>
                  </a:solidFill>
                  <a:effectLst/>
                  <a:latin typeface="+mn-lt"/>
                  <a:ea typeface="+mn-ea"/>
                  <a:cs typeface="+mn-cs"/>
                </a:rPr>
                <a:t>𝑘𝑊〗_𝑝𝑒𝑟𝐻𝑃</a:t>
              </a:r>
              <a:r>
                <a:rPr lang="en-US" sz="1100" b="0" i="0">
                  <a:solidFill>
                    <a:schemeClr val="tx1"/>
                  </a:solidFill>
                  <a:effectLst/>
                  <a:latin typeface="Cambria Math" panose="02040503050406030204" pitchFamily="18" charset="0"/>
                  <a:ea typeface="+mn-ea"/>
                  <a:cs typeface="+mn-cs"/>
                </a:rPr>
                <a:t>∗(𝐿𝐹∕</a:t>
              </a:r>
              <a:r>
                <a:rPr lang="en-US" sz="1100" b="0" i="0">
                  <a:solidFill>
                    <a:schemeClr val="tx1"/>
                  </a:solidFill>
                  <a:effectLst/>
                  <a:latin typeface="Cambria Math" panose="02040503050406030204" pitchFamily="18" charset="0"/>
                  <a:ea typeface="Cambria Math" panose="02040503050406030204" pitchFamily="18" charset="0"/>
                  <a:cs typeface="+mn-cs"/>
                </a:rPr>
                <a:t>𝜂)</a:t>
              </a:r>
              <a:r>
                <a:rPr lang="en-US" sz="1100" b="0" i="0">
                  <a:solidFill>
                    <a:schemeClr val="tx1"/>
                  </a:solidFill>
                  <a:effectLst/>
                  <a:latin typeface="Cambria Math" panose="02040503050406030204" pitchFamily="18" charset="0"/>
                  <a:ea typeface="+mn-ea"/>
                  <a:cs typeface="+mn-cs"/>
                </a:rPr>
                <a:t>∗𝐻𝑅𝑆∗</a:t>
              </a:r>
              <a:r>
                <a:rPr lang="en-US" sz="1100" b="0" i="0">
                  <a:solidFill>
                    <a:schemeClr val="tx1"/>
                  </a:solidFill>
                  <a:effectLst/>
                  <a:latin typeface="+mn-lt"/>
                  <a:ea typeface="+mn-ea"/>
                  <a:cs typeface="+mn-cs"/>
                </a:rPr>
                <a:t>〖𝑆𝑉𝐺〗_</a:t>
              </a:r>
              <a:r>
                <a:rPr lang="en-US" sz="1100" b="0" i="0">
                  <a:solidFill>
                    <a:schemeClr val="tx1"/>
                  </a:solidFill>
                  <a:effectLst/>
                  <a:latin typeface="Cambria Math" panose="02040503050406030204" pitchFamily="18" charset="0"/>
                  <a:ea typeface="+mn-ea"/>
                  <a:cs typeface="+mn-cs"/>
                </a:rPr>
                <a:t>𝑒</a:t>
              </a:r>
              <a:endParaRPr lang="en-US" sz="1100"/>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xdr:oneCellAnchor>
    <xdr:from>
      <xdr:col>1</xdr:col>
      <xdr:colOff>133350</xdr:colOff>
      <xdr:row>61</xdr:row>
      <xdr:rowOff>9525</xdr:rowOff>
    </xdr:from>
    <xdr:ext cx="2895599"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AD6E418-5E5C-4904-AA90-C8ADF547BB22}"/>
                </a:ext>
              </a:extLst>
            </xdr:cNvPr>
            <xdr:cNvSpPr txBox="1"/>
          </xdr:nvSpPr>
          <xdr:spPr>
            <a:xfrm>
              <a:off x="314325" y="218408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2AD6E418-5E5C-4904-AA90-C8ADF547BB22}"/>
                </a:ext>
              </a:extLst>
            </xdr:cNvPr>
            <xdr:cNvSpPr txBox="1"/>
          </xdr:nvSpPr>
          <xdr:spPr>
            <a:xfrm>
              <a:off x="314325" y="218408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1</xdr:col>
      <xdr:colOff>133350</xdr:colOff>
      <xdr:row>50</xdr:row>
      <xdr:rowOff>47626</xdr:rowOff>
    </xdr:from>
    <xdr:ext cx="3705225"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D2406A3-C5DD-4BBA-9977-4FAE40DA6A69}"/>
                </a:ext>
              </a:extLst>
            </xdr:cNvPr>
            <xdr:cNvSpPr txBox="1"/>
          </xdr:nvSpPr>
          <xdr:spPr>
            <a:xfrm>
              <a:off x="314325" y="197262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3D2406A3-C5DD-4BBA-9977-4FAE40DA6A69}"/>
                </a:ext>
              </a:extLst>
            </xdr:cNvPr>
            <xdr:cNvSpPr txBox="1"/>
          </xdr:nvSpPr>
          <xdr:spPr>
            <a:xfrm>
              <a:off x="314325" y="197262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  1∕〖〖𝐸𝐸𝑅〗_𝐸𝐸)/1000)〗∗𝐶𝐹</a:t>
              </a:r>
              <a:endParaRPr lang="en-US" sz="1100">
                <a:solidFill>
                  <a:sysClr val="windowText" lastClr="000000"/>
                </a:solidFill>
              </a:endParaRPr>
            </a:p>
          </xdr:txBody>
        </xdr:sp>
      </mc:Fallback>
    </mc:AlternateContent>
    <xdr:clientData/>
  </xdr:oneCellAnchor>
  <xdr:oneCellAnchor>
    <xdr:from>
      <xdr:col>1</xdr:col>
      <xdr:colOff>123825</xdr:colOff>
      <xdr:row>55</xdr:row>
      <xdr:rowOff>1</xdr:rowOff>
    </xdr:from>
    <xdr:ext cx="4728322"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8825CD85-BCA7-4BCB-951A-AD56B7C77FF5}"/>
                </a:ext>
              </a:extLst>
            </xdr:cNvPr>
            <xdr:cNvSpPr txBox="1"/>
          </xdr:nvSpPr>
          <xdr:spPr>
            <a:xfrm>
              <a:off x="304800" y="20688301"/>
              <a:ext cx="4728322"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8825CD85-BCA7-4BCB-951A-AD56B7C77FF5}"/>
                </a:ext>
              </a:extLst>
            </xdr:cNvPr>
            <xdr:cNvSpPr txBox="1"/>
          </xdr:nvSpPr>
          <xdr:spPr>
            <a:xfrm>
              <a:off x="304800" y="20688301"/>
              <a:ext cx="4728322"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〖((1〗∕〖〖𝐼𝐸𝐸𝑅〗_𝐵𝐿−〗  1∕〖〖𝐼𝐸𝐸𝑅〗_𝐸𝐸)/1000)〗∗𝐸𝐹𝐿𝐻</a:t>
              </a:r>
              <a:endParaRPr lang="en-US" sz="1100">
                <a:solidFill>
                  <a:sysClr val="windowText" lastClr="000000"/>
                </a:solidFill>
              </a:endParaRPr>
            </a:p>
          </xdr:txBody>
        </xdr:sp>
      </mc:Fallback>
    </mc:AlternateContent>
    <xdr:clientData/>
  </xdr:oneCellAnchor>
</xdr:wsDr>
</file>

<file path=xl/drawings/drawing18.xml><?xml version="1.0" encoding="utf-8"?>
<xdr:wsDr xmlns:xdr="http://schemas.openxmlformats.org/drawingml/2006/spreadsheetDrawing" xmlns:a="http://schemas.openxmlformats.org/drawingml/2006/main">
  <xdr:oneCellAnchor>
    <xdr:from>
      <xdr:col>2</xdr:col>
      <xdr:colOff>22411</xdr:colOff>
      <xdr:row>27</xdr:row>
      <xdr:rowOff>22412</xdr:rowOff>
    </xdr:from>
    <xdr:ext cx="3705225" cy="1722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DA6D164-97A6-4936-B473-719A1337C29F}"/>
                </a:ext>
              </a:extLst>
            </xdr:cNvPr>
            <xdr:cNvSpPr txBox="1"/>
          </xdr:nvSpPr>
          <xdr:spPr>
            <a:xfrm>
              <a:off x="384361" y="7318562"/>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𝑝𝑒𝑟</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𝑅𝑜𝑜𝑚</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9DA6D164-97A6-4936-B473-719A1337C29F}"/>
                </a:ext>
              </a:extLst>
            </xdr:cNvPr>
            <xdr:cNvSpPr txBox="1"/>
          </xdr:nvSpPr>
          <xdr:spPr>
            <a:xfrm>
              <a:off x="384361" y="7318562"/>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 𝑝𝑒𝑟 𝑅𝑜𝑜𝑚</a:t>
              </a:r>
              <a:endParaRPr lang="en-US" sz="1100">
                <a:solidFill>
                  <a:sysClr val="windowText" lastClr="000000"/>
                </a:solidFill>
              </a:endParaRPr>
            </a:p>
          </xdr:txBody>
        </xdr:sp>
      </mc:Fallback>
    </mc:AlternateContent>
    <xdr:clientData/>
  </xdr:oneCellAnchor>
  <xdr:oneCellAnchor>
    <xdr:from>
      <xdr:col>2</xdr:col>
      <xdr:colOff>33619</xdr:colOff>
      <xdr:row>31</xdr:row>
      <xdr:rowOff>22412</xdr:rowOff>
    </xdr:from>
    <xdr:ext cx="3705225"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4C2A265-AE6E-4738-BF75-1F79A0A4FEC3}"/>
                </a:ext>
              </a:extLst>
            </xdr:cNvPr>
            <xdr:cNvSpPr txBox="1"/>
          </xdr:nvSpPr>
          <xdr:spPr>
            <a:xfrm>
              <a:off x="395569" y="8080562"/>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𝑝𝑒𝑟</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𝑅𝑜𝑜𝑚</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54C2A265-AE6E-4738-BF75-1F79A0A4FEC3}"/>
                </a:ext>
              </a:extLst>
            </xdr:cNvPr>
            <xdr:cNvSpPr txBox="1"/>
          </xdr:nvSpPr>
          <xdr:spPr>
            <a:xfrm>
              <a:off x="395569" y="8080562"/>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 𝑝𝑒𝑟 𝑅𝑜𝑜𝑚</a:t>
              </a:r>
              <a:endParaRPr lang="en-US" sz="1100">
                <a:solidFill>
                  <a:sysClr val="windowText" lastClr="000000"/>
                </a:solidFill>
              </a:endParaRPr>
            </a:p>
          </xdr:txBody>
        </xdr:sp>
      </mc:Fallback>
    </mc:AlternateContent>
    <xdr:clientData/>
  </xdr:oneCellAnchor>
  <xdr:oneCellAnchor>
    <xdr:from>
      <xdr:col>2</xdr:col>
      <xdr:colOff>44824</xdr:colOff>
      <xdr:row>35</xdr:row>
      <xdr:rowOff>22411</xdr:rowOff>
    </xdr:from>
    <xdr:ext cx="289559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7A501C0-5C8F-439B-B4D1-02B0D88B7BB4}"/>
                </a:ext>
              </a:extLst>
            </xdr:cNvPr>
            <xdr:cNvSpPr txBox="1"/>
          </xdr:nvSpPr>
          <xdr:spPr>
            <a:xfrm>
              <a:off x="406774" y="8842561"/>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07A501C0-5C8F-439B-B4D1-02B0D88B7BB4}"/>
                </a:ext>
              </a:extLst>
            </xdr:cNvPr>
            <xdr:cNvSpPr txBox="1"/>
          </xdr:nvSpPr>
          <xdr:spPr>
            <a:xfrm>
              <a:off x="406774" y="8842561"/>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wsDr>
</file>

<file path=xl/drawings/drawing19.xml><?xml version="1.0" encoding="utf-8"?>
<xdr:wsDr xmlns:xdr="http://schemas.openxmlformats.org/drawingml/2006/spreadsheetDrawing" xmlns:a="http://schemas.openxmlformats.org/drawingml/2006/main">
  <xdr:oneCellAnchor>
    <xdr:from>
      <xdr:col>2</xdr:col>
      <xdr:colOff>6351</xdr:colOff>
      <xdr:row>45</xdr:row>
      <xdr:rowOff>3174</xdr:rowOff>
    </xdr:from>
    <xdr:ext cx="4484686" cy="2571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FD8A50B-7DD0-4CFE-AD5A-21776A9D9ACF}"/>
                </a:ext>
              </a:extLst>
            </xdr:cNvPr>
            <xdr:cNvSpPr txBox="1"/>
          </xdr:nvSpPr>
          <xdr:spPr>
            <a:xfrm>
              <a:off x="368301" y="16329024"/>
              <a:ext cx="448468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6FD8A50B-7DD0-4CFE-AD5A-21776A9D9ACF}"/>
                </a:ext>
              </a:extLst>
            </xdr:cNvPr>
            <xdr:cNvSpPr txBox="1"/>
          </xdr:nvSpPr>
          <xdr:spPr>
            <a:xfrm>
              <a:off x="368301" y="16329024"/>
              <a:ext cx="448468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34925</xdr:colOff>
      <xdr:row>36</xdr:row>
      <xdr:rowOff>171449</xdr:rowOff>
    </xdr:from>
    <xdr:ext cx="4591050" cy="238125"/>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BC309F8F-05CF-4100-B9C5-FF13E81EF062}"/>
                </a:ext>
              </a:extLst>
            </xdr:cNvPr>
            <xdr:cNvSpPr txBox="1"/>
          </xdr:nvSpPr>
          <xdr:spPr>
            <a:xfrm>
              <a:off x="396875" y="1478279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0" name="TextBox 9">
              <a:extLst>
                <a:ext uri="{FF2B5EF4-FFF2-40B4-BE49-F238E27FC236}">
                  <a16:creationId xmlns:a16="http://schemas.microsoft.com/office/drawing/2014/main" id="{BC309F8F-05CF-4100-B9C5-FF13E81EF062}"/>
                </a:ext>
              </a:extLst>
            </xdr:cNvPr>
            <xdr:cNvSpPr txBox="1"/>
          </xdr:nvSpPr>
          <xdr:spPr>
            <a:xfrm>
              <a:off x="396875" y="1478279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 )∗𝐼𝑆𝑅∗𝐶𝐹∗</a:t>
              </a:r>
              <a:r>
                <a:rPr lang="en-US" sz="1100" b="0" i="0">
                  <a:solidFill>
                    <a:schemeClr val="tx1"/>
                  </a:solidFill>
                  <a:effectLst/>
                  <a:latin typeface="Cambria Math" panose="02040503050406030204" pitchFamily="18" charset="0"/>
                  <a:ea typeface="+mn-ea"/>
                  <a:cs typeface="+mn-cs"/>
                </a:rPr>
                <a:t>〖𝐼𝐸〗_(𝐶,𝐷)</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187325</xdr:colOff>
      <xdr:row>53</xdr:row>
      <xdr:rowOff>6351</xdr:rowOff>
    </xdr:from>
    <xdr:ext cx="4486275" cy="183127"/>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D2B2CE33-521E-4B3A-B37F-56B0AFFB52EB}"/>
                </a:ext>
              </a:extLst>
            </xdr:cNvPr>
            <xdr:cNvSpPr txBox="1"/>
          </xdr:nvSpPr>
          <xdr:spPr>
            <a:xfrm>
              <a:off x="358775" y="17856201"/>
              <a:ext cx="44862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12" name="TextBox 11">
              <a:extLst>
                <a:ext uri="{FF2B5EF4-FFF2-40B4-BE49-F238E27FC236}">
                  <a16:creationId xmlns:a16="http://schemas.microsoft.com/office/drawing/2014/main" id="{D2B2CE33-521E-4B3A-B37F-56B0AFFB52EB}"/>
                </a:ext>
              </a:extLst>
            </xdr:cNvPr>
            <xdr:cNvSpPr txBox="1"/>
          </xdr:nvSpPr>
          <xdr:spPr>
            <a:xfrm>
              <a:off x="358775" y="17856201"/>
              <a:ext cx="44862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solidFill>
                    <a:schemeClr val="tx1"/>
                  </a:solidFill>
                  <a:effectLst/>
                  <a:latin typeface="Cambria Math" panose="02040503050406030204" pitchFamily="18" charset="0"/>
                  <a:ea typeface="+mn-ea"/>
                  <a:cs typeface="+mn-cs"/>
                </a:rPr>
                <a:t>𝑙𝑖𝑓𝑒,𝑑𝑢𝑎𝑙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1</xdr:col>
      <xdr:colOff>187325</xdr:colOff>
      <xdr:row>48</xdr:row>
      <xdr:rowOff>174624</xdr:rowOff>
    </xdr:from>
    <xdr:ext cx="4387850" cy="257175"/>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94CE9535-E77A-4674-BFD2-0CE0DA31903B}"/>
                </a:ext>
              </a:extLst>
            </xdr:cNvPr>
            <xdr:cNvSpPr txBox="1"/>
          </xdr:nvSpPr>
          <xdr:spPr>
            <a:xfrm>
              <a:off x="358775" y="17071974"/>
              <a:ext cx="43878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3" name="TextBox 12">
              <a:extLst>
                <a:ext uri="{FF2B5EF4-FFF2-40B4-BE49-F238E27FC236}">
                  <a16:creationId xmlns:a16="http://schemas.microsoft.com/office/drawing/2014/main" id="{94CE9535-E77A-4674-BFD2-0CE0DA31903B}"/>
                </a:ext>
              </a:extLst>
            </xdr:cNvPr>
            <xdr:cNvSpPr txBox="1"/>
          </xdr:nvSpPr>
          <xdr:spPr>
            <a:xfrm>
              <a:off x="358775" y="17071974"/>
              <a:ext cx="43878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34925</xdr:colOff>
      <xdr:row>40</xdr:row>
      <xdr:rowOff>171449</xdr:rowOff>
    </xdr:from>
    <xdr:ext cx="4591050" cy="238125"/>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C2486D2E-7D67-4656-AE52-5CEE622254CF}"/>
                </a:ext>
              </a:extLst>
            </xdr:cNvPr>
            <xdr:cNvSpPr txBox="1"/>
          </xdr:nvSpPr>
          <xdr:spPr>
            <a:xfrm>
              <a:off x="396875" y="1554479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4" name="TextBox 13">
              <a:extLst>
                <a:ext uri="{FF2B5EF4-FFF2-40B4-BE49-F238E27FC236}">
                  <a16:creationId xmlns:a16="http://schemas.microsoft.com/office/drawing/2014/main" id="{C2486D2E-7D67-4656-AE52-5CEE622254CF}"/>
                </a:ext>
              </a:extLst>
            </xdr:cNvPr>
            <xdr:cNvSpPr txBox="1"/>
          </xdr:nvSpPr>
          <xdr:spPr>
            <a:xfrm>
              <a:off x="396875" y="1554479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 )∗𝐼𝑆𝑅∗𝐶𝐹∗</a:t>
              </a:r>
              <a:r>
                <a:rPr lang="en-US" sz="1100" b="0" i="0">
                  <a:solidFill>
                    <a:schemeClr val="tx1"/>
                  </a:solidFill>
                  <a:effectLst/>
                  <a:latin typeface="Cambria Math" panose="02040503050406030204" pitchFamily="18" charset="0"/>
                  <a:ea typeface="+mn-ea"/>
                  <a:cs typeface="+mn-cs"/>
                </a:rPr>
                <a:t>〖𝐼𝐸〗_(𝐶,𝐷)</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0</xdr:colOff>
      <xdr:row>61</xdr:row>
      <xdr:rowOff>9526</xdr:rowOff>
    </xdr:from>
    <xdr:ext cx="3914775" cy="183320"/>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575FCDF5-6147-43B5-9882-4404C9ED9747}"/>
                </a:ext>
              </a:extLst>
            </xdr:cNvPr>
            <xdr:cNvSpPr txBox="1"/>
          </xdr:nvSpPr>
          <xdr:spPr>
            <a:xfrm>
              <a:off x="361950" y="19383376"/>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𝑠𝑖𝑛𝑔𝑙𝑒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15" name="TextBox 14">
              <a:extLst>
                <a:ext uri="{FF2B5EF4-FFF2-40B4-BE49-F238E27FC236}">
                  <a16:creationId xmlns:a16="http://schemas.microsoft.com/office/drawing/2014/main" id="{575FCDF5-6147-43B5-9882-4404C9ED9747}"/>
                </a:ext>
              </a:extLst>
            </xdr:cNvPr>
            <xdr:cNvSpPr txBox="1"/>
          </xdr:nvSpPr>
          <xdr:spPr>
            <a:xfrm>
              <a:off x="361950" y="19383376"/>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𝑘𝑊ℎ〗_(𝑙𝑖𝑓𝑒,𝑠𝑖𝑛𝑔𝑙𝑒)</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endParaRPr lang="en-US" sz="1100"/>
            </a:p>
          </xdr:txBody>
        </xdr:sp>
      </mc:Fallback>
    </mc:AlternateContent>
    <xdr:clientData/>
  </xdr:oneCellAnchor>
  <xdr:oneCellAnchor>
    <xdr:from>
      <xdr:col>1</xdr:col>
      <xdr:colOff>187325</xdr:colOff>
      <xdr:row>65</xdr:row>
      <xdr:rowOff>6351</xdr:rowOff>
    </xdr:from>
    <xdr:ext cx="3914775" cy="182614"/>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9537F42E-046D-4E0B-861C-523D0A8FCE2B}"/>
                </a:ext>
              </a:extLst>
            </xdr:cNvPr>
            <xdr:cNvSpPr txBox="1"/>
          </xdr:nvSpPr>
          <xdr:spPr>
            <a:xfrm>
              <a:off x="358775" y="20142201"/>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n-US" sz="1100" b="0" i="1">
                      <a:solidFill>
                        <a:schemeClr val="tx1"/>
                      </a:solidFill>
                      <a:effectLst/>
                      <a:latin typeface="Cambria Math" panose="02040503050406030204" pitchFamily="18" charset="0"/>
                      <a:ea typeface="+mn-ea"/>
                      <a:cs typeface="+mn-cs"/>
                    </a:rPr>
                    <m:t>𝑅𝑈𝐿</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𝑅𝑂𝑈𝑁𝐷</m:t>
                          </m:r>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𝑝𝑟𝑒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𝑒𝑥𝑖𝑠𝑡𝑖𝑛𝑔</m:t>
                      </m:r>
                    </m:sub>
                  </m:sSub>
                </m:oMath>
              </a14:m>
              <a:r>
                <a:rPr lang="en-US" sz="1100"/>
                <a:t>)</a:t>
              </a:r>
            </a:p>
          </xdr:txBody>
        </xdr:sp>
      </mc:Choice>
      <mc:Fallback xmlns="">
        <xdr:sp macro="" textlink="">
          <xdr:nvSpPr>
            <xdr:cNvPr id="16" name="TextBox 15">
              <a:extLst>
                <a:ext uri="{FF2B5EF4-FFF2-40B4-BE49-F238E27FC236}">
                  <a16:creationId xmlns:a16="http://schemas.microsoft.com/office/drawing/2014/main" id="{9537F42E-046D-4E0B-861C-523D0A8FCE2B}"/>
                </a:ext>
              </a:extLst>
            </xdr:cNvPr>
            <xdr:cNvSpPr txBox="1"/>
          </xdr:nvSpPr>
          <xdr:spPr>
            <a:xfrm>
              <a:off x="358775" y="20142201"/>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100" b="0" i="0">
                  <a:solidFill>
                    <a:schemeClr val="tx1"/>
                  </a:solidFill>
                  <a:effectLst/>
                  <a:latin typeface="Cambria Math" panose="02040503050406030204" pitchFamily="18" charset="0"/>
                  <a:ea typeface="+mn-ea"/>
                  <a:cs typeface="+mn-cs"/>
                </a:rPr>
                <a:t>𝑅𝑈𝐿=〖〖𝑅𝑂𝑈𝑁𝐷(1〗∕3∗𝐸𝑈𝐿〗_(𝑝𝑟𝑒−𝑒𝑥𝑖𝑠𝑡𝑖𝑛𝑔)</a:t>
              </a:r>
              <a:r>
                <a:rPr lang="en-US" sz="1100"/>
                <a:t>)</a:t>
              </a:r>
            </a:p>
          </xdr:txBody>
        </xdr:sp>
      </mc:Fallback>
    </mc:AlternateContent>
    <xdr:clientData/>
  </xdr:oneCellAnchor>
  <xdr:oneCellAnchor>
    <xdr:from>
      <xdr:col>1</xdr:col>
      <xdr:colOff>187325</xdr:colOff>
      <xdr:row>57</xdr:row>
      <xdr:rowOff>19050</xdr:rowOff>
    </xdr:from>
    <xdr:ext cx="4048125" cy="183127"/>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69C71907-4FA1-4EC0-B522-6962F563F667}"/>
                </a:ext>
              </a:extLst>
            </xdr:cNvPr>
            <xdr:cNvSpPr txBox="1"/>
          </xdr:nvSpPr>
          <xdr:spPr>
            <a:xfrm>
              <a:off x="358775" y="18630900"/>
              <a:ext cx="404812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𝑅𝑈𝐿</m:t>
                    </m:r>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mn-ea"/>
                            <a:cs typeface="+mn-cs"/>
                          </a:rPr>
                          <m:t>𝑅𝑈𝐿</m:t>
                        </m:r>
                      </m:e>
                    </m:d>
                  </m:oMath>
                </m:oMathPara>
              </a14:m>
              <a:endParaRPr lang="en-US" sz="1100"/>
            </a:p>
          </xdr:txBody>
        </xdr:sp>
      </mc:Choice>
      <mc:Fallback xmlns="">
        <xdr:sp macro="" textlink="">
          <xdr:nvSpPr>
            <xdr:cNvPr id="17" name="TextBox 16">
              <a:extLst>
                <a:ext uri="{FF2B5EF4-FFF2-40B4-BE49-F238E27FC236}">
                  <a16:creationId xmlns:a16="http://schemas.microsoft.com/office/drawing/2014/main" id="{69C71907-4FA1-4EC0-B522-6962F563F667}"/>
                </a:ext>
              </a:extLst>
            </xdr:cNvPr>
            <xdr:cNvSpPr txBox="1"/>
          </xdr:nvSpPr>
          <xdr:spPr>
            <a:xfrm>
              <a:off x="358775" y="18630900"/>
              <a:ext cx="404812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solidFill>
                    <a:schemeClr val="tx1"/>
                  </a:solidFill>
                  <a:effectLst/>
                  <a:latin typeface="Cambria Math" panose="02040503050406030204" pitchFamily="18" charset="0"/>
                  <a:ea typeface="+mn-ea"/>
                  <a:cs typeface="+mn-cs"/>
                </a:rPr>
                <a:t>𝑙𝑖𝑓𝑒,𝑑𝑢𝑎𝑙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𝑘𝑊ℎ〗_1𝑠𝑡∗𝑅𝑈𝐿+〖</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𝑅𝑈𝐿)</a:t>
              </a:r>
              <a:endParaRPr lang="en-US"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0</xdr:col>
      <xdr:colOff>7330</xdr:colOff>
      <xdr:row>58</xdr:row>
      <xdr:rowOff>16118</xdr:rowOff>
    </xdr:from>
    <xdr:ext cx="5507646" cy="65209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F6B8936C-2D8E-401D-84F5-8C8D754DFDC8}"/>
                </a:ext>
              </a:extLst>
            </xdr:cNvPr>
            <xdr:cNvSpPr txBox="1"/>
          </xdr:nvSpPr>
          <xdr:spPr>
            <a:xfrm>
              <a:off x="7330" y="20104343"/>
              <a:ext cx="5507646" cy="6520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𝑇𝑅𝐵</m:t>
                        </m:r>
                      </m:e>
                      <m:sub>
                        <m:r>
                          <a:rPr lang="en-US" sz="1100" b="0" i="1">
                            <a:solidFill>
                              <a:sysClr val="windowText" lastClr="000000"/>
                            </a:solidFill>
                            <a:latin typeface="Cambria Math" panose="02040503050406030204" pitchFamily="18" charset="0"/>
                          </a:rPr>
                          <m:t>𝑆𝑖𝑛𝑔𝑙𝑒</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𝐵𝐿</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𝑀𝑒𝑎𝑠</m:t>
                        </m:r>
                      </m:sub>
                    </m:sSub>
                    <m:r>
                      <a:rPr lang="en-US" sz="1100" b="0" i="1">
                        <a:solidFill>
                          <a:sysClr val="windowText" lastClr="000000"/>
                        </a:solidFill>
                        <a:latin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ndParaRPr>
            </a:p>
            <a:p>
              <a:pPr algn="l"/>
              <a14:m>
                <m:oMathPara xmlns:m="http://schemas.openxmlformats.org/officeDocument/2006/math">
                  <m:oMathParaPr>
                    <m:jc m:val="right"/>
                  </m:oMathParaPr>
                  <m:oMath xmlns:m="http://schemas.openxmlformats.org/officeDocument/2006/math">
                    <m:r>
                      <a:rPr lang="en-US" sz="1100" b="0" i="1">
                        <a:solidFill>
                          <a:sysClr val="windowText" lastClr="000000"/>
                        </a:solidFill>
                        <a:latin typeface="Cambria Math" panose="02040503050406030204" pitchFamily="18" charset="0"/>
                      </a:rPr>
                      <m:t>𝑁𝑇𝐺</m:t>
                    </m:r>
                    <m:sSub>
                      <m:sSubPr>
                        <m:ctrlPr>
                          <a:rPr lang="en-US" sz="1100" b="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𝑅</m:t>
                        </m:r>
                      </m:e>
                      <m:sub>
                        <m:r>
                          <a:rPr lang="en-US" sz="1100" b="0" i="1">
                            <a:solidFill>
                              <a:sysClr val="windowText" lastClr="000000"/>
                            </a:solidFill>
                            <a:latin typeface="Cambria Math" panose="02040503050406030204" pitchFamily="18" charset="0"/>
                          </a:rPr>
                          <m:t>𝑃𝑟𝑜𝑔</m:t>
                        </m:r>
                      </m:sub>
                    </m:sSub>
                    <m:r>
                      <a:rPr lang="en-US" sz="1100" b="0" i="1">
                        <a:solidFill>
                          <a:sysClr val="windowText" lastClr="000000"/>
                        </a:solidFill>
                        <a:latin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latin typeface="Cambria Math" panose="02040503050406030204" pitchFamily="18" charset="0"/>
                      </a:rPr>
                      <m:t>∗</m:t>
                    </m:r>
                    <m:sSub>
                      <m:sSubPr>
                        <m:ctrlPr>
                          <a:rPr lang="en-US" sz="1100" b="0" i="1">
                            <a:solidFill>
                              <a:sysClr val="windowText" lastClr="000000"/>
                            </a:solidFill>
                            <a:latin typeface="Cambria Math" panose="02040503050406030204" pitchFamily="18" charset="0"/>
                          </a:rPr>
                        </m:ctrlPr>
                      </m:sSubPr>
                      <m:e>
                        <m:d>
                          <m:dPr>
                            <m:begChr m:val="["/>
                            <m:endChr m:val="]"/>
                            <m:ctrlPr>
                              <a:rPr lang="en-US" sz="1100" b="0" i="1">
                                <a:solidFill>
                                  <a:sysClr val="windowText" lastClr="000000"/>
                                </a:solidFill>
                                <a:latin typeface="Cambria Math" panose="02040503050406030204" pitchFamily="18" charset="0"/>
                              </a:rPr>
                            </m:ctrlPr>
                          </m:dPr>
                          <m:e>
                            <m:r>
                              <a:rPr lang="en-US" sz="1100" b="0" i="1">
                                <a:solidFill>
                                  <a:sysClr val="windowText" lastClr="000000"/>
                                </a:solidFill>
                                <a:latin typeface="Cambria Math" panose="02040503050406030204" pitchFamily="18" charset="0"/>
                              </a:rPr>
                              <m:t>𝐶𝑢𝑚𝑢𝑙</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𝑁𝑃𝑉</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𝑎𝑣𝑜𝑖𝑑𝑒𝑑</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𝑒𝑛𝑒𝑟𝑔𝑦</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𝑐𝑜𝑠𝑡</m:t>
                            </m:r>
                          </m:e>
                        </m:d>
                      </m:e>
                      <m:sub>
                        <m:r>
                          <a:rPr lang="en-US" sz="1100" b="0" i="1">
                            <a:solidFill>
                              <a:sysClr val="windowText" lastClr="000000"/>
                            </a:solidFill>
                            <a:latin typeface="Cambria Math" panose="02040503050406030204" pitchFamily="18" charset="0"/>
                          </a:rPr>
                          <m:t>𝑀𝑒𝑎𝑠</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𝑦𝑟</m:t>
                        </m:r>
                        <m:r>
                          <a:rPr lang="en-US" sz="1100" b="0" i="1">
                            <a:solidFill>
                              <a:sysClr val="windowText" lastClr="000000"/>
                            </a:solidFill>
                            <a:latin typeface="Cambria Math" panose="02040503050406030204" pitchFamily="18" charset="0"/>
                          </a:rPr>
                          <m:t>=</m:t>
                        </m:r>
                        <m:r>
                          <a:rPr lang="en-US" sz="1100" b="0" i="1">
                            <a:solidFill>
                              <a:sysClr val="windowText" lastClr="000000"/>
                            </a:solidFill>
                            <a:latin typeface="Cambria Math" panose="02040503050406030204" pitchFamily="18" charset="0"/>
                          </a:rPr>
                          <m:t>𝐸𝑈𝐿</m:t>
                        </m:r>
                      </m:sub>
                    </m:sSub>
                  </m:oMath>
                </m:oMathPara>
              </a14:m>
              <a:endParaRPr lang="en-US" sz="1100" b="0" i="1">
                <a:solidFill>
                  <a:sysClr val="windowText" lastClr="000000"/>
                </a:solidFill>
                <a:latin typeface="Cambria Math" panose="02040503050406030204" pitchFamily="18" charset="0"/>
              </a:endParaRPr>
            </a:p>
            <a:p>
              <a:pPr algn="r"/>
              <a14:m>
                <m:oMath xmlns:m="http://schemas.openxmlformats.org/officeDocument/2006/math">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𝑐𝑎𝑝𝑎𝑐𝑖𝑡𝑦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sub>
                  </m:sSub>
                </m:oMath>
              </a14:m>
              <a:r>
                <a:rPr lang="en-US" sz="1100">
                  <a:solidFill>
                    <a:sysClr val="windowText" lastClr="000000"/>
                  </a:solidFill>
                </a:rPr>
                <a:t>)</a:t>
              </a:r>
            </a:p>
          </xdr:txBody>
        </xdr:sp>
      </mc:Choice>
      <mc:Fallback xmlns="">
        <xdr:sp macro="" textlink="">
          <xdr:nvSpPr>
            <xdr:cNvPr id="2" name="TextBox 1">
              <a:extLst>
                <a:ext uri="{FF2B5EF4-FFF2-40B4-BE49-F238E27FC236}">
                  <a16:creationId xmlns:a16="http://schemas.microsoft.com/office/drawing/2014/main" id="{F6B8936C-2D8E-401D-84F5-8C8D754DFDC8}"/>
                </a:ext>
              </a:extLst>
            </xdr:cNvPr>
            <xdr:cNvSpPr txBox="1"/>
          </xdr:nvSpPr>
          <xdr:spPr>
            <a:xfrm>
              <a:off x="7330" y="20104343"/>
              <a:ext cx="5507646" cy="6520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ysClr val="windowText" lastClr="000000"/>
                  </a:solidFill>
                  <a:latin typeface="Cambria Math" panose="02040503050406030204" pitchFamily="18" charset="0"/>
                </a:rPr>
                <a:t>〖𝑇𝑅𝐵〗_(𝑆𝑖𝑛𝑔𝑙𝑒 𝐵𝐿 𝑀𝑒𝑎𝑠)=</a:t>
              </a:r>
              <a:endParaRPr lang="en-US" sz="1100" b="0" i="1">
                <a:solidFill>
                  <a:sysClr val="windowText" lastClr="000000"/>
                </a:solidFill>
                <a:latin typeface="Cambria Math" panose="02040503050406030204" pitchFamily="18" charset="0"/>
              </a:endParaRPr>
            </a:p>
            <a:p>
              <a:pPr algn="l"/>
              <a:r>
                <a:rPr lang="en-US" sz="1100" b="0" i="0">
                  <a:solidFill>
                    <a:sysClr val="windowText" lastClr="000000"/>
                  </a:solidFill>
                  <a:latin typeface="Cambria Math" panose="02040503050406030204" pitchFamily="18" charset="0"/>
                </a:rPr>
                <a:t>𝑁𝑇𝐺𝑅_𝑃𝑟𝑜𝑔∗(</a:t>
              </a:r>
              <a:r>
                <a:rPr lang="en-US" sz="1100" b="0" i="0">
                  <a:solidFill>
                    <a:sysClr val="windowText" lastClr="000000"/>
                  </a:solidFill>
                  <a:effectLst/>
                  <a:latin typeface="Cambria Math" panose="02040503050406030204" pitchFamily="18" charset="0"/>
                  <a:ea typeface="+mn-ea"/>
                  <a:cs typeface="+mn-cs"/>
                </a:rPr>
                <a:t>∆𝑘𝑊ℎ_(1𝑠𝑡 𝑦𝑟 𝐺𝑟𝑜𝑠𝑠 𝐶𝑢𝑠𝑡_𝑀𝑒𝑎𝑠 )</a:t>
              </a:r>
              <a:r>
                <a:rPr lang="en-US" sz="1100" b="0" i="0">
                  <a:solidFill>
                    <a:sysClr val="windowText" lastClr="000000"/>
                  </a:solidFill>
                  <a:latin typeface="Cambria Math" panose="02040503050406030204" pitchFamily="18" charset="0"/>
                </a:rPr>
                <a:t>∗[𝐶𝑢𝑚𝑢𝑙. 𝑁𝑃𝑉 𝑎𝑣𝑜𝑖𝑑𝑒𝑑 𝑒𝑛𝑒𝑟𝑔𝑦 𝑐𝑜𝑠𝑡]_(𝑀𝑒𝑎𝑠 𝑦𝑟=𝐸𝑈𝐿)</a:t>
              </a:r>
              <a:endParaRPr lang="en-US" sz="1100" b="0" i="1">
                <a:solidFill>
                  <a:sysClr val="windowText" lastClr="000000"/>
                </a:solidFill>
                <a:latin typeface="Cambria Math" panose="02040503050406030204" pitchFamily="18" charset="0"/>
              </a:endParaRPr>
            </a:p>
            <a:p>
              <a:pPr algn="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∆𝑘𝑊_(1𝑠𝑡 𝑦𝑟 𝐺𝑟𝑜𝑠𝑠 𝐶𝑢𝑠𝑡_𝑀𝑒𝑎𝑠 )∗[𝐶𝑢𝑚𝑢𝑙. 𝑁𝑃𝑉 𝑎𝑣𝑜𝑖𝑑𝑒𝑑 𝑐𝑎𝑝𝑎𝑐𝑖𝑡𝑦 𝑐𝑜𝑠𝑡]_(𝑀𝑒𝑎𝑠 𝑦𝑟=𝐸𝑈𝐿)</a:t>
              </a:r>
              <a:r>
                <a:rPr lang="en-US" sz="1100">
                  <a:solidFill>
                    <a:sysClr val="windowText" lastClr="000000"/>
                  </a:solidFill>
                </a:rPr>
                <a:t>)</a:t>
              </a:r>
            </a:p>
          </xdr:txBody>
        </xdr:sp>
      </mc:Fallback>
    </mc:AlternateContent>
    <xdr:clientData/>
  </xdr:oneCellAnchor>
  <xdr:oneCellAnchor>
    <xdr:from>
      <xdr:col>0</xdr:col>
      <xdr:colOff>7330</xdr:colOff>
      <xdr:row>69</xdr:row>
      <xdr:rowOff>6593</xdr:rowOff>
    </xdr:from>
    <xdr:ext cx="5488596" cy="134082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71C51A7-9E7C-482F-835C-375617632745}"/>
                </a:ext>
              </a:extLst>
            </xdr:cNvPr>
            <xdr:cNvSpPr txBox="1"/>
          </xdr:nvSpPr>
          <xdr:spPr>
            <a:xfrm>
              <a:off x="7330" y="25800293"/>
              <a:ext cx="5488596" cy="13408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𝑇𝑅𝐵</m:t>
                        </m:r>
                      </m:e>
                      <m:sub>
                        <m:r>
                          <a:rPr lang="en-US" sz="1100" b="0" i="1">
                            <a:solidFill>
                              <a:sysClr val="windowText" lastClr="000000"/>
                            </a:solidFill>
                            <a:latin typeface="Cambria Math" panose="02040503050406030204" pitchFamily="18" charset="0"/>
                          </a:rPr>
                          <m:t>𝐷𝑢𝑎𝑙</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𝐵𝐿</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𝑀𝑒𝑎𝑠</m:t>
                        </m:r>
                      </m:sub>
                    </m:sSub>
                    <m:r>
                      <a:rPr lang="en-US" sz="1100" b="0" i="1">
                        <a:solidFill>
                          <a:sysClr val="windowText" lastClr="000000"/>
                        </a:solidFill>
                        <a:latin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ndParaRPr>
            </a:p>
            <a:p>
              <a:pPr algn="l"/>
              <a14:m>
                <m:oMathPara xmlns:m="http://schemas.openxmlformats.org/officeDocument/2006/math">
                  <m:oMathParaPr>
                    <m:jc m:val="right"/>
                  </m:oMathParaPr>
                  <m:oMath xmlns:m="http://schemas.openxmlformats.org/officeDocument/2006/math">
                    <m:r>
                      <a:rPr lang="en-US" sz="1100" b="0" i="1">
                        <a:solidFill>
                          <a:sysClr val="windowText" lastClr="000000"/>
                        </a:solidFill>
                        <a:latin typeface="Cambria Math" panose="02040503050406030204" pitchFamily="18" charset="0"/>
                      </a:rPr>
                      <m:t>𝑁𝑇𝐺</m:t>
                    </m:r>
                    <m:sSub>
                      <m:sSubPr>
                        <m:ctrlPr>
                          <a:rPr lang="en-US" sz="1100" b="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𝑅</m:t>
                        </m:r>
                      </m:e>
                      <m:sub>
                        <m:r>
                          <a:rPr lang="en-US" sz="1100" b="0" i="1">
                            <a:solidFill>
                              <a:sysClr val="windowText" lastClr="000000"/>
                            </a:solidFill>
                            <a:latin typeface="Cambria Math" panose="02040503050406030204" pitchFamily="18" charset="0"/>
                          </a:rPr>
                          <m:t>𝑃𝑟𝑜𝑔</m:t>
                        </m:r>
                      </m:sub>
                    </m:sSub>
                    <m:r>
                      <a:rPr lang="en-US" sz="1100" b="0" i="1">
                        <a:solidFill>
                          <a:sysClr val="windowText" lastClr="000000"/>
                        </a:solidFill>
                        <a:latin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latin typeface="Cambria Math" panose="02040503050406030204" pitchFamily="18" charset="0"/>
                      </a:rPr>
                      <m:t>∗</m:t>
                    </m:r>
                    <m:sSub>
                      <m:sSubPr>
                        <m:ctrlPr>
                          <a:rPr lang="en-US" sz="1100" b="0" i="1">
                            <a:solidFill>
                              <a:sysClr val="windowText" lastClr="000000"/>
                            </a:solidFill>
                            <a:latin typeface="Cambria Math" panose="02040503050406030204" pitchFamily="18" charset="0"/>
                          </a:rPr>
                        </m:ctrlPr>
                      </m:sSubPr>
                      <m:e>
                        <m:d>
                          <m:dPr>
                            <m:begChr m:val="["/>
                            <m:endChr m:val="]"/>
                            <m:ctrlPr>
                              <a:rPr lang="en-US" sz="1100" b="0" i="1">
                                <a:solidFill>
                                  <a:sysClr val="windowText" lastClr="000000"/>
                                </a:solidFill>
                                <a:latin typeface="Cambria Math" panose="02040503050406030204" pitchFamily="18" charset="0"/>
                              </a:rPr>
                            </m:ctrlPr>
                          </m:dPr>
                          <m:e>
                            <m:r>
                              <a:rPr lang="en-US" sz="1100" b="0" i="1">
                                <a:solidFill>
                                  <a:sysClr val="windowText" lastClr="000000"/>
                                </a:solidFill>
                                <a:latin typeface="Cambria Math" panose="02040503050406030204" pitchFamily="18" charset="0"/>
                              </a:rPr>
                              <m:t>𝐶𝑢𝑚𝑢𝑙</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𝑁𝑃𝑉</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𝑎𝑣𝑜𝑖𝑑𝑒𝑑</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𝑒𝑛𝑒𝑟𝑔𝑦</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𝑐𝑜𝑠𝑡</m:t>
                            </m:r>
                          </m:e>
                        </m:d>
                      </m:e>
                      <m:sub>
                        <m:r>
                          <a:rPr lang="en-US" sz="1100" b="0" i="1">
                            <a:solidFill>
                              <a:sysClr val="windowText" lastClr="000000"/>
                            </a:solidFill>
                            <a:latin typeface="Cambria Math" panose="02040503050406030204" pitchFamily="18" charset="0"/>
                          </a:rPr>
                          <m:t>𝑀𝑒𝑎𝑠</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𝑦𝑟</m:t>
                        </m:r>
                        <m:r>
                          <a:rPr lang="en-US" sz="1100" b="0" i="1">
                            <a:solidFill>
                              <a:sysClr val="windowText" lastClr="000000"/>
                            </a:solidFill>
                            <a:latin typeface="Cambria Math" panose="02040503050406030204" pitchFamily="18" charset="0"/>
                          </a:rPr>
                          <m:t>=</m:t>
                        </m:r>
                        <m:r>
                          <a:rPr lang="en-US" sz="1100" b="0" i="1">
                            <a:solidFill>
                              <a:sysClr val="windowText" lastClr="000000"/>
                            </a:solidFill>
                            <a:latin typeface="Cambria Math" panose="02040503050406030204" pitchFamily="18" charset="0"/>
                          </a:rPr>
                          <m:t>𝑅𝑈𝐿</m:t>
                        </m:r>
                      </m:sub>
                    </m:sSub>
                  </m:oMath>
                </m:oMathPara>
              </a14:m>
              <a:endParaRPr lang="en-US" sz="1100" b="0" i="1">
                <a:solidFill>
                  <a:sysClr val="windowText" lastClr="000000"/>
                </a:solidFill>
                <a:latin typeface="Cambria Math" panose="02040503050406030204" pitchFamily="18" charset="0"/>
              </a:endParaRPr>
            </a:p>
            <a:p>
              <a:pPr/>
              <a14:m>
                <m:oMathPara xmlns:m="http://schemas.openxmlformats.org/officeDocument/2006/math">
                  <m:oMathParaPr>
                    <m:jc m:val="right"/>
                  </m:oMathParaPr>
                  <m:oMath xmlns:m="http://schemas.openxmlformats.org/officeDocument/2006/math">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𝑐𝑎𝑝𝑎𝑐𝑖𝑡𝑦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sub>
                    </m:sSub>
                  </m:oMath>
                </m:oMathPara>
              </a14:m>
              <a:endParaRPr lang="en-US" sz="1100" b="0" i="0">
                <a:solidFill>
                  <a:sysClr val="windowText" lastClr="000000"/>
                </a:solidFill>
                <a:effectLst/>
                <a:latin typeface="Cambria Math" panose="02040503050406030204" pitchFamily="18" charset="0"/>
                <a:ea typeface="+mn-ea"/>
                <a:cs typeface="+mn-cs"/>
              </a:endParaRPr>
            </a:p>
            <a:p>
              <a:pPr/>
              <a14:m>
                <m:oMathPara xmlns:m="http://schemas.openxmlformats.org/officeDocument/2006/math">
                  <m:oMathParaPr>
                    <m:jc m:val="right"/>
                  </m:oMathParaPr>
                  <m:oMath xmlns:m="http://schemas.openxmlformats.org/officeDocument/2006/math">
                    <m:r>
                      <a:rPr lang="en-US" sz="11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h</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𝑒𝑛𝑒𝑟𝑔𝑦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sub>
                    </m:sSub>
                  </m:oMath>
                </m:oMathPara>
              </a14:m>
              <a:endParaRPr lang="en-US" sz="1100" b="0" i="1">
                <a:solidFill>
                  <a:sysClr val="windowText" lastClr="000000"/>
                </a:solidFill>
                <a:effectLst/>
                <a:latin typeface="+mn-lt"/>
                <a:ea typeface="+mn-ea"/>
                <a:cs typeface="+mn-cs"/>
              </a:endParaRPr>
            </a:p>
            <a:p>
              <a:pPr algn="r"/>
              <a14:m>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𝑒𝑛𝑒𝑟𝑔𝑦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sub>
                  </m:sSub>
                </m:oMath>
              </a14:m>
              <a:r>
                <a:rPr lang="en-US">
                  <a:solidFill>
                    <a:sysClr val="windowText" lastClr="000000"/>
                  </a:solidFill>
                  <a:effectLst/>
                </a:rPr>
                <a:t>)</a:t>
              </a:r>
            </a:p>
            <a:p>
              <a:pPr algn="r"/>
              <a14:m>
                <m:oMathPara xmlns:m="http://schemas.openxmlformats.org/officeDocument/2006/math">
                  <m:oMathParaPr>
                    <m:jc m:val="right"/>
                  </m:oMathParaPr>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𝑐𝑎𝑝𝑎𝑐𝑖𝑡𝑦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sub>
                    </m:sSub>
                  </m:oMath>
                </m:oMathPara>
              </a14:m>
              <a:endParaRPr lang="en-US" sz="1100" b="0" i="1">
                <a:solidFill>
                  <a:sysClr val="windowText" lastClr="000000"/>
                </a:solidFill>
                <a:effectLst/>
                <a:latin typeface="+mn-lt"/>
                <a:ea typeface="+mn-ea"/>
                <a:cs typeface="+mn-cs"/>
              </a:endParaRPr>
            </a:p>
            <a:p>
              <a:pPr algn="r"/>
              <a14:m>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𝑐𝑎𝑝𝑎𝑐𝑖𝑡𝑦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sub>
                  </m:sSub>
                  <m:r>
                    <m:rPr>
                      <m:nor/>
                    </m:rPr>
                    <a:rPr lang="en-US" sz="1100">
                      <a:solidFill>
                        <a:sysClr val="windowText" lastClr="000000"/>
                      </a:solidFill>
                      <a:effectLst/>
                      <a:latin typeface="+mn-lt"/>
                      <a:ea typeface="+mn-ea"/>
                      <a:cs typeface="+mn-cs"/>
                    </a:rPr>
                    <m:t>)</m:t>
                  </m:r>
                </m:oMath>
              </a14:m>
              <a:r>
                <a:rPr lang="en-US" sz="1100">
                  <a:solidFill>
                    <a:sysClr val="windowText" lastClr="000000"/>
                  </a:solidFill>
                </a:rPr>
                <a:t>}</a:t>
              </a:r>
            </a:p>
          </xdr:txBody>
        </xdr:sp>
      </mc:Choice>
      <mc:Fallback xmlns="">
        <xdr:sp macro="" textlink="">
          <xdr:nvSpPr>
            <xdr:cNvPr id="3" name="TextBox 2">
              <a:extLst>
                <a:ext uri="{FF2B5EF4-FFF2-40B4-BE49-F238E27FC236}">
                  <a16:creationId xmlns:a16="http://schemas.microsoft.com/office/drawing/2014/main" id="{371C51A7-9E7C-482F-835C-375617632745}"/>
                </a:ext>
              </a:extLst>
            </xdr:cNvPr>
            <xdr:cNvSpPr txBox="1"/>
          </xdr:nvSpPr>
          <xdr:spPr>
            <a:xfrm>
              <a:off x="7330" y="25800293"/>
              <a:ext cx="5488596" cy="13408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ysClr val="windowText" lastClr="000000"/>
                  </a:solidFill>
                  <a:latin typeface="Cambria Math" panose="02040503050406030204" pitchFamily="18" charset="0"/>
                </a:rPr>
                <a:t>〖𝑇𝑅𝐵〗_(𝐷𝑢𝑎𝑙 𝐵𝐿 𝑀𝑒𝑎𝑠)=</a:t>
              </a:r>
              <a:endParaRPr lang="en-US" sz="1100" b="0" i="1">
                <a:solidFill>
                  <a:sysClr val="windowText" lastClr="000000"/>
                </a:solidFill>
                <a:latin typeface="Cambria Math" panose="02040503050406030204" pitchFamily="18" charset="0"/>
              </a:endParaRPr>
            </a:p>
            <a:p>
              <a:pPr algn="l"/>
              <a:r>
                <a:rPr lang="en-US" sz="1100" b="0" i="0">
                  <a:solidFill>
                    <a:sysClr val="windowText" lastClr="000000"/>
                  </a:solidFill>
                  <a:latin typeface="Cambria Math" panose="02040503050406030204" pitchFamily="18" charset="0"/>
                </a:rPr>
                <a:t>𝑁𝑇𝐺𝑅_𝑃𝑟𝑜𝑔∗{</a:t>
              </a:r>
              <a:r>
                <a:rPr lang="en-US" sz="1100" b="0" i="0">
                  <a:solidFill>
                    <a:sysClr val="windowText" lastClr="000000"/>
                  </a:solidFill>
                  <a:effectLst/>
                  <a:latin typeface="Cambria Math" panose="02040503050406030204" pitchFamily="18" charset="0"/>
                  <a:ea typeface="+mn-ea"/>
                  <a:cs typeface="+mn-cs"/>
                </a:rPr>
                <a:t>∆𝑘𝑊ℎ_(1𝑠𝑡 𝐵𝐿 𝐺𝑟𝑜𝑠𝑠 𝐶𝑢𝑠𝑡_𝑀𝑒𝑎𝑠 )</a:t>
              </a:r>
              <a:r>
                <a:rPr lang="en-US" sz="1100" b="0" i="0">
                  <a:solidFill>
                    <a:sysClr val="windowText" lastClr="000000"/>
                  </a:solidFill>
                  <a:latin typeface="Cambria Math" panose="02040503050406030204" pitchFamily="18" charset="0"/>
                </a:rPr>
                <a:t>∗[𝐶𝑢𝑚𝑢𝑙. 𝑁𝑃𝑉 𝑎𝑣𝑜𝑖𝑑𝑒𝑑 𝑒𝑛𝑒𝑟𝑔𝑦 𝑐𝑜𝑠𝑡]_(𝑀𝑒𝑎𝑠 𝑦𝑟=𝑅𝑈𝐿)</a:t>
              </a:r>
              <a:endParaRPr lang="en-US" sz="1100" b="0" i="1">
                <a:solidFill>
                  <a:sysClr val="windowText" lastClr="000000"/>
                </a:solidFill>
                <a:latin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∆𝑘𝑊_(1𝑠𝑡 𝐵𝐿 𝐺𝑟𝑜𝑠𝑠 𝐶𝑢𝑠𝑡_𝑀𝑒𝑎𝑠 )∗[𝐶𝑢𝑚𝑢𝑙. 𝑁𝑃𝑉 𝑎𝑣𝑜𝑖𝑑𝑒𝑑 𝑐𝑎𝑝𝑎𝑐𝑖𝑡𝑦 𝑐𝑜𝑠𝑡]_(𝑀𝑒𝑎𝑠 𝑦𝑟=𝑅𝑈𝐿)</a:t>
              </a:r>
            </a:p>
            <a:p>
              <a:pPr/>
              <a:r>
                <a:rPr lang="en-US" sz="1100" b="0" i="0">
                  <a:solidFill>
                    <a:sysClr val="windowText" lastClr="000000"/>
                  </a:solidFill>
                  <a:effectLst/>
                  <a:latin typeface="Cambria Math" panose="02040503050406030204" pitchFamily="18" charset="0"/>
                  <a:ea typeface="+mn-ea"/>
                  <a:cs typeface="+mn-cs"/>
                </a:rPr>
                <a:t>+∆𝑘𝑊ℎ_(2𝑛𝑑 𝐵𝐿 𝐺𝑟𝑜𝑠𝑠 𝐶𝑢𝑠𝑡_𝑀𝑒𝑎𝑠 )∗〖([𝐶𝑢𝑚𝑢𝑙. 𝑁𝑃𝑉 𝑎𝑣𝑜𝑖𝑑𝑒𝑑 𝑒𝑛𝑒𝑟𝑔𝑦 𝑐𝑜𝑠𝑡]〗_(𝑀𝑒𝑎𝑠 𝑦𝑟=𝐸𝑈𝐿)</a:t>
              </a:r>
              <a:endParaRPr lang="en-US" sz="1100" b="0" i="1">
                <a:solidFill>
                  <a:sysClr val="windowText" lastClr="000000"/>
                </a:solidFill>
                <a:effectLst/>
                <a:latin typeface="+mn-lt"/>
                <a:ea typeface="+mn-ea"/>
                <a:cs typeface="+mn-cs"/>
              </a:endParaRPr>
            </a:p>
            <a:p>
              <a:pPr algn="r"/>
              <a:r>
                <a:rPr lang="en-US" sz="1100" b="0" i="0">
                  <a:solidFill>
                    <a:sysClr val="windowText" lastClr="000000"/>
                  </a:solidFill>
                  <a:effectLst/>
                  <a:latin typeface="Cambria Math" panose="02040503050406030204" pitchFamily="18" charset="0"/>
                  <a:ea typeface="+mn-ea"/>
                  <a:cs typeface="+mn-cs"/>
                </a:rPr>
                <a:t>−[𝐶𝑢𝑚𝑢𝑙. 𝑁𝑃𝑉 𝑎𝑣𝑜𝑖𝑑𝑒𝑑 𝑒𝑛𝑒𝑟𝑔𝑦 𝑐𝑜𝑠𝑡]_(𝑀𝑒𝑎𝑠 𝑦𝑟=𝑅𝑈𝐿)</a:t>
              </a:r>
              <a:r>
                <a:rPr lang="en-US">
                  <a:solidFill>
                    <a:sysClr val="windowText" lastClr="000000"/>
                  </a:solidFill>
                  <a:effectLst/>
                </a:rPr>
                <a:t>)</a:t>
              </a:r>
            </a:p>
            <a:p>
              <a:pPr algn="r"/>
              <a:r>
                <a:rPr lang="en-US" sz="1100" b="0" i="0">
                  <a:solidFill>
                    <a:sysClr val="windowText" lastClr="000000"/>
                  </a:solidFill>
                  <a:effectLst/>
                  <a:latin typeface="Cambria Math" panose="02040503050406030204" pitchFamily="18" charset="0"/>
                  <a:ea typeface="+mn-ea"/>
                  <a:cs typeface="+mn-cs"/>
                </a:rPr>
                <a:t>+∆𝑘𝑊_(2𝑛𝑑 𝐵𝐿 𝐺𝑟𝑜𝑠𝑠 𝐶𝑢𝑠𝑡_𝑀𝑒𝑎𝑠 )∗〖([𝐶𝑢𝑚𝑢𝑙. 𝑁𝑃𝑉 𝑎𝑣𝑜𝑖𝑑𝑒𝑑 𝑐𝑎𝑝𝑎𝑐𝑖𝑡𝑦 𝑐𝑜𝑠𝑡]〗_(𝑀𝑒𝑎𝑠 𝑦𝑟=𝐸𝑈𝐿)</a:t>
              </a:r>
              <a:endParaRPr lang="en-US" sz="1100" b="0" i="1">
                <a:solidFill>
                  <a:sysClr val="windowText" lastClr="000000"/>
                </a:solidFill>
                <a:effectLst/>
                <a:latin typeface="+mn-lt"/>
                <a:ea typeface="+mn-ea"/>
                <a:cs typeface="+mn-cs"/>
              </a:endParaRPr>
            </a:p>
            <a:p>
              <a:pPr algn="r"/>
              <a:r>
                <a:rPr lang="en-US" sz="1100" b="0" i="0">
                  <a:solidFill>
                    <a:sysClr val="windowText" lastClr="000000"/>
                  </a:solidFill>
                  <a:effectLst/>
                  <a:latin typeface="Cambria Math" panose="02040503050406030204" pitchFamily="18" charset="0"/>
                  <a:ea typeface="+mn-ea"/>
                  <a:cs typeface="+mn-cs"/>
                </a:rPr>
                <a:t>−[𝐶𝑢𝑚𝑢𝑙. 𝑁𝑃𝑉 𝑎𝑣𝑜𝑖𝑑𝑒𝑑 𝑐𝑎𝑝𝑎𝑐𝑖𝑡𝑦 𝑐𝑜𝑠𝑡]_(𝑀𝑒𝑎𝑠 𝑦𝑟=𝑅𝑈𝐿)</a:t>
              </a:r>
              <a:r>
                <a:rPr lang="en-US" sz="1100" b="0" i="0">
                  <a:solidFill>
                    <a:sysClr val="windowText" lastClr="000000"/>
                  </a:solidFill>
                  <a:effectLst/>
                  <a:latin typeface="+mn-lt"/>
                  <a:ea typeface="+mn-ea"/>
                  <a:cs typeface="+mn-cs"/>
                </a:rPr>
                <a:t> </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mn-lt"/>
                  <a:ea typeface="+mn-ea"/>
                  <a:cs typeface="+mn-cs"/>
                </a:rPr>
                <a:t>"</a:t>
              </a:r>
              <a:r>
                <a:rPr lang="en-US" sz="1100">
                  <a:solidFill>
                    <a:sysClr val="windowText" lastClr="000000"/>
                  </a:solidFill>
                </a:rPr>
                <a:t>}</a:t>
              </a:r>
            </a:p>
          </xdr:txBody>
        </xdr:sp>
      </mc:Fallback>
    </mc:AlternateContent>
    <xdr:clientData/>
  </xdr:oneCellAnchor>
</xdr:wsDr>
</file>

<file path=xl/drawings/drawing20.xml><?xml version="1.0" encoding="utf-8"?>
<xdr:wsDr xmlns:xdr="http://schemas.openxmlformats.org/drawingml/2006/spreadsheetDrawing" xmlns:a="http://schemas.openxmlformats.org/drawingml/2006/main">
  <xdr:oneCellAnchor>
    <xdr:from>
      <xdr:col>3</xdr:col>
      <xdr:colOff>25401</xdr:colOff>
      <xdr:row>31</xdr:row>
      <xdr:rowOff>3174</xdr:rowOff>
    </xdr:from>
    <xdr:ext cx="4275136" cy="257175"/>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8708FC3F-8A6B-4323-8DAF-C0C335404234}"/>
                </a:ext>
              </a:extLst>
            </xdr:cNvPr>
            <xdr:cNvSpPr txBox="1"/>
          </xdr:nvSpPr>
          <xdr:spPr>
            <a:xfrm>
              <a:off x="568326" y="8623299"/>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oMath>
                </m:oMathPara>
              </a14:m>
              <a:endParaRPr lang="en-US" sz="1100"/>
            </a:p>
          </xdr:txBody>
        </xdr:sp>
      </mc:Choice>
      <mc:Fallback xmlns="">
        <xdr:sp macro="" textlink="">
          <xdr:nvSpPr>
            <xdr:cNvPr id="21" name="TextBox 20">
              <a:extLst>
                <a:ext uri="{FF2B5EF4-FFF2-40B4-BE49-F238E27FC236}">
                  <a16:creationId xmlns:a16="http://schemas.microsoft.com/office/drawing/2014/main" id="{8708FC3F-8A6B-4323-8DAF-C0C335404234}"/>
                </a:ext>
              </a:extLst>
            </xdr:cNvPr>
            <xdr:cNvSpPr txBox="1"/>
          </xdr:nvSpPr>
          <xdr:spPr>
            <a:xfrm>
              <a:off x="568326" y="8623299"/>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=(〖𝑘𝑊〗_𝑏𝑎𝑠𝑒−〖𝑘𝑊〗_𝐸𝐸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endParaRPr lang="en-US" sz="1100"/>
            </a:p>
          </xdr:txBody>
        </xdr:sp>
      </mc:Fallback>
    </mc:AlternateContent>
    <xdr:clientData/>
  </xdr:oneCellAnchor>
  <xdr:oneCellAnchor>
    <xdr:from>
      <xdr:col>3</xdr:col>
      <xdr:colOff>28575</xdr:colOff>
      <xdr:row>35</xdr:row>
      <xdr:rowOff>9525</xdr:rowOff>
    </xdr:from>
    <xdr:ext cx="3695700" cy="183127"/>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2712A5A3-0684-41DE-A17F-4D23E22D5DA2}"/>
                </a:ext>
              </a:extLst>
            </xdr:cNvPr>
            <xdr:cNvSpPr txBox="1"/>
          </xdr:nvSpPr>
          <xdr:spPr>
            <a:xfrm>
              <a:off x="571500" y="9391650"/>
              <a:ext cx="36957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𝑙𝑖𝑓𝑒𝑡𝑖𝑚𝑒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22" name="TextBox 21">
              <a:extLst>
                <a:ext uri="{FF2B5EF4-FFF2-40B4-BE49-F238E27FC236}">
                  <a16:creationId xmlns:a16="http://schemas.microsoft.com/office/drawing/2014/main" id="{2712A5A3-0684-41DE-A17F-4D23E22D5DA2}"/>
                </a:ext>
              </a:extLst>
            </xdr:cNvPr>
            <xdr:cNvSpPr txBox="1"/>
          </xdr:nvSpPr>
          <xdr:spPr>
            <a:xfrm>
              <a:off x="571500" y="9391650"/>
              <a:ext cx="36957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𝑘𝑊ℎ〗_𝑙𝑖𝑓𝑒𝑡𝑖𝑚𝑒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3</xdr:col>
      <xdr:colOff>38100</xdr:colOff>
      <xdr:row>27</xdr:row>
      <xdr:rowOff>0</xdr:rowOff>
    </xdr:from>
    <xdr:ext cx="4362450" cy="238125"/>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848338BC-18B6-4514-B1EB-C7196F6ED834}"/>
                </a:ext>
              </a:extLst>
            </xdr:cNvPr>
            <xdr:cNvSpPr txBox="1"/>
          </xdr:nvSpPr>
          <xdr:spPr>
            <a:xfrm>
              <a:off x="581025" y="785812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oMath>
                </m:oMathPara>
              </a14:m>
              <a:endParaRPr lang="en-US" sz="1100"/>
            </a:p>
          </xdr:txBody>
        </xdr:sp>
      </mc:Choice>
      <mc:Fallback xmlns="">
        <xdr:sp macro="" textlink="">
          <xdr:nvSpPr>
            <xdr:cNvPr id="23" name="TextBox 22">
              <a:extLst>
                <a:ext uri="{FF2B5EF4-FFF2-40B4-BE49-F238E27FC236}">
                  <a16:creationId xmlns:a16="http://schemas.microsoft.com/office/drawing/2014/main" id="{848338BC-18B6-4514-B1EB-C7196F6ED834}"/>
                </a:ext>
              </a:extLst>
            </xdr:cNvPr>
            <xdr:cNvSpPr txBox="1"/>
          </xdr:nvSpPr>
          <xdr:spPr>
            <a:xfrm>
              <a:off x="581025" y="785812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latin typeface="Cambria Math" panose="02040503050406030204" pitchFamily="18" charset="0"/>
                  <a:ea typeface="Cambria Math" panose="02040503050406030204" pitchFamily="18" charset="0"/>
                </a:rPr>
                <a:t>=(〖𝑘𝑊〗_𝑏𝑎𝑠𝑒−〖𝑘𝑊〗_𝐸𝐸 )∗𝐼𝑆𝑅∗𝐶𝐹∗</a:t>
              </a:r>
              <a:r>
                <a:rPr lang="en-US" sz="1100" b="0" i="0">
                  <a:solidFill>
                    <a:schemeClr val="tx1"/>
                  </a:solidFill>
                  <a:effectLst/>
                  <a:latin typeface="Cambria Math" panose="02040503050406030204" pitchFamily="18" charset="0"/>
                  <a:ea typeface="+mn-ea"/>
                  <a:cs typeface="+mn-cs"/>
                </a:rPr>
                <a:t>〖𝐼𝐸〗_(𝐶,𝐷)</a:t>
              </a:r>
              <a:endParaRPr lang="en-US" sz="1100"/>
            </a:p>
          </xdr:txBody>
        </xdr:sp>
      </mc:Fallback>
    </mc:AlternateContent>
    <xdr:clientData/>
  </xdr:oneCellAnchor>
</xdr:wsDr>
</file>

<file path=xl/drawings/drawing21.xml><?xml version="1.0" encoding="utf-8"?>
<xdr:wsDr xmlns:xdr="http://schemas.openxmlformats.org/drawingml/2006/spreadsheetDrawing" xmlns:a="http://schemas.openxmlformats.org/drawingml/2006/main">
  <xdr:oneCellAnchor>
    <xdr:from>
      <xdr:col>1</xdr:col>
      <xdr:colOff>187326</xdr:colOff>
      <xdr:row>31</xdr:row>
      <xdr:rowOff>3174</xdr:rowOff>
    </xdr:from>
    <xdr:ext cx="3421062" cy="2571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EC0742B1-7A15-4335-9668-B687ACF894B8}"/>
                </a:ext>
              </a:extLst>
            </xdr:cNvPr>
            <xdr:cNvSpPr txBox="1"/>
          </xdr:nvSpPr>
          <xdr:spPr>
            <a:xfrm>
              <a:off x="377826" y="6718299"/>
              <a:ext cx="3421062"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EC0742B1-7A15-4335-9668-B687ACF894B8}"/>
                </a:ext>
              </a:extLst>
            </xdr:cNvPr>
            <xdr:cNvSpPr txBox="1"/>
          </xdr:nvSpPr>
          <xdr:spPr>
            <a:xfrm>
              <a:off x="377826" y="6718299"/>
              <a:ext cx="3421062"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=(〖𝑘𝑊〗_𝑏𝑎𝑠𝑒−〖𝑘𝑊〗_𝐸𝐸 )∗𝐼𝑆𝑅∗〖𝐻𝑂𝑈〗_𝑦𝑒𝑎𝑟∗𝑃𝐹</a:t>
              </a:r>
              <a:endParaRPr lang="en-US" sz="1100"/>
            </a:p>
          </xdr:txBody>
        </xdr:sp>
      </mc:Fallback>
    </mc:AlternateContent>
    <xdr:clientData/>
  </xdr:oneCellAnchor>
  <xdr:oneCellAnchor>
    <xdr:from>
      <xdr:col>2</xdr:col>
      <xdr:colOff>25400</xdr:colOff>
      <xdr:row>26</xdr:row>
      <xdr:rowOff>171449</xdr:rowOff>
    </xdr:from>
    <xdr:ext cx="3579812"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98CD323E-C7C5-4575-8712-E049935DF409}"/>
                </a:ext>
              </a:extLst>
            </xdr:cNvPr>
            <xdr:cNvSpPr txBox="1"/>
          </xdr:nvSpPr>
          <xdr:spPr>
            <a:xfrm>
              <a:off x="406400" y="5981699"/>
              <a:ext cx="3579812"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98CD323E-C7C5-4575-8712-E049935DF409}"/>
                </a:ext>
              </a:extLst>
            </xdr:cNvPr>
            <xdr:cNvSpPr txBox="1"/>
          </xdr:nvSpPr>
          <xdr:spPr>
            <a:xfrm>
              <a:off x="406400" y="5981699"/>
              <a:ext cx="3579812"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latin typeface="Cambria Math" panose="02040503050406030204" pitchFamily="18" charset="0"/>
                  <a:ea typeface="Cambria Math" panose="02040503050406030204" pitchFamily="18" charset="0"/>
                </a:rPr>
                <a:t>=(〖𝑘𝑊〗_𝑏𝑎𝑠𝑒−〖𝑘𝑊〗_𝐸𝐸 )∗𝐼𝑆𝑅∗𝐶𝐹∗𝑃𝐹</a:t>
              </a:r>
              <a:endParaRPr lang="en-US" sz="1100"/>
            </a:p>
          </xdr:txBody>
        </xdr:sp>
      </mc:Fallback>
    </mc:AlternateContent>
    <xdr:clientData/>
  </xdr:oneCellAnchor>
  <xdr:oneCellAnchor>
    <xdr:from>
      <xdr:col>1</xdr:col>
      <xdr:colOff>180975</xdr:colOff>
      <xdr:row>35</xdr:row>
      <xdr:rowOff>9526</xdr:rowOff>
    </xdr:from>
    <xdr:ext cx="3914775"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689BFF6D-C3A6-47E3-836A-2C46C5384DC5}"/>
                </a:ext>
              </a:extLst>
            </xdr:cNvPr>
            <xdr:cNvSpPr txBox="1"/>
          </xdr:nvSpPr>
          <xdr:spPr>
            <a:xfrm>
              <a:off x="371475" y="7448551"/>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7" name="TextBox 6">
              <a:extLst>
                <a:ext uri="{FF2B5EF4-FFF2-40B4-BE49-F238E27FC236}">
                  <a16:creationId xmlns:a16="http://schemas.microsoft.com/office/drawing/2014/main" id="{689BFF6D-C3A6-47E3-836A-2C46C5384DC5}"/>
                </a:ext>
              </a:extLst>
            </xdr:cNvPr>
            <xdr:cNvSpPr txBox="1"/>
          </xdr:nvSpPr>
          <xdr:spPr>
            <a:xfrm>
              <a:off x="371475" y="7448551"/>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22.xml><?xml version="1.0" encoding="utf-8"?>
<xdr:wsDr xmlns:xdr="http://schemas.openxmlformats.org/drawingml/2006/spreadsheetDrawing" xmlns:a="http://schemas.openxmlformats.org/drawingml/2006/main">
  <xdr:oneCellAnchor>
    <xdr:from>
      <xdr:col>2</xdr:col>
      <xdr:colOff>15876</xdr:colOff>
      <xdr:row>40</xdr:row>
      <xdr:rowOff>3174</xdr:rowOff>
    </xdr:from>
    <xdr:ext cx="4489450" cy="2571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5BBAAA54-6AEA-47EA-9858-2FA99030B820}"/>
                </a:ext>
              </a:extLst>
            </xdr:cNvPr>
            <xdr:cNvSpPr txBox="1"/>
          </xdr:nvSpPr>
          <xdr:spPr>
            <a:xfrm>
              <a:off x="377826" y="10671174"/>
              <a:ext cx="44894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𝑏𝑙𝑒𝑛𝑑</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8" name="TextBox 7">
              <a:extLst>
                <a:ext uri="{FF2B5EF4-FFF2-40B4-BE49-F238E27FC236}">
                  <a16:creationId xmlns:a16="http://schemas.microsoft.com/office/drawing/2014/main" id="{5BBAAA54-6AEA-47EA-9858-2FA99030B820}"/>
                </a:ext>
              </a:extLst>
            </xdr:cNvPr>
            <xdr:cNvSpPr txBox="1"/>
          </xdr:nvSpPr>
          <xdr:spPr>
            <a:xfrm>
              <a:off x="377826" y="10671174"/>
              <a:ext cx="44894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=(〖𝑘𝑊〗_𝑏𝑎𝑠𝑒−〖𝑘𝑊〗_(𝐸𝐸,𝑏𝑙𝑒𝑛𝑑) )∗𝐼𝑆𝑅∗〖𝐻𝑂𝑈〗_𝑦𝑒𝑎𝑟∗</a:t>
              </a:r>
              <a:r>
                <a:rPr lang="en-US" sz="1100" b="0" i="0">
                  <a:solidFill>
                    <a:schemeClr val="tx1"/>
                  </a:solidFill>
                  <a:effectLst/>
                  <a:latin typeface="Cambria Math" panose="02040503050406030204" pitchFamily="18" charset="0"/>
                  <a:ea typeface="+mn-ea"/>
                  <a:cs typeface="+mn-cs"/>
                </a:rPr>
                <a:t>〖𝐼𝐸〗_(𝐶,𝐸)</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44450</xdr:colOff>
      <xdr:row>35</xdr:row>
      <xdr:rowOff>171449</xdr:rowOff>
    </xdr:from>
    <xdr:ext cx="4591050" cy="238125"/>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C21D5269-EF7D-4520-8335-906C24BBF714}"/>
                </a:ext>
              </a:extLst>
            </xdr:cNvPr>
            <xdr:cNvSpPr txBox="1"/>
          </xdr:nvSpPr>
          <xdr:spPr>
            <a:xfrm>
              <a:off x="406400" y="9934574"/>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𝑏𝑙𝑒𝑛𝑑</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0" name="TextBox 9">
              <a:extLst>
                <a:ext uri="{FF2B5EF4-FFF2-40B4-BE49-F238E27FC236}">
                  <a16:creationId xmlns:a16="http://schemas.microsoft.com/office/drawing/2014/main" id="{C21D5269-EF7D-4520-8335-906C24BBF714}"/>
                </a:ext>
              </a:extLst>
            </xdr:cNvPr>
            <xdr:cNvSpPr txBox="1"/>
          </xdr:nvSpPr>
          <xdr:spPr>
            <a:xfrm>
              <a:off x="406400" y="9934574"/>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latin typeface="Cambria Math" panose="02040503050406030204" pitchFamily="18" charset="0"/>
                  <a:ea typeface="Cambria Math" panose="02040503050406030204" pitchFamily="18" charset="0"/>
                </a:rPr>
                <a:t>=(〖𝑘𝑊〗_𝑏𝑎𝑠𝑒−〖𝑘𝑊〗_(𝐸𝐸,𝑏𝑙𝑒𝑛𝑑) )∗𝐼𝑆𝑅∗𝐶𝐹∗</a:t>
              </a:r>
              <a:r>
                <a:rPr lang="en-US" sz="1100" b="0" i="0">
                  <a:solidFill>
                    <a:schemeClr val="tx1"/>
                  </a:solidFill>
                  <a:effectLst/>
                  <a:latin typeface="Cambria Math" panose="02040503050406030204" pitchFamily="18" charset="0"/>
                  <a:ea typeface="+mn-ea"/>
                  <a:cs typeface="+mn-cs"/>
                </a:rPr>
                <a:t>〖𝐼𝐸〗_(𝐶,𝐷)</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9525</xdr:colOff>
      <xdr:row>44</xdr:row>
      <xdr:rowOff>9526</xdr:rowOff>
    </xdr:from>
    <xdr:ext cx="3914775" cy="183127"/>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54B25FDB-2876-4805-9216-50862073940B}"/>
                </a:ext>
              </a:extLst>
            </xdr:cNvPr>
            <xdr:cNvSpPr txBox="1"/>
          </xdr:nvSpPr>
          <xdr:spPr>
            <a:xfrm>
              <a:off x="371475" y="1142047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𝑙𝑖𝑓𝑒𝑡𝑖𝑚𝑒</m:t>
                        </m:r>
                      </m:sub>
                    </m:sSub>
                    <m:r>
                      <a:rPr lang="en-US" sz="1100" b="0" i="1">
                        <a:latin typeface="Cambria Math" panose="02040503050406030204" pitchFamily="18" charset="0"/>
                        <a:ea typeface="Cambria Math" panose="02040503050406030204" pitchFamily="18" charset="0"/>
                      </a:rPr>
                      <m:t>= </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11" name="TextBox 10">
              <a:extLst>
                <a:ext uri="{FF2B5EF4-FFF2-40B4-BE49-F238E27FC236}">
                  <a16:creationId xmlns:a16="http://schemas.microsoft.com/office/drawing/2014/main" id="{54B25FDB-2876-4805-9216-50862073940B}"/>
                </a:ext>
              </a:extLst>
            </xdr:cNvPr>
            <xdr:cNvSpPr txBox="1"/>
          </xdr:nvSpPr>
          <xdr:spPr>
            <a:xfrm>
              <a:off x="371475" y="1142047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𝑘𝑊ℎ〗_𝑙𝑖𝑓𝑒𝑡𝑖𝑚𝑒</a:t>
              </a:r>
              <a:r>
                <a:rPr lang="en-US" sz="1100" b="0" i="0">
                  <a:latin typeface="Cambria Math" panose="02040503050406030204" pitchFamily="18" charset="0"/>
                  <a:ea typeface="Cambria Math" panose="02040503050406030204" pitchFamily="18" charset="0"/>
                </a:rPr>
                <a:t>= </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25400</xdr:colOff>
      <xdr:row>31</xdr:row>
      <xdr:rowOff>120650</xdr:rowOff>
    </xdr:from>
    <xdr:ext cx="5048250" cy="257175"/>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A8FA5749-3858-43BF-8628-2682143A8BF0}"/>
                </a:ext>
              </a:extLst>
            </xdr:cNvPr>
            <xdr:cNvSpPr txBox="1"/>
          </xdr:nvSpPr>
          <xdr:spPr>
            <a:xfrm>
              <a:off x="387350" y="9159875"/>
              <a:ext cx="50482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𝑏𝑙𝑒𝑛𝑑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𝑑𝑖𝑚𝑚𝑎𝑏𝑙𝑒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𝑆𝑉𝐺</m:t>
                                </m:r>
                              </m:e>
                              <m:sub>
                                <m:r>
                                  <a:rPr lang="en-US" sz="1100" b="0" i="1">
                                    <a:solidFill>
                                      <a:schemeClr val="tx1"/>
                                    </a:solidFill>
                                    <a:effectLst/>
                                    <a:latin typeface="Cambria Math" panose="02040503050406030204" pitchFamily="18" charset="0"/>
                                    <a:ea typeface="+mn-ea"/>
                                    <a:cs typeface="+mn-cs"/>
                                  </a:rPr>
                                  <m:t>𝑑𝑖𝑚</m:t>
                                </m:r>
                              </m:sub>
                            </m:sSub>
                          </m:e>
                        </m:d>
                      </m:e>
                    </m:d>
                    <m:r>
                      <a:rPr lang="en-US" sz="1100" b="0" i="1">
                        <a:solidFill>
                          <a:schemeClr val="tx1"/>
                        </a:solidFill>
                        <a:effectLst/>
                        <a:latin typeface="Cambria Math" panose="02040503050406030204" pitchFamily="18" charset="0"/>
                        <a:ea typeface="Cambria Math" panose="02040503050406030204" pitchFamily="18" charset="0"/>
                        <a:cs typeface="+mn-cs"/>
                      </a:rPr>
                      <m:t>+</m:t>
                    </m:r>
                    <m:d>
                      <m:dPr>
                        <m:ctrlPr>
                          <a:rPr lang="en-US" sz="1100" b="0" i="1">
                            <a:solidFill>
                              <a:schemeClr val="tx1"/>
                            </a:solidFill>
                            <a:effectLst/>
                            <a:latin typeface="Cambria Math" panose="02040503050406030204" pitchFamily="18" charset="0"/>
                            <a:ea typeface="Cambria Math" panose="02040503050406030204" pitchFamily="18" charset="0"/>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𝑛𝑜𝑛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𝑑𝑖𝑚𝑚𝑎𝑏𝑙𝑒</m:t>
                            </m:r>
                          </m:sub>
                        </m:sSub>
                      </m:e>
                    </m:d>
                  </m:oMath>
                </m:oMathPara>
              </a14:m>
              <a:endParaRPr lang="en-US" sz="1100"/>
            </a:p>
          </xdr:txBody>
        </xdr:sp>
      </mc:Choice>
      <mc:Fallback xmlns="">
        <xdr:sp macro="" textlink="">
          <xdr:nvSpPr>
            <xdr:cNvPr id="12" name="TextBox 11">
              <a:extLst>
                <a:ext uri="{FF2B5EF4-FFF2-40B4-BE49-F238E27FC236}">
                  <a16:creationId xmlns:a16="http://schemas.microsoft.com/office/drawing/2014/main" id="{A8FA5749-3858-43BF-8628-2682143A8BF0}"/>
                </a:ext>
              </a:extLst>
            </xdr:cNvPr>
            <xdr:cNvSpPr txBox="1"/>
          </xdr:nvSpPr>
          <xdr:spPr>
            <a:xfrm>
              <a:off x="387350" y="9159875"/>
              <a:ext cx="50482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〖𝑘𝑊〗_(𝐸𝐸,𝑏𝑙𝑒𝑛𝑑)=(〖𝑘𝑊〗_𝐸𝐸∗%_𝑑𝑖𝑚𝑚𝑎𝑏𝑙𝑒∗(1−〖𝑆𝑉𝐺〗_𝑑𝑖𝑚 ))</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〖𝑘𝑊〗_𝐸𝐸∗%_(𝑛𝑜𝑛−𝑑𝑖𝑚𝑚𝑎𝑏𝑙𝑒) )</a:t>
              </a:r>
              <a:endParaRPr lang="en-US" sz="1100"/>
            </a:p>
          </xdr:txBody>
        </xdr:sp>
      </mc:Fallback>
    </mc:AlternateContent>
    <xdr:clientData/>
  </xdr:oneCellAnchor>
</xdr:wsDr>
</file>

<file path=xl/drawings/drawing23.xml><?xml version="1.0" encoding="utf-8"?>
<xdr:wsDr xmlns:xdr="http://schemas.openxmlformats.org/drawingml/2006/spreadsheetDrawing" xmlns:a="http://schemas.openxmlformats.org/drawingml/2006/main">
  <xdr:oneCellAnchor>
    <xdr:from>
      <xdr:col>1</xdr:col>
      <xdr:colOff>177800</xdr:colOff>
      <xdr:row>29</xdr:row>
      <xdr:rowOff>171449</xdr:rowOff>
    </xdr:from>
    <xdr:ext cx="4591050" cy="238125"/>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DF999EE5-B571-4DC0-9BBF-F1D39C16CE37}"/>
                </a:ext>
              </a:extLst>
            </xdr:cNvPr>
            <xdr:cNvSpPr txBox="1"/>
          </xdr:nvSpPr>
          <xdr:spPr>
            <a:xfrm>
              <a:off x="368300" y="813434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1" name="TextBox 10">
              <a:extLst>
                <a:ext uri="{FF2B5EF4-FFF2-40B4-BE49-F238E27FC236}">
                  <a16:creationId xmlns:a16="http://schemas.microsoft.com/office/drawing/2014/main" id="{DF999EE5-B571-4DC0-9BBF-F1D39C16CE37}"/>
                </a:ext>
              </a:extLst>
            </xdr:cNvPr>
            <xdr:cNvSpPr txBox="1"/>
          </xdr:nvSpPr>
          <xdr:spPr>
            <a:xfrm>
              <a:off x="368300" y="813434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 )∗𝐼𝑆𝑅∗𝐶𝐹∗</a:t>
              </a:r>
              <a:r>
                <a:rPr lang="en-US" sz="1100" b="0" i="0">
                  <a:solidFill>
                    <a:schemeClr val="tx1"/>
                  </a:solidFill>
                  <a:effectLst/>
                  <a:latin typeface="Cambria Math" panose="02040503050406030204" pitchFamily="18" charset="0"/>
                  <a:ea typeface="+mn-ea"/>
                  <a:cs typeface="+mn-cs"/>
                </a:rPr>
                <a:t>(1+〖𝑊𝐻〗_(𝐶,𝐷)+〖𝑊𝐻〗_(𝑅,𝐷)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177800</xdr:colOff>
      <xdr:row>33</xdr:row>
      <xdr:rowOff>171449</xdr:rowOff>
    </xdr:from>
    <xdr:ext cx="4591050" cy="238125"/>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D8C4F522-45C2-4DF5-A8E1-0F2E67A2F58C}"/>
                </a:ext>
              </a:extLst>
            </xdr:cNvPr>
            <xdr:cNvSpPr txBox="1"/>
          </xdr:nvSpPr>
          <xdr:spPr>
            <a:xfrm>
              <a:off x="368300" y="885824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2" name="TextBox 11">
              <a:extLst>
                <a:ext uri="{FF2B5EF4-FFF2-40B4-BE49-F238E27FC236}">
                  <a16:creationId xmlns:a16="http://schemas.microsoft.com/office/drawing/2014/main" id="{D8C4F522-45C2-4DF5-A8E1-0F2E67A2F58C}"/>
                </a:ext>
              </a:extLst>
            </xdr:cNvPr>
            <xdr:cNvSpPr txBox="1"/>
          </xdr:nvSpPr>
          <xdr:spPr>
            <a:xfrm>
              <a:off x="368300" y="885824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 )∗𝐼𝑆𝑅∗𝐶𝐹∗</a:t>
              </a:r>
              <a:r>
                <a:rPr lang="en-US" sz="1100" b="0" i="0">
                  <a:solidFill>
                    <a:schemeClr val="tx1"/>
                  </a:solidFill>
                  <a:effectLst/>
                  <a:latin typeface="Cambria Math" panose="02040503050406030204" pitchFamily="18" charset="0"/>
                  <a:ea typeface="+mn-ea"/>
                  <a:cs typeface="+mn-cs"/>
                </a:rPr>
                <a:t>(1+〖𝑊𝐻〗_(𝐶,𝐷)+〖𝑊𝐻〗_(𝑅,𝐷)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149225</xdr:colOff>
      <xdr:row>38</xdr:row>
      <xdr:rowOff>3174</xdr:rowOff>
    </xdr:from>
    <xdr:ext cx="5099049" cy="257175"/>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9B84E5C1-827A-48C8-877D-180F2C7105EE}"/>
                </a:ext>
              </a:extLst>
            </xdr:cNvPr>
            <xdr:cNvSpPr txBox="1"/>
          </xdr:nvSpPr>
          <xdr:spPr>
            <a:xfrm>
              <a:off x="339725" y="9594849"/>
              <a:ext cx="5099049"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3" name="TextBox 12">
              <a:extLst>
                <a:ext uri="{FF2B5EF4-FFF2-40B4-BE49-F238E27FC236}">
                  <a16:creationId xmlns:a16="http://schemas.microsoft.com/office/drawing/2014/main" id="{9B84E5C1-827A-48C8-877D-180F2C7105EE}"/>
                </a:ext>
              </a:extLst>
            </xdr:cNvPr>
            <xdr:cNvSpPr txBox="1"/>
          </xdr:nvSpPr>
          <xdr:spPr>
            <a:xfrm>
              <a:off x="339725" y="9594849"/>
              <a:ext cx="5099049"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 )∗𝐼𝑆𝑅∗〖𝐻𝑂𝑈〗_𝑦𝑒𝑎𝑟∗</a:t>
              </a:r>
              <a:r>
                <a:rPr lang="en-US" sz="1100" b="0" i="0">
                  <a:solidFill>
                    <a:schemeClr val="tx1"/>
                  </a:solidFill>
                  <a:effectLst/>
                  <a:latin typeface="Cambria Math" panose="02040503050406030204" pitchFamily="18" charset="0"/>
                  <a:ea typeface="+mn-ea"/>
                  <a:cs typeface="+mn-cs"/>
                </a:rPr>
                <a:t>(1+〖𝑊𝐻〗_(𝐶,𝐸)+〖𝑊𝐻〗_(𝑅,𝐸)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146049</xdr:colOff>
      <xdr:row>41</xdr:row>
      <xdr:rowOff>174624</xdr:rowOff>
    </xdr:from>
    <xdr:ext cx="5057775" cy="257175"/>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53B9C05A-27B0-4139-A5A9-F15D40111B7A}"/>
                </a:ext>
              </a:extLst>
            </xdr:cNvPr>
            <xdr:cNvSpPr txBox="1"/>
          </xdr:nvSpPr>
          <xdr:spPr>
            <a:xfrm>
              <a:off x="336549" y="10309224"/>
              <a:ext cx="505777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4" name="TextBox 13">
              <a:extLst>
                <a:ext uri="{FF2B5EF4-FFF2-40B4-BE49-F238E27FC236}">
                  <a16:creationId xmlns:a16="http://schemas.microsoft.com/office/drawing/2014/main" id="{53B9C05A-27B0-4139-A5A9-F15D40111B7A}"/>
                </a:ext>
              </a:extLst>
            </xdr:cNvPr>
            <xdr:cNvSpPr txBox="1"/>
          </xdr:nvSpPr>
          <xdr:spPr>
            <a:xfrm>
              <a:off x="336549" y="10309224"/>
              <a:ext cx="505777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 )∗𝐼𝑆𝑅∗〖𝐻𝑂𝑈〗_𝑦𝑒𝑎𝑟</a:t>
              </a:r>
              <a:r>
                <a:rPr lang="en-US" sz="1100" b="0" i="0">
                  <a:solidFill>
                    <a:schemeClr val="tx1"/>
                  </a:solidFill>
                  <a:effectLst/>
                  <a:latin typeface="Cambria Math" panose="02040503050406030204" pitchFamily="18" charset="0"/>
                  <a:ea typeface="+mn-ea"/>
                  <a:cs typeface="+mn-cs"/>
                </a:rPr>
                <a:t>∗(1+〖𝑊𝐻〗_(𝐶,𝐸)+〖𝑊𝐻〗_(𝑅,𝐸)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139700</xdr:colOff>
      <xdr:row>46</xdr:row>
      <xdr:rowOff>6351</xdr:rowOff>
    </xdr:from>
    <xdr:ext cx="3914775" cy="183127"/>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803AFAF4-A2A2-474F-AEA3-089C8AC0F539}"/>
                </a:ext>
              </a:extLst>
            </xdr:cNvPr>
            <xdr:cNvSpPr txBox="1"/>
          </xdr:nvSpPr>
          <xdr:spPr>
            <a:xfrm>
              <a:off x="330200" y="1104582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𝑅𝑈𝐿</m:t>
                    </m:r>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mn-ea"/>
                            <a:cs typeface="+mn-cs"/>
                          </a:rPr>
                          <m:t>𝑅𝑈𝐿</m:t>
                        </m:r>
                      </m:e>
                    </m:d>
                  </m:oMath>
                </m:oMathPara>
              </a14:m>
              <a:endParaRPr lang="en-US" sz="1100"/>
            </a:p>
          </xdr:txBody>
        </xdr:sp>
      </mc:Choice>
      <mc:Fallback xmlns="">
        <xdr:sp macro="" textlink="">
          <xdr:nvSpPr>
            <xdr:cNvPr id="16" name="TextBox 15">
              <a:extLst>
                <a:ext uri="{FF2B5EF4-FFF2-40B4-BE49-F238E27FC236}">
                  <a16:creationId xmlns:a16="http://schemas.microsoft.com/office/drawing/2014/main" id="{803AFAF4-A2A2-474F-AEA3-089C8AC0F539}"/>
                </a:ext>
              </a:extLst>
            </xdr:cNvPr>
            <xdr:cNvSpPr txBox="1"/>
          </xdr:nvSpPr>
          <xdr:spPr>
            <a:xfrm>
              <a:off x="330200" y="1104582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solidFill>
                    <a:schemeClr val="tx1"/>
                  </a:solidFill>
                  <a:effectLst/>
                  <a:latin typeface="Cambria Math" panose="02040503050406030204" pitchFamily="18" charset="0"/>
                  <a:ea typeface="+mn-ea"/>
                  <a:cs typeface="+mn-cs"/>
                </a:rPr>
                <a:t>𝑙𝑖𝑓𝑒,𝑑𝑢𝑎𝑙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𝑘𝑊ℎ〗_1𝑠𝑡∗𝑅𝑈𝐿+〖</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𝑅𝑈𝐿)</a:t>
              </a:r>
              <a:endParaRPr lang="en-US" sz="1100"/>
            </a:p>
          </xdr:txBody>
        </xdr:sp>
      </mc:Fallback>
    </mc:AlternateContent>
    <xdr:clientData/>
  </xdr:oneCellAnchor>
  <xdr:oneCellAnchor>
    <xdr:from>
      <xdr:col>1</xdr:col>
      <xdr:colOff>142875</xdr:colOff>
      <xdr:row>50</xdr:row>
      <xdr:rowOff>9526</xdr:rowOff>
    </xdr:from>
    <xdr:ext cx="3914775" cy="183320"/>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8BF8122F-4685-4413-B5A0-6C3F0F4880CF}"/>
                </a:ext>
              </a:extLst>
            </xdr:cNvPr>
            <xdr:cNvSpPr txBox="1"/>
          </xdr:nvSpPr>
          <xdr:spPr>
            <a:xfrm>
              <a:off x="333375" y="11811001"/>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𝑠𝑖𝑛𝑔𝑙𝑒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17" name="TextBox 16">
              <a:extLst>
                <a:ext uri="{FF2B5EF4-FFF2-40B4-BE49-F238E27FC236}">
                  <a16:creationId xmlns:a16="http://schemas.microsoft.com/office/drawing/2014/main" id="{8BF8122F-4685-4413-B5A0-6C3F0F4880CF}"/>
                </a:ext>
              </a:extLst>
            </xdr:cNvPr>
            <xdr:cNvSpPr txBox="1"/>
          </xdr:nvSpPr>
          <xdr:spPr>
            <a:xfrm>
              <a:off x="333375" y="11811001"/>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𝑘𝑊ℎ〗_(𝑙𝑖𝑓𝑒,𝑠𝑖𝑛𝑔𝑙𝑒)</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endParaRPr lang="en-US" sz="1100"/>
            </a:p>
          </xdr:txBody>
        </xdr:sp>
      </mc:Fallback>
    </mc:AlternateContent>
    <xdr:clientData/>
  </xdr:oneCellAnchor>
  <xdr:oneCellAnchor>
    <xdr:from>
      <xdr:col>1</xdr:col>
      <xdr:colOff>139700</xdr:colOff>
      <xdr:row>54</xdr:row>
      <xdr:rowOff>6351</xdr:rowOff>
    </xdr:from>
    <xdr:ext cx="3914775" cy="182614"/>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22C1D32D-9C32-4342-AF01-C9764ACD2148}"/>
                </a:ext>
              </a:extLst>
            </xdr:cNvPr>
            <xdr:cNvSpPr txBox="1"/>
          </xdr:nvSpPr>
          <xdr:spPr>
            <a:xfrm>
              <a:off x="330200" y="12607926"/>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b="0" i="1">
                        <a:solidFill>
                          <a:schemeClr val="tx1"/>
                        </a:solidFill>
                        <a:effectLst/>
                        <a:latin typeface="Cambria Math" panose="02040503050406030204" pitchFamily="18" charset="0"/>
                        <a:ea typeface="+mn-ea"/>
                        <a:cs typeface="+mn-cs"/>
                      </a:rPr>
                      <m:t>𝑅𝑈𝐿</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𝑝𝑟𝑒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𝑒𝑥𝑖𝑠𝑡𝑖𝑛𝑔</m:t>
                        </m:r>
                      </m:sub>
                    </m:sSub>
                  </m:oMath>
                </m:oMathPara>
              </a14:m>
              <a:endParaRPr lang="en-US" sz="1100"/>
            </a:p>
          </xdr:txBody>
        </xdr:sp>
      </mc:Choice>
      <mc:Fallback xmlns="">
        <xdr:sp macro="" textlink="">
          <xdr:nvSpPr>
            <xdr:cNvPr id="18" name="TextBox 17">
              <a:extLst>
                <a:ext uri="{FF2B5EF4-FFF2-40B4-BE49-F238E27FC236}">
                  <a16:creationId xmlns:a16="http://schemas.microsoft.com/office/drawing/2014/main" id="{22C1D32D-9C32-4342-AF01-C9764ACD2148}"/>
                </a:ext>
              </a:extLst>
            </xdr:cNvPr>
            <xdr:cNvSpPr txBox="1"/>
          </xdr:nvSpPr>
          <xdr:spPr>
            <a:xfrm>
              <a:off x="330200" y="12607926"/>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𝑅𝑈𝐿=〖1∕3∗𝐸𝑈𝐿〗_(𝑝𝑟𝑒−𝑒𝑥𝑖𝑠𝑡𝑖𝑛𝑔)</a:t>
              </a:r>
              <a:endParaRPr lang="en-US" sz="1100"/>
            </a:p>
          </xdr:txBody>
        </xdr:sp>
      </mc:Fallback>
    </mc:AlternateContent>
    <xdr:clientData/>
  </xdr:oneCellAnchor>
  <xdr:oneCellAnchor>
    <xdr:from>
      <xdr:col>1</xdr:col>
      <xdr:colOff>171450</xdr:colOff>
      <xdr:row>58</xdr:row>
      <xdr:rowOff>26987</xdr:rowOff>
    </xdr:from>
    <xdr:ext cx="1604157" cy="191078"/>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9960D9B5-7DF0-4651-A003-C27D6814BC14}"/>
                </a:ext>
              </a:extLst>
            </xdr:cNvPr>
            <xdr:cNvSpPr txBox="1"/>
          </xdr:nvSpPr>
          <xdr:spPr>
            <a:xfrm>
              <a:off x="361950" y="13428662"/>
              <a:ext cx="1604157"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−1</m:t>
                        </m:r>
                      </m:e>
                    </m:d>
                    <m:r>
                      <a:rPr lang="en-US" sz="1100" b="0" i="1">
                        <a:latin typeface="Cambria Math" panose="02040503050406030204" pitchFamily="18" charset="0"/>
                        <a:ea typeface="Cambria Math" panose="02040503050406030204" pitchFamily="18" charset="0"/>
                      </a:rPr>
                      <m:t>∗0.5</m:t>
                    </m:r>
                  </m:oMath>
                </m:oMathPara>
              </a14:m>
              <a:endParaRPr lang="en-US" sz="1100"/>
            </a:p>
          </xdr:txBody>
        </xdr:sp>
      </mc:Choice>
      <mc:Fallback xmlns="">
        <xdr:sp macro="" textlink="">
          <xdr:nvSpPr>
            <xdr:cNvPr id="19" name="TextBox 18">
              <a:extLst>
                <a:ext uri="{FF2B5EF4-FFF2-40B4-BE49-F238E27FC236}">
                  <a16:creationId xmlns:a16="http://schemas.microsoft.com/office/drawing/2014/main" id="{9960D9B5-7DF0-4651-A003-C27D6814BC14}"/>
                </a:ext>
              </a:extLst>
            </xdr:cNvPr>
            <xdr:cNvSpPr txBox="1"/>
          </xdr:nvSpPr>
          <xdr:spPr>
            <a:xfrm>
              <a:off x="361950" y="13428662"/>
              <a:ext cx="1604157"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𝑊𝐻〗_(𝐶,𝐷)=</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〖𝐼𝐸〗_(𝐶,𝐷)−1)</a:t>
              </a:r>
              <a:r>
                <a:rPr lang="en-US" sz="1100" b="0" i="0">
                  <a:latin typeface="Cambria Math" panose="02040503050406030204" pitchFamily="18" charset="0"/>
                  <a:ea typeface="Cambria Math" panose="02040503050406030204" pitchFamily="18" charset="0"/>
                </a:rPr>
                <a:t>∗0.5</a:t>
              </a:r>
              <a:endParaRPr lang="en-US" sz="1100"/>
            </a:p>
          </xdr:txBody>
        </xdr:sp>
      </mc:Fallback>
    </mc:AlternateContent>
    <xdr:clientData/>
  </xdr:oneCellAnchor>
  <xdr:oneCellAnchor>
    <xdr:from>
      <xdr:col>1</xdr:col>
      <xdr:colOff>171450</xdr:colOff>
      <xdr:row>60</xdr:row>
      <xdr:rowOff>26987</xdr:rowOff>
    </xdr:from>
    <xdr:ext cx="1593257" cy="191078"/>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C0C16980-08F5-45BD-842B-B4144D3F904A}"/>
                </a:ext>
              </a:extLst>
            </xdr:cNvPr>
            <xdr:cNvSpPr txBox="1"/>
          </xdr:nvSpPr>
          <xdr:spPr>
            <a:xfrm>
              <a:off x="361950" y="13828712"/>
              <a:ext cx="1593257"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−1</m:t>
                        </m:r>
                      </m:e>
                    </m:d>
                    <m:r>
                      <a:rPr lang="en-US" sz="1100" b="0" i="1">
                        <a:latin typeface="Cambria Math" panose="02040503050406030204" pitchFamily="18" charset="0"/>
                        <a:ea typeface="Cambria Math" panose="02040503050406030204" pitchFamily="18" charset="0"/>
                      </a:rPr>
                      <m:t>∗0.5</m:t>
                    </m:r>
                  </m:oMath>
                </m:oMathPara>
              </a14:m>
              <a:endParaRPr lang="en-US" sz="1100"/>
            </a:p>
          </xdr:txBody>
        </xdr:sp>
      </mc:Choice>
      <mc:Fallback xmlns="">
        <xdr:sp macro="" textlink="">
          <xdr:nvSpPr>
            <xdr:cNvPr id="20" name="TextBox 19">
              <a:extLst>
                <a:ext uri="{FF2B5EF4-FFF2-40B4-BE49-F238E27FC236}">
                  <a16:creationId xmlns:a16="http://schemas.microsoft.com/office/drawing/2014/main" id="{C0C16980-08F5-45BD-842B-B4144D3F904A}"/>
                </a:ext>
              </a:extLst>
            </xdr:cNvPr>
            <xdr:cNvSpPr txBox="1"/>
          </xdr:nvSpPr>
          <xdr:spPr>
            <a:xfrm>
              <a:off x="361950" y="13828712"/>
              <a:ext cx="1593257"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𝑊𝐻〗_(𝐶,𝐸)=</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〖𝐼𝐸〗_(𝐶,𝐸)−1)</a:t>
              </a:r>
              <a:r>
                <a:rPr lang="en-US" sz="1100" b="0" i="0">
                  <a:latin typeface="Cambria Math" panose="02040503050406030204" pitchFamily="18" charset="0"/>
                  <a:ea typeface="Cambria Math" panose="02040503050406030204" pitchFamily="18" charset="0"/>
                </a:rPr>
                <a:t>∗0.5</a:t>
              </a:r>
              <a:endParaRPr lang="en-US" sz="1100"/>
            </a:p>
          </xdr:txBody>
        </xdr:sp>
      </mc:Fallback>
    </mc:AlternateContent>
    <xdr:clientData/>
  </xdr:oneCellAnchor>
  <xdr:oneCellAnchor>
    <xdr:from>
      <xdr:col>1</xdr:col>
      <xdr:colOff>171450</xdr:colOff>
      <xdr:row>64</xdr:row>
      <xdr:rowOff>26987</xdr:rowOff>
    </xdr:from>
    <xdr:ext cx="2474011" cy="176972"/>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F21B092D-CE90-4C81-AE17-1C679279D532}"/>
                </a:ext>
              </a:extLst>
            </xdr:cNvPr>
            <xdr:cNvSpPr txBox="1"/>
          </xdr:nvSpPr>
          <xdr:spPr>
            <a:xfrm>
              <a:off x="361950" y="14628812"/>
              <a:ext cx="247401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𝑅</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solidFill>
                              <a:schemeClr val="tx1"/>
                            </a:solidFill>
                            <a:effectLst/>
                            <a:latin typeface="Cambria Math" panose="02040503050406030204" pitchFamily="18" charset="0"/>
                            <a:ea typeface="+mn-ea"/>
                            <a:cs typeface="+mn-cs"/>
                          </a:rPr>
                          <m:t>3.412</m:t>
                        </m:r>
                        <m:r>
                          <a:rPr lang="en-US" sz="1100" b="0" i="1">
                            <a:solidFill>
                              <a:schemeClr val="tx1"/>
                            </a:solidFill>
                            <a:effectLst/>
                            <a:latin typeface="Cambria Math" panose="02040503050406030204" pitchFamily="18" charset="0"/>
                            <a:ea typeface="+mn-ea"/>
                            <a:cs typeface="+mn-cs"/>
                          </a:rPr>
                          <m:t>𝑘𝐵𝑡𝑢</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d>
                    <m:r>
                      <a:rPr lang="en-US" sz="1100" b="0" i="1">
                        <a:latin typeface="Cambria Math" panose="02040503050406030204" pitchFamily="18" charset="0"/>
                        <a:ea typeface="Cambria Math" panose="02040503050406030204" pitchFamily="18" charset="0"/>
                      </a:rPr>
                      <m:t>∗0.5</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𝐸𝐸𝑅</m:t>
                        </m:r>
                      </m:e>
                      <m:sub>
                        <m:r>
                          <a:rPr lang="en-US" sz="1100" b="0" i="1">
                            <a:solidFill>
                              <a:schemeClr val="tx1"/>
                            </a:solidFill>
                            <a:effectLst/>
                            <a:latin typeface="Cambria Math" panose="02040503050406030204" pitchFamily="18" charset="0"/>
                            <a:ea typeface="+mn-ea"/>
                            <a:cs typeface="+mn-cs"/>
                          </a:rPr>
                          <m:t>𝑅</m:t>
                        </m:r>
                      </m:sub>
                    </m:sSub>
                  </m:oMath>
                </m:oMathPara>
              </a14:m>
              <a:endParaRPr lang="en-US" sz="1100"/>
            </a:p>
          </xdr:txBody>
        </xdr:sp>
      </mc:Choice>
      <mc:Fallback xmlns="">
        <xdr:sp macro="" textlink="">
          <xdr:nvSpPr>
            <xdr:cNvPr id="21" name="TextBox 20">
              <a:extLst>
                <a:ext uri="{FF2B5EF4-FFF2-40B4-BE49-F238E27FC236}">
                  <a16:creationId xmlns:a16="http://schemas.microsoft.com/office/drawing/2014/main" id="{F21B092D-CE90-4C81-AE17-1C679279D532}"/>
                </a:ext>
              </a:extLst>
            </xdr:cNvPr>
            <xdr:cNvSpPr txBox="1"/>
          </xdr:nvSpPr>
          <xdr:spPr>
            <a:xfrm>
              <a:off x="361950" y="14628812"/>
              <a:ext cx="247401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𝑊𝐻〗_(𝑅,𝐷)=</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3.412𝑘𝐵𝑡𝑢/𝑘𝑊ℎ)</a:t>
              </a:r>
              <a:r>
                <a:rPr lang="en-US" sz="1100" b="0" i="0">
                  <a:latin typeface="Cambria Math" panose="02040503050406030204" pitchFamily="18" charset="0"/>
                  <a:ea typeface="Cambria Math" panose="02040503050406030204" pitchFamily="18" charset="0"/>
                </a:rPr>
                <a:t>∗0.5</a:t>
              </a:r>
              <a:r>
                <a:rPr lang="en-US" sz="1100" b="0" i="0">
                  <a:solidFill>
                    <a:schemeClr val="tx1"/>
                  </a:solidFill>
                  <a:effectLst/>
                  <a:latin typeface="Cambria Math" panose="02040503050406030204" pitchFamily="18" charset="0"/>
                  <a:ea typeface="+mn-ea"/>
                  <a:cs typeface="+mn-cs"/>
                </a:rPr>
                <a:t>/〖𝐸𝐸𝑅〗_𝑅</a:t>
              </a:r>
              <a:endParaRPr lang="en-US" sz="1100"/>
            </a:p>
          </xdr:txBody>
        </xdr:sp>
      </mc:Fallback>
    </mc:AlternateContent>
    <xdr:clientData/>
  </xdr:oneCellAnchor>
  <xdr:oneCellAnchor>
    <xdr:from>
      <xdr:col>1</xdr:col>
      <xdr:colOff>171450</xdr:colOff>
      <xdr:row>66</xdr:row>
      <xdr:rowOff>26987</xdr:rowOff>
    </xdr:from>
    <xdr:ext cx="1009827" cy="176972"/>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3BF6B0BA-9966-4EF8-80F2-09EB5F84D289}"/>
                </a:ext>
              </a:extLst>
            </xdr:cNvPr>
            <xdr:cNvSpPr txBox="1"/>
          </xdr:nvSpPr>
          <xdr:spPr>
            <a:xfrm>
              <a:off x="361950" y="15028862"/>
              <a:ext cx="100982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𝑅</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oMath>
                </m:oMathPara>
              </a14:m>
              <a:endParaRPr lang="en-US" sz="1100"/>
            </a:p>
          </xdr:txBody>
        </xdr:sp>
      </mc:Choice>
      <mc:Fallback xmlns="">
        <xdr:sp macro="" textlink="">
          <xdr:nvSpPr>
            <xdr:cNvPr id="22" name="TextBox 21">
              <a:extLst>
                <a:ext uri="{FF2B5EF4-FFF2-40B4-BE49-F238E27FC236}">
                  <a16:creationId xmlns:a16="http://schemas.microsoft.com/office/drawing/2014/main" id="{3BF6B0BA-9966-4EF8-80F2-09EB5F84D289}"/>
                </a:ext>
              </a:extLst>
            </xdr:cNvPr>
            <xdr:cNvSpPr txBox="1"/>
          </xdr:nvSpPr>
          <xdr:spPr>
            <a:xfrm>
              <a:off x="361950" y="15028862"/>
              <a:ext cx="100982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𝑊𝐻〗_(𝑅,𝐸)=</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𝑊𝐻〗_(𝑅,𝐷)</a:t>
              </a:r>
              <a:endParaRPr lang="en-US" sz="1100"/>
            </a:p>
          </xdr:txBody>
        </xdr:sp>
      </mc:Fallback>
    </mc:AlternateContent>
    <xdr:clientData/>
  </xdr:oneCellAnchor>
</xdr:wsDr>
</file>

<file path=xl/drawings/drawing24.xml><?xml version="1.0" encoding="utf-8"?>
<xdr:wsDr xmlns:xdr="http://schemas.openxmlformats.org/drawingml/2006/spreadsheetDrawing" xmlns:a="http://schemas.openxmlformats.org/drawingml/2006/main">
  <xdr:oneCellAnchor>
    <xdr:from>
      <xdr:col>2</xdr:col>
      <xdr:colOff>15875</xdr:colOff>
      <xdr:row>30</xdr:row>
      <xdr:rowOff>0</xdr:rowOff>
    </xdr:from>
    <xdr:ext cx="3314700" cy="23812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870A31F-F050-4DE1-A5F9-25C476B493BA}"/>
                </a:ext>
              </a:extLst>
            </xdr:cNvPr>
            <xdr:cNvSpPr txBox="1"/>
          </xdr:nvSpPr>
          <xdr:spPr>
            <a:xfrm>
              <a:off x="396875" y="6219825"/>
              <a:ext cx="331470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𝑐𝑡𝑟𝑙</m:t>
                                </m:r>
                              </m:sub>
                            </m:sSub>
                          </m:num>
                          <m:den>
                            <m:r>
                              <a:rPr lang="en-US" sz="1100" b="0" i="1">
                                <a:solidFill>
                                  <a:schemeClr val="tx1"/>
                                </a:solidFill>
                                <a:effectLst/>
                                <a:latin typeface="Cambria Math" panose="02040503050406030204" pitchFamily="18" charset="0"/>
                                <a:ea typeface="+mn-ea"/>
                                <a:cs typeface="+mn-cs"/>
                              </a:rPr>
                              <m:t>1000</m:t>
                            </m:r>
                          </m:den>
                        </m:f>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𝐼𝐸</m:t>
                        </m:r>
                      </m:e>
                      <m:sub>
                        <m:r>
                          <a:rPr lang="en-US" sz="1100" b="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5870A31F-F050-4DE1-A5F9-25C476B493BA}"/>
                </a:ext>
              </a:extLst>
            </xdr:cNvPr>
            <xdr:cNvSpPr txBox="1"/>
          </xdr:nvSpPr>
          <xdr:spPr>
            <a:xfrm>
              <a:off x="396875" y="6219825"/>
              <a:ext cx="331470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𝑃_𝑐𝑡𝑟𝑙∕1000)</a:t>
              </a:r>
              <a:r>
                <a:rPr lang="en-US" sz="1100" b="0" i="0">
                  <a:latin typeface="Cambria Math" panose="02040503050406030204" pitchFamily="18" charset="0"/>
                  <a:ea typeface="Cambria Math" panose="02040503050406030204" pitchFamily="18" charset="0"/>
                </a:rPr>
                <a:t>∗𝑅𝑇𝑅∗𝐼𝑆𝑅∗〖𝐶𝐹∗𝐼𝐸〗_(𝐶,𝐷)∗𝑃𝐹</a:t>
              </a:r>
              <a:endParaRPr lang="en-US" sz="1100"/>
            </a:p>
          </xdr:txBody>
        </xdr:sp>
      </mc:Fallback>
    </mc:AlternateContent>
    <xdr:clientData/>
  </xdr:oneCellAnchor>
  <xdr:oneCellAnchor>
    <xdr:from>
      <xdr:col>2</xdr:col>
      <xdr:colOff>34925</xdr:colOff>
      <xdr:row>34</xdr:row>
      <xdr:rowOff>6350</xdr:rowOff>
    </xdr:from>
    <xdr:ext cx="3743325"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3D4EEDC-EA76-45A2-8B89-8B3D9E61316D}"/>
                </a:ext>
              </a:extLst>
            </xdr:cNvPr>
            <xdr:cNvSpPr txBox="1"/>
          </xdr:nvSpPr>
          <xdr:spPr>
            <a:xfrm>
              <a:off x="415925" y="6950075"/>
              <a:ext cx="374332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𝑐𝑡𝑟𝑙</m:t>
                                </m:r>
                              </m:sub>
                            </m:sSub>
                          </m:num>
                          <m:den>
                            <m:r>
                              <a:rPr lang="en-US" sz="1100" b="0" i="1">
                                <a:solidFill>
                                  <a:schemeClr val="tx1"/>
                                </a:solidFill>
                                <a:effectLst/>
                                <a:latin typeface="Cambria Math" panose="02040503050406030204" pitchFamily="18" charset="0"/>
                                <a:ea typeface="+mn-ea"/>
                                <a:cs typeface="+mn-cs"/>
                              </a:rPr>
                              <m:t>1000</m:t>
                            </m:r>
                          </m:den>
                        </m:f>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𝐻𝑅𝑆</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𝐼𝐸</m:t>
                        </m:r>
                      </m:e>
                      <m:sub>
                        <m:r>
                          <a:rPr lang="en-US" sz="1100" b="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13D4EEDC-EA76-45A2-8B89-8B3D9E61316D}"/>
                </a:ext>
              </a:extLst>
            </xdr:cNvPr>
            <xdr:cNvSpPr txBox="1"/>
          </xdr:nvSpPr>
          <xdr:spPr>
            <a:xfrm>
              <a:off x="415925" y="6950075"/>
              <a:ext cx="374332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𝑃_𝑐𝑡𝑟𝑙∕1000)</a:t>
              </a:r>
              <a:r>
                <a:rPr lang="en-US" sz="1100" b="0" i="0">
                  <a:latin typeface="Cambria Math" panose="02040503050406030204" pitchFamily="18" charset="0"/>
                  <a:ea typeface="Cambria Math" panose="02040503050406030204" pitchFamily="18" charset="0"/>
                </a:rPr>
                <a:t>∗𝑅𝑇𝑅∗𝐼𝑆𝑅∗〖𝐻𝑅𝑆∗𝐼𝐸〗_(𝐶,𝐸)∗𝑃𝐹</a:t>
              </a:r>
              <a:endParaRPr lang="en-US" sz="1100"/>
            </a:p>
          </xdr:txBody>
        </xdr:sp>
      </mc:Fallback>
    </mc:AlternateContent>
    <xdr:clientData/>
  </xdr:oneCellAnchor>
  <xdr:oneCellAnchor>
    <xdr:from>
      <xdr:col>2</xdr:col>
      <xdr:colOff>34925</xdr:colOff>
      <xdr:row>38</xdr:row>
      <xdr:rowOff>6350</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36FF795-FEDC-4AC9-9612-71BB90466ACC}"/>
                </a:ext>
              </a:extLst>
            </xdr:cNvPr>
            <xdr:cNvSpPr txBox="1"/>
          </xdr:nvSpPr>
          <xdr:spPr>
            <a:xfrm>
              <a:off x="415925" y="767397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336FF795-FEDC-4AC9-9612-71BB90466ACC}"/>
                </a:ext>
              </a:extLst>
            </xdr:cNvPr>
            <xdr:cNvSpPr txBox="1"/>
          </xdr:nvSpPr>
          <xdr:spPr>
            <a:xfrm>
              <a:off x="415925" y="767397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25.xml><?xml version="1.0" encoding="utf-8"?>
<xdr:wsDr xmlns:xdr="http://schemas.openxmlformats.org/drawingml/2006/spreadsheetDrawing" xmlns:a="http://schemas.openxmlformats.org/drawingml/2006/main">
  <xdr:oneCellAnchor>
    <xdr:from>
      <xdr:col>1</xdr:col>
      <xdr:colOff>184148</xdr:colOff>
      <xdr:row>30</xdr:row>
      <xdr:rowOff>6350</xdr:rowOff>
    </xdr:from>
    <xdr:ext cx="5172077" cy="4476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13F2F34-31E4-4498-BD53-C49FD2DE1700}"/>
                </a:ext>
              </a:extLst>
            </xdr:cNvPr>
            <xdr:cNvSpPr txBox="1"/>
          </xdr:nvSpPr>
          <xdr:spPr>
            <a:xfrm>
              <a:off x="374648" y="7245350"/>
              <a:ext cx="5172077" cy="4476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oMath>
                </m:oMathPara>
              </a14:m>
              <a:endParaRPr lang="en-US" sz="1100" b="0" i="1">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𝑡𝑖𝑚𝑒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𝑓𝑢𝑙𝑙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𝑡𝑖𝑚𝑒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𝑓𝑢𝑙𝑙</m:t>
                                </m:r>
                              </m:sub>
                            </m:sSub>
                          </m:e>
                        </m:d>
                      </m:e>
                    </m:d>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𝐼𝐸</m:t>
                        </m:r>
                      </m:e>
                      <m:sub>
                        <m:r>
                          <a:rPr lang="en-US" sz="1100" b="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F13F2F34-31E4-4498-BD53-C49FD2DE1700}"/>
                </a:ext>
              </a:extLst>
            </xdr:cNvPr>
            <xdr:cNvSpPr txBox="1"/>
          </xdr:nvSpPr>
          <xdr:spPr>
            <a:xfrm>
              <a:off x="374648" y="7245350"/>
              <a:ext cx="5172077" cy="4476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latin typeface="Cambria Math" panose="02040503050406030204" pitchFamily="18" charset="0"/>
                  <a:ea typeface="Cambria Math" panose="02040503050406030204" pitchFamily="18" charset="0"/>
                </a:rPr>
                <a:t>=</a:t>
              </a:r>
              <a:endParaRPr lang="en-US" sz="1100" b="0" i="1">
                <a:latin typeface="Cambria Math" panose="02040503050406030204" pitchFamily="18" charset="0"/>
                <a:ea typeface="Cambria Math" panose="02040503050406030204" pitchFamily="18" charset="0"/>
              </a:endParaRPr>
            </a:p>
            <a:p>
              <a:pPr/>
              <a:r>
                <a:rPr lang="en-US" sz="1100" b="0" i="0">
                  <a:latin typeface="Cambria Math" panose="02040503050406030204" pitchFamily="18" charset="0"/>
                  <a:ea typeface="Cambria Math" panose="02040503050406030204" pitchFamily="18" charset="0"/>
                </a:rPr>
                <a:t>(〖𝑘𝑊〗_𝑏𝑎𝑠𝑒−(</a:t>
              </a:r>
              <a:r>
                <a:rPr lang="en-US" sz="1100" b="0" i="0">
                  <a:solidFill>
                    <a:schemeClr val="tx1"/>
                  </a:solidFill>
                  <a:effectLst/>
                  <a:latin typeface="Cambria Math" panose="02040503050406030204" pitchFamily="18" charset="0"/>
                  <a:ea typeface="+mn-ea"/>
                  <a:cs typeface="+mn-cs"/>
                </a:rPr>
                <a:t>〖𝑘𝑊〗_(𝐸𝐸,𝑑𝑖𝑚)∗%_(𝑡𝑖𝑚𝑒,𝑑𝑖𝑚)</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〖𝑘𝑊〗_(𝐸𝐸,𝑓𝑢𝑙𝑙)∗%_(𝑡𝑖𝑚𝑒,𝑓𝑢𝑙𝑙) ))</a:t>
              </a:r>
              <a:r>
                <a:rPr lang="en-US" sz="1100" b="0" i="0">
                  <a:latin typeface="Cambria Math" panose="02040503050406030204" pitchFamily="18" charset="0"/>
                  <a:ea typeface="Cambria Math" panose="02040503050406030204" pitchFamily="18" charset="0"/>
                </a:rPr>
                <a:t>∗〖𝐼𝐸〗_(𝐶,𝐷)∗𝐼𝑆𝑅∗𝐶𝐹∗𝑃𝐹</a:t>
              </a:r>
              <a:endParaRPr lang="en-US" sz="1100"/>
            </a:p>
          </xdr:txBody>
        </xdr:sp>
      </mc:Fallback>
    </mc:AlternateContent>
    <xdr:clientData/>
  </xdr:oneCellAnchor>
  <xdr:oneCellAnchor>
    <xdr:from>
      <xdr:col>1</xdr:col>
      <xdr:colOff>82550</xdr:colOff>
      <xdr:row>35</xdr:row>
      <xdr:rowOff>19050</xdr:rowOff>
    </xdr:from>
    <xdr:ext cx="5400675" cy="46672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1EAD81B5-EEFC-4CC9-8790-9BF9D0686D89}"/>
                </a:ext>
              </a:extLst>
            </xdr:cNvPr>
            <xdr:cNvSpPr txBox="1"/>
          </xdr:nvSpPr>
          <xdr:spPr>
            <a:xfrm>
              <a:off x="273050" y="8210550"/>
              <a:ext cx="5400675" cy="4667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oMath>
                </m:oMathPara>
              </a14:m>
              <a:endParaRPr lang="en-US" sz="1100" b="0" i="1">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𝑡𝑖𝑚𝑒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𝑓𝑢𝑙𝑙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𝑡𝑖𝑚𝑒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𝑓𝑢𝑙𝑙</m:t>
                                </m:r>
                              </m:sub>
                            </m:sSub>
                          </m:e>
                        </m:d>
                      </m:e>
                    </m:d>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𝐼𝐸</m:t>
                        </m:r>
                      </m:e>
                      <m:sub>
                        <m:r>
                          <a:rPr lang="en-US" sz="1100" b="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1EAD81B5-EEFC-4CC9-8790-9BF9D0686D89}"/>
                </a:ext>
              </a:extLst>
            </xdr:cNvPr>
            <xdr:cNvSpPr txBox="1"/>
          </xdr:nvSpPr>
          <xdr:spPr>
            <a:xfrm>
              <a:off x="273050" y="8210550"/>
              <a:ext cx="5400675" cy="4667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endParaRPr lang="en-US" sz="1100" b="0" i="1">
                <a:latin typeface="Cambria Math" panose="02040503050406030204" pitchFamily="18" charset="0"/>
                <a:ea typeface="Cambria Math" panose="02040503050406030204" pitchFamily="18" charset="0"/>
              </a:endParaRPr>
            </a:p>
            <a:p>
              <a:pPr/>
              <a:r>
                <a:rPr lang="en-US" sz="1100" b="0" i="0">
                  <a:latin typeface="Cambria Math" panose="02040503050406030204" pitchFamily="18" charset="0"/>
                  <a:ea typeface="Cambria Math" panose="02040503050406030204" pitchFamily="18" charset="0"/>
                </a:rPr>
                <a:t>(〖𝑘𝑊〗_𝑏𝑎𝑠𝑒−(</a:t>
              </a:r>
              <a:r>
                <a:rPr lang="en-US" sz="1100" b="0" i="0">
                  <a:solidFill>
                    <a:schemeClr val="tx1"/>
                  </a:solidFill>
                  <a:effectLst/>
                  <a:latin typeface="Cambria Math" panose="02040503050406030204" pitchFamily="18" charset="0"/>
                  <a:ea typeface="+mn-ea"/>
                  <a:cs typeface="+mn-cs"/>
                </a:rPr>
                <a:t>〖𝑘𝑊〗_(𝐸𝐸,𝑑𝑖𝑚)∗%_(𝑡𝑖𝑚𝑒,𝑑𝑖𝑚)</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〖𝑘𝑊〗_(𝐸𝐸,𝑓𝑢𝑙𝑙)∗%_(𝑡𝑖𝑚𝑒,𝑓𝑢𝑙𝑙) ))</a:t>
              </a:r>
              <a:r>
                <a:rPr lang="en-US" sz="1100" b="0" i="0">
                  <a:latin typeface="Cambria Math" panose="02040503050406030204" pitchFamily="18" charset="0"/>
                  <a:ea typeface="Cambria Math" panose="02040503050406030204" pitchFamily="18" charset="0"/>
                </a:rPr>
                <a:t>∗〖𝐼𝐸〗_(𝐶,𝐸)∗𝐼𝑆𝑅∗〖𝐻𝑂𝑈〗_𝑦𝑒𝑎𝑟∗𝑃𝐹</a:t>
              </a:r>
              <a:endParaRPr lang="en-US" sz="1100"/>
            </a:p>
          </xdr:txBody>
        </xdr:sp>
      </mc:Fallback>
    </mc:AlternateContent>
    <xdr:clientData/>
  </xdr:oneCellAnchor>
  <xdr:oneCellAnchor>
    <xdr:from>
      <xdr:col>1</xdr:col>
      <xdr:colOff>180975</xdr:colOff>
      <xdr:row>40</xdr:row>
      <xdr:rowOff>9526</xdr:rowOff>
    </xdr:from>
    <xdr:ext cx="3914775" cy="1831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8F6A4C8-9D21-47F6-8F59-FD730810146D}"/>
                </a:ext>
              </a:extLst>
            </xdr:cNvPr>
            <xdr:cNvSpPr txBox="1"/>
          </xdr:nvSpPr>
          <xdr:spPr>
            <a:xfrm>
              <a:off x="371475" y="919162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6" name="TextBox 5">
              <a:extLst>
                <a:ext uri="{FF2B5EF4-FFF2-40B4-BE49-F238E27FC236}">
                  <a16:creationId xmlns:a16="http://schemas.microsoft.com/office/drawing/2014/main" id="{78F6A4C8-9D21-47F6-8F59-FD730810146D}"/>
                </a:ext>
              </a:extLst>
            </xdr:cNvPr>
            <xdr:cNvSpPr txBox="1"/>
          </xdr:nvSpPr>
          <xdr:spPr>
            <a:xfrm>
              <a:off x="371475" y="919162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26.xml><?xml version="1.0" encoding="utf-8"?>
<xdr:wsDr xmlns:xdr="http://schemas.openxmlformats.org/drawingml/2006/spreadsheetDrawing" xmlns:a="http://schemas.openxmlformats.org/drawingml/2006/main">
  <xdr:oneCellAnchor>
    <xdr:from>
      <xdr:col>2</xdr:col>
      <xdr:colOff>0</xdr:colOff>
      <xdr:row>35</xdr:row>
      <xdr:rowOff>9526</xdr:rowOff>
    </xdr:from>
    <xdr:ext cx="3914775" cy="18332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304F40E-90B9-463C-A520-A6D85DB3DF2B}"/>
                </a:ext>
              </a:extLst>
            </xdr:cNvPr>
            <xdr:cNvSpPr txBox="1"/>
          </xdr:nvSpPr>
          <xdr:spPr>
            <a:xfrm>
              <a:off x="361950" y="6677026"/>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 </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2" name="TextBox 1">
              <a:extLst>
                <a:ext uri="{FF2B5EF4-FFF2-40B4-BE49-F238E27FC236}">
                  <a16:creationId xmlns:a16="http://schemas.microsoft.com/office/drawing/2014/main" id="{2304F40E-90B9-463C-A520-A6D85DB3DF2B}"/>
                </a:ext>
              </a:extLst>
            </xdr:cNvPr>
            <xdr:cNvSpPr txBox="1"/>
          </xdr:nvSpPr>
          <xdr:spPr>
            <a:xfrm>
              <a:off x="361950" y="6677026"/>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 </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3809</xdr:colOff>
      <xdr:row>30</xdr:row>
      <xdr:rowOff>142874</xdr:rowOff>
    </xdr:from>
    <xdr:ext cx="5286376" cy="4476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BC012878-E8EA-45D6-85C1-008792033919}"/>
                </a:ext>
              </a:extLst>
            </xdr:cNvPr>
            <xdr:cNvSpPr txBox="1"/>
          </xdr:nvSpPr>
          <xdr:spPr>
            <a:xfrm>
              <a:off x="365759" y="5857874"/>
              <a:ext cx="5286376"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𝑄𝑡𝑦</m:t>
                      </m:r>
                    </m:e>
                    <m:sub>
                      <m:r>
                        <a:rPr lang="en-US" sz="1100" b="0" i="1">
                          <a:solidFill>
                            <a:sysClr val="windowText" lastClr="000000"/>
                          </a:solidFill>
                          <a:latin typeface="Cambria Math" panose="02040503050406030204" pitchFamily="18" charset="0"/>
                          <a:ea typeface="Cambria Math" panose="02040503050406030204" pitchFamily="18" charset="0"/>
                        </a:rPr>
                        <m:t>𝑖</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effectLst/>
                          <a:latin typeface="Cambria Math" panose="02040503050406030204" pitchFamily="18" charset="0"/>
                          <a:ea typeface="+mn-ea"/>
                          <a:cs typeface="+mn-cs"/>
                        </a:rPr>
                      </m:ctrlPr>
                    </m:dPr>
                    <m:e>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 </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𝑃𝑃𝐹</m:t>
                              </m:r>
                              <m:r>
                                <a:rPr lang="en-US" sz="1100" b="0" i="1" baseline="-25000">
                                  <a:solidFill>
                                    <a:sysClr val="windowText" lastClr="000000"/>
                                  </a:solidFill>
                                  <a:effectLst/>
                                  <a:latin typeface="Cambria Math" panose="02040503050406030204" pitchFamily="18" charset="0"/>
                                  <a:ea typeface="+mn-ea"/>
                                  <a:cs typeface="+mn-cs"/>
                                </a:rPr>
                                <m:t>𝐸𝐸</m:t>
                              </m:r>
                              <m:r>
                                <a:rPr lang="en-US" sz="1100" b="0" i="1" baseline="-25000">
                                  <a:solidFill>
                                    <a:sysClr val="windowText" lastClr="000000"/>
                                  </a:solidFill>
                                  <a:effectLst/>
                                  <a:latin typeface="Cambria Math" panose="02040503050406030204" pitchFamily="18" charset="0"/>
                                  <a:ea typeface="+mn-ea"/>
                                  <a:cs typeface="+mn-cs"/>
                                </a:rPr>
                                <m:t>,</m:t>
                              </m:r>
                              <m:r>
                                <a:rPr lang="en-US" sz="1100" b="0" i="1" baseline="-25000">
                                  <a:solidFill>
                                    <a:sysClr val="windowText" lastClr="000000"/>
                                  </a:solidFill>
                                  <a:effectLst/>
                                  <a:latin typeface="Cambria Math" panose="02040503050406030204" pitchFamily="18" charset="0"/>
                                  <a:ea typeface="+mn-ea"/>
                                  <a:cs typeface="+mn-cs"/>
                                </a:rPr>
                                <m:t>𝑖</m:t>
                              </m:r>
                            </m:num>
                            <m:den>
                              <m:r>
                                <a:rPr lang="en-US" sz="1100" b="0" i="1">
                                  <a:solidFill>
                                    <a:sysClr val="windowText" lastClr="000000"/>
                                  </a:solidFill>
                                  <a:effectLst/>
                                  <a:latin typeface="Cambria Math" panose="02040503050406030204" pitchFamily="18" charset="0"/>
                                  <a:ea typeface="+mn-ea"/>
                                  <a:cs typeface="+mn-cs"/>
                                </a:rPr>
                                <m:t>𝑃𝑃𝐸</m:t>
                              </m:r>
                              <m:r>
                                <a:rPr lang="en-US" sz="1100" b="0" i="1" baseline="-25000">
                                  <a:solidFill>
                                    <a:sysClr val="windowText" lastClr="000000"/>
                                  </a:solidFill>
                                  <a:effectLst/>
                                  <a:latin typeface="Cambria Math" panose="02040503050406030204" pitchFamily="18" charset="0"/>
                                  <a:ea typeface="+mn-ea"/>
                                  <a:cs typeface="+mn-cs"/>
                                </a:rPr>
                                <m:t>𝐵𝐿</m:t>
                              </m:r>
                              <m:r>
                                <a:rPr lang="en-US" sz="1100" b="0" i="1" baseline="-25000">
                                  <a:solidFill>
                                    <a:sysClr val="windowText" lastClr="000000"/>
                                  </a:solidFill>
                                  <a:effectLst/>
                                  <a:latin typeface="Cambria Math" panose="02040503050406030204" pitchFamily="18" charset="0"/>
                                  <a:ea typeface="+mn-ea"/>
                                  <a:cs typeface="+mn-cs"/>
                                </a:rPr>
                                <m:t>,</m:t>
                              </m:r>
                              <m:r>
                                <a:rPr lang="en-US" sz="1100" b="0" i="1" baseline="-25000">
                                  <a:solidFill>
                                    <a:sysClr val="windowText" lastClr="000000"/>
                                  </a:solidFill>
                                  <a:effectLst/>
                                  <a:latin typeface="Cambria Math" panose="02040503050406030204" pitchFamily="18" charset="0"/>
                                  <a:ea typeface="+mn-ea"/>
                                  <a:cs typeface="+mn-cs"/>
                                </a:rPr>
                                <m:t>𝑖</m:t>
                              </m:r>
                              <m:r>
                                <a:rPr lang="en-US" sz="1100" b="0" i="1" baseline="-2500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𝑥</m:t>
                              </m:r>
                              <m:r>
                                <a:rPr lang="en-US" sz="1100" b="0" i="1">
                                  <a:solidFill>
                                    <a:sysClr val="windowText" lastClr="000000"/>
                                  </a:solidFill>
                                  <a:effectLst/>
                                  <a:latin typeface="Cambria Math" panose="02040503050406030204" pitchFamily="18" charset="0"/>
                                  <a:ea typeface="+mn-ea"/>
                                  <a:cs typeface="+mn-cs"/>
                                </a:rPr>
                                <m:t> 1000</m:t>
                              </m:r>
                            </m:den>
                          </m:f>
                        </m:e>
                      </m:d>
                      <m:r>
                        <a:rPr lang="en-US" sz="1100" b="0" i="1">
                          <a:solidFill>
                            <a:sysClr val="windowText" lastClr="000000"/>
                          </a:solidFill>
                          <a:effectLst/>
                          <a:latin typeface="Cambria Math" panose="02040503050406030204" pitchFamily="18" charset="0"/>
                          <a:ea typeface="+mn-ea"/>
                          <a:cs typeface="+mn-cs"/>
                        </a:rPr>
                        <m:t>−</m:t>
                      </m:r>
                      <m:r>
                        <m:rPr>
                          <m:nor/>
                        </m:rPr>
                        <a:rPr lang="en-US" sz="1100" i="1">
                          <a:solidFill>
                            <a:sysClr val="windowText" lastClr="000000"/>
                          </a:solidFill>
                          <a:effectLst/>
                          <a:latin typeface="+mn-lt"/>
                          <a:ea typeface="+mn-ea"/>
                          <a:cs typeface="+mn-cs"/>
                        </a:rPr>
                        <m:t>kW</m:t>
                      </m:r>
                      <m:r>
                        <m:rPr>
                          <m:nor/>
                        </m:rPr>
                        <a:rPr lang="en-US" sz="1100" i="1" baseline="-25000">
                          <a:solidFill>
                            <a:sysClr val="windowText" lastClr="000000"/>
                          </a:solidFill>
                          <a:effectLst/>
                          <a:latin typeface="+mn-lt"/>
                          <a:ea typeface="+mn-ea"/>
                          <a:cs typeface="+mn-cs"/>
                        </a:rPr>
                        <m:t>EE</m:t>
                      </m:r>
                      <m:r>
                        <m:rPr>
                          <m:nor/>
                        </m:rPr>
                        <a:rPr lang="en-US" sz="1100" i="1" baseline="-25000">
                          <a:solidFill>
                            <a:sysClr val="windowText" lastClr="000000"/>
                          </a:solidFill>
                          <a:effectLst/>
                          <a:latin typeface="+mn-lt"/>
                          <a:ea typeface="+mn-ea"/>
                          <a:cs typeface="+mn-cs"/>
                        </a:rPr>
                        <m:t>,</m:t>
                      </m:r>
                      <m:r>
                        <m:rPr>
                          <m:nor/>
                        </m:rPr>
                        <a:rPr lang="en-US" sz="1100" i="1" baseline="-25000">
                          <a:solidFill>
                            <a:sysClr val="windowText" lastClr="000000"/>
                          </a:solidFill>
                          <a:effectLst/>
                          <a:latin typeface="+mn-lt"/>
                          <a:ea typeface="+mn-ea"/>
                          <a:cs typeface="+mn-cs"/>
                        </a:rPr>
                        <m:t>i</m:t>
                      </m:r>
                      <m:r>
                        <m:rPr>
                          <m:nor/>
                        </m:rPr>
                        <a:rPr lang="en-US" sz="1100" i="1" baseline="-25000">
                          <a:solidFill>
                            <a:sysClr val="windowText" lastClr="000000"/>
                          </a:solidFill>
                          <a:effectLst/>
                          <a:latin typeface="+mn-lt"/>
                          <a:ea typeface="+mn-ea"/>
                          <a:cs typeface="+mn-cs"/>
                        </a:rPr>
                        <m:t> </m:t>
                      </m:r>
                    </m:e>
                  </m:d>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𝐻𝑅𝑆</m:t>
                      </m:r>
                    </m:e>
                    <m:sub>
                      <m:r>
                        <a:rPr lang="en-US" sz="1100" b="0" i="1">
                          <a:solidFill>
                            <a:sysClr val="windowText" lastClr="000000"/>
                          </a:solidFill>
                          <a:effectLst/>
                          <a:latin typeface="Cambria Math" panose="02040503050406030204" pitchFamily="18" charset="0"/>
                          <a:ea typeface="+mn-ea"/>
                          <a:cs typeface="+mn-cs"/>
                        </a:rPr>
                        <m:t>𝑦𝑒𝑎𝑟</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𝑊𝐻𝐹</m:t>
                      </m:r>
                    </m:e>
                    <m:sub>
                      <m:r>
                        <a:rPr lang="en-US" sz="1100" b="0" i="1">
                          <a:solidFill>
                            <a:sysClr val="windowText" lastClr="000000"/>
                          </a:solidFill>
                          <a:effectLst/>
                          <a:latin typeface="Cambria Math" panose="02040503050406030204" pitchFamily="18" charset="0"/>
                          <a:ea typeface="+mn-ea"/>
                          <a:cs typeface="+mn-cs"/>
                        </a:rPr>
                        <m:t>𝐸</m:t>
                      </m:r>
                    </m:sub>
                  </m:sSub>
                </m:oMath>
              </a14:m>
              <a:r>
                <a:rPr lang="en-US" sz="1100" i="1">
                  <a:solidFill>
                    <a:sysClr val="windowText" lastClr="000000"/>
                  </a:solidFill>
                  <a:latin typeface="Cambria Math" panose="02040503050406030204" pitchFamily="18" charset="0"/>
                  <a:ea typeface="Cambria Math" panose="02040503050406030204" pitchFamily="18" charset="0"/>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BC012878-E8EA-45D6-85C1-008792033919}"/>
                </a:ext>
              </a:extLst>
            </xdr:cNvPr>
            <xdr:cNvSpPr txBox="1"/>
          </xdr:nvSpPr>
          <xdr:spPr>
            <a:xfrm>
              <a:off x="365759" y="5857874"/>
              <a:ext cx="5286376"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𝑘𝑊ℎ=〖𝑄𝑡𝑦〗_𝑖∗</a:t>
              </a:r>
              <a:r>
                <a:rPr lang="en-US" sz="1100" b="0" i="0">
                  <a:solidFill>
                    <a:sysClr val="windowText" lastClr="000000"/>
                  </a:solidFill>
                  <a:effectLst/>
                  <a:latin typeface="Cambria Math" panose="02040503050406030204" pitchFamily="18" charset="0"/>
                  <a:ea typeface="+mn-ea"/>
                  <a:cs typeface="+mn-cs"/>
                </a:rPr>
                <a:t>(( (𝑃𝑃𝐹</a:t>
              </a:r>
              <a:r>
                <a:rPr lang="en-US" sz="1100" b="0" i="0" baseline="-25000">
                  <a:solidFill>
                    <a:sysClr val="windowText" lastClr="000000"/>
                  </a:solidFill>
                  <a:effectLst/>
                  <a:latin typeface="Cambria Math" panose="02040503050406030204" pitchFamily="18" charset="0"/>
                  <a:ea typeface="+mn-ea"/>
                  <a:cs typeface="+mn-cs"/>
                </a:rPr>
                <a:t>𝐸𝐸,𝑖)/(</a:t>
              </a:r>
              <a:r>
                <a:rPr lang="en-US" sz="1100" b="0" i="0">
                  <a:solidFill>
                    <a:sysClr val="windowText" lastClr="000000"/>
                  </a:solidFill>
                  <a:effectLst/>
                  <a:latin typeface="Cambria Math" panose="02040503050406030204" pitchFamily="18" charset="0"/>
                  <a:ea typeface="+mn-ea"/>
                  <a:cs typeface="+mn-cs"/>
                </a:rPr>
                <a:t>𝑃𝑃𝐸</a:t>
              </a:r>
              <a:r>
                <a:rPr lang="en-US" sz="1100" b="0" i="0" baseline="-25000">
                  <a:solidFill>
                    <a:sysClr val="windowText" lastClr="000000"/>
                  </a:solidFill>
                  <a:effectLst/>
                  <a:latin typeface="Cambria Math" panose="02040503050406030204" pitchFamily="18" charset="0"/>
                  <a:ea typeface="+mn-ea"/>
                  <a:cs typeface="+mn-cs"/>
                </a:rPr>
                <a:t>𝐵𝐿,𝑖 </a:t>
              </a:r>
              <a:r>
                <a:rPr lang="en-US" sz="1100" b="0" i="0">
                  <a:solidFill>
                    <a:sysClr val="windowText" lastClr="000000"/>
                  </a:solidFill>
                  <a:effectLst/>
                  <a:latin typeface="Cambria Math" panose="02040503050406030204" pitchFamily="18" charset="0"/>
                  <a:ea typeface="+mn-ea"/>
                  <a:cs typeface="+mn-cs"/>
                </a:rPr>
                <a:t>𝑥 1000))−</a:t>
              </a:r>
              <a:r>
                <a:rPr lang="en-US" sz="1100" b="0" i="0">
                  <a:solidFill>
                    <a:sysClr val="windowText" lastClr="000000"/>
                  </a:solidFill>
                  <a:effectLst/>
                  <a:latin typeface="+mn-lt"/>
                  <a:ea typeface="+mn-ea"/>
                  <a:cs typeface="+mn-cs"/>
                </a:rPr>
                <a:t>"</a:t>
              </a:r>
              <a:r>
                <a:rPr lang="en-US" sz="1100" i="0">
                  <a:solidFill>
                    <a:sysClr val="windowText" lastClr="000000"/>
                  </a:solidFill>
                  <a:effectLst/>
                  <a:latin typeface="+mn-lt"/>
                  <a:ea typeface="+mn-ea"/>
                  <a:cs typeface="+mn-cs"/>
                </a:rPr>
                <a:t>kW</a:t>
              </a:r>
              <a:r>
                <a:rPr lang="en-US" sz="1100" i="0" baseline="-25000">
                  <a:solidFill>
                    <a:sysClr val="windowText" lastClr="000000"/>
                  </a:solidFill>
                  <a:effectLst/>
                  <a:latin typeface="+mn-lt"/>
                  <a:ea typeface="+mn-ea"/>
                  <a:cs typeface="+mn-cs"/>
                </a:rPr>
                <a:t>EE,i </a:t>
              </a:r>
              <a:r>
                <a:rPr lang="en-US" sz="1100" i="0" baseline="-25000">
                  <a:solidFill>
                    <a:sysClr val="windowText" lastClr="000000"/>
                  </a:solidFill>
                  <a:effectLst/>
                  <a:latin typeface="Cambria Math" panose="02040503050406030204" pitchFamily="18" charset="0"/>
                  <a:ea typeface="+mn-ea"/>
                  <a:cs typeface="+mn-cs"/>
                </a:rPr>
                <a:t>" )</a:t>
              </a:r>
              <a:r>
                <a:rPr lang="en-US" sz="1100" b="0" i="0">
                  <a:solidFill>
                    <a:sysClr val="windowText" lastClr="000000"/>
                  </a:solidFill>
                  <a:effectLst/>
                  <a:latin typeface="Cambria Math" panose="02040503050406030204" pitchFamily="18" charset="0"/>
                  <a:ea typeface="+mn-ea"/>
                  <a:cs typeface="+mn-cs"/>
                </a:rPr>
                <a:t>∗〖𝐻𝑅𝑆〗_𝑦𝑒𝑎𝑟∗〖𝑊𝐻𝐹〗_𝐸</a:t>
              </a:r>
              <a:r>
                <a:rPr lang="en-US" sz="1100" i="1">
                  <a:solidFill>
                    <a:sysClr val="windowText" lastClr="000000"/>
                  </a:solidFill>
                  <a:latin typeface="Cambria Math" panose="02040503050406030204" pitchFamily="18" charset="0"/>
                  <a:ea typeface="Cambria Math" panose="02040503050406030204" pitchFamily="18" charset="0"/>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26670</xdr:colOff>
      <xdr:row>25</xdr:row>
      <xdr:rowOff>161925</xdr:rowOff>
    </xdr:from>
    <xdr:ext cx="5173980" cy="4476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E6F4D8A1-7769-4B8A-B877-0F7B86F0EE25}"/>
                </a:ext>
              </a:extLst>
            </xdr:cNvPr>
            <xdr:cNvSpPr txBox="1"/>
          </xdr:nvSpPr>
          <xdr:spPr>
            <a:xfrm>
              <a:off x="388620" y="8448675"/>
              <a:ext cx="5173980"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 </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𝑃𝑃𝐹</m:t>
                              </m:r>
                              <m:r>
                                <a:rPr lang="en-US" sz="1100" b="0" i="1" baseline="-25000">
                                  <a:solidFill>
                                    <a:sysClr val="windowText" lastClr="000000"/>
                                  </a:solidFill>
                                  <a:latin typeface="Cambria Math" panose="02040503050406030204" pitchFamily="18" charset="0"/>
                                  <a:ea typeface="Cambria Math" panose="02040503050406030204" pitchFamily="18" charset="0"/>
                                </a:rPr>
                                <m:t>𝐸𝐸</m:t>
                              </m:r>
                              <m:r>
                                <a:rPr lang="en-US" sz="1100" b="0" i="1" baseline="-25000">
                                  <a:solidFill>
                                    <a:sysClr val="windowText" lastClr="000000"/>
                                  </a:solidFill>
                                  <a:latin typeface="Cambria Math" panose="02040503050406030204" pitchFamily="18" charset="0"/>
                                  <a:ea typeface="Cambria Math" panose="02040503050406030204" pitchFamily="18" charset="0"/>
                                </a:rPr>
                                <m:t>,</m:t>
                              </m:r>
                              <m:r>
                                <a:rPr lang="en-US" sz="1100" b="0" i="1" baseline="-25000">
                                  <a:solidFill>
                                    <a:sysClr val="windowText" lastClr="000000"/>
                                  </a:solidFill>
                                  <a:latin typeface="Cambria Math" panose="02040503050406030204" pitchFamily="18" charset="0"/>
                                  <a:ea typeface="Cambria Math" panose="02040503050406030204" pitchFamily="18" charset="0"/>
                                </a:rPr>
                                <m:t>𝑖</m:t>
                              </m:r>
                            </m:num>
                            <m:den>
                              <m:r>
                                <a:rPr lang="en-US" sz="1100" b="0" i="1">
                                  <a:solidFill>
                                    <a:sysClr val="windowText" lastClr="000000"/>
                                  </a:solidFill>
                                  <a:latin typeface="Cambria Math" panose="02040503050406030204" pitchFamily="18" charset="0"/>
                                  <a:ea typeface="Cambria Math" panose="02040503050406030204" pitchFamily="18" charset="0"/>
                                </a:rPr>
                                <m:t>𝑃𝑃𝐸</m:t>
                              </m:r>
                              <m:r>
                                <a:rPr lang="en-US" sz="1100" b="0" i="1" baseline="-25000">
                                  <a:solidFill>
                                    <a:sysClr val="windowText" lastClr="000000"/>
                                  </a:solidFill>
                                  <a:latin typeface="Cambria Math" panose="02040503050406030204" pitchFamily="18" charset="0"/>
                                  <a:ea typeface="Cambria Math" panose="02040503050406030204" pitchFamily="18" charset="0"/>
                                </a:rPr>
                                <m:t>𝐵𝐿</m:t>
                              </m:r>
                              <m:r>
                                <a:rPr lang="en-US" sz="1100" b="0" i="1" baseline="-25000">
                                  <a:solidFill>
                                    <a:sysClr val="windowText" lastClr="000000"/>
                                  </a:solidFill>
                                  <a:latin typeface="Cambria Math" panose="02040503050406030204" pitchFamily="18" charset="0"/>
                                  <a:ea typeface="Cambria Math" panose="02040503050406030204" pitchFamily="18" charset="0"/>
                                </a:rPr>
                                <m:t>,</m:t>
                              </m:r>
                              <m:r>
                                <a:rPr lang="en-US" sz="1100" b="0" i="1" baseline="-25000">
                                  <a:solidFill>
                                    <a:sysClr val="windowText" lastClr="000000"/>
                                  </a:solidFill>
                                  <a:latin typeface="Cambria Math" panose="02040503050406030204" pitchFamily="18" charset="0"/>
                                  <a:ea typeface="Cambria Math" panose="02040503050406030204" pitchFamily="18" charset="0"/>
                                </a:rPr>
                                <m:t>𝑖</m:t>
                              </m:r>
                              <m:r>
                                <a:rPr lang="en-US" sz="1100" b="0" i="1" baseline="-25000">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𝑥</m:t>
                              </m:r>
                              <m:r>
                                <a:rPr lang="en-US" sz="1100" b="0" i="1">
                                  <a:solidFill>
                                    <a:sysClr val="windowText" lastClr="000000"/>
                                  </a:solidFill>
                                  <a:latin typeface="Cambria Math" panose="02040503050406030204" pitchFamily="18" charset="0"/>
                                  <a:ea typeface="Cambria Math" panose="02040503050406030204" pitchFamily="18" charset="0"/>
                                </a:rPr>
                                <m:t> 1000</m:t>
                              </m:r>
                            </m:den>
                          </m:f>
                        </m:e>
                      </m:d>
                      <m:r>
                        <a:rPr lang="en-US" sz="1100" b="0" i="1">
                          <a:solidFill>
                            <a:sysClr val="windowText" lastClr="000000"/>
                          </a:solidFill>
                          <a:latin typeface="Cambria Math" panose="02040503050406030204" pitchFamily="18" charset="0"/>
                          <a:ea typeface="Cambria Math" panose="02040503050406030204" pitchFamily="18" charset="0"/>
                        </a:rPr>
                        <m:t>−</m:t>
                      </m:r>
                      <m:r>
                        <m:rPr>
                          <m:nor/>
                        </m:rPr>
                        <a:rPr lang="en-US" sz="1100" i="1">
                          <a:solidFill>
                            <a:sysClr val="windowText" lastClr="000000"/>
                          </a:solidFill>
                          <a:effectLst/>
                          <a:latin typeface="+mn-lt"/>
                          <a:ea typeface="+mn-ea"/>
                          <a:cs typeface="+mn-cs"/>
                        </a:rPr>
                        <m:t>kW</m:t>
                      </m:r>
                      <m:r>
                        <m:rPr>
                          <m:nor/>
                        </m:rPr>
                        <a:rPr lang="en-US" sz="1100" i="1" baseline="-25000">
                          <a:solidFill>
                            <a:sysClr val="windowText" lastClr="000000"/>
                          </a:solidFill>
                          <a:effectLst/>
                          <a:latin typeface="+mn-lt"/>
                          <a:ea typeface="+mn-ea"/>
                          <a:cs typeface="+mn-cs"/>
                        </a:rPr>
                        <m:t>EE</m:t>
                      </m:r>
                      <m:r>
                        <m:rPr>
                          <m:nor/>
                        </m:rPr>
                        <a:rPr lang="en-US" sz="1100" i="1" baseline="-25000">
                          <a:solidFill>
                            <a:sysClr val="windowText" lastClr="000000"/>
                          </a:solidFill>
                          <a:effectLst/>
                          <a:latin typeface="+mn-lt"/>
                          <a:ea typeface="+mn-ea"/>
                          <a:cs typeface="+mn-cs"/>
                        </a:rPr>
                        <m:t>,</m:t>
                      </m:r>
                      <m:r>
                        <m:rPr>
                          <m:nor/>
                        </m:rPr>
                        <a:rPr lang="en-US" sz="1100" i="1" baseline="-25000">
                          <a:solidFill>
                            <a:sysClr val="windowText" lastClr="000000"/>
                          </a:solidFill>
                          <a:effectLst/>
                          <a:latin typeface="+mn-lt"/>
                          <a:ea typeface="+mn-ea"/>
                          <a:cs typeface="+mn-cs"/>
                        </a:rPr>
                        <m:t>i</m:t>
                      </m:r>
                      <m:r>
                        <m:rPr>
                          <m:nor/>
                        </m:rPr>
                        <a:rPr lang="en-US" sz="1100" i="1" baseline="-25000">
                          <a:solidFill>
                            <a:sysClr val="windowText" lastClr="000000"/>
                          </a:solidFill>
                          <a:effectLst/>
                          <a:latin typeface="+mn-lt"/>
                          <a:ea typeface="+mn-ea"/>
                          <a:cs typeface="+mn-cs"/>
                        </a:rPr>
                        <m:t> </m:t>
                      </m:r>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𝑊𝐻𝐹</m:t>
                      </m:r>
                    </m:e>
                    <m:sub>
                      <m:r>
                        <a:rPr lang="en-US" sz="1100" b="0" i="1">
                          <a:solidFill>
                            <a:sysClr val="windowText" lastClr="000000"/>
                          </a:solidFill>
                          <a:effectLst/>
                          <a:latin typeface="Cambria Math" panose="02040503050406030204" pitchFamily="18" charset="0"/>
                          <a:ea typeface="+mn-ea"/>
                          <a:cs typeface="+mn-cs"/>
                        </a:rPr>
                        <m:t>𝐷</m:t>
                      </m:r>
                    </m:sub>
                  </m:sSub>
                </m:oMath>
              </a14:m>
              <a:r>
                <a:rPr lang="en-US" sz="1100" i="1">
                  <a:solidFill>
                    <a:sysClr val="windowText" lastClr="000000"/>
                  </a:solidFill>
                  <a:latin typeface="Cambria Math" panose="02040503050406030204" pitchFamily="18" charset="0"/>
                  <a:ea typeface="Cambria Math" panose="02040503050406030204" pitchFamily="18" charset="0"/>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E6F4D8A1-7769-4B8A-B877-0F7B86F0EE25}"/>
                </a:ext>
              </a:extLst>
            </xdr:cNvPr>
            <xdr:cNvSpPr txBox="1"/>
          </xdr:nvSpPr>
          <xdr:spPr>
            <a:xfrm>
              <a:off x="388620" y="8448675"/>
              <a:ext cx="5173980"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 (𝑃𝑃𝐹</a:t>
              </a:r>
              <a:r>
                <a:rPr lang="en-US" sz="1100" b="0" i="0" baseline="-25000">
                  <a:solidFill>
                    <a:sysClr val="windowText" lastClr="000000"/>
                  </a:solidFill>
                  <a:latin typeface="Cambria Math" panose="02040503050406030204" pitchFamily="18" charset="0"/>
                  <a:ea typeface="Cambria Math" panose="02040503050406030204" pitchFamily="18" charset="0"/>
                </a:rPr>
                <a:t>𝐸𝐸,𝑖)/(</a:t>
              </a:r>
              <a:r>
                <a:rPr lang="en-US" sz="1100" b="0" i="0">
                  <a:solidFill>
                    <a:sysClr val="windowText" lastClr="000000"/>
                  </a:solidFill>
                  <a:latin typeface="Cambria Math" panose="02040503050406030204" pitchFamily="18" charset="0"/>
                  <a:ea typeface="Cambria Math" panose="02040503050406030204" pitchFamily="18" charset="0"/>
                </a:rPr>
                <a:t>𝑃𝑃𝐸</a:t>
              </a:r>
              <a:r>
                <a:rPr lang="en-US" sz="1100" b="0" i="0" baseline="-25000">
                  <a:solidFill>
                    <a:sysClr val="windowText" lastClr="000000"/>
                  </a:solidFill>
                  <a:latin typeface="Cambria Math" panose="02040503050406030204" pitchFamily="18" charset="0"/>
                  <a:ea typeface="Cambria Math" panose="02040503050406030204" pitchFamily="18" charset="0"/>
                </a:rPr>
                <a:t>𝐵𝐿,𝑖 </a:t>
              </a:r>
              <a:r>
                <a:rPr lang="en-US" sz="1100" b="0" i="0">
                  <a:solidFill>
                    <a:sysClr val="windowText" lastClr="000000"/>
                  </a:solidFill>
                  <a:latin typeface="Cambria Math" panose="02040503050406030204" pitchFamily="18" charset="0"/>
                  <a:ea typeface="Cambria Math" panose="02040503050406030204" pitchFamily="18" charset="0"/>
                </a:rPr>
                <a:t>𝑥 1000))−</a:t>
              </a:r>
              <a:r>
                <a:rPr lang="en-US" sz="1100" b="0" i="0">
                  <a:solidFill>
                    <a:sysClr val="windowText" lastClr="000000"/>
                  </a:solidFill>
                  <a:effectLst/>
                  <a:latin typeface="+mn-lt"/>
                  <a:ea typeface="+mn-ea"/>
                  <a:cs typeface="+mn-cs"/>
                </a:rPr>
                <a:t>"</a:t>
              </a:r>
              <a:r>
                <a:rPr lang="en-US" sz="1100" i="0">
                  <a:solidFill>
                    <a:sysClr val="windowText" lastClr="000000"/>
                  </a:solidFill>
                  <a:effectLst/>
                  <a:latin typeface="+mn-lt"/>
                  <a:ea typeface="+mn-ea"/>
                  <a:cs typeface="+mn-cs"/>
                </a:rPr>
                <a:t>kW</a:t>
              </a:r>
              <a:r>
                <a:rPr lang="en-US" sz="1100" i="0" baseline="-25000">
                  <a:solidFill>
                    <a:sysClr val="windowText" lastClr="000000"/>
                  </a:solidFill>
                  <a:effectLst/>
                  <a:latin typeface="+mn-lt"/>
                  <a:ea typeface="+mn-ea"/>
                  <a:cs typeface="+mn-cs"/>
                </a:rPr>
                <a:t>EE,i </a:t>
              </a:r>
              <a:r>
                <a:rPr lang="en-US" sz="1100" i="0" baseline="-25000">
                  <a:solidFill>
                    <a:sysClr val="windowText" lastClr="000000"/>
                  </a:solidFill>
                  <a:effectLst/>
                  <a:latin typeface="Cambria Math" panose="02040503050406030204" pitchFamily="18" charset="0"/>
                  <a:ea typeface="+mn-ea"/>
                  <a:cs typeface="+mn-cs"/>
                </a:rPr>
                <a:t>" )</a:t>
              </a:r>
              <a:r>
                <a:rPr lang="en-US" sz="1100" b="0" i="0">
                  <a:solidFill>
                    <a:sysClr val="windowText" lastClr="000000"/>
                  </a:solidFill>
                  <a:effectLst/>
                  <a:latin typeface="Cambria Math" panose="02040503050406030204" pitchFamily="18" charset="0"/>
                  <a:ea typeface="+mn-ea"/>
                  <a:cs typeface="+mn-cs"/>
                </a:rPr>
                <a:t>∗𝐶𝐹∗〖𝑊𝐻𝐹〗_𝐷</a:t>
              </a:r>
              <a:r>
                <a:rPr lang="en-US" sz="1100" i="1">
                  <a:solidFill>
                    <a:sysClr val="windowText" lastClr="000000"/>
                  </a:solidFill>
                  <a:latin typeface="Cambria Math" panose="02040503050406030204" pitchFamily="18" charset="0"/>
                  <a:ea typeface="Cambria Math" panose="02040503050406030204" pitchFamily="18" charset="0"/>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27.xml><?xml version="1.0" encoding="utf-8"?>
<xdr:wsDr xmlns:xdr="http://schemas.openxmlformats.org/drawingml/2006/spreadsheetDrawing" xmlns:a="http://schemas.openxmlformats.org/drawingml/2006/main">
  <xdr:oneCellAnchor>
    <xdr:from>
      <xdr:col>2</xdr:col>
      <xdr:colOff>9524</xdr:colOff>
      <xdr:row>60</xdr:row>
      <xdr:rowOff>171449</xdr:rowOff>
    </xdr:from>
    <xdr:ext cx="4229101" cy="523876"/>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36BA73B5-4901-4D70-A822-3CA64DFB5DE1}"/>
                </a:ext>
              </a:extLst>
            </xdr:cNvPr>
            <xdr:cNvSpPr txBox="1"/>
          </xdr:nvSpPr>
          <xdr:spPr>
            <a:xfrm>
              <a:off x="371474" y="20878799"/>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1</m:t>
                        </m:r>
                        <m:r>
                          <a:rPr lang="en-US" sz="1100" b="0" i="1">
                            <a:solidFill>
                              <a:sysClr val="windowText" lastClr="000000"/>
                            </a:solidFill>
                            <a:latin typeface="Cambria Math" panose="02040503050406030204" pitchFamily="18" charset="0"/>
                            <a:ea typeface="Cambria Math" panose="02040503050406030204" pitchFamily="18" charset="0"/>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m:t>
                            </m:r>
                          </m:e>
                          <m:sub>
                            <m:r>
                              <a:rPr lang="en-US" sz="1100" b="0" i="1">
                                <a:solidFill>
                                  <a:sysClr val="windowText" lastClr="000000"/>
                                </a:solidFill>
                                <a:latin typeface="Cambria Math" panose="02040503050406030204" pitchFamily="18" charset="0"/>
                                <a:ea typeface="Cambria Math" panose="02040503050406030204" pitchFamily="18" charset="0"/>
                              </a:rPr>
                              <m:t>𝑝𝑟𝑒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1−</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𝑅𝑇𝑅</m:t>
                            </m:r>
                          </m:e>
                          <m:sub>
                            <m:r>
                              <a:rPr lang="en-US" sz="1100" b="0" i="1">
                                <a:solidFill>
                                  <a:sysClr val="windowText" lastClr="000000"/>
                                </a:solidFill>
                                <a:latin typeface="Cambria Math" panose="02040503050406030204" pitchFamily="18" charset="0"/>
                                <a:ea typeface="Cambria Math" panose="02040503050406030204" pitchFamily="18" charset="0"/>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𝑝𝑜𝑠𝑡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𝑅𝑇𝑅</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𝐷</m:t>
                        </m:r>
                      </m:sub>
                    </m:sSub>
                  </m:oMath>
                </m:oMathPara>
              </a14:m>
              <a:endParaRPr lang="en-US" sz="1100">
                <a:solidFill>
                  <a:sysClr val="windowText" lastClr="000000"/>
                </a:solidFill>
              </a:endParaRPr>
            </a:p>
          </xdr:txBody>
        </xdr:sp>
      </mc:Choice>
      <mc:Fallback xmlns="">
        <xdr:sp macro="" textlink="">
          <xdr:nvSpPr>
            <xdr:cNvPr id="9" name="TextBox 8">
              <a:extLst>
                <a:ext uri="{FF2B5EF4-FFF2-40B4-BE49-F238E27FC236}">
                  <a16:creationId xmlns:a16="http://schemas.microsoft.com/office/drawing/2014/main" id="{36BA73B5-4901-4D70-A822-3CA64DFB5DE1}"/>
                </a:ext>
              </a:extLst>
            </xdr:cNvPr>
            <xdr:cNvSpPr txBox="1"/>
          </xdr:nvSpPr>
          <xdr:spPr>
            <a:xfrm>
              <a:off x="371474" y="20878799"/>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1𝑠𝑡=[(〖𝑘𝑊〗_𝑝𝑟𝑒∗</a:t>
              </a:r>
              <a:r>
                <a:rPr lang="en-US" sz="1100" b="0" i="0">
                  <a:solidFill>
                    <a:sysClr val="windowText" lastClr="000000"/>
                  </a:solidFill>
                  <a:effectLst/>
                  <a:latin typeface="Cambria Math" panose="02040503050406030204" pitchFamily="18" charset="0"/>
                  <a:ea typeface="+mn-ea"/>
                  <a:cs typeface="+mn-cs"/>
                </a:rPr>
                <a:t>〖# 𝑓𝑖𝑥𝑡𝑢𝑟𝑒〗_𝑝𝑟𝑒 )</a:t>
              </a:r>
              <a:r>
                <a:rPr lang="en-US" sz="1100" b="0" i="0">
                  <a:solidFill>
                    <a:sysClr val="windowText" lastClr="000000"/>
                  </a:solidFill>
                  <a:latin typeface="Cambria Math" panose="02040503050406030204" pitchFamily="18" charset="0"/>
                  <a:ea typeface="Cambria Math" panose="02040503050406030204" pitchFamily="18" charset="0"/>
                </a:rPr>
                <a:t>∗(1−〖𝑅𝑇𝑅〗_𝑝𝑟𝑒 )−</a:t>
              </a:r>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mn-ea"/>
                  <a:cs typeface="+mn-cs"/>
                </a:rPr>
                <a:t>(𝑘𝑊_𝑝𝑜𝑠𝑡∗〖# 𝑓𝑖𝑥𝑡𝑢𝑟𝑒〗_𝑝𝑜𝑠𝑡 )∗(1−〖𝑅𝑇𝑅〗_𝑝𝑜𝑠𝑡 )]</a:t>
              </a:r>
              <a:r>
                <a:rPr lang="en-US" sz="1100" b="0" i="0">
                  <a:solidFill>
                    <a:sysClr val="windowText" lastClr="000000"/>
                  </a:solidFill>
                  <a:latin typeface="Cambria Math" panose="02040503050406030204" pitchFamily="18" charset="0"/>
                  <a:ea typeface="Cambria Math" panose="02040503050406030204" pitchFamily="18" charset="0"/>
                </a:rPr>
                <a:t>∗𝐶𝐹∗</a:t>
              </a:r>
              <a:r>
                <a:rPr lang="en-US" sz="1100" b="0" i="0">
                  <a:solidFill>
                    <a:sysClr val="windowText" lastClr="000000"/>
                  </a:solidFill>
                  <a:effectLst/>
                  <a:latin typeface="Cambria Math" panose="02040503050406030204" pitchFamily="18" charset="0"/>
                  <a:ea typeface="+mn-ea"/>
                  <a:cs typeface="+mn-cs"/>
                </a:rPr>
                <a:t>〖𝐼𝐸〗_(𝐶,𝐷)</a:t>
              </a:r>
              <a:endParaRPr lang="en-US" sz="1100">
                <a:solidFill>
                  <a:sysClr val="windowText" lastClr="000000"/>
                </a:solidFill>
              </a:endParaRPr>
            </a:p>
          </xdr:txBody>
        </xdr:sp>
      </mc:Fallback>
    </mc:AlternateContent>
    <xdr:clientData/>
  </xdr:oneCellAnchor>
  <xdr:oneCellAnchor>
    <xdr:from>
      <xdr:col>2</xdr:col>
      <xdr:colOff>38100</xdr:colOff>
      <xdr:row>89</xdr:row>
      <xdr:rowOff>9526</xdr:rowOff>
    </xdr:from>
    <xdr:ext cx="3914775" cy="182614"/>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182E517C-1C1A-4EC5-8473-3B1C50C99C81}"/>
                </a:ext>
              </a:extLst>
            </xdr:cNvPr>
            <xdr:cNvSpPr txBox="1"/>
          </xdr:nvSpPr>
          <xdr:spPr>
            <a:xfrm>
              <a:off x="400050" y="26241376"/>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r>
                              <a:rPr lang="en-US" sz="1100" b="0" i="1">
                                <a:solidFill>
                                  <a:sysClr val="windowText" lastClr="000000"/>
                                </a:solidFill>
                                <a:effectLst/>
                                <a:latin typeface="Cambria Math" panose="02040503050406030204" pitchFamily="18" charset="0"/>
                                <a:ea typeface="+mn-ea"/>
                                <a:cs typeface="+mn-cs"/>
                              </a:rPr>
                              <m:t>3</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𝑝𝑟𝑒</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𝑒𝑥𝑖𝑠𝑡𝑖𝑛𝑔</m:t>
                        </m:r>
                      </m:sub>
                    </m:sSub>
                  </m:oMath>
                </m:oMathPara>
              </a14:m>
              <a:endParaRPr lang="en-US" sz="1100">
                <a:solidFill>
                  <a:sysClr val="windowText" lastClr="000000"/>
                </a:solidFill>
              </a:endParaRPr>
            </a:p>
          </xdr:txBody>
        </xdr:sp>
      </mc:Choice>
      <mc:Fallback xmlns="">
        <xdr:sp macro="" textlink="">
          <xdr:nvSpPr>
            <xdr:cNvPr id="10" name="TextBox 9">
              <a:extLst>
                <a:ext uri="{FF2B5EF4-FFF2-40B4-BE49-F238E27FC236}">
                  <a16:creationId xmlns:a16="http://schemas.microsoft.com/office/drawing/2014/main" id="{182E517C-1C1A-4EC5-8473-3B1C50C99C81}"/>
                </a:ext>
              </a:extLst>
            </xdr:cNvPr>
            <xdr:cNvSpPr txBox="1"/>
          </xdr:nvSpPr>
          <xdr:spPr>
            <a:xfrm>
              <a:off x="400050" y="26241376"/>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𝑅𝑈𝐿=〖1∕3∗𝐸𝑈𝐿〗_(𝑝𝑟𝑒−𝑒𝑥𝑖𝑠𝑡𝑖𝑛𝑔)</a:t>
              </a:r>
              <a:endParaRPr lang="en-US" sz="1100">
                <a:solidFill>
                  <a:sysClr val="windowText" lastClr="000000"/>
                </a:solidFill>
              </a:endParaRPr>
            </a:p>
          </xdr:txBody>
        </xdr:sp>
      </mc:Fallback>
    </mc:AlternateContent>
    <xdr:clientData/>
  </xdr:oneCellAnchor>
  <xdr:oneCellAnchor>
    <xdr:from>
      <xdr:col>2</xdr:col>
      <xdr:colOff>38100</xdr:colOff>
      <xdr:row>85</xdr:row>
      <xdr:rowOff>19050</xdr:rowOff>
    </xdr:from>
    <xdr:ext cx="4048125" cy="183127"/>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C49C6D5C-3A2D-43DB-80E6-CFB7A86D6324}"/>
                </a:ext>
              </a:extLst>
            </xdr:cNvPr>
            <xdr:cNvSpPr txBox="1"/>
          </xdr:nvSpPr>
          <xdr:spPr>
            <a:xfrm>
              <a:off x="400050" y="25488900"/>
              <a:ext cx="404812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0">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100" b="0" i="1">
                            <a:solidFill>
                              <a:sysClr val="windowText" lastClr="000000"/>
                            </a:solidFill>
                            <a:effectLst/>
                            <a:latin typeface="Cambria Math" panose="02040503050406030204" pitchFamily="18" charset="0"/>
                            <a:ea typeface="+mn-ea"/>
                            <a:cs typeface="+mn-cs"/>
                          </a:rPr>
                          <m:t>𝑅𝑈𝐿</m:t>
                        </m:r>
                      </m:e>
                    </m:d>
                  </m:oMath>
                </m:oMathPara>
              </a14:m>
              <a:endParaRPr lang="en-US" sz="1100">
                <a:solidFill>
                  <a:sysClr val="windowText" lastClr="000000"/>
                </a:solidFill>
              </a:endParaRPr>
            </a:p>
          </xdr:txBody>
        </xdr:sp>
      </mc:Choice>
      <mc:Fallback xmlns="">
        <xdr:sp macro="" textlink="">
          <xdr:nvSpPr>
            <xdr:cNvPr id="11" name="TextBox 10">
              <a:extLst>
                <a:ext uri="{FF2B5EF4-FFF2-40B4-BE49-F238E27FC236}">
                  <a16:creationId xmlns:a16="http://schemas.microsoft.com/office/drawing/2014/main" id="{C49C6D5C-3A2D-43DB-80E6-CFB7A86D6324}"/>
                </a:ext>
              </a:extLst>
            </xdr:cNvPr>
            <xdr:cNvSpPr txBox="1"/>
          </xdr:nvSpPr>
          <xdr:spPr>
            <a:xfrm>
              <a:off x="400050" y="25488900"/>
              <a:ext cx="404812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𝑙𝑖𝑓𝑒,</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𝑘𝑊ℎ〗_1𝑠𝑡∗𝑅𝑈𝐿+〖</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𝑘𝑊ℎ〗_2𝑛𝑑∗(〖𝐸𝑈𝐿〗_𝐸𝐸</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𝑅𝑈𝐿)</a:t>
              </a:r>
              <a:endParaRPr lang="en-US" sz="1100">
                <a:solidFill>
                  <a:sysClr val="windowText" lastClr="000000"/>
                </a:solidFill>
              </a:endParaRPr>
            </a:p>
          </xdr:txBody>
        </xdr:sp>
      </mc:Fallback>
    </mc:AlternateContent>
    <xdr:clientData/>
  </xdr:oneCellAnchor>
  <xdr:oneCellAnchor>
    <xdr:from>
      <xdr:col>2</xdr:col>
      <xdr:colOff>19051</xdr:colOff>
      <xdr:row>48</xdr:row>
      <xdr:rowOff>161925</xdr:rowOff>
    </xdr:from>
    <xdr:ext cx="5048250" cy="885825"/>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542AC796-C149-4258-B69E-3222A6F0390D}"/>
                </a:ext>
              </a:extLst>
            </xdr:cNvPr>
            <xdr:cNvSpPr txBox="1"/>
          </xdr:nvSpPr>
          <xdr:spPr>
            <a:xfrm>
              <a:off x="381001" y="18545175"/>
              <a:ext cx="5048250" cy="885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𝐻𝑂𝑈</m:t>
                        </m:r>
                      </m:e>
                      <m:sub>
                        <m:r>
                          <a:rPr lang="en-US" sz="1100" b="0" i="1">
                            <a:solidFill>
                              <a:sysClr val="windowText" lastClr="000000"/>
                            </a:solidFill>
                            <a:effectLst/>
                            <a:latin typeface="Cambria Math" panose="02040503050406030204" pitchFamily="18" charset="0"/>
                            <a:ea typeface="+mn-ea"/>
                            <a:cs typeface="+mn-cs"/>
                          </a:rPr>
                          <m:t>𝑦𝑒𝑎𝑟</m:t>
                        </m:r>
                      </m:sub>
                    </m:sSub>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latin typeface="Cambria Math" panose="02040503050406030204" pitchFamily="18" charset="0"/>
                            <a:ea typeface="Cambria Math" panose="02040503050406030204" pitchFamily="18" charset="0"/>
                          </a:rPr>
                        </m:ctrlPr>
                      </m:dPr>
                      <m:e>
                        <m:nary>
                          <m:naryPr>
                            <m:chr m:val="∑"/>
                            <m:ctrlPr>
                              <a:rPr lang="en-US" sz="1100" b="0" i="1">
                                <a:solidFill>
                                  <a:sysClr val="windowText" lastClr="000000"/>
                                </a:solidFill>
                                <a:effectLst/>
                                <a:latin typeface="Cambria Math" panose="02040503050406030204" pitchFamily="18" charset="0"/>
                                <a:ea typeface="+mn-ea"/>
                                <a:cs typeface="+mn-cs"/>
                              </a:rPr>
                            </m:ctrlPr>
                          </m:naryPr>
                          <m:sub>
                            <m:r>
                              <m:rPr>
                                <m:brk m:alnAt="23"/>
                              </m:rPr>
                              <a:rPr lang="en-US" sz="1100" b="0" i="1">
                                <a:solidFill>
                                  <a:sysClr val="windowText" lastClr="000000"/>
                                </a:solidFill>
                                <a:effectLst/>
                                <a:latin typeface="Cambria Math" panose="02040503050406030204" pitchFamily="18" charset="0"/>
                                <a:ea typeface="+mn-ea"/>
                                <a:cs typeface="+mn-cs"/>
                              </a:rPr>
                              <m:t>𝑖</m:t>
                            </m:r>
                            <m:r>
                              <a:rPr lang="en-US" sz="1100" b="0" i="1">
                                <a:solidFill>
                                  <a:sysClr val="windowText" lastClr="000000"/>
                                </a:solidFill>
                                <a:effectLst/>
                                <a:latin typeface="Cambria Math" panose="02040503050406030204" pitchFamily="18" charset="0"/>
                                <a:ea typeface="+mn-ea"/>
                                <a:cs typeface="+mn-cs"/>
                              </a:rPr>
                              <m:t>=1</m:t>
                            </m:r>
                          </m:sub>
                          <m:sup>
                            <m:r>
                              <a:rPr lang="en-US" sz="1100" b="0" i="1">
                                <a:solidFill>
                                  <a:sysClr val="windowText" lastClr="000000"/>
                                </a:solidFill>
                                <a:effectLst/>
                                <a:latin typeface="Cambria Math" panose="02040503050406030204" pitchFamily="18" charset="0"/>
                                <a:ea typeface="+mn-ea"/>
                                <a:cs typeface="+mn-cs"/>
                              </a:rPr>
                              <m:t>7</m:t>
                            </m:r>
                          </m:sup>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𝐻𝑜𝑢𝑟𝑠</m:t>
                                    </m:r>
                                  </m:e>
                                  <m:sub>
                                    <m:r>
                                      <a:rPr lang="en-US" sz="1100" b="0" i="1">
                                        <a:solidFill>
                                          <a:sysClr val="windowText" lastClr="000000"/>
                                        </a:solidFill>
                                        <a:effectLst/>
                                        <a:latin typeface="Cambria Math" panose="02040503050406030204" pitchFamily="18" charset="0"/>
                                        <a:ea typeface="+mn-ea"/>
                                        <a:cs typeface="+mn-cs"/>
                                      </a:rPr>
                                      <m:t>𝑑𝑎𝑦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𝑜𝑓</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𝑤𝑒𝑒𝑘</m:t>
                                    </m:r>
                                  </m:sub>
                                </m:sSub>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𝑖</m:t>
                                </m:r>
                              </m:sub>
                            </m:sSub>
                          </m:e>
                        </m:nary>
                      </m:e>
                    </m:d>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52.14 </m:t>
                        </m:r>
                        <m:r>
                          <a:rPr lang="en-US" sz="1100" b="0" i="1">
                            <a:solidFill>
                              <a:sysClr val="windowText" lastClr="000000"/>
                            </a:solidFill>
                            <a:latin typeface="Cambria Math" panose="02040503050406030204" pitchFamily="18" charset="0"/>
                            <a:ea typeface="Cambria Math" panose="02040503050406030204" pitchFamily="18" charset="0"/>
                          </a:rPr>
                          <m:t>𝑤𝑒𝑒𝑘𝑠</m:t>
                        </m:r>
                      </m:num>
                      <m:den>
                        <m:r>
                          <a:rPr lang="en-US" sz="1100" b="0" i="1">
                            <a:solidFill>
                              <a:sysClr val="windowText" lastClr="000000"/>
                            </a:solidFill>
                            <a:latin typeface="Cambria Math" panose="02040503050406030204" pitchFamily="18" charset="0"/>
                            <a:ea typeface="Cambria Math" panose="02040503050406030204" pitchFamily="18" charset="0"/>
                          </a:rPr>
                          <m:t>𝑦𝑒𝑎𝑟</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𝐻𝑜𝑙𝑖𝑑𝑎𝑦𝑠</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𝐴𝑣𝑔</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𝑂𝑝𝑒𝑟𝑎𝑡𝑖𝑛𝑔</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𝐻𝑜𝑢𝑟𝑠</m:t>
                        </m:r>
                      </m:e>
                      <m:sub>
                        <m:r>
                          <a:rPr lang="en-US" sz="1100" b="0" i="1">
                            <a:solidFill>
                              <a:sysClr val="windowText" lastClr="000000"/>
                            </a:solidFill>
                            <a:latin typeface="Cambria Math" panose="02040503050406030204" pitchFamily="18" charset="0"/>
                            <a:ea typeface="Cambria Math" panose="02040503050406030204" pitchFamily="18" charset="0"/>
                          </a:rPr>
                          <m:t>𝑑𝑎𝑦</m:t>
                        </m:r>
                      </m:sub>
                    </m:sSub>
                  </m:oMath>
                </m:oMathPara>
              </a14:m>
              <a:endParaRPr lang="en-US" sz="1100">
                <a:solidFill>
                  <a:sysClr val="windowText" lastClr="000000"/>
                </a:solidFill>
              </a:endParaRPr>
            </a:p>
          </xdr:txBody>
        </xdr:sp>
      </mc:Choice>
      <mc:Fallback xmlns="">
        <xdr:sp macro="" textlink="">
          <xdr:nvSpPr>
            <xdr:cNvPr id="12" name="TextBox 11">
              <a:extLst>
                <a:ext uri="{FF2B5EF4-FFF2-40B4-BE49-F238E27FC236}">
                  <a16:creationId xmlns:a16="http://schemas.microsoft.com/office/drawing/2014/main" id="{542AC796-C149-4258-B69E-3222A6F0390D}"/>
                </a:ext>
              </a:extLst>
            </xdr:cNvPr>
            <xdr:cNvSpPr txBox="1"/>
          </xdr:nvSpPr>
          <xdr:spPr>
            <a:xfrm>
              <a:off x="381001" y="18545175"/>
              <a:ext cx="5048250" cy="885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〖𝐻𝑂𝑈〗_</a:t>
              </a:r>
              <a:r>
                <a:rPr lang="en-US" sz="1100" b="0" i="0">
                  <a:solidFill>
                    <a:sysClr val="windowText" lastClr="000000"/>
                  </a:solidFill>
                  <a:effectLst/>
                  <a:latin typeface="Cambria Math" panose="02040503050406030204" pitchFamily="18" charset="0"/>
                  <a:ea typeface="+mn-ea"/>
                  <a:cs typeface="+mn-cs"/>
                </a:rPr>
                <a:t>𝑦𝑒𝑎𝑟</a:t>
              </a:r>
              <a:r>
                <a:rPr lang="en-US" sz="1100" b="0" i="0">
                  <a:solidFill>
                    <a:sysClr val="windowText" lastClr="000000"/>
                  </a:solidFill>
                  <a:latin typeface="Cambria Math" panose="02040503050406030204" pitchFamily="18" charset="0"/>
                  <a:ea typeface="Cambria Math" panose="02040503050406030204" pitchFamily="18" charset="0"/>
                </a:rPr>
                <a:t>=</a:t>
              </a:r>
              <a:endParaRPr lang="en-US" sz="1100" b="0" i="1">
                <a:solidFill>
                  <a:sysClr val="windowText" lastClr="000000"/>
                </a:solidFill>
                <a:latin typeface="Cambria Math" panose="02040503050406030204" pitchFamily="18" charset="0"/>
                <a:ea typeface="Cambria Math" panose="02040503050406030204" pitchFamily="18" charset="0"/>
              </a:endParaRPr>
            </a:p>
            <a:p>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∑_(𝑖=1)^7▒〖(〖𝐻𝑜𝑢𝑟𝑠〗_(𝑑𝑎𝑦 𝑜𝑓 𝑤𝑒𝑒𝑘))〗_𝑖 )</a:t>
              </a:r>
              <a:r>
                <a:rPr lang="en-US" sz="1100" b="0" i="0">
                  <a:solidFill>
                    <a:sysClr val="windowText" lastClr="000000"/>
                  </a:solidFill>
                  <a:latin typeface="Cambria Math" panose="02040503050406030204" pitchFamily="18" charset="0"/>
                  <a:ea typeface="Cambria Math" panose="02040503050406030204" pitchFamily="18" charset="0"/>
                </a:rPr>
                <a:t>∗(52.14 𝑤𝑒𝑒𝑘𝑠)/𝑦𝑒𝑎𝑟−#𝐻𝑜𝑙𝑖𝑑𝑎𝑦𝑠∗𝐴𝑣𝑔. 𝑂𝑝𝑒𝑟𝑎𝑡𝑖𝑛𝑔 〖𝐻𝑜𝑢𝑟𝑠〗_𝑑𝑎𝑦</a:t>
              </a:r>
              <a:endParaRPr lang="en-US" sz="1100">
                <a:solidFill>
                  <a:sysClr val="windowText" lastClr="000000"/>
                </a:solidFill>
              </a:endParaRPr>
            </a:p>
          </xdr:txBody>
        </xdr:sp>
      </mc:Fallback>
    </mc:AlternateContent>
    <xdr:clientData/>
  </xdr:oneCellAnchor>
  <xdr:oneCellAnchor>
    <xdr:from>
      <xdr:col>2</xdr:col>
      <xdr:colOff>9524</xdr:colOff>
      <xdr:row>66</xdr:row>
      <xdr:rowOff>171449</xdr:rowOff>
    </xdr:from>
    <xdr:ext cx="4229101" cy="523876"/>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F0C9CFAA-F3FE-4AF8-939E-A5DDE3E8B9FB}"/>
                </a:ext>
              </a:extLst>
            </xdr:cNvPr>
            <xdr:cNvSpPr txBox="1"/>
          </xdr:nvSpPr>
          <xdr:spPr>
            <a:xfrm>
              <a:off x="371474" y="22021799"/>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2</m:t>
                        </m:r>
                        <m:r>
                          <a:rPr lang="en-US" sz="1100" b="0" i="1">
                            <a:solidFill>
                              <a:sysClr val="windowText" lastClr="000000"/>
                            </a:solidFill>
                            <a:latin typeface="Cambria Math" panose="02040503050406030204" pitchFamily="18" charset="0"/>
                            <a:ea typeface="Cambria Math" panose="02040503050406030204" pitchFamily="18" charset="0"/>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m:t>
                            </m:r>
                          </m:e>
                          <m:sub>
                            <m:r>
                              <a:rPr lang="en-US" sz="1100" b="0" i="1">
                                <a:solidFill>
                                  <a:sysClr val="windowText" lastClr="000000"/>
                                </a:solidFill>
                                <a:latin typeface="Cambria Math" panose="02040503050406030204" pitchFamily="18" charset="0"/>
                                <a:ea typeface="Cambria Math" panose="02040503050406030204" pitchFamily="18" charset="0"/>
                              </a:rPr>
                              <m:t>𝐹𝑒𝑑</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1−</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𝑅𝑇𝑅</m:t>
                            </m:r>
                          </m:e>
                          <m:sub>
                            <m:r>
                              <a:rPr lang="en-US" sz="1100" b="0" i="1">
                                <a:solidFill>
                                  <a:sysClr val="windowText" lastClr="000000"/>
                                </a:solidFill>
                                <a:latin typeface="Cambria Math" panose="02040503050406030204" pitchFamily="18" charset="0"/>
                                <a:ea typeface="Cambria Math" panose="02040503050406030204" pitchFamily="18" charset="0"/>
                              </a:rPr>
                              <m:t>𝐹𝑒𝑑</m:t>
                            </m:r>
                          </m:sub>
                        </m:sSub>
                      </m:e>
                    </m:d>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𝑝𝑜𝑠𝑡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𝑅𝑇𝑅</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𝐷</m:t>
                        </m:r>
                      </m:sub>
                    </m:sSub>
                  </m:oMath>
                </m:oMathPara>
              </a14:m>
              <a:endParaRPr lang="en-US" sz="11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F0C9CFAA-F3FE-4AF8-939E-A5DDE3E8B9FB}"/>
                </a:ext>
              </a:extLst>
            </xdr:cNvPr>
            <xdr:cNvSpPr txBox="1"/>
          </xdr:nvSpPr>
          <xdr:spPr>
            <a:xfrm>
              <a:off x="371474" y="22021799"/>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2𝑛𝑑=[(〖𝑘𝑊〗_𝐹𝑒𝑑∗</a:t>
              </a:r>
              <a:r>
                <a:rPr lang="en-US" sz="1100" b="0" i="0">
                  <a:solidFill>
                    <a:sysClr val="windowText" lastClr="000000"/>
                  </a:solidFill>
                  <a:effectLst/>
                  <a:latin typeface="Cambria Math" panose="02040503050406030204" pitchFamily="18" charset="0"/>
                  <a:ea typeface="+mn-ea"/>
                  <a:cs typeface="+mn-cs"/>
                </a:rPr>
                <a:t>〖# 𝑓𝑖𝑥𝑡𝑢𝑟𝑒〗_𝑝𝑟𝑒 )</a:t>
              </a:r>
              <a:r>
                <a:rPr lang="en-US" sz="1100" b="0" i="0">
                  <a:solidFill>
                    <a:sysClr val="windowText" lastClr="000000"/>
                  </a:solidFill>
                  <a:latin typeface="Cambria Math" panose="02040503050406030204" pitchFamily="18" charset="0"/>
                  <a:ea typeface="Cambria Math" panose="02040503050406030204" pitchFamily="18" charset="0"/>
                </a:rPr>
                <a:t>∗(1−〖𝑅𝑇𝑅〗_𝐹𝑒𝑑 )−</a:t>
              </a:r>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mn-ea"/>
                  <a:cs typeface="+mn-cs"/>
                </a:rPr>
                <a:t>(𝑘𝑊_𝑝𝑜𝑠𝑡∗〖# 𝑓𝑖𝑥𝑡𝑢𝑟𝑒〗_𝑝𝑜𝑠𝑡 )∗(1−〖𝑅𝑇𝑅〗_𝑝𝑜𝑠𝑡 )]</a:t>
              </a:r>
              <a:r>
                <a:rPr lang="en-US" sz="1100" b="0" i="0">
                  <a:solidFill>
                    <a:sysClr val="windowText" lastClr="000000"/>
                  </a:solidFill>
                  <a:latin typeface="Cambria Math" panose="02040503050406030204" pitchFamily="18" charset="0"/>
                  <a:ea typeface="Cambria Math" panose="02040503050406030204" pitchFamily="18" charset="0"/>
                </a:rPr>
                <a:t>∗𝐶𝐹∗</a:t>
              </a:r>
              <a:r>
                <a:rPr lang="en-US" sz="1100" b="0" i="0">
                  <a:solidFill>
                    <a:sysClr val="windowText" lastClr="000000"/>
                  </a:solidFill>
                  <a:effectLst/>
                  <a:latin typeface="Cambria Math" panose="02040503050406030204" pitchFamily="18" charset="0"/>
                  <a:ea typeface="+mn-ea"/>
                  <a:cs typeface="+mn-cs"/>
                </a:rPr>
                <a:t>〖𝐼𝐸〗_(𝐶,𝐷)</a:t>
              </a:r>
              <a:endParaRPr lang="en-US" sz="1100">
                <a:solidFill>
                  <a:sysClr val="windowText" lastClr="000000"/>
                </a:solidFill>
              </a:endParaRPr>
            </a:p>
          </xdr:txBody>
        </xdr:sp>
      </mc:Fallback>
    </mc:AlternateContent>
    <xdr:clientData/>
  </xdr:oneCellAnchor>
  <xdr:oneCellAnchor>
    <xdr:from>
      <xdr:col>2</xdr:col>
      <xdr:colOff>19050</xdr:colOff>
      <xdr:row>72</xdr:row>
      <xdr:rowOff>180975</xdr:rowOff>
    </xdr:from>
    <xdr:ext cx="4229101" cy="523876"/>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18623093-2530-4741-8834-974BAE457BF2}"/>
                </a:ext>
              </a:extLst>
            </xdr:cNvPr>
            <xdr:cNvSpPr txBox="1"/>
          </xdr:nvSpPr>
          <xdr:spPr>
            <a:xfrm>
              <a:off x="381000" y="23174325"/>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1</m:t>
                        </m:r>
                        <m:r>
                          <a:rPr lang="en-US" sz="1100" b="0" i="1">
                            <a:solidFill>
                              <a:sysClr val="windowText" lastClr="000000"/>
                            </a:solidFill>
                            <a:latin typeface="Cambria Math" panose="02040503050406030204" pitchFamily="18" charset="0"/>
                            <a:ea typeface="Cambria Math" panose="02040503050406030204" pitchFamily="18" charset="0"/>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m:t>
                            </m:r>
                          </m:e>
                          <m:sub>
                            <m:r>
                              <a:rPr lang="en-US" sz="1100" b="0" i="1">
                                <a:solidFill>
                                  <a:sysClr val="windowText" lastClr="000000"/>
                                </a:solidFill>
                                <a:latin typeface="Cambria Math" panose="02040503050406030204" pitchFamily="18" charset="0"/>
                                <a:ea typeface="Cambria Math" panose="02040503050406030204" pitchFamily="18" charset="0"/>
                              </a:rPr>
                              <m:t>𝑝𝑟𝑒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1−</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𝑅𝑇𝑅</m:t>
                            </m:r>
                          </m:e>
                          <m:sub>
                            <m:r>
                              <a:rPr lang="en-US" sz="1100" b="0" i="1">
                                <a:solidFill>
                                  <a:sysClr val="windowText" lastClr="000000"/>
                                </a:solidFill>
                                <a:latin typeface="Cambria Math" panose="02040503050406030204" pitchFamily="18" charset="0"/>
                                <a:ea typeface="Cambria Math" panose="02040503050406030204" pitchFamily="18" charset="0"/>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𝑝𝑜𝑠𝑡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𝑅𝑇𝑅</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𝐻𝑂𝑈</m:t>
                        </m:r>
                      </m:e>
                      <m:sub>
                        <m:r>
                          <a:rPr lang="en-US" sz="1100" b="0" i="1">
                            <a:solidFill>
                              <a:sysClr val="windowText" lastClr="000000"/>
                            </a:solidFill>
                            <a:effectLst/>
                            <a:latin typeface="Cambria Math" panose="02040503050406030204" pitchFamily="18" charset="0"/>
                            <a:ea typeface="+mn-ea"/>
                            <a:cs typeface="+mn-cs"/>
                          </a:rPr>
                          <m:t>𝑦𝑒𝑎𝑟</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m:t>
                        </m:r>
                      </m:sub>
                    </m:sSub>
                  </m:oMath>
                </m:oMathPara>
              </a14:m>
              <a:endParaRPr lang="en-US" sz="1100">
                <a:solidFill>
                  <a:sysClr val="windowText" lastClr="000000"/>
                </a:solidFill>
              </a:endParaRPr>
            </a:p>
          </xdr:txBody>
        </xdr:sp>
      </mc:Choice>
      <mc:Fallback xmlns="">
        <xdr:sp macro="" textlink="">
          <xdr:nvSpPr>
            <xdr:cNvPr id="14" name="TextBox 13">
              <a:extLst>
                <a:ext uri="{FF2B5EF4-FFF2-40B4-BE49-F238E27FC236}">
                  <a16:creationId xmlns:a16="http://schemas.microsoft.com/office/drawing/2014/main" id="{18623093-2530-4741-8834-974BAE457BF2}"/>
                </a:ext>
              </a:extLst>
            </xdr:cNvPr>
            <xdr:cNvSpPr txBox="1"/>
          </xdr:nvSpPr>
          <xdr:spPr>
            <a:xfrm>
              <a:off x="381000" y="23174325"/>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1𝑠𝑡=[(〖𝑘𝑊〗_𝑝𝑟𝑒∗</a:t>
              </a:r>
              <a:r>
                <a:rPr lang="en-US" sz="1100" b="0" i="0">
                  <a:solidFill>
                    <a:sysClr val="windowText" lastClr="000000"/>
                  </a:solidFill>
                  <a:effectLst/>
                  <a:latin typeface="Cambria Math" panose="02040503050406030204" pitchFamily="18" charset="0"/>
                  <a:ea typeface="+mn-ea"/>
                  <a:cs typeface="+mn-cs"/>
                </a:rPr>
                <a:t>〖# 𝑓𝑖𝑥𝑡𝑢𝑟𝑒〗_𝑝𝑟𝑒 )</a:t>
              </a:r>
              <a:r>
                <a:rPr lang="en-US" sz="1100" b="0" i="0">
                  <a:solidFill>
                    <a:sysClr val="windowText" lastClr="000000"/>
                  </a:solidFill>
                  <a:latin typeface="Cambria Math" panose="02040503050406030204" pitchFamily="18" charset="0"/>
                  <a:ea typeface="Cambria Math" panose="02040503050406030204" pitchFamily="18" charset="0"/>
                </a:rPr>
                <a:t>∗(1−〖𝑅𝑇𝑅〗_𝑝𝑟𝑒 )−</a:t>
              </a:r>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mn-ea"/>
                  <a:cs typeface="+mn-cs"/>
                </a:rPr>
                <a:t>(𝑘𝑊_𝑝𝑜𝑠𝑡∗〖# 𝑓𝑖𝑥𝑡𝑢𝑟𝑒〗_𝑝𝑜𝑠𝑡 )∗(1−〖𝑅𝑇𝑅〗_𝑝𝑜𝑠𝑡 )]</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〖𝐻𝑂𝑈〗_𝑦𝑒𝑎𝑟</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〖𝐼𝐸〗_(𝐶,𝐸)</a:t>
              </a:r>
              <a:endParaRPr lang="en-US" sz="1100">
                <a:solidFill>
                  <a:sysClr val="windowText" lastClr="000000"/>
                </a:solidFill>
              </a:endParaRPr>
            </a:p>
          </xdr:txBody>
        </xdr:sp>
      </mc:Fallback>
    </mc:AlternateContent>
    <xdr:clientData/>
  </xdr:oneCellAnchor>
  <xdr:oneCellAnchor>
    <xdr:from>
      <xdr:col>2</xdr:col>
      <xdr:colOff>9525</xdr:colOff>
      <xdr:row>78</xdr:row>
      <xdr:rowOff>161925</xdr:rowOff>
    </xdr:from>
    <xdr:ext cx="4229101" cy="523876"/>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4D541A49-F0C2-4043-80E9-A8EF8C7DDB59}"/>
                </a:ext>
              </a:extLst>
            </xdr:cNvPr>
            <xdr:cNvSpPr txBox="1"/>
          </xdr:nvSpPr>
          <xdr:spPr>
            <a:xfrm>
              <a:off x="371475" y="24298275"/>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2</m:t>
                        </m:r>
                        <m:r>
                          <a:rPr lang="en-US" sz="1100" b="0" i="1">
                            <a:solidFill>
                              <a:sysClr val="windowText" lastClr="000000"/>
                            </a:solidFill>
                            <a:latin typeface="Cambria Math" panose="02040503050406030204" pitchFamily="18" charset="0"/>
                            <a:ea typeface="Cambria Math" panose="02040503050406030204" pitchFamily="18" charset="0"/>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m:t>
                            </m:r>
                          </m:e>
                          <m:sub>
                            <m:r>
                              <a:rPr lang="en-US" sz="1100" b="0" i="1">
                                <a:solidFill>
                                  <a:sysClr val="windowText" lastClr="000000"/>
                                </a:solidFill>
                                <a:latin typeface="Cambria Math" panose="02040503050406030204" pitchFamily="18" charset="0"/>
                                <a:ea typeface="Cambria Math" panose="02040503050406030204" pitchFamily="18" charset="0"/>
                              </a:rPr>
                              <m:t>𝐹𝑒𝑑</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1−</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𝑅𝑇𝑅</m:t>
                            </m:r>
                          </m:e>
                          <m:sub>
                            <m:r>
                              <a:rPr lang="en-US" sz="1100" b="0" i="1">
                                <a:solidFill>
                                  <a:sysClr val="windowText" lastClr="000000"/>
                                </a:solidFill>
                                <a:latin typeface="Cambria Math" panose="02040503050406030204" pitchFamily="18" charset="0"/>
                                <a:ea typeface="Cambria Math" panose="02040503050406030204" pitchFamily="18" charset="0"/>
                              </a:rPr>
                              <m:t>𝐹𝑒𝑑</m:t>
                            </m:r>
                          </m:sub>
                        </m:sSub>
                      </m:e>
                    </m:d>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𝑝𝑜𝑠𝑡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𝑅𝑇𝑅</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𝐻𝑂𝑈</m:t>
                        </m:r>
                      </m:e>
                      <m:sub>
                        <m:r>
                          <a:rPr lang="en-US" sz="1100" b="0" i="1">
                            <a:solidFill>
                              <a:sysClr val="windowText" lastClr="000000"/>
                            </a:solidFill>
                            <a:effectLst/>
                            <a:latin typeface="Cambria Math" panose="02040503050406030204" pitchFamily="18" charset="0"/>
                            <a:ea typeface="+mn-ea"/>
                            <a:cs typeface="+mn-cs"/>
                          </a:rPr>
                          <m:t>𝑦𝑒𝑎𝑟</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m:t>
                        </m:r>
                      </m:sub>
                    </m:sSub>
                  </m:oMath>
                </m:oMathPara>
              </a14:m>
              <a:endParaRPr lang="en-US" sz="1100">
                <a:solidFill>
                  <a:sysClr val="windowText" lastClr="000000"/>
                </a:solidFill>
              </a:endParaRPr>
            </a:p>
          </xdr:txBody>
        </xdr:sp>
      </mc:Choice>
      <mc:Fallback xmlns="">
        <xdr:sp macro="" textlink="">
          <xdr:nvSpPr>
            <xdr:cNvPr id="15" name="TextBox 14">
              <a:extLst>
                <a:ext uri="{FF2B5EF4-FFF2-40B4-BE49-F238E27FC236}">
                  <a16:creationId xmlns:a16="http://schemas.microsoft.com/office/drawing/2014/main" id="{4D541A49-F0C2-4043-80E9-A8EF8C7DDB59}"/>
                </a:ext>
              </a:extLst>
            </xdr:cNvPr>
            <xdr:cNvSpPr txBox="1"/>
          </xdr:nvSpPr>
          <xdr:spPr>
            <a:xfrm>
              <a:off x="371475" y="24298275"/>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2𝑛𝑑=[(〖𝑘𝑊〗_𝐹𝑒𝑑∗</a:t>
              </a:r>
              <a:r>
                <a:rPr lang="en-US" sz="1100" b="0" i="0">
                  <a:solidFill>
                    <a:sysClr val="windowText" lastClr="000000"/>
                  </a:solidFill>
                  <a:effectLst/>
                  <a:latin typeface="Cambria Math" panose="02040503050406030204" pitchFamily="18" charset="0"/>
                  <a:ea typeface="+mn-ea"/>
                  <a:cs typeface="+mn-cs"/>
                </a:rPr>
                <a:t>〖# 𝑓𝑖𝑥𝑡𝑢𝑟𝑒〗_𝑝𝑟𝑒 )</a:t>
              </a:r>
              <a:r>
                <a:rPr lang="en-US" sz="1100" b="0" i="0">
                  <a:solidFill>
                    <a:sysClr val="windowText" lastClr="000000"/>
                  </a:solidFill>
                  <a:latin typeface="Cambria Math" panose="02040503050406030204" pitchFamily="18" charset="0"/>
                  <a:ea typeface="Cambria Math" panose="02040503050406030204" pitchFamily="18" charset="0"/>
                </a:rPr>
                <a:t>∗(1−〖𝑅𝑇𝑅〗_𝐹𝑒𝑑 )−</a:t>
              </a:r>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mn-ea"/>
                  <a:cs typeface="+mn-cs"/>
                </a:rPr>
                <a:t>(𝑘𝑊_𝑝𝑜𝑠𝑡∗〖# 𝑓𝑖𝑥𝑡𝑢𝑟𝑒〗_𝑝𝑜𝑠𝑡 )∗(1−〖𝑅𝑇𝑅〗_𝑝𝑜𝑠𝑡 )]</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〖𝐻𝑂𝑈〗_𝑦𝑒𝑎𝑟</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〖𝐼𝐸〗_(𝐶,𝐸)</a:t>
              </a:r>
              <a:endParaRPr lang="en-US" sz="1100">
                <a:solidFill>
                  <a:sysClr val="windowText" lastClr="000000"/>
                </a:solidFill>
              </a:endParaRPr>
            </a:p>
          </xdr:txBody>
        </xdr:sp>
      </mc:Fallback>
    </mc:AlternateContent>
    <xdr:clientData/>
  </xdr:one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26</xdr:row>
      <xdr:rowOff>1</xdr:rowOff>
    </xdr:from>
    <xdr:to>
      <xdr:col>18</xdr:col>
      <xdr:colOff>85725</xdr:colOff>
      <xdr:row>39</xdr:row>
      <xdr:rowOff>24187</xdr:rowOff>
    </xdr:to>
    <xdr:pic>
      <xdr:nvPicPr>
        <xdr:cNvPr id="2" name="Picture 1">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1" cstate="print"/>
        <a:srcRect/>
        <a:stretch>
          <a:fillRect/>
        </a:stretch>
      </xdr:blipFill>
      <xdr:spPr bwMode="auto">
        <a:xfrm>
          <a:off x="0" y="5067301"/>
          <a:ext cx="3343275" cy="2500686"/>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18</xdr:col>
      <xdr:colOff>85725</xdr:colOff>
      <xdr:row>44</xdr:row>
      <xdr:rowOff>7665</xdr:rowOff>
    </xdr:to>
    <xdr:pic>
      <xdr:nvPicPr>
        <xdr:cNvPr id="3" name="Picture 2">
          <a:extLst>
            <a:ext uri="{FF2B5EF4-FFF2-40B4-BE49-F238E27FC236}">
              <a16:creationId xmlns:a16="http://schemas.microsoft.com/office/drawing/2014/main" id="{00000000-0008-0000-2B00-000003000000}"/>
            </a:ext>
          </a:extLst>
        </xdr:cNvPr>
        <xdr:cNvPicPr/>
      </xdr:nvPicPr>
      <xdr:blipFill>
        <a:blip xmlns:r="http://schemas.openxmlformats.org/officeDocument/2006/relationships" r:embed="rId2" cstate="print"/>
        <a:srcRect/>
        <a:stretch>
          <a:fillRect/>
        </a:stretch>
      </xdr:blipFill>
      <xdr:spPr bwMode="auto">
        <a:xfrm>
          <a:off x="0" y="7924800"/>
          <a:ext cx="3343275" cy="579165"/>
        </a:xfrm>
        <a:prstGeom prst="rect">
          <a:avLst/>
        </a:prstGeom>
        <a:noFill/>
        <a:ln w="9525">
          <a:noFill/>
          <a:miter lim="800000"/>
          <a:headEnd/>
          <a:tailEnd/>
        </a:ln>
      </xdr:spPr>
    </xdr:pic>
    <xdr:clientData/>
  </xdr:twoCellAnchor>
  <xdr:twoCellAnchor editAs="oneCell">
    <xdr:from>
      <xdr:col>0</xdr:col>
      <xdr:colOff>0</xdr:colOff>
      <xdr:row>45</xdr:row>
      <xdr:rowOff>1</xdr:rowOff>
    </xdr:from>
    <xdr:to>
      <xdr:col>18</xdr:col>
      <xdr:colOff>95250</xdr:colOff>
      <xdr:row>49</xdr:row>
      <xdr:rowOff>13861</xdr:rowOff>
    </xdr:to>
    <xdr:pic>
      <xdr:nvPicPr>
        <xdr:cNvPr id="4" name="Picture 3">
          <a:extLst>
            <a:ext uri="{FF2B5EF4-FFF2-40B4-BE49-F238E27FC236}">
              <a16:creationId xmlns:a16="http://schemas.microsoft.com/office/drawing/2014/main" id="{00000000-0008-0000-2B00-000004000000}"/>
            </a:ext>
          </a:extLst>
        </xdr:cNvPr>
        <xdr:cNvPicPr/>
      </xdr:nvPicPr>
      <xdr:blipFill>
        <a:blip xmlns:r="http://schemas.openxmlformats.org/officeDocument/2006/relationships" r:embed="rId3" cstate="print"/>
        <a:srcRect/>
        <a:stretch>
          <a:fillRect/>
        </a:stretch>
      </xdr:blipFill>
      <xdr:spPr bwMode="auto">
        <a:xfrm>
          <a:off x="0" y="8686801"/>
          <a:ext cx="3352800" cy="77586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oneCellAnchor>
    <xdr:from>
      <xdr:col>2</xdr:col>
      <xdr:colOff>187327</xdr:colOff>
      <xdr:row>28</xdr:row>
      <xdr:rowOff>25400</xdr:rowOff>
    </xdr:from>
    <xdr:ext cx="5108574" cy="36512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95BD7A1-BBF5-4040-A523-A814BE909D46}"/>
                </a:ext>
              </a:extLst>
            </xdr:cNvPr>
            <xdr:cNvSpPr txBox="1"/>
          </xdr:nvSpPr>
          <xdr:spPr>
            <a:xfrm>
              <a:off x="568327" y="8369300"/>
              <a:ext cx="5108574"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h𝑝</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𝐿𝐹</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𝐶𝑆</m:t>
                      </m:r>
                    </m:sub>
                  </m:sSub>
                </m:oMath>
              </a14:m>
              <a:r>
                <a:rPr lang="en-US">
                  <a:effectLst/>
                </a:rPr>
                <a:t> </a:t>
              </a:r>
            </a:p>
          </xdr:txBody>
        </xdr:sp>
      </mc:Choice>
      <mc:Fallback xmlns="">
        <xdr:sp macro="" textlink="">
          <xdr:nvSpPr>
            <xdr:cNvPr id="2" name="TextBox 1">
              <a:extLst>
                <a:ext uri="{FF2B5EF4-FFF2-40B4-BE49-F238E27FC236}">
                  <a16:creationId xmlns:a16="http://schemas.microsoft.com/office/drawing/2014/main" id="{695BD7A1-BBF5-4040-A523-A814BE909D46}"/>
                </a:ext>
              </a:extLst>
            </xdr:cNvPr>
            <xdr:cNvSpPr txBox="1"/>
          </xdr:nvSpPr>
          <xdr:spPr>
            <a:xfrm>
              <a:off x="568327" y="8369300"/>
              <a:ext cx="5108574"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mn-ea"/>
                  <a:cs typeface="+mn-cs"/>
                </a:rPr>
                <a:t>∆𝑘𝑊ℎ 𝑝𝑒𝑟 ℎ𝑝=0.746 𝑘𝑊/ℎ𝑝∗𝐻𝑜𝑢𝑟𝑠∗𝐿𝐹∗〖𝐴𝐹〗_𝐶𝑆</a:t>
              </a:r>
              <a:r>
                <a:rPr lang="en-US">
                  <a:effectLst/>
                </a:rPr>
                <a:t> </a:t>
              </a:r>
            </a:p>
          </xdr:txBody>
        </xdr:sp>
      </mc:Fallback>
    </mc:AlternateContent>
    <xdr:clientData/>
  </xdr:oneCellAnchor>
  <xdr:oneCellAnchor>
    <xdr:from>
      <xdr:col>2</xdr:col>
      <xdr:colOff>187327</xdr:colOff>
      <xdr:row>30</xdr:row>
      <xdr:rowOff>39687</xdr:rowOff>
    </xdr:from>
    <xdr:ext cx="5070473" cy="365126"/>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83902FE9-BF74-4B3A-973D-316A41C8DE1A}"/>
                </a:ext>
              </a:extLst>
            </xdr:cNvPr>
            <xdr:cNvSpPr txBox="1"/>
          </xdr:nvSpPr>
          <xdr:spPr>
            <a:xfrm>
              <a:off x="568327" y="8955087"/>
              <a:ext cx="5070473"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h𝑝</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𝐶𝑆</m:t>
                      </m:r>
                    </m:sub>
                  </m:sSub>
                </m:oMath>
              </a14:m>
              <a:r>
                <a:rPr lang="en-US">
                  <a:effectLst/>
                </a:rPr>
                <a:t> </a:t>
              </a:r>
            </a:p>
          </xdr:txBody>
        </xdr:sp>
      </mc:Choice>
      <mc:Fallback xmlns="">
        <xdr:sp macro="" textlink="">
          <xdr:nvSpPr>
            <xdr:cNvPr id="3" name="TextBox 2">
              <a:extLst>
                <a:ext uri="{FF2B5EF4-FFF2-40B4-BE49-F238E27FC236}">
                  <a16:creationId xmlns:a16="http://schemas.microsoft.com/office/drawing/2014/main" id="{83902FE9-BF74-4B3A-973D-316A41C8DE1A}"/>
                </a:ext>
              </a:extLst>
            </xdr:cNvPr>
            <xdr:cNvSpPr txBox="1"/>
          </xdr:nvSpPr>
          <xdr:spPr>
            <a:xfrm>
              <a:off x="568327" y="8955087"/>
              <a:ext cx="5070473"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mn-ea"/>
                  <a:cs typeface="+mn-cs"/>
                </a:rPr>
                <a:t>∆𝑘𝑊 𝑝𝑒𝑟 ℎ𝑝=0.746 𝑘𝑊/ℎ𝑝∗𝐶𝐹∗〖𝐴𝐹〗_𝐶𝑆</a:t>
              </a:r>
              <a:r>
                <a:rPr lang="en-US">
                  <a:effectLst/>
                </a:rPr>
                <a:t> </a:t>
              </a:r>
            </a:p>
          </xdr:txBody>
        </xdr:sp>
      </mc:Fallback>
    </mc:AlternateContent>
    <xdr:clientData/>
  </xdr:oneCellAnchor>
  <xdr:oneCellAnchor>
    <xdr:from>
      <xdr:col>2</xdr:col>
      <xdr:colOff>171450</xdr:colOff>
      <xdr:row>37</xdr:row>
      <xdr:rowOff>15876</xdr:rowOff>
    </xdr:from>
    <xdr:ext cx="5000625" cy="365126"/>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9D04FFBC-2844-406D-919C-65A710AE5810}"/>
                </a:ext>
              </a:extLst>
            </xdr:cNvPr>
            <xdr:cNvSpPr txBox="1"/>
          </xdr:nvSpPr>
          <xdr:spPr>
            <a:xfrm>
              <a:off x="552450" y="10617201"/>
              <a:ext cx="5000625"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h𝑝</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𝐿𝐹</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𝐶𝑆</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𝑉𝑆</m:t>
                          </m:r>
                        </m:sub>
                      </m:sSub>
                    </m:e>
                  </m:d>
                </m:oMath>
              </a14:m>
              <a:r>
                <a:rPr lang="en-US">
                  <a:effectLst/>
                </a:rPr>
                <a:t> </a:t>
              </a:r>
            </a:p>
          </xdr:txBody>
        </xdr:sp>
      </mc:Choice>
      <mc:Fallback xmlns="">
        <xdr:sp macro="" textlink="">
          <xdr:nvSpPr>
            <xdr:cNvPr id="4" name="TextBox 3">
              <a:extLst>
                <a:ext uri="{FF2B5EF4-FFF2-40B4-BE49-F238E27FC236}">
                  <a16:creationId xmlns:a16="http://schemas.microsoft.com/office/drawing/2014/main" id="{9D04FFBC-2844-406D-919C-65A710AE5810}"/>
                </a:ext>
              </a:extLst>
            </xdr:cNvPr>
            <xdr:cNvSpPr txBox="1"/>
          </xdr:nvSpPr>
          <xdr:spPr>
            <a:xfrm>
              <a:off x="552450" y="10617201"/>
              <a:ext cx="5000625"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mn-ea"/>
                  <a:cs typeface="+mn-cs"/>
                </a:rPr>
                <a:t>∆𝑘𝑊ℎ 𝑝𝑒𝑟 ℎ𝑝=0.746 𝑘𝑊/ℎ𝑝∗𝐻𝑜𝑢𝑟𝑠∗𝐿𝐹∗(〖𝐴𝐹〗_𝐶𝑆−〖𝐴𝐹〗_𝑉𝑆 )</a:t>
              </a:r>
              <a:r>
                <a:rPr lang="en-US">
                  <a:effectLst/>
                </a:rPr>
                <a:t> </a:t>
              </a:r>
            </a:p>
          </xdr:txBody>
        </xdr:sp>
      </mc:Fallback>
    </mc:AlternateContent>
    <xdr:clientData/>
  </xdr:oneCellAnchor>
  <xdr:oneCellAnchor>
    <xdr:from>
      <xdr:col>2</xdr:col>
      <xdr:colOff>171450</xdr:colOff>
      <xdr:row>39</xdr:row>
      <xdr:rowOff>15876</xdr:rowOff>
    </xdr:from>
    <xdr:ext cx="5076825" cy="365126"/>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48984AF-D5A0-4D4E-A6B6-4C6B9FCC4EFC}"/>
                </a:ext>
              </a:extLst>
            </xdr:cNvPr>
            <xdr:cNvSpPr txBox="1"/>
          </xdr:nvSpPr>
          <xdr:spPr>
            <a:xfrm>
              <a:off x="552450" y="11188701"/>
              <a:ext cx="5076825"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h𝑝</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𝐶𝑆</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𝑉𝑆</m:t>
                          </m:r>
                        </m:sub>
                      </m:sSub>
                    </m:e>
                  </m:d>
                </m:oMath>
              </a14:m>
              <a:r>
                <a:rPr lang="en-US">
                  <a:effectLst/>
                </a:rPr>
                <a:t> </a:t>
              </a:r>
            </a:p>
          </xdr:txBody>
        </xdr:sp>
      </mc:Choice>
      <mc:Fallback xmlns="">
        <xdr:sp macro="" textlink="">
          <xdr:nvSpPr>
            <xdr:cNvPr id="5" name="TextBox 4">
              <a:extLst>
                <a:ext uri="{FF2B5EF4-FFF2-40B4-BE49-F238E27FC236}">
                  <a16:creationId xmlns:a16="http://schemas.microsoft.com/office/drawing/2014/main" id="{C48984AF-D5A0-4D4E-A6B6-4C6B9FCC4EFC}"/>
                </a:ext>
              </a:extLst>
            </xdr:cNvPr>
            <xdr:cNvSpPr txBox="1"/>
          </xdr:nvSpPr>
          <xdr:spPr>
            <a:xfrm>
              <a:off x="552450" y="11188701"/>
              <a:ext cx="5076825"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mn-ea"/>
                  <a:cs typeface="+mn-cs"/>
                </a:rPr>
                <a:t>∆𝑘𝑊 𝑝𝑒𝑟 ℎ𝑝=0.746 𝑘𝑊/ℎ𝑝∗𝐶𝐹∗(〖𝐴𝐹〗_𝐶𝑆−〖𝐴𝐹〗_𝑉𝑆 )</a:t>
              </a:r>
              <a:r>
                <a:rPr lang="en-US">
                  <a:effectLst/>
                </a:rPr>
                <a:t> </a:t>
              </a:r>
            </a:p>
          </xdr:txBody>
        </xdr:sp>
      </mc:Fallback>
    </mc:AlternateContent>
    <xdr:clientData/>
  </xdr:oneCellAnchor>
  <xdr:oneCellAnchor>
    <xdr:from>
      <xdr:col>3</xdr:col>
      <xdr:colOff>26987</xdr:colOff>
      <xdr:row>32</xdr:row>
      <xdr:rowOff>122238</xdr:rowOff>
    </xdr:from>
    <xdr:ext cx="2895599" cy="1831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E070E06-298A-4D02-84CC-93B5B187AF0F}"/>
                </a:ext>
              </a:extLst>
            </xdr:cNvPr>
            <xdr:cNvSpPr txBox="1"/>
          </xdr:nvSpPr>
          <xdr:spPr>
            <a:xfrm>
              <a:off x="598487" y="960913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6" name="TextBox 5">
              <a:extLst>
                <a:ext uri="{FF2B5EF4-FFF2-40B4-BE49-F238E27FC236}">
                  <a16:creationId xmlns:a16="http://schemas.microsoft.com/office/drawing/2014/main" id="{1E070E06-298A-4D02-84CC-93B5B187AF0F}"/>
                </a:ext>
              </a:extLst>
            </xdr:cNvPr>
            <xdr:cNvSpPr txBox="1"/>
          </xdr:nvSpPr>
          <xdr:spPr>
            <a:xfrm>
              <a:off x="598487" y="960913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  𝑝𝑒𝑟 ℎ𝑝</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 𝑝𝑒𝑟 ℎ𝑝∗𝐸𝑈𝐿</a:t>
              </a:r>
              <a:endParaRPr lang="en-US" sz="1100"/>
            </a:p>
          </xdr:txBody>
        </xdr:sp>
      </mc:Fallback>
    </mc:AlternateContent>
    <xdr:clientData/>
  </xdr:oneCellAnchor>
  <xdr:oneCellAnchor>
    <xdr:from>
      <xdr:col>3</xdr:col>
      <xdr:colOff>7937</xdr:colOff>
      <xdr:row>41</xdr:row>
      <xdr:rowOff>111126</xdr:rowOff>
    </xdr:from>
    <xdr:ext cx="2895599"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82BB229-011E-4FA0-A009-487756853FE0}"/>
                </a:ext>
              </a:extLst>
            </xdr:cNvPr>
            <xdr:cNvSpPr txBox="1"/>
          </xdr:nvSpPr>
          <xdr:spPr>
            <a:xfrm>
              <a:off x="579437" y="11855451"/>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7" name="TextBox 6">
              <a:extLst>
                <a:ext uri="{FF2B5EF4-FFF2-40B4-BE49-F238E27FC236}">
                  <a16:creationId xmlns:a16="http://schemas.microsoft.com/office/drawing/2014/main" id="{E82BB229-011E-4FA0-A009-487756853FE0}"/>
                </a:ext>
              </a:extLst>
            </xdr:cNvPr>
            <xdr:cNvSpPr txBox="1"/>
          </xdr:nvSpPr>
          <xdr:spPr>
            <a:xfrm>
              <a:off x="579437" y="11855451"/>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  𝑝𝑒𝑟 ℎ𝑝</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 𝑝𝑒𝑟 ℎ𝑝∗𝐸𝑈𝐿</a:t>
              </a:r>
              <a:endParaRPr lang="en-US" sz="11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oneCellAnchor>
    <xdr:from>
      <xdr:col>1</xdr:col>
      <xdr:colOff>168275</xdr:colOff>
      <xdr:row>31</xdr:row>
      <xdr:rowOff>26987</xdr:rowOff>
    </xdr:from>
    <xdr:ext cx="2903166" cy="172227"/>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7A1BCEDE-6219-4640-8256-22ADCAE00281}"/>
                </a:ext>
              </a:extLst>
            </xdr:cNvPr>
            <xdr:cNvSpPr txBox="1"/>
          </xdr:nvSpPr>
          <xdr:spPr>
            <a:xfrm>
              <a:off x="358775" y="9132887"/>
              <a:ext cx="290316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𝐴𝑉</m:t>
                        </m:r>
                      </m:e>
                      <m:sub>
                        <m:r>
                          <a:rPr lang="en-US" sz="1100" b="0" i="1">
                            <a:solidFill>
                              <a:schemeClr val="tx1"/>
                            </a:solidFill>
                            <a:effectLst/>
                            <a:latin typeface="Cambria Math" panose="02040503050406030204" pitchFamily="18" charset="0"/>
                            <a:ea typeface="+mn-ea"/>
                            <a:cs typeface="+mn-cs"/>
                          </a:rPr>
                          <m:t>𝑅</m:t>
                        </m:r>
                      </m:sub>
                    </m:sSub>
                    <m:r>
                      <a:rPr lang="en-US" sz="1100" b="0" i="1">
                        <a:latin typeface="Cambria Math" panose="02040503050406030204" pitchFamily="18" charset="0"/>
                      </a:rPr>
                      <m:t>=</m:t>
                    </m:r>
                    <m:r>
                      <a:rPr lang="en-US" sz="1100" b="0" i="1">
                        <a:latin typeface="Cambria Math" panose="02040503050406030204" pitchFamily="18" charset="0"/>
                      </a:rPr>
                      <m:t>𝐹𝑟𝑒𝑠h</m:t>
                    </m:r>
                    <m:r>
                      <a:rPr lang="en-US" sz="1100" b="0" i="1">
                        <a:latin typeface="Cambria Math" panose="02040503050406030204" pitchFamily="18" charset="0"/>
                      </a:rPr>
                      <m:t> </m:t>
                    </m:r>
                    <m:r>
                      <a:rPr lang="en-US" sz="1100" b="0" i="1">
                        <a:latin typeface="Cambria Math" panose="02040503050406030204" pitchFamily="18" charset="0"/>
                      </a:rPr>
                      <m:t>𝑉𝑜𝑙𝑢𝑚𝑒</m:t>
                    </m:r>
                    <m:r>
                      <a:rPr lang="en-US" sz="1100" b="0" i="1">
                        <a:latin typeface="Cambria Math" panose="02040503050406030204" pitchFamily="18" charset="0"/>
                      </a:rPr>
                      <m:t>+1.76∗</m:t>
                    </m:r>
                    <m:r>
                      <a:rPr lang="en-US" sz="1100" b="0" i="1">
                        <a:latin typeface="Cambria Math" panose="02040503050406030204" pitchFamily="18" charset="0"/>
                      </a:rPr>
                      <m:t>𝐹𝑟𝑒𝑒𝑧𝑒𝑟</m:t>
                    </m:r>
                    <m:r>
                      <a:rPr lang="en-US" sz="1100" b="0" i="1">
                        <a:latin typeface="Cambria Math" panose="02040503050406030204" pitchFamily="18" charset="0"/>
                      </a:rPr>
                      <m:t> </m:t>
                    </m:r>
                    <m:r>
                      <a:rPr lang="en-US" sz="1100" b="0" i="1">
                        <a:latin typeface="Cambria Math" panose="02040503050406030204" pitchFamily="18" charset="0"/>
                      </a:rPr>
                      <m:t>𝑉𝑜𝑙𝑢𝑚𝑒</m:t>
                    </m:r>
                  </m:oMath>
                </m:oMathPara>
              </a14:m>
              <a:endParaRPr lang="en-US" sz="1100"/>
            </a:p>
          </xdr:txBody>
        </xdr:sp>
      </mc:Choice>
      <mc:Fallback xmlns="">
        <xdr:sp macro="" textlink="">
          <xdr:nvSpPr>
            <xdr:cNvPr id="8" name="TextBox 7">
              <a:extLst>
                <a:ext uri="{FF2B5EF4-FFF2-40B4-BE49-F238E27FC236}">
                  <a16:creationId xmlns:a16="http://schemas.microsoft.com/office/drawing/2014/main" id="{7A1BCEDE-6219-4640-8256-22ADCAE00281}"/>
                </a:ext>
              </a:extLst>
            </xdr:cNvPr>
            <xdr:cNvSpPr txBox="1"/>
          </xdr:nvSpPr>
          <xdr:spPr>
            <a:xfrm>
              <a:off x="358775" y="9132887"/>
              <a:ext cx="290316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〖𝐴𝑉〗_𝑅</a:t>
              </a:r>
              <a:r>
                <a:rPr lang="en-US" sz="1100" b="0" i="0">
                  <a:latin typeface="Cambria Math" panose="02040503050406030204" pitchFamily="18" charset="0"/>
                </a:rPr>
                <a:t>=𝐹𝑟𝑒𝑠ℎ 𝑉𝑜𝑙𝑢𝑚𝑒+1.76∗𝐹𝑟𝑒𝑒𝑧𝑒𝑟 𝑉𝑜𝑙𝑢𝑚𝑒</a:t>
              </a:r>
              <a:endParaRPr lang="en-US" sz="1100"/>
            </a:p>
          </xdr:txBody>
        </xdr:sp>
      </mc:Fallback>
    </mc:AlternateContent>
    <xdr:clientData/>
  </xdr:oneCellAnchor>
  <xdr:oneCellAnchor>
    <xdr:from>
      <xdr:col>1</xdr:col>
      <xdr:colOff>168275</xdr:colOff>
      <xdr:row>35</xdr:row>
      <xdr:rowOff>26987</xdr:rowOff>
    </xdr:from>
    <xdr:ext cx="1854867" cy="1722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EA02B784-B178-4BDA-9CE9-318D5D4E8837}"/>
                </a:ext>
              </a:extLst>
            </xdr:cNvPr>
            <xdr:cNvSpPr txBox="1"/>
          </xdr:nvSpPr>
          <xdr:spPr>
            <a:xfrm>
              <a:off x="358775" y="9894887"/>
              <a:ext cx="185486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𝐴𝑉</m:t>
                        </m:r>
                      </m:e>
                      <m:sub>
                        <m:r>
                          <a:rPr lang="en-US" sz="1100" b="0" i="1">
                            <a:latin typeface="Cambria Math" panose="02040503050406030204" pitchFamily="18" charset="0"/>
                          </a:rPr>
                          <m:t>𝐹</m:t>
                        </m:r>
                      </m:sub>
                    </m:sSub>
                    <m:r>
                      <a:rPr lang="en-US" sz="1100" b="0" i="1">
                        <a:latin typeface="Cambria Math" panose="02040503050406030204" pitchFamily="18" charset="0"/>
                      </a:rPr>
                      <m:t>=1.73∗</m:t>
                    </m:r>
                    <m:r>
                      <a:rPr lang="en-US" sz="1100" b="0" i="1">
                        <a:latin typeface="Cambria Math" panose="02040503050406030204" pitchFamily="18" charset="0"/>
                      </a:rPr>
                      <m:t>𝐹𝑟𝑒𝑒𝑧𝑒𝑟</m:t>
                    </m:r>
                    <m:r>
                      <a:rPr lang="en-US" sz="1100" b="0" i="1">
                        <a:latin typeface="Cambria Math" panose="02040503050406030204" pitchFamily="18" charset="0"/>
                      </a:rPr>
                      <m:t> </m:t>
                    </m:r>
                    <m:r>
                      <a:rPr lang="en-US" sz="1100" b="0" i="1">
                        <a:latin typeface="Cambria Math" panose="02040503050406030204" pitchFamily="18" charset="0"/>
                      </a:rPr>
                      <m:t>𝑉𝑜𝑙𝑢𝑚𝑒</m:t>
                    </m:r>
                  </m:oMath>
                </m:oMathPara>
              </a14:m>
              <a:endParaRPr lang="en-US" sz="1100"/>
            </a:p>
          </xdr:txBody>
        </xdr:sp>
      </mc:Choice>
      <mc:Fallback xmlns="">
        <xdr:sp macro="" textlink="">
          <xdr:nvSpPr>
            <xdr:cNvPr id="9" name="TextBox 8">
              <a:extLst>
                <a:ext uri="{FF2B5EF4-FFF2-40B4-BE49-F238E27FC236}">
                  <a16:creationId xmlns:a16="http://schemas.microsoft.com/office/drawing/2014/main" id="{EA02B784-B178-4BDA-9CE9-318D5D4E8837}"/>
                </a:ext>
              </a:extLst>
            </xdr:cNvPr>
            <xdr:cNvSpPr txBox="1"/>
          </xdr:nvSpPr>
          <xdr:spPr>
            <a:xfrm>
              <a:off x="358775" y="9894887"/>
              <a:ext cx="185486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〖𝐴𝑉〗_𝐹=1.73∗𝐹𝑟𝑒𝑒𝑧𝑒𝑟 𝑉𝑜𝑙𝑢𝑚𝑒</a:t>
              </a:r>
              <a:endParaRPr lang="en-US" sz="1100"/>
            </a:p>
          </xdr:txBody>
        </xdr:sp>
      </mc:Fallback>
    </mc:AlternateContent>
    <xdr:clientData/>
  </xdr:oneCellAnchor>
  <xdr:oneCellAnchor>
    <xdr:from>
      <xdr:col>2</xdr:col>
      <xdr:colOff>9525</xdr:colOff>
      <xdr:row>39</xdr:row>
      <xdr:rowOff>19050</xdr:rowOff>
    </xdr:from>
    <xdr:ext cx="2015745" cy="184731"/>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CA2A0D7E-E187-4AC5-921D-3EE0E6ACD399}"/>
                </a:ext>
              </a:extLst>
            </xdr:cNvPr>
            <xdr:cNvSpPr txBox="1"/>
          </xdr:nvSpPr>
          <xdr:spPr>
            <a:xfrm>
              <a:off x="390525" y="10648950"/>
              <a:ext cx="201574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10" name="TextBox 9">
              <a:extLst>
                <a:ext uri="{FF2B5EF4-FFF2-40B4-BE49-F238E27FC236}">
                  <a16:creationId xmlns:a16="http://schemas.microsoft.com/office/drawing/2014/main" id="{CA2A0D7E-E187-4AC5-921D-3EE0E6ACD399}"/>
                </a:ext>
              </a:extLst>
            </xdr:cNvPr>
            <xdr:cNvSpPr txBox="1"/>
          </xdr:nvSpPr>
          <xdr:spPr>
            <a:xfrm>
              <a:off x="390525" y="10648950"/>
              <a:ext cx="201574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𝑘𝑊ℎ〗_𝑅𝑒𝑝𝑙𝑎𝑐𝑒=〖(𝐸〗_𝐵𝑎𝑠𝑒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𝐸_𝐸𝐸)∗𝑃𝐹</a:t>
              </a:r>
              <a:endParaRPr lang="en-US" sz="1100"/>
            </a:p>
          </xdr:txBody>
        </xdr:sp>
      </mc:Fallback>
    </mc:AlternateContent>
    <xdr:clientData/>
  </xdr:oneCellAnchor>
  <xdr:oneCellAnchor>
    <xdr:from>
      <xdr:col>2</xdr:col>
      <xdr:colOff>9525</xdr:colOff>
      <xdr:row>43</xdr:row>
      <xdr:rowOff>19050</xdr:rowOff>
    </xdr:from>
    <xdr:ext cx="2340769" cy="184731"/>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F1E1FE7C-4FFC-4F70-9019-7EF30CE41DEC}"/>
                </a:ext>
              </a:extLst>
            </xdr:cNvPr>
            <xdr:cNvSpPr txBox="1"/>
          </xdr:nvSpPr>
          <xdr:spPr>
            <a:xfrm>
              <a:off x="390525" y="11410950"/>
              <a:ext cx="2340769"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11" name="TextBox 10">
              <a:extLst>
                <a:ext uri="{FF2B5EF4-FFF2-40B4-BE49-F238E27FC236}">
                  <a16:creationId xmlns:a16="http://schemas.microsoft.com/office/drawing/2014/main" id="{F1E1FE7C-4FFC-4F70-9019-7EF30CE41DEC}"/>
                </a:ext>
              </a:extLst>
            </xdr:cNvPr>
            <xdr:cNvSpPr txBox="1"/>
          </xdr:nvSpPr>
          <xdr:spPr>
            <a:xfrm>
              <a:off x="390525" y="11410950"/>
              <a:ext cx="2340769"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𝑘𝑊〗_𝑅𝑒𝑝𝑙𝑎𝑐𝑒=〖(〖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𝑘𝑊ℎ〗_𝑅𝑒𝑝𝑙𝑎𝑐𝑒〗∕〖𝐻𝑅𝑆)∗𝐶𝐹〗</a:t>
              </a:r>
              <a:endParaRPr lang="en-US" sz="1100"/>
            </a:p>
          </xdr:txBody>
        </xdr:sp>
      </mc:Fallback>
    </mc:AlternateContent>
    <xdr:clientData/>
  </xdr:oneCellAnchor>
  <xdr:oneCellAnchor>
    <xdr:from>
      <xdr:col>2</xdr:col>
      <xdr:colOff>9525</xdr:colOff>
      <xdr:row>51</xdr:row>
      <xdr:rowOff>0</xdr:rowOff>
    </xdr:from>
    <xdr:ext cx="3204852" cy="184731"/>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CD8A4E45-9E8C-4719-BCFA-4675493BBA89}"/>
                </a:ext>
              </a:extLst>
            </xdr:cNvPr>
            <xdr:cNvSpPr txBox="1"/>
          </xdr:nvSpPr>
          <xdr:spPr>
            <a:xfrm>
              <a:off x="390525" y="12915900"/>
              <a:ext cx="3204852"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12" name="TextBox 11">
              <a:extLst>
                <a:ext uri="{FF2B5EF4-FFF2-40B4-BE49-F238E27FC236}">
                  <a16:creationId xmlns:a16="http://schemas.microsoft.com/office/drawing/2014/main" id="{CD8A4E45-9E8C-4719-BCFA-4675493BBA89}"/>
                </a:ext>
              </a:extLst>
            </xdr:cNvPr>
            <xdr:cNvSpPr txBox="1"/>
          </xdr:nvSpPr>
          <xdr:spPr>
            <a:xfrm>
              <a:off x="390525" y="12915900"/>
              <a:ext cx="3204852"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𝑘𝑊ℎ〗_(𝑅𝑒𝑝𝑙𝑎𝑐𝑒+𝑇𝑢𝑟𝑛−𝑖𝑛)=〖(𝐸〗_𝐵𝑎𝑠𝑒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𝐸_𝐸𝐸+𝐸_(𝑇𝑢𝑟𝑛−𝑖𝑛))∗𝑃𝐹</a:t>
              </a:r>
              <a:endParaRPr lang="en-US" sz="1100"/>
            </a:p>
          </xdr:txBody>
        </xdr:sp>
      </mc:Fallback>
    </mc:AlternateContent>
    <xdr:clientData/>
  </xdr:oneCellAnchor>
  <xdr:oneCellAnchor>
    <xdr:from>
      <xdr:col>2</xdr:col>
      <xdr:colOff>9525</xdr:colOff>
      <xdr:row>55</xdr:row>
      <xdr:rowOff>19050</xdr:rowOff>
    </xdr:from>
    <xdr:ext cx="3356175" cy="184731"/>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D9773C91-B507-453C-87DE-F51F4D32690B}"/>
                </a:ext>
              </a:extLst>
            </xdr:cNvPr>
            <xdr:cNvSpPr txBox="1"/>
          </xdr:nvSpPr>
          <xdr:spPr>
            <a:xfrm>
              <a:off x="390525" y="13696950"/>
              <a:ext cx="335617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13" name="TextBox 12">
              <a:extLst>
                <a:ext uri="{FF2B5EF4-FFF2-40B4-BE49-F238E27FC236}">
                  <a16:creationId xmlns:a16="http://schemas.microsoft.com/office/drawing/2014/main" id="{D9773C91-B507-453C-87DE-F51F4D32690B}"/>
                </a:ext>
              </a:extLst>
            </xdr:cNvPr>
            <xdr:cNvSpPr txBox="1"/>
          </xdr:nvSpPr>
          <xdr:spPr>
            <a:xfrm>
              <a:off x="390525" y="13696950"/>
              <a:ext cx="335617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𝑘𝑊〗_(𝑅𝑒𝑝𝑙𝑎𝑐𝑒+𝑇𝑢𝑟𝑛−𝑖𝑛)=〖(〖</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𝑘𝑊ℎ〗_(𝑅𝑒𝑝𝑙𝑎𝑐𝑒+𝑇𝑢𝑟𝑛−𝑖𝑛)〗∕〖𝐻𝑅𝑆)∗𝐶𝐹〗</a:t>
              </a:r>
              <a:endParaRPr lang="en-US" sz="1100"/>
            </a:p>
          </xdr:txBody>
        </xdr:sp>
      </mc:Fallback>
    </mc:AlternateContent>
    <xdr:clientData/>
  </xdr:oneCellAnchor>
  <xdr:oneCellAnchor>
    <xdr:from>
      <xdr:col>2</xdr:col>
      <xdr:colOff>9525</xdr:colOff>
      <xdr:row>67</xdr:row>
      <xdr:rowOff>19050</xdr:rowOff>
    </xdr:from>
    <xdr:ext cx="3017749" cy="182935"/>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ACED2330-CC08-45E4-AD1D-1B0FE51A4033}"/>
                </a:ext>
              </a:extLst>
            </xdr:cNvPr>
            <xdr:cNvSpPr txBox="1"/>
          </xdr:nvSpPr>
          <xdr:spPr>
            <a:xfrm>
              <a:off x="390525" y="15982950"/>
              <a:ext cx="3017749"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14" name="TextBox 13">
              <a:extLst>
                <a:ext uri="{FF2B5EF4-FFF2-40B4-BE49-F238E27FC236}">
                  <a16:creationId xmlns:a16="http://schemas.microsoft.com/office/drawing/2014/main" id="{ACED2330-CC08-45E4-AD1D-1B0FE51A4033}"/>
                </a:ext>
              </a:extLst>
            </xdr:cNvPr>
            <xdr:cNvSpPr txBox="1"/>
          </xdr:nvSpPr>
          <xdr:spPr>
            <a:xfrm>
              <a:off x="390525" y="15982950"/>
              <a:ext cx="3017749"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𝑘𝑊〗_(𝑇𝑢𝑟𝑛−𝑖𝑛 𝑂𝑛𝑙𝑦)=〖(〖</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𝑘𝑊ℎ〗_(𝑇𝑢𝑟𝑛−𝑖𝑛 𝑂𝑛𝑙𝑦)〗∕〖𝐻𝑅𝑆)∗𝐶𝐹〗</a:t>
              </a:r>
              <a:endParaRPr lang="en-US" sz="1100"/>
            </a:p>
          </xdr:txBody>
        </xdr:sp>
      </mc:Fallback>
    </mc:AlternateContent>
    <xdr:clientData/>
  </xdr:oneCellAnchor>
  <xdr:oneCellAnchor>
    <xdr:from>
      <xdr:col>2</xdr:col>
      <xdr:colOff>53975</xdr:colOff>
      <xdr:row>47</xdr:row>
      <xdr:rowOff>19050</xdr:rowOff>
    </xdr:from>
    <xdr:ext cx="2696957" cy="184731"/>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4D28CCF0-47D7-42D4-ACC1-1BC43498B7D3}"/>
                </a:ext>
              </a:extLst>
            </xdr:cNvPr>
            <xdr:cNvSpPr txBox="1"/>
          </xdr:nvSpPr>
          <xdr:spPr>
            <a:xfrm>
              <a:off x="434975" y="12172950"/>
              <a:ext cx="2696957"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𝑅𝑒𝑝𝑙𝑎𝑐𝑒</m:t>
                        </m:r>
                      </m:sub>
                    </m:sSub>
                  </m:oMath>
                </m:oMathPara>
              </a14:m>
              <a:endParaRPr lang="en-US" sz="1100"/>
            </a:p>
          </xdr:txBody>
        </xdr:sp>
      </mc:Choice>
      <mc:Fallback xmlns="">
        <xdr:sp macro="" textlink="">
          <xdr:nvSpPr>
            <xdr:cNvPr id="15" name="TextBox 14">
              <a:extLst>
                <a:ext uri="{FF2B5EF4-FFF2-40B4-BE49-F238E27FC236}">
                  <a16:creationId xmlns:a16="http://schemas.microsoft.com/office/drawing/2014/main" id="{4D28CCF0-47D7-42D4-ACC1-1BC43498B7D3}"/>
                </a:ext>
              </a:extLst>
            </xdr:cNvPr>
            <xdr:cNvSpPr txBox="1"/>
          </xdr:nvSpPr>
          <xdr:spPr>
            <a:xfrm>
              <a:off x="434975" y="12172950"/>
              <a:ext cx="2696957"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𝑘𝑊ℎ〗_𝑅𝑒𝑝𝑙𝑎𝑐𝑒∗〖𝐸𝑈𝐿〗_𝑅𝑒𝑝𝑙𝑎𝑐𝑒</a:t>
              </a:r>
              <a:endParaRPr lang="en-US" sz="1100"/>
            </a:p>
          </xdr:txBody>
        </xdr:sp>
      </mc:Fallback>
    </mc:AlternateContent>
    <xdr:clientData/>
  </xdr:oneCellAnchor>
  <xdr:oneCellAnchor>
    <xdr:from>
      <xdr:col>2</xdr:col>
      <xdr:colOff>9525</xdr:colOff>
      <xdr:row>59</xdr:row>
      <xdr:rowOff>0</xdr:rowOff>
    </xdr:from>
    <xdr:ext cx="4582152" cy="185628"/>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19E51D91-38AD-42CD-B0AE-5D177BE56FC0}"/>
                </a:ext>
              </a:extLst>
            </xdr:cNvPr>
            <xdr:cNvSpPr txBox="1"/>
          </xdr:nvSpPr>
          <xdr:spPr>
            <a:xfrm>
              <a:off x="390525" y="14439900"/>
              <a:ext cx="4582152"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𝑃𝐹</m:t>
                    </m:r>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sub>
                        <m:r>
                          <a:rPr lang="en-US" sz="1100" b="0" i="1">
                            <a:solidFill>
                              <a:schemeClr val="tx1"/>
                            </a:solidFill>
                            <a:effectLst/>
                            <a:latin typeface="Cambria Math" panose="02040503050406030204" pitchFamily="18" charset="0"/>
                            <a:ea typeface="Cambria Math" panose="02040503050406030204" pitchFamily="18" charset="0"/>
                            <a:cs typeface="+mn-cs"/>
                          </a:rPr>
                          <m:t>𝑇𝑢𝑟𝑛</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𝑖𝑛</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oMath>
                </m:oMathPara>
              </a14:m>
              <a:endParaRPr lang="en-US" sz="1100"/>
            </a:p>
          </xdr:txBody>
        </xdr:sp>
      </mc:Choice>
      <mc:Fallback xmlns="">
        <xdr:sp macro="" textlink="">
          <xdr:nvSpPr>
            <xdr:cNvPr id="16" name="TextBox 15">
              <a:extLst>
                <a:ext uri="{FF2B5EF4-FFF2-40B4-BE49-F238E27FC236}">
                  <a16:creationId xmlns:a16="http://schemas.microsoft.com/office/drawing/2014/main" id="{19E51D91-38AD-42CD-B0AE-5D177BE56FC0}"/>
                </a:ext>
              </a:extLst>
            </xdr:cNvPr>
            <xdr:cNvSpPr txBox="1"/>
          </xdr:nvSpPr>
          <xdr:spPr>
            <a:xfrm>
              <a:off x="390525" y="14439900"/>
              <a:ext cx="4582152"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 𝐿𝑖𝑓𝑒)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𝐸_(𝑇𝑢𝑟𝑛−𝑖𝑛)</a:t>
              </a:r>
              <a:r>
                <a:rPr lang="en-US" sz="1100" b="0" i="0">
                  <a:solidFill>
                    <a:schemeClr val="tx1"/>
                  </a:solidFill>
                  <a:effectLst/>
                  <a:latin typeface="Cambria Math" panose="02040503050406030204" pitchFamily="18" charset="0"/>
                  <a:ea typeface="Cambria Math" panose="02040503050406030204" pitchFamily="18" charset="0"/>
                  <a:cs typeface="+mn-cs"/>
                </a:rPr>
                <a:t>∗𝑃𝐹∗〖𝑅𝑈𝐿〗_(𝑇𝑢𝑟𝑛−𝑖𝑛))</a:t>
              </a:r>
              <a:endParaRPr lang="en-US" sz="1100"/>
            </a:p>
          </xdr:txBody>
        </xdr:sp>
      </mc:Fallback>
    </mc:AlternateContent>
    <xdr:clientData/>
  </xdr:oneCellAnchor>
  <xdr:oneCellAnchor>
    <xdr:from>
      <xdr:col>2</xdr:col>
      <xdr:colOff>9525</xdr:colOff>
      <xdr:row>70</xdr:row>
      <xdr:rowOff>190499</xdr:rowOff>
    </xdr:from>
    <xdr:ext cx="3050258" cy="181877"/>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B7259F04-3067-410F-88CB-504A877FDBE3}"/>
                </a:ext>
              </a:extLst>
            </xdr:cNvPr>
            <xdr:cNvSpPr txBox="1"/>
          </xdr:nvSpPr>
          <xdr:spPr>
            <a:xfrm>
              <a:off x="371475" y="16611599"/>
              <a:ext cx="3050258" cy="18187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sub>
                        <m:r>
                          <a:rPr lang="en-US" sz="1100" b="0" i="1">
                            <a:solidFill>
                              <a:schemeClr val="tx1"/>
                            </a:solidFill>
                            <a:effectLst/>
                            <a:latin typeface="Cambria Math" panose="02040503050406030204" pitchFamily="18" charset="0"/>
                            <a:ea typeface="Cambria Math" panose="02040503050406030204" pitchFamily="18" charset="0"/>
                            <a:cs typeface="+mn-cs"/>
                          </a:rPr>
                          <m:t>𝑇𝑢𝑟𝑛</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𝑖𝑛</m:t>
                        </m:r>
                      </m:sub>
                    </m:sSub>
                  </m:oMath>
                </m:oMathPara>
              </a14:m>
              <a:endParaRPr lang="en-US" sz="1100"/>
            </a:p>
          </xdr:txBody>
        </xdr:sp>
      </mc:Choice>
      <mc:Fallback xmlns="">
        <xdr:sp macro="" textlink="">
          <xdr:nvSpPr>
            <xdr:cNvPr id="17" name="TextBox 16">
              <a:extLst>
                <a:ext uri="{FF2B5EF4-FFF2-40B4-BE49-F238E27FC236}">
                  <a16:creationId xmlns:a16="http://schemas.microsoft.com/office/drawing/2014/main" id="{B7259F04-3067-410F-88CB-504A877FDBE3}"/>
                </a:ext>
              </a:extLst>
            </xdr:cNvPr>
            <xdr:cNvSpPr txBox="1"/>
          </xdr:nvSpPr>
          <xdr:spPr>
            <a:xfrm>
              <a:off x="371475" y="16611599"/>
              <a:ext cx="3050258" cy="18187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𝑘𝑊ℎ〗_(𝑇𝑢𝑟𝑛−𝑖𝑛,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𝑘𝑊〗_(𝑇𝑢𝑟𝑛−𝑖𝑛 𝑂𝑛𝑙𝑦)</a:t>
              </a:r>
              <a:r>
                <a:rPr lang="en-US" sz="1100" b="0" i="0">
                  <a:solidFill>
                    <a:schemeClr val="tx1"/>
                  </a:solidFill>
                  <a:effectLst/>
                  <a:latin typeface="Cambria Math" panose="02040503050406030204" pitchFamily="18" charset="0"/>
                  <a:ea typeface="Cambria Math" panose="02040503050406030204" pitchFamily="18" charset="0"/>
                  <a:cs typeface="+mn-cs"/>
                </a:rPr>
                <a:t>∗〖𝑅𝑈𝐿〗_(𝑇𝑢𝑟𝑛−𝑖𝑛)</a:t>
              </a:r>
              <a:endParaRPr lang="en-US" sz="1100"/>
            </a:p>
          </xdr:txBody>
        </xdr:sp>
      </mc:Fallback>
    </mc:AlternateContent>
    <xdr:clientData/>
  </xdr:oneCellAnchor>
  <xdr:oneCellAnchor>
    <xdr:from>
      <xdr:col>2</xdr:col>
      <xdr:colOff>0</xdr:colOff>
      <xdr:row>63</xdr:row>
      <xdr:rowOff>0</xdr:rowOff>
    </xdr:from>
    <xdr:ext cx="2093778" cy="182935"/>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747B0B05-BAFF-455E-B020-3722F4410482}"/>
                </a:ext>
              </a:extLst>
            </xdr:cNvPr>
            <xdr:cNvSpPr txBox="1"/>
          </xdr:nvSpPr>
          <xdr:spPr>
            <a:xfrm>
              <a:off x="381000" y="15201900"/>
              <a:ext cx="2093778"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𝑇𝑢𝑟𝑛</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𝑖𝑛</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𝑂𝑛𝑙𝑦</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m:t>
                        </m:r>
                      </m:e>
                      <m:sub>
                        <m:r>
                          <a:rPr lang="en-US" sz="1100" b="0" i="1">
                            <a:solidFill>
                              <a:sysClr val="windowText" lastClr="000000"/>
                            </a:solidFill>
                            <a:effectLst/>
                            <a:latin typeface="Cambria Math" panose="02040503050406030204" pitchFamily="18" charset="0"/>
                            <a:ea typeface="+mn-ea"/>
                            <a:cs typeface="+mn-cs"/>
                          </a:rPr>
                          <m:t>𝑇𝑢𝑟𝑛</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𝑖𝑛</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18" name="TextBox 17">
              <a:extLst>
                <a:ext uri="{FF2B5EF4-FFF2-40B4-BE49-F238E27FC236}">
                  <a16:creationId xmlns:a16="http://schemas.microsoft.com/office/drawing/2014/main" id="{747B0B05-BAFF-455E-B020-3722F4410482}"/>
                </a:ext>
              </a:extLst>
            </xdr:cNvPr>
            <xdr:cNvSpPr txBox="1"/>
          </xdr:nvSpPr>
          <xdr:spPr>
            <a:xfrm>
              <a:off x="381000" y="15201900"/>
              <a:ext cx="2093778"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𝑘𝑊ℎ〗_(𝑇𝑢𝑟𝑛−𝑖𝑛 𝑂𝑛𝑙𝑦)=𝐸_(𝑇𝑢𝑟𝑛−𝑖𝑛)∗𝑃𝐹</a:t>
              </a:r>
              <a:endParaRPr lang="en-US" sz="1100">
                <a:solidFill>
                  <a:sysClr val="windowText" lastClr="000000"/>
                </a:solidFill>
              </a:endParaRPr>
            </a:p>
          </xdr:txBody>
        </xdr:sp>
      </mc:Fallback>
    </mc:AlternateContent>
    <xdr:clientData/>
  </xdr:oneCellAnchor>
</xdr:wsDr>
</file>

<file path=xl/drawings/drawing30.xml><?xml version="1.0" encoding="utf-8"?>
<xdr:wsDr xmlns:xdr="http://schemas.openxmlformats.org/drawingml/2006/spreadsheetDrawing" xmlns:a="http://schemas.openxmlformats.org/drawingml/2006/main">
  <xdr:oneCellAnchor>
    <xdr:from>
      <xdr:col>3</xdr:col>
      <xdr:colOff>1</xdr:colOff>
      <xdr:row>44</xdr:row>
      <xdr:rowOff>80597</xdr:rowOff>
    </xdr:from>
    <xdr:ext cx="2535116" cy="40298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7C9B060-95D8-4B4F-95BD-4439C9D56E32}"/>
                </a:ext>
              </a:extLst>
            </xdr:cNvPr>
            <xdr:cNvSpPr txBox="1"/>
          </xdr:nvSpPr>
          <xdr:spPr>
            <a:xfrm>
              <a:off x="542926" y="13768022"/>
              <a:ext cx="2535116" cy="402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𝑊</m:t>
                                </m:r>
                              </m:e>
                              <m:sub>
                                <m:r>
                                  <a:rPr lang="en-US" sz="1100" b="0" i="1">
                                    <a:latin typeface="Cambria Math" panose="02040503050406030204" pitchFamily="18" charset="0"/>
                                    <a:ea typeface="Cambria Math" panose="02040503050406030204" pitchFamily="18" charset="0"/>
                                  </a:rPr>
                                  <m:t>𝐵𝐿</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𝐸𝐸</m:t>
                                </m:r>
                              </m:sub>
                            </m:sSub>
                          </m:e>
                        </m:d>
                      </m:num>
                      <m:den>
                        <m:r>
                          <a:rPr lang="en-US" sz="1100" b="0" i="1">
                            <a:latin typeface="Cambria Math" panose="02040503050406030204" pitchFamily="18" charset="0"/>
                            <a:ea typeface="Cambria Math" panose="02040503050406030204" pitchFamily="18" charset="0"/>
                          </a:rPr>
                          <m:t>1000</m:t>
                        </m:r>
                      </m:den>
                    </m:f>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𝐶𝑂𝑃</m:t>
                            </m:r>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87C9B060-95D8-4B4F-95BD-4439C9D56E32}"/>
                </a:ext>
              </a:extLst>
            </xdr:cNvPr>
            <xdr:cNvSpPr txBox="1"/>
          </xdr:nvSpPr>
          <xdr:spPr>
            <a:xfrm>
              <a:off x="542926" y="13768022"/>
              <a:ext cx="2535116" cy="402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𝑘𝑊=((𝑊_𝐵𝐿−</a:t>
              </a:r>
              <a:r>
                <a:rPr lang="en-US" sz="1100" b="0" i="0">
                  <a:solidFill>
                    <a:schemeClr val="tx1"/>
                  </a:solidFill>
                  <a:effectLst/>
                  <a:latin typeface="Cambria Math" panose="02040503050406030204" pitchFamily="18" charset="0"/>
                  <a:ea typeface="+mn-ea"/>
                  <a:cs typeface="+mn-cs"/>
                </a:rPr>
                <a:t>𝑊_𝐸𝐸 )</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1000</a:t>
              </a:r>
              <a:r>
                <a:rPr lang="en-US" sz="1100" b="0" i="0">
                  <a:solidFill>
                    <a:schemeClr val="tx1"/>
                  </a:solidFill>
                  <a:effectLst/>
                  <a:latin typeface="Cambria Math" panose="02040503050406030204" pitchFamily="18" charset="0"/>
                  <a:ea typeface="+mn-ea"/>
                  <a:cs typeface="+mn-cs"/>
                </a:rPr>
                <a:t>∗(1+1/𝐶𝑂𝑃)∗𝐶𝐹</a:t>
              </a:r>
              <a:endParaRPr lang="en-US" sz="1100"/>
            </a:p>
          </xdr:txBody>
        </xdr:sp>
      </mc:Fallback>
    </mc:AlternateContent>
    <xdr:clientData/>
  </xdr:oneCellAnchor>
  <xdr:oneCellAnchor>
    <xdr:from>
      <xdr:col>3</xdr:col>
      <xdr:colOff>0</xdr:colOff>
      <xdr:row>52</xdr:row>
      <xdr:rowOff>102577</xdr:rowOff>
    </xdr:from>
    <xdr:ext cx="2535116" cy="40298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FAAC2A6-D321-4DFD-B634-6292719B5126}"/>
                </a:ext>
              </a:extLst>
            </xdr:cNvPr>
            <xdr:cNvSpPr txBox="1"/>
          </xdr:nvSpPr>
          <xdr:spPr>
            <a:xfrm>
              <a:off x="542925" y="15314002"/>
              <a:ext cx="2535116" cy="402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𝑊</m:t>
                                </m:r>
                              </m:e>
                              <m:sub>
                                <m:r>
                                  <a:rPr lang="en-US" sz="1100" b="0" i="1">
                                    <a:latin typeface="Cambria Math" panose="02040503050406030204" pitchFamily="18" charset="0"/>
                                    <a:ea typeface="Cambria Math" panose="02040503050406030204" pitchFamily="18" charset="0"/>
                                  </a:rPr>
                                  <m:t>𝐵𝐿</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𝐸𝐸</m:t>
                                </m:r>
                              </m:sub>
                            </m:sSub>
                          </m:e>
                        </m:d>
                      </m:num>
                      <m:den>
                        <m:r>
                          <a:rPr lang="en-US" sz="1100" b="0" i="1">
                            <a:latin typeface="Cambria Math" panose="02040503050406030204" pitchFamily="18" charset="0"/>
                            <a:ea typeface="Cambria Math" panose="02040503050406030204" pitchFamily="18" charset="0"/>
                          </a:rPr>
                          <m:t>1000</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7FAAC2A6-D321-4DFD-B634-6292719B5126}"/>
                </a:ext>
              </a:extLst>
            </xdr:cNvPr>
            <xdr:cNvSpPr txBox="1"/>
          </xdr:nvSpPr>
          <xdr:spPr>
            <a:xfrm>
              <a:off x="542925" y="15314002"/>
              <a:ext cx="2535116" cy="402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𝑘𝑊=((𝑊_𝐵𝐿−</a:t>
              </a:r>
              <a:r>
                <a:rPr lang="en-US" sz="1100" b="0" i="0">
                  <a:solidFill>
                    <a:schemeClr val="tx1"/>
                  </a:solidFill>
                  <a:effectLst/>
                  <a:latin typeface="Cambria Math" panose="02040503050406030204" pitchFamily="18" charset="0"/>
                  <a:ea typeface="+mn-ea"/>
                  <a:cs typeface="+mn-cs"/>
                </a:rPr>
                <a:t>𝑊_𝐸𝐸 )</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1000</a:t>
              </a:r>
              <a:r>
                <a:rPr lang="en-US" sz="1100" b="0" i="0">
                  <a:solidFill>
                    <a:schemeClr val="tx1"/>
                  </a:solidFill>
                  <a:effectLst/>
                  <a:latin typeface="Cambria Math" panose="02040503050406030204" pitchFamily="18" charset="0"/>
                  <a:ea typeface="+mn-ea"/>
                  <a:cs typeface="+mn-cs"/>
                </a:rPr>
                <a:t>∗𝐶𝐹</a:t>
              </a:r>
              <a:endParaRPr lang="en-US" sz="1100"/>
            </a:p>
          </xdr:txBody>
        </xdr:sp>
      </mc:Fallback>
    </mc:AlternateContent>
    <xdr:clientData/>
  </xdr:oneCellAnchor>
  <xdr:oneCellAnchor>
    <xdr:from>
      <xdr:col>3</xdr:col>
      <xdr:colOff>7326</xdr:colOff>
      <xdr:row>59</xdr:row>
      <xdr:rowOff>109904</xdr:rowOff>
    </xdr:from>
    <xdr:ext cx="2674327" cy="402981"/>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E252E885-AEC1-42F3-B2A6-1925E4DC0D3B}"/>
                </a:ext>
              </a:extLst>
            </xdr:cNvPr>
            <xdr:cNvSpPr txBox="1"/>
          </xdr:nvSpPr>
          <xdr:spPr>
            <a:xfrm>
              <a:off x="550251" y="16654829"/>
              <a:ext cx="2674327" cy="402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𝑊</m:t>
                                </m:r>
                              </m:e>
                              <m:sub>
                                <m:r>
                                  <a:rPr lang="en-US" sz="1100" b="0" i="1">
                                    <a:latin typeface="Cambria Math" panose="02040503050406030204" pitchFamily="18" charset="0"/>
                                    <a:ea typeface="Cambria Math" panose="02040503050406030204" pitchFamily="18" charset="0"/>
                                  </a:rPr>
                                  <m:t>𝐵𝐿</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𝐸𝐸</m:t>
                                </m:r>
                              </m:sub>
                            </m:sSub>
                          </m:e>
                        </m:d>
                      </m:num>
                      <m:den>
                        <m:r>
                          <a:rPr lang="en-US" sz="1100" b="0" i="1">
                            <a:latin typeface="Cambria Math" panose="02040503050406030204" pitchFamily="18" charset="0"/>
                            <a:ea typeface="Cambria Math" panose="02040503050406030204" pitchFamily="18" charset="0"/>
                          </a:rPr>
                          <m:t>1000</m:t>
                        </m:r>
                      </m:den>
                    </m:f>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𝐶𝑂𝑃</m:t>
                            </m:r>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oMath>
                </m:oMathPara>
              </a14:m>
              <a:endParaRPr lang="en-US" sz="1100"/>
            </a:p>
          </xdr:txBody>
        </xdr:sp>
      </mc:Choice>
      <mc:Fallback xmlns="">
        <xdr:sp macro="" textlink="">
          <xdr:nvSpPr>
            <xdr:cNvPr id="4" name="TextBox 3">
              <a:extLst>
                <a:ext uri="{FF2B5EF4-FFF2-40B4-BE49-F238E27FC236}">
                  <a16:creationId xmlns:a16="http://schemas.microsoft.com/office/drawing/2014/main" id="{E252E885-AEC1-42F3-B2A6-1925E4DC0D3B}"/>
                </a:ext>
              </a:extLst>
            </xdr:cNvPr>
            <xdr:cNvSpPr txBox="1"/>
          </xdr:nvSpPr>
          <xdr:spPr>
            <a:xfrm>
              <a:off x="550251" y="16654829"/>
              <a:ext cx="2674327" cy="402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𝑘𝑊ℎ=((𝑊_𝐵𝐿−</a:t>
              </a:r>
              <a:r>
                <a:rPr lang="en-US" sz="1100" b="0" i="0">
                  <a:solidFill>
                    <a:schemeClr val="tx1"/>
                  </a:solidFill>
                  <a:effectLst/>
                  <a:latin typeface="Cambria Math" panose="02040503050406030204" pitchFamily="18" charset="0"/>
                  <a:ea typeface="+mn-ea"/>
                  <a:cs typeface="+mn-cs"/>
                </a:rPr>
                <a:t>𝑊_𝐸𝐸 )</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1000</a:t>
              </a:r>
              <a:r>
                <a:rPr lang="en-US" sz="1100" b="0" i="0">
                  <a:solidFill>
                    <a:schemeClr val="tx1"/>
                  </a:solidFill>
                  <a:effectLst/>
                  <a:latin typeface="Cambria Math" panose="02040503050406030204" pitchFamily="18" charset="0"/>
                  <a:ea typeface="+mn-ea"/>
                  <a:cs typeface="+mn-cs"/>
                </a:rPr>
                <a:t>∗(1+1/𝐶𝑂𝑃)∗𝐻𝑅𝑆</a:t>
              </a:r>
              <a:endParaRPr lang="en-US" sz="1100"/>
            </a:p>
          </xdr:txBody>
        </xdr:sp>
      </mc:Fallback>
    </mc:AlternateContent>
    <xdr:clientData/>
  </xdr:oneCellAnchor>
  <xdr:oneCellAnchor>
    <xdr:from>
      <xdr:col>3</xdr:col>
      <xdr:colOff>7327</xdr:colOff>
      <xdr:row>67</xdr:row>
      <xdr:rowOff>95250</xdr:rowOff>
    </xdr:from>
    <xdr:ext cx="2535116" cy="402981"/>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7953BF4E-6006-4D8D-9431-A56990C0CBA1}"/>
                </a:ext>
              </a:extLst>
            </xdr:cNvPr>
            <xdr:cNvSpPr txBox="1"/>
          </xdr:nvSpPr>
          <xdr:spPr>
            <a:xfrm>
              <a:off x="550252" y="18164175"/>
              <a:ext cx="2535116" cy="402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𝑊</m:t>
                                </m:r>
                              </m:e>
                              <m:sub>
                                <m:r>
                                  <a:rPr lang="en-US" sz="1100" b="0" i="1">
                                    <a:latin typeface="Cambria Math" panose="02040503050406030204" pitchFamily="18" charset="0"/>
                                    <a:ea typeface="Cambria Math" panose="02040503050406030204" pitchFamily="18" charset="0"/>
                                  </a:rPr>
                                  <m:t>𝐵𝐿</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𝐸𝐸</m:t>
                                </m:r>
                              </m:sub>
                            </m:sSub>
                          </m:e>
                        </m:d>
                      </m:num>
                      <m:den>
                        <m:r>
                          <a:rPr lang="en-US" sz="1100" b="0" i="1">
                            <a:latin typeface="Cambria Math" panose="02040503050406030204" pitchFamily="18" charset="0"/>
                            <a:ea typeface="Cambria Math" panose="02040503050406030204" pitchFamily="18" charset="0"/>
                          </a:rPr>
                          <m:t>1000</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oMath>
                </m:oMathPara>
              </a14:m>
              <a:endParaRPr lang="en-US" sz="1100"/>
            </a:p>
          </xdr:txBody>
        </xdr:sp>
      </mc:Choice>
      <mc:Fallback xmlns="">
        <xdr:sp macro="" textlink="">
          <xdr:nvSpPr>
            <xdr:cNvPr id="5" name="TextBox 4">
              <a:extLst>
                <a:ext uri="{FF2B5EF4-FFF2-40B4-BE49-F238E27FC236}">
                  <a16:creationId xmlns:a16="http://schemas.microsoft.com/office/drawing/2014/main" id="{7953BF4E-6006-4D8D-9431-A56990C0CBA1}"/>
                </a:ext>
              </a:extLst>
            </xdr:cNvPr>
            <xdr:cNvSpPr txBox="1"/>
          </xdr:nvSpPr>
          <xdr:spPr>
            <a:xfrm>
              <a:off x="550252" y="18164175"/>
              <a:ext cx="2535116" cy="402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𝑘𝑊ℎ=((𝑊_𝐵𝐿−</a:t>
              </a:r>
              <a:r>
                <a:rPr lang="en-US" sz="1100" b="0" i="0">
                  <a:solidFill>
                    <a:schemeClr val="tx1"/>
                  </a:solidFill>
                  <a:effectLst/>
                  <a:latin typeface="Cambria Math" panose="02040503050406030204" pitchFamily="18" charset="0"/>
                  <a:ea typeface="+mn-ea"/>
                  <a:cs typeface="+mn-cs"/>
                </a:rPr>
                <a:t>𝑊_𝐸𝐸 )</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1000</a:t>
              </a:r>
              <a:r>
                <a:rPr lang="en-US" sz="1100" b="0" i="0">
                  <a:solidFill>
                    <a:schemeClr val="tx1"/>
                  </a:solidFill>
                  <a:effectLst/>
                  <a:latin typeface="Cambria Math" panose="02040503050406030204" pitchFamily="18" charset="0"/>
                  <a:ea typeface="+mn-ea"/>
                  <a:cs typeface="+mn-cs"/>
                </a:rPr>
                <a:t>∗𝐻𝑅𝑆</a:t>
              </a:r>
              <a:endParaRPr lang="en-US" sz="1100"/>
            </a:p>
          </xdr:txBody>
        </xdr:sp>
      </mc:Fallback>
    </mc:AlternateContent>
    <xdr:clientData/>
  </xdr:oneCellAnchor>
  <xdr:oneCellAnchor>
    <xdr:from>
      <xdr:col>3</xdr:col>
      <xdr:colOff>0</xdr:colOff>
      <xdr:row>80</xdr:row>
      <xdr:rowOff>0</xdr:rowOff>
    </xdr:from>
    <xdr:ext cx="2895599" cy="1831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67F77D38-7303-43C1-AA78-8B8C48604031}"/>
                </a:ext>
              </a:extLst>
            </xdr:cNvPr>
            <xdr:cNvSpPr txBox="1"/>
          </xdr:nvSpPr>
          <xdr:spPr>
            <a:xfrm>
              <a:off x="542925" y="205454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6" name="TextBox 5">
              <a:extLst>
                <a:ext uri="{FF2B5EF4-FFF2-40B4-BE49-F238E27FC236}">
                  <a16:creationId xmlns:a16="http://schemas.microsoft.com/office/drawing/2014/main" id="{67F77D38-7303-43C1-AA78-8B8C48604031}"/>
                </a:ext>
              </a:extLst>
            </xdr:cNvPr>
            <xdr:cNvSpPr txBox="1"/>
          </xdr:nvSpPr>
          <xdr:spPr>
            <a:xfrm>
              <a:off x="542925" y="205454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oneCellAnchor>
    <xdr:from>
      <xdr:col>3</xdr:col>
      <xdr:colOff>21980</xdr:colOff>
      <xdr:row>34</xdr:row>
      <xdr:rowOff>73269</xdr:rowOff>
    </xdr:from>
    <xdr:ext cx="2535116" cy="402981"/>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32412319-7DEA-40B2-8C2B-18E2B147AF93}"/>
                </a:ext>
              </a:extLst>
            </xdr:cNvPr>
            <xdr:cNvSpPr txBox="1"/>
          </xdr:nvSpPr>
          <xdr:spPr>
            <a:xfrm>
              <a:off x="564905" y="11855694"/>
              <a:ext cx="2535116" cy="402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𝐵𝐿</m:t>
                        </m:r>
                      </m:sub>
                    </m:sSub>
                    <m:r>
                      <a:rPr lang="en-US" sz="1100" b="0" i="1">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∗746</m:t>
                        </m:r>
                      </m:num>
                      <m:den>
                        <m:sSub>
                          <m:sSubPr>
                            <m:ctrlPr>
                              <a:rPr lang="en-US" sz="1100" b="0" i="1">
                                <a:solidFill>
                                  <a:schemeClr val="tx1"/>
                                </a:solidFill>
                                <a:effectLst/>
                                <a:latin typeface="Cambria Math" panose="02040503050406030204" pitchFamily="18" charset="0"/>
                                <a:ea typeface="+mn-ea"/>
                                <a:cs typeface="+mn-cs"/>
                              </a:rPr>
                            </m:ctrlPr>
                          </m:sSubPr>
                          <m:e>
                            <m:r>
                              <a:rPr lang="el-GR" sz="1100" b="0" i="1">
                                <a:solidFill>
                                  <a:schemeClr val="tx1"/>
                                </a:solidFill>
                                <a:effectLst/>
                                <a:latin typeface="Cambria Math" panose="02040503050406030204" pitchFamily="18" charset="0"/>
                                <a:ea typeface="+mn-ea"/>
                                <a:cs typeface="+mn-cs"/>
                              </a:rPr>
                              <m:t>𝜂</m:t>
                            </m:r>
                          </m:e>
                          <m:sub>
                            <m:r>
                              <a:rPr lang="en-US" sz="1100" b="0" i="1">
                                <a:solidFill>
                                  <a:schemeClr val="tx1"/>
                                </a:solidFill>
                                <a:effectLst/>
                                <a:latin typeface="Cambria Math" panose="02040503050406030204" pitchFamily="18" charset="0"/>
                                <a:ea typeface="+mn-ea"/>
                                <a:cs typeface="+mn-cs"/>
                              </a:rPr>
                              <m:t>𝐵𝐿</m:t>
                            </m:r>
                          </m:sub>
                        </m:sSub>
                      </m:den>
                    </m:f>
                  </m:oMath>
                </m:oMathPara>
              </a14:m>
              <a:endParaRPr lang="en-US" sz="1100"/>
            </a:p>
          </xdr:txBody>
        </xdr:sp>
      </mc:Choice>
      <mc:Fallback xmlns="">
        <xdr:sp macro="" textlink="">
          <xdr:nvSpPr>
            <xdr:cNvPr id="7" name="TextBox 6">
              <a:extLst>
                <a:ext uri="{FF2B5EF4-FFF2-40B4-BE49-F238E27FC236}">
                  <a16:creationId xmlns:a16="http://schemas.microsoft.com/office/drawing/2014/main" id="{32412319-7DEA-40B2-8C2B-18E2B147AF93}"/>
                </a:ext>
              </a:extLst>
            </xdr:cNvPr>
            <xdr:cNvSpPr txBox="1"/>
          </xdr:nvSpPr>
          <xdr:spPr>
            <a:xfrm>
              <a:off x="564905" y="11855694"/>
              <a:ext cx="2535116" cy="402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𝑊_𝐵𝐿</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(ℎ𝑝∗746)/</a:t>
              </a:r>
              <a:r>
                <a:rPr lang="el-GR" sz="1100" b="0" i="0">
                  <a:solidFill>
                    <a:schemeClr val="tx1"/>
                  </a:solidFill>
                  <a:effectLst/>
                  <a:latin typeface="Cambria Math" panose="02040503050406030204" pitchFamily="18" charset="0"/>
                  <a:ea typeface="+mn-ea"/>
                  <a:cs typeface="+mn-cs"/>
                </a:rPr>
                <a:t>𝜂</a:t>
              </a:r>
              <a:r>
                <a:rPr lang="en-US" sz="1100" b="0" i="0">
                  <a:solidFill>
                    <a:schemeClr val="tx1"/>
                  </a:solidFill>
                  <a:effectLst/>
                  <a:latin typeface="Cambria Math" panose="02040503050406030204" pitchFamily="18" charset="0"/>
                  <a:ea typeface="+mn-ea"/>
                  <a:cs typeface="+mn-cs"/>
                </a:rPr>
                <a:t>_𝐵𝐿 </a:t>
              </a:r>
              <a:endParaRPr lang="en-US" sz="1100"/>
            </a:p>
          </xdr:txBody>
        </xdr:sp>
      </mc:Fallback>
    </mc:AlternateContent>
    <xdr:clientData/>
  </xdr:oneCellAnchor>
  <xdr:oneCellAnchor>
    <xdr:from>
      <xdr:col>3</xdr:col>
      <xdr:colOff>7327</xdr:colOff>
      <xdr:row>38</xdr:row>
      <xdr:rowOff>131885</xdr:rowOff>
    </xdr:from>
    <xdr:ext cx="2535116" cy="402981"/>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6AB718F6-B47A-4CB7-9C8D-1361382B75F7}"/>
                </a:ext>
              </a:extLst>
            </xdr:cNvPr>
            <xdr:cNvSpPr txBox="1"/>
          </xdr:nvSpPr>
          <xdr:spPr>
            <a:xfrm>
              <a:off x="550252" y="12676310"/>
              <a:ext cx="2535116" cy="402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𝐸𝐸</m:t>
                        </m:r>
                      </m:sub>
                    </m:sSub>
                    <m:r>
                      <a:rPr lang="en-US" sz="1100" b="0" i="1">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∗746</m:t>
                        </m:r>
                      </m:num>
                      <m:den>
                        <m:sSub>
                          <m:sSubPr>
                            <m:ctrlPr>
                              <a:rPr lang="en-US" sz="1100" b="0" i="1">
                                <a:solidFill>
                                  <a:schemeClr val="tx1"/>
                                </a:solidFill>
                                <a:effectLst/>
                                <a:latin typeface="Cambria Math" panose="02040503050406030204" pitchFamily="18" charset="0"/>
                                <a:ea typeface="+mn-ea"/>
                                <a:cs typeface="+mn-cs"/>
                              </a:rPr>
                            </m:ctrlPr>
                          </m:sSubPr>
                          <m:e>
                            <m:r>
                              <a:rPr lang="el-GR" sz="1100" b="0" i="1">
                                <a:solidFill>
                                  <a:schemeClr val="tx1"/>
                                </a:solidFill>
                                <a:effectLst/>
                                <a:latin typeface="Cambria Math" panose="02040503050406030204" pitchFamily="18" charset="0"/>
                                <a:ea typeface="+mn-ea"/>
                                <a:cs typeface="+mn-cs"/>
                              </a:rPr>
                              <m:t>𝜂</m:t>
                            </m:r>
                          </m:e>
                          <m:sub>
                            <m:r>
                              <a:rPr lang="en-US" sz="1100" b="0" i="1">
                                <a:solidFill>
                                  <a:schemeClr val="tx1"/>
                                </a:solidFill>
                                <a:effectLst/>
                                <a:latin typeface="Cambria Math" panose="02040503050406030204" pitchFamily="18" charset="0"/>
                                <a:ea typeface="+mn-ea"/>
                                <a:cs typeface="+mn-cs"/>
                              </a:rPr>
                              <m:t>𝐸𝐸</m:t>
                            </m:r>
                          </m:sub>
                        </m:sSub>
                      </m:den>
                    </m:f>
                  </m:oMath>
                </m:oMathPara>
              </a14:m>
              <a:endParaRPr lang="en-US" sz="1100"/>
            </a:p>
          </xdr:txBody>
        </xdr:sp>
      </mc:Choice>
      <mc:Fallback xmlns="">
        <xdr:sp macro="" textlink="">
          <xdr:nvSpPr>
            <xdr:cNvPr id="8" name="TextBox 7">
              <a:extLst>
                <a:ext uri="{FF2B5EF4-FFF2-40B4-BE49-F238E27FC236}">
                  <a16:creationId xmlns:a16="http://schemas.microsoft.com/office/drawing/2014/main" id="{6AB718F6-B47A-4CB7-9C8D-1361382B75F7}"/>
                </a:ext>
              </a:extLst>
            </xdr:cNvPr>
            <xdr:cNvSpPr txBox="1"/>
          </xdr:nvSpPr>
          <xdr:spPr>
            <a:xfrm>
              <a:off x="550252" y="12676310"/>
              <a:ext cx="2535116" cy="402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𝑊_𝐸𝐸</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(ℎ𝑝∗746)/</a:t>
              </a:r>
              <a:r>
                <a:rPr lang="el-GR" sz="1100" b="0" i="0">
                  <a:solidFill>
                    <a:schemeClr val="tx1"/>
                  </a:solidFill>
                  <a:effectLst/>
                  <a:latin typeface="Cambria Math" panose="02040503050406030204" pitchFamily="18" charset="0"/>
                  <a:ea typeface="+mn-ea"/>
                  <a:cs typeface="+mn-cs"/>
                </a:rPr>
                <a:t>𝜂</a:t>
              </a:r>
              <a:r>
                <a:rPr lang="en-US" sz="1100" b="0" i="0">
                  <a:solidFill>
                    <a:schemeClr val="tx1"/>
                  </a:solidFill>
                  <a:effectLst/>
                  <a:latin typeface="Cambria Math" panose="02040503050406030204" pitchFamily="18" charset="0"/>
                  <a:ea typeface="+mn-ea"/>
                  <a:cs typeface="+mn-cs"/>
                </a:rPr>
                <a:t>_𝐸𝐸 </a:t>
              </a:r>
              <a:endParaRPr lang="en-US" sz="1100"/>
            </a:p>
          </xdr:txBody>
        </xdr:sp>
      </mc:Fallback>
    </mc:AlternateContent>
    <xdr:clientData/>
  </xdr:oneCellAnchor>
  <xdr:oneCellAnchor>
    <xdr:from>
      <xdr:col>3</xdr:col>
      <xdr:colOff>0</xdr:colOff>
      <xdr:row>74</xdr:row>
      <xdr:rowOff>0</xdr:rowOff>
    </xdr:from>
    <xdr:ext cx="2895599" cy="1831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11DA9702-6891-413D-BF53-53AFF983BE1F}"/>
                </a:ext>
              </a:extLst>
            </xdr:cNvPr>
            <xdr:cNvSpPr txBox="1"/>
          </xdr:nvSpPr>
          <xdr:spPr>
            <a:xfrm>
              <a:off x="542925" y="194024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𝑅𝑈𝐿</m:t>
                    </m:r>
                  </m:oMath>
                </m:oMathPara>
              </a14:m>
              <a:endParaRPr lang="en-US" sz="1100"/>
            </a:p>
          </xdr:txBody>
        </xdr:sp>
      </mc:Choice>
      <mc:Fallback xmlns="">
        <xdr:sp macro="" textlink="">
          <xdr:nvSpPr>
            <xdr:cNvPr id="9" name="TextBox 8">
              <a:extLst>
                <a:ext uri="{FF2B5EF4-FFF2-40B4-BE49-F238E27FC236}">
                  <a16:creationId xmlns:a16="http://schemas.microsoft.com/office/drawing/2014/main" id="{11DA9702-6891-413D-BF53-53AFF983BE1F}"/>
                </a:ext>
              </a:extLst>
            </xdr:cNvPr>
            <xdr:cNvSpPr txBox="1"/>
          </xdr:nvSpPr>
          <xdr:spPr>
            <a:xfrm>
              <a:off x="542925" y="194024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𝑘𝑊ℎ∗𝑅𝑈𝐿</a:t>
              </a:r>
              <a:endParaRPr lang="en-US" sz="1100"/>
            </a:p>
          </xdr:txBody>
        </xdr:sp>
      </mc:Fallback>
    </mc:AlternateContent>
    <xdr:clientData/>
  </xdr:oneCellAnchor>
  <xdr:oneCellAnchor>
    <xdr:from>
      <xdr:col>3</xdr:col>
      <xdr:colOff>36635</xdr:colOff>
      <xdr:row>48</xdr:row>
      <xdr:rowOff>73269</xdr:rowOff>
    </xdr:from>
    <xdr:ext cx="3494942" cy="402981"/>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67E69301-D87E-464B-832E-80B895326DB4}"/>
                </a:ext>
              </a:extLst>
            </xdr:cNvPr>
            <xdr:cNvSpPr txBox="1"/>
          </xdr:nvSpPr>
          <xdr:spPr>
            <a:xfrm>
              <a:off x="579560" y="14522694"/>
              <a:ext cx="3494942" cy="402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𝑊</m:t>
                                </m:r>
                              </m:e>
                              <m:sub>
                                <m:r>
                                  <a:rPr lang="en-US" sz="1100" b="0" i="1">
                                    <a:latin typeface="Cambria Math" panose="02040503050406030204" pitchFamily="18" charset="0"/>
                                    <a:ea typeface="Cambria Math" panose="02040503050406030204" pitchFamily="18" charset="0"/>
                                  </a:rPr>
                                  <m:t>𝐵𝐿</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𝐸𝐸</m:t>
                                </m:r>
                              </m:sub>
                            </m:sSub>
                          </m:e>
                        </m:d>
                      </m:num>
                      <m:den>
                        <m:r>
                          <a:rPr lang="en-US" sz="1100" b="0" i="1">
                            <a:latin typeface="Cambria Math" panose="02040503050406030204" pitchFamily="18" charset="0"/>
                            <a:ea typeface="Cambria Math" panose="02040503050406030204" pitchFamily="18" charset="0"/>
                          </a:rPr>
                          <m:t>1000</m:t>
                        </m:r>
                      </m:den>
                    </m:f>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𝐶𝑂𝑃</m:t>
                            </m:r>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Cambria Math" panose="02040503050406030204" pitchFamily="18" charset="0"/>
                            <a:cs typeface="+mn-cs"/>
                          </a:rPr>
                          <m:t>𝐶𝑜𝑛𝑡𝑟𝑜𝑙</m:t>
                        </m:r>
                      </m:sub>
                    </m:sSub>
                  </m:oMath>
                </m:oMathPara>
              </a14:m>
              <a:endParaRPr lang="en-US" sz="1100"/>
            </a:p>
          </xdr:txBody>
        </xdr:sp>
      </mc:Choice>
      <mc:Fallback xmlns="">
        <xdr:sp macro="" textlink="">
          <xdr:nvSpPr>
            <xdr:cNvPr id="10" name="TextBox 9">
              <a:extLst>
                <a:ext uri="{FF2B5EF4-FFF2-40B4-BE49-F238E27FC236}">
                  <a16:creationId xmlns:a16="http://schemas.microsoft.com/office/drawing/2014/main" id="{67E69301-D87E-464B-832E-80B895326DB4}"/>
                </a:ext>
              </a:extLst>
            </xdr:cNvPr>
            <xdr:cNvSpPr txBox="1"/>
          </xdr:nvSpPr>
          <xdr:spPr>
            <a:xfrm>
              <a:off x="579560" y="14522694"/>
              <a:ext cx="3494942" cy="402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𝑘𝑊=((𝑊_𝐵𝐿−</a:t>
              </a:r>
              <a:r>
                <a:rPr lang="en-US" sz="1100" b="0" i="0">
                  <a:solidFill>
                    <a:schemeClr val="tx1"/>
                  </a:solidFill>
                  <a:effectLst/>
                  <a:latin typeface="Cambria Math" panose="02040503050406030204" pitchFamily="18" charset="0"/>
                  <a:ea typeface="+mn-ea"/>
                  <a:cs typeface="+mn-cs"/>
                </a:rPr>
                <a:t>𝑊_𝐸𝐸 )</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1000</a:t>
              </a:r>
              <a:r>
                <a:rPr lang="en-US" sz="1100" b="0" i="0">
                  <a:solidFill>
                    <a:schemeClr val="tx1"/>
                  </a:solidFill>
                  <a:effectLst/>
                  <a:latin typeface="Cambria Math" panose="02040503050406030204" pitchFamily="18" charset="0"/>
                  <a:ea typeface="+mn-ea"/>
                  <a:cs typeface="+mn-cs"/>
                </a:rPr>
                <a:t>∗(1+1/𝐶𝑂𝑃)∗𝐶𝐹</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〗_𝐶𝑜𝑛𝑡𝑟𝑜𝑙</a:t>
              </a:r>
              <a:endParaRPr lang="en-US" sz="1100"/>
            </a:p>
          </xdr:txBody>
        </xdr:sp>
      </mc:Fallback>
    </mc:AlternateContent>
    <xdr:clientData/>
  </xdr:oneCellAnchor>
  <xdr:oneCellAnchor>
    <xdr:from>
      <xdr:col>3</xdr:col>
      <xdr:colOff>7326</xdr:colOff>
      <xdr:row>63</xdr:row>
      <xdr:rowOff>109904</xdr:rowOff>
    </xdr:from>
    <xdr:ext cx="3597520" cy="402981"/>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5453D0CC-AEE4-488F-9E03-9A5BDA34FCA7}"/>
                </a:ext>
              </a:extLst>
            </xdr:cNvPr>
            <xdr:cNvSpPr txBox="1"/>
          </xdr:nvSpPr>
          <xdr:spPr>
            <a:xfrm>
              <a:off x="550251" y="17416829"/>
              <a:ext cx="3597520" cy="402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𝑊</m:t>
                                </m:r>
                              </m:e>
                              <m:sub>
                                <m:r>
                                  <a:rPr lang="en-US" sz="1100" b="0" i="1">
                                    <a:latin typeface="Cambria Math" panose="02040503050406030204" pitchFamily="18" charset="0"/>
                                    <a:ea typeface="Cambria Math" panose="02040503050406030204" pitchFamily="18" charset="0"/>
                                  </a:rPr>
                                  <m:t>𝐵𝐿</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𝐸𝐸</m:t>
                                </m:r>
                              </m:sub>
                            </m:sSub>
                          </m:e>
                        </m:d>
                      </m:num>
                      <m:den>
                        <m:r>
                          <a:rPr lang="en-US" sz="1100" b="0" i="1">
                            <a:latin typeface="Cambria Math" panose="02040503050406030204" pitchFamily="18" charset="0"/>
                            <a:ea typeface="Cambria Math" panose="02040503050406030204" pitchFamily="18" charset="0"/>
                          </a:rPr>
                          <m:t>1000</m:t>
                        </m:r>
                      </m:den>
                    </m:f>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𝐶𝑂𝑃</m:t>
                            </m:r>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𝐶𝑜𝑛𝑡𝑟𝑜𝑙</m:t>
                        </m:r>
                      </m:sub>
                    </m:sSub>
                  </m:oMath>
                </m:oMathPara>
              </a14:m>
              <a:endParaRPr lang="en-US" sz="1100"/>
            </a:p>
          </xdr:txBody>
        </xdr:sp>
      </mc:Choice>
      <mc:Fallback xmlns="">
        <xdr:sp macro="" textlink="">
          <xdr:nvSpPr>
            <xdr:cNvPr id="11" name="TextBox 10">
              <a:extLst>
                <a:ext uri="{FF2B5EF4-FFF2-40B4-BE49-F238E27FC236}">
                  <a16:creationId xmlns:a16="http://schemas.microsoft.com/office/drawing/2014/main" id="{5453D0CC-AEE4-488F-9E03-9A5BDA34FCA7}"/>
                </a:ext>
              </a:extLst>
            </xdr:cNvPr>
            <xdr:cNvSpPr txBox="1"/>
          </xdr:nvSpPr>
          <xdr:spPr>
            <a:xfrm>
              <a:off x="550251" y="17416829"/>
              <a:ext cx="3597520" cy="4029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𝑘𝑊ℎ=((𝑊_𝐵𝐿−</a:t>
              </a:r>
              <a:r>
                <a:rPr lang="en-US" sz="1100" b="0" i="0">
                  <a:solidFill>
                    <a:schemeClr val="tx1"/>
                  </a:solidFill>
                  <a:effectLst/>
                  <a:latin typeface="Cambria Math" panose="02040503050406030204" pitchFamily="18" charset="0"/>
                  <a:ea typeface="+mn-ea"/>
                  <a:cs typeface="+mn-cs"/>
                </a:rPr>
                <a:t>𝑊_𝐸𝐸 )</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1000</a:t>
              </a:r>
              <a:r>
                <a:rPr lang="en-US" sz="1100" b="0" i="0">
                  <a:solidFill>
                    <a:schemeClr val="tx1"/>
                  </a:solidFill>
                  <a:effectLst/>
                  <a:latin typeface="Cambria Math" panose="02040503050406030204" pitchFamily="18" charset="0"/>
                  <a:ea typeface="+mn-ea"/>
                  <a:cs typeface="+mn-cs"/>
                </a:rPr>
                <a:t>∗(1+1/𝐶𝑂𝑃)∗𝐻𝑅𝑆</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〗_𝐶𝑜𝑛𝑡𝑟𝑜𝑙</a:t>
              </a:r>
              <a:endParaRPr lang="en-US" sz="1100"/>
            </a:p>
          </xdr:txBody>
        </xdr:sp>
      </mc:Fallback>
    </mc:AlternateContent>
    <xdr:clientData/>
  </xdr:oneCellAnchor>
  <xdr:oneCellAnchor>
    <xdr:from>
      <xdr:col>3</xdr:col>
      <xdr:colOff>0</xdr:colOff>
      <xdr:row>77</xdr:row>
      <xdr:rowOff>0</xdr:rowOff>
    </xdr:from>
    <xdr:ext cx="2895599" cy="183127"/>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C61C5242-6546-43A7-9BBF-C2960ED00C37}"/>
                </a:ext>
              </a:extLst>
            </xdr:cNvPr>
            <xdr:cNvSpPr txBox="1"/>
          </xdr:nvSpPr>
          <xdr:spPr>
            <a:xfrm>
              <a:off x="542925" y="199739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𝐶𝑜𝑛𝑡𝑟𝑜𝑙</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12" name="TextBox 11">
              <a:extLst>
                <a:ext uri="{FF2B5EF4-FFF2-40B4-BE49-F238E27FC236}">
                  <a16:creationId xmlns:a16="http://schemas.microsoft.com/office/drawing/2014/main" id="{C61C5242-6546-43A7-9BBF-C2960ED00C37}"/>
                </a:ext>
              </a:extLst>
            </xdr:cNvPr>
            <xdr:cNvSpPr txBox="1"/>
          </xdr:nvSpPr>
          <xdr:spPr>
            <a:xfrm>
              <a:off x="542925" y="199739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𝑘𝑊ℎ〗_𝐶𝑜𝑛𝑡𝑟𝑜𝑙)∗𝐸𝑈𝐿</a:t>
              </a:r>
              <a:endParaRPr lang="en-US" sz="1100"/>
            </a:p>
          </xdr:txBody>
        </xdr:sp>
      </mc:Fallback>
    </mc:AlternateContent>
    <xdr:clientData/>
  </xdr:oneCellAnchor>
</xdr:wsDr>
</file>

<file path=xl/drawings/drawing31.xml><?xml version="1.0" encoding="utf-8"?>
<xdr:wsDr xmlns:xdr="http://schemas.openxmlformats.org/drawingml/2006/spreadsheetDrawing" xmlns:a="http://schemas.openxmlformats.org/drawingml/2006/main">
  <xdr:oneCellAnchor>
    <xdr:from>
      <xdr:col>1</xdr:col>
      <xdr:colOff>168275</xdr:colOff>
      <xdr:row>32</xdr:row>
      <xdr:rowOff>152</xdr:rowOff>
    </xdr:from>
    <xdr:ext cx="4591050" cy="19492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776B4799-68EA-45DB-8923-91D3A09858C2}"/>
                </a:ext>
              </a:extLst>
            </xdr:cNvPr>
            <xdr:cNvSpPr txBox="1"/>
          </xdr:nvSpPr>
          <xdr:spPr>
            <a:xfrm>
              <a:off x="349250" y="9229877"/>
              <a:ext cx="459105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𝑘𝑊h</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𝐷𝑎𝑦𝑠</m:t>
                  </m:r>
                </m:oMath>
              </a14:m>
              <a:r>
                <a:rPr lang="en-US">
                  <a:effectLst/>
                </a:rPr>
                <a:t> </a:t>
              </a:r>
            </a:p>
          </xdr:txBody>
        </xdr:sp>
      </mc:Choice>
      <mc:Fallback xmlns="">
        <xdr:sp macro="" textlink="">
          <xdr:nvSpPr>
            <xdr:cNvPr id="5" name="TextBox 4">
              <a:extLst>
                <a:ext uri="{FF2B5EF4-FFF2-40B4-BE49-F238E27FC236}">
                  <a16:creationId xmlns:a16="http://schemas.microsoft.com/office/drawing/2014/main" id="{776B4799-68EA-45DB-8923-91D3A09858C2}"/>
                </a:ext>
              </a:extLst>
            </xdr:cNvPr>
            <xdr:cNvSpPr txBox="1"/>
          </xdr:nvSpPr>
          <xdr:spPr>
            <a:xfrm>
              <a:off x="349250" y="9229877"/>
              <a:ext cx="459105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Cambria Math" panose="02040503050406030204" pitchFamily="18" charset="0"/>
                  <a:cs typeface="+mn-cs"/>
                </a:rPr>
                <a:t>∆𝑘𝑊ℎ</a:t>
              </a:r>
              <a:r>
                <a:rPr lang="en-US" sz="1100" b="0" i="0">
                  <a:solidFill>
                    <a:schemeClr val="tx1"/>
                  </a:solidFill>
                  <a:effectLst/>
                  <a:latin typeface="Cambria Math" panose="02040503050406030204" pitchFamily="18" charset="0"/>
                  <a:ea typeface="+mn-ea"/>
                  <a:cs typeface="+mn-cs"/>
                </a:rPr>
                <a:t>=(〖𝑘𝑊ℎ〗_(𝐷𝑎𝑖𝑙𝑦,𝐵𝑎𝑠𝑒)−〖𝑘𝑊ℎ〗_(𝐷𝑎𝑖𝑙𝑦,𝐸𝑓𝑓) )∗𝐷𝑎𝑦𝑠</a:t>
              </a:r>
              <a:r>
                <a:rPr lang="en-US">
                  <a:effectLst/>
                </a:rPr>
                <a:t> </a:t>
              </a:r>
            </a:p>
          </xdr:txBody>
        </xdr:sp>
      </mc:Fallback>
    </mc:AlternateContent>
    <xdr:clientData/>
  </xdr:oneCellAnchor>
  <xdr:oneCellAnchor>
    <xdr:from>
      <xdr:col>2</xdr:col>
      <xdr:colOff>26987</xdr:colOff>
      <xdr:row>41</xdr:row>
      <xdr:rowOff>11113</xdr:rowOff>
    </xdr:from>
    <xdr:ext cx="2895599"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6FF7FBA7-5E10-4EA8-A026-F6D3A3D81D21}"/>
                </a:ext>
              </a:extLst>
            </xdr:cNvPr>
            <xdr:cNvSpPr txBox="1"/>
          </xdr:nvSpPr>
          <xdr:spPr>
            <a:xfrm>
              <a:off x="388937" y="1093628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7" name="TextBox 6">
              <a:extLst>
                <a:ext uri="{FF2B5EF4-FFF2-40B4-BE49-F238E27FC236}">
                  <a16:creationId xmlns:a16="http://schemas.microsoft.com/office/drawing/2014/main" id="{6FF7FBA7-5E10-4EA8-A026-F6D3A3D81D21}"/>
                </a:ext>
              </a:extLst>
            </xdr:cNvPr>
            <xdr:cNvSpPr txBox="1"/>
          </xdr:nvSpPr>
          <xdr:spPr>
            <a:xfrm>
              <a:off x="388937" y="1093628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oneCellAnchor>
    <xdr:from>
      <xdr:col>1</xdr:col>
      <xdr:colOff>161925</xdr:colOff>
      <xdr:row>36</xdr:row>
      <xdr:rowOff>0</xdr:rowOff>
    </xdr:from>
    <xdr:ext cx="4008437" cy="3858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75297920-718C-4A22-B10C-805C7DE66FE4}"/>
                </a:ext>
              </a:extLst>
            </xdr:cNvPr>
            <xdr:cNvSpPr txBox="1"/>
          </xdr:nvSpPr>
          <xdr:spPr>
            <a:xfrm>
              <a:off x="342900" y="9991725"/>
              <a:ext cx="4008437" cy="385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𝑘𝑊</m:t>
                    </m:r>
                    <m:r>
                      <a:rPr lang="en-US" sz="1100" b="0" i="1">
                        <a:solidFill>
                          <a:schemeClr val="tx1"/>
                        </a:solidFill>
                        <a:effectLst/>
                        <a:latin typeface="Cambria Math" panose="02040503050406030204" pitchFamily="18" charset="0"/>
                        <a:ea typeface="+mn-ea"/>
                        <a:cs typeface="+mn-cs"/>
                      </a:rPr>
                      <m:t>=</m:t>
                    </m:r>
                    <m:d>
                      <m:dPr>
                        <m:begChr m:val="["/>
                        <m:endChr m:val="]"/>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𝐻𝑜𝑢𝑟𝑠</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𝐵𝑎𝑠𝑒</m:t>
                            </m:r>
                          </m:sub>
                        </m:sSub>
                      </m:e>
                    </m:d>
                    <m:r>
                      <a:rPr lang="en-US" sz="1100" b="0" i="1">
                        <a:solidFill>
                          <a:schemeClr val="tx1"/>
                        </a:solidFill>
                        <a:effectLst/>
                        <a:latin typeface="Cambria Math" panose="02040503050406030204" pitchFamily="18" charset="0"/>
                        <a:ea typeface="+mn-ea"/>
                        <a:cs typeface="+mn-cs"/>
                      </a:rPr>
                      <m:t>−</m:t>
                    </m:r>
                    <m:d>
                      <m:dPr>
                        <m:begChr m:val="["/>
                        <m:endChr m:val="]"/>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𝐻𝑜𝑢𝑟𝑠</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𝐸𝑓𝑓</m:t>
                            </m:r>
                          </m:sub>
                        </m:sSub>
                      </m:e>
                    </m:d>
                  </m:oMath>
                </m:oMathPara>
              </a14:m>
              <a:endParaRPr lang="en-US">
                <a:effectLst/>
              </a:endParaRPr>
            </a:p>
          </xdr:txBody>
        </xdr:sp>
      </mc:Choice>
      <mc:Fallback xmlns="">
        <xdr:sp macro="" textlink="">
          <xdr:nvSpPr>
            <xdr:cNvPr id="8" name="TextBox 7">
              <a:extLst>
                <a:ext uri="{FF2B5EF4-FFF2-40B4-BE49-F238E27FC236}">
                  <a16:creationId xmlns:a16="http://schemas.microsoft.com/office/drawing/2014/main" id="{75297920-718C-4A22-B10C-805C7DE66FE4}"/>
                </a:ext>
              </a:extLst>
            </xdr:cNvPr>
            <xdr:cNvSpPr txBox="1"/>
          </xdr:nvSpPr>
          <xdr:spPr>
            <a:xfrm>
              <a:off x="342900" y="9991725"/>
              <a:ext cx="4008437" cy="385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Cambria Math" panose="02040503050406030204" pitchFamily="18" charset="0"/>
                  <a:cs typeface="+mn-cs"/>
                </a:rPr>
                <a:t>∆𝑘𝑊</a:t>
              </a:r>
              <a:r>
                <a:rPr lang="en-US" sz="1100" b="0" i="0">
                  <a:solidFill>
                    <a:schemeClr val="tx1"/>
                  </a:solidFill>
                  <a:effectLst/>
                  <a:latin typeface="Cambria Math" panose="02040503050406030204" pitchFamily="18" charset="0"/>
                  <a:ea typeface="+mn-ea"/>
                  <a:cs typeface="+mn-cs"/>
                </a:rPr>
                <a:t>=[(〖𝑘𝑊ℎ〗_(𝐷𝑎𝑖𝑙𝑦,𝐵𝑎𝑠𝑒)/〖𝐻𝑜𝑢𝑟𝑠〗_(𝐷𝑎𝑖𝑙𝑦,𝐵𝑎𝑠𝑒) )∗〖𝐶𝐹〗_𝐵𝑎𝑠𝑒 ]−[(〖𝑘𝑊ℎ〗_(𝐷𝑎𝑖𝑙𝑦,𝐸𝑓𝑓)/〖𝐻𝑜𝑢𝑟𝑠〗_(𝐷𝑎𝑖𝑙𝑦,𝐸𝑓𝑓) )∗〖𝐶𝐹〗_𝐸𝑓𝑓 ]</a:t>
              </a:r>
              <a:endParaRPr lang="en-US">
                <a:effectLst/>
              </a:endParaRPr>
            </a:p>
          </xdr:txBody>
        </xdr:sp>
      </mc:Fallback>
    </mc:AlternateContent>
    <xdr:clientData/>
  </xdr:oneCellAnchor>
</xdr:wsDr>
</file>

<file path=xl/drawings/drawing32.xml><?xml version="1.0" encoding="utf-8"?>
<xdr:wsDr xmlns:xdr="http://schemas.openxmlformats.org/drawingml/2006/spreadsheetDrawing" xmlns:a="http://schemas.openxmlformats.org/drawingml/2006/main">
  <xdr:oneCellAnchor>
    <xdr:from>
      <xdr:col>2</xdr:col>
      <xdr:colOff>28575</xdr:colOff>
      <xdr:row>28</xdr:row>
      <xdr:rowOff>109537</xdr:rowOff>
    </xdr:from>
    <xdr:ext cx="2220480" cy="350032"/>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4FDD5312-15E1-4FB9-8F0B-81E29E5B1875}"/>
                </a:ext>
              </a:extLst>
            </xdr:cNvPr>
            <xdr:cNvSpPr txBox="1"/>
          </xdr:nvSpPr>
          <xdr:spPr>
            <a:xfrm>
              <a:off x="406400" y="6288087"/>
              <a:ext cx="2220480" cy="350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𝑁</m:t>
                        </m:r>
                      </m:e>
                      <m:sub>
                        <m:r>
                          <a:rPr lang="en-US" sz="1100" b="0" i="1">
                            <a:solidFill>
                              <a:schemeClr val="tx1"/>
                            </a:solidFill>
                            <a:effectLst/>
                            <a:latin typeface="Cambria Math" panose="02040503050406030204" pitchFamily="18" charset="0"/>
                            <a:ea typeface="+mn-ea"/>
                            <a:cs typeface="+mn-cs"/>
                          </a:rPr>
                          <m:t>𝑓𝑎𝑛𝑠</m:t>
                        </m:r>
                      </m:sub>
                    </m:sSub>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num>
                      <m:den>
                        <m:r>
                          <a:rPr lang="el-GR" sz="1100" b="0" i="1">
                            <a:solidFill>
                              <a:schemeClr val="tx1"/>
                            </a:solidFill>
                            <a:effectLst/>
                            <a:latin typeface="Cambria Math" panose="02040503050406030204" pitchFamily="18" charset="0"/>
                            <a:ea typeface="+mn-ea"/>
                            <a:cs typeface="+mn-cs"/>
                          </a:rPr>
                          <m:t>𝜂</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𝐵𝐹</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4FDD5312-15E1-4FB9-8F0B-81E29E5B1875}"/>
                </a:ext>
              </a:extLst>
            </xdr:cNvPr>
            <xdr:cNvSpPr txBox="1"/>
          </xdr:nvSpPr>
          <xdr:spPr>
            <a:xfrm>
              <a:off x="406400" y="6288087"/>
              <a:ext cx="2220480" cy="350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𝑁_𝑓𝑎𝑛𝑠∗(ℎ𝑝∗0.746)/</a:t>
              </a:r>
              <a:r>
                <a:rPr lang="el-GR" sz="1100" b="0" i="0">
                  <a:solidFill>
                    <a:schemeClr val="tx1"/>
                  </a:solidFill>
                  <a:effectLst/>
                  <a:latin typeface="Cambria Math" panose="02040503050406030204" pitchFamily="18" charset="0"/>
                  <a:ea typeface="+mn-ea"/>
                  <a:cs typeface="+mn-cs"/>
                </a:rPr>
                <a:t>𝜂</a:t>
              </a:r>
              <a:r>
                <a:rPr lang="en-US" sz="1100" b="0" i="0">
                  <a:solidFill>
                    <a:schemeClr val="tx1"/>
                  </a:solidFill>
                  <a:effectLst/>
                  <a:latin typeface="Cambria Math" panose="02040503050406030204" pitchFamily="18" charset="0"/>
                  <a:ea typeface="+mn-ea"/>
                  <a:cs typeface="+mn-cs"/>
                </a:rPr>
                <a:t>∗𝐵𝐹∗𝐶𝐹</a:t>
              </a:r>
              <a:endParaRPr lang="en-US" sz="1100"/>
            </a:p>
          </xdr:txBody>
        </xdr:sp>
      </mc:Fallback>
    </mc:AlternateContent>
    <xdr:clientData/>
  </xdr:oneCellAnchor>
  <xdr:oneCellAnchor>
    <xdr:from>
      <xdr:col>2</xdr:col>
      <xdr:colOff>19050</xdr:colOff>
      <xdr:row>32</xdr:row>
      <xdr:rowOff>152400</xdr:rowOff>
    </xdr:from>
    <xdr:ext cx="4770665" cy="350032"/>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E5B8026-B0BC-4233-A1D2-CAE0F1033190}"/>
                </a:ext>
              </a:extLst>
            </xdr:cNvPr>
            <xdr:cNvSpPr txBox="1"/>
          </xdr:nvSpPr>
          <xdr:spPr>
            <a:xfrm>
              <a:off x="400050" y="7058025"/>
              <a:ext cx="4770665" cy="350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𝑁</m:t>
                        </m:r>
                      </m:e>
                      <m:sub>
                        <m:r>
                          <a:rPr lang="en-US" sz="1100" b="0" i="1">
                            <a:solidFill>
                              <a:schemeClr val="tx1"/>
                            </a:solidFill>
                            <a:effectLst/>
                            <a:latin typeface="Cambria Math" panose="02040503050406030204" pitchFamily="18" charset="0"/>
                            <a:ea typeface="+mn-ea"/>
                            <a:cs typeface="+mn-cs"/>
                          </a:rPr>
                          <m:t>𝑓𝑎𝑛𝑠</m:t>
                        </m:r>
                      </m:sub>
                    </m:sSub>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num>
                      <m:den>
                        <m:r>
                          <a:rPr lang="el-GR" sz="1100" b="0" i="1">
                            <a:solidFill>
                              <a:schemeClr val="tx1"/>
                            </a:solidFill>
                            <a:effectLst/>
                            <a:latin typeface="Cambria Math" panose="02040503050406030204" pitchFamily="18" charset="0"/>
                            <a:ea typeface="+mn-ea"/>
                            <a:cs typeface="+mn-cs"/>
                          </a:rPr>
                          <m:t>𝜂</m:t>
                        </m:r>
                      </m:den>
                    </m:f>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𝐷𝐶</m:t>
                            </m:r>
                          </m:e>
                          <m:sub>
                            <m:r>
                              <a:rPr lang="en-US" sz="1100" b="0" i="1">
                                <a:solidFill>
                                  <a:schemeClr val="tx1"/>
                                </a:solidFill>
                                <a:effectLst/>
                                <a:latin typeface="Cambria Math" panose="02040503050406030204" pitchFamily="18" charset="0"/>
                                <a:ea typeface="+mn-ea"/>
                                <a:cs typeface="+mn-cs"/>
                              </a:rPr>
                              <m:t>𝑐𝑜𝑚𝑝</m:t>
                            </m:r>
                          </m:sub>
                        </m:sSub>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𝐷𝐶</m:t>
                        </m:r>
                      </m:e>
                      <m:sub>
                        <m:r>
                          <a:rPr lang="en-US" sz="1100" b="0" i="1">
                            <a:solidFill>
                              <a:schemeClr val="tx1"/>
                            </a:solidFill>
                            <a:effectLst/>
                            <a:latin typeface="Cambria Math" panose="02040503050406030204" pitchFamily="18" charset="0"/>
                            <a:ea typeface="+mn-ea"/>
                            <a:cs typeface="+mn-cs"/>
                          </a:rPr>
                          <m:t>𝑒𝑣𝑎𝑝</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𝐵𝐹</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 </m:t>
                    </m:r>
                  </m:oMath>
                </m:oMathPara>
              </a14:m>
              <a:endParaRPr lang="en-US" sz="1100"/>
            </a:p>
          </xdr:txBody>
        </xdr:sp>
      </mc:Choice>
      <mc:Fallback xmlns="">
        <xdr:sp macro="" textlink="">
          <xdr:nvSpPr>
            <xdr:cNvPr id="3" name="TextBox 2">
              <a:extLst>
                <a:ext uri="{FF2B5EF4-FFF2-40B4-BE49-F238E27FC236}">
                  <a16:creationId xmlns:a16="http://schemas.microsoft.com/office/drawing/2014/main" id="{2E5B8026-B0BC-4233-A1D2-CAE0F1033190}"/>
                </a:ext>
              </a:extLst>
            </xdr:cNvPr>
            <xdr:cNvSpPr txBox="1"/>
          </xdr:nvSpPr>
          <xdr:spPr>
            <a:xfrm>
              <a:off x="400050" y="7058025"/>
              <a:ext cx="4770665" cy="350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mn-ea"/>
                  <a:cs typeface="+mn-cs"/>
                </a:rPr>
                <a:t>𝑁_𝑓𝑎𝑛𝑠∗(ℎ𝑝∗0.746)/</a:t>
              </a:r>
              <a:r>
                <a:rPr lang="el-GR" sz="1100" b="0" i="0">
                  <a:solidFill>
                    <a:schemeClr val="tx1"/>
                  </a:solidFill>
                  <a:effectLst/>
                  <a:latin typeface="Cambria Math" panose="02040503050406030204" pitchFamily="18" charset="0"/>
                  <a:ea typeface="+mn-ea"/>
                  <a:cs typeface="+mn-cs"/>
                </a:rPr>
                <a:t>𝜂</a:t>
              </a:r>
              <a:r>
                <a:rPr lang="en-US" sz="1100" b="0" i="0">
                  <a:solidFill>
                    <a:schemeClr val="tx1"/>
                  </a:solidFill>
                  <a:effectLst/>
                  <a:latin typeface="Cambria Math" panose="02040503050406030204" pitchFamily="18" charset="0"/>
                  <a:ea typeface="+mn-ea"/>
                  <a:cs typeface="+mn-cs"/>
                </a:rPr>
                <a:t>∗(1−〖𝐷𝐶〗_𝑐𝑜𝑚𝑝 )∗〖𝐷𝐶〗_𝑒𝑣𝑎𝑝∗𝐵𝐹∗𝐻𝑅𝑆=∆𝑘𝑊∗𝐻𝑅𝑆 </a:t>
              </a:r>
              <a:endParaRPr lang="en-US" sz="1100"/>
            </a:p>
          </xdr:txBody>
        </xdr:sp>
      </mc:Fallback>
    </mc:AlternateContent>
    <xdr:clientData/>
  </xdr:oneCellAnchor>
  <xdr:oneCellAnchor>
    <xdr:from>
      <xdr:col>2</xdr:col>
      <xdr:colOff>28575</xdr:colOff>
      <xdr:row>37</xdr:row>
      <xdr:rowOff>9525</xdr:rowOff>
    </xdr:from>
    <xdr:ext cx="1658596"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8EA6AB22-3DD7-4173-A9F3-169BD06E8478}"/>
                </a:ext>
              </a:extLst>
            </xdr:cNvPr>
            <xdr:cNvSpPr txBox="1"/>
          </xdr:nvSpPr>
          <xdr:spPr>
            <a:xfrm>
              <a:off x="406400" y="7816850"/>
              <a:ext cx="1658596"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𝑙𝑖𝑓𝑒</m:t>
                        </m:r>
                      </m:sub>
                    </m:sSub>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8EA6AB22-3DD7-4173-A9F3-169BD06E8478}"/>
                </a:ext>
              </a:extLst>
            </xdr:cNvPr>
            <xdr:cNvSpPr txBox="1"/>
          </xdr:nvSpPr>
          <xdr:spPr>
            <a:xfrm>
              <a:off x="406400" y="7816850"/>
              <a:ext cx="1658596"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𝑙𝑖𝑓𝑒=</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20</xdr:col>
      <xdr:colOff>9525</xdr:colOff>
      <xdr:row>29</xdr:row>
      <xdr:rowOff>9525</xdr:rowOff>
    </xdr:from>
    <xdr:ext cx="1724639" cy="19652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372C65AA-18DE-45C6-852F-DFDDFF38AF45}"/>
                </a:ext>
              </a:extLst>
            </xdr:cNvPr>
            <xdr:cNvSpPr txBox="1"/>
          </xdr:nvSpPr>
          <xdr:spPr>
            <a:xfrm>
              <a:off x="3816350" y="6369050"/>
              <a:ext cx="1724639" cy="196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𝐷𝐶</m:t>
                            </m:r>
                          </m:e>
                          <m:sub>
                            <m:r>
                              <a:rPr lang="en-US" sz="1100" b="0" i="1">
                                <a:solidFill>
                                  <a:schemeClr val="tx1"/>
                                </a:solidFill>
                                <a:effectLst/>
                                <a:latin typeface="Cambria Math" panose="02040503050406030204" pitchFamily="18" charset="0"/>
                                <a:ea typeface="+mn-ea"/>
                                <a:cs typeface="+mn-cs"/>
                              </a:rPr>
                              <m:t>𝑐𝑜𝑚𝑝</m:t>
                            </m:r>
                          </m:sub>
                        </m:sSub>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𝐷𝐶</m:t>
                        </m:r>
                      </m:e>
                      <m:sub>
                        <m:r>
                          <a:rPr lang="en-US" sz="1100" b="0" i="1">
                            <a:solidFill>
                              <a:schemeClr val="tx1"/>
                            </a:solidFill>
                            <a:effectLst/>
                            <a:latin typeface="Cambria Math" panose="02040503050406030204" pitchFamily="18" charset="0"/>
                            <a:ea typeface="+mn-ea"/>
                            <a:cs typeface="+mn-cs"/>
                          </a:rPr>
                          <m:t>𝑒𝑣𝑎𝑝</m:t>
                        </m:r>
                      </m:sub>
                    </m:sSub>
                  </m:oMath>
                </m:oMathPara>
              </a14:m>
              <a:endParaRPr lang="en-US" sz="1100"/>
            </a:p>
          </xdr:txBody>
        </xdr:sp>
      </mc:Choice>
      <mc:Fallback xmlns="">
        <xdr:sp macro="" textlink="">
          <xdr:nvSpPr>
            <xdr:cNvPr id="5" name="TextBox 4">
              <a:extLst>
                <a:ext uri="{FF2B5EF4-FFF2-40B4-BE49-F238E27FC236}">
                  <a16:creationId xmlns:a16="http://schemas.microsoft.com/office/drawing/2014/main" id="{372C65AA-18DE-45C6-852F-DFDDFF38AF45}"/>
                </a:ext>
              </a:extLst>
            </xdr:cNvPr>
            <xdr:cNvSpPr txBox="1"/>
          </xdr:nvSpPr>
          <xdr:spPr>
            <a:xfrm>
              <a:off x="3816350" y="6369050"/>
              <a:ext cx="1724639" cy="196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𝐶</a:t>
              </a:r>
              <a:r>
                <a:rPr lang="en-US" sz="1100" b="0" i="0">
                  <a:latin typeface="Cambria Math" panose="02040503050406030204" pitchFamily="18" charset="0"/>
                  <a:ea typeface="Cambria Math" panose="02040503050406030204" pitchFamily="18" charset="0"/>
                </a:rPr>
                <a:t>𝐹=</a:t>
              </a:r>
              <a:r>
                <a:rPr lang="en-US" sz="1100" b="0" i="0">
                  <a:solidFill>
                    <a:schemeClr val="tx1"/>
                  </a:solidFill>
                  <a:effectLst/>
                  <a:latin typeface="Cambria Math" panose="02040503050406030204" pitchFamily="18" charset="0"/>
                  <a:ea typeface="+mn-ea"/>
                  <a:cs typeface="+mn-cs"/>
                </a:rPr>
                <a:t>(1−〖𝐷𝐶〗_𝑐𝑜𝑚𝑝 )∗〖𝐷𝐶〗_𝑒𝑣𝑎𝑝</a:t>
              </a:r>
              <a:endParaRPr lang="en-US" sz="1100"/>
            </a:p>
          </xdr:txBody>
        </xdr:sp>
      </mc:Fallback>
    </mc:AlternateContent>
    <xdr:clientData/>
  </xdr:oneCellAnchor>
</xdr:wsDr>
</file>

<file path=xl/drawings/drawing33.xml><?xml version="1.0" encoding="utf-8"?>
<xdr:wsDr xmlns:xdr="http://schemas.openxmlformats.org/drawingml/2006/spreadsheetDrawing" xmlns:a="http://schemas.openxmlformats.org/drawingml/2006/main">
  <xdr:oneCellAnchor>
    <xdr:from>
      <xdr:col>2</xdr:col>
      <xdr:colOff>9525</xdr:colOff>
      <xdr:row>28</xdr:row>
      <xdr:rowOff>133350</xdr:rowOff>
    </xdr:from>
    <xdr:ext cx="4841582" cy="37670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B8BAF3A-C306-40EA-9159-936550CEDCE4}"/>
                </a:ext>
              </a:extLst>
            </xdr:cNvPr>
            <xdr:cNvSpPr txBox="1"/>
          </xdr:nvSpPr>
          <xdr:spPr>
            <a:xfrm>
              <a:off x="387350" y="6619875"/>
              <a:ext cx="4841582" cy="37670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d>
                      <m:dPr>
                        <m:begChr m:val="["/>
                        <m:endChr m:val="]"/>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𝐿</m:t>
                            </m:r>
                          </m:e>
                          <m:sub>
                            <m:r>
                              <a:rPr lang="en-US" sz="1100" b="0" i="1">
                                <a:latin typeface="Cambria Math" panose="02040503050406030204" pitchFamily="18" charset="0"/>
                                <a:ea typeface="Cambria Math" panose="02040503050406030204" pitchFamily="18" charset="0"/>
                              </a:rPr>
                              <m:t>𝑇</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𝐿𝑅</m:t>
                            </m:r>
                          </m:e>
                          <m:sub>
                            <m:r>
                              <a:rPr lang="en-US" sz="1100" b="0" i="1">
                                <a:latin typeface="Cambria Math" panose="02040503050406030204" pitchFamily="18" charset="0"/>
                                <a:ea typeface="Cambria Math" panose="02040503050406030204" pitchFamily="18" charset="0"/>
                              </a:rPr>
                              <m:t>𝑁𝑒𝑡</m:t>
                            </m:r>
                          </m:sub>
                        </m:sSub>
                      </m:e>
                    </m:d>
                    <m:d>
                      <m:dPr>
                        <m:begChr m:val="["/>
                        <m:endChr m:val="]"/>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𝐷𝐶</m:t>
                                </m:r>
                              </m:e>
                              <m:sub>
                                <m:r>
                                  <a:rPr lang="en-US" sz="1100" b="0" i="1">
                                    <a:latin typeface="Cambria Math" panose="02040503050406030204" pitchFamily="18" charset="0"/>
                                    <a:ea typeface="Cambria Math" panose="02040503050406030204" pitchFamily="18" charset="0"/>
                                  </a:rPr>
                                  <m:t>𝑐𝑜𝑚𝑝</m:t>
                                </m:r>
                              </m:sub>
                            </m:sSub>
                          </m:num>
                          <m:den>
                            <m:r>
                              <a:rPr lang="en-US" sz="1100" b="0" i="1">
                                <a:latin typeface="Cambria Math" panose="02040503050406030204" pitchFamily="18" charset="0"/>
                                <a:ea typeface="Cambria Math" panose="02040503050406030204" pitchFamily="18" charset="0"/>
                              </a:rPr>
                              <m:t>3412∗</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𝐶𝑂𝑃</m:t>
                                </m:r>
                              </m:e>
                              <m:sub>
                                <m:r>
                                  <a:rPr lang="en-US" sz="1100" b="0" i="1">
                                    <a:latin typeface="Cambria Math" panose="02040503050406030204" pitchFamily="18" charset="0"/>
                                    <a:ea typeface="Cambria Math" panose="02040503050406030204" pitchFamily="18" charset="0"/>
                                  </a:rPr>
                                  <m:t>𝑅</m:t>
                                </m:r>
                              </m:sub>
                            </m:sSub>
                          </m:den>
                        </m:f>
                        <m:r>
                          <a:rPr lang="en-US" sz="1100" b="0" i="1">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24∗</m:t>
                            </m:r>
                            <m:r>
                              <a:rPr lang="en-US" sz="1100" b="0" i="1">
                                <a:solidFill>
                                  <a:schemeClr val="tx1"/>
                                </a:solidFill>
                                <a:effectLst/>
                                <a:latin typeface="Cambria Math" panose="02040503050406030204" pitchFamily="18" charset="0"/>
                                <a:ea typeface="+mn-ea"/>
                                <a:cs typeface="+mn-cs"/>
                              </a:rPr>
                              <m:t>𝐶𝐷𝐷</m:t>
                            </m:r>
                          </m:num>
                          <m:den>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𝑠</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𝑅</m:t>
                                    </m:r>
                                  </m:sub>
                                </m:sSub>
                              </m:e>
                            </m:d>
                            <m:r>
                              <a:rPr lang="en-US" sz="1100" b="0" i="1">
                                <a:solidFill>
                                  <a:schemeClr val="tx1"/>
                                </a:solidFill>
                                <a:effectLst/>
                                <a:latin typeface="Cambria Math" panose="02040503050406030204" pitchFamily="18" charset="0"/>
                                <a:ea typeface="+mn-ea"/>
                                <a:cs typeface="+mn-cs"/>
                              </a:rPr>
                              <m:t>∗3412∗</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𝐶𝑂𝑃</m:t>
                                </m:r>
                              </m:e>
                              <m:sub>
                                <m:r>
                                  <a:rPr lang="en-US" sz="1100" b="0" i="1">
                                    <a:solidFill>
                                      <a:schemeClr val="tx1"/>
                                    </a:solidFill>
                                    <a:effectLst/>
                                    <a:latin typeface="Cambria Math" panose="02040503050406030204" pitchFamily="18" charset="0"/>
                                    <a:ea typeface="+mn-ea"/>
                                    <a:cs typeface="+mn-cs"/>
                                  </a:rPr>
                                  <m:t>𝐴𝐶</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𝐿𝑒𝑛𝑔𝑡h</m:t>
                    </m:r>
                  </m:oMath>
                </m:oMathPara>
              </a14:m>
              <a:endParaRPr lang="en-US" sz="1100"/>
            </a:p>
          </xdr:txBody>
        </xdr:sp>
      </mc:Choice>
      <mc:Fallback xmlns="">
        <xdr:sp macro="" textlink="">
          <xdr:nvSpPr>
            <xdr:cNvPr id="2" name="TextBox 1">
              <a:extLst>
                <a:ext uri="{FF2B5EF4-FFF2-40B4-BE49-F238E27FC236}">
                  <a16:creationId xmlns:a16="http://schemas.microsoft.com/office/drawing/2014/main" id="{2B8BAF3A-C306-40EA-9159-936550CEDCE4}"/>
                </a:ext>
              </a:extLst>
            </xdr:cNvPr>
            <xdr:cNvSpPr txBox="1"/>
          </xdr:nvSpPr>
          <xdr:spPr>
            <a:xfrm>
              <a:off x="387350" y="6619875"/>
              <a:ext cx="4841582" cy="37670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∆𝑘𝑊=[𝐿_𝑇∗〖𝐿𝑅〗_𝑁𝑒𝑡 ][〖𝐷𝐶〗_𝑐𝑜𝑚𝑝/(3412∗〖𝐶𝑂𝑃〗_𝑅 )−</a:t>
              </a:r>
              <a:r>
                <a:rPr lang="en-US" sz="1100" b="0" i="0">
                  <a:solidFill>
                    <a:schemeClr val="tx1"/>
                  </a:solidFill>
                  <a:effectLst/>
                  <a:latin typeface="Cambria Math" panose="02040503050406030204" pitchFamily="18" charset="0"/>
                  <a:ea typeface="+mn-ea"/>
                  <a:cs typeface="+mn-cs"/>
                </a:rPr>
                <a:t>(24∗𝐶𝐷𝐷)/((𝑇_𝑠−𝑇_𝑅 )∗3412∗〖𝐶𝑂𝑃〗_𝐴𝐶∗𝐻𝑅𝑆)]∗𝐿𝑒𝑛𝑔𝑡ℎ</a:t>
              </a:r>
              <a:endParaRPr lang="en-US" sz="1100"/>
            </a:p>
          </xdr:txBody>
        </xdr:sp>
      </mc:Fallback>
    </mc:AlternateContent>
    <xdr:clientData/>
  </xdr:oneCellAnchor>
  <xdr:oneCellAnchor>
    <xdr:from>
      <xdr:col>2</xdr:col>
      <xdr:colOff>0</xdr:colOff>
      <xdr:row>34</xdr:row>
      <xdr:rowOff>0</xdr:rowOff>
    </xdr:from>
    <xdr:ext cx="1294329"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FC0E180-CC0E-4006-8073-E812BB52AE3A}"/>
                </a:ext>
              </a:extLst>
            </xdr:cNvPr>
            <xdr:cNvSpPr txBox="1"/>
          </xdr:nvSpPr>
          <xdr:spPr>
            <a:xfrm>
              <a:off x="381000" y="7572375"/>
              <a:ext cx="1294329"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oMath>
                </m:oMathPara>
              </a14:m>
              <a:endParaRPr lang="en-US" sz="1100"/>
            </a:p>
          </xdr:txBody>
        </xdr:sp>
      </mc:Choice>
      <mc:Fallback xmlns="">
        <xdr:sp macro="" textlink="">
          <xdr:nvSpPr>
            <xdr:cNvPr id="3" name="TextBox 2">
              <a:extLst>
                <a:ext uri="{FF2B5EF4-FFF2-40B4-BE49-F238E27FC236}">
                  <a16:creationId xmlns:a16="http://schemas.microsoft.com/office/drawing/2014/main" id="{FFC0E180-CC0E-4006-8073-E812BB52AE3A}"/>
                </a:ext>
              </a:extLst>
            </xdr:cNvPr>
            <xdr:cNvSpPr txBox="1"/>
          </xdr:nvSpPr>
          <xdr:spPr>
            <a:xfrm>
              <a:off x="381000" y="7572375"/>
              <a:ext cx="1294329"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mn-ea"/>
                  <a:cs typeface="+mn-cs"/>
                </a:rPr>
                <a:t>𝑘𝑊∗𝐻𝑅𝑆</a:t>
              </a:r>
              <a:endParaRPr lang="en-US" sz="1100"/>
            </a:p>
          </xdr:txBody>
        </xdr:sp>
      </mc:Fallback>
    </mc:AlternateContent>
    <xdr:clientData/>
  </xdr:oneCellAnchor>
  <xdr:oneCellAnchor>
    <xdr:from>
      <xdr:col>2</xdr:col>
      <xdr:colOff>0</xdr:colOff>
      <xdr:row>38</xdr:row>
      <xdr:rowOff>0</xdr:rowOff>
    </xdr:from>
    <xdr:ext cx="1658596"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429800BC-65C3-4BED-A766-688E15476A8F}"/>
                </a:ext>
              </a:extLst>
            </xdr:cNvPr>
            <xdr:cNvSpPr txBox="1"/>
          </xdr:nvSpPr>
          <xdr:spPr>
            <a:xfrm>
              <a:off x="381000" y="8296275"/>
              <a:ext cx="1658596"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𝑙𝑖𝑓𝑒</m:t>
                        </m:r>
                      </m:sub>
                    </m:sSub>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429800BC-65C3-4BED-A766-688E15476A8F}"/>
                </a:ext>
              </a:extLst>
            </xdr:cNvPr>
            <xdr:cNvSpPr txBox="1"/>
          </xdr:nvSpPr>
          <xdr:spPr>
            <a:xfrm>
              <a:off x="381000" y="8296275"/>
              <a:ext cx="1658596"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𝑙𝑖𝑓𝑒=</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34.xml><?xml version="1.0" encoding="utf-8"?>
<xdr:wsDr xmlns:xdr="http://schemas.openxmlformats.org/drawingml/2006/spreadsheetDrawing" xmlns:a="http://schemas.openxmlformats.org/drawingml/2006/main">
  <xdr:oneCellAnchor>
    <xdr:from>
      <xdr:col>2</xdr:col>
      <xdr:colOff>38100</xdr:colOff>
      <xdr:row>32</xdr:row>
      <xdr:rowOff>0</xdr:rowOff>
    </xdr:from>
    <xdr:ext cx="3114675" cy="25241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5D2FACD-0819-4197-BD0F-AEA7EE28DFCD}"/>
                </a:ext>
              </a:extLst>
            </xdr:cNvPr>
            <xdr:cNvSpPr txBox="1"/>
          </xdr:nvSpPr>
          <xdr:spPr>
            <a:xfrm>
              <a:off x="419100" y="6734175"/>
              <a:ext cx="3114675" cy="252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d>
                      <m:dPr>
                        <m:begChr m:val="["/>
                        <m:endChr m:val="]"/>
                        <m:ctrlPr>
                          <a:rPr lang="en-US" sz="1100" b="0" i="1">
                            <a:solidFill>
                              <a:sysClr val="windowText" lastClr="000000"/>
                            </a:solidFill>
                            <a:latin typeface="Cambria Math" panose="02040503050406030204" pitchFamily="18" charset="0"/>
                            <a:ea typeface="Cambria Math" panose="02040503050406030204" pitchFamily="18" charset="0"/>
                          </a:rPr>
                        </m:ctrlPr>
                      </m:dPr>
                      <m:e>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𝑚</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acc>
                                  <m:accPr>
                                    <m:chr m:val="̅"/>
                                    <m:ctrlPr>
                                      <a:rPr lang="en-US" sz="1100" b="0" i="1">
                                        <a:solidFill>
                                          <a:sysClr val="windowText" lastClr="000000"/>
                                        </a:solidFill>
                                        <a:effectLst/>
                                        <a:latin typeface="Cambria Math" panose="02040503050406030204" pitchFamily="18" charset="0"/>
                                        <a:ea typeface="+mn-ea"/>
                                        <a:cs typeface="+mn-cs"/>
                                      </a:rPr>
                                    </m:ctrlPr>
                                  </m:accPr>
                                  <m:e>
                                    <m:r>
                                      <a:rPr lang="en-US" sz="1100" b="0" i="1">
                                        <a:solidFill>
                                          <a:sysClr val="windowText" lastClr="000000"/>
                                        </a:solidFill>
                                        <a:effectLst/>
                                        <a:latin typeface="Cambria Math" panose="02040503050406030204" pitchFamily="18" charset="0"/>
                                        <a:ea typeface="+mn-ea"/>
                                        <a:cs typeface="+mn-cs"/>
                                      </a:rPr>
                                      <m:t>𝐷𝐵</m:t>
                                    </m:r>
                                  </m:e>
                                </m:acc>
                              </m:e>
                              <m:sub>
                                <m:r>
                                  <a:rPr lang="en-US" sz="1100" b="0" i="1">
                                    <a:solidFill>
                                      <a:sysClr val="windowText" lastClr="000000"/>
                                    </a:solidFill>
                                    <a:effectLst/>
                                    <a:latin typeface="Cambria Math" panose="02040503050406030204" pitchFamily="18" charset="0"/>
                                    <a:ea typeface="+mn-ea"/>
                                    <a:cs typeface="+mn-cs"/>
                                  </a:rPr>
                                  <m:t>≤75°</m:t>
                                </m:r>
                                <m:r>
                                  <a:rPr lang="en-US" sz="1100" b="0" i="1">
                                    <a:solidFill>
                                      <a:sysClr val="windowText" lastClr="000000"/>
                                    </a:solidFill>
                                    <a:effectLst/>
                                    <a:latin typeface="Cambria Math" panose="02040503050406030204" pitchFamily="18" charset="0"/>
                                    <a:ea typeface="+mn-ea"/>
                                    <a:cs typeface="+mn-cs"/>
                                  </a:rPr>
                                  <m:t>𝐹</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𝑏</m:t>
                            </m:r>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h𝑝</m:t>
                        </m:r>
                      </m:e>
                    </m:d>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𝐻𝑜𝑢𝑟𝑠</m:t>
                        </m:r>
                      </m:e>
                      <m:sub>
                        <m:r>
                          <a:rPr lang="en-US" sz="1100" b="0" i="1">
                            <a:solidFill>
                              <a:sysClr val="windowText" lastClr="000000"/>
                            </a:solidFill>
                            <a:effectLst/>
                            <a:latin typeface="Cambria Math" panose="02040503050406030204" pitchFamily="18" charset="0"/>
                            <a:ea typeface="+mn-ea"/>
                            <a:cs typeface="+mn-cs"/>
                          </a:rPr>
                          <m:t>𝐷𝐵</m:t>
                        </m:r>
                        <m:r>
                          <a:rPr lang="en-US" sz="1100" b="0" i="1">
                            <a:solidFill>
                              <a:sysClr val="windowText" lastClr="000000"/>
                            </a:solidFill>
                            <a:effectLst/>
                            <a:latin typeface="Cambria Math" panose="02040503050406030204" pitchFamily="18" charset="0"/>
                            <a:ea typeface="+mn-ea"/>
                            <a:cs typeface="+mn-cs"/>
                          </a:rPr>
                          <m:t>≤75°</m:t>
                        </m:r>
                        <m:r>
                          <a:rPr lang="en-US" sz="1100" b="0" i="1">
                            <a:solidFill>
                              <a:sysClr val="windowText" lastClr="000000"/>
                            </a:solidFill>
                            <a:effectLst/>
                            <a:latin typeface="Cambria Math" panose="02040503050406030204" pitchFamily="18" charset="0"/>
                            <a:ea typeface="+mn-ea"/>
                            <a:cs typeface="+mn-cs"/>
                          </a:rPr>
                          <m:t>𝐹</m:t>
                        </m:r>
                      </m:sub>
                    </m:sSub>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65D2FACD-0819-4197-BD0F-AEA7EE28DFCD}"/>
                </a:ext>
              </a:extLst>
            </xdr:cNvPr>
            <xdr:cNvSpPr txBox="1"/>
          </xdr:nvSpPr>
          <xdr:spPr>
            <a:xfrm>
              <a:off x="419100" y="6734175"/>
              <a:ext cx="3114675" cy="252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(𝑚∗(𝐷𝐵) ̅_(≤75°𝐹)+𝑏)∗ℎ𝑝]</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〖𝐻𝑜𝑢𝑟𝑠〗_(𝐷𝐵≤75°𝐹)</a:t>
              </a:r>
              <a:endParaRPr lang="en-US" sz="1100">
                <a:solidFill>
                  <a:sysClr val="windowText" lastClr="000000"/>
                </a:solidFill>
              </a:endParaRPr>
            </a:p>
          </xdr:txBody>
        </xdr:sp>
      </mc:Fallback>
    </mc:AlternateContent>
    <xdr:clientData/>
  </xdr:oneCellAnchor>
  <xdr:oneCellAnchor>
    <xdr:from>
      <xdr:col>2</xdr:col>
      <xdr:colOff>38100</xdr:colOff>
      <xdr:row>35</xdr:row>
      <xdr:rowOff>180975</xdr:rowOff>
    </xdr:from>
    <xdr:ext cx="1866900"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AB72001-E8E2-465E-A2C3-58A66C20F3AB}"/>
                </a:ext>
              </a:extLst>
            </xdr:cNvPr>
            <xdr:cNvSpPr txBox="1"/>
          </xdr:nvSpPr>
          <xdr:spPr>
            <a:xfrm>
              <a:off x="419100" y="7454900"/>
              <a:ext cx="186690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7AB72001-E8E2-465E-A2C3-58A66C20F3AB}"/>
                </a:ext>
              </a:extLst>
            </xdr:cNvPr>
            <xdr:cNvSpPr txBox="1"/>
          </xdr:nvSpPr>
          <xdr:spPr>
            <a:xfrm>
              <a:off x="419100" y="7454900"/>
              <a:ext cx="186690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oneCellAnchor>
    <xdr:from>
      <xdr:col>2</xdr:col>
      <xdr:colOff>19050</xdr:colOff>
      <xdr:row>27</xdr:row>
      <xdr:rowOff>180975</xdr:rowOff>
    </xdr:from>
    <xdr:ext cx="2371725" cy="252413"/>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7CA6F1E-A2E0-4DA5-9B0B-161A933D81BC}"/>
                </a:ext>
              </a:extLst>
            </xdr:cNvPr>
            <xdr:cNvSpPr txBox="1"/>
          </xdr:nvSpPr>
          <xdr:spPr>
            <a:xfrm>
              <a:off x="400050" y="6007100"/>
              <a:ext cx="2371725" cy="252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𝑚</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acc>
                              <m:accPr>
                                <m:chr m:val="̅"/>
                                <m:ctrlPr>
                                  <a:rPr lang="en-US" sz="1100" b="0" i="1">
                                    <a:solidFill>
                                      <a:sysClr val="windowText" lastClr="000000"/>
                                    </a:solidFill>
                                    <a:effectLst/>
                                    <a:latin typeface="Cambria Math" panose="02040503050406030204" pitchFamily="18" charset="0"/>
                                    <a:ea typeface="+mn-ea"/>
                                    <a:cs typeface="+mn-cs"/>
                                  </a:rPr>
                                </m:ctrlPr>
                              </m:accPr>
                              <m:e>
                                <m:r>
                                  <a:rPr lang="en-US" sz="1100" b="0" i="1">
                                    <a:solidFill>
                                      <a:sysClr val="windowText" lastClr="000000"/>
                                    </a:solidFill>
                                    <a:effectLst/>
                                    <a:latin typeface="Cambria Math" panose="02040503050406030204" pitchFamily="18" charset="0"/>
                                    <a:ea typeface="+mn-ea"/>
                                    <a:cs typeface="+mn-cs"/>
                                  </a:rPr>
                                  <m:t>𝐷𝐵</m:t>
                                </m:r>
                              </m:e>
                            </m:acc>
                          </m:e>
                          <m:sub>
                            <m:r>
                              <a:rPr lang="en-US" sz="1100" b="0" i="1">
                                <a:solidFill>
                                  <a:sysClr val="windowText" lastClr="000000"/>
                                </a:solidFill>
                                <a:effectLst/>
                                <a:latin typeface="Cambria Math" panose="02040503050406030204" pitchFamily="18" charset="0"/>
                                <a:ea typeface="+mn-ea"/>
                                <a:cs typeface="+mn-cs"/>
                              </a:rPr>
                              <m:t>≤75°</m:t>
                            </m:r>
                            <m:r>
                              <a:rPr lang="en-US" sz="1100" b="0" i="1">
                                <a:solidFill>
                                  <a:sysClr val="windowText" lastClr="000000"/>
                                </a:solidFill>
                                <a:effectLst/>
                                <a:latin typeface="Cambria Math" panose="02040503050406030204" pitchFamily="18" charset="0"/>
                                <a:ea typeface="+mn-ea"/>
                                <a:cs typeface="+mn-cs"/>
                              </a:rPr>
                              <m:t>𝐹</m:t>
                            </m:r>
                            <m:r>
                              <a:rPr lang="en-US" sz="1100" b="0" i="1">
                                <a:solidFill>
                                  <a:sysClr val="windowText" lastClr="000000"/>
                                </a:solidFill>
                                <a:effectLst/>
                                <a:latin typeface="Cambria Math" panose="02040503050406030204" pitchFamily="18" charset="0"/>
                                <a:ea typeface="+mn-ea"/>
                                <a:cs typeface="+mn-cs"/>
                              </a:rPr>
                              <m:t>,5−9</m:t>
                            </m:r>
                            <m:r>
                              <a:rPr lang="en-US" sz="1100" b="0" i="1">
                                <a:solidFill>
                                  <a:sysClr val="windowText" lastClr="000000"/>
                                </a:solidFill>
                                <a:effectLst/>
                                <a:latin typeface="Cambria Math" panose="02040503050406030204" pitchFamily="18" charset="0"/>
                                <a:ea typeface="+mn-ea"/>
                                <a:cs typeface="+mn-cs"/>
                              </a:rPr>
                              <m:t>𝑝𝑚</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𝑏</m:t>
                        </m:r>
                      </m:e>
                    </m:d>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h𝑝</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37CA6F1E-A2E0-4DA5-9B0B-161A933D81BC}"/>
                </a:ext>
              </a:extLst>
            </xdr:cNvPr>
            <xdr:cNvSpPr txBox="1"/>
          </xdr:nvSpPr>
          <xdr:spPr>
            <a:xfrm>
              <a:off x="400050" y="6007100"/>
              <a:ext cx="2371725" cy="252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(𝑚∗(𝐷𝐵) ̅_(≤75°𝐹,5−9𝑝𝑚)+𝑏)</a:t>
              </a:r>
              <a:r>
                <a:rPr lang="en-US" sz="1100" b="0" i="0">
                  <a:solidFill>
                    <a:sysClr val="windowText" lastClr="000000"/>
                  </a:solidFill>
                  <a:latin typeface="Cambria Math" panose="02040503050406030204" pitchFamily="18" charset="0"/>
                  <a:ea typeface="Cambria Math" panose="02040503050406030204" pitchFamily="18" charset="0"/>
                </a:rPr>
                <a:t>∗ℎ𝑝</a:t>
              </a:r>
              <a:endParaRPr lang="en-US" sz="1100">
                <a:solidFill>
                  <a:sysClr val="windowText" lastClr="000000"/>
                </a:solidFill>
              </a:endParaRPr>
            </a:p>
          </xdr:txBody>
        </xdr:sp>
      </mc:Fallback>
    </mc:AlternateContent>
    <xdr:clientData/>
  </xdr:oneCellAnchor>
  <xdr:oneCellAnchor>
    <xdr:from>
      <xdr:col>0</xdr:col>
      <xdr:colOff>0</xdr:colOff>
      <xdr:row>43</xdr:row>
      <xdr:rowOff>569912</xdr:rowOff>
    </xdr:from>
    <xdr:ext cx="846770" cy="177164"/>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2C039D56-33A3-4A1A-8E38-5D4DE23784D6}"/>
                </a:ext>
              </a:extLst>
            </xdr:cNvPr>
            <xdr:cNvSpPr txBox="1"/>
          </xdr:nvSpPr>
          <xdr:spPr>
            <a:xfrm>
              <a:off x="0" y="12961937"/>
              <a:ext cx="846770" cy="177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50" b="0" i="1">
                            <a:solidFill>
                              <a:schemeClr val="tx1"/>
                            </a:solidFill>
                            <a:effectLst/>
                            <a:latin typeface="Cambria Math" panose="02040503050406030204" pitchFamily="18" charset="0"/>
                            <a:ea typeface="+mn-ea"/>
                            <a:cs typeface="+mn-cs"/>
                          </a:rPr>
                        </m:ctrlPr>
                      </m:sSubPr>
                      <m:e>
                        <m:acc>
                          <m:accPr>
                            <m:chr m:val="̅"/>
                            <m:ctrlPr>
                              <a:rPr lang="en-US" sz="1050" b="0" i="1">
                                <a:solidFill>
                                  <a:schemeClr val="tx1"/>
                                </a:solidFill>
                                <a:effectLst/>
                                <a:latin typeface="Cambria Math" panose="02040503050406030204" pitchFamily="18" charset="0"/>
                                <a:ea typeface="+mn-ea"/>
                                <a:cs typeface="+mn-cs"/>
                              </a:rPr>
                            </m:ctrlPr>
                          </m:accPr>
                          <m:e>
                            <m:r>
                              <a:rPr lang="en-US" sz="1050" b="0" i="1">
                                <a:solidFill>
                                  <a:schemeClr val="tx1"/>
                                </a:solidFill>
                                <a:effectLst/>
                                <a:latin typeface="Cambria Math" panose="02040503050406030204" pitchFamily="18" charset="0"/>
                                <a:ea typeface="+mn-ea"/>
                                <a:cs typeface="+mn-cs"/>
                              </a:rPr>
                              <m:t>𝐷𝐵</m:t>
                            </m:r>
                          </m:e>
                        </m:acc>
                      </m:e>
                      <m:sub>
                        <m:r>
                          <a:rPr lang="en-US" sz="1050" b="0" i="1">
                            <a:solidFill>
                              <a:schemeClr val="tx1"/>
                            </a:solidFill>
                            <a:effectLst/>
                            <a:latin typeface="Cambria Math" panose="02040503050406030204" pitchFamily="18" charset="0"/>
                            <a:ea typeface="+mn-ea"/>
                            <a:cs typeface="+mn-cs"/>
                          </a:rPr>
                          <m:t>≤75°</m:t>
                        </m:r>
                        <m:r>
                          <a:rPr lang="en-US" sz="1050" b="0" i="1">
                            <a:solidFill>
                              <a:schemeClr val="tx1"/>
                            </a:solidFill>
                            <a:effectLst/>
                            <a:latin typeface="Cambria Math" panose="02040503050406030204" pitchFamily="18" charset="0"/>
                            <a:ea typeface="+mn-ea"/>
                            <a:cs typeface="+mn-cs"/>
                          </a:rPr>
                          <m:t>𝐹</m:t>
                        </m:r>
                        <m:r>
                          <a:rPr lang="en-US" sz="1050" b="0" i="1">
                            <a:solidFill>
                              <a:schemeClr val="tx1"/>
                            </a:solidFill>
                            <a:effectLst/>
                            <a:latin typeface="Cambria Math" panose="02040503050406030204" pitchFamily="18" charset="0"/>
                            <a:ea typeface="+mn-ea"/>
                            <a:cs typeface="+mn-cs"/>
                          </a:rPr>
                          <m:t>,5−9</m:t>
                        </m:r>
                        <m:r>
                          <a:rPr lang="en-US" sz="1050" b="0" i="1">
                            <a:solidFill>
                              <a:schemeClr val="tx1"/>
                            </a:solidFill>
                            <a:effectLst/>
                            <a:latin typeface="Cambria Math" panose="02040503050406030204" pitchFamily="18" charset="0"/>
                            <a:ea typeface="+mn-ea"/>
                            <a:cs typeface="+mn-cs"/>
                          </a:rPr>
                          <m:t>𝑝𝑚</m:t>
                        </m:r>
                      </m:sub>
                    </m:sSub>
                  </m:oMath>
                </m:oMathPara>
              </a14:m>
              <a:endParaRPr lang="en-US" sz="1050"/>
            </a:p>
          </xdr:txBody>
        </xdr:sp>
      </mc:Choice>
      <mc:Fallback xmlns="">
        <xdr:sp macro="" textlink="">
          <xdr:nvSpPr>
            <xdr:cNvPr id="5" name="TextBox 4">
              <a:extLst>
                <a:ext uri="{FF2B5EF4-FFF2-40B4-BE49-F238E27FC236}">
                  <a16:creationId xmlns:a16="http://schemas.microsoft.com/office/drawing/2014/main" id="{2C039D56-33A3-4A1A-8E38-5D4DE23784D6}"/>
                </a:ext>
              </a:extLst>
            </xdr:cNvPr>
            <xdr:cNvSpPr txBox="1"/>
          </xdr:nvSpPr>
          <xdr:spPr>
            <a:xfrm>
              <a:off x="0" y="12961937"/>
              <a:ext cx="846770" cy="177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050" b="0" i="0">
                  <a:solidFill>
                    <a:schemeClr val="tx1"/>
                  </a:solidFill>
                  <a:effectLst/>
                  <a:latin typeface="Cambria Math" panose="02040503050406030204" pitchFamily="18" charset="0"/>
                  <a:ea typeface="+mn-ea"/>
                  <a:cs typeface="+mn-cs"/>
                </a:rPr>
                <a:t>(𝐷𝐵) ̅_(≤75°𝐹,5−9𝑝𝑚)</a:t>
              </a:r>
              <a:endParaRPr lang="en-US" sz="1050"/>
            </a:p>
          </xdr:txBody>
        </xdr:sp>
      </mc:Fallback>
    </mc:AlternateContent>
    <xdr:clientData/>
  </xdr:oneCellAnchor>
  <xdr:oneCellAnchor>
    <xdr:from>
      <xdr:col>0</xdr:col>
      <xdr:colOff>0</xdr:colOff>
      <xdr:row>44</xdr:row>
      <xdr:rowOff>533400</xdr:rowOff>
    </xdr:from>
    <xdr:ext cx="495007" cy="167162"/>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D8E270A0-AF90-48AE-9D6A-656A54714DD8}"/>
                </a:ext>
              </a:extLst>
            </xdr:cNvPr>
            <xdr:cNvSpPr txBox="1"/>
          </xdr:nvSpPr>
          <xdr:spPr>
            <a:xfrm>
              <a:off x="0" y="14182725"/>
              <a:ext cx="495007" cy="167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50" b="0" i="1">
                            <a:solidFill>
                              <a:schemeClr val="tx1"/>
                            </a:solidFill>
                            <a:effectLst/>
                            <a:latin typeface="Cambria Math" panose="02040503050406030204" pitchFamily="18" charset="0"/>
                            <a:ea typeface="+mn-ea"/>
                            <a:cs typeface="+mn-cs"/>
                          </a:rPr>
                        </m:ctrlPr>
                      </m:sSubPr>
                      <m:e>
                        <m:acc>
                          <m:accPr>
                            <m:chr m:val="̅"/>
                            <m:ctrlPr>
                              <a:rPr lang="en-US" sz="1050" b="0" i="1">
                                <a:solidFill>
                                  <a:schemeClr val="tx1"/>
                                </a:solidFill>
                                <a:effectLst/>
                                <a:latin typeface="Cambria Math" panose="02040503050406030204" pitchFamily="18" charset="0"/>
                                <a:ea typeface="+mn-ea"/>
                                <a:cs typeface="+mn-cs"/>
                              </a:rPr>
                            </m:ctrlPr>
                          </m:accPr>
                          <m:e>
                            <m:r>
                              <a:rPr lang="en-US" sz="1050" b="0" i="1">
                                <a:solidFill>
                                  <a:schemeClr val="tx1"/>
                                </a:solidFill>
                                <a:effectLst/>
                                <a:latin typeface="Cambria Math" panose="02040503050406030204" pitchFamily="18" charset="0"/>
                                <a:ea typeface="+mn-ea"/>
                                <a:cs typeface="+mn-cs"/>
                              </a:rPr>
                              <m:t>𝐷𝐵</m:t>
                            </m:r>
                          </m:e>
                        </m:acc>
                      </m:e>
                      <m:sub>
                        <m:r>
                          <a:rPr lang="en-US" sz="1050" b="0" i="1">
                            <a:solidFill>
                              <a:schemeClr val="tx1"/>
                            </a:solidFill>
                            <a:effectLst/>
                            <a:latin typeface="Cambria Math" panose="02040503050406030204" pitchFamily="18" charset="0"/>
                            <a:ea typeface="+mn-ea"/>
                            <a:cs typeface="+mn-cs"/>
                          </a:rPr>
                          <m:t>≤75°</m:t>
                        </m:r>
                        <m:r>
                          <a:rPr lang="en-US" sz="1050" b="0" i="1">
                            <a:solidFill>
                              <a:schemeClr val="tx1"/>
                            </a:solidFill>
                            <a:effectLst/>
                            <a:latin typeface="Cambria Math" panose="02040503050406030204" pitchFamily="18" charset="0"/>
                            <a:ea typeface="+mn-ea"/>
                            <a:cs typeface="+mn-cs"/>
                          </a:rPr>
                          <m:t>𝐹</m:t>
                        </m:r>
                      </m:sub>
                    </m:sSub>
                  </m:oMath>
                </m:oMathPara>
              </a14:m>
              <a:endParaRPr lang="en-US" sz="1050"/>
            </a:p>
          </xdr:txBody>
        </xdr:sp>
      </mc:Choice>
      <mc:Fallback xmlns="">
        <xdr:sp macro="" textlink="">
          <xdr:nvSpPr>
            <xdr:cNvPr id="6" name="TextBox 5">
              <a:extLst>
                <a:ext uri="{FF2B5EF4-FFF2-40B4-BE49-F238E27FC236}">
                  <a16:creationId xmlns:a16="http://schemas.microsoft.com/office/drawing/2014/main" id="{D8E270A0-AF90-48AE-9D6A-656A54714DD8}"/>
                </a:ext>
              </a:extLst>
            </xdr:cNvPr>
            <xdr:cNvSpPr txBox="1"/>
          </xdr:nvSpPr>
          <xdr:spPr>
            <a:xfrm>
              <a:off x="0" y="14182725"/>
              <a:ext cx="495007" cy="167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050" b="0" i="0">
                  <a:solidFill>
                    <a:schemeClr val="tx1"/>
                  </a:solidFill>
                  <a:effectLst/>
                  <a:latin typeface="Cambria Math" panose="02040503050406030204" pitchFamily="18" charset="0"/>
                  <a:ea typeface="+mn-ea"/>
                  <a:cs typeface="+mn-cs"/>
                </a:rPr>
                <a:t>(𝐷𝐵) ̅_(≤75°𝐹)</a:t>
              </a:r>
              <a:endParaRPr lang="en-US" sz="1050"/>
            </a:p>
          </xdr:txBody>
        </xdr:sp>
      </mc:Fallback>
    </mc:AlternateContent>
    <xdr:clientData/>
  </xdr:oneCellAnchor>
  <xdr:oneCellAnchor>
    <xdr:from>
      <xdr:col>0</xdr:col>
      <xdr:colOff>0</xdr:colOff>
      <xdr:row>45</xdr:row>
      <xdr:rowOff>276225</xdr:rowOff>
    </xdr:from>
    <xdr:ext cx="822661" cy="164404"/>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F6FC84DF-D194-47D1-A93B-D72705DDC658}"/>
                </a:ext>
              </a:extLst>
            </xdr:cNvPr>
            <xdr:cNvSpPr txBox="1"/>
          </xdr:nvSpPr>
          <xdr:spPr>
            <a:xfrm>
              <a:off x="0" y="16036925"/>
              <a:ext cx="822661"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𝐷𝐵</m:t>
                        </m:r>
                        <m:r>
                          <a:rPr lang="en-US" sz="1050" b="0" i="1">
                            <a:solidFill>
                              <a:schemeClr val="tx1"/>
                            </a:solidFill>
                            <a:effectLst/>
                            <a:latin typeface="Cambria Math" panose="02040503050406030204" pitchFamily="18" charset="0"/>
                            <a:ea typeface="+mn-ea"/>
                            <a:cs typeface="+mn-cs"/>
                          </a:rPr>
                          <m:t>≤75°</m:t>
                        </m:r>
                        <m:r>
                          <a:rPr lang="en-US" sz="1050" b="0" i="1">
                            <a:solidFill>
                              <a:schemeClr val="tx1"/>
                            </a:solidFill>
                            <a:effectLst/>
                            <a:latin typeface="Cambria Math" panose="02040503050406030204" pitchFamily="18" charset="0"/>
                            <a:ea typeface="+mn-ea"/>
                            <a:cs typeface="+mn-cs"/>
                          </a:rPr>
                          <m:t>𝐹</m:t>
                        </m:r>
                      </m:sub>
                    </m:sSub>
                  </m:oMath>
                </m:oMathPara>
              </a14:m>
              <a:endParaRPr lang="en-US" sz="1050"/>
            </a:p>
          </xdr:txBody>
        </xdr:sp>
      </mc:Choice>
      <mc:Fallback xmlns="">
        <xdr:sp macro="" textlink="">
          <xdr:nvSpPr>
            <xdr:cNvPr id="7" name="TextBox 6">
              <a:extLst>
                <a:ext uri="{FF2B5EF4-FFF2-40B4-BE49-F238E27FC236}">
                  <a16:creationId xmlns:a16="http://schemas.microsoft.com/office/drawing/2014/main" id="{F6FC84DF-D194-47D1-A93B-D72705DDC658}"/>
                </a:ext>
              </a:extLst>
            </xdr:cNvPr>
            <xdr:cNvSpPr txBox="1"/>
          </xdr:nvSpPr>
          <xdr:spPr>
            <a:xfrm>
              <a:off x="0" y="16036925"/>
              <a:ext cx="822661"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050" b="0" i="0">
                  <a:solidFill>
                    <a:schemeClr val="tx1"/>
                  </a:solidFill>
                  <a:effectLst/>
                  <a:latin typeface="Cambria Math" panose="02040503050406030204" pitchFamily="18" charset="0"/>
                  <a:ea typeface="+mn-ea"/>
                  <a:cs typeface="+mn-cs"/>
                </a:rPr>
                <a:t>〖𝐻𝑜𝑢𝑟𝑠〗_(𝐷𝐵≤75°𝐹)</a:t>
              </a:r>
              <a:endParaRPr lang="en-US" sz="1050"/>
            </a:p>
          </xdr:txBody>
        </xdr:sp>
      </mc:Fallback>
    </mc:AlternateContent>
    <xdr:clientData/>
  </xdr:oneCellAnchor>
  <xdr:oneCellAnchor>
    <xdr:from>
      <xdr:col>22</xdr:col>
      <xdr:colOff>85726</xdr:colOff>
      <xdr:row>43</xdr:row>
      <xdr:rowOff>800100</xdr:rowOff>
    </xdr:from>
    <xdr:ext cx="1543050" cy="49530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33DD6BCC-A7F6-4CF9-9A0C-60FD434D77F9}"/>
                </a:ext>
              </a:extLst>
            </xdr:cNvPr>
            <xdr:cNvSpPr txBox="1"/>
          </xdr:nvSpPr>
          <xdr:spPr>
            <a:xfrm>
              <a:off x="4273551" y="13725525"/>
              <a:ext cx="15430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n-US" sz="1050" b="0" i="1">
                            <a:solidFill>
                              <a:schemeClr val="tx1"/>
                            </a:solidFill>
                            <a:effectLst/>
                            <a:latin typeface="Cambria Math" panose="02040503050406030204" pitchFamily="18" charset="0"/>
                            <a:ea typeface="+mn-ea"/>
                            <a:cs typeface="+mn-cs"/>
                          </a:rPr>
                        </m:ctrlPr>
                      </m:fPr>
                      <m:num>
                        <m:nary>
                          <m:naryPr>
                            <m:chr m:val="∑"/>
                            <m:ctrlPr>
                              <a:rPr lang="en-US" sz="1050" b="0" i="1">
                                <a:solidFill>
                                  <a:schemeClr val="tx1"/>
                                </a:solidFill>
                                <a:effectLst/>
                                <a:latin typeface="Cambria Math" panose="02040503050406030204" pitchFamily="18" charset="0"/>
                                <a:ea typeface="+mn-ea"/>
                                <a:cs typeface="+mn-cs"/>
                              </a:rPr>
                            </m:ctrlPr>
                          </m:naryPr>
                          <m:sub>
                            <m:r>
                              <m:rPr>
                                <m:brk m:alnAt="23"/>
                              </m:rPr>
                              <a:rPr lang="en-US" sz="1050" b="0" i="1">
                                <a:solidFill>
                                  <a:schemeClr val="tx1"/>
                                </a:solidFill>
                                <a:effectLst/>
                                <a:latin typeface="Cambria Math" panose="02040503050406030204" pitchFamily="18" charset="0"/>
                                <a:ea typeface="+mn-ea"/>
                                <a:cs typeface="+mn-cs"/>
                              </a:rPr>
                              <m:t>1</m:t>
                            </m:r>
                          </m:sub>
                          <m:sup>
                            <m:r>
                              <a:rPr lang="en-US" sz="1050" b="0" i="1">
                                <a:solidFill>
                                  <a:schemeClr val="tx1"/>
                                </a:solidFill>
                                <a:effectLst/>
                                <a:latin typeface="Cambria Math" panose="02040503050406030204" pitchFamily="18" charset="0"/>
                                <a:ea typeface="+mn-ea"/>
                                <a:cs typeface="+mn-cs"/>
                              </a:rPr>
                              <m:t>10</m:t>
                            </m:r>
                          </m:sup>
                          <m:e>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𝐷𝐵</m:t>
                                </m:r>
                              </m:e>
                              <m:sub>
                                <m:r>
                                  <a:rPr lang="en-US" sz="1050" b="0" i="1">
                                    <a:solidFill>
                                      <a:schemeClr val="tx1"/>
                                    </a:solidFill>
                                    <a:effectLst/>
                                    <a:latin typeface="Cambria Math" panose="02040503050406030204" pitchFamily="18" charset="0"/>
                                    <a:ea typeface="+mn-ea"/>
                                    <a:cs typeface="+mn-cs"/>
                                  </a:rPr>
                                  <m:t>𝑖</m:t>
                                </m:r>
                              </m:sub>
                            </m:sSub>
                            <m:r>
                              <a:rPr lang="en-US" sz="1050" b="0" i="1">
                                <a:solidFill>
                                  <a:schemeClr val="tx1"/>
                                </a:solidFill>
                                <a:effectLst/>
                                <a:latin typeface="Cambria Math" panose="02040503050406030204" pitchFamily="18" charset="0"/>
                                <a:ea typeface="+mn-ea"/>
                                <a:cs typeface="+mn-cs"/>
                              </a:rPr>
                              <m:t>∗</m:t>
                            </m:r>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𝑖</m:t>
                                </m:r>
                              </m:sub>
                            </m:sSub>
                          </m:e>
                        </m:nary>
                      </m:num>
                      <m:den>
                        <m:nary>
                          <m:naryPr>
                            <m:chr m:val="∑"/>
                            <m:ctrlPr>
                              <a:rPr lang="en-US" sz="1050" b="0" i="1">
                                <a:solidFill>
                                  <a:schemeClr val="tx1"/>
                                </a:solidFill>
                                <a:effectLst/>
                                <a:latin typeface="Cambria Math" panose="02040503050406030204" pitchFamily="18" charset="0"/>
                                <a:ea typeface="+mn-ea"/>
                                <a:cs typeface="+mn-cs"/>
                              </a:rPr>
                            </m:ctrlPr>
                          </m:naryPr>
                          <m:sub>
                            <m:r>
                              <m:rPr>
                                <m:brk m:alnAt="23"/>
                              </m:rPr>
                              <a:rPr lang="en-US" sz="1050" b="0" i="1">
                                <a:solidFill>
                                  <a:schemeClr val="tx1"/>
                                </a:solidFill>
                                <a:effectLst/>
                                <a:latin typeface="Cambria Math" panose="02040503050406030204" pitchFamily="18" charset="0"/>
                                <a:ea typeface="+mn-ea"/>
                                <a:cs typeface="+mn-cs"/>
                              </a:rPr>
                              <m:t>1</m:t>
                            </m:r>
                          </m:sub>
                          <m:sup>
                            <m:r>
                              <a:rPr lang="en-US" sz="1050" b="0" i="1">
                                <a:solidFill>
                                  <a:schemeClr val="tx1"/>
                                </a:solidFill>
                                <a:effectLst/>
                                <a:latin typeface="Cambria Math" panose="02040503050406030204" pitchFamily="18" charset="0"/>
                                <a:ea typeface="+mn-ea"/>
                                <a:cs typeface="+mn-cs"/>
                              </a:rPr>
                              <m:t>10</m:t>
                            </m:r>
                          </m:sup>
                          <m:e>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𝑖</m:t>
                                </m:r>
                              </m:sub>
                            </m:sSub>
                          </m:e>
                        </m:nary>
                      </m:den>
                    </m:f>
                    <m:r>
                      <a:rPr lang="en-US" sz="1050" b="0" i="1">
                        <a:solidFill>
                          <a:schemeClr val="tx1"/>
                        </a:solidFill>
                        <a:effectLst/>
                        <a:latin typeface="Cambria Math" panose="02040503050406030204" pitchFamily="18" charset="0"/>
                        <a:ea typeface="+mn-ea"/>
                        <a:cs typeface="+mn-cs"/>
                      </a:rPr>
                      <m:t>,5−9</m:t>
                    </m:r>
                    <m:r>
                      <a:rPr lang="en-US" sz="1050" b="0" i="1">
                        <a:solidFill>
                          <a:schemeClr val="tx1"/>
                        </a:solidFill>
                        <a:effectLst/>
                        <a:latin typeface="Cambria Math" panose="02040503050406030204" pitchFamily="18" charset="0"/>
                        <a:ea typeface="+mn-ea"/>
                        <a:cs typeface="+mn-cs"/>
                      </a:rPr>
                      <m:t>𝑝𝑚</m:t>
                    </m:r>
                  </m:oMath>
                </m:oMathPara>
              </a14:m>
              <a:endParaRPr lang="en-US" sz="1050"/>
            </a:p>
          </xdr:txBody>
        </xdr:sp>
      </mc:Choice>
      <mc:Fallback xmlns="">
        <xdr:sp macro="" textlink="">
          <xdr:nvSpPr>
            <xdr:cNvPr id="8" name="TextBox 7">
              <a:extLst>
                <a:ext uri="{FF2B5EF4-FFF2-40B4-BE49-F238E27FC236}">
                  <a16:creationId xmlns:a16="http://schemas.microsoft.com/office/drawing/2014/main" id="{33DD6BCC-A7F6-4CF9-9A0C-60FD434D77F9}"/>
                </a:ext>
              </a:extLst>
            </xdr:cNvPr>
            <xdr:cNvSpPr txBox="1"/>
          </xdr:nvSpPr>
          <xdr:spPr>
            <a:xfrm>
              <a:off x="4273551" y="13725525"/>
              <a:ext cx="15430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tx1"/>
                  </a:solidFill>
                  <a:effectLst/>
                  <a:latin typeface="Cambria Math" panose="02040503050406030204" pitchFamily="18" charset="0"/>
                  <a:ea typeface="+mn-ea"/>
                  <a:cs typeface="+mn-cs"/>
                </a:rPr>
                <a:t>(∑_1^10▒〖〖𝐷𝐵〗_𝑖∗〖𝐻𝑜𝑢𝑟𝑠〗_𝑖 〗)/(∑_1^10▒〖𝐻𝑜𝑢𝑟𝑠〗_𝑖 ),5−9𝑝𝑚</a:t>
              </a:r>
              <a:endParaRPr lang="en-US" sz="1050"/>
            </a:p>
          </xdr:txBody>
        </xdr:sp>
      </mc:Fallback>
    </mc:AlternateContent>
    <xdr:clientData/>
  </xdr:oneCellAnchor>
  <xdr:oneCellAnchor>
    <xdr:from>
      <xdr:col>22</xdr:col>
      <xdr:colOff>85726</xdr:colOff>
      <xdr:row>44</xdr:row>
      <xdr:rowOff>781050</xdr:rowOff>
    </xdr:from>
    <xdr:ext cx="1543050" cy="495300"/>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431C6DC0-CECF-4189-A471-063F0E431FBE}"/>
                </a:ext>
              </a:extLst>
            </xdr:cNvPr>
            <xdr:cNvSpPr txBox="1"/>
          </xdr:nvSpPr>
          <xdr:spPr>
            <a:xfrm>
              <a:off x="4273551" y="15106650"/>
              <a:ext cx="15430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n-US" sz="1050" b="0" i="1">
                            <a:solidFill>
                              <a:schemeClr val="tx1"/>
                            </a:solidFill>
                            <a:effectLst/>
                            <a:latin typeface="Cambria Math" panose="02040503050406030204" pitchFamily="18" charset="0"/>
                            <a:ea typeface="+mn-ea"/>
                            <a:cs typeface="+mn-cs"/>
                          </a:rPr>
                        </m:ctrlPr>
                      </m:fPr>
                      <m:num>
                        <m:nary>
                          <m:naryPr>
                            <m:chr m:val="∑"/>
                            <m:ctrlPr>
                              <a:rPr lang="en-US" sz="1050" b="0" i="1">
                                <a:solidFill>
                                  <a:schemeClr val="tx1"/>
                                </a:solidFill>
                                <a:effectLst/>
                                <a:latin typeface="Cambria Math" panose="02040503050406030204" pitchFamily="18" charset="0"/>
                                <a:ea typeface="+mn-ea"/>
                                <a:cs typeface="+mn-cs"/>
                              </a:rPr>
                            </m:ctrlPr>
                          </m:naryPr>
                          <m:sub>
                            <m:r>
                              <m:rPr>
                                <m:brk m:alnAt="23"/>
                              </m:rPr>
                              <a:rPr lang="en-US" sz="1050" b="0" i="1">
                                <a:solidFill>
                                  <a:schemeClr val="tx1"/>
                                </a:solidFill>
                                <a:effectLst/>
                                <a:latin typeface="Cambria Math" panose="02040503050406030204" pitchFamily="18" charset="0"/>
                                <a:ea typeface="+mn-ea"/>
                                <a:cs typeface="+mn-cs"/>
                              </a:rPr>
                              <m:t>1</m:t>
                            </m:r>
                          </m:sub>
                          <m:sup>
                            <m:r>
                              <a:rPr lang="en-US" sz="1050" b="0" i="1">
                                <a:solidFill>
                                  <a:schemeClr val="tx1"/>
                                </a:solidFill>
                                <a:effectLst/>
                                <a:latin typeface="Cambria Math" panose="02040503050406030204" pitchFamily="18" charset="0"/>
                                <a:ea typeface="+mn-ea"/>
                                <a:cs typeface="+mn-cs"/>
                              </a:rPr>
                              <m:t>10</m:t>
                            </m:r>
                          </m:sup>
                          <m:e>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𝐷𝐵</m:t>
                                </m:r>
                              </m:e>
                              <m:sub>
                                <m:r>
                                  <a:rPr lang="en-US" sz="1050" b="0" i="1">
                                    <a:solidFill>
                                      <a:schemeClr val="tx1"/>
                                    </a:solidFill>
                                    <a:effectLst/>
                                    <a:latin typeface="Cambria Math" panose="02040503050406030204" pitchFamily="18" charset="0"/>
                                    <a:ea typeface="+mn-ea"/>
                                    <a:cs typeface="+mn-cs"/>
                                  </a:rPr>
                                  <m:t>𝑗</m:t>
                                </m:r>
                              </m:sub>
                            </m:sSub>
                            <m:r>
                              <a:rPr lang="en-US" sz="1050" b="0" i="1">
                                <a:solidFill>
                                  <a:schemeClr val="tx1"/>
                                </a:solidFill>
                                <a:effectLst/>
                                <a:latin typeface="Cambria Math" panose="02040503050406030204" pitchFamily="18" charset="0"/>
                                <a:ea typeface="+mn-ea"/>
                                <a:cs typeface="+mn-cs"/>
                              </a:rPr>
                              <m:t>∗</m:t>
                            </m:r>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𝑗</m:t>
                                </m:r>
                              </m:sub>
                            </m:sSub>
                          </m:e>
                        </m:nary>
                      </m:num>
                      <m:den>
                        <m:nary>
                          <m:naryPr>
                            <m:chr m:val="∑"/>
                            <m:ctrlPr>
                              <a:rPr lang="en-US" sz="1050" b="0" i="1">
                                <a:solidFill>
                                  <a:schemeClr val="tx1"/>
                                </a:solidFill>
                                <a:effectLst/>
                                <a:latin typeface="Cambria Math" panose="02040503050406030204" pitchFamily="18" charset="0"/>
                                <a:ea typeface="+mn-ea"/>
                                <a:cs typeface="+mn-cs"/>
                              </a:rPr>
                            </m:ctrlPr>
                          </m:naryPr>
                          <m:sub>
                            <m:r>
                              <m:rPr>
                                <m:brk m:alnAt="23"/>
                              </m:rPr>
                              <a:rPr lang="en-US" sz="1050" b="0" i="1">
                                <a:solidFill>
                                  <a:schemeClr val="tx1"/>
                                </a:solidFill>
                                <a:effectLst/>
                                <a:latin typeface="Cambria Math" panose="02040503050406030204" pitchFamily="18" charset="0"/>
                                <a:ea typeface="+mn-ea"/>
                                <a:cs typeface="+mn-cs"/>
                              </a:rPr>
                              <m:t>1</m:t>
                            </m:r>
                          </m:sub>
                          <m:sup>
                            <m:r>
                              <a:rPr lang="en-US" sz="1050" b="0" i="1">
                                <a:solidFill>
                                  <a:schemeClr val="tx1"/>
                                </a:solidFill>
                                <a:effectLst/>
                                <a:latin typeface="Cambria Math" panose="02040503050406030204" pitchFamily="18" charset="0"/>
                                <a:ea typeface="+mn-ea"/>
                                <a:cs typeface="+mn-cs"/>
                              </a:rPr>
                              <m:t>10</m:t>
                            </m:r>
                          </m:sup>
                          <m:e>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𝑗</m:t>
                                </m:r>
                              </m:sub>
                            </m:sSub>
                          </m:e>
                        </m:nary>
                      </m:den>
                    </m:f>
                  </m:oMath>
                </m:oMathPara>
              </a14:m>
              <a:endParaRPr lang="en-US" sz="1050"/>
            </a:p>
          </xdr:txBody>
        </xdr:sp>
      </mc:Choice>
      <mc:Fallback xmlns="">
        <xdr:sp macro="" textlink="">
          <xdr:nvSpPr>
            <xdr:cNvPr id="9" name="TextBox 8">
              <a:extLst>
                <a:ext uri="{FF2B5EF4-FFF2-40B4-BE49-F238E27FC236}">
                  <a16:creationId xmlns:a16="http://schemas.microsoft.com/office/drawing/2014/main" id="{431C6DC0-CECF-4189-A471-063F0E431FBE}"/>
                </a:ext>
              </a:extLst>
            </xdr:cNvPr>
            <xdr:cNvSpPr txBox="1"/>
          </xdr:nvSpPr>
          <xdr:spPr>
            <a:xfrm>
              <a:off x="4273551" y="15106650"/>
              <a:ext cx="15430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tx1"/>
                  </a:solidFill>
                  <a:effectLst/>
                  <a:latin typeface="Cambria Math" panose="02040503050406030204" pitchFamily="18" charset="0"/>
                  <a:ea typeface="+mn-ea"/>
                  <a:cs typeface="+mn-cs"/>
                </a:rPr>
                <a:t>(∑_1^10▒〖〖𝐷𝐵〗_𝑗∗〖𝐻𝑜𝑢𝑟𝑠〗_𝑗 〗)/(∑_1^10▒〖𝐻𝑜𝑢𝑟𝑠〗_𝑗 )</a:t>
              </a:r>
              <a:endParaRPr lang="en-US" sz="1050"/>
            </a:p>
          </xdr:txBody>
        </xdr:sp>
      </mc:Fallback>
    </mc:AlternateContent>
    <xdr:clientData/>
  </xdr:one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28</xdr:col>
      <xdr:colOff>179070</xdr:colOff>
      <xdr:row>19</xdr:row>
      <xdr:rowOff>140335</xdr:rowOff>
    </xdr:to>
    <xdr:pic>
      <xdr:nvPicPr>
        <xdr:cNvPr id="2" name="Picture 1">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1" cstate="print"/>
        <a:srcRect/>
        <a:stretch>
          <a:fillRect/>
        </a:stretch>
      </xdr:blipFill>
      <xdr:spPr bwMode="auto">
        <a:xfrm>
          <a:off x="190500" y="8046720"/>
          <a:ext cx="5553075" cy="695325"/>
        </a:xfrm>
        <a:prstGeom prst="rect">
          <a:avLst/>
        </a:prstGeom>
        <a:noFill/>
        <a:ln w="9525">
          <a:noFill/>
          <a:miter lim="800000"/>
          <a:headEnd/>
          <a:tailEnd/>
        </a:ln>
      </xdr:spPr>
    </xdr:pic>
    <xdr:clientData/>
  </xdr:twoCellAnchor>
  <xdr:twoCellAnchor editAs="oneCell">
    <xdr:from>
      <xdr:col>1</xdr:col>
      <xdr:colOff>0</xdr:colOff>
      <xdr:row>24</xdr:row>
      <xdr:rowOff>66675</xdr:rowOff>
    </xdr:from>
    <xdr:to>
      <xdr:col>28</xdr:col>
      <xdr:colOff>179070</xdr:colOff>
      <xdr:row>28</xdr:row>
      <xdr:rowOff>26035</xdr:rowOff>
    </xdr:to>
    <xdr:pic>
      <xdr:nvPicPr>
        <xdr:cNvPr id="3" name="Picture 2">
          <a:extLst>
            <a:ext uri="{FF2B5EF4-FFF2-40B4-BE49-F238E27FC236}">
              <a16:creationId xmlns:a16="http://schemas.microsoft.com/office/drawing/2014/main" id="{00000000-0008-0000-3100-000003000000}"/>
            </a:ext>
          </a:extLst>
        </xdr:cNvPr>
        <xdr:cNvPicPr/>
      </xdr:nvPicPr>
      <xdr:blipFill>
        <a:blip xmlns:r="http://schemas.openxmlformats.org/officeDocument/2006/relationships" r:embed="rId2" cstate="print"/>
        <a:srcRect/>
        <a:stretch>
          <a:fillRect/>
        </a:stretch>
      </xdr:blipFill>
      <xdr:spPr bwMode="auto">
        <a:xfrm>
          <a:off x="180975" y="9382125"/>
          <a:ext cx="5065395" cy="683260"/>
        </a:xfrm>
        <a:prstGeom prst="rect">
          <a:avLst/>
        </a:prstGeom>
        <a:noFill/>
        <a:ln w="9525">
          <a:noFill/>
          <a:miter lim="800000"/>
          <a:headEnd/>
          <a:tailEnd/>
        </a:ln>
      </xdr:spPr>
    </xdr:pic>
    <xdr:clientData/>
  </xdr:twoCellAnchor>
  <xdr:twoCellAnchor editAs="oneCell">
    <xdr:from>
      <xdr:col>0</xdr:col>
      <xdr:colOff>161925</xdr:colOff>
      <xdr:row>32</xdr:row>
      <xdr:rowOff>57150</xdr:rowOff>
    </xdr:from>
    <xdr:to>
      <xdr:col>28</xdr:col>
      <xdr:colOff>160020</xdr:colOff>
      <xdr:row>46</xdr:row>
      <xdr:rowOff>154305</xdr:rowOff>
    </xdr:to>
    <xdr:pic>
      <xdr:nvPicPr>
        <xdr:cNvPr id="4" name="Picture 3">
          <a:extLst>
            <a:ext uri="{FF2B5EF4-FFF2-40B4-BE49-F238E27FC236}">
              <a16:creationId xmlns:a16="http://schemas.microsoft.com/office/drawing/2014/main" id="{00000000-0008-0000-3100-000004000000}"/>
            </a:ext>
          </a:extLst>
        </xdr:cNvPr>
        <xdr:cNvPicPr/>
      </xdr:nvPicPr>
      <xdr:blipFill>
        <a:blip xmlns:r="http://schemas.openxmlformats.org/officeDocument/2006/relationships" r:embed="rId3" cstate="print"/>
        <a:srcRect/>
        <a:stretch>
          <a:fillRect/>
        </a:stretch>
      </xdr:blipFill>
      <xdr:spPr bwMode="auto">
        <a:xfrm>
          <a:off x="161925" y="10858500"/>
          <a:ext cx="5065395" cy="2764155"/>
        </a:xfrm>
        <a:prstGeom prst="rect">
          <a:avLst/>
        </a:prstGeom>
        <a:noFill/>
        <a:ln w="9525">
          <a:noFill/>
          <a:miter lim="800000"/>
          <a:headEnd/>
          <a:tailEnd/>
        </a:ln>
      </xdr:spPr>
    </xdr:pic>
    <xdr:clientData/>
  </xdr:twoCellAnchor>
  <xdr:twoCellAnchor editAs="oneCell">
    <xdr:from>
      <xdr:col>0</xdr:col>
      <xdr:colOff>95250</xdr:colOff>
      <xdr:row>52</xdr:row>
      <xdr:rowOff>571</xdr:rowOff>
    </xdr:from>
    <xdr:to>
      <xdr:col>31</xdr:col>
      <xdr:colOff>171450</xdr:colOff>
      <xdr:row>92</xdr:row>
      <xdr:rowOff>156893</xdr:rowOff>
    </xdr:to>
    <xdr:pic>
      <xdr:nvPicPr>
        <xdr:cNvPr id="5" name="Picture 4">
          <a:extLst>
            <a:ext uri="{FF2B5EF4-FFF2-40B4-BE49-F238E27FC236}">
              <a16:creationId xmlns:a16="http://schemas.microsoft.com/office/drawing/2014/main" id="{00000000-0008-0000-3100-000005000000}"/>
            </a:ext>
          </a:extLst>
        </xdr:cNvPr>
        <xdr:cNvPicPr/>
      </xdr:nvPicPr>
      <xdr:blipFill>
        <a:blip xmlns:r="http://schemas.openxmlformats.org/officeDocument/2006/relationships" r:embed="rId4" cstate="print"/>
        <a:srcRect/>
        <a:stretch>
          <a:fillRect/>
        </a:stretch>
      </xdr:blipFill>
      <xdr:spPr bwMode="auto">
        <a:xfrm>
          <a:off x="95250" y="14611921"/>
          <a:ext cx="5686425" cy="7776322"/>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24</xdr:col>
      <xdr:colOff>10795</xdr:colOff>
      <xdr:row>20</xdr:row>
      <xdr:rowOff>0</xdr:rowOff>
    </xdr:to>
    <xdr:pic>
      <xdr:nvPicPr>
        <xdr:cNvPr id="6" name="Picture 5">
          <a:extLst>
            <a:ext uri="{FF2B5EF4-FFF2-40B4-BE49-F238E27FC236}">
              <a16:creationId xmlns:a16="http://schemas.microsoft.com/office/drawing/2014/main" id="{00000000-0008-0000-3200-000006000000}"/>
            </a:ext>
          </a:extLst>
        </xdr:cNvPr>
        <xdr:cNvPicPr/>
      </xdr:nvPicPr>
      <xdr:blipFill>
        <a:blip xmlns:r="http://schemas.openxmlformats.org/officeDocument/2006/relationships" r:embed="rId1" cstate="print"/>
        <a:srcRect/>
        <a:stretch>
          <a:fillRect/>
        </a:stretch>
      </xdr:blipFill>
      <xdr:spPr bwMode="auto">
        <a:xfrm>
          <a:off x="190500" y="7498080"/>
          <a:ext cx="4572000" cy="731520"/>
        </a:xfrm>
        <a:prstGeom prst="rect">
          <a:avLst/>
        </a:prstGeom>
        <a:noFill/>
        <a:ln w="9525">
          <a:noFill/>
          <a:miter lim="800000"/>
          <a:headEnd/>
          <a:tailEnd/>
        </a:ln>
      </xdr:spPr>
    </xdr:pic>
    <xdr:clientData/>
  </xdr:twoCellAnchor>
  <xdr:twoCellAnchor editAs="oneCell">
    <xdr:from>
      <xdr:col>0</xdr:col>
      <xdr:colOff>180974</xdr:colOff>
      <xdr:row>23</xdr:row>
      <xdr:rowOff>104775</xdr:rowOff>
    </xdr:from>
    <xdr:to>
      <xdr:col>27</xdr:col>
      <xdr:colOff>12838</xdr:colOff>
      <xdr:row>28</xdr:row>
      <xdr:rowOff>19050</xdr:rowOff>
    </xdr:to>
    <xdr:pic>
      <xdr:nvPicPr>
        <xdr:cNvPr id="7" name="Picture 6">
          <a:extLst>
            <a:ext uri="{FF2B5EF4-FFF2-40B4-BE49-F238E27FC236}">
              <a16:creationId xmlns:a16="http://schemas.microsoft.com/office/drawing/2014/main" id="{00000000-0008-0000-3200-000007000000}"/>
            </a:ext>
          </a:extLst>
        </xdr:cNvPr>
        <xdr:cNvPicPr/>
      </xdr:nvPicPr>
      <xdr:blipFill>
        <a:blip xmlns:r="http://schemas.openxmlformats.org/officeDocument/2006/relationships" r:embed="rId2" cstate="print"/>
        <a:srcRect/>
        <a:stretch>
          <a:fillRect/>
        </a:stretch>
      </xdr:blipFill>
      <xdr:spPr bwMode="auto">
        <a:xfrm>
          <a:off x="180974" y="8086725"/>
          <a:ext cx="4718189" cy="819150"/>
        </a:xfrm>
        <a:prstGeom prst="rect">
          <a:avLst/>
        </a:prstGeom>
        <a:noFill/>
        <a:ln w="9525">
          <a:noFill/>
          <a:miter lim="800000"/>
          <a:headEnd/>
          <a:tailEnd/>
        </a:ln>
      </xdr:spPr>
    </xdr:pic>
    <xdr:clientData/>
  </xdr:twoCellAnchor>
  <xdr:twoCellAnchor editAs="oneCell">
    <xdr:from>
      <xdr:col>0</xdr:col>
      <xdr:colOff>34290</xdr:colOff>
      <xdr:row>40</xdr:row>
      <xdr:rowOff>3810</xdr:rowOff>
    </xdr:from>
    <xdr:to>
      <xdr:col>31</xdr:col>
      <xdr:colOff>144890</xdr:colOff>
      <xdr:row>76</xdr:row>
      <xdr:rowOff>76200</xdr:rowOff>
    </xdr:to>
    <xdr:pic>
      <xdr:nvPicPr>
        <xdr:cNvPr id="8" name="Picture 7">
          <a:extLst>
            <a:ext uri="{FF2B5EF4-FFF2-40B4-BE49-F238E27FC236}">
              <a16:creationId xmlns:a16="http://schemas.microsoft.com/office/drawing/2014/main" id="{00000000-0008-0000-3200-000008000000}"/>
            </a:ext>
          </a:extLst>
        </xdr:cNvPr>
        <xdr:cNvPicPr/>
      </xdr:nvPicPr>
      <xdr:blipFill>
        <a:blip xmlns:r="http://schemas.openxmlformats.org/officeDocument/2006/relationships" r:embed="rId3" cstate="print"/>
        <a:srcRect/>
        <a:stretch>
          <a:fillRect/>
        </a:stretch>
      </xdr:blipFill>
      <xdr:spPr bwMode="auto">
        <a:xfrm>
          <a:off x="34290" y="11309985"/>
          <a:ext cx="5720825" cy="6930390"/>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oneCellAnchor>
    <xdr:from>
      <xdr:col>2</xdr:col>
      <xdr:colOff>6351</xdr:colOff>
      <xdr:row>50</xdr:row>
      <xdr:rowOff>123825</xdr:rowOff>
    </xdr:from>
    <xdr:ext cx="1308100" cy="32028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2A77C112-ABE7-485B-8C58-81C18E63EB2C}"/>
                </a:ext>
              </a:extLst>
            </xdr:cNvPr>
            <xdr:cNvSpPr txBox="1"/>
          </xdr:nvSpPr>
          <xdr:spPr>
            <a:xfrm>
              <a:off x="387351" y="1359217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7" name="TextBox 6">
              <a:extLst>
                <a:ext uri="{FF2B5EF4-FFF2-40B4-BE49-F238E27FC236}">
                  <a16:creationId xmlns:a16="http://schemas.microsoft.com/office/drawing/2014/main" id="{2A77C112-ABE7-485B-8C58-81C18E63EB2C}"/>
                </a:ext>
              </a:extLst>
            </xdr:cNvPr>
            <xdr:cNvSpPr txBox="1"/>
          </xdr:nvSpPr>
          <xdr:spPr>
            <a:xfrm>
              <a:off x="387351" y="1359217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19049</xdr:colOff>
      <xdr:row>29</xdr:row>
      <xdr:rowOff>19050</xdr:rowOff>
    </xdr:from>
    <xdr:ext cx="3857625" cy="176972"/>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CE9FAA7-D9AF-46F7-AB3A-AB2EFBF3E17D}"/>
                </a:ext>
              </a:extLst>
            </xdr:cNvPr>
            <xdr:cNvSpPr txBox="1"/>
          </xdr:nvSpPr>
          <xdr:spPr>
            <a:xfrm>
              <a:off x="400049" y="9686925"/>
              <a:ext cx="3857625" cy="176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𝐸𝐹</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,≤55</m:t>
                        </m:r>
                      </m:sub>
                    </m:sSub>
                    <m:r>
                      <a:rPr lang="en-US" sz="1100" b="0" i="1">
                        <a:latin typeface="Cambria Math" panose="02040503050406030204" pitchFamily="18" charset="0"/>
                        <a:ea typeface="Cambria Math" panose="02040503050406030204" pitchFamily="18" charset="0"/>
                      </a:rPr>
                      <m:t>=0.960−</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0.0003∗</m:t>
                        </m:r>
                        <m:r>
                          <a:rPr lang="en-US" sz="1100" b="0" i="1">
                            <a:latin typeface="Cambria Math" panose="02040503050406030204" pitchFamily="18" charset="0"/>
                            <a:ea typeface="Cambria Math" panose="02040503050406030204" pitchFamily="18" charset="0"/>
                          </a:rPr>
                          <m:t>𝑉</m:t>
                        </m:r>
                      </m:e>
                    </m:d>
                  </m:oMath>
                </m:oMathPara>
              </a14:m>
              <a:endParaRPr lang="en-US" sz="1100"/>
            </a:p>
          </xdr:txBody>
        </xdr:sp>
      </mc:Choice>
      <mc:Fallback xmlns="">
        <xdr:sp macro="" textlink="">
          <xdr:nvSpPr>
            <xdr:cNvPr id="8" name="TextBox 7">
              <a:extLst>
                <a:ext uri="{FF2B5EF4-FFF2-40B4-BE49-F238E27FC236}">
                  <a16:creationId xmlns:a16="http://schemas.microsoft.com/office/drawing/2014/main" id="{2CE9FAA7-D9AF-46F7-AB3A-AB2EFBF3E17D}"/>
                </a:ext>
              </a:extLst>
            </xdr:cNvPr>
            <xdr:cNvSpPr txBox="1"/>
          </xdr:nvSpPr>
          <xdr:spPr>
            <a:xfrm>
              <a:off x="400049" y="9686925"/>
              <a:ext cx="3857625" cy="176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〖𝐸𝐹〗_(𝑏𝑎𝑠𝑒,≤55)=0.960−(0.0003∗𝑉)</a:t>
              </a:r>
              <a:endParaRPr lang="en-US" sz="1100"/>
            </a:p>
          </xdr:txBody>
        </xdr:sp>
      </mc:Fallback>
    </mc:AlternateContent>
    <xdr:clientData/>
  </xdr:oneCellAnchor>
  <xdr:oneCellAnchor>
    <xdr:from>
      <xdr:col>2</xdr:col>
      <xdr:colOff>9525</xdr:colOff>
      <xdr:row>56</xdr:row>
      <xdr:rowOff>0</xdr:rowOff>
    </xdr:from>
    <xdr:ext cx="3914775" cy="1831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8956DE17-A6D6-4CE2-AD71-CCB41C9EEC26}"/>
                </a:ext>
              </a:extLst>
            </xdr:cNvPr>
            <xdr:cNvSpPr txBox="1"/>
          </xdr:nvSpPr>
          <xdr:spPr>
            <a:xfrm>
              <a:off x="390525" y="14554200"/>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9" name="TextBox 8">
              <a:extLst>
                <a:ext uri="{FF2B5EF4-FFF2-40B4-BE49-F238E27FC236}">
                  <a16:creationId xmlns:a16="http://schemas.microsoft.com/office/drawing/2014/main" id="{8956DE17-A6D6-4CE2-AD71-CCB41C9EEC26}"/>
                </a:ext>
              </a:extLst>
            </xdr:cNvPr>
            <xdr:cNvSpPr txBox="1"/>
          </xdr:nvSpPr>
          <xdr:spPr>
            <a:xfrm>
              <a:off x="390525" y="14554200"/>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19049</xdr:colOff>
      <xdr:row>33</xdr:row>
      <xdr:rowOff>19050</xdr:rowOff>
    </xdr:from>
    <xdr:ext cx="3857625" cy="176972"/>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16755D04-7749-4D17-BB73-DB496B2C4B83}"/>
                </a:ext>
              </a:extLst>
            </xdr:cNvPr>
            <xdr:cNvSpPr txBox="1"/>
          </xdr:nvSpPr>
          <xdr:spPr>
            <a:xfrm>
              <a:off x="400049" y="10410825"/>
              <a:ext cx="3857625" cy="176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m:t>
                        </m:r>
                      </m:e>
                      <m:sub>
                        <m:r>
                          <a:rPr lang="en-US" sz="1100" b="0" i="1">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,&gt;55</m:t>
                        </m:r>
                      </m:sub>
                    </m:sSub>
                    <m:r>
                      <a:rPr lang="en-US" sz="1100" b="0" i="1">
                        <a:latin typeface="Cambria Math" panose="02040503050406030204" pitchFamily="18" charset="0"/>
                        <a:ea typeface="Cambria Math" panose="02040503050406030204" pitchFamily="18" charset="0"/>
                      </a:rPr>
                      <m:t>=2.057−</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0.00113∗</m:t>
                        </m:r>
                        <m:r>
                          <a:rPr lang="en-US" sz="1100" b="0" i="1">
                            <a:latin typeface="Cambria Math" panose="02040503050406030204" pitchFamily="18" charset="0"/>
                            <a:ea typeface="Cambria Math" panose="02040503050406030204" pitchFamily="18" charset="0"/>
                          </a:rPr>
                          <m:t>𝑉</m:t>
                        </m:r>
                      </m:e>
                    </m:d>
                  </m:oMath>
                </m:oMathPara>
              </a14:m>
              <a:endParaRPr lang="en-US" sz="1100"/>
            </a:p>
          </xdr:txBody>
        </xdr:sp>
      </mc:Choice>
      <mc:Fallback xmlns="">
        <xdr:sp macro="" textlink="">
          <xdr:nvSpPr>
            <xdr:cNvPr id="10" name="TextBox 9">
              <a:extLst>
                <a:ext uri="{FF2B5EF4-FFF2-40B4-BE49-F238E27FC236}">
                  <a16:creationId xmlns:a16="http://schemas.microsoft.com/office/drawing/2014/main" id="{16755D04-7749-4D17-BB73-DB496B2C4B83}"/>
                </a:ext>
              </a:extLst>
            </xdr:cNvPr>
            <xdr:cNvSpPr txBox="1"/>
          </xdr:nvSpPr>
          <xdr:spPr>
            <a:xfrm>
              <a:off x="400049" y="10410825"/>
              <a:ext cx="3857625" cy="176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〖𝐸𝐹〗_(𝑏𝑎𝑠𝑒,&gt;55)</a:t>
              </a:r>
              <a:r>
                <a:rPr lang="en-US" sz="1100" b="0" i="0">
                  <a:latin typeface="Cambria Math" panose="02040503050406030204" pitchFamily="18" charset="0"/>
                  <a:ea typeface="Cambria Math" panose="02040503050406030204" pitchFamily="18" charset="0"/>
                </a:rPr>
                <a:t>=2.057−(0.00113∗𝑉)</a:t>
              </a:r>
              <a:endParaRPr lang="en-US" sz="1100"/>
            </a:p>
          </xdr:txBody>
        </xdr:sp>
      </mc:Fallback>
    </mc:AlternateContent>
    <xdr:clientData/>
  </xdr:oneCellAnchor>
  <xdr:oneCellAnchor>
    <xdr:from>
      <xdr:col>2</xdr:col>
      <xdr:colOff>9525</xdr:colOff>
      <xdr:row>36</xdr:row>
      <xdr:rowOff>95251</xdr:rowOff>
    </xdr:from>
    <xdr:ext cx="5000625" cy="495300"/>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49E4D1E2-17E5-4795-8368-8CCFDBA79A95}"/>
                </a:ext>
              </a:extLst>
            </xdr:cNvPr>
            <xdr:cNvSpPr txBox="1"/>
          </xdr:nvSpPr>
          <xdr:spPr>
            <a:xfrm>
              <a:off x="390525" y="11029951"/>
              <a:ext cx="5000625" cy="495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𝐸𝐹</m:t>
                                </m:r>
                              </m:e>
                              <m:sub>
                                <m:r>
                                  <a:rPr lang="en-US" sz="1100" b="0" i="1">
                                    <a:latin typeface="Cambria Math" panose="02040503050406030204" pitchFamily="18" charset="0"/>
                                    <a:ea typeface="Cambria Math" panose="02040503050406030204" pitchFamily="18" charset="0"/>
                                  </a:rPr>
                                  <m:t>𝑏𝑎𝑠𝑒</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𝐻𝑊</m:t>
                            </m:r>
                          </m:e>
                          <m:sub>
                            <m:r>
                              <a:rPr lang="en-US" sz="1100" b="0" i="1">
                                <a:latin typeface="Cambria Math" panose="02040503050406030204" pitchFamily="18" charset="0"/>
                                <a:ea typeface="Cambria Math" panose="02040503050406030204" pitchFamily="18" charset="0"/>
                              </a:rPr>
                              <m:t>𝑝𝑒𝑟</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𝑆𝑞𝐹𝑡</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𝐴</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11" name="TextBox 10">
              <a:extLst>
                <a:ext uri="{FF2B5EF4-FFF2-40B4-BE49-F238E27FC236}">
                  <a16:creationId xmlns:a16="http://schemas.microsoft.com/office/drawing/2014/main" id="{49E4D1E2-17E5-4795-8368-8CCFDBA79A95}"/>
                </a:ext>
              </a:extLst>
            </xdr:cNvPr>
            <xdr:cNvSpPr txBox="1"/>
          </xdr:nvSpPr>
          <xdr:spPr>
            <a:xfrm>
              <a:off x="390525" y="11029951"/>
              <a:ext cx="5000625" cy="495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𝑘𝑊ℎ〗_𝑏𝑎𝑠𝑒=(1/〖𝐸𝐹〗_𝑏𝑎𝑠𝑒 )∗(〖𝐻𝑊〗_(𝑝𝑒𝑟 𝑆𝑞𝐹𝑡)∗𝐴∗𝜌∗𝑐_𝑝∗(𝑇_𝑜𝑢𝑡−𝑇_𝑖𝑛 ))/(3412 𝐵𝑡𝑢/𝑘𝑊ℎ)</a:t>
              </a:r>
              <a:endParaRPr lang="en-US" sz="1100"/>
            </a:p>
          </xdr:txBody>
        </xdr:sp>
      </mc:Fallback>
    </mc:AlternateContent>
    <xdr:clientData/>
  </xdr:oneCellAnchor>
  <xdr:oneCellAnchor>
    <xdr:from>
      <xdr:col>1</xdr:col>
      <xdr:colOff>168275</xdr:colOff>
      <xdr:row>41</xdr:row>
      <xdr:rowOff>139700</xdr:rowOff>
    </xdr:from>
    <xdr:ext cx="5362575" cy="561976"/>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2D2681F0-F201-4594-B3D0-127AA0285405}"/>
                </a:ext>
              </a:extLst>
            </xdr:cNvPr>
            <xdr:cNvSpPr txBox="1"/>
          </xdr:nvSpPr>
          <xdr:spPr>
            <a:xfrm>
              <a:off x="358775" y="11979275"/>
              <a:ext cx="5362575" cy="5619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00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𝑘𝑊h</m:t>
                        </m:r>
                      </m:e>
                      <m:sub>
                        <m:r>
                          <a:rPr lang="en-US" sz="1000" b="0" i="1">
                            <a:latin typeface="Cambria Math" panose="02040503050406030204" pitchFamily="18" charset="0"/>
                            <a:ea typeface="Cambria Math" panose="02040503050406030204" pitchFamily="18" charset="0"/>
                          </a:rPr>
                          <m:t>𝐸𝐸</m:t>
                        </m:r>
                      </m:sub>
                    </m:sSub>
                    <m:r>
                      <a:rPr lang="en-US" sz="1000" b="0" i="1">
                        <a:latin typeface="Cambria Math" panose="02040503050406030204" pitchFamily="18" charset="0"/>
                        <a:ea typeface="Cambria Math" panose="02040503050406030204" pitchFamily="18" charset="0"/>
                      </a:rPr>
                      <m:t>=</m:t>
                    </m:r>
                    <m:d>
                      <m:dPr>
                        <m:ctrlPr>
                          <a:rPr lang="en-US" sz="1000" b="0" i="1">
                            <a:solidFill>
                              <a:schemeClr val="tx1"/>
                            </a:solidFill>
                            <a:effectLst/>
                            <a:latin typeface="Cambria Math" panose="02040503050406030204" pitchFamily="18" charset="0"/>
                            <a:ea typeface="Cambria Math" panose="02040503050406030204" pitchFamily="18" charset="0"/>
                            <a:cs typeface="+mn-cs"/>
                          </a:rPr>
                        </m:ctrlPr>
                      </m:dPr>
                      <m:e>
                        <m:r>
                          <a:rPr lang="en-US" sz="1000" b="0" i="1">
                            <a:solidFill>
                              <a:schemeClr val="tx1"/>
                            </a:solidFill>
                            <a:effectLst/>
                            <a:latin typeface="Cambria Math" panose="02040503050406030204" pitchFamily="18" charset="0"/>
                            <a:ea typeface="Cambria Math" panose="02040503050406030204" pitchFamily="18" charset="0"/>
                            <a:cs typeface="+mn-cs"/>
                          </a:rPr>
                          <m:t>1−</m:t>
                        </m:r>
                        <m:r>
                          <a:rPr lang="en-US" sz="1000" b="0" i="1">
                            <a:solidFill>
                              <a:schemeClr val="tx1"/>
                            </a:solidFill>
                            <a:effectLst/>
                            <a:latin typeface="Cambria Math" panose="02040503050406030204" pitchFamily="18" charset="0"/>
                            <a:ea typeface="Cambria Math" panose="02040503050406030204" pitchFamily="18" charset="0"/>
                            <a:cs typeface="+mn-cs"/>
                          </a:rPr>
                          <m:t>𝑆𝐹</m:t>
                        </m:r>
                      </m:e>
                    </m:d>
                    <m:d>
                      <m:dPr>
                        <m:ctrlPr>
                          <a:rPr lang="en-US" sz="1000" b="0" i="1">
                            <a:solidFill>
                              <a:schemeClr val="tx1"/>
                            </a:solidFill>
                            <a:effectLst/>
                            <a:latin typeface="Cambria Math" panose="02040503050406030204" pitchFamily="18" charset="0"/>
                            <a:ea typeface="Cambria Math" panose="02040503050406030204" pitchFamily="18" charset="0"/>
                            <a:cs typeface="+mn-cs"/>
                          </a:rPr>
                        </m:ctrlPr>
                      </m:dPr>
                      <m:e>
                        <m:f>
                          <m:fPr>
                            <m:ctrlPr>
                              <a:rPr lang="en-US" sz="1000" b="0" i="1">
                                <a:solidFill>
                                  <a:schemeClr val="tx1"/>
                                </a:solidFill>
                                <a:effectLst/>
                                <a:latin typeface="Cambria Math" panose="02040503050406030204" pitchFamily="18" charset="0"/>
                                <a:ea typeface="Cambria Math" panose="02040503050406030204" pitchFamily="18" charset="0"/>
                                <a:cs typeface="+mn-cs"/>
                              </a:rPr>
                            </m:ctrlPr>
                          </m:fPr>
                          <m:num>
                            <m:r>
                              <a:rPr lang="en-US" sz="1000" b="0" i="1">
                                <a:solidFill>
                                  <a:schemeClr val="tx1"/>
                                </a:solidFill>
                                <a:effectLst/>
                                <a:latin typeface="Cambria Math" panose="02040503050406030204" pitchFamily="18" charset="0"/>
                                <a:ea typeface="Cambria Math" panose="02040503050406030204" pitchFamily="18" charset="0"/>
                                <a:cs typeface="+mn-cs"/>
                              </a:rPr>
                              <m:t>1</m:t>
                            </m:r>
                          </m:num>
                          <m:den>
                            <m:sSub>
                              <m:sSubPr>
                                <m:ctrlPr>
                                  <a:rPr lang="en-US" sz="1000" b="0" i="1">
                                    <a:solidFill>
                                      <a:schemeClr val="tx1"/>
                                    </a:solidFill>
                                    <a:effectLst/>
                                    <a:latin typeface="Cambria Math" panose="02040503050406030204" pitchFamily="18" charset="0"/>
                                    <a:ea typeface="Cambria Math" panose="02040503050406030204" pitchFamily="18" charset="0"/>
                                    <a:cs typeface="+mn-cs"/>
                                  </a:rPr>
                                </m:ctrlPr>
                              </m:sSubPr>
                              <m:e>
                                <m:r>
                                  <a:rPr lang="en-US" sz="1000" b="0" i="1">
                                    <a:solidFill>
                                      <a:schemeClr val="tx1"/>
                                    </a:solidFill>
                                    <a:effectLst/>
                                    <a:latin typeface="Cambria Math" panose="02040503050406030204" pitchFamily="18" charset="0"/>
                                    <a:ea typeface="Cambria Math" panose="02040503050406030204" pitchFamily="18" charset="0"/>
                                    <a:cs typeface="+mn-cs"/>
                                  </a:rPr>
                                  <m:t>𝐸𝐹</m:t>
                                </m:r>
                              </m:e>
                              <m:sub>
                                <m:r>
                                  <a:rPr lang="en-US" sz="1000" b="0" i="1">
                                    <a:solidFill>
                                      <a:schemeClr val="tx1"/>
                                    </a:solidFill>
                                    <a:effectLst/>
                                    <a:latin typeface="Cambria Math" panose="02040503050406030204" pitchFamily="18" charset="0"/>
                                    <a:ea typeface="Cambria Math" panose="02040503050406030204" pitchFamily="18" charset="0"/>
                                    <a:cs typeface="+mn-cs"/>
                                  </a:rPr>
                                  <m:t>𝑆𝑊𝐻</m:t>
                                </m:r>
                              </m:sub>
                            </m:sSub>
                          </m:den>
                        </m:f>
                      </m:e>
                    </m:d>
                    <m:r>
                      <a:rPr lang="en-US" sz="1000" b="0" i="1">
                        <a:latin typeface="Cambria Math" panose="02040503050406030204" pitchFamily="18" charset="0"/>
                        <a:ea typeface="Cambria Math" panose="02040503050406030204" pitchFamily="18" charset="0"/>
                      </a:rPr>
                      <m:t>∗</m:t>
                    </m:r>
                    <m:f>
                      <m:fPr>
                        <m:ctrlPr>
                          <a:rPr lang="en-US" sz="1000" b="0" i="1">
                            <a:latin typeface="Cambria Math" panose="02040503050406030204" pitchFamily="18" charset="0"/>
                            <a:ea typeface="Cambria Math" panose="02040503050406030204" pitchFamily="18" charset="0"/>
                          </a:rPr>
                        </m:ctrlPr>
                      </m:fPr>
                      <m:num>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𝐻𝑊</m:t>
                            </m:r>
                          </m:e>
                          <m:sub>
                            <m:r>
                              <a:rPr lang="en-US" sz="1000" b="0" i="1">
                                <a:latin typeface="Cambria Math" panose="02040503050406030204" pitchFamily="18" charset="0"/>
                                <a:ea typeface="Cambria Math" panose="02040503050406030204" pitchFamily="18" charset="0"/>
                              </a:rPr>
                              <m:t>𝑝𝑒𝑟</m:t>
                            </m:r>
                            <m:r>
                              <a:rPr lang="en-US" sz="1000" b="0" i="1">
                                <a:latin typeface="Cambria Math" panose="02040503050406030204" pitchFamily="18" charset="0"/>
                                <a:ea typeface="Cambria Math" panose="02040503050406030204" pitchFamily="18" charset="0"/>
                              </a:rPr>
                              <m:t> </m:t>
                            </m:r>
                            <m:r>
                              <a:rPr lang="en-US" sz="1000" b="0" i="1">
                                <a:latin typeface="Cambria Math" panose="02040503050406030204" pitchFamily="18" charset="0"/>
                                <a:ea typeface="Cambria Math" panose="02040503050406030204" pitchFamily="18" charset="0"/>
                              </a:rPr>
                              <m:t>𝑆𝑞𝐹𝑡</m:t>
                            </m:r>
                          </m:sub>
                        </m:sSub>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𝐴</m:t>
                        </m:r>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𝜌</m:t>
                        </m:r>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𝑐</m:t>
                            </m:r>
                          </m:e>
                          <m:sub>
                            <m:r>
                              <a:rPr lang="en-US" sz="1000" b="0" i="1">
                                <a:latin typeface="Cambria Math" panose="02040503050406030204" pitchFamily="18" charset="0"/>
                                <a:ea typeface="Cambria Math" panose="02040503050406030204" pitchFamily="18" charset="0"/>
                              </a:rPr>
                              <m:t>𝑝</m:t>
                            </m:r>
                          </m:sub>
                        </m:sSub>
                        <m:r>
                          <a:rPr lang="en-US" sz="1000" b="0" i="1">
                            <a:latin typeface="Cambria Math" panose="02040503050406030204" pitchFamily="18" charset="0"/>
                            <a:ea typeface="Cambria Math" panose="02040503050406030204" pitchFamily="18" charset="0"/>
                          </a:rPr>
                          <m:t>∗</m:t>
                        </m:r>
                        <m:d>
                          <m:dPr>
                            <m:ctrlPr>
                              <a:rPr lang="en-US" sz="1000" b="0" i="1">
                                <a:latin typeface="Cambria Math" panose="02040503050406030204" pitchFamily="18" charset="0"/>
                                <a:ea typeface="Cambria Math" panose="02040503050406030204" pitchFamily="18" charset="0"/>
                              </a:rPr>
                            </m:ctrlPr>
                          </m:dPr>
                          <m:e>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𝑇</m:t>
                                </m:r>
                              </m:e>
                              <m:sub>
                                <m:r>
                                  <a:rPr lang="en-US" sz="1000" b="0" i="1">
                                    <a:latin typeface="Cambria Math" panose="02040503050406030204" pitchFamily="18" charset="0"/>
                                    <a:ea typeface="Cambria Math" panose="02040503050406030204" pitchFamily="18" charset="0"/>
                                  </a:rPr>
                                  <m:t>𝑜𝑢𝑡</m:t>
                                </m:r>
                              </m:sub>
                            </m:sSub>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𝑇</m:t>
                                </m:r>
                              </m:e>
                              <m:sub>
                                <m:r>
                                  <a:rPr lang="en-US" sz="1000" b="0" i="1">
                                    <a:latin typeface="Cambria Math" panose="02040503050406030204" pitchFamily="18" charset="0"/>
                                    <a:ea typeface="Cambria Math" panose="02040503050406030204" pitchFamily="18" charset="0"/>
                                  </a:rPr>
                                  <m:t>𝑖𝑛</m:t>
                                </m:r>
                              </m:sub>
                            </m:sSub>
                          </m:e>
                        </m:d>
                      </m:num>
                      <m:den>
                        <m:r>
                          <a:rPr lang="en-US" sz="1000" b="0" i="1">
                            <a:latin typeface="Cambria Math" panose="02040503050406030204" pitchFamily="18" charset="0"/>
                            <a:ea typeface="Cambria Math" panose="02040503050406030204" pitchFamily="18" charset="0"/>
                          </a:rPr>
                          <m:t>3412</m:t>
                        </m:r>
                        <m:f>
                          <m:fPr>
                            <m:ctrlPr>
                              <a:rPr lang="en-US" sz="1000" b="0" i="1">
                                <a:latin typeface="Cambria Math" panose="02040503050406030204" pitchFamily="18" charset="0"/>
                                <a:ea typeface="Cambria Math" panose="02040503050406030204" pitchFamily="18" charset="0"/>
                              </a:rPr>
                            </m:ctrlPr>
                          </m:fPr>
                          <m:num>
                            <m:r>
                              <a:rPr lang="en-US" sz="1000" b="0" i="1">
                                <a:latin typeface="Cambria Math" panose="02040503050406030204" pitchFamily="18" charset="0"/>
                                <a:ea typeface="Cambria Math" panose="02040503050406030204" pitchFamily="18" charset="0"/>
                              </a:rPr>
                              <m:t>𝐵𝑡𝑢</m:t>
                            </m:r>
                          </m:num>
                          <m:den>
                            <m:r>
                              <a:rPr lang="en-US" sz="1000" b="0" i="1">
                                <a:latin typeface="Cambria Math" panose="02040503050406030204" pitchFamily="18" charset="0"/>
                                <a:ea typeface="Cambria Math" panose="02040503050406030204" pitchFamily="18" charset="0"/>
                              </a:rPr>
                              <m:t>𝑘𝑊h</m:t>
                            </m:r>
                          </m:den>
                        </m:f>
                      </m:den>
                    </m:f>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𝑝𝑢𝑚𝑝</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𝐻𝑂𝑈</m:t>
                        </m:r>
                      </m:e>
                      <m:sub>
                        <m:r>
                          <a:rPr lang="en-US" sz="1100" b="0" i="1">
                            <a:solidFill>
                              <a:schemeClr val="tx1"/>
                            </a:solidFill>
                            <a:effectLst/>
                            <a:latin typeface="Cambria Math" panose="02040503050406030204" pitchFamily="18" charset="0"/>
                            <a:ea typeface="+mn-ea"/>
                            <a:cs typeface="+mn-cs"/>
                          </a:rPr>
                          <m:t>𝑝𝑢𝑚𝑝</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𝑀</m:t>
                    </m:r>
                  </m:oMath>
                </m:oMathPara>
              </a14:m>
              <a:endParaRPr lang="en-US" sz="1000">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2D2681F0-F201-4594-B3D0-127AA0285405}"/>
                </a:ext>
              </a:extLst>
            </xdr:cNvPr>
            <xdr:cNvSpPr txBox="1"/>
          </xdr:nvSpPr>
          <xdr:spPr>
            <a:xfrm>
              <a:off x="358775" y="11979275"/>
              <a:ext cx="5362575" cy="5619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000" i="0">
                  <a:latin typeface="Cambria Math" panose="02040503050406030204" pitchFamily="18" charset="0"/>
                  <a:ea typeface="Cambria Math" panose="02040503050406030204" pitchFamily="18" charset="0"/>
                </a:rPr>
                <a:t>〖</a:t>
              </a:r>
              <a:r>
                <a:rPr lang="en-US" sz="1000" b="0" i="0">
                  <a:latin typeface="Cambria Math" panose="02040503050406030204" pitchFamily="18" charset="0"/>
                  <a:ea typeface="Cambria Math" panose="02040503050406030204" pitchFamily="18" charset="0"/>
                </a:rPr>
                <a:t>𝑘𝑊ℎ〗_𝐸𝐸=</a:t>
              </a:r>
              <a:r>
                <a:rPr lang="en-US" sz="1000" b="0" i="0">
                  <a:solidFill>
                    <a:schemeClr val="tx1"/>
                  </a:solidFill>
                  <a:effectLst/>
                  <a:latin typeface="Cambria Math" panose="02040503050406030204" pitchFamily="18" charset="0"/>
                  <a:ea typeface="Cambria Math" panose="02040503050406030204" pitchFamily="18" charset="0"/>
                  <a:cs typeface="+mn-cs"/>
                </a:rPr>
                <a:t>(1−𝑆𝐹)(1/〖𝐸𝐹〗_𝑆𝑊𝐻 )</a:t>
              </a:r>
              <a:r>
                <a:rPr lang="en-US" sz="1000" b="0" i="0">
                  <a:latin typeface="Cambria Math" panose="02040503050406030204" pitchFamily="18" charset="0"/>
                  <a:ea typeface="Cambria Math" panose="02040503050406030204" pitchFamily="18" charset="0"/>
                </a:rPr>
                <a:t>∗(〖𝐻𝑊〗_(𝑝𝑒𝑟 𝑆𝑞𝐹𝑡)∗𝐴∗𝜌∗𝑐_𝑝∗(𝑇_𝑜𝑢𝑡−𝑇_𝑖𝑛 ))/(3412 𝐵𝑡𝑢/𝑘𝑊ℎ)</a:t>
              </a:r>
              <a:r>
                <a:rPr lang="en-US" sz="1100" b="0" i="0">
                  <a:solidFill>
                    <a:schemeClr val="tx1"/>
                  </a:solidFill>
                  <a:effectLst/>
                  <a:latin typeface="Cambria Math" panose="02040503050406030204" pitchFamily="18" charset="0"/>
                  <a:ea typeface="+mn-ea"/>
                  <a:cs typeface="+mn-cs"/>
                </a:rPr>
                <a:t>+〖(𝑘𝑊〗_𝑝𝑢𝑚𝑝∗〖𝐻𝑂𝑈〗_𝑝𝑢𝑚𝑝)∗𝑀</a:t>
              </a:r>
              <a:endParaRPr lang="en-US" sz="1000">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180974</xdr:colOff>
      <xdr:row>47</xdr:row>
      <xdr:rowOff>6350</xdr:rowOff>
    </xdr:from>
    <xdr:ext cx="3848101" cy="209550"/>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7BA3F3F9-B2BD-4AFA-B8A9-574616918526}"/>
                </a:ext>
              </a:extLst>
            </xdr:cNvPr>
            <xdr:cNvSpPr txBox="1"/>
          </xdr:nvSpPr>
          <xdr:spPr>
            <a:xfrm>
              <a:off x="371474" y="12931775"/>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7BA3F3F9-B2BD-4AFA-B8A9-574616918526}"/>
                </a:ext>
              </a:extLst>
            </xdr:cNvPr>
            <xdr:cNvSpPr txBox="1"/>
          </xdr:nvSpPr>
          <xdr:spPr>
            <a:xfrm>
              <a:off x="371474" y="12931775"/>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〖𝑘𝑊ℎ〗_𝑏𝑎𝑠𝑒−〖𝑘𝑊ℎ〗_𝐸𝐸 )</a:t>
              </a:r>
              <a:r>
                <a:rPr lang="en-US" sz="1100" b="0" i="0">
                  <a:latin typeface="Cambria Math" panose="02040503050406030204" pitchFamily="18" charset="0"/>
                  <a:ea typeface="Cambria Math" panose="02040503050406030204" pitchFamily="18" charset="0"/>
                </a:rPr>
                <a:t>∗𝑃𝐹</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38.xml><?xml version="1.0" encoding="utf-8"?>
<xdr:wsDr xmlns:xdr="http://schemas.openxmlformats.org/drawingml/2006/spreadsheetDrawing" xmlns:a="http://schemas.openxmlformats.org/drawingml/2006/main">
  <xdr:oneCellAnchor>
    <xdr:from>
      <xdr:col>2</xdr:col>
      <xdr:colOff>17453</xdr:colOff>
      <xdr:row>35</xdr:row>
      <xdr:rowOff>30826</xdr:rowOff>
    </xdr:from>
    <xdr:ext cx="1308100" cy="3202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1F585431-1A81-4085-8833-709CB7379696}"/>
                </a:ext>
              </a:extLst>
            </xdr:cNvPr>
            <xdr:cNvSpPr txBox="1"/>
          </xdr:nvSpPr>
          <xdr:spPr>
            <a:xfrm>
              <a:off x="379403" y="9689176"/>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1F585431-1A81-4085-8833-709CB7379696}"/>
                </a:ext>
              </a:extLst>
            </xdr:cNvPr>
            <xdr:cNvSpPr txBox="1"/>
          </xdr:nvSpPr>
          <xdr:spPr>
            <a:xfrm>
              <a:off x="379403" y="9689176"/>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18512</xdr:colOff>
      <xdr:row>39</xdr:row>
      <xdr:rowOff>180976</xdr:rowOff>
    </xdr:from>
    <xdr:ext cx="2353214" cy="2286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CDC0E90-3BFD-45EF-A803-DAED5C64F7AA}"/>
                </a:ext>
              </a:extLst>
            </xdr:cNvPr>
            <xdr:cNvSpPr txBox="1"/>
          </xdr:nvSpPr>
          <xdr:spPr>
            <a:xfrm>
              <a:off x="380462" y="10601326"/>
              <a:ext cx="2353214"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3CDC0E90-3BFD-45EF-A803-DAED5C64F7AA}"/>
                </a:ext>
              </a:extLst>
            </xdr:cNvPr>
            <xdr:cNvSpPr txBox="1"/>
          </xdr:nvSpPr>
          <xdr:spPr>
            <a:xfrm>
              <a:off x="380462" y="10601326"/>
              <a:ext cx="2353214"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19049</xdr:colOff>
      <xdr:row>29</xdr:row>
      <xdr:rowOff>0</xdr:rowOff>
    </xdr:from>
    <xdr:ext cx="4429125" cy="574791"/>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AB262149-8EB8-409B-B4B9-94082605C63D}"/>
                </a:ext>
              </a:extLst>
            </xdr:cNvPr>
            <xdr:cNvSpPr txBox="1"/>
          </xdr:nvSpPr>
          <xdr:spPr>
            <a:xfrm>
              <a:off x="380999" y="8515350"/>
              <a:ext cx="4429125" cy="5747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𝑈𝐸𝐹</m:t>
                                </m:r>
                              </m:e>
                              <m:sub>
                                <m:r>
                                  <a:rPr lang="en-US" sz="1100" b="0" i="1">
                                    <a:latin typeface="Cambria Math" panose="02040503050406030204" pitchFamily="18" charset="0"/>
                                    <a:ea typeface="Cambria Math" panose="02040503050406030204" pitchFamily="18" charset="0"/>
                                  </a:rPr>
                                  <m:t>𝑏𝑎𝑠𝑒</m:t>
                                </m:r>
                              </m:sub>
                            </m:sSub>
                          </m:den>
                        </m:f>
                        <m:r>
                          <a:rPr lang="en-US" sz="1100" b="0" i="1">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𝑈𝐸𝐹</m:t>
                                </m:r>
                              </m:e>
                              <m:sub>
                                <m:r>
                                  <a:rPr lang="en-US" sz="1100" b="0" i="1">
                                    <a:solidFill>
                                      <a:schemeClr val="tx1"/>
                                    </a:solidFill>
                                    <a:effectLst/>
                                    <a:latin typeface="Cambria Math" panose="02040503050406030204" pitchFamily="18" charset="0"/>
                                    <a:ea typeface="+mn-ea"/>
                                    <a:cs typeface="+mn-cs"/>
                                  </a:rPr>
                                  <m:t>𝐸𝑓𝑓</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𝐻𝑊</m:t>
                            </m:r>
                          </m:e>
                          <m:sub>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𝑆𝑞𝐹𝑡</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𝐴</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4" name="TextBox 3">
              <a:extLst>
                <a:ext uri="{FF2B5EF4-FFF2-40B4-BE49-F238E27FC236}">
                  <a16:creationId xmlns:a16="http://schemas.microsoft.com/office/drawing/2014/main" id="{AB262149-8EB8-409B-B4B9-94082605C63D}"/>
                </a:ext>
              </a:extLst>
            </xdr:cNvPr>
            <xdr:cNvSpPr txBox="1"/>
          </xdr:nvSpPr>
          <xdr:spPr>
            <a:xfrm>
              <a:off x="380999" y="8515350"/>
              <a:ext cx="4429125" cy="5747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=(1/〖𝑈𝐸𝐹〗_𝑏𝑎𝑠𝑒 −</a:t>
              </a:r>
              <a:r>
                <a:rPr lang="en-US" sz="1100" b="0" i="0">
                  <a:solidFill>
                    <a:schemeClr val="tx1"/>
                  </a:solidFill>
                  <a:effectLst/>
                  <a:latin typeface="Cambria Math" panose="02040503050406030204" pitchFamily="18" charset="0"/>
                  <a:ea typeface="+mn-ea"/>
                  <a:cs typeface="+mn-cs"/>
                </a:rPr>
                <a:t>1/〖𝑈𝐸𝐹〗_𝐸𝑓𝑓 )</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〖𝐻𝑊〗_(𝑝𝑒𝑟 𝑆𝑞𝐹𝑡)∗𝐴</a:t>
              </a:r>
              <a:r>
                <a:rPr lang="en-US" sz="1100" b="0" i="0">
                  <a:latin typeface="Cambria Math" panose="02040503050406030204" pitchFamily="18" charset="0"/>
                  <a:ea typeface="Cambria Math" panose="02040503050406030204" pitchFamily="18" charset="0"/>
                </a:rPr>
                <a:t>∗𝜌∗𝑐_𝑝∗(𝑇_𝑜𝑢𝑡−𝑇_𝑖𝑛 ))/(3412 𝐵𝑡𝑢/𝑘𝑊ℎ)</a:t>
              </a:r>
              <a:endParaRPr lang="en-US" sz="1100"/>
            </a:p>
          </xdr:txBody>
        </xdr:sp>
      </mc:Fallback>
    </mc:AlternateContent>
    <xdr:clientData/>
  </xdr:oneCellAnchor>
  <xdr:twoCellAnchor>
    <xdr:from>
      <xdr:col>0</xdr:col>
      <xdr:colOff>0</xdr:colOff>
      <xdr:row>65</xdr:row>
      <xdr:rowOff>190499</xdr:rowOff>
    </xdr:from>
    <xdr:to>
      <xdr:col>31</xdr:col>
      <xdr:colOff>66675</xdr:colOff>
      <xdr:row>75</xdr:row>
      <xdr:rowOff>142874</xdr:rowOff>
    </xdr:to>
    <xdr:grpSp>
      <xdr:nvGrpSpPr>
        <xdr:cNvPr id="5" name="Group 4">
          <a:extLst>
            <a:ext uri="{FF2B5EF4-FFF2-40B4-BE49-F238E27FC236}">
              <a16:creationId xmlns:a16="http://schemas.microsoft.com/office/drawing/2014/main" id="{4EB251F2-BC91-4467-8BD1-9DCE66FC163A}"/>
            </a:ext>
          </a:extLst>
        </xdr:cNvPr>
        <xdr:cNvGrpSpPr/>
      </xdr:nvGrpSpPr>
      <xdr:grpSpPr>
        <a:xfrm>
          <a:off x="0" y="24812624"/>
          <a:ext cx="5676900" cy="1857375"/>
          <a:chOff x="9353550" y="6762750"/>
          <a:chExt cx="5891530" cy="1772522"/>
        </a:xfrm>
      </xdr:grpSpPr>
      <xdr:pic>
        <xdr:nvPicPr>
          <xdr:cNvPr id="6" name="Picture 5">
            <a:extLst>
              <a:ext uri="{FF2B5EF4-FFF2-40B4-BE49-F238E27FC236}">
                <a16:creationId xmlns:a16="http://schemas.microsoft.com/office/drawing/2014/main" id="{62577789-9E67-401F-8327-7670A8085350}"/>
              </a:ext>
            </a:extLst>
          </xdr:cNvPr>
          <xdr:cNvPicPr>
            <a:picLocks noChangeAspect="1"/>
          </xdr:cNvPicPr>
        </xdr:nvPicPr>
        <xdr:blipFill rotWithShape="1">
          <a:blip xmlns:r="http://schemas.openxmlformats.org/officeDocument/2006/relationships" r:embed="rId1"/>
          <a:srcRect b="87471"/>
          <a:stretch/>
        </xdr:blipFill>
        <xdr:spPr>
          <a:xfrm>
            <a:off x="9353550" y="6762750"/>
            <a:ext cx="5891530" cy="466725"/>
          </a:xfrm>
          <a:prstGeom prst="rect">
            <a:avLst/>
          </a:prstGeom>
        </xdr:spPr>
      </xdr:pic>
      <xdr:pic>
        <xdr:nvPicPr>
          <xdr:cNvPr id="7" name="Picture 6">
            <a:extLst>
              <a:ext uri="{FF2B5EF4-FFF2-40B4-BE49-F238E27FC236}">
                <a16:creationId xmlns:a16="http://schemas.microsoft.com/office/drawing/2014/main" id="{31016CA8-186F-48B9-89FD-0E70F5DF3231}"/>
              </a:ext>
            </a:extLst>
          </xdr:cNvPr>
          <xdr:cNvPicPr>
            <a:picLocks noChangeAspect="1"/>
          </xdr:cNvPicPr>
        </xdr:nvPicPr>
        <xdr:blipFill rotWithShape="1">
          <a:blip xmlns:r="http://schemas.openxmlformats.org/officeDocument/2006/relationships" r:embed="rId1"/>
          <a:srcRect t="64691"/>
          <a:stretch/>
        </xdr:blipFill>
        <xdr:spPr>
          <a:xfrm>
            <a:off x="9353550" y="7219950"/>
            <a:ext cx="5891530" cy="1315322"/>
          </a:xfrm>
          <a:prstGeom prst="rect">
            <a:avLst/>
          </a:prstGeom>
        </xdr:spPr>
      </xdr:pic>
    </xdr:grpSp>
    <xdr:clientData/>
  </xdr:twoCellAnchor>
</xdr:wsDr>
</file>

<file path=xl/drawings/drawing39.xml><?xml version="1.0" encoding="utf-8"?>
<xdr:wsDr xmlns:xdr="http://schemas.openxmlformats.org/drawingml/2006/spreadsheetDrawing" xmlns:a="http://schemas.openxmlformats.org/drawingml/2006/main">
  <xdr:oneCellAnchor>
    <xdr:from>
      <xdr:col>2</xdr:col>
      <xdr:colOff>1732</xdr:colOff>
      <xdr:row>84</xdr:row>
      <xdr:rowOff>9525</xdr:rowOff>
    </xdr:from>
    <xdr:ext cx="4171950"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E780CFAD-853D-4813-9780-6D33DA647F32}"/>
                </a:ext>
              </a:extLst>
            </xdr:cNvPr>
            <xdr:cNvSpPr txBox="1"/>
          </xdr:nvSpPr>
          <xdr:spPr>
            <a:xfrm>
              <a:off x="363682" y="21936075"/>
              <a:ext cx="417195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𝑑𝑢𝑎𝑙</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𝐸𝑈𝐿</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E780CFAD-853D-4813-9780-6D33DA647F32}"/>
                </a:ext>
              </a:extLst>
            </xdr:cNvPr>
            <xdr:cNvSpPr txBox="1"/>
          </xdr:nvSpPr>
          <xdr:spPr>
            <a:xfrm>
              <a:off x="363682" y="21936075"/>
              <a:ext cx="417195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𝑑𝑢𝑎𝑙)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solidFill>
                    <a:sysClr val="windowText" lastClr="000000"/>
                  </a:solidFill>
                  <a:effectLst/>
                  <a:latin typeface="Cambria Math" panose="02040503050406030204" pitchFamily="18" charset="0"/>
                  <a:ea typeface="+mn-ea"/>
                  <a:cs typeface="+mn-cs"/>
                </a:rPr>
                <a:t>∗𝑅𝑈𝐿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a:t>
              </a:r>
              <a:r>
                <a:rPr lang="en-US" sz="1100" b="0" i="0">
                  <a:solidFill>
                    <a:schemeClr val="tx1"/>
                  </a:solidFill>
                  <a:effectLst/>
                  <a:latin typeface="Cambria Math" panose="02040503050406030204" pitchFamily="18" charset="0"/>
                  <a:ea typeface="Cambria Math" panose="02040503050406030204" pitchFamily="18" charset="0"/>
                  <a:cs typeface="+mn-cs"/>
                </a:rPr>
                <a:t>−𝑅𝑈𝐿)</a:t>
              </a:r>
              <a:endParaRPr lang="en-US" sz="1100">
                <a:solidFill>
                  <a:sysClr val="windowText" lastClr="000000"/>
                </a:solidFill>
              </a:endParaRPr>
            </a:p>
          </xdr:txBody>
        </xdr:sp>
      </mc:Fallback>
    </mc:AlternateContent>
    <xdr:clientData/>
  </xdr:oneCellAnchor>
  <xdr:oneCellAnchor>
    <xdr:from>
      <xdr:col>2</xdr:col>
      <xdr:colOff>25111</xdr:colOff>
      <xdr:row>68</xdr:row>
      <xdr:rowOff>0</xdr:rowOff>
    </xdr:from>
    <xdr:ext cx="3620366" cy="22937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19BC0D2-171A-4C37-B0E9-C771AFD20702}"/>
                </a:ext>
              </a:extLst>
            </xdr:cNvPr>
            <xdr:cNvSpPr txBox="1"/>
          </xdr:nvSpPr>
          <xdr:spPr>
            <a:xfrm>
              <a:off x="387061" y="18878550"/>
              <a:ext cx="3620366"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𝐵𝐿</m:t>
                            </m:r>
                            <m:r>
                              <a:rPr lang="en-US" sz="1100" b="0" i="1">
                                <a:solidFill>
                                  <a:schemeClr val="tx1"/>
                                </a:solidFill>
                                <a:effectLst/>
                                <a:latin typeface="Cambria Math" panose="02040503050406030204" pitchFamily="18" charset="0"/>
                                <a:ea typeface="+mn-ea"/>
                                <a:cs typeface="+mn-cs"/>
                              </a:rPr>
                              <m:t>,1</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sub>
                        </m:sSub>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𝐷𝑇</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𝐶𝐿</m:t>
                        </m:r>
                        <m:r>
                          <a:rPr lang="en-US" sz="1100" b="0" i="1">
                            <a:solidFill>
                              <a:schemeClr val="tx1"/>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𝐴𝐶</m:t>
                        </m:r>
                      </m:sub>
                    </m:sSub>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019BC0D2-171A-4C37-B0E9-C771AFD20702}"/>
                </a:ext>
              </a:extLst>
            </xdr:cNvPr>
            <xdr:cNvSpPr txBox="1"/>
          </xdr:nvSpPr>
          <xdr:spPr>
            <a:xfrm>
              <a:off x="387061" y="18878550"/>
              <a:ext cx="3620366"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𝑘𝑊〗_1𝑠𝑡</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〖𝑘𝑊〗_(𝐵𝐿,1)−〖𝑘𝑊〗_𝐸𝐸 )∗〖𝐶𝐹〗_𝐷𝑇+〖</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𝑘𝑊〗_(𝐶𝐿,1)</a:t>
              </a:r>
              <a:r>
                <a:rPr lang="en-US" sz="11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〖𝐶𝐹〗_𝐴𝐶</a:t>
              </a:r>
              <a:endParaRPr lang="en-US" sz="1100">
                <a:solidFill>
                  <a:sysClr val="windowText" lastClr="000000"/>
                </a:solidFill>
              </a:endParaRPr>
            </a:p>
          </xdr:txBody>
        </xdr:sp>
      </mc:Fallback>
    </mc:AlternateContent>
    <xdr:clientData/>
  </xdr:oneCellAnchor>
  <xdr:oneCellAnchor>
    <xdr:from>
      <xdr:col>2</xdr:col>
      <xdr:colOff>17318</xdr:colOff>
      <xdr:row>71</xdr:row>
      <xdr:rowOff>181841</xdr:rowOff>
    </xdr:from>
    <xdr:ext cx="3645477" cy="229378"/>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4556CA1A-D164-493B-B455-BD50BE0E3881}"/>
                </a:ext>
              </a:extLst>
            </xdr:cNvPr>
            <xdr:cNvSpPr txBox="1"/>
          </xdr:nvSpPr>
          <xdr:spPr>
            <a:xfrm>
              <a:off x="379268" y="19631891"/>
              <a:ext cx="3645477"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𝐵𝐿</m:t>
                            </m:r>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sub>
                        </m:sSub>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𝐷𝑇</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𝐶𝐿</m:t>
                        </m:r>
                        <m:r>
                          <a:rPr lang="en-US" sz="1100" b="0" i="1">
                            <a:solidFill>
                              <a:schemeClr val="tx1"/>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𝐴𝐶</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4556CA1A-D164-493B-B455-BD50BE0E3881}"/>
                </a:ext>
              </a:extLst>
            </xdr:cNvPr>
            <xdr:cNvSpPr txBox="1"/>
          </xdr:nvSpPr>
          <xdr:spPr>
            <a:xfrm>
              <a:off x="379268" y="19631891"/>
              <a:ext cx="3645477"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𝑘𝑊〗_2𝑛𝑑</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〖𝑘𝑊〗_(𝐵𝐿,2)−〖𝑘𝑊〗_𝐸𝐸 )∗〖𝐶𝐹〗_𝐷𝑇+〖</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𝑘𝑊〗_(𝐶𝐿,2)</a:t>
              </a:r>
              <a:r>
                <a:rPr lang="en-US" sz="11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〖𝐶𝐹〗_𝐴𝐶</a:t>
              </a:r>
              <a:endParaRPr lang="en-US" sz="1100">
                <a:solidFill>
                  <a:sysClr val="windowText" lastClr="000000"/>
                </a:solidFill>
              </a:endParaRPr>
            </a:p>
          </xdr:txBody>
        </xdr:sp>
      </mc:Fallback>
    </mc:AlternateContent>
    <xdr:clientData/>
  </xdr:oneCellAnchor>
  <xdr:oneCellAnchor>
    <xdr:from>
      <xdr:col>2</xdr:col>
      <xdr:colOff>0</xdr:colOff>
      <xdr:row>76</xdr:row>
      <xdr:rowOff>0</xdr:rowOff>
    </xdr:from>
    <xdr:ext cx="3628159" cy="229378"/>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DC989AA-26D4-4E38-9738-A67ADC25007A}"/>
                </a:ext>
              </a:extLst>
            </xdr:cNvPr>
            <xdr:cNvSpPr txBox="1"/>
          </xdr:nvSpPr>
          <xdr:spPr>
            <a:xfrm>
              <a:off x="361950" y="20402550"/>
              <a:ext cx="3628159"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𝐵𝐿</m:t>
                            </m:r>
                            <m:r>
                              <a:rPr lang="en-US" sz="1100" b="0" i="1">
                                <a:solidFill>
                                  <a:schemeClr val="tx1"/>
                                </a:solidFill>
                                <a:effectLst/>
                                <a:latin typeface="Cambria Math" panose="02040503050406030204" pitchFamily="18" charset="0"/>
                                <a:ea typeface="+mn-ea"/>
                                <a:cs typeface="+mn-cs"/>
                              </a:rPr>
                              <m:t>,1</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𝐸𝐸</m:t>
                            </m:r>
                          </m:sub>
                        </m:sSub>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𝐶𝐿</m:t>
                        </m:r>
                        <m:r>
                          <a:rPr lang="en-US" sz="1100" b="0" i="1">
                            <a:solidFill>
                              <a:schemeClr val="tx1"/>
                            </a:solidFill>
                            <a:effectLst/>
                            <a:latin typeface="Cambria Math" panose="02040503050406030204" pitchFamily="18" charset="0"/>
                            <a:ea typeface="+mn-ea"/>
                            <a:cs typeface="+mn-cs"/>
                          </a:rPr>
                          <m:t>,1</m:t>
                        </m:r>
                      </m:sub>
                    </m:sSub>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1DC989AA-26D4-4E38-9738-A67ADC25007A}"/>
                </a:ext>
              </a:extLst>
            </xdr:cNvPr>
            <xdr:cNvSpPr txBox="1"/>
          </xdr:nvSpPr>
          <xdr:spPr>
            <a:xfrm>
              <a:off x="361950" y="20402550"/>
              <a:ext cx="3628159"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𝑘𝑊ℎ〗_1𝑠𝑡</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〖𝑘𝑊ℎ〗_(𝐵𝐿,1)−〖𝑘𝑊ℎ〗_𝐸𝐸 )+〖</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𝑘𝑊ℎ〗_(𝐶𝐿,1)</a:t>
              </a:r>
              <a:endParaRPr lang="en-US" sz="1100">
                <a:solidFill>
                  <a:sysClr val="windowText" lastClr="000000"/>
                </a:solidFill>
              </a:endParaRPr>
            </a:p>
          </xdr:txBody>
        </xdr:sp>
      </mc:Fallback>
    </mc:AlternateContent>
    <xdr:clientData/>
  </xdr:oneCellAnchor>
  <xdr:oneCellAnchor>
    <xdr:from>
      <xdr:col>2</xdr:col>
      <xdr:colOff>0</xdr:colOff>
      <xdr:row>80</xdr:row>
      <xdr:rowOff>0</xdr:rowOff>
    </xdr:from>
    <xdr:ext cx="3636818" cy="229378"/>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8E1D98A6-60B5-4740-8B99-DA55237ADA4D}"/>
                </a:ext>
              </a:extLst>
            </xdr:cNvPr>
            <xdr:cNvSpPr txBox="1"/>
          </xdr:nvSpPr>
          <xdr:spPr>
            <a:xfrm>
              <a:off x="361950" y="21164550"/>
              <a:ext cx="3636818"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𝐵𝐿</m:t>
                            </m:r>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𝐸𝐸</m:t>
                            </m:r>
                          </m:sub>
                        </m:sSub>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𝐶𝐿</m:t>
                        </m:r>
                        <m:r>
                          <a:rPr lang="en-US" sz="1100" b="0" i="1">
                            <a:solidFill>
                              <a:schemeClr val="tx1"/>
                            </a:solidFill>
                            <a:effectLst/>
                            <a:latin typeface="Cambria Math" panose="02040503050406030204" pitchFamily="18" charset="0"/>
                            <a:ea typeface="+mn-ea"/>
                            <a:cs typeface="+mn-cs"/>
                          </a:rPr>
                          <m:t>,2</m:t>
                        </m:r>
                      </m:sub>
                    </m:sSub>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8E1D98A6-60B5-4740-8B99-DA55237ADA4D}"/>
                </a:ext>
              </a:extLst>
            </xdr:cNvPr>
            <xdr:cNvSpPr txBox="1"/>
          </xdr:nvSpPr>
          <xdr:spPr>
            <a:xfrm>
              <a:off x="361950" y="21164550"/>
              <a:ext cx="3636818"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𝑘𝑊ℎ〗_2𝑛𝑑</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〖𝑘𝑊ℎ〗_(𝐵𝐿,2)−〖𝑘𝑊ℎ〗_𝐸𝐸 )+〖</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𝑘𝑊ℎ〗_(𝐶𝐿,2)</a:t>
              </a:r>
              <a:endParaRPr lang="en-US" sz="1100">
                <a:solidFill>
                  <a:sysClr val="windowText" lastClr="000000"/>
                </a:solidFill>
              </a:endParaRPr>
            </a:p>
          </xdr:txBody>
        </xdr:sp>
      </mc:Fallback>
    </mc:AlternateContent>
    <xdr:clientData/>
  </xdr:oneCellAnchor>
  <xdr:oneCellAnchor>
    <xdr:from>
      <xdr:col>2</xdr:col>
      <xdr:colOff>17319</xdr:colOff>
      <xdr:row>50</xdr:row>
      <xdr:rowOff>173182</xdr:rowOff>
    </xdr:from>
    <xdr:ext cx="1411431" cy="229378"/>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414E0263-A56E-4BFC-80EB-51AA4D57CC4B}"/>
                </a:ext>
              </a:extLst>
            </xdr:cNvPr>
            <xdr:cNvSpPr txBox="1"/>
          </xdr:nvSpPr>
          <xdr:spPr>
            <a:xfrm>
              <a:off x="379269" y="15622732"/>
              <a:ext cx="1411431"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𝐵𝐿</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𝐵𝐿</m:t>
                      </m:r>
                    </m:sub>
                  </m:sSub>
                </m:oMath>
              </a14:m>
              <a:r>
                <a:rPr lang="en-US" sz="1100">
                  <a:solidFill>
                    <a:sysClr val="windowText" lastClr="000000"/>
                  </a:solidFill>
                </a:rPr>
                <a:t>/1000</a:t>
              </a:r>
            </a:p>
          </xdr:txBody>
        </xdr:sp>
      </mc:Choice>
      <mc:Fallback xmlns="">
        <xdr:sp macro="" textlink="">
          <xdr:nvSpPr>
            <xdr:cNvPr id="7" name="TextBox 6">
              <a:extLst>
                <a:ext uri="{FF2B5EF4-FFF2-40B4-BE49-F238E27FC236}">
                  <a16:creationId xmlns:a16="http://schemas.microsoft.com/office/drawing/2014/main" id="{414E0263-A56E-4BFC-80EB-51AA4D57CC4B}"/>
                </a:ext>
              </a:extLst>
            </xdr:cNvPr>
            <xdr:cNvSpPr txBox="1"/>
          </xdr:nvSpPr>
          <xdr:spPr>
            <a:xfrm>
              <a:off x="379269" y="15622732"/>
              <a:ext cx="1411431"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〖𝑘𝑊〗_𝐵𝐿</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𝑊_𝐵𝐿</a:t>
              </a:r>
              <a:r>
                <a:rPr lang="en-US" sz="1100">
                  <a:solidFill>
                    <a:sysClr val="windowText" lastClr="000000"/>
                  </a:solidFill>
                </a:rPr>
                <a:t>/1000</a:t>
              </a:r>
            </a:p>
          </xdr:txBody>
        </xdr:sp>
      </mc:Fallback>
    </mc:AlternateContent>
    <xdr:clientData/>
  </xdr:oneCellAnchor>
  <xdr:oneCellAnchor>
    <xdr:from>
      <xdr:col>2</xdr:col>
      <xdr:colOff>0</xdr:colOff>
      <xdr:row>55</xdr:row>
      <xdr:rowOff>0</xdr:rowOff>
    </xdr:from>
    <xdr:ext cx="1627909" cy="229378"/>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EE02C53C-D8C1-4E62-9407-8926CE42E536}"/>
                </a:ext>
              </a:extLst>
            </xdr:cNvPr>
            <xdr:cNvSpPr txBox="1"/>
          </xdr:nvSpPr>
          <xdr:spPr>
            <a:xfrm>
              <a:off x="361950" y="16402050"/>
              <a:ext cx="1627909"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𝐵𝐿</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𝐵𝐿</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𝐻𝑅𝑆</m:t>
                        </m:r>
                      </m:e>
                      <m:sub>
                        <m:r>
                          <a:rPr lang="en-US" sz="1100" b="0" i="1">
                            <a:solidFill>
                              <a:schemeClr val="tx1"/>
                            </a:solidFill>
                            <a:effectLst/>
                            <a:latin typeface="Cambria Math" panose="02040503050406030204" pitchFamily="18" charset="0"/>
                            <a:ea typeface="+mn-ea"/>
                            <a:cs typeface="+mn-cs"/>
                          </a:rPr>
                          <m:t>𝐷𝑇</m:t>
                        </m:r>
                      </m:sub>
                    </m:sSub>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EE02C53C-D8C1-4E62-9407-8926CE42E536}"/>
                </a:ext>
              </a:extLst>
            </xdr:cNvPr>
            <xdr:cNvSpPr txBox="1"/>
          </xdr:nvSpPr>
          <xdr:spPr>
            <a:xfrm>
              <a:off x="361950" y="16402050"/>
              <a:ext cx="1627909"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〖𝑘𝑊ℎ〗_𝐵𝐿</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〖𝑘𝑊〗_𝐵𝐿∗〖𝐻𝑅𝑆〗_𝐷𝑇</a:t>
              </a:r>
              <a:endParaRPr lang="en-US" sz="1100">
                <a:solidFill>
                  <a:sysClr val="windowText" lastClr="000000"/>
                </a:solidFill>
              </a:endParaRPr>
            </a:p>
          </xdr:txBody>
        </xdr:sp>
      </mc:Fallback>
    </mc:AlternateContent>
    <xdr:clientData/>
  </xdr:oneCellAnchor>
  <xdr:oneCellAnchor>
    <xdr:from>
      <xdr:col>2</xdr:col>
      <xdr:colOff>17318</xdr:colOff>
      <xdr:row>58</xdr:row>
      <xdr:rowOff>173182</xdr:rowOff>
    </xdr:from>
    <xdr:ext cx="2104159" cy="502228"/>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67E8C9AE-6888-4B91-92CA-8E962C1B6744}"/>
                </a:ext>
              </a:extLst>
            </xdr:cNvPr>
            <xdr:cNvSpPr txBox="1"/>
          </xdr:nvSpPr>
          <xdr:spPr>
            <a:xfrm>
              <a:off x="379268" y="17146732"/>
              <a:ext cx="2104159" cy="5022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𝐶𝐿</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𝐵𝐿</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sub>
                            </m:sSub>
                          </m:e>
                        </m:d>
                      </m:num>
                      <m:den>
                        <m:r>
                          <a:rPr lang="en-US" sz="1100" b="0" i="0">
                            <a:solidFill>
                              <a:schemeClr val="tx1"/>
                            </a:solidFill>
                            <a:effectLst/>
                            <a:latin typeface="Cambria Math" panose="02040503050406030204" pitchFamily="18" charset="0"/>
                            <a:ea typeface="+mn-ea"/>
                            <a:cs typeface="+mn-cs"/>
                          </a:rPr>
                          <m:t>3.52</m:t>
                        </m:r>
                      </m:den>
                    </m:f>
                    <m:r>
                      <a:rPr lang="en-US" sz="11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𝐶𝑆𝑃</m:t>
                    </m:r>
                  </m:oMath>
                </m:oMathPara>
              </a14:m>
              <a:endParaRPr lang="en-US" sz="1100" i="1">
                <a:solidFill>
                  <a:sysClr val="windowText" lastClr="000000"/>
                </a:solidFill>
              </a:endParaRPr>
            </a:p>
          </xdr:txBody>
        </xdr:sp>
      </mc:Choice>
      <mc:Fallback xmlns="">
        <xdr:sp macro="" textlink="">
          <xdr:nvSpPr>
            <xdr:cNvPr id="9" name="TextBox 8">
              <a:extLst>
                <a:ext uri="{FF2B5EF4-FFF2-40B4-BE49-F238E27FC236}">
                  <a16:creationId xmlns:a16="http://schemas.microsoft.com/office/drawing/2014/main" id="{67E8C9AE-6888-4B91-92CA-8E962C1B6744}"/>
                </a:ext>
              </a:extLst>
            </xdr:cNvPr>
            <xdr:cNvSpPr txBox="1"/>
          </xdr:nvSpPr>
          <xdr:spPr>
            <a:xfrm>
              <a:off x="379268" y="17146732"/>
              <a:ext cx="2104159" cy="5022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𝑘𝑊〗_𝐶𝐿</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((〖𝑘𝑊〗_𝐵𝐿−〖𝑘𝑊〗_𝐸𝐸 ))/3.52∗𝐶𝑆𝑃</a:t>
              </a:r>
              <a:endParaRPr lang="en-US" sz="1100" i="1">
                <a:solidFill>
                  <a:sysClr val="windowText" lastClr="000000"/>
                </a:solidFill>
              </a:endParaRPr>
            </a:p>
          </xdr:txBody>
        </xdr:sp>
      </mc:Fallback>
    </mc:AlternateContent>
    <xdr:clientData/>
  </xdr:oneCellAnchor>
  <xdr:oneCellAnchor>
    <xdr:from>
      <xdr:col>2</xdr:col>
      <xdr:colOff>25977</xdr:colOff>
      <xdr:row>63</xdr:row>
      <xdr:rowOff>181841</xdr:rowOff>
    </xdr:from>
    <xdr:ext cx="1740476" cy="229378"/>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E83291D9-F9DE-48CB-90AD-EC35E5D5484F}"/>
                </a:ext>
              </a:extLst>
            </xdr:cNvPr>
            <xdr:cNvSpPr txBox="1"/>
          </xdr:nvSpPr>
          <xdr:spPr>
            <a:xfrm>
              <a:off x="387927" y="18107891"/>
              <a:ext cx="1740476"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𝐶𝐿</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𝐶𝐿</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𝐸𝐹𝐿𝐻</m:t>
                        </m:r>
                      </m:e>
                      <m:sub>
                        <m:r>
                          <a:rPr lang="en-US" sz="1100" b="0" i="1">
                            <a:solidFill>
                              <a:schemeClr val="tx1"/>
                            </a:solidFill>
                            <a:effectLst/>
                            <a:latin typeface="Cambria Math" panose="02040503050406030204" pitchFamily="18" charset="0"/>
                            <a:ea typeface="+mn-ea"/>
                            <a:cs typeface="+mn-cs"/>
                          </a:rPr>
                          <m:t>𝐴𝐶</m:t>
                        </m:r>
                      </m:sub>
                    </m:sSub>
                  </m:oMath>
                </m:oMathPara>
              </a14:m>
              <a:endParaRPr lang="en-US" sz="1100">
                <a:solidFill>
                  <a:sysClr val="windowText" lastClr="000000"/>
                </a:solidFill>
              </a:endParaRPr>
            </a:p>
          </xdr:txBody>
        </xdr:sp>
      </mc:Choice>
      <mc:Fallback xmlns="">
        <xdr:sp macro="" textlink="">
          <xdr:nvSpPr>
            <xdr:cNvPr id="10" name="TextBox 9">
              <a:extLst>
                <a:ext uri="{FF2B5EF4-FFF2-40B4-BE49-F238E27FC236}">
                  <a16:creationId xmlns:a16="http://schemas.microsoft.com/office/drawing/2014/main" id="{E83291D9-F9DE-48CB-90AD-EC35E5D5484F}"/>
                </a:ext>
              </a:extLst>
            </xdr:cNvPr>
            <xdr:cNvSpPr txBox="1"/>
          </xdr:nvSpPr>
          <xdr:spPr>
            <a:xfrm>
              <a:off x="387927" y="18107891"/>
              <a:ext cx="1740476"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𝑘𝑊ℎ〗_𝐶𝐿</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𝑘𝑊〗_𝐶𝐿∗〖𝐸𝐹𝐿𝐻〗_𝐴𝐶</a:t>
              </a:r>
              <a:endParaRPr lang="en-US" sz="1100">
                <a:solidFill>
                  <a:sysClr val="windowText" lastClr="000000"/>
                </a:solidFill>
              </a:endParaRPr>
            </a:p>
          </xdr:txBody>
        </xdr:sp>
      </mc:Fallback>
    </mc:AlternateContent>
    <xdr:clientData/>
  </xdr:oneCellAnchor>
  <xdr:oneCellAnchor>
    <xdr:from>
      <xdr:col>15</xdr:col>
      <xdr:colOff>34637</xdr:colOff>
      <xdr:row>51</xdr:row>
      <xdr:rowOff>0</xdr:rowOff>
    </xdr:from>
    <xdr:ext cx="1740476" cy="229378"/>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B0433B68-AD9F-4B2D-B884-76026DDA80C0}"/>
                </a:ext>
              </a:extLst>
            </xdr:cNvPr>
            <xdr:cNvSpPr txBox="1"/>
          </xdr:nvSpPr>
          <xdr:spPr>
            <a:xfrm>
              <a:off x="2749262" y="15640050"/>
              <a:ext cx="1740476"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𝐸𝐸</m:t>
                      </m:r>
                    </m:sub>
                  </m:sSub>
                </m:oMath>
              </a14:m>
              <a:r>
                <a:rPr lang="en-US" sz="1100">
                  <a:solidFill>
                    <a:sysClr val="windowText" lastClr="000000"/>
                  </a:solidFill>
                </a:rPr>
                <a:t>/1000</a:t>
              </a:r>
            </a:p>
          </xdr:txBody>
        </xdr:sp>
      </mc:Choice>
      <mc:Fallback xmlns="">
        <xdr:sp macro="" textlink="">
          <xdr:nvSpPr>
            <xdr:cNvPr id="11" name="TextBox 10">
              <a:extLst>
                <a:ext uri="{FF2B5EF4-FFF2-40B4-BE49-F238E27FC236}">
                  <a16:creationId xmlns:a16="http://schemas.microsoft.com/office/drawing/2014/main" id="{B0433B68-AD9F-4B2D-B884-76026DDA80C0}"/>
                </a:ext>
              </a:extLst>
            </xdr:cNvPr>
            <xdr:cNvSpPr txBox="1"/>
          </xdr:nvSpPr>
          <xdr:spPr>
            <a:xfrm>
              <a:off x="2749262" y="15640050"/>
              <a:ext cx="1740476"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〖𝑘𝑊〗_𝐸𝐸</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𝑊_𝐸𝐸</a:t>
              </a:r>
              <a:r>
                <a:rPr lang="en-US" sz="1100">
                  <a:solidFill>
                    <a:sysClr val="windowText" lastClr="000000"/>
                  </a:solidFill>
                </a:rPr>
                <a:t>/1000</a:t>
              </a:r>
            </a:p>
          </xdr:txBody>
        </xdr:sp>
      </mc:Fallback>
    </mc:AlternateContent>
    <xdr:clientData/>
  </xdr:oneCellAnchor>
  <xdr:oneCellAnchor>
    <xdr:from>
      <xdr:col>15</xdr:col>
      <xdr:colOff>34637</xdr:colOff>
      <xdr:row>55</xdr:row>
      <xdr:rowOff>0</xdr:rowOff>
    </xdr:from>
    <xdr:ext cx="1740476" cy="229378"/>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24724BBE-379B-49F2-9F1C-5FE8D5F015FF}"/>
                </a:ext>
              </a:extLst>
            </xdr:cNvPr>
            <xdr:cNvSpPr txBox="1"/>
          </xdr:nvSpPr>
          <xdr:spPr>
            <a:xfrm>
              <a:off x="2749262" y="16402050"/>
              <a:ext cx="1740476"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𝐻𝑅𝑆</m:t>
                        </m:r>
                      </m:e>
                      <m:sub>
                        <m:r>
                          <a:rPr lang="en-US" sz="1100" b="0" i="1">
                            <a:solidFill>
                              <a:sysClr val="windowText" lastClr="000000"/>
                            </a:solidFill>
                            <a:effectLst/>
                            <a:latin typeface="Cambria Math" panose="02040503050406030204" pitchFamily="18" charset="0"/>
                            <a:ea typeface="+mn-ea"/>
                            <a:cs typeface="+mn-cs"/>
                          </a:rPr>
                          <m:t>𝐷𝑇</m:t>
                        </m:r>
                      </m:sub>
                    </m:sSub>
                  </m:oMath>
                </m:oMathPara>
              </a14:m>
              <a:endParaRPr lang="en-US" sz="1100">
                <a:solidFill>
                  <a:sysClr val="windowText" lastClr="000000"/>
                </a:solidFill>
              </a:endParaRPr>
            </a:p>
          </xdr:txBody>
        </xdr:sp>
      </mc:Choice>
      <mc:Fallback xmlns="">
        <xdr:sp macro="" textlink="">
          <xdr:nvSpPr>
            <xdr:cNvPr id="12" name="TextBox 11">
              <a:extLst>
                <a:ext uri="{FF2B5EF4-FFF2-40B4-BE49-F238E27FC236}">
                  <a16:creationId xmlns:a16="http://schemas.microsoft.com/office/drawing/2014/main" id="{24724BBE-379B-49F2-9F1C-5FE8D5F015FF}"/>
                </a:ext>
              </a:extLst>
            </xdr:cNvPr>
            <xdr:cNvSpPr txBox="1"/>
          </xdr:nvSpPr>
          <xdr:spPr>
            <a:xfrm>
              <a:off x="2749262" y="16402050"/>
              <a:ext cx="1740476"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〖𝑘𝑊ℎ〗_𝐸𝐸</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〖𝑘𝑊〗_𝐸𝐸∗〖𝐻𝑅𝑆〗_𝐷𝑇</a:t>
              </a:r>
              <a:endParaRPr lang="en-US" sz="1100">
                <a:solidFill>
                  <a:sysClr val="windowText" lastClr="000000"/>
                </a:solidFill>
              </a:endParaRPr>
            </a:p>
          </xdr:txBody>
        </xdr:sp>
      </mc:Fallback>
    </mc:AlternateContent>
    <xdr:clientData/>
  </xdr:oneCellAnchor>
  <xdr:oneCellAnchor>
    <xdr:from>
      <xdr:col>2</xdr:col>
      <xdr:colOff>10391</xdr:colOff>
      <xdr:row>88</xdr:row>
      <xdr:rowOff>25977</xdr:rowOff>
    </xdr:from>
    <xdr:ext cx="4157015" cy="183320"/>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58F2191D-D9ED-42F8-8013-3506F020B149}"/>
                </a:ext>
              </a:extLst>
            </xdr:cNvPr>
            <xdr:cNvSpPr txBox="1"/>
          </xdr:nvSpPr>
          <xdr:spPr>
            <a:xfrm>
              <a:off x="372341" y="22714527"/>
              <a:ext cx="415701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𝑠𝑖𝑛𝑔𝑙𝑒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𝑀𝐿</m:t>
                        </m:r>
                      </m:e>
                      <m:sub>
                        <m:r>
                          <a:rPr lang="en-US" sz="1100" b="0" i="1">
                            <a:solidFill>
                              <a:sysClr val="windowText" lastClr="000000"/>
                            </a:solidFill>
                            <a:effectLst/>
                            <a:latin typeface="Cambria Math" panose="02040503050406030204" pitchFamily="18" charset="0"/>
                            <a:ea typeface="+mn-ea"/>
                            <a:cs typeface="+mn-cs"/>
                          </a:rPr>
                          <m:t>𝑚𝑎𝑥</m:t>
                        </m:r>
                      </m:sub>
                    </m:sSub>
                  </m:oMath>
                </m:oMathPara>
              </a14:m>
              <a:endParaRPr lang="en-US" sz="11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58F2191D-D9ED-42F8-8013-3506F020B149}"/>
                </a:ext>
              </a:extLst>
            </xdr:cNvPr>
            <xdr:cNvSpPr txBox="1"/>
          </xdr:nvSpPr>
          <xdr:spPr>
            <a:xfrm>
              <a:off x="372341" y="22714527"/>
              <a:ext cx="415701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𝑠𝑖𝑛𝑔𝑙𝑒)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solidFill>
                    <a:sysClr val="windowText" lastClr="000000"/>
                  </a:solidFill>
                  <a:effectLst/>
                  <a:latin typeface="Cambria Math" panose="02040503050406030204" pitchFamily="18" charset="0"/>
                  <a:ea typeface="+mn-ea"/>
                  <a:cs typeface="+mn-cs"/>
                </a:rPr>
                <a:t>∗〖𝑀𝐿〗_𝑚𝑎𝑥</a:t>
              </a:r>
              <a:endParaRPr lang="en-US" sz="1100">
                <a:solidFill>
                  <a:sysClr val="windowText" lastClr="000000"/>
                </a:solidFill>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xdr:col>
      <xdr:colOff>22860</xdr:colOff>
      <xdr:row>31</xdr:row>
      <xdr:rowOff>179070</xdr:rowOff>
    </xdr:from>
    <xdr:ext cx="3200876" cy="371064"/>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B33B1B8-5AE9-43FE-81BD-882986C13EDB}"/>
                </a:ext>
              </a:extLst>
            </xdr:cNvPr>
            <xdr:cNvSpPr txBox="1"/>
          </xdr:nvSpPr>
          <xdr:spPr>
            <a:xfrm>
              <a:off x="203835" y="9246870"/>
              <a:ext cx="3200876" cy="3710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𝐴</m:t>
                            </m:r>
                          </m:e>
                          <m:sub>
                            <m:r>
                              <a:rPr lang="en-US" sz="1100" b="0" i="1">
                                <a:latin typeface="Cambria Math" panose="02040503050406030204" pitchFamily="18" charset="0"/>
                                <a:ea typeface="Cambria Math" panose="02040503050406030204" pitchFamily="18" charset="0"/>
                              </a:rPr>
                              <m:t>𝑓𝑖𝑙𝑚</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𝑆𝐻𝐺𝐹</m:t>
                            </m:r>
                          </m:e>
                          <m:sub>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𝑆𝐻𝐺𝐶</m:t>
                                </m:r>
                              </m:e>
                              <m:sub>
                                <m:r>
                                  <a:rPr lang="en-US" sz="1100" b="0" i="1">
                                    <a:latin typeface="Cambria Math" panose="02040503050406030204" pitchFamily="18" charset="0"/>
                                    <a:ea typeface="Cambria Math" panose="02040503050406030204" pitchFamily="18" charset="0"/>
                                  </a:rPr>
                                  <m:t>𝑝𝑟𝑒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𝑆𝐻𝐺𝐶</m:t>
                                </m:r>
                              </m:e>
                              <m:sub>
                                <m:r>
                                  <a:rPr lang="en-US" sz="1100" b="0" i="1">
                                    <a:latin typeface="Cambria Math" panose="02040503050406030204" pitchFamily="18" charset="0"/>
                                    <a:ea typeface="Cambria Math" panose="02040503050406030204" pitchFamily="18" charset="0"/>
                                  </a:rPr>
                                  <m:t>𝑝𝑜𝑠𝑡</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e>
                        </m:d>
                      </m:num>
                      <m:den>
                        <m:r>
                          <a:rPr lang="en-US" sz="1100" b="0" i="1">
                            <a:latin typeface="Cambria Math" panose="02040503050406030204" pitchFamily="18" charset="0"/>
                            <a:ea typeface="Cambria Math" panose="02040503050406030204" pitchFamily="18" charset="0"/>
                          </a:rPr>
                          <m:t>3,412×</m:t>
                        </m:r>
                        <m:r>
                          <a:rPr lang="en-US" sz="1100" b="0" i="1">
                            <a:latin typeface="Cambria Math" panose="02040503050406030204" pitchFamily="18" charset="0"/>
                            <a:ea typeface="Cambria Math" panose="02040503050406030204" pitchFamily="18" charset="0"/>
                          </a:rPr>
                          <m:t>𝐶𝑂𝑃</m:t>
                        </m:r>
                      </m:den>
                    </m:f>
                  </m:oMath>
                </m:oMathPara>
              </a14:m>
              <a:endParaRPr lang="en-US" sz="1100"/>
            </a:p>
          </xdr:txBody>
        </xdr:sp>
      </mc:Choice>
      <mc:Fallback xmlns="">
        <xdr:sp macro="" textlink="">
          <xdr:nvSpPr>
            <xdr:cNvPr id="2" name="TextBox 1">
              <a:extLst>
                <a:ext uri="{FF2B5EF4-FFF2-40B4-BE49-F238E27FC236}">
                  <a16:creationId xmlns:a16="http://schemas.microsoft.com/office/drawing/2014/main" id="{6B33B1B8-5AE9-43FE-81BD-882986C13EDB}"/>
                </a:ext>
              </a:extLst>
            </xdr:cNvPr>
            <xdr:cNvSpPr txBox="1"/>
          </xdr:nvSpPr>
          <xdr:spPr>
            <a:xfrm>
              <a:off x="203835" y="9246870"/>
              <a:ext cx="3200876" cy="3710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𝑘𝑊=(𝐴_(𝑓𝑖𝑙𝑚,𝑜)×〖𝑆𝐻𝐺𝐹〗_𝑜×(〖𝑆𝐻𝐺𝐶〗_(𝑝𝑟𝑒,𝑜)−〖𝑆𝐻𝐺𝐶〗_(𝑝𝑜𝑠𝑡,𝑜) ))/(3,412×𝐶𝑂𝑃)</a:t>
              </a:r>
              <a:endParaRPr lang="en-US" sz="1100"/>
            </a:p>
          </xdr:txBody>
        </xdr:sp>
      </mc:Fallback>
    </mc:AlternateContent>
    <xdr:clientData/>
  </xdr:oneCellAnchor>
  <xdr:oneCellAnchor>
    <xdr:from>
      <xdr:col>1</xdr:col>
      <xdr:colOff>0</xdr:colOff>
      <xdr:row>37</xdr:row>
      <xdr:rowOff>0</xdr:rowOff>
    </xdr:from>
    <xdr:ext cx="3276025" cy="371064"/>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01E13B7-4E38-4199-AAA8-2E3D03725529}"/>
                </a:ext>
              </a:extLst>
            </xdr:cNvPr>
            <xdr:cNvSpPr txBox="1"/>
          </xdr:nvSpPr>
          <xdr:spPr>
            <a:xfrm>
              <a:off x="180975" y="10210800"/>
              <a:ext cx="3276025" cy="3710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𝐴</m:t>
                            </m:r>
                          </m:e>
                          <m:sub>
                            <m:r>
                              <a:rPr lang="en-US" sz="1100" b="0" i="1">
                                <a:latin typeface="Cambria Math" panose="02040503050406030204" pitchFamily="18" charset="0"/>
                                <a:ea typeface="Cambria Math" panose="02040503050406030204" pitchFamily="18" charset="0"/>
                              </a:rPr>
                              <m:t>𝑓𝑖𝑙𝑚</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m:t>
                            </m:r>
                          </m:e>
                          <m:sub>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𝑆𝐻𝐺𝐶</m:t>
                                </m:r>
                              </m:e>
                              <m:sub>
                                <m:r>
                                  <a:rPr lang="en-US" sz="1100" b="0" i="1">
                                    <a:latin typeface="Cambria Math" panose="02040503050406030204" pitchFamily="18" charset="0"/>
                                    <a:ea typeface="Cambria Math" panose="02040503050406030204" pitchFamily="18" charset="0"/>
                                  </a:rPr>
                                  <m:t>𝑝𝑟𝑒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𝑆𝐻𝐺𝐶</m:t>
                                </m:r>
                              </m:e>
                              <m:sub>
                                <m:r>
                                  <a:rPr lang="en-US" sz="1100" b="0" i="1">
                                    <a:latin typeface="Cambria Math" panose="02040503050406030204" pitchFamily="18" charset="0"/>
                                    <a:ea typeface="Cambria Math" panose="02040503050406030204" pitchFamily="18" charset="0"/>
                                  </a:rPr>
                                  <m:t>𝑝𝑜𝑠𝑡</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e>
                        </m:d>
                      </m:num>
                      <m:den>
                        <m:r>
                          <a:rPr lang="en-US" sz="1100" b="0" i="1">
                            <a:latin typeface="Cambria Math" panose="02040503050406030204" pitchFamily="18" charset="0"/>
                            <a:ea typeface="Cambria Math" panose="02040503050406030204" pitchFamily="18" charset="0"/>
                          </a:rPr>
                          <m:t>3,412×</m:t>
                        </m:r>
                        <m:r>
                          <a:rPr lang="en-US" sz="1100" b="0" i="1">
                            <a:latin typeface="Cambria Math" panose="02040503050406030204" pitchFamily="18" charset="0"/>
                            <a:ea typeface="Cambria Math" panose="02040503050406030204" pitchFamily="18" charset="0"/>
                          </a:rPr>
                          <m:t>𝐶𝑂𝑃</m:t>
                        </m:r>
                      </m:den>
                    </m:f>
                  </m:oMath>
                </m:oMathPara>
              </a14:m>
              <a:endParaRPr lang="en-US" sz="1100"/>
            </a:p>
          </xdr:txBody>
        </xdr:sp>
      </mc:Choice>
      <mc:Fallback xmlns="">
        <xdr:sp macro="" textlink="">
          <xdr:nvSpPr>
            <xdr:cNvPr id="3" name="TextBox 2">
              <a:extLst>
                <a:ext uri="{FF2B5EF4-FFF2-40B4-BE49-F238E27FC236}">
                  <a16:creationId xmlns:a16="http://schemas.microsoft.com/office/drawing/2014/main" id="{A01E13B7-4E38-4199-AAA8-2E3D03725529}"/>
                </a:ext>
              </a:extLst>
            </xdr:cNvPr>
            <xdr:cNvSpPr txBox="1"/>
          </xdr:nvSpPr>
          <xdr:spPr>
            <a:xfrm>
              <a:off x="180975" y="10210800"/>
              <a:ext cx="3276025" cy="3710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𝑘𝑊ℎ=(𝐴_(𝑓𝑖𝑙𝑚,𝑜)×〖𝑆𝐻𝐺〗_𝑜×(〖𝑆𝐻𝐺𝐶〗_(𝑝𝑟𝑒,𝑜)−〖𝑆𝐻𝐺𝐶〗_(𝑝𝑜𝑠𝑡,𝑜) ))/(3,412×𝐶𝑂𝑃)</a:t>
              </a:r>
              <a:endParaRPr lang="en-US" sz="1100"/>
            </a:p>
          </xdr:txBody>
        </xdr:sp>
      </mc:Fallback>
    </mc:AlternateContent>
    <xdr:clientData/>
  </xdr:oneCellAnchor>
  <xdr:oneCellAnchor>
    <xdr:from>
      <xdr:col>1</xdr:col>
      <xdr:colOff>30480</xdr:colOff>
      <xdr:row>42</xdr:row>
      <xdr:rowOff>11430</xdr:rowOff>
    </xdr:from>
    <xdr:ext cx="1552733"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D010E4AA-17E3-4BB4-8818-2E9CEBEA6FFA}"/>
                </a:ext>
              </a:extLst>
            </xdr:cNvPr>
            <xdr:cNvSpPr txBox="1"/>
          </xdr:nvSpPr>
          <xdr:spPr>
            <a:xfrm>
              <a:off x="211455" y="11174730"/>
              <a:ext cx="1552733"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𝑙𝑖𝑓𝑒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D010E4AA-17E3-4BB4-8818-2E9CEBEA6FFA}"/>
                </a:ext>
              </a:extLst>
            </xdr:cNvPr>
            <xdr:cNvSpPr txBox="1"/>
          </xdr:nvSpPr>
          <xdr:spPr>
            <a:xfrm>
              <a:off x="211455" y="11174730"/>
              <a:ext cx="1552733"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〖∆𝑘𝑊ℎ〗_𝑙𝑖𝑓𝑒=∆𝑘𝑊ℎ×𝐸𝑈𝐿</a:t>
              </a:r>
              <a:endParaRPr lang="en-US" sz="1100"/>
            </a:p>
          </xdr:txBody>
        </xdr:sp>
      </mc:Fallback>
    </mc:AlternateContent>
    <xdr:clientData/>
  </xdr:oneCellAnchor>
</xdr:wsDr>
</file>

<file path=xl/drawings/drawing40.xml><?xml version="1.0" encoding="utf-8"?>
<xdr:wsDr xmlns:xdr="http://schemas.openxmlformats.org/drawingml/2006/spreadsheetDrawing" xmlns:a="http://schemas.openxmlformats.org/drawingml/2006/main">
  <xdr:oneCellAnchor>
    <xdr:from>
      <xdr:col>1</xdr:col>
      <xdr:colOff>76201</xdr:colOff>
      <xdr:row>55</xdr:row>
      <xdr:rowOff>28576</xdr:rowOff>
    </xdr:from>
    <xdr:ext cx="5143500" cy="57150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F2406B8-AF5F-4115-9BBD-291CF59A7B58}"/>
                </a:ext>
              </a:extLst>
            </xdr:cNvPr>
            <xdr:cNvSpPr txBox="1"/>
          </xdr:nvSpPr>
          <xdr:spPr>
            <a:xfrm>
              <a:off x="257176" y="17821276"/>
              <a:ext cx="5143500" cy="5715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900" i="1">
                        <a:solidFill>
                          <a:sysClr val="windowText" lastClr="000000"/>
                        </a:solidFill>
                        <a:latin typeface="Cambria Math" panose="02040503050406030204" pitchFamily="18" charset="0"/>
                        <a:ea typeface="Cambria Math" panose="02040503050406030204" pitchFamily="18" charset="0"/>
                      </a:rPr>
                      <m:t>∆</m:t>
                    </m:r>
                    <m:r>
                      <a:rPr lang="en-US" sz="900" b="0" i="1">
                        <a:solidFill>
                          <a:sysClr val="windowText" lastClr="000000"/>
                        </a:solidFill>
                        <a:latin typeface="Cambria Math" panose="02040503050406030204" pitchFamily="18" charset="0"/>
                        <a:ea typeface="Cambria Math" panose="02040503050406030204" pitchFamily="18" charset="0"/>
                      </a:rPr>
                      <m:t>𝑘𝑊h</m:t>
                    </m:r>
                    <m:r>
                      <a:rPr lang="en-US" sz="900" b="0" i="1">
                        <a:solidFill>
                          <a:sysClr val="windowText" lastClr="000000"/>
                        </a:solidFill>
                        <a:latin typeface="Cambria Math" panose="02040503050406030204" pitchFamily="18" charset="0"/>
                        <a:ea typeface="Cambria Math" panose="02040503050406030204" pitchFamily="18" charset="0"/>
                      </a:rPr>
                      <m:t>=</m:t>
                    </m:r>
                    <m:r>
                      <a:rPr lang="en-US" sz="900" b="0" i="1">
                        <a:solidFill>
                          <a:sysClr val="windowText" lastClr="000000"/>
                        </a:solidFill>
                        <a:latin typeface="Cambria Math" panose="02040503050406030204" pitchFamily="18" charset="0"/>
                        <a:ea typeface="Cambria Math" panose="02040503050406030204" pitchFamily="18" charset="0"/>
                      </a:rPr>
                      <m:t>𝐶𝐴𝑃</m:t>
                    </m:r>
                    <m:r>
                      <a:rPr lang="en-US" sz="900" b="0" i="1">
                        <a:solidFill>
                          <a:sysClr val="windowText" lastClr="000000"/>
                        </a:solidFill>
                        <a:latin typeface="Cambria Math" panose="02040503050406030204" pitchFamily="18" charset="0"/>
                        <a:ea typeface="Cambria Math" panose="02040503050406030204" pitchFamily="18" charset="0"/>
                      </a:rPr>
                      <m:t>∗ </m:t>
                    </m:r>
                    <m:r>
                      <a:rPr lang="en-US" sz="900" b="0" i="1">
                        <a:solidFill>
                          <a:sysClr val="windowText" lastClr="000000"/>
                        </a:solidFill>
                        <a:effectLst/>
                        <a:latin typeface="Cambria Math" panose="02040503050406030204" pitchFamily="18" charset="0"/>
                        <a:ea typeface="+mn-ea"/>
                        <a:cs typeface="+mn-cs"/>
                      </a:rPr>
                      <m:t>𝐶𝑌𝐶𝐿𝐸𝑆</m:t>
                    </m:r>
                    <m:r>
                      <a:rPr lang="en-US" sz="900" b="0" i="1">
                        <a:solidFill>
                          <a:sysClr val="windowText" lastClr="000000"/>
                        </a:solidFill>
                        <a:effectLst/>
                        <a:latin typeface="Cambria Math" panose="02040503050406030204" pitchFamily="18" charset="0"/>
                        <a:ea typeface="+mn-ea"/>
                        <a:cs typeface="+mn-cs"/>
                      </a:rPr>
                      <m:t> ∗ </m:t>
                    </m:r>
                  </m:oMath>
                </m:oMathPara>
              </a14:m>
              <a:endParaRPr lang="en-US" sz="9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left"/>
                  </m:oMathParaPr>
                  <m:oMath xmlns:m="http://schemas.openxmlformats.org/officeDocument/2006/math">
                    <m:r>
                      <a:rPr lang="en-US" sz="900" b="0" i="1">
                        <a:solidFill>
                          <a:sysClr val="windowText" lastClr="000000"/>
                        </a:solidFill>
                        <a:latin typeface="Cambria Math" panose="02040503050406030204" pitchFamily="18" charset="0"/>
                        <a:ea typeface="Cambria Math" panose="02040503050406030204" pitchFamily="18" charset="0"/>
                      </a:rPr>
                      <m:t>        </m:t>
                    </m:r>
                    <m:d>
                      <m:dPr>
                        <m:begChr m:val="{"/>
                        <m:endChr m:val="}"/>
                        <m:ctrlPr>
                          <a:rPr lang="en-US" sz="900" b="0" i="1">
                            <a:solidFill>
                              <a:sysClr val="windowText" lastClr="000000"/>
                            </a:solidFill>
                            <a:latin typeface="Cambria Math" panose="02040503050406030204" pitchFamily="18" charset="0"/>
                            <a:ea typeface="Cambria Math" panose="02040503050406030204" pitchFamily="18" charset="0"/>
                          </a:rPr>
                        </m:ctrlPr>
                      </m:dPr>
                      <m:e>
                        <m:eqArr>
                          <m:eqArrPr>
                            <m:ctrlPr>
                              <a:rPr lang="en-US" sz="900" b="0" i="1">
                                <a:solidFill>
                                  <a:sysClr val="windowText" lastClr="000000"/>
                                </a:solidFill>
                                <a:effectLst/>
                                <a:latin typeface="Cambria Math" panose="02040503050406030204" pitchFamily="18" charset="0"/>
                                <a:ea typeface="+mn-ea"/>
                                <a:cs typeface="+mn-cs"/>
                              </a:rPr>
                            </m:ctrlPr>
                          </m:eqArrPr>
                          <m:e>
                            <m:d>
                              <m:dPr>
                                <m:ctrlPr>
                                  <a:rPr lang="en-US" sz="900" b="0" i="1">
                                    <a:solidFill>
                                      <a:sysClr val="windowText" lastClr="000000"/>
                                    </a:solidFill>
                                    <a:effectLst/>
                                    <a:latin typeface="Cambria Math" panose="02040503050406030204" pitchFamily="18" charset="0"/>
                                    <a:ea typeface="+mn-ea"/>
                                    <a:cs typeface="+mn-cs"/>
                                  </a:rPr>
                                </m:ctrlPr>
                              </m:dPr>
                              <m:e>
                                <m:f>
                                  <m:fPr>
                                    <m:type m:val="lin"/>
                                    <m:ctrlPr>
                                      <a:rPr lang="en-US" sz="900" b="0" i="1">
                                        <a:solidFill>
                                          <a:sysClr val="windowText" lastClr="000000"/>
                                        </a:solidFill>
                                        <a:effectLst/>
                                        <a:latin typeface="Cambria Math" panose="02040503050406030204" pitchFamily="18" charset="0"/>
                                        <a:ea typeface="+mn-ea"/>
                                        <a:cs typeface="+mn-cs"/>
                                      </a:rPr>
                                    </m:ctrlPr>
                                  </m:fPr>
                                  <m:num>
                                    <m:r>
                                      <a:rPr lang="en-US" sz="900" b="0" i="1">
                                        <a:solidFill>
                                          <a:sysClr val="windowText" lastClr="000000"/>
                                        </a:solidFill>
                                        <a:effectLst/>
                                        <a:latin typeface="Cambria Math" panose="02040503050406030204" pitchFamily="18" charset="0"/>
                                        <a:ea typeface="+mn-ea"/>
                                        <a:cs typeface="+mn-cs"/>
                                      </a:rPr>
                                      <m:t>1</m:t>
                                    </m:r>
                                  </m:num>
                                  <m:den>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𝐼𝑀𝐸𝐹</m:t>
                                        </m:r>
                                      </m:e>
                                      <m:sub>
                                        <m:r>
                                          <a:rPr lang="en-US" sz="900" b="0" i="1">
                                            <a:solidFill>
                                              <a:sysClr val="windowText" lastClr="000000"/>
                                            </a:solidFill>
                                            <a:effectLst/>
                                            <a:latin typeface="Cambria Math" panose="02040503050406030204" pitchFamily="18" charset="0"/>
                                            <a:ea typeface="+mn-ea"/>
                                            <a:cs typeface="+mn-cs"/>
                                          </a:rPr>
                                          <m:t>𝑏𝑎𝑠𝑒</m:t>
                                        </m:r>
                                      </m:sub>
                                    </m:sSub>
                                  </m:den>
                                </m:f>
                              </m:e>
                            </m:d>
                            <m:r>
                              <a:rPr lang="en-US" sz="900" b="0" i="1">
                                <a:solidFill>
                                  <a:sysClr val="windowText" lastClr="000000"/>
                                </a:solidFill>
                                <a:effectLst/>
                                <a:latin typeface="Cambria Math" panose="02040503050406030204" pitchFamily="18" charset="0"/>
                                <a:ea typeface="+mn-ea"/>
                                <a:cs typeface="+mn-cs"/>
                              </a:rPr>
                              <m:t>∗</m:t>
                            </m:r>
                            <m:d>
                              <m:dPr>
                                <m:begChr m:val="["/>
                                <m:endChr m:val="]"/>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𝑤𝑎𝑠h</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𝑏𝑎𝑠𝑒</m:t>
                                    </m:r>
                                  </m:sub>
                                </m:sSub>
                                <m:r>
                                  <a:rPr lang="en-US" sz="900" b="0" i="1">
                                    <a:solidFill>
                                      <a:sysClr val="windowText" lastClr="000000"/>
                                    </a:solidFill>
                                    <a:effectLst/>
                                    <a:latin typeface="Cambria Math" panose="02040503050406030204" pitchFamily="18" charset="0"/>
                                    <a:ea typeface="+mn-ea"/>
                                    <a:cs typeface="+mn-cs"/>
                                  </a:rPr>
                                  <m:t>+</m:t>
                                </m:r>
                                <m:d>
                                  <m:dPr>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h𝑒𝑎𝑡</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𝑏𝑎𝑠𝑒</m:t>
                                        </m:r>
                                      </m:sub>
                                    </m:sSub>
                                    <m:r>
                                      <a:rPr lang="en-US" sz="900" b="0" i="1">
                                        <a:solidFill>
                                          <a:sysClr val="windowText" lastClr="000000"/>
                                        </a:solidFill>
                                        <a:effectLst/>
                                        <a:latin typeface="Cambria Math" panose="02040503050406030204" pitchFamily="18" charset="0"/>
                                        <a:ea typeface="+mn-ea"/>
                                        <a:cs typeface="+mn-cs"/>
                                      </a:rPr>
                                      <m:t>∗</m:t>
                                    </m:r>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𝐻𝐸𝐴𝑇𝐸𝑅</m:t>
                                        </m:r>
                                      </m:e>
                                      <m:sub>
                                        <m:r>
                                          <a:rPr lang="en-US" sz="900" b="0" i="1">
                                            <a:solidFill>
                                              <a:sysClr val="windowText" lastClr="000000"/>
                                            </a:solidFill>
                                            <a:effectLst/>
                                            <a:latin typeface="Cambria Math" panose="02040503050406030204" pitchFamily="18" charset="0"/>
                                            <a:ea typeface="+mn-ea"/>
                                            <a:cs typeface="+mn-cs"/>
                                          </a:rPr>
                                          <m:t>𝑒𝑙𝑒𝑐𝑡𝑟𝑖𝑐</m:t>
                                        </m:r>
                                      </m:sub>
                                    </m:sSub>
                                  </m:e>
                                </m:d>
                                <m:r>
                                  <a:rPr lang="en-US" sz="900" b="0" i="1">
                                    <a:solidFill>
                                      <a:sysClr val="windowText" lastClr="000000"/>
                                    </a:solidFill>
                                    <a:effectLst/>
                                    <a:latin typeface="Cambria Math" panose="02040503050406030204" pitchFamily="18" charset="0"/>
                                    <a:ea typeface="+mn-ea"/>
                                    <a:cs typeface="+mn-cs"/>
                                  </a:rPr>
                                  <m:t>+</m:t>
                                </m:r>
                                <m:d>
                                  <m:dPr>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𝑑𝑟𝑦</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𝑏𝑎𝑠𝑒</m:t>
                                        </m:r>
                                      </m:sub>
                                    </m:sSub>
                                    <m:r>
                                      <a:rPr lang="en-US" sz="900" b="0" i="1">
                                        <a:solidFill>
                                          <a:sysClr val="windowText" lastClr="000000"/>
                                        </a:solidFill>
                                        <a:effectLst/>
                                        <a:latin typeface="Cambria Math" panose="02040503050406030204" pitchFamily="18" charset="0"/>
                                        <a:ea typeface="+mn-ea"/>
                                        <a:cs typeface="+mn-cs"/>
                                      </a:rPr>
                                      <m:t>∗</m:t>
                                    </m:r>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𝐷𝑅𝑌𝐸𝑅</m:t>
                                        </m:r>
                                      </m:e>
                                      <m:sub>
                                        <m:r>
                                          <a:rPr lang="en-US" sz="900" b="0" i="1">
                                            <a:solidFill>
                                              <a:sysClr val="windowText" lastClr="000000"/>
                                            </a:solidFill>
                                            <a:effectLst/>
                                            <a:latin typeface="Cambria Math" panose="02040503050406030204" pitchFamily="18" charset="0"/>
                                            <a:ea typeface="+mn-ea"/>
                                            <a:cs typeface="+mn-cs"/>
                                          </a:rPr>
                                          <m:t>𝑒𝑙𝑒𝑐𝑡𝑟𝑖𝑐</m:t>
                                        </m:r>
                                      </m:sub>
                                    </m:sSub>
                                  </m:e>
                                </m:d>
                              </m:e>
                            </m:d>
                          </m:e>
                          <m:e>
                            <m:r>
                              <a:rPr lang="en-US" sz="900" b="0" i="1">
                                <a:solidFill>
                                  <a:sysClr val="windowText" lastClr="000000"/>
                                </a:solidFill>
                                <a:effectLst/>
                                <a:latin typeface="Cambria Math" panose="02040503050406030204" pitchFamily="18" charset="0"/>
                                <a:ea typeface="+mn-ea"/>
                                <a:cs typeface="+mn-cs"/>
                              </a:rPr>
                              <m:t>−</m:t>
                            </m:r>
                            <m:d>
                              <m:dPr>
                                <m:ctrlPr>
                                  <a:rPr lang="en-US" sz="900" b="0" i="1">
                                    <a:solidFill>
                                      <a:sysClr val="windowText" lastClr="000000"/>
                                    </a:solidFill>
                                    <a:effectLst/>
                                    <a:latin typeface="Cambria Math" panose="02040503050406030204" pitchFamily="18" charset="0"/>
                                    <a:ea typeface="+mn-ea"/>
                                    <a:cs typeface="+mn-cs"/>
                                  </a:rPr>
                                </m:ctrlPr>
                              </m:dPr>
                              <m:e>
                                <m:f>
                                  <m:fPr>
                                    <m:type m:val="lin"/>
                                    <m:ctrlPr>
                                      <a:rPr lang="en-US" sz="900" b="0" i="1">
                                        <a:solidFill>
                                          <a:sysClr val="windowText" lastClr="000000"/>
                                        </a:solidFill>
                                        <a:effectLst/>
                                        <a:latin typeface="Cambria Math" panose="02040503050406030204" pitchFamily="18" charset="0"/>
                                        <a:ea typeface="+mn-ea"/>
                                        <a:cs typeface="+mn-cs"/>
                                      </a:rPr>
                                    </m:ctrlPr>
                                  </m:fPr>
                                  <m:num>
                                    <m:r>
                                      <a:rPr lang="en-US" sz="900" b="0" i="1">
                                        <a:solidFill>
                                          <a:sysClr val="windowText" lastClr="000000"/>
                                        </a:solidFill>
                                        <a:effectLst/>
                                        <a:latin typeface="Cambria Math" panose="02040503050406030204" pitchFamily="18" charset="0"/>
                                        <a:ea typeface="+mn-ea"/>
                                        <a:cs typeface="+mn-cs"/>
                                      </a:rPr>
                                      <m:t>1</m:t>
                                    </m:r>
                                  </m:num>
                                  <m:den>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𝐼𝑀𝐸𝐹</m:t>
                                        </m:r>
                                      </m:e>
                                      <m:sub>
                                        <m:r>
                                          <a:rPr lang="en-US" sz="900" b="0" i="1">
                                            <a:solidFill>
                                              <a:sysClr val="windowText" lastClr="000000"/>
                                            </a:solidFill>
                                            <a:effectLst/>
                                            <a:latin typeface="Cambria Math" panose="02040503050406030204" pitchFamily="18" charset="0"/>
                                            <a:ea typeface="+mn-ea"/>
                                            <a:cs typeface="+mn-cs"/>
                                          </a:rPr>
                                          <m:t>h𝑒</m:t>
                                        </m:r>
                                      </m:sub>
                                    </m:sSub>
                                  </m:den>
                                </m:f>
                              </m:e>
                            </m:d>
                            <m:r>
                              <a:rPr lang="en-US" sz="900" b="0" i="1">
                                <a:solidFill>
                                  <a:sysClr val="windowText" lastClr="000000"/>
                                </a:solidFill>
                                <a:effectLst/>
                                <a:latin typeface="Cambria Math" panose="02040503050406030204" pitchFamily="18" charset="0"/>
                                <a:ea typeface="+mn-ea"/>
                                <a:cs typeface="+mn-cs"/>
                              </a:rPr>
                              <m:t>∗</m:t>
                            </m:r>
                            <m:d>
                              <m:dPr>
                                <m:begChr m:val="["/>
                                <m:endChr m:val="]"/>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𝑤𝑎𝑠h</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h𝑒</m:t>
                                    </m:r>
                                  </m:sub>
                                </m:sSub>
                                <m:r>
                                  <a:rPr lang="en-US" sz="900" b="0" i="1">
                                    <a:solidFill>
                                      <a:sysClr val="windowText" lastClr="000000"/>
                                    </a:solidFill>
                                    <a:effectLst/>
                                    <a:latin typeface="Cambria Math" panose="02040503050406030204" pitchFamily="18" charset="0"/>
                                    <a:ea typeface="+mn-ea"/>
                                    <a:cs typeface="+mn-cs"/>
                                  </a:rPr>
                                  <m:t>+</m:t>
                                </m:r>
                                <m:d>
                                  <m:dPr>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h𝑒𝑎𝑡</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h𝑒</m:t>
                                        </m:r>
                                      </m:sub>
                                    </m:sSub>
                                    <m:r>
                                      <a:rPr lang="en-US" sz="900" b="0" i="1">
                                        <a:solidFill>
                                          <a:sysClr val="windowText" lastClr="000000"/>
                                        </a:solidFill>
                                        <a:effectLst/>
                                        <a:latin typeface="Cambria Math" panose="02040503050406030204" pitchFamily="18" charset="0"/>
                                        <a:ea typeface="+mn-ea"/>
                                        <a:cs typeface="+mn-cs"/>
                                      </a:rPr>
                                      <m:t>∗</m:t>
                                    </m:r>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𝐻𝐸𝐴𝑇𝐸𝑅</m:t>
                                        </m:r>
                                      </m:e>
                                      <m:sub>
                                        <m:r>
                                          <a:rPr lang="en-US" sz="900" b="0" i="1">
                                            <a:solidFill>
                                              <a:sysClr val="windowText" lastClr="000000"/>
                                            </a:solidFill>
                                            <a:effectLst/>
                                            <a:latin typeface="Cambria Math" panose="02040503050406030204" pitchFamily="18" charset="0"/>
                                            <a:ea typeface="+mn-ea"/>
                                            <a:cs typeface="+mn-cs"/>
                                          </a:rPr>
                                          <m:t>𝑒𝑙𝑒𝑐𝑡𝑟𝑖𝑐</m:t>
                                        </m:r>
                                      </m:sub>
                                    </m:sSub>
                                  </m:e>
                                </m:d>
                                <m:r>
                                  <a:rPr lang="en-US" sz="900" b="0" i="1">
                                    <a:solidFill>
                                      <a:sysClr val="windowText" lastClr="000000"/>
                                    </a:solidFill>
                                    <a:effectLst/>
                                    <a:latin typeface="Cambria Math" panose="02040503050406030204" pitchFamily="18" charset="0"/>
                                    <a:ea typeface="+mn-ea"/>
                                    <a:cs typeface="+mn-cs"/>
                                  </a:rPr>
                                  <m:t>+</m:t>
                                </m:r>
                                <m:d>
                                  <m:dPr>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𝑑𝑟𝑦</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h𝑒</m:t>
                                        </m:r>
                                      </m:sub>
                                    </m:sSub>
                                    <m:r>
                                      <a:rPr lang="en-US" sz="900" b="0" i="1">
                                        <a:solidFill>
                                          <a:sysClr val="windowText" lastClr="000000"/>
                                        </a:solidFill>
                                        <a:effectLst/>
                                        <a:latin typeface="Cambria Math" panose="02040503050406030204" pitchFamily="18" charset="0"/>
                                        <a:ea typeface="+mn-ea"/>
                                        <a:cs typeface="+mn-cs"/>
                                      </a:rPr>
                                      <m:t>∗</m:t>
                                    </m:r>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𝐷𝑅𝑌𝐸𝑅</m:t>
                                        </m:r>
                                      </m:e>
                                      <m:sub>
                                        <m:r>
                                          <a:rPr lang="en-US" sz="900" b="0" i="1">
                                            <a:solidFill>
                                              <a:sysClr val="windowText" lastClr="000000"/>
                                            </a:solidFill>
                                            <a:effectLst/>
                                            <a:latin typeface="Cambria Math" panose="02040503050406030204" pitchFamily="18" charset="0"/>
                                            <a:ea typeface="+mn-ea"/>
                                            <a:cs typeface="+mn-cs"/>
                                          </a:rPr>
                                          <m:t>𝑒𝑙𝑒𝑐𝑡𝑟𝑖𝑐</m:t>
                                        </m:r>
                                      </m:sub>
                                    </m:sSub>
                                  </m:e>
                                </m:d>
                              </m:e>
                            </m:d>
                          </m:e>
                        </m:eqArr>
                      </m:e>
                    </m:d>
                  </m:oMath>
                </m:oMathPara>
              </a14:m>
              <a:endParaRPr lang="en-US" sz="9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2" name="TextBox 1">
              <a:extLst>
                <a:ext uri="{FF2B5EF4-FFF2-40B4-BE49-F238E27FC236}">
                  <a16:creationId xmlns:a16="http://schemas.microsoft.com/office/drawing/2014/main" id="{AF2406B8-AF5F-4115-9BBD-291CF59A7B58}"/>
                </a:ext>
              </a:extLst>
            </xdr:cNvPr>
            <xdr:cNvSpPr txBox="1"/>
          </xdr:nvSpPr>
          <xdr:spPr>
            <a:xfrm>
              <a:off x="257176" y="17821276"/>
              <a:ext cx="5143500" cy="5715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900" i="0">
                  <a:solidFill>
                    <a:sysClr val="windowText" lastClr="000000"/>
                  </a:solidFill>
                  <a:latin typeface="Cambria Math" panose="02040503050406030204" pitchFamily="18" charset="0"/>
                  <a:ea typeface="Cambria Math" panose="02040503050406030204" pitchFamily="18" charset="0"/>
                </a:rPr>
                <a:t>∆</a:t>
              </a:r>
              <a:r>
                <a:rPr lang="en-US" sz="900" b="0" i="0">
                  <a:solidFill>
                    <a:sysClr val="windowText" lastClr="000000"/>
                  </a:solidFill>
                  <a:latin typeface="Cambria Math" panose="02040503050406030204" pitchFamily="18" charset="0"/>
                  <a:ea typeface="Cambria Math" panose="02040503050406030204" pitchFamily="18" charset="0"/>
                </a:rPr>
                <a:t>𝑘𝑊ℎ=𝐶𝐴𝑃∗ </a:t>
              </a:r>
              <a:r>
                <a:rPr lang="en-US" sz="900" b="0" i="0">
                  <a:solidFill>
                    <a:sysClr val="windowText" lastClr="000000"/>
                  </a:solidFill>
                  <a:effectLst/>
                  <a:latin typeface="Cambria Math" panose="02040503050406030204" pitchFamily="18" charset="0"/>
                  <a:ea typeface="+mn-ea"/>
                  <a:cs typeface="+mn-cs"/>
                </a:rPr>
                <a:t>𝐶𝑌𝐶𝐿𝐸𝑆 ∗ </a:t>
              </a:r>
              <a:endParaRPr lang="en-US" sz="900" b="0" i="1">
                <a:solidFill>
                  <a:sysClr val="windowText" lastClr="000000"/>
                </a:solidFill>
                <a:latin typeface="Cambria Math" panose="02040503050406030204" pitchFamily="18" charset="0"/>
                <a:ea typeface="Cambria Math" panose="02040503050406030204" pitchFamily="18" charset="0"/>
              </a:endParaRPr>
            </a:p>
            <a:p>
              <a:pPr/>
              <a:r>
                <a:rPr lang="en-US" sz="900" b="0" i="0">
                  <a:solidFill>
                    <a:sysClr val="windowText" lastClr="000000"/>
                  </a:solidFill>
                  <a:latin typeface="Cambria Math" panose="02040503050406030204" pitchFamily="18" charset="0"/>
                  <a:ea typeface="Cambria Math" panose="02040503050406030204" pitchFamily="18" charset="0"/>
                </a:rPr>
                <a:t>        {</a:t>
              </a:r>
              <a:r>
                <a:rPr lang="en-US" sz="900" b="0" i="0">
                  <a:solidFill>
                    <a:sysClr val="windowText" lastClr="000000"/>
                  </a:solidFill>
                  <a:effectLst/>
                  <a:latin typeface="Cambria Math" panose="02040503050406030204" pitchFamily="18" charset="0"/>
                  <a:ea typeface="+mn-ea"/>
                  <a:cs typeface="+mn-cs"/>
                </a:rPr>
                <a:t>█((1∕〖𝐼𝑀𝐸𝐹〗_𝑏𝑎𝑠𝑒 )∗[〖%𝐸〗_(𝑤𝑎𝑠ℎ,𝑏𝑎𝑠𝑒)+(〖%𝐸〗_(ℎ𝑒𝑎𝑡,𝑏𝑎𝑠𝑒)∗〖%𝐻𝐸𝐴𝑇𝐸𝑅〗_𝑒𝑙𝑒𝑐𝑡𝑟𝑖𝑐 )+(〖%𝐸〗_(𝑑𝑟𝑦,𝑏𝑎𝑠𝑒)∗〖%𝐷𝑅𝑌𝐸𝑅〗_𝑒𝑙𝑒𝑐𝑡𝑟𝑖𝑐 )]@−(1∕〖𝐼𝑀𝐸𝐹〗_ℎ𝑒 )∗[〖%𝐸〗_(𝑤𝑎𝑠ℎ,ℎ𝑒)+(〖%𝐸〗_(ℎ𝑒𝑎𝑡,ℎ𝑒)∗〖%𝐻𝐸𝐴𝑇𝐸𝑅〗_𝑒𝑙𝑒𝑐𝑡𝑟𝑖𝑐 )+(〖%𝐸〗_(𝑑𝑟𝑦,ℎ𝑒)∗〖%𝐷𝑅𝑌𝐸𝑅〗_𝑒𝑙𝑒𝑐𝑡𝑟𝑖𝑐 )] )}</a:t>
              </a:r>
              <a:endParaRPr lang="en-US" sz="9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76201</xdr:colOff>
      <xdr:row>59</xdr:row>
      <xdr:rowOff>19051</xdr:rowOff>
    </xdr:from>
    <xdr:ext cx="1943100" cy="1905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84E26AC7-3F3C-44C2-AA16-DED061DA0417}"/>
                </a:ext>
              </a:extLst>
            </xdr:cNvPr>
            <xdr:cNvSpPr txBox="1"/>
          </xdr:nvSpPr>
          <xdr:spPr>
            <a:xfrm>
              <a:off x="257176" y="18926176"/>
              <a:ext cx="1943100" cy="1905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84E26AC7-3F3C-44C2-AA16-DED061DA0417}"/>
                </a:ext>
              </a:extLst>
            </xdr:cNvPr>
            <xdr:cNvSpPr txBox="1"/>
          </xdr:nvSpPr>
          <xdr:spPr>
            <a:xfrm>
              <a:off x="257176" y="18926176"/>
              <a:ext cx="1943100" cy="1905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ysClr val="windowText" lastClr="000000"/>
                  </a:solidFill>
                  <a:effectLst/>
                  <a:latin typeface="Cambria Math" panose="02040503050406030204" pitchFamily="18" charset="0"/>
                  <a:ea typeface="+mn-ea"/>
                  <a:cs typeface="+mn-cs"/>
                </a:rPr>
                <a:t>𝑘𝑊ℎ∗𝐶𝐹/𝐸𝐹𝐿𝐻</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76200</xdr:colOff>
      <xdr:row>63</xdr:row>
      <xdr:rowOff>19050</xdr:rowOff>
    </xdr:from>
    <xdr:ext cx="1885950" cy="2286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50C5D68-1F3C-47B6-B650-A4AF79C58E25}"/>
                </a:ext>
              </a:extLst>
            </xdr:cNvPr>
            <xdr:cNvSpPr txBox="1"/>
          </xdr:nvSpPr>
          <xdr:spPr>
            <a:xfrm>
              <a:off x="257175" y="19707225"/>
              <a:ext cx="188595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B50C5D68-1F3C-47B6-B650-A4AF79C58E25}"/>
                </a:ext>
              </a:extLst>
            </xdr:cNvPr>
            <xdr:cNvSpPr txBox="1"/>
          </xdr:nvSpPr>
          <xdr:spPr>
            <a:xfrm>
              <a:off x="257175" y="19707225"/>
              <a:ext cx="188595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wsDr>
</file>

<file path=xl/drawings/drawing41.xml><?xml version="1.0" encoding="utf-8"?>
<xdr:wsDr xmlns:xdr="http://schemas.openxmlformats.org/drawingml/2006/spreadsheetDrawing" xmlns:a="http://schemas.openxmlformats.org/drawingml/2006/main">
  <xdr:oneCellAnchor>
    <xdr:from>
      <xdr:col>2</xdr:col>
      <xdr:colOff>8601</xdr:colOff>
      <xdr:row>44</xdr:row>
      <xdr:rowOff>11776</xdr:rowOff>
    </xdr:from>
    <xdr:ext cx="1308100" cy="3202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D2B36B53-D640-4B26-A148-BC9D1FA315B7}"/>
                </a:ext>
              </a:extLst>
            </xdr:cNvPr>
            <xdr:cNvSpPr txBox="1"/>
          </xdr:nvSpPr>
          <xdr:spPr>
            <a:xfrm>
              <a:off x="370551" y="8860501"/>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D2B36B53-D640-4B26-A148-BC9D1FA315B7}"/>
                </a:ext>
              </a:extLst>
            </xdr:cNvPr>
            <xdr:cNvSpPr txBox="1"/>
          </xdr:nvSpPr>
          <xdr:spPr>
            <a:xfrm>
              <a:off x="370551" y="8860501"/>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38042</xdr:colOff>
      <xdr:row>49</xdr:row>
      <xdr:rowOff>7793</xdr:rowOff>
    </xdr:from>
    <xdr:ext cx="3914775" cy="1831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B9A36258-E2A3-40B7-BD41-21FDB2AD30EB}"/>
                </a:ext>
              </a:extLst>
            </xdr:cNvPr>
            <xdr:cNvSpPr txBox="1"/>
          </xdr:nvSpPr>
          <xdr:spPr>
            <a:xfrm>
              <a:off x="399992" y="9809018"/>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𝑒𝑒</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B9A36258-E2A3-40B7-BD41-21FDB2AD30EB}"/>
                </a:ext>
              </a:extLst>
            </xdr:cNvPr>
            <xdr:cNvSpPr txBox="1"/>
          </xdr:nvSpPr>
          <xdr:spPr>
            <a:xfrm>
              <a:off x="399992" y="9809018"/>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𝑘𝑊ℎ∗〖𝐸𝑈𝐿〗_𝑒𝑒</a:t>
              </a:r>
              <a:endParaRPr lang="en-US" sz="1100"/>
            </a:p>
          </xdr:txBody>
        </xdr:sp>
      </mc:Fallback>
    </mc:AlternateContent>
    <xdr:clientData/>
  </xdr:oneCellAnchor>
  <xdr:oneCellAnchor>
    <xdr:from>
      <xdr:col>2</xdr:col>
      <xdr:colOff>37638</xdr:colOff>
      <xdr:row>39</xdr:row>
      <xdr:rowOff>224732</xdr:rowOff>
    </xdr:from>
    <xdr:ext cx="3848101" cy="20955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F2A4468-FE52-4E7E-8E87-D6E202B36F1C}"/>
                </a:ext>
              </a:extLst>
            </xdr:cNvPr>
            <xdr:cNvSpPr txBox="1"/>
          </xdr:nvSpPr>
          <xdr:spPr>
            <a:xfrm>
              <a:off x="399588" y="8082857"/>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𝑒𝑒</m:t>
                            </m:r>
                          </m:sub>
                        </m:sSub>
                      </m:e>
                    </m:d>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0F2A4468-FE52-4E7E-8E87-D6E202B36F1C}"/>
                </a:ext>
              </a:extLst>
            </xdr:cNvPr>
            <xdr:cNvSpPr txBox="1"/>
          </xdr:nvSpPr>
          <xdr:spPr>
            <a:xfrm>
              <a:off x="399588" y="8082857"/>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〖𝑘𝑊ℎ〗_𝑏𝑎𝑠𝑒−〖𝑘𝑊ℎ〗_𝑒𝑒 )</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63500</xdr:colOff>
      <xdr:row>28</xdr:row>
      <xdr:rowOff>19050</xdr:rowOff>
    </xdr:from>
    <xdr:ext cx="2286000" cy="51435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F8687FAE-271F-49F8-8A14-3987ABD62827}"/>
                </a:ext>
              </a:extLst>
            </xdr:cNvPr>
            <xdr:cNvSpPr txBox="1"/>
          </xdr:nvSpPr>
          <xdr:spPr>
            <a:xfrm>
              <a:off x="425450" y="5819775"/>
              <a:ext cx="2286000" cy="514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𝑏𝑎𝑠𝑒</m:t>
                        </m:r>
                      </m:sub>
                    </m:sSub>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𝐿𝑂𝐴𝐷</m:t>
                        </m:r>
                      </m:num>
                      <m:den>
                        <m:r>
                          <a:rPr lang="en-US" sz="1100" b="0" i="1">
                            <a:latin typeface="Cambria Math" panose="02040503050406030204" pitchFamily="18" charset="0"/>
                            <a:ea typeface="Cambria Math" panose="02040503050406030204" pitchFamily="18" charset="0"/>
                          </a:rPr>
                          <m:t>𝐶𝐸𝐹</m:t>
                        </m:r>
                        <m:r>
                          <a:rPr lang="en-US" sz="1100" b="0" i="1" baseline="-25000">
                            <a:latin typeface="Cambria Math" panose="02040503050406030204" pitchFamily="18" charset="0"/>
                            <a:ea typeface="Cambria Math" panose="02040503050406030204" pitchFamily="18" charset="0"/>
                          </a:rPr>
                          <m:t>𝑏𝑎𝑠𝑒</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𝐶𝑌𝐶𝐿𝐸𝑆</m:t>
                    </m:r>
                  </m:oMath>
                </m:oMathPara>
              </a14:m>
              <a:endParaRPr lang="en-US" sz="1100"/>
            </a:p>
          </xdr:txBody>
        </xdr:sp>
      </mc:Choice>
      <mc:Fallback xmlns="">
        <xdr:sp macro="" textlink="">
          <xdr:nvSpPr>
            <xdr:cNvPr id="5" name="TextBox 4">
              <a:extLst>
                <a:ext uri="{FF2B5EF4-FFF2-40B4-BE49-F238E27FC236}">
                  <a16:creationId xmlns:a16="http://schemas.microsoft.com/office/drawing/2014/main" id="{F8687FAE-271F-49F8-8A14-3987ABD62827}"/>
                </a:ext>
              </a:extLst>
            </xdr:cNvPr>
            <xdr:cNvSpPr txBox="1"/>
          </xdr:nvSpPr>
          <xdr:spPr>
            <a:xfrm>
              <a:off x="425450" y="5819775"/>
              <a:ext cx="2286000" cy="514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〖𝑘𝑊ℎ〗_𝑏𝑎𝑠𝑒</a:t>
              </a:r>
              <a:r>
                <a:rPr lang="en-US" sz="1100" b="0" i="0">
                  <a:latin typeface="Cambria Math" panose="02040503050406030204" pitchFamily="18" charset="0"/>
                  <a:ea typeface="Cambria Math" panose="02040503050406030204" pitchFamily="18" charset="0"/>
                </a:rPr>
                <a:t>=𝐿𝑂𝐴𝐷/𝐶𝐸𝐹</a:t>
              </a:r>
              <a:r>
                <a:rPr lang="en-US" sz="1100" b="0" i="0" baseline="-25000">
                  <a:latin typeface="Cambria Math" panose="02040503050406030204" pitchFamily="18" charset="0"/>
                  <a:ea typeface="Cambria Math" panose="02040503050406030204" pitchFamily="18" charset="0"/>
                </a:rPr>
                <a:t>𝑏𝑎𝑠𝑒</a:t>
              </a:r>
              <a:r>
                <a:rPr lang="en-US" sz="1100" b="0" i="0">
                  <a:latin typeface="Cambria Math" panose="02040503050406030204" pitchFamily="18" charset="0"/>
                  <a:ea typeface="Cambria Math" panose="02040503050406030204" pitchFamily="18" charset="0"/>
                </a:rPr>
                <a:t>∗𝐶𝑌𝐶𝐿𝐸𝑆</a:t>
              </a:r>
              <a:endParaRPr lang="en-US" sz="1100"/>
            </a:p>
          </xdr:txBody>
        </xdr:sp>
      </mc:Fallback>
    </mc:AlternateContent>
    <xdr:clientData/>
  </xdr:oneCellAnchor>
  <xdr:oneCellAnchor>
    <xdr:from>
      <xdr:col>2</xdr:col>
      <xdr:colOff>44450</xdr:colOff>
      <xdr:row>34</xdr:row>
      <xdr:rowOff>6350</xdr:rowOff>
    </xdr:from>
    <xdr:ext cx="2286000" cy="5143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84E3974-537D-414F-9622-81A31D3C3B20}"/>
                </a:ext>
              </a:extLst>
            </xdr:cNvPr>
            <xdr:cNvSpPr txBox="1"/>
          </xdr:nvSpPr>
          <xdr:spPr>
            <a:xfrm>
              <a:off x="406400" y="6950075"/>
              <a:ext cx="2286000" cy="514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𝑒𝑒</m:t>
                        </m:r>
                      </m:sub>
                    </m:sSub>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𝐿𝑂𝐴𝐷</m:t>
                        </m:r>
                      </m:num>
                      <m:den>
                        <m:r>
                          <a:rPr lang="en-US" sz="1100" b="0" i="1">
                            <a:latin typeface="Cambria Math" panose="02040503050406030204" pitchFamily="18" charset="0"/>
                            <a:ea typeface="Cambria Math" panose="02040503050406030204" pitchFamily="18" charset="0"/>
                          </a:rPr>
                          <m:t>𝐶𝐸𝐹</m:t>
                        </m:r>
                        <m:r>
                          <a:rPr lang="en-US" sz="1100" b="0" i="1" baseline="-25000">
                            <a:latin typeface="Cambria Math" panose="02040503050406030204" pitchFamily="18" charset="0"/>
                            <a:ea typeface="Cambria Math" panose="02040503050406030204" pitchFamily="18" charset="0"/>
                          </a:rPr>
                          <m:t>𝑒𝑒</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𝐶𝑌𝐶𝐿𝐸𝑆</m:t>
                    </m:r>
                  </m:oMath>
                </m:oMathPara>
              </a14:m>
              <a:endParaRPr lang="en-US" sz="1100"/>
            </a:p>
          </xdr:txBody>
        </xdr:sp>
      </mc:Choice>
      <mc:Fallback xmlns="">
        <xdr:sp macro="" textlink="">
          <xdr:nvSpPr>
            <xdr:cNvPr id="6" name="TextBox 5">
              <a:extLst>
                <a:ext uri="{FF2B5EF4-FFF2-40B4-BE49-F238E27FC236}">
                  <a16:creationId xmlns:a16="http://schemas.microsoft.com/office/drawing/2014/main" id="{C84E3974-537D-414F-9622-81A31D3C3B20}"/>
                </a:ext>
              </a:extLst>
            </xdr:cNvPr>
            <xdr:cNvSpPr txBox="1"/>
          </xdr:nvSpPr>
          <xdr:spPr>
            <a:xfrm>
              <a:off x="406400" y="6950075"/>
              <a:ext cx="2286000" cy="514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〖𝑘𝑊ℎ〗_𝑒𝑒</a:t>
              </a:r>
              <a:r>
                <a:rPr lang="en-US" sz="1100" b="0" i="0">
                  <a:latin typeface="Cambria Math" panose="02040503050406030204" pitchFamily="18" charset="0"/>
                  <a:ea typeface="Cambria Math" panose="02040503050406030204" pitchFamily="18" charset="0"/>
                </a:rPr>
                <a:t>=𝐿𝑂𝐴𝐷/𝐶𝐸𝐹</a:t>
              </a:r>
              <a:r>
                <a:rPr lang="en-US" sz="1100" b="0" i="0" baseline="-25000">
                  <a:latin typeface="Cambria Math" panose="02040503050406030204" pitchFamily="18" charset="0"/>
                  <a:ea typeface="Cambria Math" panose="02040503050406030204" pitchFamily="18" charset="0"/>
                </a:rPr>
                <a:t>𝑒𝑒</a:t>
              </a:r>
              <a:r>
                <a:rPr lang="en-US" sz="1100" b="0" i="0">
                  <a:latin typeface="Cambria Math" panose="02040503050406030204" pitchFamily="18" charset="0"/>
                  <a:ea typeface="Cambria Math" panose="02040503050406030204" pitchFamily="18" charset="0"/>
                </a:rPr>
                <a:t>∗𝐶𝑌𝐶𝐿𝐸𝑆</a:t>
              </a:r>
              <a:endParaRPr lang="en-US" sz="1100"/>
            </a:p>
          </xdr:txBody>
        </xdr:sp>
      </mc:Fallback>
    </mc:AlternateContent>
    <xdr:clientData/>
  </xdr:oneCellAnchor>
</xdr:wsDr>
</file>

<file path=xl/drawings/drawing42.xml><?xml version="1.0" encoding="utf-8"?>
<xdr:wsDr xmlns:xdr="http://schemas.openxmlformats.org/drawingml/2006/spreadsheetDrawing" xmlns:a="http://schemas.openxmlformats.org/drawingml/2006/main">
  <xdr:oneCellAnchor>
    <xdr:from>
      <xdr:col>1</xdr:col>
      <xdr:colOff>168275</xdr:colOff>
      <xdr:row>29</xdr:row>
      <xdr:rowOff>26987</xdr:rowOff>
    </xdr:from>
    <xdr:ext cx="2903166" cy="172227"/>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4DE7347-2EA9-4A1C-845F-7C5E94302E55}"/>
                </a:ext>
              </a:extLst>
            </xdr:cNvPr>
            <xdr:cNvSpPr txBox="1"/>
          </xdr:nvSpPr>
          <xdr:spPr>
            <a:xfrm>
              <a:off x="349250" y="7504112"/>
              <a:ext cx="290316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𝐴𝑉</m:t>
                        </m:r>
                      </m:e>
                      <m:sub>
                        <m:r>
                          <a:rPr lang="en-US" sz="1100" b="0" i="1">
                            <a:solidFill>
                              <a:schemeClr val="tx1"/>
                            </a:solidFill>
                            <a:effectLst/>
                            <a:latin typeface="Cambria Math" panose="02040503050406030204" pitchFamily="18" charset="0"/>
                            <a:ea typeface="+mn-ea"/>
                            <a:cs typeface="+mn-cs"/>
                          </a:rPr>
                          <m:t>𝑅</m:t>
                        </m:r>
                      </m:sub>
                    </m:sSub>
                    <m:r>
                      <a:rPr lang="en-US" sz="1100" b="0" i="1">
                        <a:latin typeface="Cambria Math" panose="02040503050406030204" pitchFamily="18" charset="0"/>
                      </a:rPr>
                      <m:t>=</m:t>
                    </m:r>
                    <m:r>
                      <a:rPr lang="en-US" sz="1100" b="0" i="1">
                        <a:latin typeface="Cambria Math" panose="02040503050406030204" pitchFamily="18" charset="0"/>
                      </a:rPr>
                      <m:t>𝐹𝑟𝑒𝑠h</m:t>
                    </m:r>
                    <m:r>
                      <a:rPr lang="en-US" sz="1100" b="0" i="1">
                        <a:latin typeface="Cambria Math" panose="02040503050406030204" pitchFamily="18" charset="0"/>
                      </a:rPr>
                      <m:t> </m:t>
                    </m:r>
                    <m:r>
                      <a:rPr lang="en-US" sz="1100" b="0" i="1">
                        <a:latin typeface="Cambria Math" panose="02040503050406030204" pitchFamily="18" charset="0"/>
                      </a:rPr>
                      <m:t>𝑉𝑜𝑙𝑢𝑚𝑒</m:t>
                    </m:r>
                    <m:r>
                      <a:rPr lang="en-US" sz="1100" b="0" i="1">
                        <a:latin typeface="Cambria Math" panose="02040503050406030204" pitchFamily="18" charset="0"/>
                      </a:rPr>
                      <m:t>+1.76∗</m:t>
                    </m:r>
                    <m:r>
                      <a:rPr lang="en-US" sz="1100" b="0" i="1">
                        <a:latin typeface="Cambria Math" panose="02040503050406030204" pitchFamily="18" charset="0"/>
                      </a:rPr>
                      <m:t>𝐹𝑟𝑒𝑒𝑧𝑒𝑟</m:t>
                    </m:r>
                    <m:r>
                      <a:rPr lang="en-US" sz="1100" b="0" i="1">
                        <a:latin typeface="Cambria Math" panose="02040503050406030204" pitchFamily="18" charset="0"/>
                      </a:rPr>
                      <m:t> </m:t>
                    </m:r>
                    <m:r>
                      <a:rPr lang="en-US" sz="1100" b="0" i="1">
                        <a:latin typeface="Cambria Math" panose="02040503050406030204" pitchFamily="18" charset="0"/>
                      </a:rPr>
                      <m:t>𝑉𝑜𝑙𝑢𝑚𝑒</m:t>
                    </m:r>
                  </m:oMath>
                </m:oMathPara>
              </a14:m>
              <a:endParaRPr lang="en-US" sz="1100"/>
            </a:p>
          </xdr:txBody>
        </xdr:sp>
      </mc:Choice>
      <mc:Fallback xmlns="">
        <xdr:sp macro="" textlink="">
          <xdr:nvSpPr>
            <xdr:cNvPr id="13" name="TextBox 12">
              <a:extLst>
                <a:ext uri="{FF2B5EF4-FFF2-40B4-BE49-F238E27FC236}">
                  <a16:creationId xmlns:a16="http://schemas.microsoft.com/office/drawing/2014/main" id="{04DE7347-2EA9-4A1C-845F-7C5E94302E55}"/>
                </a:ext>
              </a:extLst>
            </xdr:cNvPr>
            <xdr:cNvSpPr txBox="1"/>
          </xdr:nvSpPr>
          <xdr:spPr>
            <a:xfrm>
              <a:off x="349250" y="7504112"/>
              <a:ext cx="290316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〖𝐴𝑉〗_𝑅</a:t>
              </a:r>
              <a:r>
                <a:rPr lang="en-US" sz="1100" b="0" i="0">
                  <a:latin typeface="Cambria Math" panose="02040503050406030204" pitchFamily="18" charset="0"/>
                </a:rPr>
                <a:t>=𝐹𝑟𝑒𝑠ℎ 𝑉𝑜𝑙𝑢𝑚𝑒+1.76∗𝐹𝑟𝑒𝑒𝑧𝑒𝑟 𝑉𝑜𝑙𝑢𝑚𝑒</a:t>
              </a:r>
              <a:endParaRPr lang="en-US" sz="1100"/>
            </a:p>
          </xdr:txBody>
        </xdr:sp>
      </mc:Fallback>
    </mc:AlternateContent>
    <xdr:clientData/>
  </xdr:oneCellAnchor>
  <xdr:oneCellAnchor>
    <xdr:from>
      <xdr:col>1</xdr:col>
      <xdr:colOff>168275</xdr:colOff>
      <xdr:row>33</xdr:row>
      <xdr:rowOff>26987</xdr:rowOff>
    </xdr:from>
    <xdr:ext cx="1854867" cy="172227"/>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D1495D1C-4907-4421-A328-89AC1B9FB2B5}"/>
                </a:ext>
              </a:extLst>
            </xdr:cNvPr>
            <xdr:cNvSpPr txBox="1"/>
          </xdr:nvSpPr>
          <xdr:spPr>
            <a:xfrm>
              <a:off x="349250" y="8266112"/>
              <a:ext cx="185486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𝐴𝑉</m:t>
                        </m:r>
                      </m:e>
                      <m:sub>
                        <m:r>
                          <a:rPr lang="en-US" sz="1100" b="0" i="1">
                            <a:latin typeface="Cambria Math" panose="02040503050406030204" pitchFamily="18" charset="0"/>
                          </a:rPr>
                          <m:t>𝐹</m:t>
                        </m:r>
                      </m:sub>
                    </m:sSub>
                    <m:r>
                      <a:rPr lang="en-US" sz="1100" b="0" i="1">
                        <a:latin typeface="Cambria Math" panose="02040503050406030204" pitchFamily="18" charset="0"/>
                      </a:rPr>
                      <m:t>=1.73∗</m:t>
                    </m:r>
                    <m:r>
                      <a:rPr lang="en-US" sz="1100" b="0" i="1">
                        <a:latin typeface="Cambria Math" panose="02040503050406030204" pitchFamily="18" charset="0"/>
                      </a:rPr>
                      <m:t>𝐹𝑟𝑒𝑒𝑧𝑒𝑟</m:t>
                    </m:r>
                    <m:r>
                      <a:rPr lang="en-US" sz="1100" b="0" i="1">
                        <a:latin typeface="Cambria Math" panose="02040503050406030204" pitchFamily="18" charset="0"/>
                      </a:rPr>
                      <m:t> </m:t>
                    </m:r>
                    <m:r>
                      <a:rPr lang="en-US" sz="1100" b="0" i="1">
                        <a:latin typeface="Cambria Math" panose="02040503050406030204" pitchFamily="18" charset="0"/>
                      </a:rPr>
                      <m:t>𝑉𝑜𝑙𝑢𝑚𝑒</m:t>
                    </m:r>
                  </m:oMath>
                </m:oMathPara>
              </a14:m>
              <a:endParaRPr lang="en-US" sz="1100"/>
            </a:p>
          </xdr:txBody>
        </xdr:sp>
      </mc:Choice>
      <mc:Fallback xmlns="">
        <xdr:sp macro="" textlink="">
          <xdr:nvSpPr>
            <xdr:cNvPr id="21" name="TextBox 20">
              <a:extLst>
                <a:ext uri="{FF2B5EF4-FFF2-40B4-BE49-F238E27FC236}">
                  <a16:creationId xmlns:a16="http://schemas.microsoft.com/office/drawing/2014/main" id="{D1495D1C-4907-4421-A328-89AC1B9FB2B5}"/>
                </a:ext>
              </a:extLst>
            </xdr:cNvPr>
            <xdr:cNvSpPr txBox="1"/>
          </xdr:nvSpPr>
          <xdr:spPr>
            <a:xfrm>
              <a:off x="349250" y="8266112"/>
              <a:ext cx="185486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〖𝐴𝑉〗_𝐹=1.73∗𝐹𝑟𝑒𝑒𝑧𝑒𝑟 𝑉𝑜𝑙𝑢𝑚𝑒</a:t>
              </a:r>
              <a:endParaRPr lang="en-US" sz="1100"/>
            </a:p>
          </xdr:txBody>
        </xdr:sp>
      </mc:Fallback>
    </mc:AlternateContent>
    <xdr:clientData/>
  </xdr:oneCellAnchor>
  <xdr:oneCellAnchor>
    <xdr:from>
      <xdr:col>2</xdr:col>
      <xdr:colOff>9525</xdr:colOff>
      <xdr:row>37</xdr:row>
      <xdr:rowOff>19050</xdr:rowOff>
    </xdr:from>
    <xdr:ext cx="2015745" cy="184731"/>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195B1280-8C1C-420A-A4F9-016D1759CB2D}"/>
                </a:ext>
              </a:extLst>
            </xdr:cNvPr>
            <xdr:cNvSpPr txBox="1"/>
          </xdr:nvSpPr>
          <xdr:spPr>
            <a:xfrm>
              <a:off x="371475" y="9020175"/>
              <a:ext cx="201574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22" name="TextBox 21">
              <a:extLst>
                <a:ext uri="{FF2B5EF4-FFF2-40B4-BE49-F238E27FC236}">
                  <a16:creationId xmlns:a16="http://schemas.microsoft.com/office/drawing/2014/main" id="{195B1280-8C1C-420A-A4F9-016D1759CB2D}"/>
                </a:ext>
              </a:extLst>
            </xdr:cNvPr>
            <xdr:cNvSpPr txBox="1"/>
          </xdr:nvSpPr>
          <xdr:spPr>
            <a:xfrm>
              <a:off x="371475" y="9020175"/>
              <a:ext cx="201574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𝑘𝑊ℎ〗_𝑅𝑒𝑝𝑙𝑎𝑐𝑒=〖(𝐸〗_𝐵𝑎𝑠𝑒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𝐸_𝐸𝐸)∗𝑃𝐹</a:t>
              </a:r>
              <a:endParaRPr lang="en-US" sz="1100"/>
            </a:p>
          </xdr:txBody>
        </xdr:sp>
      </mc:Fallback>
    </mc:AlternateContent>
    <xdr:clientData/>
  </xdr:oneCellAnchor>
  <xdr:oneCellAnchor>
    <xdr:from>
      <xdr:col>2</xdr:col>
      <xdr:colOff>9525</xdr:colOff>
      <xdr:row>41</xdr:row>
      <xdr:rowOff>19050</xdr:rowOff>
    </xdr:from>
    <xdr:ext cx="2340769" cy="184731"/>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D3437A0-FC53-48EC-B778-56502E53732D}"/>
                </a:ext>
              </a:extLst>
            </xdr:cNvPr>
            <xdr:cNvSpPr txBox="1"/>
          </xdr:nvSpPr>
          <xdr:spPr>
            <a:xfrm>
              <a:off x="371475" y="9782175"/>
              <a:ext cx="2340769"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23" name="TextBox 22">
              <a:extLst>
                <a:ext uri="{FF2B5EF4-FFF2-40B4-BE49-F238E27FC236}">
                  <a16:creationId xmlns:a16="http://schemas.microsoft.com/office/drawing/2014/main" id="{0D3437A0-FC53-48EC-B778-56502E53732D}"/>
                </a:ext>
              </a:extLst>
            </xdr:cNvPr>
            <xdr:cNvSpPr txBox="1"/>
          </xdr:nvSpPr>
          <xdr:spPr>
            <a:xfrm>
              <a:off x="371475" y="9782175"/>
              <a:ext cx="2340769"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𝑘𝑊〗_𝑅𝑒𝑝𝑙𝑎𝑐𝑒=〖(〖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𝑘𝑊ℎ〗_𝑅𝑒𝑝𝑙𝑎𝑐𝑒〗∕〖𝐻𝑅𝑆)∗𝐶𝐹〗</a:t>
              </a:r>
              <a:endParaRPr lang="en-US" sz="1100"/>
            </a:p>
          </xdr:txBody>
        </xdr:sp>
      </mc:Fallback>
    </mc:AlternateContent>
    <xdr:clientData/>
  </xdr:oneCellAnchor>
  <xdr:oneCellAnchor>
    <xdr:from>
      <xdr:col>2</xdr:col>
      <xdr:colOff>9525</xdr:colOff>
      <xdr:row>49</xdr:row>
      <xdr:rowOff>0</xdr:rowOff>
    </xdr:from>
    <xdr:ext cx="3204852" cy="184731"/>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7A4B7996-BA92-4BFB-8130-7A43B6561AC6}"/>
                </a:ext>
              </a:extLst>
            </xdr:cNvPr>
            <xdr:cNvSpPr txBox="1"/>
          </xdr:nvSpPr>
          <xdr:spPr>
            <a:xfrm>
              <a:off x="371475" y="11287125"/>
              <a:ext cx="3204852"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24" name="TextBox 23">
              <a:extLst>
                <a:ext uri="{FF2B5EF4-FFF2-40B4-BE49-F238E27FC236}">
                  <a16:creationId xmlns:a16="http://schemas.microsoft.com/office/drawing/2014/main" id="{7A4B7996-BA92-4BFB-8130-7A43B6561AC6}"/>
                </a:ext>
              </a:extLst>
            </xdr:cNvPr>
            <xdr:cNvSpPr txBox="1"/>
          </xdr:nvSpPr>
          <xdr:spPr>
            <a:xfrm>
              <a:off x="371475" y="11287125"/>
              <a:ext cx="3204852"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𝑘𝑊ℎ〗_(𝑅𝑒𝑝𝑙𝑎𝑐𝑒+𝑇𝑢𝑟𝑛−𝑖𝑛)=〖(𝐸〗_𝐵𝑎𝑠𝑒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𝐸_𝐸𝐸+𝐸_(𝑇𝑢𝑟𝑛−𝑖𝑛))∗𝑃𝐹</a:t>
              </a:r>
              <a:endParaRPr lang="en-US" sz="1100"/>
            </a:p>
          </xdr:txBody>
        </xdr:sp>
      </mc:Fallback>
    </mc:AlternateContent>
    <xdr:clientData/>
  </xdr:oneCellAnchor>
  <xdr:oneCellAnchor>
    <xdr:from>
      <xdr:col>2</xdr:col>
      <xdr:colOff>9525</xdr:colOff>
      <xdr:row>53</xdr:row>
      <xdr:rowOff>19050</xdr:rowOff>
    </xdr:from>
    <xdr:ext cx="3356175" cy="184731"/>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88D5E160-DEF9-4458-855F-5DC4405B2497}"/>
                </a:ext>
              </a:extLst>
            </xdr:cNvPr>
            <xdr:cNvSpPr txBox="1"/>
          </xdr:nvSpPr>
          <xdr:spPr>
            <a:xfrm>
              <a:off x="371475" y="12068175"/>
              <a:ext cx="335617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25" name="TextBox 24">
              <a:extLst>
                <a:ext uri="{FF2B5EF4-FFF2-40B4-BE49-F238E27FC236}">
                  <a16:creationId xmlns:a16="http://schemas.microsoft.com/office/drawing/2014/main" id="{88D5E160-DEF9-4458-855F-5DC4405B2497}"/>
                </a:ext>
              </a:extLst>
            </xdr:cNvPr>
            <xdr:cNvSpPr txBox="1"/>
          </xdr:nvSpPr>
          <xdr:spPr>
            <a:xfrm>
              <a:off x="371475" y="12068175"/>
              <a:ext cx="335617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𝑘𝑊〗_(𝑅𝑒𝑝𝑙𝑎𝑐𝑒+𝑇𝑢𝑟𝑛−𝑖𝑛)=〖(〖</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𝑘𝑊ℎ〗_(𝑅𝑒𝑝𝑙𝑎𝑐𝑒+𝑇𝑢𝑟𝑛−𝑖𝑛)〗∕〖𝐻𝑅𝑆)∗𝐶𝐹〗</a:t>
              </a:r>
              <a:endParaRPr lang="en-US" sz="1100"/>
            </a:p>
          </xdr:txBody>
        </xdr:sp>
      </mc:Fallback>
    </mc:AlternateContent>
    <xdr:clientData/>
  </xdr:oneCellAnchor>
  <xdr:oneCellAnchor>
    <xdr:from>
      <xdr:col>2</xdr:col>
      <xdr:colOff>9525</xdr:colOff>
      <xdr:row>65</xdr:row>
      <xdr:rowOff>19050</xdr:rowOff>
    </xdr:from>
    <xdr:ext cx="3017749" cy="182935"/>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C0230B7C-A800-47E1-BBFD-D6D4437006C8}"/>
                </a:ext>
              </a:extLst>
            </xdr:cNvPr>
            <xdr:cNvSpPr txBox="1"/>
          </xdr:nvSpPr>
          <xdr:spPr>
            <a:xfrm>
              <a:off x="371475" y="14354175"/>
              <a:ext cx="3017749"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26" name="TextBox 25">
              <a:extLst>
                <a:ext uri="{FF2B5EF4-FFF2-40B4-BE49-F238E27FC236}">
                  <a16:creationId xmlns:a16="http://schemas.microsoft.com/office/drawing/2014/main" id="{C0230B7C-A800-47E1-BBFD-D6D4437006C8}"/>
                </a:ext>
              </a:extLst>
            </xdr:cNvPr>
            <xdr:cNvSpPr txBox="1"/>
          </xdr:nvSpPr>
          <xdr:spPr>
            <a:xfrm>
              <a:off x="371475" y="14354175"/>
              <a:ext cx="3017749"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𝑘𝑊〗_(𝑇𝑢𝑟𝑛−𝑖𝑛 𝑂𝑛𝑙𝑦)=〖(〖</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𝑘𝑊ℎ〗_(𝑇𝑢𝑟𝑛−𝑖𝑛 𝑂𝑛𝑙𝑦)〗∕〖𝐻𝑅𝑆)∗𝐶𝐹〗</a:t>
              </a:r>
              <a:endParaRPr lang="en-US" sz="1100"/>
            </a:p>
          </xdr:txBody>
        </xdr:sp>
      </mc:Fallback>
    </mc:AlternateContent>
    <xdr:clientData/>
  </xdr:oneCellAnchor>
  <xdr:oneCellAnchor>
    <xdr:from>
      <xdr:col>2</xdr:col>
      <xdr:colOff>53975</xdr:colOff>
      <xdr:row>45</xdr:row>
      <xdr:rowOff>19050</xdr:rowOff>
    </xdr:from>
    <xdr:ext cx="2696957" cy="184731"/>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40F53876-64C6-40F8-9A59-C55CB65339E7}"/>
                </a:ext>
              </a:extLst>
            </xdr:cNvPr>
            <xdr:cNvSpPr txBox="1"/>
          </xdr:nvSpPr>
          <xdr:spPr>
            <a:xfrm>
              <a:off x="415925" y="10544175"/>
              <a:ext cx="2696957"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𝑅𝑒𝑝𝑙𝑎𝑐𝑒</m:t>
                        </m:r>
                      </m:sub>
                    </m:sSub>
                  </m:oMath>
                </m:oMathPara>
              </a14:m>
              <a:endParaRPr lang="en-US" sz="1100"/>
            </a:p>
          </xdr:txBody>
        </xdr:sp>
      </mc:Choice>
      <mc:Fallback xmlns="">
        <xdr:sp macro="" textlink="">
          <xdr:nvSpPr>
            <xdr:cNvPr id="27" name="TextBox 26">
              <a:extLst>
                <a:ext uri="{FF2B5EF4-FFF2-40B4-BE49-F238E27FC236}">
                  <a16:creationId xmlns:a16="http://schemas.microsoft.com/office/drawing/2014/main" id="{40F53876-64C6-40F8-9A59-C55CB65339E7}"/>
                </a:ext>
              </a:extLst>
            </xdr:cNvPr>
            <xdr:cNvSpPr txBox="1"/>
          </xdr:nvSpPr>
          <xdr:spPr>
            <a:xfrm>
              <a:off x="415925" y="10544175"/>
              <a:ext cx="2696957"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𝑘𝑊ℎ〗_𝑅𝑒𝑝𝑙𝑎𝑐𝑒∗〖𝐸𝑈𝐿〗_𝑅𝑒𝑝𝑙𝑎𝑐𝑒</a:t>
              </a:r>
              <a:endParaRPr lang="en-US" sz="1100"/>
            </a:p>
          </xdr:txBody>
        </xdr:sp>
      </mc:Fallback>
    </mc:AlternateContent>
    <xdr:clientData/>
  </xdr:oneCellAnchor>
  <xdr:oneCellAnchor>
    <xdr:from>
      <xdr:col>2</xdr:col>
      <xdr:colOff>9525</xdr:colOff>
      <xdr:row>57</xdr:row>
      <xdr:rowOff>0</xdr:rowOff>
    </xdr:from>
    <xdr:ext cx="4582152" cy="185628"/>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F8A3AF1A-1832-4750-A62E-74D6C03C0E71}"/>
                </a:ext>
              </a:extLst>
            </xdr:cNvPr>
            <xdr:cNvSpPr txBox="1"/>
          </xdr:nvSpPr>
          <xdr:spPr>
            <a:xfrm>
              <a:off x="371475" y="12811125"/>
              <a:ext cx="4582152"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𝑃𝐹</m:t>
                    </m:r>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sub>
                        <m:r>
                          <a:rPr lang="en-US" sz="1100" b="0" i="1">
                            <a:solidFill>
                              <a:schemeClr val="tx1"/>
                            </a:solidFill>
                            <a:effectLst/>
                            <a:latin typeface="Cambria Math" panose="02040503050406030204" pitchFamily="18" charset="0"/>
                            <a:ea typeface="Cambria Math" panose="02040503050406030204" pitchFamily="18" charset="0"/>
                            <a:cs typeface="+mn-cs"/>
                          </a:rPr>
                          <m:t>𝑇𝑢𝑟𝑛</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𝑖𝑛</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oMath>
                </m:oMathPara>
              </a14:m>
              <a:endParaRPr lang="en-US" sz="1100"/>
            </a:p>
          </xdr:txBody>
        </xdr:sp>
      </mc:Choice>
      <mc:Fallback xmlns="">
        <xdr:sp macro="" textlink="">
          <xdr:nvSpPr>
            <xdr:cNvPr id="28" name="TextBox 27">
              <a:extLst>
                <a:ext uri="{FF2B5EF4-FFF2-40B4-BE49-F238E27FC236}">
                  <a16:creationId xmlns:a16="http://schemas.microsoft.com/office/drawing/2014/main" id="{F8A3AF1A-1832-4750-A62E-74D6C03C0E71}"/>
                </a:ext>
              </a:extLst>
            </xdr:cNvPr>
            <xdr:cNvSpPr txBox="1"/>
          </xdr:nvSpPr>
          <xdr:spPr>
            <a:xfrm>
              <a:off x="371475" y="12811125"/>
              <a:ext cx="4582152"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 𝐿𝑖𝑓𝑒)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𝐸_(𝑇𝑢𝑟𝑛−𝑖𝑛)</a:t>
              </a:r>
              <a:r>
                <a:rPr lang="en-US" sz="1100" b="0" i="0">
                  <a:solidFill>
                    <a:schemeClr val="tx1"/>
                  </a:solidFill>
                  <a:effectLst/>
                  <a:latin typeface="Cambria Math" panose="02040503050406030204" pitchFamily="18" charset="0"/>
                  <a:ea typeface="Cambria Math" panose="02040503050406030204" pitchFamily="18" charset="0"/>
                  <a:cs typeface="+mn-cs"/>
                </a:rPr>
                <a:t>∗𝑃𝐹∗〖𝑅𝑈𝐿〗_(𝑇𝑢𝑟𝑛−𝑖𝑛))</a:t>
              </a:r>
              <a:endParaRPr lang="en-US" sz="1100"/>
            </a:p>
          </xdr:txBody>
        </xdr:sp>
      </mc:Fallback>
    </mc:AlternateContent>
    <xdr:clientData/>
  </xdr:oneCellAnchor>
  <xdr:oneCellAnchor>
    <xdr:from>
      <xdr:col>2</xdr:col>
      <xdr:colOff>9525</xdr:colOff>
      <xdr:row>68</xdr:row>
      <xdr:rowOff>120651</xdr:rowOff>
    </xdr:from>
    <xdr:ext cx="3050258" cy="251726"/>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D1C7EE1B-3013-4E58-96EA-5A9891A83ACC}"/>
                </a:ext>
              </a:extLst>
            </xdr:cNvPr>
            <xdr:cNvSpPr txBox="1"/>
          </xdr:nvSpPr>
          <xdr:spPr>
            <a:xfrm>
              <a:off x="371475" y="15027276"/>
              <a:ext cx="3050258" cy="2517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sub>
                        <m:r>
                          <a:rPr lang="en-US" sz="1100" b="0" i="1">
                            <a:solidFill>
                              <a:schemeClr val="tx1"/>
                            </a:solidFill>
                            <a:effectLst/>
                            <a:latin typeface="Cambria Math" panose="02040503050406030204" pitchFamily="18" charset="0"/>
                            <a:ea typeface="Cambria Math" panose="02040503050406030204" pitchFamily="18" charset="0"/>
                            <a:cs typeface="+mn-cs"/>
                          </a:rPr>
                          <m:t>𝑇𝑢𝑟𝑛</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𝑖𝑛</m:t>
                        </m:r>
                      </m:sub>
                    </m:sSub>
                  </m:oMath>
                </m:oMathPara>
              </a14:m>
              <a:endParaRPr lang="en-US" sz="1100"/>
            </a:p>
          </xdr:txBody>
        </xdr:sp>
      </mc:Choice>
      <mc:Fallback xmlns="">
        <xdr:sp macro="" textlink="">
          <xdr:nvSpPr>
            <xdr:cNvPr id="29" name="TextBox 28">
              <a:extLst>
                <a:ext uri="{FF2B5EF4-FFF2-40B4-BE49-F238E27FC236}">
                  <a16:creationId xmlns:a16="http://schemas.microsoft.com/office/drawing/2014/main" id="{D1C7EE1B-3013-4E58-96EA-5A9891A83ACC}"/>
                </a:ext>
              </a:extLst>
            </xdr:cNvPr>
            <xdr:cNvSpPr txBox="1"/>
          </xdr:nvSpPr>
          <xdr:spPr>
            <a:xfrm>
              <a:off x="371475" y="15027276"/>
              <a:ext cx="3050258" cy="2517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𝑘𝑊ℎ〗_(𝑇𝑢𝑟𝑛−𝑖𝑛,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𝑘𝑊〗_(𝑇𝑢𝑟𝑛−𝑖𝑛 𝑂𝑛𝑙𝑦)</a:t>
              </a:r>
              <a:r>
                <a:rPr lang="en-US" sz="1100" b="0" i="0">
                  <a:solidFill>
                    <a:schemeClr val="tx1"/>
                  </a:solidFill>
                  <a:effectLst/>
                  <a:latin typeface="Cambria Math" panose="02040503050406030204" pitchFamily="18" charset="0"/>
                  <a:ea typeface="Cambria Math" panose="02040503050406030204" pitchFamily="18" charset="0"/>
                  <a:cs typeface="+mn-cs"/>
                </a:rPr>
                <a:t>∗〖𝑅𝑈𝐿〗_(𝑇𝑢𝑟𝑛−𝑖𝑛)</a:t>
              </a:r>
              <a:endParaRPr lang="en-US" sz="1100"/>
            </a:p>
          </xdr:txBody>
        </xdr:sp>
      </mc:Fallback>
    </mc:AlternateContent>
    <xdr:clientData/>
  </xdr:oneCellAnchor>
  <xdr:oneCellAnchor>
    <xdr:from>
      <xdr:col>2</xdr:col>
      <xdr:colOff>0</xdr:colOff>
      <xdr:row>61</xdr:row>
      <xdr:rowOff>0</xdr:rowOff>
    </xdr:from>
    <xdr:ext cx="2093778" cy="182935"/>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F3EB33CD-4A17-48D4-A2E3-34A5EB2E39AB}"/>
                </a:ext>
              </a:extLst>
            </xdr:cNvPr>
            <xdr:cNvSpPr txBox="1"/>
          </xdr:nvSpPr>
          <xdr:spPr>
            <a:xfrm>
              <a:off x="361950" y="13573125"/>
              <a:ext cx="2093778"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𝑇𝑢𝑟𝑛</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𝑖𝑛</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𝑂𝑛𝑙𝑦</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m:t>
                        </m:r>
                      </m:e>
                      <m:sub>
                        <m:r>
                          <a:rPr lang="en-US" sz="1100" b="0" i="1">
                            <a:solidFill>
                              <a:sysClr val="windowText" lastClr="000000"/>
                            </a:solidFill>
                            <a:effectLst/>
                            <a:latin typeface="Cambria Math" panose="02040503050406030204" pitchFamily="18" charset="0"/>
                            <a:ea typeface="+mn-ea"/>
                            <a:cs typeface="+mn-cs"/>
                          </a:rPr>
                          <m:t>𝑇𝑢𝑟𝑛</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𝑖𝑛</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0" name="TextBox 29">
              <a:extLst>
                <a:ext uri="{FF2B5EF4-FFF2-40B4-BE49-F238E27FC236}">
                  <a16:creationId xmlns:a16="http://schemas.microsoft.com/office/drawing/2014/main" id="{F3EB33CD-4A17-48D4-A2E3-34A5EB2E39AB}"/>
                </a:ext>
              </a:extLst>
            </xdr:cNvPr>
            <xdr:cNvSpPr txBox="1"/>
          </xdr:nvSpPr>
          <xdr:spPr>
            <a:xfrm>
              <a:off x="361950" y="13573125"/>
              <a:ext cx="2093778"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𝑘𝑊ℎ〗_(𝑇𝑢𝑟𝑛−𝑖𝑛 𝑂𝑛𝑙𝑦)=𝐸_(𝑇𝑢𝑟𝑛−𝑖𝑛)∗𝑃𝐹</a:t>
              </a:r>
              <a:endParaRPr lang="en-US" sz="1100">
                <a:solidFill>
                  <a:sysClr val="windowText" lastClr="000000"/>
                </a:solidFill>
              </a:endParaRPr>
            </a:p>
          </xdr:txBody>
        </xdr:sp>
      </mc:Fallback>
    </mc:AlternateContent>
    <xdr:clientData/>
  </xdr:oneCellAnchor>
</xdr:wsDr>
</file>

<file path=xl/drawings/drawing43.xml><?xml version="1.0" encoding="utf-8"?>
<xdr:wsDr xmlns:xdr="http://schemas.openxmlformats.org/drawingml/2006/spreadsheetDrawing" xmlns:a="http://schemas.openxmlformats.org/drawingml/2006/main">
  <xdr:oneCellAnchor>
    <xdr:from>
      <xdr:col>2</xdr:col>
      <xdr:colOff>12181</xdr:colOff>
      <xdr:row>27</xdr:row>
      <xdr:rowOff>174508</xdr:rowOff>
    </xdr:from>
    <xdr:ext cx="4781550" cy="55574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BA96B9B0-DC6C-4CC4-95B4-DD5CA5B485D5}"/>
                </a:ext>
              </a:extLst>
            </xdr:cNvPr>
            <xdr:cNvSpPr txBox="1"/>
          </xdr:nvSpPr>
          <xdr:spPr>
            <a:xfrm>
              <a:off x="374131" y="6699133"/>
              <a:ext cx="4781550" cy="5557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𝑘𝑊h</m:t>
                            </m:r>
                            <m:r>
                              <a:rPr lang="en-US" sz="1100" b="0" i="1" baseline="-25000">
                                <a:latin typeface="Cambria Math" panose="02040503050406030204" pitchFamily="18" charset="0"/>
                                <a:ea typeface="Cambria Math" panose="02040503050406030204" pitchFamily="18" charset="0"/>
                              </a:rPr>
                              <m:t>𝑒𝑒</m:t>
                            </m:r>
                            <m:r>
                              <a:rPr lang="en-US" sz="1100" b="0" i="1">
                                <a:latin typeface="Cambria Math" panose="02040503050406030204" pitchFamily="18" charset="0"/>
                                <a:ea typeface="Cambria Math" panose="02040503050406030204" pitchFamily="18" charset="0"/>
                              </a:rPr>
                              <m:t> ∗ </m:t>
                            </m:r>
                            <m:r>
                              <m:rPr>
                                <m:sty m:val="p"/>
                              </m:rPr>
                              <a:rPr lang="el-GR" sz="1100" b="0" i="1">
                                <a:latin typeface="Cambria Math" panose="02040503050406030204" pitchFamily="18" charset="0"/>
                                <a:ea typeface="Cambria Math" panose="02040503050406030204" pitchFamily="18" charset="0"/>
                              </a:rPr>
                              <m:t>η</m:t>
                            </m:r>
                            <m:r>
                              <a:rPr lang="en-US" sz="1100" b="0" i="1" baseline="-25000">
                                <a:latin typeface="Cambria Math" panose="02040503050406030204" pitchFamily="18" charset="0"/>
                                <a:ea typeface="Cambria Math" panose="02040503050406030204" pitchFamily="18" charset="0"/>
                              </a:rPr>
                              <m:t>𝑒𝑒</m:t>
                            </m:r>
                          </m:e>
                        </m:d>
                      </m:num>
                      <m:den>
                        <m:r>
                          <m:rPr>
                            <m:sty m:val="p"/>
                          </m:rPr>
                          <a:rPr lang="el-GR" sz="1100" b="0" i="1">
                            <a:solidFill>
                              <a:schemeClr val="tx1"/>
                            </a:solidFill>
                            <a:effectLst/>
                            <a:latin typeface="Cambria Math" panose="02040503050406030204" pitchFamily="18" charset="0"/>
                            <a:ea typeface="+mn-ea"/>
                            <a:cs typeface="+mn-cs"/>
                          </a:rPr>
                          <m:t>η</m:t>
                        </m:r>
                        <m:r>
                          <a:rPr lang="en-US" sz="1100" b="0" i="1" baseline="-25000">
                            <a:solidFill>
                              <a:schemeClr val="tx1"/>
                            </a:solidFill>
                            <a:effectLst/>
                            <a:latin typeface="Cambria Math" panose="02040503050406030204" pitchFamily="18" charset="0"/>
                            <a:ea typeface="+mn-ea"/>
                            <a:cs typeface="+mn-cs"/>
                          </a:rPr>
                          <m:t>𝑏𝑎𝑠𝑒</m:t>
                        </m:r>
                      </m:den>
                    </m:f>
                  </m:oMath>
                </m:oMathPara>
              </a14:m>
              <a:endParaRPr lang="en-US" sz="1100"/>
            </a:p>
          </xdr:txBody>
        </xdr:sp>
      </mc:Choice>
      <mc:Fallback xmlns="">
        <xdr:sp macro="" textlink="">
          <xdr:nvSpPr>
            <xdr:cNvPr id="2" name="TextBox 1">
              <a:extLst>
                <a:ext uri="{FF2B5EF4-FFF2-40B4-BE49-F238E27FC236}">
                  <a16:creationId xmlns:a16="http://schemas.microsoft.com/office/drawing/2014/main" id="{BA96B9B0-DC6C-4CC4-95B4-DD5CA5B485D5}"/>
                </a:ext>
              </a:extLst>
            </xdr:cNvPr>
            <xdr:cNvSpPr txBox="1"/>
          </xdr:nvSpPr>
          <xdr:spPr>
            <a:xfrm>
              <a:off x="374131" y="6699133"/>
              <a:ext cx="4781550" cy="5557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〖𝑘𝑊ℎ〗_𝑏𝑎𝑠𝑒=((𝑘𝑊ℎ</a:t>
              </a:r>
              <a:r>
                <a:rPr lang="en-US" sz="1100" b="0" i="0" baseline="-25000">
                  <a:latin typeface="Cambria Math" panose="02040503050406030204" pitchFamily="18" charset="0"/>
                  <a:ea typeface="Cambria Math" panose="02040503050406030204" pitchFamily="18" charset="0"/>
                </a:rPr>
                <a:t>𝑒𝑒</a:t>
              </a:r>
              <a:r>
                <a:rPr lang="en-US" sz="1100" b="0" i="0">
                  <a:latin typeface="Cambria Math" panose="02040503050406030204" pitchFamily="18" charset="0"/>
                  <a:ea typeface="Cambria Math" panose="02040503050406030204" pitchFamily="18" charset="0"/>
                </a:rPr>
                <a:t> ∗ </a:t>
              </a:r>
              <a:r>
                <a:rPr lang="el-GR" sz="1100" b="0" i="0">
                  <a:latin typeface="Cambria Math" panose="02040503050406030204" pitchFamily="18" charset="0"/>
                  <a:ea typeface="Cambria Math" panose="02040503050406030204" pitchFamily="18" charset="0"/>
                </a:rPr>
                <a:t>η</a:t>
              </a:r>
              <a:r>
                <a:rPr lang="en-US" sz="1100" b="0" i="0" baseline="-25000">
                  <a:latin typeface="Cambria Math" panose="02040503050406030204" pitchFamily="18" charset="0"/>
                  <a:ea typeface="Cambria Math" panose="02040503050406030204" pitchFamily="18" charset="0"/>
                </a:rPr>
                <a:t>𝑒𝑒))/</a:t>
              </a:r>
              <a:r>
                <a:rPr lang="el-GR" sz="1100" b="0" i="0">
                  <a:solidFill>
                    <a:schemeClr val="tx1"/>
                  </a:solidFill>
                  <a:effectLst/>
                  <a:latin typeface="Cambria Math" panose="02040503050406030204" pitchFamily="18" charset="0"/>
                  <a:ea typeface="+mn-ea"/>
                  <a:cs typeface="+mn-cs"/>
                </a:rPr>
                <a:t>η</a:t>
              </a:r>
              <a:r>
                <a:rPr lang="en-US" sz="1100" b="0" i="0" baseline="-25000">
                  <a:solidFill>
                    <a:schemeClr val="tx1"/>
                  </a:solidFill>
                  <a:effectLst/>
                  <a:latin typeface="Cambria Math" panose="02040503050406030204" pitchFamily="18" charset="0"/>
                  <a:ea typeface="+mn-ea"/>
                  <a:cs typeface="+mn-cs"/>
                </a:rPr>
                <a:t>𝑏𝑎𝑠𝑒</a:t>
              </a:r>
              <a:endParaRPr lang="en-US" sz="1100"/>
            </a:p>
          </xdr:txBody>
        </xdr:sp>
      </mc:Fallback>
    </mc:AlternateContent>
    <xdr:clientData/>
  </xdr:oneCellAnchor>
  <xdr:oneCellAnchor>
    <xdr:from>
      <xdr:col>2</xdr:col>
      <xdr:colOff>8601</xdr:colOff>
      <xdr:row>37</xdr:row>
      <xdr:rowOff>11776</xdr:rowOff>
    </xdr:from>
    <xdr:ext cx="1308100" cy="32028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BE2EBF6D-726E-4A82-83D5-598CEA690955}"/>
                </a:ext>
              </a:extLst>
            </xdr:cNvPr>
            <xdr:cNvSpPr txBox="1"/>
          </xdr:nvSpPr>
          <xdr:spPr>
            <a:xfrm>
              <a:off x="370551" y="8441401"/>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BE2EBF6D-726E-4A82-83D5-598CEA690955}"/>
                </a:ext>
              </a:extLst>
            </xdr:cNvPr>
            <xdr:cNvSpPr txBox="1"/>
          </xdr:nvSpPr>
          <xdr:spPr>
            <a:xfrm>
              <a:off x="370551" y="8441401"/>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38042</xdr:colOff>
      <xdr:row>42</xdr:row>
      <xdr:rowOff>7793</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467A85C5-6621-4289-8CA5-778C1CD6E052}"/>
                </a:ext>
              </a:extLst>
            </xdr:cNvPr>
            <xdr:cNvSpPr txBox="1"/>
          </xdr:nvSpPr>
          <xdr:spPr>
            <a:xfrm>
              <a:off x="399992" y="9389918"/>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𝑒𝑒</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467A85C5-6621-4289-8CA5-778C1CD6E052}"/>
                </a:ext>
              </a:extLst>
            </xdr:cNvPr>
            <xdr:cNvSpPr txBox="1"/>
          </xdr:nvSpPr>
          <xdr:spPr>
            <a:xfrm>
              <a:off x="399992" y="9389918"/>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𝑘𝑊ℎ∗〖𝐸𝑈𝐿〗_𝑒𝑒</a:t>
              </a:r>
              <a:endParaRPr lang="en-US" sz="1100"/>
            </a:p>
          </xdr:txBody>
        </xdr:sp>
      </mc:Fallback>
    </mc:AlternateContent>
    <xdr:clientData/>
  </xdr:oneCellAnchor>
  <xdr:oneCellAnchor>
    <xdr:from>
      <xdr:col>2</xdr:col>
      <xdr:colOff>37638</xdr:colOff>
      <xdr:row>32</xdr:row>
      <xdr:rowOff>224732</xdr:rowOff>
    </xdr:from>
    <xdr:ext cx="3848101" cy="20955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5F8E1ED-BEDB-41BE-AF73-E0AE45BA637B}"/>
                </a:ext>
              </a:extLst>
            </xdr:cNvPr>
            <xdr:cNvSpPr txBox="1"/>
          </xdr:nvSpPr>
          <xdr:spPr>
            <a:xfrm>
              <a:off x="399588" y="7663757"/>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𝑒𝑒</m:t>
                            </m:r>
                          </m:sub>
                        </m:sSub>
                      </m:e>
                    </m:d>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5" name="TextBox 4">
              <a:extLst>
                <a:ext uri="{FF2B5EF4-FFF2-40B4-BE49-F238E27FC236}">
                  <a16:creationId xmlns:a16="http://schemas.microsoft.com/office/drawing/2014/main" id="{15F8E1ED-BEDB-41BE-AF73-E0AE45BA637B}"/>
                </a:ext>
              </a:extLst>
            </xdr:cNvPr>
            <xdr:cNvSpPr txBox="1"/>
          </xdr:nvSpPr>
          <xdr:spPr>
            <a:xfrm>
              <a:off x="399588" y="7663757"/>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〖𝑘𝑊ℎ〗_𝑏𝑎𝑠𝑒−〖𝑘𝑊ℎ〗_𝑒𝑒 )</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44.xml><?xml version="1.0" encoding="utf-8"?>
<xdr:wsDr xmlns:xdr="http://schemas.openxmlformats.org/drawingml/2006/spreadsheetDrawing" xmlns:a="http://schemas.openxmlformats.org/drawingml/2006/main">
  <xdr:oneCellAnchor>
    <xdr:from>
      <xdr:col>2</xdr:col>
      <xdr:colOff>15875</xdr:colOff>
      <xdr:row>33</xdr:row>
      <xdr:rowOff>65087</xdr:rowOff>
    </xdr:from>
    <xdr:ext cx="2085186" cy="45448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65397CB-9368-46BC-A051-53F7EF29D0AF}"/>
                </a:ext>
              </a:extLst>
            </xdr:cNvPr>
            <xdr:cNvSpPr txBox="1"/>
          </xdr:nvSpPr>
          <xdr:spPr>
            <a:xfrm>
              <a:off x="377825" y="11790362"/>
              <a:ext cx="2085186" cy="4544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𝐻𝑉𝐴𝐶</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𝑁𝑆𝐴</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𝑆𝐴𝐹</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num>
                      <m:den>
                        <m:r>
                          <a:rPr lang="en-US" sz="1100" b="0" i="1">
                            <a:solidFill>
                              <a:schemeClr val="tx1"/>
                            </a:solidFill>
                            <a:effectLst/>
                            <a:latin typeface="Cambria Math" panose="02040503050406030204" pitchFamily="18" charset="0"/>
                            <a:ea typeface="+mn-ea"/>
                            <a:cs typeface="+mn-cs"/>
                          </a:rPr>
                          <m:t>1000</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𝑊</m:t>
                            </m:r>
                          </m:num>
                          <m:den>
                            <m:r>
                              <a:rPr lang="en-US" sz="1100" b="0" i="1">
                                <a:solidFill>
                                  <a:schemeClr val="tx1"/>
                                </a:solidFill>
                                <a:effectLst/>
                                <a:latin typeface="Cambria Math" panose="02040503050406030204" pitchFamily="18" charset="0"/>
                                <a:ea typeface="+mn-ea"/>
                                <a:cs typeface="+mn-cs"/>
                              </a:rPr>
                              <m:t>𝑘𝑊</m:t>
                            </m:r>
                          </m:den>
                        </m:f>
                      </m:den>
                    </m:f>
                  </m:oMath>
                </m:oMathPara>
              </a14:m>
              <a:endParaRPr lang="en-US" sz="1100"/>
            </a:p>
          </xdr:txBody>
        </xdr:sp>
      </mc:Choice>
      <mc:Fallback xmlns="">
        <xdr:sp macro="" textlink="">
          <xdr:nvSpPr>
            <xdr:cNvPr id="2" name="TextBox 1">
              <a:extLst>
                <a:ext uri="{FF2B5EF4-FFF2-40B4-BE49-F238E27FC236}">
                  <a16:creationId xmlns:a16="http://schemas.microsoft.com/office/drawing/2014/main" id="{565397CB-9368-46BC-A051-53F7EF29D0AF}"/>
                </a:ext>
              </a:extLst>
            </xdr:cNvPr>
            <xdr:cNvSpPr txBox="1"/>
          </xdr:nvSpPr>
          <xdr:spPr>
            <a:xfrm>
              <a:off x="377825" y="11790362"/>
              <a:ext cx="2085186" cy="4544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∆𝑊_𝐻𝑉𝐴𝐶∗𝑁𝑆𝐴∗𝑆𝐴𝐹∗𝐶𝐹</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1000 𝑊/𝑘𝑊</a:t>
              </a:r>
              <a:r>
                <a:rPr lang="en-US" sz="1100" b="0" i="0">
                  <a:solidFill>
                    <a:schemeClr val="tx1"/>
                  </a:solidFill>
                  <a:effectLst/>
                  <a:latin typeface="Cambria Math" panose="02040503050406030204" pitchFamily="18" charset="0"/>
                  <a:ea typeface="Cambria Math" panose="02040503050406030204" pitchFamily="18" charset="0"/>
                  <a:cs typeface="+mn-cs"/>
                </a:rPr>
                <a:t>)</a:t>
              </a:r>
              <a:endParaRPr lang="en-US" sz="1100"/>
            </a:p>
          </xdr:txBody>
        </xdr:sp>
      </mc:Fallback>
    </mc:AlternateContent>
    <xdr:clientData/>
  </xdr:oneCellAnchor>
  <xdr:oneCellAnchor>
    <xdr:from>
      <xdr:col>2</xdr:col>
      <xdr:colOff>38100</xdr:colOff>
      <xdr:row>39</xdr:row>
      <xdr:rowOff>19050</xdr:rowOff>
    </xdr:from>
    <xdr:ext cx="2835584"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395A873-ACDC-4EF9-9D12-D753729629CC}"/>
                </a:ext>
              </a:extLst>
            </xdr:cNvPr>
            <xdr:cNvSpPr txBox="1"/>
          </xdr:nvSpPr>
          <xdr:spPr>
            <a:xfrm>
              <a:off x="400050" y="12887325"/>
              <a:ext cx="2835584"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𝑊h</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𝑊h</m:t>
                            </m:r>
                          </m:e>
                          <m:sub>
                            <m:r>
                              <a:rPr lang="en-US" sz="1100" b="0" i="1">
                                <a:solidFill>
                                  <a:schemeClr val="tx1"/>
                                </a:solidFill>
                                <a:effectLst/>
                                <a:latin typeface="Cambria Math" panose="02040503050406030204" pitchFamily="18" charset="0"/>
                                <a:ea typeface="+mn-ea"/>
                                <a:cs typeface="+mn-cs"/>
                              </a:rPr>
                              <m:t>𝐹𝑎𝑛</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𝑁𝑆𝐴</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𝑆𝐴𝐹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0395A873-ACDC-4EF9-9D12-D753729629CC}"/>
                </a:ext>
              </a:extLst>
            </xdr:cNvPr>
            <xdr:cNvSpPr txBox="1"/>
          </xdr:nvSpPr>
          <xdr:spPr>
            <a:xfrm>
              <a:off x="400050" y="12887325"/>
              <a:ext cx="2835584"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mn-ea"/>
                  <a:cs typeface="+mn-cs"/>
                </a:rPr>
                <a:t>∆𝑘〖𝑊ℎ〗_𝐶𝑜𝑜𝑙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∆𝑘〖𝑊ℎ〗_𝐹𝑎𝑛 )∗𝑁𝑆𝐴∗𝑆𝐴𝐹</a:t>
              </a:r>
              <a:endParaRPr lang="en-US" sz="1100"/>
            </a:p>
          </xdr:txBody>
        </xdr:sp>
      </mc:Fallback>
    </mc:AlternateContent>
    <xdr:clientData/>
  </xdr:oneCellAnchor>
  <xdr:oneCellAnchor>
    <xdr:from>
      <xdr:col>2</xdr:col>
      <xdr:colOff>25400</xdr:colOff>
      <xdr:row>43</xdr:row>
      <xdr:rowOff>6350</xdr:rowOff>
    </xdr:from>
    <xdr:ext cx="1968552"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4482459-219C-4391-A5A4-70B2564808C0}"/>
                </a:ext>
              </a:extLst>
            </xdr:cNvPr>
            <xdr:cNvSpPr txBox="1"/>
          </xdr:nvSpPr>
          <xdr:spPr>
            <a:xfrm>
              <a:off x="387350" y="13636625"/>
              <a:ext cx="1968552"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𝑙𝑖𝑓𝑒</m:t>
                        </m:r>
                      </m:sub>
                    </m:sSub>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B4482459-219C-4391-A5A4-70B2564808C0}"/>
                </a:ext>
              </a:extLst>
            </xdr:cNvPr>
            <xdr:cNvSpPr txBox="1"/>
          </xdr:nvSpPr>
          <xdr:spPr>
            <a:xfrm>
              <a:off x="387350" y="13636625"/>
              <a:ext cx="1968552"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𝑙𝑖𝑓𝑒=</a:t>
              </a:r>
              <a:r>
                <a:rPr lang="en-US" sz="1100" b="0" i="0">
                  <a:solidFill>
                    <a:schemeClr val="tx1"/>
                  </a:solidFill>
                  <a:effectLst/>
                  <a:latin typeface="Cambria Math" panose="02040503050406030204" pitchFamily="18" charset="0"/>
                  <a:ea typeface="+mn-ea"/>
                  <a:cs typeface="+mn-cs"/>
                </a:rPr>
                <a:t>∆𝑘𝑊ℎ∗𝑃𝐹∗〖𝐸𝑈𝐿〗_𝐸𝐸</a:t>
              </a:r>
              <a:endParaRPr lang="en-US" sz="1100"/>
            </a:p>
          </xdr:txBody>
        </xdr:sp>
      </mc:Fallback>
    </mc:AlternateContent>
    <xdr:clientData/>
  </xdr:oneCellAnchor>
</xdr:wsDr>
</file>

<file path=xl/drawings/drawing45.xml><?xml version="1.0" encoding="utf-8"?>
<xdr:wsDr xmlns:xdr="http://schemas.openxmlformats.org/drawingml/2006/spreadsheetDrawing" xmlns:a="http://schemas.openxmlformats.org/drawingml/2006/main">
  <xdr:oneCellAnchor>
    <xdr:from>
      <xdr:col>2</xdr:col>
      <xdr:colOff>28575</xdr:colOff>
      <xdr:row>27</xdr:row>
      <xdr:rowOff>86994</xdr:rowOff>
    </xdr:from>
    <xdr:ext cx="5133976" cy="87503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C827848-FBDE-4427-B48D-5389CD473AFB}"/>
                </a:ext>
              </a:extLst>
            </xdr:cNvPr>
            <xdr:cNvSpPr txBox="1"/>
          </xdr:nvSpPr>
          <xdr:spPr>
            <a:xfrm>
              <a:off x="447675" y="5459094"/>
              <a:ext cx="5133976" cy="8750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𝑂</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𝑛</m:t>
                            </m:r>
                          </m:e>
                          <m:sub>
                            <m:r>
                              <a:rPr lang="en-US" sz="1100" b="0" i="1">
                                <a:solidFill>
                                  <a:sysClr val="windowText" lastClr="000000"/>
                                </a:solidFill>
                                <a:latin typeface="Cambria Math" panose="02040503050406030204" pitchFamily="18" charset="0"/>
                                <a:ea typeface="Cambria Math" panose="02040503050406030204" pitchFamily="18" charset="0"/>
                              </a:rPr>
                              <m:t>𝑀𝑜𝑑</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𝑒</m:t>
                                </m:r>
                              </m:e>
                              <m:sub>
                                <m:r>
                                  <a:rPr lang="en-US" sz="1100" b="0" i="1">
                                    <a:solidFill>
                                      <a:sysClr val="windowText" lastClr="000000"/>
                                    </a:solidFill>
                                    <a:latin typeface="Cambria Math" panose="02040503050406030204" pitchFamily="18" charset="0"/>
                                    <a:ea typeface="Cambria Math" panose="02040503050406030204" pitchFamily="18" charset="0"/>
                                  </a:rPr>
                                  <m:t>𝑊𝑎𝑡𝑡</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𝑠</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sub>
                            </m:sSub>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𝑂</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𝑛</m:t>
                            </m:r>
                          </m:e>
                          <m:sub>
                            <m:r>
                              <a:rPr lang="en-US" sz="1100" b="0" i="1">
                                <a:solidFill>
                                  <a:sysClr val="windowText" lastClr="000000"/>
                                </a:solidFill>
                                <a:latin typeface="Cambria Math" panose="02040503050406030204" pitchFamily="18" charset="0"/>
                                <a:ea typeface="Cambria Math" panose="02040503050406030204" pitchFamily="18" charset="0"/>
                              </a:rPr>
                              <m:t>𝑀𝑜𝑑</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𝑒</m:t>
                                </m:r>
                              </m:e>
                              <m:sub>
                                <m:r>
                                  <a:rPr lang="en-US" sz="1100" b="0" i="1">
                                    <a:solidFill>
                                      <a:sysClr val="windowText" lastClr="000000"/>
                                    </a:solidFill>
                                    <a:latin typeface="Cambria Math" panose="02040503050406030204" pitchFamily="18" charset="0"/>
                                    <a:ea typeface="Cambria Math" panose="02040503050406030204" pitchFamily="18" charset="0"/>
                                  </a:rPr>
                                  <m:t>𝑊𝑎𝑡𝑡</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𝑠</m:t>
                                    </m:r>
                                  </m:e>
                                  <m:sub>
                                    <m:r>
                                      <a:rPr lang="en-US" sz="1100" b="0" i="1">
                                        <a:solidFill>
                                          <a:sysClr val="windowText" lastClr="000000"/>
                                        </a:solidFill>
                                        <a:latin typeface="Cambria Math" panose="02040503050406030204" pitchFamily="18" charset="0"/>
                                        <a:ea typeface="Cambria Math" panose="02040503050406030204" pitchFamily="18" charset="0"/>
                                      </a:rPr>
                                      <m:t>𝑒𝑒</m:t>
                                    </m:r>
                                  </m:sub>
                                </m:sSub>
                              </m:sub>
                            </m:sSub>
                          </m:sub>
                        </m:sSub>
                      </m:num>
                      <m:den>
                        <m:r>
                          <a:rPr lang="en-US" sz="1100" b="0" i="1">
                            <a:solidFill>
                              <a:sysClr val="windowText" lastClr="000000"/>
                            </a:solidFill>
                            <a:latin typeface="Cambria Math" panose="02040503050406030204" pitchFamily="18" charset="0"/>
                            <a:ea typeface="Cambria Math" panose="02040503050406030204" pitchFamily="18" charset="0"/>
                          </a:rPr>
                          <m:t>1000</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𝑆</m:t>
                        </m:r>
                      </m:e>
                      <m:sub>
                        <m:r>
                          <a:rPr lang="en-US" sz="1100" b="0" i="1">
                            <a:solidFill>
                              <a:sysClr val="windowText" lastClr="000000"/>
                            </a:solidFill>
                            <a:latin typeface="Cambria Math" panose="02040503050406030204" pitchFamily="18" charset="0"/>
                            <a:ea typeface="Cambria Math" panose="02040503050406030204" pitchFamily="18" charset="0"/>
                          </a:rPr>
                          <m:t>𝐴𝑐𝑡𝑖𝑣𝑒</m:t>
                        </m:r>
                      </m:sub>
                    </m:sSub>
                    <m:r>
                      <a:rPr lang="en-US" sz="1100" b="0" i="1">
                        <a:solidFill>
                          <a:sysClr val="windowText" lastClr="000000"/>
                        </a:solidFill>
                        <a:latin typeface="Cambria Math" panose="02040503050406030204" pitchFamily="18" charset="0"/>
                        <a:ea typeface="Cambria Math" panose="02040503050406030204" pitchFamily="18" charset="0"/>
                      </a:rPr>
                      <m:t>∗365+</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𝑆𝑡𝑎𝑛𝑑𝑏</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𝑦</m:t>
                            </m:r>
                          </m:e>
                          <m:sub>
                            <m:r>
                              <a:rPr lang="en-US" sz="1100" b="0" i="1">
                                <a:solidFill>
                                  <a:sysClr val="windowText" lastClr="000000"/>
                                </a:solidFill>
                                <a:latin typeface="Cambria Math" panose="02040503050406030204" pitchFamily="18" charset="0"/>
                                <a:ea typeface="Cambria Math" panose="02040503050406030204" pitchFamily="18" charset="0"/>
                              </a:rPr>
                              <m:t>𝑀𝑜𝑑</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𝑒</m:t>
                                </m:r>
                              </m:e>
                              <m:sub>
                                <m:r>
                                  <a:rPr lang="en-US" sz="1100" b="0" i="1">
                                    <a:solidFill>
                                      <a:sysClr val="windowText" lastClr="000000"/>
                                    </a:solidFill>
                                    <a:latin typeface="Cambria Math" panose="02040503050406030204" pitchFamily="18" charset="0"/>
                                    <a:ea typeface="Cambria Math" panose="02040503050406030204" pitchFamily="18" charset="0"/>
                                  </a:rPr>
                                  <m:t>𝑊𝑎𝑡𝑡</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𝑠</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sub>
                            </m:sSub>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𝑆𝑡𝑎𝑛𝑑𝑏</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𝑦</m:t>
                            </m:r>
                          </m:e>
                          <m:sub>
                            <m:r>
                              <a:rPr lang="en-US" sz="1100" b="0" i="1">
                                <a:solidFill>
                                  <a:sysClr val="windowText" lastClr="000000"/>
                                </a:solidFill>
                                <a:latin typeface="Cambria Math" panose="02040503050406030204" pitchFamily="18" charset="0"/>
                                <a:ea typeface="Cambria Math" panose="02040503050406030204" pitchFamily="18" charset="0"/>
                              </a:rPr>
                              <m:t>𝑀𝑜𝑑</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𝑒</m:t>
                                </m:r>
                              </m:e>
                              <m:sub>
                                <m:r>
                                  <a:rPr lang="en-US" sz="1100" b="0" i="1">
                                    <a:solidFill>
                                      <a:sysClr val="windowText" lastClr="000000"/>
                                    </a:solidFill>
                                    <a:latin typeface="Cambria Math" panose="02040503050406030204" pitchFamily="18" charset="0"/>
                                    <a:ea typeface="Cambria Math" panose="02040503050406030204" pitchFamily="18" charset="0"/>
                                  </a:rPr>
                                  <m:t>𝑊𝑎𝑡𝑡</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𝑠</m:t>
                                    </m:r>
                                  </m:e>
                                  <m:sub>
                                    <m:r>
                                      <a:rPr lang="en-US" sz="1100" b="0" i="1">
                                        <a:solidFill>
                                          <a:sysClr val="windowText" lastClr="000000"/>
                                        </a:solidFill>
                                        <a:latin typeface="Cambria Math" panose="02040503050406030204" pitchFamily="18" charset="0"/>
                                        <a:ea typeface="Cambria Math" panose="02040503050406030204" pitchFamily="18" charset="0"/>
                                      </a:rPr>
                                      <m:t>𝑒𝑒</m:t>
                                    </m:r>
                                  </m:sub>
                                </m:sSub>
                              </m:sub>
                            </m:sSub>
                          </m:sub>
                        </m:sSub>
                      </m:num>
                      <m:den>
                        <m:r>
                          <a:rPr lang="en-US" sz="1100" b="0" i="1">
                            <a:solidFill>
                              <a:sysClr val="windowText" lastClr="000000"/>
                            </a:solidFill>
                            <a:latin typeface="Cambria Math" panose="02040503050406030204" pitchFamily="18" charset="0"/>
                            <a:ea typeface="Cambria Math" panose="02040503050406030204" pitchFamily="18" charset="0"/>
                          </a:rPr>
                          <m:t>1000</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𝑆</m:t>
                        </m:r>
                      </m:e>
                      <m:sub>
                        <m:r>
                          <a:rPr lang="en-US" sz="1100" b="0" i="1">
                            <a:solidFill>
                              <a:sysClr val="windowText" lastClr="000000"/>
                            </a:solidFill>
                            <a:latin typeface="Cambria Math" panose="02040503050406030204" pitchFamily="18" charset="0"/>
                            <a:ea typeface="Cambria Math" panose="02040503050406030204" pitchFamily="18" charset="0"/>
                          </a:rPr>
                          <m:t>𝑆𝑡𝑎𝑛𝑑𝑏𝑦</m:t>
                        </m:r>
                      </m:sub>
                    </m:sSub>
                    <m:r>
                      <a:rPr lang="en-US" sz="1100" b="0" i="1">
                        <a:solidFill>
                          <a:sysClr val="windowText" lastClr="000000"/>
                        </a:solidFill>
                        <a:latin typeface="Cambria Math" panose="02040503050406030204" pitchFamily="18" charset="0"/>
                        <a:ea typeface="Cambria Math" panose="02040503050406030204" pitchFamily="18" charset="0"/>
                      </a:rPr>
                      <m:t>∗365</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2" name="TextBox 1">
              <a:extLst>
                <a:ext uri="{FF2B5EF4-FFF2-40B4-BE49-F238E27FC236}">
                  <a16:creationId xmlns:a16="http://schemas.microsoft.com/office/drawing/2014/main" id="{9C827848-FBDE-4427-B48D-5389CD473AFB}"/>
                </a:ext>
              </a:extLst>
            </xdr:cNvPr>
            <xdr:cNvSpPr txBox="1"/>
          </xdr:nvSpPr>
          <xdr:spPr>
            <a:xfrm>
              <a:off x="447675" y="5459094"/>
              <a:ext cx="5133976" cy="8750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𝑘𝑊ℎ=(𝑂𝑛_(𝑀𝑜𝑑𝑒_(𝑊𝑎𝑡𝑡𝑠_𝑏𝑎𝑠𝑒 ) )−𝑂𝑛_(𝑀𝑜𝑑𝑒_(𝑊𝑎𝑡𝑡𝑠_𝑒𝑒 ) ))/1000∗𝐻𝑅𝑆_𝐴𝑐𝑡𝑖𝑣𝑒∗365+(𝑆𝑡𝑎𝑛𝑑𝑏𝑦_(𝑀𝑜𝑑𝑒_(𝑊𝑎𝑡𝑡𝑠_𝑏𝑎𝑠𝑒 ) )−𝑆𝑡𝑎𝑛𝑑𝑏𝑦_(𝑀𝑜𝑑𝑒_(𝑊𝑎𝑡𝑡𝑠_𝑒𝑒 ) ))/1000∗𝐻𝑅𝑆_𝑆𝑡𝑎𝑛𝑑𝑏𝑦∗365</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28574</xdr:colOff>
      <xdr:row>34</xdr:row>
      <xdr:rowOff>121920</xdr:rowOff>
    </xdr:from>
    <xdr:ext cx="5086351" cy="54483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D197FD92-FCC3-428C-9DA6-3012238398E4}"/>
                </a:ext>
              </a:extLst>
            </xdr:cNvPr>
            <xdr:cNvSpPr txBox="1"/>
          </xdr:nvSpPr>
          <xdr:spPr>
            <a:xfrm>
              <a:off x="447674" y="6827520"/>
              <a:ext cx="5086351" cy="5448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𝑂</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𝑛</m:t>
                                </m:r>
                              </m:e>
                              <m:sub>
                                <m:r>
                                  <a:rPr lang="en-US" sz="1100" b="0" i="1">
                                    <a:solidFill>
                                      <a:schemeClr val="tx1"/>
                                    </a:solidFill>
                                    <a:effectLst/>
                                    <a:latin typeface="Cambria Math" panose="02040503050406030204" pitchFamily="18" charset="0"/>
                                    <a:ea typeface="+mn-ea"/>
                                    <a:cs typeface="+mn-cs"/>
                                  </a:rPr>
                                  <m:t>𝑀𝑜𝑑</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𝑒</m:t>
                                    </m:r>
                                  </m:e>
                                  <m:sub>
                                    <m:r>
                                      <a:rPr lang="en-US" sz="1100" b="0" i="1">
                                        <a:solidFill>
                                          <a:schemeClr val="tx1"/>
                                        </a:solidFill>
                                        <a:effectLst/>
                                        <a:latin typeface="Cambria Math" panose="02040503050406030204" pitchFamily="18" charset="0"/>
                                        <a:ea typeface="+mn-ea"/>
                                        <a:cs typeface="+mn-cs"/>
                                      </a:rPr>
                                      <m:t>𝑊𝑎𝑡𝑡</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𝑠</m:t>
                                        </m:r>
                                      </m:e>
                                      <m:sub>
                                        <m:r>
                                          <a:rPr lang="en-US" sz="1100" b="0" i="1">
                                            <a:solidFill>
                                              <a:schemeClr val="tx1"/>
                                            </a:solidFill>
                                            <a:effectLst/>
                                            <a:latin typeface="Cambria Math" panose="02040503050406030204" pitchFamily="18" charset="0"/>
                                            <a:ea typeface="+mn-ea"/>
                                            <a:cs typeface="+mn-cs"/>
                                          </a:rPr>
                                          <m:t>𝑏𝑎𝑠𝑒</m:t>
                                        </m:r>
                                      </m:sub>
                                    </m:sSub>
                                  </m:sub>
                                </m:sSub>
                              </m:sub>
                            </m:sSub>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𝑛</m:t>
                                </m:r>
                              </m:e>
                              <m:sub>
                                <m:r>
                                  <a:rPr lang="en-US" sz="1100" b="0" i="1">
                                    <a:solidFill>
                                      <a:schemeClr val="tx1"/>
                                    </a:solidFill>
                                    <a:effectLst/>
                                    <a:latin typeface="Cambria Math" panose="02040503050406030204" pitchFamily="18" charset="0"/>
                                    <a:ea typeface="+mn-ea"/>
                                    <a:cs typeface="+mn-cs"/>
                                  </a:rPr>
                                  <m:t>𝑀𝑜𝑑</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𝑒</m:t>
                                    </m:r>
                                  </m:e>
                                  <m:sub>
                                    <m:r>
                                      <a:rPr lang="en-US" sz="1100" b="0" i="1">
                                        <a:solidFill>
                                          <a:schemeClr val="tx1"/>
                                        </a:solidFill>
                                        <a:effectLst/>
                                        <a:latin typeface="Cambria Math" panose="02040503050406030204" pitchFamily="18" charset="0"/>
                                        <a:ea typeface="+mn-ea"/>
                                        <a:cs typeface="+mn-cs"/>
                                      </a:rPr>
                                      <m:t>𝑊𝑎𝑡𝑡</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𝑠</m:t>
                                        </m:r>
                                      </m:e>
                                      <m:sub>
                                        <m:r>
                                          <a:rPr lang="en-US" sz="1100" b="0" i="1">
                                            <a:solidFill>
                                              <a:schemeClr val="tx1"/>
                                            </a:solidFill>
                                            <a:effectLst/>
                                            <a:latin typeface="Cambria Math" panose="02040503050406030204" pitchFamily="18" charset="0"/>
                                            <a:ea typeface="+mn-ea"/>
                                            <a:cs typeface="+mn-cs"/>
                                          </a:rPr>
                                          <m:t>𝑒𝑒</m:t>
                                        </m:r>
                                      </m:sub>
                                    </m:sSub>
                                  </m:sub>
                                </m:sSub>
                              </m:sub>
                            </m:sSub>
                          </m:e>
                        </m:d>
                      </m:num>
                      <m:den>
                        <m:r>
                          <a:rPr lang="en-US" sz="1100" b="0" i="1">
                            <a:solidFill>
                              <a:schemeClr val="tx1"/>
                            </a:solidFill>
                            <a:effectLst/>
                            <a:latin typeface="Cambria Math" panose="02040503050406030204" pitchFamily="18" charset="0"/>
                            <a:ea typeface="+mn-ea"/>
                            <a:cs typeface="+mn-cs"/>
                          </a:rPr>
                          <m:t>1000</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a:p>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D197FD92-FCC3-428C-9DA6-3012238398E4}"/>
                </a:ext>
              </a:extLst>
            </xdr:cNvPr>
            <xdr:cNvSpPr txBox="1"/>
          </xdr:nvSpPr>
          <xdr:spPr>
            <a:xfrm>
              <a:off x="447674" y="6827520"/>
              <a:ext cx="5086351" cy="5448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=((𝑂𝑛_(𝑀𝑜𝑑𝑒_(𝑊𝑎𝑡𝑡𝑠_𝑏𝑎𝑠𝑒 ) )− 𝑂𝑛_(𝑀𝑜𝑑𝑒_(𝑊𝑎𝑡𝑡𝑠_𝑒𝑒 ) ) ))/1000∗𝐶𝐹</a:t>
              </a:r>
              <a:endParaRPr lang="en-US" sz="1100">
                <a:solidFill>
                  <a:sysClr val="windowText" lastClr="000000"/>
                </a:solidFill>
                <a:latin typeface="Cambria Math" panose="02040503050406030204" pitchFamily="18" charset="0"/>
                <a:ea typeface="Cambria Math" panose="02040503050406030204" pitchFamily="18" charset="0"/>
              </a:endParaRPr>
            </a:p>
            <a:p>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32708</xdr:colOff>
      <xdr:row>45</xdr:row>
      <xdr:rowOff>16355</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1270FA6-BE0D-4FB7-9797-5C2F1A4198FC}"/>
                </a:ext>
              </a:extLst>
            </xdr:cNvPr>
            <xdr:cNvSpPr txBox="1"/>
          </xdr:nvSpPr>
          <xdr:spPr>
            <a:xfrm>
              <a:off x="451808" y="881745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B1270FA6-BE0D-4FB7-9797-5C2F1A4198FC}"/>
                </a:ext>
              </a:extLst>
            </xdr:cNvPr>
            <xdr:cNvSpPr txBox="1"/>
          </xdr:nvSpPr>
          <xdr:spPr>
            <a:xfrm>
              <a:off x="451808" y="881745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oneCellAnchor>
    <xdr:from>
      <xdr:col>2</xdr:col>
      <xdr:colOff>29210</xdr:colOff>
      <xdr:row>41</xdr:row>
      <xdr:rowOff>10795</xdr:rowOff>
    </xdr:from>
    <xdr:ext cx="3914775" cy="1722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A7FC597D-8A97-4695-97B2-72CE7DEF3FAE}"/>
                </a:ext>
              </a:extLst>
            </xdr:cNvPr>
            <xdr:cNvSpPr txBox="1"/>
          </xdr:nvSpPr>
          <xdr:spPr>
            <a:xfrm>
              <a:off x="448310" y="8049895"/>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4</m:t>
                    </m:r>
                    <m:r>
                      <a:rPr lang="en-US" sz="1100" b="0" i="1">
                        <a:solidFill>
                          <a:sysClr val="windowText" lastClr="000000"/>
                        </a:solidFill>
                        <a:effectLst/>
                        <a:latin typeface="Cambria Math" panose="02040503050406030204" pitchFamily="18" charset="0"/>
                        <a:ea typeface="+mn-ea"/>
                        <a:cs typeface="+mn-cs"/>
                      </a:rPr>
                      <m:t>𝐾</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𝑊𝑎𝑡𝑡𝑎𝑔𝑒</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𝑁𝑜𝑛</m:t>
                    </m:r>
                    <m:r>
                      <a:rPr lang="en-US" sz="1100" b="0" i="1">
                        <a:solidFill>
                          <a:sysClr val="windowText" lastClr="000000"/>
                        </a:solidFill>
                        <a:effectLst/>
                        <a:latin typeface="Cambria Math" panose="02040503050406030204" pitchFamily="18" charset="0"/>
                        <a:ea typeface="+mn-ea"/>
                        <a:cs typeface="+mn-cs"/>
                      </a:rPr>
                      <m:t> 4</m:t>
                    </m:r>
                    <m:r>
                      <a:rPr lang="en-US" sz="1100" b="0" i="1">
                        <a:solidFill>
                          <a:sysClr val="windowText" lastClr="000000"/>
                        </a:solidFill>
                        <a:effectLst/>
                        <a:latin typeface="Cambria Math" panose="02040503050406030204" pitchFamily="18" charset="0"/>
                        <a:ea typeface="+mn-ea"/>
                        <a:cs typeface="+mn-cs"/>
                      </a:rPr>
                      <m:t>𝐾</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𝑊𝑎𝑡𝑡𝑎𝑔𝑒</m:t>
                    </m:r>
                    <m:r>
                      <a:rPr lang="en-US" sz="1100" b="0" i="1">
                        <a:solidFill>
                          <a:sysClr val="windowText" lastClr="000000"/>
                        </a:solidFill>
                        <a:effectLst/>
                        <a:latin typeface="Cambria Math" panose="02040503050406030204" pitchFamily="18" charset="0"/>
                        <a:ea typeface="+mn-ea"/>
                        <a:cs typeface="+mn-cs"/>
                      </a:rPr>
                      <m:t>∗1.5) </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A7FC597D-8A97-4695-97B2-72CE7DEF3FAE}"/>
                </a:ext>
              </a:extLst>
            </xdr:cNvPr>
            <xdr:cNvSpPr txBox="1"/>
          </xdr:nvSpPr>
          <xdr:spPr>
            <a:xfrm>
              <a:off x="448310" y="8049895"/>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4𝐾 𝑊𝑎𝑡𝑡𝑎𝑔𝑒=(𝑁𝑜𝑛 4𝐾 𝑊𝑎𝑡𝑡𝑎𝑔𝑒∗1.5) </a:t>
              </a:r>
              <a:endParaRPr lang="en-US" sz="1100">
                <a:solidFill>
                  <a:sysClr val="windowText" lastClr="000000"/>
                </a:solidFill>
              </a:endParaRPr>
            </a:p>
          </xdr:txBody>
        </xdr:sp>
      </mc:Fallback>
    </mc:AlternateContent>
    <xdr:clientData/>
  </xdr:oneCellAnchor>
</xdr:wsDr>
</file>

<file path=xl/drawings/drawing46.xml><?xml version="1.0" encoding="utf-8"?>
<xdr:wsDr xmlns:xdr="http://schemas.openxmlformats.org/drawingml/2006/spreadsheetDrawing" xmlns:a="http://schemas.openxmlformats.org/drawingml/2006/main">
  <xdr:oneCellAnchor>
    <xdr:from>
      <xdr:col>1</xdr:col>
      <xdr:colOff>133350</xdr:colOff>
      <xdr:row>63</xdr:row>
      <xdr:rowOff>9525</xdr:rowOff>
    </xdr:from>
    <xdr:ext cx="4953000"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85C78A8-3B21-42ED-89E9-727805A3E4A9}"/>
                </a:ext>
              </a:extLst>
            </xdr:cNvPr>
            <xdr:cNvSpPr txBox="1"/>
          </xdr:nvSpPr>
          <xdr:spPr>
            <a:xfrm>
              <a:off x="314325" y="1075372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𝐸𝑅</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𝐸𝑈𝐿</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285C78A8-3B21-42ED-89E9-727805A3E4A9}"/>
                </a:ext>
              </a:extLst>
            </xdr:cNvPr>
            <xdr:cNvSpPr txBox="1"/>
          </xdr:nvSpPr>
          <xdr:spPr>
            <a:xfrm>
              <a:off x="314325" y="1075372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𝐸𝑅)</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𝑘𝑊ℎ〗_1𝑠𝑡</a:t>
              </a:r>
              <a:r>
                <a:rPr lang="en-US" sz="1100" b="0" i="0">
                  <a:solidFill>
                    <a:sysClr val="windowText" lastClr="000000"/>
                  </a:solidFill>
                  <a:effectLst/>
                  <a:latin typeface="Cambria Math" panose="02040503050406030204" pitchFamily="18" charset="0"/>
                  <a:ea typeface="+mn-ea"/>
                  <a:cs typeface="+mn-cs"/>
                </a:rPr>
                <a:t>∗𝑅𝑈𝐿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𝑘𝑊ℎ〗_2𝑛𝑑∗</a:t>
              </a:r>
              <a:r>
                <a:rPr lang="en-US" sz="1100" b="0" i="0">
                  <a:solidFill>
                    <a:schemeClr val="tx1"/>
                  </a:solidFill>
                  <a:effectLst/>
                  <a:latin typeface="Cambria Math" panose="02040503050406030204" pitchFamily="18" charset="0"/>
                  <a:ea typeface="+mn-ea"/>
                  <a:cs typeface="+mn-cs"/>
                </a:rPr>
                <a:t>(</a:t>
              </a:r>
              <a:r>
                <a:rPr lang="en-US" sz="1100" b="0" i="0">
                  <a:solidFill>
                    <a:schemeClr val="tx1"/>
                  </a:solidFill>
                  <a:effectLst/>
                  <a:latin typeface="+mn-lt"/>
                  <a:ea typeface="+mn-ea"/>
                  <a:cs typeface="+mn-cs"/>
                </a:rPr>
                <a:t>𝐸𝑈𝐿</a:t>
              </a:r>
              <a:r>
                <a:rPr lang="en-US" sz="1100" b="0" i="0">
                  <a:solidFill>
                    <a:schemeClr val="tx1"/>
                  </a:solidFill>
                  <a:effectLst/>
                  <a:latin typeface="Cambria Math" panose="02040503050406030204" pitchFamily="18" charset="0"/>
                  <a:ea typeface="Cambria Math" panose="02040503050406030204" pitchFamily="18" charset="0"/>
                  <a:cs typeface="+mn-cs"/>
                </a:rPr>
                <a:t>−𝑅𝑈𝐿</a:t>
              </a:r>
              <a:r>
                <a:rPr lang="en-US" sz="1100" b="0" i="0">
                  <a:solidFill>
                    <a:schemeClr val="tx1"/>
                  </a:solidFill>
                  <a:effectLst/>
                  <a:latin typeface="Cambria Math" panose="02040503050406030204" pitchFamily="18" charset="0"/>
                  <a:ea typeface="+mn-ea"/>
                  <a:cs typeface="+mn-cs"/>
                </a:rPr>
                <a:t>)</a:t>
              </a:r>
              <a:endParaRPr lang="en-US" sz="1100">
                <a:solidFill>
                  <a:sysClr val="windowText" lastClr="000000"/>
                </a:solidFill>
              </a:endParaRPr>
            </a:p>
          </xdr:txBody>
        </xdr:sp>
      </mc:Fallback>
    </mc:AlternateContent>
    <xdr:clientData/>
  </xdr:oneCellAnchor>
  <xdr:oneCellAnchor>
    <xdr:from>
      <xdr:col>1</xdr:col>
      <xdr:colOff>133350</xdr:colOff>
      <xdr:row>46</xdr:row>
      <xdr:rowOff>180976</xdr:rowOff>
    </xdr:from>
    <xdr:ext cx="5200650" cy="22937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010A591-54F4-4ACB-B01E-44812933D430}"/>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5010A591-54F4-4ACB-B01E-44812933D430}"/>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〖((1〗∕〖〖𝐸𝐸𝑅〗_(𝐵𝐿,1)−〗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54</xdr:row>
      <xdr:rowOff>178750</xdr:rowOff>
    </xdr:from>
    <xdr:ext cx="4895850" cy="2593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C3F1D328-F791-46E9-A96C-657A950EF204}"/>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C3F1D328-F791-46E9-A96C-657A950EF204}"/>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〖((1〗∕〖〖𝐶𝐸𝐸𝑅〗_(𝐵𝐿,1)−〗  1∕〖〖𝐶𝐸𝐸𝑅〗_𝐸𝐸)/1000)〗∗𝐸𝐹𝐿𝐻∗𝑃𝐹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50</xdr:row>
      <xdr:rowOff>180976</xdr:rowOff>
    </xdr:from>
    <xdr:ext cx="5200650" cy="229378"/>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35D970A0-3AB5-48D3-8CEB-10546603EE7B}"/>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35D970A0-3AB5-48D3-8CEB-10546603EE7B}"/>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𝑘𝑊〗_</a:t>
              </a:r>
              <a:r>
                <a:rPr lang="en-US" sz="1100" b="0" i="0">
                  <a:solidFill>
                    <a:schemeClr val="tx1"/>
                  </a:solidFill>
                  <a:effectLst/>
                  <a:latin typeface="Cambria Math" panose="02040503050406030204" pitchFamily="18" charset="0"/>
                  <a:ea typeface="+mn-ea"/>
                  <a:cs typeface="+mn-cs"/>
                </a:rPr>
                <a:t>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〖((1〗∕〖〖𝐸𝐸𝑅〗_(𝐵𝐿,2)−〗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58</xdr:row>
      <xdr:rowOff>178750</xdr:rowOff>
    </xdr:from>
    <xdr:ext cx="4895850" cy="2593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E3D5093-439B-4A94-BA0E-1A0EA599A850}"/>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FE3D5093-439B-4A94-BA0E-1A0EA599A850}"/>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a:t>
              </a:r>
              <a:r>
                <a:rPr lang="en-US" sz="1100" b="0" i="0">
                  <a:solidFill>
                    <a:schemeClr val="tx1"/>
                  </a:solidFill>
                  <a:effectLst/>
                  <a:latin typeface="Cambria Math" panose="02040503050406030204" pitchFamily="18" charset="0"/>
                  <a:ea typeface="+mn-ea"/>
                  <a:cs typeface="+mn-cs"/>
                </a:rPr>
                <a:t>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〖((1〗∕〖〖𝐶𝐸𝐸𝑅〗_(𝐵𝐿,2)−〗  1∕〖〖𝐶𝐸𝐸𝑅〗_𝐸𝐸)/1000)〗∗𝐸𝐹𝐿𝐻∗𝑃𝐹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67</xdr:row>
      <xdr:rowOff>9525</xdr:rowOff>
    </xdr:from>
    <xdr:ext cx="2895599"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DE501586-1F7C-4E2C-ACA1-AAEF739EAE2D}"/>
                </a:ext>
              </a:extLst>
            </xdr:cNvPr>
            <xdr:cNvSpPr txBox="1"/>
          </xdr:nvSpPr>
          <xdr:spPr>
            <a:xfrm>
              <a:off x="314325" y="107537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𝑅𝑂𝐵</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DE501586-1F7C-4E2C-ACA1-AAEF739EAE2D}"/>
                </a:ext>
              </a:extLst>
            </xdr:cNvPr>
            <xdr:cNvSpPr txBox="1"/>
          </xdr:nvSpPr>
          <xdr:spPr>
            <a:xfrm>
              <a:off x="314325" y="107537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𝑅𝑂𝐵)</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𝑘𝑊ℎ〗_2𝑛𝑑</a:t>
              </a:r>
              <a:r>
                <a:rPr lang="en-US" sz="1100" b="0" i="0">
                  <a:solidFill>
                    <a:sysClr val="windowText" lastClr="000000"/>
                  </a:solidFill>
                  <a:effectLst/>
                  <a:latin typeface="Cambria Math" panose="02040503050406030204" pitchFamily="18" charset="0"/>
                  <a:ea typeface="+mn-ea"/>
                  <a:cs typeface="+mn-cs"/>
                </a:rPr>
                <a:t>∗𝐸𝑈𝐿</a:t>
              </a:r>
              <a:endParaRPr lang="en-US" sz="1100">
                <a:solidFill>
                  <a:sysClr val="windowText" lastClr="000000"/>
                </a:solidFill>
              </a:endParaRPr>
            </a:p>
          </xdr:txBody>
        </xdr:sp>
      </mc:Fallback>
    </mc:AlternateContent>
    <xdr:clientData/>
  </xdr:oneCellAnchor>
</xdr:wsDr>
</file>

<file path=xl/drawings/drawing47.xml><?xml version="1.0" encoding="utf-8"?>
<xdr:wsDr xmlns:xdr="http://schemas.openxmlformats.org/drawingml/2006/spreadsheetDrawing" xmlns:a="http://schemas.openxmlformats.org/drawingml/2006/main">
  <xdr:oneCellAnchor>
    <xdr:from>
      <xdr:col>1</xdr:col>
      <xdr:colOff>133350</xdr:colOff>
      <xdr:row>45</xdr:row>
      <xdr:rowOff>9525</xdr:rowOff>
    </xdr:from>
    <xdr:ext cx="2895599"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DDE7BE9-AD04-41E2-93EB-72F7D240E90C}"/>
                </a:ext>
              </a:extLst>
            </xdr:cNvPr>
            <xdr:cNvSpPr txBox="1"/>
          </xdr:nvSpPr>
          <xdr:spPr>
            <a:xfrm>
              <a:off x="314325" y="133635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8DDE7BE9-AD04-41E2-93EB-72F7D240E90C}"/>
                </a:ext>
              </a:extLst>
            </xdr:cNvPr>
            <xdr:cNvSpPr txBox="1"/>
          </xdr:nvSpPr>
          <xdr:spPr>
            <a:xfrm>
              <a:off x="314325" y="133635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1</xdr:col>
      <xdr:colOff>133350</xdr:colOff>
      <xdr:row>37</xdr:row>
      <xdr:rowOff>47626</xdr:rowOff>
    </xdr:from>
    <xdr:ext cx="3705225"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19C1879-0470-4E07-B5EE-65B5B222551C}"/>
                </a:ext>
              </a:extLst>
            </xdr:cNvPr>
            <xdr:cNvSpPr txBox="1"/>
          </xdr:nvSpPr>
          <xdr:spPr>
            <a:xfrm>
              <a:off x="314325" y="118776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719C1879-0470-4E07-B5EE-65B5B222551C}"/>
                </a:ext>
              </a:extLst>
            </xdr:cNvPr>
            <xdr:cNvSpPr txBox="1"/>
          </xdr:nvSpPr>
          <xdr:spPr>
            <a:xfrm>
              <a:off x="314325" y="118776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  1∕〖〖𝐸𝐸𝑅〗_𝐸𝐸)/1000)〗∗𝐶𝐹∗𝑃𝐹</a:t>
              </a:r>
              <a:endParaRPr lang="en-US" sz="1100">
                <a:solidFill>
                  <a:sysClr val="windowText" lastClr="000000"/>
                </a:solidFill>
              </a:endParaRPr>
            </a:p>
          </xdr:txBody>
        </xdr:sp>
      </mc:Fallback>
    </mc:AlternateContent>
    <xdr:clientData/>
  </xdr:oneCellAnchor>
  <xdr:oneCellAnchor>
    <xdr:from>
      <xdr:col>1</xdr:col>
      <xdr:colOff>152400</xdr:colOff>
      <xdr:row>41</xdr:row>
      <xdr:rowOff>19050</xdr:rowOff>
    </xdr:from>
    <xdr:ext cx="4657725" cy="1722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B911F3E6-134D-44B8-B66D-C549F6F59572}"/>
                </a:ext>
              </a:extLst>
            </xdr:cNvPr>
            <xdr:cNvSpPr txBox="1"/>
          </xdr:nvSpPr>
          <xdr:spPr>
            <a:xfrm>
              <a:off x="333375" y="13401675"/>
              <a:ext cx="46577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B911F3E6-134D-44B8-B66D-C549F6F59572}"/>
                </a:ext>
              </a:extLst>
            </xdr:cNvPr>
            <xdr:cNvSpPr txBox="1"/>
          </xdr:nvSpPr>
          <xdr:spPr>
            <a:xfrm>
              <a:off x="333375" y="13401675"/>
              <a:ext cx="46577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〖((1〗∕〖(〖𝐶)𝑆𝐸𝐸𝑅〗_𝐵𝐿−〗  1∕〖〖𝑆𝐸𝐸𝑅〗_𝐸𝐸)/1000)〗∗𝐸𝐹𝐿𝐻∗𝑃𝐹</a:t>
              </a:r>
              <a:endParaRPr lang="en-US" sz="1100">
                <a:solidFill>
                  <a:sysClr val="windowText" lastClr="000000"/>
                </a:solidFill>
              </a:endParaRPr>
            </a:p>
          </xdr:txBody>
        </xdr:sp>
      </mc:Fallback>
    </mc:AlternateContent>
    <xdr:clientData/>
  </xdr:oneCellAnchor>
</xdr:wsDr>
</file>

<file path=xl/drawings/drawing48.xml><?xml version="1.0" encoding="utf-8"?>
<xdr:wsDr xmlns:xdr="http://schemas.openxmlformats.org/drawingml/2006/spreadsheetDrawing" xmlns:a="http://schemas.openxmlformats.org/drawingml/2006/main">
  <xdr:oneCellAnchor>
    <xdr:from>
      <xdr:col>1</xdr:col>
      <xdr:colOff>114300</xdr:colOff>
      <xdr:row>61</xdr:row>
      <xdr:rowOff>9525</xdr:rowOff>
    </xdr:from>
    <xdr:ext cx="4953000"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427FFC8C-6CD8-49B6-9842-745BF4909916}"/>
                </a:ext>
              </a:extLst>
            </xdr:cNvPr>
            <xdr:cNvSpPr txBox="1"/>
          </xdr:nvSpPr>
          <xdr:spPr>
            <a:xfrm>
              <a:off x="295275" y="18459450"/>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𝐸𝑅</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𝐸𝑈𝐿</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427FFC8C-6CD8-49B6-9842-745BF4909916}"/>
                </a:ext>
              </a:extLst>
            </xdr:cNvPr>
            <xdr:cNvSpPr txBox="1"/>
          </xdr:nvSpPr>
          <xdr:spPr>
            <a:xfrm>
              <a:off x="295275" y="18459450"/>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𝐸𝑅)</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solidFill>
                    <a:sysClr val="windowText" lastClr="000000"/>
                  </a:solidFill>
                  <a:effectLst/>
                  <a:latin typeface="Cambria Math" panose="02040503050406030204" pitchFamily="18" charset="0"/>
                  <a:ea typeface="+mn-ea"/>
                  <a:cs typeface="+mn-cs"/>
                </a:rPr>
                <a:t>∗𝑅𝑈𝐿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a:t>
              </a:r>
              <a:r>
                <a:rPr lang="en-US" sz="1100" b="0" i="0">
                  <a:solidFill>
                    <a:schemeClr val="tx1"/>
                  </a:solidFill>
                  <a:effectLst/>
                  <a:latin typeface="Cambria Math" panose="02040503050406030204" pitchFamily="18" charset="0"/>
                  <a:ea typeface="Cambria Math" panose="02040503050406030204" pitchFamily="18" charset="0"/>
                  <a:cs typeface="+mn-cs"/>
                </a:rPr>
                <a:t>−𝑅𝑈𝐿)</a:t>
              </a:r>
              <a:endParaRPr lang="en-US" sz="1100">
                <a:solidFill>
                  <a:sysClr val="windowText" lastClr="000000"/>
                </a:solidFill>
              </a:endParaRPr>
            </a:p>
          </xdr:txBody>
        </xdr:sp>
      </mc:Fallback>
    </mc:AlternateContent>
    <xdr:clientData/>
  </xdr:oneCellAnchor>
  <xdr:oneCellAnchor>
    <xdr:from>
      <xdr:col>1</xdr:col>
      <xdr:colOff>85725</xdr:colOff>
      <xdr:row>43</xdr:row>
      <xdr:rowOff>0</xdr:rowOff>
    </xdr:from>
    <xdr:ext cx="5200650" cy="22937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FA2B20C-9F12-421A-AD3C-77A590507846}"/>
                </a:ext>
              </a:extLst>
            </xdr:cNvPr>
            <xdr:cNvSpPr txBox="1"/>
          </xdr:nvSpPr>
          <xdr:spPr>
            <a:xfrm>
              <a:off x="266700" y="15020925"/>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𝐶𝑜𝑛𝑣</m:t>
                            </m:r>
                          </m:e>
                          <m:sub>
                            <m:r>
                              <a:rPr lang="en-US" sz="1100" b="0" i="1">
                                <a:solidFill>
                                  <a:sysClr val="windowText" lastClr="000000"/>
                                </a:solidFill>
                                <a:effectLst/>
                                <a:latin typeface="Cambria Math" panose="02040503050406030204" pitchFamily="18" charset="0"/>
                                <a:ea typeface="+mn-ea"/>
                                <a:cs typeface="+mn-cs"/>
                              </a:rPr>
                              <m:t>𝐸𝐸𝑅</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7FA2B20C-9F12-421A-AD3C-77A590507846}"/>
                </a:ext>
              </a:extLst>
            </xdr:cNvPr>
            <xdr:cNvSpPr txBox="1"/>
          </xdr:nvSpPr>
          <xdr:spPr>
            <a:xfrm>
              <a:off x="266700" y="15020925"/>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〖(〖𝐶𝑜𝑛𝑣〗_𝐸𝐸𝑅2∗(1〗∕〖〖𝐸𝐸𝑅〗_(𝐵𝐿,1))−〗  1∕〖〖𝐸𝐸𝑅2〗_𝐸𝐸)/1000)〗∗𝐶𝐹∗𝑃𝐹</a:t>
              </a:r>
              <a:endParaRPr lang="en-US" sz="1100">
                <a:solidFill>
                  <a:sysClr val="windowText" lastClr="000000"/>
                </a:solidFill>
              </a:endParaRPr>
            </a:p>
          </xdr:txBody>
        </xdr:sp>
      </mc:Fallback>
    </mc:AlternateContent>
    <xdr:clientData/>
  </xdr:oneCellAnchor>
  <xdr:oneCellAnchor>
    <xdr:from>
      <xdr:col>1</xdr:col>
      <xdr:colOff>104775</xdr:colOff>
      <xdr:row>48</xdr:row>
      <xdr:rowOff>0</xdr:rowOff>
    </xdr:from>
    <xdr:ext cx="5200650" cy="229378"/>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D86514D6-8930-4651-A029-77B431099F90}"/>
                </a:ext>
              </a:extLst>
            </xdr:cNvPr>
            <xdr:cNvSpPr txBox="1"/>
          </xdr:nvSpPr>
          <xdr:spPr>
            <a:xfrm>
              <a:off x="285750" y="15973425"/>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D86514D6-8930-4651-A029-77B431099F90}"/>
                </a:ext>
              </a:extLst>
            </xdr:cNvPr>
            <xdr:cNvSpPr txBox="1"/>
          </xdr:nvSpPr>
          <xdr:spPr>
            <a:xfrm>
              <a:off x="285750" y="15973425"/>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〖((1〗∕〖〖𝐸𝐸𝑅2〗_(𝐵𝐿,2)−〗  1∕〖〖𝐸𝐸𝑅2〗_𝐸𝐸)/1000)〗∗𝐶𝐹∗𝑃𝐹</a:t>
              </a:r>
              <a:endParaRPr lang="en-US" sz="1100">
                <a:solidFill>
                  <a:sysClr val="windowText" lastClr="000000"/>
                </a:solidFill>
              </a:endParaRPr>
            </a:p>
          </xdr:txBody>
        </xdr:sp>
      </mc:Fallback>
    </mc:AlternateContent>
    <xdr:clientData/>
  </xdr:oneCellAnchor>
  <xdr:oneCellAnchor>
    <xdr:from>
      <xdr:col>1</xdr:col>
      <xdr:colOff>104775</xdr:colOff>
      <xdr:row>52</xdr:row>
      <xdr:rowOff>0</xdr:rowOff>
    </xdr:from>
    <xdr:ext cx="5297366" cy="2593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7FCF7A54-BB86-40A7-985A-CC67B69918C4}"/>
                </a:ext>
              </a:extLst>
            </xdr:cNvPr>
            <xdr:cNvSpPr txBox="1"/>
          </xdr:nvSpPr>
          <xdr:spPr>
            <a:xfrm>
              <a:off x="285750" y="16735425"/>
              <a:ext cx="5297366"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𝐶𝑜𝑛𝑣</m:t>
                            </m:r>
                          </m:e>
                          <m:sub>
                            <m:r>
                              <a:rPr lang="en-US" sz="1100" b="0" i="1">
                                <a:solidFill>
                                  <a:sysClr val="windowText" lastClr="000000"/>
                                </a:solidFill>
                                <a:effectLst/>
                                <a:latin typeface="Cambria Math" panose="02040503050406030204" pitchFamily="18" charset="0"/>
                                <a:ea typeface="+mn-ea"/>
                                <a:cs typeface="+mn-cs"/>
                              </a:rPr>
                              <m:t>𝑆𝐸𝐸𝑅</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7FCF7A54-BB86-40A7-985A-CC67B69918C4}"/>
                </a:ext>
              </a:extLst>
            </xdr:cNvPr>
            <xdr:cNvSpPr txBox="1"/>
          </xdr:nvSpPr>
          <xdr:spPr>
            <a:xfrm>
              <a:off x="285750" y="16735425"/>
              <a:ext cx="5297366"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〖(〖𝐶𝑜𝑛𝑣〗_𝑆𝐸𝐸𝑅2∗(1〗∕〖〖𝑆𝐸𝐸𝑅〗_(𝐵𝐿,1))−〗  1∕〖〖𝑆𝐸𝐸𝑅2〗_𝐸𝐸)/1000)〗∗𝐸𝐹𝐿𝐻∗𝑃𝐹</a:t>
              </a:r>
              <a:endParaRPr lang="en-US" sz="1100">
                <a:solidFill>
                  <a:sysClr val="windowText" lastClr="000000"/>
                </a:solidFill>
              </a:endParaRPr>
            </a:p>
          </xdr:txBody>
        </xdr:sp>
      </mc:Fallback>
    </mc:AlternateContent>
    <xdr:clientData/>
  </xdr:oneCellAnchor>
  <xdr:oneCellAnchor>
    <xdr:from>
      <xdr:col>1</xdr:col>
      <xdr:colOff>104775</xdr:colOff>
      <xdr:row>57</xdr:row>
      <xdr:rowOff>9525</xdr:rowOff>
    </xdr:from>
    <xdr:ext cx="4895850" cy="2593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9D8C0B1A-D4F1-4318-ABA5-B59E4DC9AF57}"/>
                </a:ext>
              </a:extLst>
            </xdr:cNvPr>
            <xdr:cNvSpPr txBox="1"/>
          </xdr:nvSpPr>
          <xdr:spPr>
            <a:xfrm>
              <a:off x="285750" y="17697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9D8C0B1A-D4F1-4318-ABA5-B59E4DC9AF57}"/>
                </a:ext>
              </a:extLst>
            </xdr:cNvPr>
            <xdr:cNvSpPr txBox="1"/>
          </xdr:nvSpPr>
          <xdr:spPr>
            <a:xfrm>
              <a:off x="285750" y="17697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〖((1〗∕〖〖𝑆𝐸𝐸𝑅2〗_(𝐵𝐿,2)−〗  1∕〖〖𝑆𝐸𝐸𝑅2〗_𝐸𝐸)/1000)〗∗𝐸𝐹𝐿𝐻∗𝑃𝐹</a:t>
              </a:r>
              <a:endParaRPr lang="en-US" sz="1100">
                <a:solidFill>
                  <a:sysClr val="windowText" lastClr="000000"/>
                </a:solidFill>
              </a:endParaRPr>
            </a:p>
          </xdr:txBody>
        </xdr:sp>
      </mc:Fallback>
    </mc:AlternateContent>
    <xdr:clientData/>
  </xdr:oneCellAnchor>
</xdr:wsDr>
</file>

<file path=xl/drawings/drawing49.xml><?xml version="1.0" encoding="utf-8"?>
<xdr:wsDr xmlns:xdr="http://schemas.openxmlformats.org/drawingml/2006/spreadsheetDrawing" xmlns:a="http://schemas.openxmlformats.org/drawingml/2006/main">
  <xdr:oneCellAnchor>
    <xdr:from>
      <xdr:col>2</xdr:col>
      <xdr:colOff>19050</xdr:colOff>
      <xdr:row>30</xdr:row>
      <xdr:rowOff>19050</xdr:rowOff>
    </xdr:from>
    <xdr:ext cx="1308100" cy="1722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7A11AC9A-FD05-4DCB-ABAC-3CE72DD41E61}"/>
                </a:ext>
              </a:extLst>
            </xdr:cNvPr>
            <xdr:cNvSpPr txBox="1"/>
          </xdr:nvSpPr>
          <xdr:spPr>
            <a:xfrm>
              <a:off x="400050" y="7419975"/>
              <a:ext cx="1308100"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=0</m:t>
                    </m:r>
                  </m:oMath>
                </m:oMathPara>
              </a14:m>
              <a:endParaRPr lang="en-US" sz="1100"/>
            </a:p>
          </xdr:txBody>
        </xdr:sp>
      </mc:Choice>
      <mc:Fallback xmlns="">
        <xdr:sp macro="" textlink="">
          <xdr:nvSpPr>
            <xdr:cNvPr id="2" name="TextBox 1">
              <a:extLst>
                <a:ext uri="{FF2B5EF4-FFF2-40B4-BE49-F238E27FC236}">
                  <a16:creationId xmlns:a16="http://schemas.microsoft.com/office/drawing/2014/main" id="{7A11AC9A-FD05-4DCB-ABAC-3CE72DD41E61}"/>
                </a:ext>
              </a:extLst>
            </xdr:cNvPr>
            <xdr:cNvSpPr txBox="1"/>
          </xdr:nvSpPr>
          <xdr:spPr>
            <a:xfrm>
              <a:off x="400050" y="7419975"/>
              <a:ext cx="1308100"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𝑘𝑊=0</a:t>
              </a:r>
              <a:endParaRPr lang="en-US" sz="1100"/>
            </a:p>
          </xdr:txBody>
        </xdr:sp>
      </mc:Fallback>
    </mc:AlternateContent>
    <xdr:clientData/>
  </xdr:oneCellAnchor>
  <xdr:oneCellAnchor>
    <xdr:from>
      <xdr:col>2</xdr:col>
      <xdr:colOff>28576</xdr:colOff>
      <xdr:row>34</xdr:row>
      <xdr:rowOff>38101</xdr:rowOff>
    </xdr:from>
    <xdr:ext cx="2895600" cy="47625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9B4D114-BDFC-4F6F-9026-94C3E7FC6DEE}"/>
                </a:ext>
              </a:extLst>
            </xdr:cNvPr>
            <xdr:cNvSpPr txBox="1"/>
          </xdr:nvSpPr>
          <xdr:spPr>
            <a:xfrm>
              <a:off x="409576" y="8201026"/>
              <a:ext cx="2895600" cy="476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𝐶𝐴𝑃</m:t>
                            </m:r>
                          </m:e>
                          <m:sub>
                            <m:r>
                              <a:rPr lang="en-US" sz="1100" b="0" i="1">
                                <a:solidFill>
                                  <a:schemeClr val="tx1"/>
                                </a:solidFill>
                                <a:effectLst/>
                                <a:latin typeface="Cambria Math" panose="02040503050406030204" pitchFamily="18" charset="0"/>
                                <a:ea typeface="+mn-ea"/>
                                <a:cs typeface="+mn-cs"/>
                              </a:rPr>
                              <m:t>𝑐𝑜𝑜𝑙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𝐸𝐹𝐿𝐻</m:t>
                            </m:r>
                          </m:e>
                          <m:sub>
                            <m:r>
                              <a:rPr lang="en-US" sz="1100" b="0" i="1">
                                <a:solidFill>
                                  <a:schemeClr val="tx1"/>
                                </a:solidFill>
                                <a:effectLst/>
                                <a:latin typeface="Cambria Math" panose="02040503050406030204" pitchFamily="18" charset="0"/>
                                <a:ea typeface="+mn-ea"/>
                                <a:cs typeface="+mn-cs"/>
                              </a:rPr>
                              <m:t>𝑐𝑜𝑜𝑙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𝐸𝑆𝐹</m:t>
                            </m:r>
                          </m:e>
                          <m:sub>
                            <m:r>
                              <a:rPr lang="en-US" sz="1100" b="0" i="1">
                                <a:solidFill>
                                  <a:schemeClr val="tx1"/>
                                </a:solidFill>
                                <a:effectLst/>
                                <a:latin typeface="Cambria Math" panose="02040503050406030204" pitchFamily="18" charset="0"/>
                                <a:ea typeface="+mn-ea"/>
                                <a:cs typeface="+mn-cs"/>
                              </a:rPr>
                              <m:t>𝑐𝑜𝑜𝑙</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𝐼𝑆𝑅</m:t>
                        </m:r>
                      </m:num>
                      <m:den>
                        <m:r>
                          <a:rPr lang="en-US" sz="1100" b="0" i="1">
                            <a:solidFill>
                              <a:schemeClr val="tx1"/>
                            </a:solidFill>
                            <a:effectLst/>
                            <a:latin typeface="Cambria Math" panose="02040503050406030204" pitchFamily="18" charset="0"/>
                            <a:ea typeface="+mn-ea"/>
                            <a:cs typeface="+mn-cs"/>
                          </a:rPr>
                          <m:t>𝑆𝐸𝐸𝑅</m:t>
                        </m:r>
                        <m:r>
                          <a:rPr lang="en-US" sz="1100" b="0" i="1">
                            <a:solidFill>
                              <a:schemeClr val="tx1"/>
                            </a:solidFill>
                            <a:effectLst/>
                            <a:latin typeface="Cambria Math" panose="02040503050406030204" pitchFamily="18" charset="0"/>
                            <a:ea typeface="+mn-ea"/>
                            <a:cs typeface="+mn-cs"/>
                          </a:rPr>
                          <m:t>∗1000 </m:t>
                        </m:r>
                        <m:f>
                          <m:fPr>
                            <m:type m:val="skw"/>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𝑊</m:t>
                            </m:r>
                          </m:num>
                          <m:den>
                            <m:r>
                              <a:rPr lang="en-US" sz="1100" b="0" i="1">
                                <a:solidFill>
                                  <a:schemeClr val="tx1"/>
                                </a:solidFill>
                                <a:effectLst/>
                                <a:latin typeface="Cambria Math" panose="02040503050406030204" pitchFamily="18" charset="0"/>
                                <a:ea typeface="+mn-ea"/>
                                <a:cs typeface="+mn-cs"/>
                              </a:rPr>
                              <m:t>𝑘𝑊</m:t>
                            </m:r>
                          </m:den>
                        </m:f>
                      </m:den>
                    </m:f>
                  </m:oMath>
                </m:oMathPara>
              </a14:m>
              <a:endParaRPr lang="en-US" sz="1100"/>
            </a:p>
          </xdr:txBody>
        </xdr:sp>
      </mc:Choice>
      <mc:Fallback xmlns="">
        <xdr:sp macro="" textlink="">
          <xdr:nvSpPr>
            <xdr:cNvPr id="3" name="TextBox 2">
              <a:extLst>
                <a:ext uri="{FF2B5EF4-FFF2-40B4-BE49-F238E27FC236}">
                  <a16:creationId xmlns:a16="http://schemas.microsoft.com/office/drawing/2014/main" id="{29B4D114-BDFC-4F6F-9026-94C3E7FC6DEE}"/>
                </a:ext>
              </a:extLst>
            </xdr:cNvPr>
            <xdr:cNvSpPr txBox="1"/>
          </xdr:nvSpPr>
          <xdr:spPr>
            <a:xfrm>
              <a:off x="409576" y="8201026"/>
              <a:ext cx="2895600" cy="476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(〖𝐶𝐴𝑃〗_𝑐𝑜𝑜𝑙∗〖𝐸𝐹𝐿𝐻〗_𝑐𝑜𝑜𝑙∗〖𝐸𝑆𝐹〗_𝑐𝑜𝑜𝑙∗𝐼𝑆𝑅)/(𝑆𝐸𝐸𝑅∗1000 𝑊⁄𝑘𝑊)</a:t>
              </a:r>
              <a:endParaRPr lang="en-US" sz="1100"/>
            </a:p>
          </xdr:txBody>
        </xdr:sp>
      </mc:Fallback>
    </mc:AlternateContent>
    <xdr:clientData/>
  </xdr:oneCellAnchor>
  <xdr:oneCellAnchor>
    <xdr:from>
      <xdr:col>2</xdr:col>
      <xdr:colOff>18512</xdr:colOff>
      <xdr:row>39</xdr:row>
      <xdr:rowOff>180976</xdr:rowOff>
    </xdr:from>
    <xdr:ext cx="2353214" cy="2286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FB0376E-8D87-4AD0-ACF7-0A4F75671964}"/>
                </a:ext>
              </a:extLst>
            </xdr:cNvPr>
            <xdr:cNvSpPr txBox="1"/>
          </xdr:nvSpPr>
          <xdr:spPr>
            <a:xfrm>
              <a:off x="399512" y="9296401"/>
              <a:ext cx="2353214"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BFB0376E-8D87-4AD0-ACF7-0A4F75671964}"/>
                </a:ext>
              </a:extLst>
            </xdr:cNvPr>
            <xdr:cNvSpPr txBox="1"/>
          </xdr:nvSpPr>
          <xdr:spPr>
            <a:xfrm>
              <a:off x="399512" y="9296401"/>
              <a:ext cx="2353214"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28</xdr:row>
      <xdr:rowOff>9525</xdr:rowOff>
    </xdr:from>
    <xdr:ext cx="2712720" cy="1828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B9A2535-D297-4709-A70E-D8DF41170AA8}"/>
                </a:ext>
              </a:extLst>
            </xdr:cNvPr>
            <xdr:cNvSpPr txBox="1"/>
          </xdr:nvSpPr>
          <xdr:spPr>
            <a:xfrm>
              <a:off x="361950" y="8562975"/>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i="1">
                  <a:solidFill>
                    <a:sysClr val="windowText" lastClr="000000"/>
                  </a:solidFill>
                  <a:latin typeface="Cambria Math" panose="02040503050406030204" pitchFamily="18" charset="0"/>
                  <a:ea typeface="Cambria Math" panose="02040503050406030204" pitchFamily="18" charset="0"/>
                </a:rPr>
                <a:t> DAYS</a:t>
              </a:r>
            </a:p>
          </xdr:txBody>
        </xdr:sp>
      </mc:Choice>
      <mc:Fallback xmlns="">
        <xdr:sp macro="" textlink="">
          <xdr:nvSpPr>
            <xdr:cNvPr id="2" name="TextBox 1">
              <a:extLst>
                <a:ext uri="{FF2B5EF4-FFF2-40B4-BE49-F238E27FC236}">
                  <a16:creationId xmlns:a16="http://schemas.microsoft.com/office/drawing/2014/main" id="{CB9A2535-D297-4709-A70E-D8DF41170AA8}"/>
                </a:ext>
              </a:extLst>
            </xdr:cNvPr>
            <xdr:cNvSpPr txBox="1"/>
          </xdr:nvSpPr>
          <xdr:spPr>
            <a:xfrm>
              <a:off x="361950" y="8562975"/>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  − </a:t>
              </a:r>
              <a:r>
                <a:rPr lang="en-US" sz="1100" b="0" i="0">
                  <a:solidFill>
                    <a:schemeClr val="tx1"/>
                  </a:solidFill>
                  <a:effectLst/>
                  <a:latin typeface="Cambria Math" panose="02040503050406030204" pitchFamily="18" charset="0"/>
                  <a:ea typeface="+mn-ea"/>
                  <a:cs typeface="+mn-cs"/>
                </a:rPr>
                <a:t>𝐸_𝐻𝐸)</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a:solidFill>
                    <a:sysClr val="windowText" lastClr="000000"/>
                  </a:solidFill>
                  <a:latin typeface="Cambria Math" panose="02040503050406030204" pitchFamily="18" charset="0"/>
                  <a:ea typeface="Cambria Math" panose="02040503050406030204" pitchFamily="18" charset="0"/>
                </a:rPr>
                <a:t> DAYS</a:t>
              </a:r>
            </a:p>
          </xdr:txBody>
        </xdr:sp>
      </mc:Fallback>
    </mc:AlternateContent>
    <xdr:clientData/>
  </xdr:oneCellAnchor>
  <xdr:oneCellAnchor>
    <xdr:from>
      <xdr:col>2</xdr:col>
      <xdr:colOff>1</xdr:colOff>
      <xdr:row>53</xdr:row>
      <xdr:rowOff>9526</xdr:rowOff>
    </xdr:from>
    <xdr:ext cx="2705100" cy="25145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45AEA370-333C-4F80-945D-81C59C4A2886}"/>
                </a:ext>
              </a:extLst>
            </xdr:cNvPr>
            <xdr:cNvSpPr txBox="1"/>
          </xdr:nvSpPr>
          <xdr:spPr>
            <a:xfrm>
              <a:off x="361951" y="1316355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45AEA370-333C-4F80-945D-81C59C4A2886}"/>
                </a:ext>
              </a:extLst>
            </xdr:cNvPr>
            <xdr:cNvSpPr txBox="1"/>
          </xdr:nvSpPr>
          <xdr:spPr>
            <a:xfrm>
              <a:off x="361951" y="1316355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 ∆</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57</xdr:row>
      <xdr:rowOff>9526</xdr:rowOff>
    </xdr:from>
    <xdr:ext cx="272795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E9F4CC3C-3CC4-452F-A508-D7691A6CA88A}"/>
                </a:ext>
              </a:extLst>
            </xdr:cNvPr>
            <xdr:cNvSpPr txBox="1"/>
          </xdr:nvSpPr>
          <xdr:spPr>
            <a:xfrm>
              <a:off x="361950" y="1392555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E9F4CC3C-3CC4-452F-A508-D7691A6CA88A}"/>
                </a:ext>
              </a:extLst>
            </xdr:cNvPr>
            <xdr:cNvSpPr txBox="1"/>
          </xdr:nvSpPr>
          <xdr:spPr>
            <a:xfrm>
              <a:off x="361950" y="1392555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0</xdr:colOff>
      <xdr:row>33</xdr:row>
      <xdr:rowOff>161924</xdr:rowOff>
    </xdr:from>
    <xdr:ext cx="4505325" cy="207413"/>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359BBAB6-9E09-4044-9ABE-2B69C4AB328E}"/>
                </a:ext>
              </a:extLst>
            </xdr:cNvPr>
            <xdr:cNvSpPr txBox="1"/>
          </xdr:nvSpPr>
          <xdr:spPr>
            <a:xfrm>
              <a:off x="361950" y="9667874"/>
              <a:ext cx="4505325" cy="207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𝑝𝑟𝑒h𝑒𝑎𝑡</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𝐻𝐸</m:t>
                      </m:r>
                    </m:sub>
                  </m:sSub>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𝑐𝑜𝑛𝑣𝑒𝑐𝑡𝑖𝑜𝑛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𝐻𝐸</m:t>
                      </m:r>
                      <m:r>
                        <a:rPr lang="en-US" sz="1100" b="0" i="1">
                          <a:solidFill>
                            <a:schemeClr val="tx1"/>
                          </a:solidFill>
                          <a:effectLst/>
                          <a:latin typeface="Cambria Math" panose="02040503050406030204" pitchFamily="18" charset="0"/>
                          <a:ea typeface="+mn-ea"/>
                          <a:cs typeface="+mn-cs"/>
                        </a:rPr>
                        <m:t> </m:t>
                      </m:r>
                    </m:sub>
                  </m:sSub>
                  <m:r>
                    <a:rPr lang="en-US" sz="11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𝑠𝑡𝑒𝑎𝑚</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𝐻𝐸</m:t>
                      </m:r>
                      <m:r>
                        <a:rPr lang="en-US" sz="1100" b="0" i="1">
                          <a:solidFill>
                            <a:schemeClr val="tx1"/>
                          </a:solidFill>
                          <a:effectLst/>
                          <a:latin typeface="Cambria Math" panose="02040503050406030204" pitchFamily="18" charset="0"/>
                          <a:ea typeface="+mn-ea"/>
                          <a:cs typeface="+mn-cs"/>
                        </a:rPr>
                        <m:t> </m:t>
                      </m:r>
                    </m:sub>
                  </m:sSub>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 name="TextBox 4">
              <a:extLst>
                <a:ext uri="{FF2B5EF4-FFF2-40B4-BE49-F238E27FC236}">
                  <a16:creationId xmlns:a16="http://schemas.microsoft.com/office/drawing/2014/main" id="{359BBAB6-9E09-4044-9ABE-2B69C4AB328E}"/>
                </a:ext>
              </a:extLst>
            </xdr:cNvPr>
            <xdr:cNvSpPr txBox="1"/>
          </xdr:nvSpPr>
          <xdr:spPr>
            <a:xfrm>
              <a:off x="361950" y="9667874"/>
              <a:ext cx="4505325" cy="207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𝐸_𝐻𝐸  </a:t>
              </a:r>
              <a:r>
                <a:rPr lang="en-US" sz="1100" b="0" i="0">
                  <a:solidFill>
                    <a:sysClr val="windowText" lastClr="000000"/>
                  </a:solidFill>
                  <a:latin typeface="Cambria Math" panose="02040503050406030204" pitchFamily="18" charset="0"/>
                  <a:ea typeface="Cambria Math" panose="02040503050406030204" pitchFamily="18" charset="0"/>
                </a:rPr>
                <a:t>=( 𝐸_(𝑝𝑟𝑒ℎ𝑒𝑎𝑡, 𝐻𝐸)+ </a:t>
              </a:r>
              <a:r>
                <a:rPr lang="en-US" sz="1100" b="0" i="0">
                  <a:solidFill>
                    <a:schemeClr val="tx1"/>
                  </a:solidFill>
                  <a:effectLst/>
                  <a:latin typeface="Cambria Math" panose="02040503050406030204" pitchFamily="18" charset="0"/>
                  <a:ea typeface="+mn-ea"/>
                  <a:cs typeface="+mn-cs"/>
                </a:rPr>
                <a:t>𝐸_(𝑐𝑜𝑛𝑣𝑒𝑐𝑡𝑖𝑜𝑛, 𝐻𝐸 )+ 𝐸_(𝑠𝑡𝑒𝑎𝑚, 𝐻𝐸)+𝐸_(𝑖𝑑𝑙𝑒, 𝐻𝐸 )</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3693</xdr:colOff>
      <xdr:row>31</xdr:row>
      <xdr:rowOff>184669</xdr:rowOff>
    </xdr:from>
    <xdr:ext cx="5122117" cy="17354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0A642F2-BF49-4A0E-A72A-D8941D0CE4A4}"/>
                </a:ext>
              </a:extLst>
            </xdr:cNvPr>
            <xdr:cNvSpPr txBox="1"/>
          </xdr:nvSpPr>
          <xdr:spPr>
            <a:xfrm>
              <a:off x="365643" y="9585844"/>
              <a:ext cx="5122117" cy="1735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𝐵𝑎𝑠𝑒𝑙𝑖𝑛𝑒</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𝑝𝑟𝑒h𝑒𝑎𝑡</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𝑐𝑜𝑛𝑣𝑒𝑐𝑡𝑖𝑜𝑛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𝐵𝑎𝑠𝑒𝑙𝑖𝑛𝑒</m:t>
                      </m:r>
                      <m:r>
                        <a:rPr lang="en-US" sz="1100" b="0" i="1">
                          <a:solidFill>
                            <a:schemeClr val="tx1"/>
                          </a:solidFill>
                          <a:effectLst/>
                          <a:latin typeface="Cambria Math" panose="02040503050406030204" pitchFamily="18" charset="0"/>
                          <a:ea typeface="+mn-ea"/>
                          <a:cs typeface="+mn-cs"/>
                        </a:rPr>
                        <m:t> </m:t>
                      </m:r>
                    </m:sub>
                  </m:sSub>
                  <m:r>
                    <a:rPr lang="en-US" sz="11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 </m:t>
                  </m:r>
                  <m:sSub>
                    <m:sSubPr>
                      <m:ctrlPr>
                        <a:rPr lang="en-US" sz="1100" b="0" i="1">
                          <a:solidFill>
                            <a:schemeClr val="tx1"/>
                          </a:solidFill>
                          <a:effectLst/>
                          <a:latin typeface="Cambria Math" panose="02040503050406030204" pitchFamily="18" charset="0"/>
                          <a:ea typeface="+mn-ea"/>
                          <a:cs typeface="+mn-cs"/>
                        </a:rPr>
                      </m:ctrlPr>
                    </m:sSub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𝑠𝑡𝑒𝑎𝑚</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𝐵𝑎𝑠𝑒𝑙𝑖𝑛𝑒</m:t>
                          </m:r>
                          <m:r>
                            <a:rPr lang="en-US" sz="1100" b="0" i="1">
                              <a:solidFill>
                                <a:schemeClr val="tx1"/>
                              </a:solidFill>
                              <a:effectLst/>
                              <a:latin typeface="Cambria Math" panose="02040503050406030204" pitchFamily="18" charset="0"/>
                              <a:ea typeface="+mn-ea"/>
                              <a:cs typeface="+mn-cs"/>
                            </a:rPr>
                            <m:t> </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𝐵𝑎𝑠𝑒𝑙𝑖𝑛𝑒</m:t>
                      </m:r>
                      <m:r>
                        <a:rPr lang="en-US" sz="1100" b="0" i="1">
                          <a:solidFill>
                            <a:schemeClr val="tx1"/>
                          </a:solidFill>
                          <a:effectLst/>
                          <a:latin typeface="Cambria Math" panose="02040503050406030204" pitchFamily="18" charset="0"/>
                          <a:ea typeface="+mn-ea"/>
                          <a:cs typeface="+mn-cs"/>
                        </a:rPr>
                        <m:t> </m:t>
                      </m:r>
                    </m:sub>
                  </m:sSub>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6" name="TextBox 5">
              <a:extLst>
                <a:ext uri="{FF2B5EF4-FFF2-40B4-BE49-F238E27FC236}">
                  <a16:creationId xmlns:a16="http://schemas.microsoft.com/office/drawing/2014/main" id="{10A642F2-BF49-4A0E-A72A-D8941D0CE4A4}"/>
                </a:ext>
              </a:extLst>
            </xdr:cNvPr>
            <xdr:cNvSpPr txBox="1"/>
          </xdr:nvSpPr>
          <xdr:spPr>
            <a:xfrm>
              <a:off x="365643" y="9585844"/>
              <a:ext cx="5122117" cy="1735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𝐸_𝐵𝑎𝑠𝑒𝑙𝑖𝑛𝑒  </a:t>
              </a:r>
              <a:r>
                <a:rPr lang="en-US" sz="1100" b="0" i="0">
                  <a:solidFill>
                    <a:sysClr val="windowText" lastClr="000000"/>
                  </a:solidFill>
                  <a:latin typeface="Cambria Math" panose="02040503050406030204" pitchFamily="18" charset="0"/>
                  <a:ea typeface="Cambria Math" panose="02040503050406030204" pitchFamily="18" charset="0"/>
                </a:rPr>
                <a:t>=( 𝐸_(𝑝𝑟𝑒ℎ𝑒𝑎𝑡, 𝐵𝑎𝑠𝑒𝑙𝑖𝑛𝑒)+ </a:t>
              </a:r>
              <a:r>
                <a:rPr lang="en-US" sz="1100" b="0" i="0">
                  <a:solidFill>
                    <a:schemeClr val="tx1"/>
                  </a:solidFill>
                  <a:effectLst/>
                  <a:latin typeface="Cambria Math" panose="02040503050406030204" pitchFamily="18" charset="0"/>
                  <a:ea typeface="+mn-ea"/>
                  <a:cs typeface="+mn-cs"/>
                </a:rPr>
                <a:t>𝐸_(𝑐𝑜𝑛𝑣𝑒𝑐𝑡𝑖𝑜𝑛, 𝐵𝑎𝑠𝑒𝑙𝑖𝑛𝑒 )+ 〖𝐸_(𝑠𝑡𝑒𝑎𝑚, 𝐵𝑎𝑠𝑒𝑙𝑖𝑛𝑒 )+𝐸〗_(𝑖𝑑𝑙𝑒, 𝐵𝑎𝑠𝑒𝑙𝑖𝑛𝑒 )</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66675</xdr:colOff>
      <xdr:row>36</xdr:row>
      <xdr:rowOff>0</xdr:rowOff>
    </xdr:from>
    <xdr:ext cx="3400426" cy="25717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66A868EA-2008-440B-A0EB-D70FE59FF148}"/>
                </a:ext>
              </a:extLst>
            </xdr:cNvPr>
            <xdr:cNvSpPr txBox="1"/>
          </xdr:nvSpPr>
          <xdr:spPr>
            <a:xfrm>
              <a:off x="247650" y="10058400"/>
              <a:ext cx="340042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𝑐𝑜𝑛𝑣𝑒𝑐𝑡𝑖𝑜𝑛</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𝐸𝑃𝑀𝑐𝑜𝑛𝑣𝑒𝑐𝑡𝑖𝑜𝑛</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𝑀𝐴𝑆𝑆𝐷𝐴𝑌</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ƞ</m:t>
                        </m:r>
                      </m:e>
                      <m:sub>
                        <m:r>
                          <a:rPr lang="en-US" sz="1100" b="0" i="1">
                            <a:solidFill>
                              <a:schemeClr val="tx1"/>
                            </a:solidFill>
                            <a:effectLst/>
                            <a:latin typeface="Cambria Math" panose="02040503050406030204" pitchFamily="18" charset="0"/>
                            <a:ea typeface="+mn-ea"/>
                            <a:cs typeface="+mn-cs"/>
                          </a:rPr>
                          <m:t>𝑐𝑜𝑛𝑣𝑒𝑐𝑡𝑖𝑜𝑛</m:t>
                        </m:r>
                        <m:r>
                          <a:rPr lang="en-US" sz="1100" b="0" i="1">
                            <a:solidFill>
                              <a:schemeClr val="tx1"/>
                            </a:solidFill>
                            <a:effectLst/>
                            <a:latin typeface="Cambria Math" panose="02040503050406030204" pitchFamily="18" charset="0"/>
                            <a:ea typeface="+mn-ea"/>
                            <a:cs typeface="+mn-cs"/>
                          </a:rPr>
                          <m:t> </m:t>
                        </m:r>
                      </m:sub>
                    </m:sSub>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7" name="TextBox 6">
              <a:extLst>
                <a:ext uri="{FF2B5EF4-FFF2-40B4-BE49-F238E27FC236}">
                  <a16:creationId xmlns:a16="http://schemas.microsoft.com/office/drawing/2014/main" id="{66A868EA-2008-440B-A0EB-D70FE59FF148}"/>
                </a:ext>
              </a:extLst>
            </xdr:cNvPr>
            <xdr:cNvSpPr txBox="1"/>
          </xdr:nvSpPr>
          <xdr:spPr>
            <a:xfrm>
              <a:off x="247650" y="10058400"/>
              <a:ext cx="340042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𝐸_𝑐𝑜𝑛𝑣𝑒𝑐𝑡𝑖𝑜𝑛  </a:t>
              </a:r>
              <a:r>
                <a:rPr lang="en-US" sz="1100" b="0" i="0">
                  <a:solidFill>
                    <a:sysClr val="windowText" lastClr="000000"/>
                  </a:solidFill>
                  <a:latin typeface="Cambria Math" panose="02040503050406030204" pitchFamily="18" charset="0"/>
                  <a:ea typeface="Cambria Math" panose="02040503050406030204" pitchFamily="18" charset="0"/>
                </a:rPr>
                <a:t>=𝐸𝑃𝑀</a:t>
              </a:r>
              <a:r>
                <a:rPr lang="en-US" sz="1100" b="0" i="0" baseline="-25000">
                  <a:solidFill>
                    <a:schemeClr val="tx1"/>
                  </a:solidFill>
                  <a:effectLst/>
                  <a:latin typeface="Cambria Math" panose="02040503050406030204" pitchFamily="18" charset="0"/>
                  <a:ea typeface="+mn-ea"/>
                  <a:cs typeface="+mn-cs"/>
                </a:rPr>
                <a:t>𝑐𝑜𝑛𝑣𝑒𝑐𝑡𝑖𝑜𝑛</a:t>
              </a:r>
              <a:r>
                <a:rPr lang="en-US" sz="1100" b="0" i="0">
                  <a:solidFill>
                    <a:sysClr val="windowText" lastClr="000000"/>
                  </a:solidFill>
                  <a:latin typeface="Cambria Math" panose="02040503050406030204" pitchFamily="18" charset="0"/>
                  <a:ea typeface="Cambria Math" panose="02040503050406030204" pitchFamily="18" charset="0"/>
                </a:rPr>
                <a:t> ∗𝑀𝐴𝑆𝑆𝐷𝐴𝑌/ </a:t>
              </a:r>
              <a:r>
                <a:rPr lang="en-US" sz="1100" b="0" i="0">
                  <a:solidFill>
                    <a:schemeClr val="tx1"/>
                  </a:solidFill>
                  <a:effectLst/>
                  <a:latin typeface="Cambria Math" panose="02040503050406030204" pitchFamily="18" charset="0"/>
                  <a:ea typeface="+mn-ea"/>
                  <a:cs typeface="+mn-cs"/>
                </a:rPr>
                <a:t>ƞ_(𝑐𝑜𝑛𝑣𝑒𝑐𝑡𝑖𝑜𝑛 )</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76201</xdr:colOff>
      <xdr:row>38</xdr:row>
      <xdr:rowOff>0</xdr:rowOff>
    </xdr:from>
    <xdr:ext cx="2647950" cy="2571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4CBAB6EC-6C27-482C-8654-641304DA135F}"/>
                </a:ext>
              </a:extLst>
            </xdr:cNvPr>
            <xdr:cNvSpPr txBox="1"/>
          </xdr:nvSpPr>
          <xdr:spPr>
            <a:xfrm>
              <a:off x="257176" y="10420350"/>
              <a:ext cx="26479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𝑠𝑡𝑒𝑎𝑚</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𝐸𝑃𝑀𝑠𝑡𝑒𝑎𝑚</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𝑀𝐴𝑆𝑆𝐷𝐴𝑌</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ƞ</m:t>
                        </m:r>
                      </m:e>
                      <m:sub>
                        <m:r>
                          <a:rPr lang="en-US" sz="1100" b="0" i="1">
                            <a:solidFill>
                              <a:schemeClr val="tx1"/>
                            </a:solidFill>
                            <a:effectLst/>
                            <a:latin typeface="Cambria Math" panose="02040503050406030204" pitchFamily="18" charset="0"/>
                            <a:ea typeface="+mn-ea"/>
                            <a:cs typeface="+mn-cs"/>
                          </a:rPr>
                          <m:t>𝑠𝑡𝑒𝑎𝑚</m:t>
                        </m:r>
                      </m:sub>
                    </m:sSub>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4CBAB6EC-6C27-482C-8654-641304DA135F}"/>
                </a:ext>
              </a:extLst>
            </xdr:cNvPr>
            <xdr:cNvSpPr txBox="1"/>
          </xdr:nvSpPr>
          <xdr:spPr>
            <a:xfrm>
              <a:off x="257176" y="10420350"/>
              <a:ext cx="26479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𝐸_𝑠𝑡𝑒𝑎𝑚  </a:t>
              </a:r>
              <a:r>
                <a:rPr lang="en-US" sz="1100" b="0" i="0">
                  <a:solidFill>
                    <a:sysClr val="windowText" lastClr="000000"/>
                  </a:solidFill>
                  <a:latin typeface="Cambria Math" panose="02040503050406030204" pitchFamily="18" charset="0"/>
                  <a:ea typeface="Cambria Math" panose="02040503050406030204" pitchFamily="18" charset="0"/>
                </a:rPr>
                <a:t>=𝐸𝑃𝑀</a:t>
              </a:r>
              <a:r>
                <a:rPr lang="en-US" sz="1100" b="0" i="0" baseline="-25000">
                  <a:solidFill>
                    <a:sysClr val="windowText" lastClr="000000"/>
                  </a:solidFill>
                  <a:latin typeface="Cambria Math" panose="02040503050406030204" pitchFamily="18" charset="0"/>
                  <a:ea typeface="Cambria Math" panose="02040503050406030204" pitchFamily="18" charset="0"/>
                </a:rPr>
                <a:t>𝑠𝑡𝑒𝑎𝑚</a:t>
              </a:r>
              <a:r>
                <a:rPr lang="en-US" sz="1100" b="0" i="0">
                  <a:solidFill>
                    <a:sysClr val="windowText" lastClr="000000"/>
                  </a:solidFill>
                  <a:latin typeface="Cambria Math" panose="02040503050406030204" pitchFamily="18" charset="0"/>
                  <a:ea typeface="Cambria Math" panose="02040503050406030204" pitchFamily="18" charset="0"/>
                </a:rPr>
                <a:t> ∗𝑀𝐴𝑆𝑆𝐷𝐴𝑌/ </a:t>
              </a:r>
              <a:r>
                <a:rPr lang="en-US" sz="1100" b="0" i="0">
                  <a:solidFill>
                    <a:schemeClr val="tx1"/>
                  </a:solidFill>
                  <a:effectLst/>
                  <a:latin typeface="Cambria Math" panose="02040503050406030204" pitchFamily="18" charset="0"/>
                  <a:ea typeface="+mn-ea"/>
                  <a:cs typeface="+mn-cs"/>
                </a:rPr>
                <a:t>ƞ_𝑠𝑡𝑒𝑎𝑚</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42</xdr:row>
      <xdr:rowOff>0</xdr:rowOff>
    </xdr:from>
    <xdr:ext cx="4876800" cy="257175"/>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E3368394-C9C3-4D27-9D04-B6C07466C2FF}"/>
                </a:ext>
              </a:extLst>
            </xdr:cNvPr>
            <xdr:cNvSpPr txBox="1"/>
          </xdr:nvSpPr>
          <xdr:spPr>
            <a:xfrm>
              <a:off x="361950" y="1114425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𝑐𝑜𝑛𝑣𝑒𝑐𝑡𝑖𝑜𝑛</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𝑐𝑜𝑛𝑣𝑒𝑐𝑡𝑖𝑜𝑛</m:t>
                      </m:r>
                    </m:sub>
                  </m:sSub>
                </m:oMath>
              </a14:m>
              <a:r>
                <a:rPr lang="en-US" sz="1100" i="1">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oMath>
              </a14:m>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i="1" baseline="-250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𝑐𝑜𝑛𝑣𝑒𝑐𝑡𝑖𝑜𝑛</m:t>
                      </m:r>
                      <m:r>
                        <a:rPr lang="en-US" sz="1100" b="0" i="1">
                          <a:solidFill>
                            <a:schemeClr val="tx1"/>
                          </a:solidFill>
                          <a:effectLst/>
                          <a:latin typeface="Cambria Math" panose="02040503050406030204" pitchFamily="18" charset="0"/>
                          <a:ea typeface="+mn-ea"/>
                          <a:cs typeface="+mn-cs"/>
                        </a:rPr>
                        <m:t> </m:t>
                      </m:r>
                    </m:sub>
                  </m:sSub>
                </m:oMath>
              </a14:m>
              <a:r>
                <a:rPr lang="en-US" sz="1100" i="0">
                  <a:solidFill>
                    <a:schemeClr val="tx1"/>
                  </a:solidFill>
                  <a:effectLst/>
                  <a:latin typeface="+mn-lt"/>
                  <a:ea typeface="+mn-ea"/>
                  <a:cs typeface="+mn-cs"/>
                </a:rPr>
                <a:t> </a:t>
              </a:r>
              <a:endParaRPr lang="en-US" sz="11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E3368394-C9C3-4D27-9D04-B6C07466C2FF}"/>
                </a:ext>
              </a:extLst>
            </xdr:cNvPr>
            <xdr:cNvSpPr txBox="1"/>
          </xdr:nvSpPr>
          <xdr:spPr>
            <a:xfrm>
              <a:off x="361950" y="1114425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𝐸_(𝑖𝑑𝑙𝑒,𝑐𝑜𝑛𝑣𝑒𝑐𝑡𝑖𝑜𝑛)</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𝑃_(𝑖𝑑𝑙𝑒, 𝑐𝑜𝑛𝑣𝑒𝑐𝑡𝑖𝑜𝑛)</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i="1" baseline="-250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𝑡_(𝑖𝑑𝑙𝑒, 𝑐𝑜𝑛𝑣𝑒𝑐𝑡𝑖𝑜𝑛 )</a:t>
              </a:r>
              <a:r>
                <a:rPr lang="en-US" sz="1100" i="0">
                  <a:solidFill>
                    <a:schemeClr val="tx1"/>
                  </a:solidFill>
                  <a:effectLst/>
                  <a:latin typeface="+mn-lt"/>
                  <a:ea typeface="+mn-ea"/>
                  <a:cs typeface="+mn-cs"/>
                </a:rPr>
                <a:t> </a:t>
              </a:r>
              <a:endParaRPr lang="en-US" sz="11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19049</xdr:colOff>
      <xdr:row>46</xdr:row>
      <xdr:rowOff>9525</xdr:rowOff>
    </xdr:from>
    <xdr:ext cx="3781425" cy="304800"/>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F8F8FD43-E01A-43A8-9951-320968B7E3E8}"/>
                </a:ext>
              </a:extLst>
            </xdr:cNvPr>
            <xdr:cNvSpPr txBox="1"/>
          </xdr:nvSpPr>
          <xdr:spPr>
            <a:xfrm>
              <a:off x="380999" y="11877675"/>
              <a:ext cx="3781425"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𝑐𝑜𝑛𝑣𝑒𝑐𝑡𝑖𝑜𝑛</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𝐷𝐴𝑌𝐻𝑅𝑆</m:t>
                  </m:r>
                  <m:r>
                    <a:rPr lang="en-US" sz="1100" b="0" i="1">
                      <a:solidFill>
                        <a:sysClr val="windowText" lastClr="000000"/>
                      </a:solidFill>
                      <a:latin typeface="Cambria Math" panose="02040503050406030204" pitchFamily="18" charset="0"/>
                      <a:ea typeface="Cambria Math" panose="02040503050406030204" pitchFamily="18" charset="0"/>
                    </a:rPr>
                    <m:t> −</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𝑀𝐴𝑆𝑆𝐷𝐴𝑌</m:t>
                          </m:r>
                        </m:num>
                        <m:den>
                          <m:r>
                            <a:rPr lang="en-US" sz="1100" b="0" i="1">
                              <a:solidFill>
                                <a:schemeClr val="tx1"/>
                              </a:solidFill>
                              <a:effectLst/>
                              <a:latin typeface="Cambria Math" panose="02040503050406030204" pitchFamily="18" charset="0"/>
                              <a:ea typeface="+mn-ea"/>
                              <a:cs typeface="+mn-cs"/>
                            </a:rPr>
                            <m:t>𝐶𝐴𝑃𝑐𝑜𝑛𝑣𝑒𝑐𝑡𝑖𝑜𝑛</m:t>
                          </m:r>
                        </m:den>
                      </m:f>
                    </m:e>
                  </m:d>
                </m:oMath>
              </a14:m>
              <a:r>
                <a:rPr lang="en-US" sz="1100" i="1">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𝑡</m:t>
                          </m:r>
                          <m:r>
                            <a:rPr lang="en-US" sz="1100" b="0" i="1" baseline="-25000">
                              <a:solidFill>
                                <a:schemeClr val="tx1"/>
                              </a:solidFill>
                              <a:effectLst/>
                              <a:latin typeface="Cambria Math" panose="02040503050406030204" pitchFamily="18" charset="0"/>
                              <a:ea typeface="+mn-ea"/>
                              <a:cs typeface="+mn-cs"/>
                            </a:rPr>
                            <m:t>𝑝𝑟𝑒h𝑒𝑎𝑡</m:t>
                          </m:r>
                        </m:num>
                        <m:den>
                          <m:r>
                            <a:rPr lang="en-US" sz="1100" b="0" i="1">
                              <a:solidFill>
                                <a:schemeClr val="tx1"/>
                              </a:solidFill>
                              <a:effectLst/>
                              <a:latin typeface="Cambria Math" panose="02040503050406030204" pitchFamily="18" charset="0"/>
                              <a:ea typeface="+mn-ea"/>
                              <a:cs typeface="+mn-cs"/>
                            </a:rPr>
                            <m:t>60</m:t>
                          </m:r>
                        </m:den>
                      </m:f>
                    </m:e>
                  </m:d>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0" name="TextBox 9">
              <a:extLst>
                <a:ext uri="{FF2B5EF4-FFF2-40B4-BE49-F238E27FC236}">
                  <a16:creationId xmlns:a16="http://schemas.microsoft.com/office/drawing/2014/main" id="{F8F8FD43-E01A-43A8-9951-320968B7E3E8}"/>
                </a:ext>
              </a:extLst>
            </xdr:cNvPr>
            <xdr:cNvSpPr txBox="1"/>
          </xdr:nvSpPr>
          <xdr:spPr>
            <a:xfrm>
              <a:off x="380999" y="11877675"/>
              <a:ext cx="3781425"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𝑡_(𝑖𝑑𝑙𝑒,𝑐𝑜𝑛𝑣𝑒𝑐𝑡𝑖𝑜𝑛)  </a:t>
              </a:r>
              <a:r>
                <a:rPr lang="en-US" sz="1100" b="0" i="0">
                  <a:solidFill>
                    <a:sysClr val="windowText" lastClr="000000"/>
                  </a:solidFill>
                  <a:latin typeface="Cambria Math" panose="02040503050406030204" pitchFamily="18" charset="0"/>
                  <a:ea typeface="Cambria Math" panose="02040503050406030204" pitchFamily="18" charset="0"/>
                </a:rPr>
                <a:t>=  𝐷𝐴𝑌𝐻𝑅𝑆 −(</a:t>
              </a:r>
              <a:r>
                <a:rPr lang="en-US" sz="1100" b="0" i="0">
                  <a:solidFill>
                    <a:schemeClr val="tx1"/>
                  </a:solidFill>
                  <a:effectLst/>
                  <a:latin typeface="Cambria Math" panose="02040503050406030204" pitchFamily="18" charset="0"/>
                  <a:ea typeface="+mn-ea"/>
                  <a:cs typeface="+mn-cs"/>
                </a:rPr>
                <a:t>𝑀𝐴𝑆𝑆𝐷𝐴𝑌/𝐶𝐴𝑃𝑐𝑜𝑛𝑣𝑒𝑐𝑡𝑖𝑜𝑛)</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 (𝑡</a:t>
              </a:r>
              <a:r>
                <a:rPr lang="en-US" sz="1100" b="0" i="0" baseline="-25000">
                  <a:solidFill>
                    <a:schemeClr val="tx1"/>
                  </a:solidFill>
                  <a:effectLst/>
                  <a:latin typeface="Cambria Math" panose="02040503050406030204" pitchFamily="18" charset="0"/>
                  <a:ea typeface="+mn-ea"/>
                  <a:cs typeface="+mn-cs"/>
                </a:rPr>
                <a:t>𝑝𝑟𝑒ℎ𝑒𝑎𝑡/</a:t>
              </a:r>
              <a:r>
                <a:rPr lang="en-US" sz="1100" b="0" i="0">
                  <a:solidFill>
                    <a:schemeClr val="tx1"/>
                  </a:solidFill>
                  <a:effectLst/>
                  <a:latin typeface="Cambria Math" panose="02040503050406030204" pitchFamily="18" charset="0"/>
                  <a:ea typeface="+mn-ea"/>
                  <a:cs typeface="+mn-cs"/>
                </a:rPr>
                <a:t>60)</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19050</xdr:colOff>
      <xdr:row>48</xdr:row>
      <xdr:rowOff>142875</xdr:rowOff>
    </xdr:from>
    <xdr:ext cx="3781425" cy="304800"/>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38D7709E-B349-406E-976A-A4870412671D}"/>
                </a:ext>
              </a:extLst>
            </xdr:cNvPr>
            <xdr:cNvSpPr txBox="1"/>
          </xdr:nvSpPr>
          <xdr:spPr>
            <a:xfrm>
              <a:off x="381000" y="12372975"/>
              <a:ext cx="3781425"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𝑠𝑡𝑒𝑎𝑚</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𝐷𝐴𝑌𝐻𝑅𝑆</m:t>
                  </m:r>
                  <m:r>
                    <a:rPr lang="en-US" sz="1100" b="0" i="1">
                      <a:solidFill>
                        <a:sysClr val="windowText" lastClr="000000"/>
                      </a:solidFill>
                      <a:latin typeface="Cambria Math" panose="02040503050406030204" pitchFamily="18" charset="0"/>
                      <a:ea typeface="Cambria Math" panose="02040503050406030204" pitchFamily="18" charset="0"/>
                    </a:rPr>
                    <m:t> −</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𝑀𝐴𝑆𝑆𝐷𝐴𝑌</m:t>
                          </m:r>
                        </m:num>
                        <m:den>
                          <m:r>
                            <a:rPr lang="en-US" sz="1100" b="0" i="1">
                              <a:solidFill>
                                <a:schemeClr val="tx1"/>
                              </a:solidFill>
                              <a:effectLst/>
                              <a:latin typeface="Cambria Math" panose="02040503050406030204" pitchFamily="18" charset="0"/>
                              <a:ea typeface="+mn-ea"/>
                              <a:cs typeface="+mn-cs"/>
                            </a:rPr>
                            <m:t>𝐶𝐴𝑃𝑠𝑡𝑒𝑎𝑚</m:t>
                          </m:r>
                        </m:den>
                      </m:f>
                    </m:e>
                  </m:d>
                </m:oMath>
              </a14:m>
              <a:r>
                <a:rPr lang="en-US" sz="1100" i="1">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𝑡</m:t>
                          </m:r>
                          <m:r>
                            <a:rPr lang="en-US" sz="1100" b="0" i="1" baseline="-25000">
                              <a:solidFill>
                                <a:schemeClr val="tx1"/>
                              </a:solidFill>
                              <a:effectLst/>
                              <a:latin typeface="Cambria Math" panose="02040503050406030204" pitchFamily="18" charset="0"/>
                              <a:ea typeface="+mn-ea"/>
                              <a:cs typeface="+mn-cs"/>
                            </a:rPr>
                            <m:t>𝑝𝑟𝑒h𝑒𝑎𝑡</m:t>
                          </m:r>
                        </m:num>
                        <m:den>
                          <m:r>
                            <a:rPr lang="en-US" sz="1100" b="0" i="1">
                              <a:solidFill>
                                <a:schemeClr val="tx1"/>
                              </a:solidFill>
                              <a:effectLst/>
                              <a:latin typeface="Cambria Math" panose="02040503050406030204" pitchFamily="18" charset="0"/>
                              <a:ea typeface="+mn-ea"/>
                              <a:cs typeface="+mn-cs"/>
                            </a:rPr>
                            <m:t>60</m:t>
                          </m:r>
                        </m:den>
                      </m:f>
                    </m:e>
                  </m:d>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38D7709E-B349-406E-976A-A4870412671D}"/>
                </a:ext>
              </a:extLst>
            </xdr:cNvPr>
            <xdr:cNvSpPr txBox="1"/>
          </xdr:nvSpPr>
          <xdr:spPr>
            <a:xfrm>
              <a:off x="381000" y="12372975"/>
              <a:ext cx="3781425"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𝑡_(𝑖𝑑𝑙𝑒,𝑠𝑡𝑒𝑎𝑚)  </a:t>
              </a:r>
              <a:r>
                <a:rPr lang="en-US" sz="1100" b="0" i="0">
                  <a:solidFill>
                    <a:sysClr val="windowText" lastClr="000000"/>
                  </a:solidFill>
                  <a:latin typeface="Cambria Math" panose="02040503050406030204" pitchFamily="18" charset="0"/>
                  <a:ea typeface="Cambria Math" panose="02040503050406030204" pitchFamily="18" charset="0"/>
                </a:rPr>
                <a:t>=  𝐷𝐴𝑌𝐻𝑅𝑆 −(</a:t>
              </a:r>
              <a:r>
                <a:rPr lang="en-US" sz="1100" b="0" i="0">
                  <a:solidFill>
                    <a:schemeClr val="tx1"/>
                  </a:solidFill>
                  <a:effectLst/>
                  <a:latin typeface="Cambria Math" panose="02040503050406030204" pitchFamily="18" charset="0"/>
                  <a:ea typeface="+mn-ea"/>
                  <a:cs typeface="+mn-cs"/>
                </a:rPr>
                <a:t>𝑀𝐴𝑆𝑆𝐷𝐴𝑌/𝐶𝐴𝑃𝑠𝑡𝑒𝑎𝑚)</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 (𝑡</a:t>
              </a:r>
              <a:r>
                <a:rPr lang="en-US" sz="1100" b="0" i="0" baseline="-25000">
                  <a:solidFill>
                    <a:schemeClr val="tx1"/>
                  </a:solidFill>
                  <a:effectLst/>
                  <a:latin typeface="Cambria Math" panose="02040503050406030204" pitchFamily="18" charset="0"/>
                  <a:ea typeface="+mn-ea"/>
                  <a:cs typeface="+mn-cs"/>
                </a:rPr>
                <a:t>𝑝𝑟𝑒ℎ𝑒𝑎𝑡/</a:t>
              </a:r>
              <a:r>
                <a:rPr lang="en-US" sz="1100" b="0" i="0">
                  <a:solidFill>
                    <a:schemeClr val="tx1"/>
                  </a:solidFill>
                  <a:effectLst/>
                  <a:latin typeface="Cambria Math" panose="02040503050406030204" pitchFamily="18" charset="0"/>
                  <a:ea typeface="+mn-ea"/>
                  <a:cs typeface="+mn-cs"/>
                </a:rPr>
                <a:t>60)</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44</xdr:row>
      <xdr:rowOff>0</xdr:rowOff>
    </xdr:from>
    <xdr:ext cx="4876800" cy="257175"/>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108C462A-7F39-401B-B6BD-14DEDE7A89BF}"/>
                </a:ext>
              </a:extLst>
            </xdr:cNvPr>
            <xdr:cNvSpPr txBox="1"/>
          </xdr:nvSpPr>
          <xdr:spPr>
            <a:xfrm>
              <a:off x="361950" y="1150620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𝑠𝑡𝑒𝑎𝑚</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𝑠𝑡𝑒𝑎𝑚</m:t>
                      </m:r>
                    </m:sub>
                  </m:sSub>
                </m:oMath>
              </a14:m>
              <a:r>
                <a:rPr lang="en-US" sz="1100" i="1">
                  <a:solidFill>
                    <a:schemeClr val="tx1"/>
                  </a:solidFill>
                  <a:effectLst/>
                  <a:latin typeface="+mn-lt"/>
                  <a:ea typeface="+mn-ea"/>
                  <a:cs typeface="+mn-cs"/>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oMath>
              </a14:m>
              <a:r>
                <a:rPr lang="en-US" sz="1100" i="1" baseline="0">
                  <a:solidFill>
                    <a:schemeClr val="tx1"/>
                  </a:solidFill>
                  <a:effectLst/>
                  <a:latin typeface="+mn-lt"/>
                  <a:ea typeface="+mn-ea"/>
                  <a:cs typeface="+mn-cs"/>
                </a:rPr>
                <a:t> </a:t>
              </a:r>
              <a:r>
                <a:rPr lang="en-US" sz="1100" i="1" baseline="-25000">
                  <a:solidFill>
                    <a:schemeClr val="tx1"/>
                  </a:solidFill>
                  <a:effectLst/>
                  <a:latin typeface="+mn-lt"/>
                  <a:ea typeface="+mn-ea"/>
                  <a:cs typeface="+mn-cs"/>
                </a:rPr>
                <a:t> </a:t>
              </a:r>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𝑠𝑡𝑒𝑎𝑚</m:t>
                      </m:r>
                    </m:sub>
                  </m:sSub>
                </m:oMath>
              </a14:m>
              <a:endParaRPr lang="en-US" sz="11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108C462A-7F39-401B-B6BD-14DEDE7A89BF}"/>
                </a:ext>
              </a:extLst>
            </xdr:cNvPr>
            <xdr:cNvSpPr txBox="1"/>
          </xdr:nvSpPr>
          <xdr:spPr>
            <a:xfrm>
              <a:off x="361950" y="1150620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𝐸_(𝑖𝑑𝑙𝑒,𝑠𝑡𝑒𝑎𝑚)</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𝑃_(𝑖𝑑𝑙𝑒,𝑠𝑡𝑒𝑎𝑚)</a:t>
              </a:r>
              <a:r>
                <a:rPr lang="en-US" sz="1100" i="1">
                  <a:solidFill>
                    <a:schemeClr val="tx1"/>
                  </a:solidFill>
                  <a:effectLst/>
                  <a:latin typeface="+mn-lt"/>
                  <a:ea typeface="+mn-ea"/>
                  <a:cs typeface="+mn-cs"/>
                </a:rPr>
                <a:t> </a:t>
              </a:r>
              <a:r>
                <a:rPr lang="en-US" sz="1100" b="0" i="0">
                  <a:solidFill>
                    <a:schemeClr val="tx1"/>
                  </a:solidFill>
                  <a:effectLst/>
                  <a:latin typeface="Cambria Math" panose="02040503050406030204" pitchFamily="18" charset="0"/>
                  <a:ea typeface="+mn-ea"/>
                  <a:cs typeface="+mn-cs"/>
                </a:rPr>
                <a:t>∗</a:t>
              </a:r>
              <a:r>
                <a:rPr lang="en-US" sz="1100" i="1" baseline="0">
                  <a:solidFill>
                    <a:schemeClr val="tx1"/>
                  </a:solidFill>
                  <a:effectLst/>
                  <a:latin typeface="+mn-lt"/>
                  <a:ea typeface="+mn-ea"/>
                  <a:cs typeface="+mn-cs"/>
                </a:rPr>
                <a:t> </a:t>
              </a:r>
              <a:r>
                <a:rPr lang="en-US" sz="1100" i="1" baseline="-25000">
                  <a:solidFill>
                    <a:schemeClr val="tx1"/>
                  </a:solidFill>
                  <a:effectLst/>
                  <a:latin typeface="+mn-lt"/>
                  <a:ea typeface="+mn-ea"/>
                  <a:cs typeface="+mn-cs"/>
                </a:rPr>
                <a:t> </a:t>
              </a:r>
              <a:r>
                <a:rPr lang="en-US" sz="1100" b="0" i="0">
                  <a:solidFill>
                    <a:schemeClr val="tx1"/>
                  </a:solidFill>
                  <a:effectLst/>
                  <a:latin typeface="Cambria Math" panose="02040503050406030204" pitchFamily="18" charset="0"/>
                  <a:ea typeface="+mn-ea"/>
                  <a:cs typeface="+mn-cs"/>
                </a:rPr>
                <a:t>𝑡_(𝑖𝑑𝑙𝑒,𝑠𝑡𝑒𝑎𝑚)</a:t>
              </a:r>
              <a:endParaRPr lang="en-US" sz="11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40</xdr:row>
      <xdr:rowOff>0</xdr:rowOff>
    </xdr:from>
    <xdr:ext cx="4876800" cy="257175"/>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37373678-7D30-48F6-A18E-4A476437F015}"/>
                </a:ext>
              </a:extLst>
            </xdr:cNvPr>
            <xdr:cNvSpPr txBox="1"/>
          </xdr:nvSpPr>
          <xdr:spPr>
            <a:xfrm>
              <a:off x="361950" y="1078230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𝑐𝑜𝑛𝑣𝑒𝑐𝑡𝑖𝑜𝑛</m:t>
                      </m:r>
                    </m:sub>
                  </m:sSub>
                </m:oMath>
              </a14:m>
              <a:r>
                <a:rPr lang="en-US" sz="1100" i="1">
                  <a:solidFill>
                    <a:sysClr val="windowText" lastClr="000000"/>
                  </a:solidFill>
                  <a:latin typeface="Cambria Math" panose="02040503050406030204" pitchFamily="18" charset="0"/>
                  <a:ea typeface="Cambria Math" panose="02040503050406030204" pitchFamily="18" charset="0"/>
                </a:rPr>
                <a:t> </a:t>
              </a:r>
              <a:r>
                <a:rPr lang="en-US" sz="1100" i="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𝑠𝑡𝑒𝑎𝑚</m:t>
                      </m:r>
                    </m:sub>
                  </m:sSub>
                </m:oMath>
              </a14:m>
              <a:r>
                <a:rPr lang="en-US" sz="1100" i="1">
                  <a:solidFill>
                    <a:schemeClr val="tx1"/>
                  </a:solidFill>
                  <a:effectLst/>
                  <a:latin typeface="+mn-lt"/>
                  <a:ea typeface="+mn-ea"/>
                  <a:cs typeface="+mn-cs"/>
                </a:rPr>
                <a:t> </a:t>
              </a:r>
              <a:r>
                <a:rPr lang="en-US" sz="1100" i="0">
                  <a:solidFill>
                    <a:schemeClr val="tx1"/>
                  </a:solidFill>
                  <a:effectLst/>
                  <a:latin typeface="+mn-lt"/>
                  <a:ea typeface="+mn-ea"/>
                  <a:cs typeface="+mn-cs"/>
                </a:rPr>
                <a:t> </a:t>
              </a:r>
              <a:endParaRPr lang="en-US" sz="11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37373678-7D30-48F6-A18E-4A476437F015}"/>
                </a:ext>
              </a:extLst>
            </xdr:cNvPr>
            <xdr:cNvSpPr txBox="1"/>
          </xdr:nvSpPr>
          <xdr:spPr>
            <a:xfrm>
              <a:off x="361950" y="1078230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𝐸_𝑖𝑑𝑙𝑒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𝐸_(𝑖𝑑𝑙𝑒, 𝑐𝑜𝑛𝑣𝑒𝑐𝑡𝑖𝑜𝑛)</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i="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𝐸_(𝑖𝑑𝑙𝑒,𝑠𝑡𝑒𝑎𝑚)</a:t>
              </a:r>
              <a:r>
                <a:rPr lang="en-US" sz="1100" i="1">
                  <a:solidFill>
                    <a:schemeClr val="tx1"/>
                  </a:solidFill>
                  <a:effectLst/>
                  <a:latin typeface="+mn-lt"/>
                  <a:ea typeface="+mn-ea"/>
                  <a:cs typeface="+mn-cs"/>
                </a:rPr>
                <a:t> </a:t>
              </a:r>
              <a:r>
                <a:rPr lang="en-US" sz="1100" i="0">
                  <a:solidFill>
                    <a:schemeClr val="tx1"/>
                  </a:solidFill>
                  <a:effectLst/>
                  <a:latin typeface="+mn-lt"/>
                  <a:ea typeface="+mn-ea"/>
                  <a:cs typeface="+mn-cs"/>
                </a:rPr>
                <a:t> </a:t>
              </a:r>
              <a:endParaRPr lang="en-US" sz="11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50.xml><?xml version="1.0" encoding="utf-8"?>
<xdr:wsDr xmlns:xdr="http://schemas.openxmlformats.org/drawingml/2006/spreadsheetDrawing" xmlns:a="http://schemas.openxmlformats.org/drawingml/2006/main">
  <xdr:oneCellAnchor>
    <xdr:from>
      <xdr:col>1</xdr:col>
      <xdr:colOff>57150</xdr:colOff>
      <xdr:row>28</xdr:row>
      <xdr:rowOff>28575</xdr:rowOff>
    </xdr:from>
    <xdr:ext cx="5148891" cy="26059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86623A3-E564-4AB2-9EAA-FFD3F13074B4}"/>
                </a:ext>
              </a:extLst>
            </xdr:cNvPr>
            <xdr:cNvSpPr txBox="1"/>
          </xdr:nvSpPr>
          <xdr:spPr>
            <a:xfrm>
              <a:off x="238125" y="6724650"/>
              <a:ext cx="5148891"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𝐴𝐶</m:t>
                        </m:r>
                      </m:e>
                      <m:sub>
                        <m:r>
                          <a:rPr lang="en-US" sz="1100" b="0" i="1">
                            <a:solidFill>
                              <a:sysClr val="windowText" lastClr="000000"/>
                            </a:solidFill>
                            <a:effectLst/>
                            <a:latin typeface="Cambria Math" panose="02040503050406030204" pitchFamily="18" charset="0"/>
                            <a:ea typeface="+mn-ea"/>
                            <a:cs typeface="+mn-cs"/>
                          </a:rPr>
                          <m:t>𝑐𝑎𝑝</m:t>
                        </m:r>
                      </m:sub>
                    </m:sSub>
                    <m:r>
                      <a:rPr lang="en-US" sz="1100" b="0" i="1">
                        <a:solidFill>
                          <a:sysClr val="windowText" lastClr="000000"/>
                        </a:solidFill>
                        <a:latin typeface="Cambria Math" panose="02040503050406030204" pitchFamily="18" charset="0"/>
                        <a:ea typeface="Cambria Math" panose="02040503050406030204" pitchFamily="18" charset="0"/>
                      </a:rPr>
                      <m:t>/ 1000 ∗ (1 / (</m:t>
                    </m:r>
                    <m:r>
                      <a:rPr lang="en-US" sz="1100" b="0" i="1">
                        <a:solidFill>
                          <a:sysClr val="windowText" lastClr="000000"/>
                        </a:solidFill>
                        <a:latin typeface="Cambria Math" panose="02040503050406030204" pitchFamily="18" charset="0"/>
                        <a:ea typeface="Cambria Math" panose="02040503050406030204" pitchFamily="18" charset="0"/>
                      </a:rPr>
                      <m:t>𝐶𝐸𝐸𝑅</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𝑜𝑟</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𝑆𝐸𝐸𝑅</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𝑠𝑣𝑔𝑠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𝑎𝑐</m:t>
                        </m:r>
                      </m:sub>
                    </m:sSub>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𝑃𝐹</m:t>
                    </m:r>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𝐸𝐹𝐿𝐻</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2" name="TextBox 1">
              <a:extLst>
                <a:ext uri="{FF2B5EF4-FFF2-40B4-BE49-F238E27FC236}">
                  <a16:creationId xmlns:a16="http://schemas.microsoft.com/office/drawing/2014/main" id="{A86623A3-E564-4AB2-9EAA-FFD3F13074B4}"/>
                </a:ext>
              </a:extLst>
            </xdr:cNvPr>
            <xdr:cNvSpPr txBox="1"/>
          </xdr:nvSpPr>
          <xdr:spPr>
            <a:xfrm>
              <a:off x="238125" y="6724650"/>
              <a:ext cx="5148891"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a:t>
              </a:r>
              <a:r>
                <a:rPr lang="en-US" sz="1100" b="0" i="0">
                  <a:solidFill>
                    <a:sysClr val="windowText" lastClr="000000"/>
                  </a:solidFill>
                  <a:effectLst/>
                  <a:latin typeface="Cambria Math" panose="02040503050406030204" pitchFamily="18" charset="0"/>
                  <a:ea typeface="+mn-ea"/>
                  <a:cs typeface="+mn-cs"/>
                </a:rPr>
                <a:t>𝐴𝐶</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𝑐𝑎𝑝</a:t>
              </a:r>
              <a:r>
                <a:rPr lang="en-US" sz="1100" b="0" i="0">
                  <a:solidFill>
                    <a:sysClr val="windowText" lastClr="000000"/>
                  </a:solidFill>
                  <a:latin typeface="Cambria Math" panose="02040503050406030204" pitchFamily="18" charset="0"/>
                  <a:ea typeface="Cambria Math" panose="02040503050406030204" pitchFamily="18" charset="0"/>
                </a:rPr>
                <a:t>/ 1000 ∗ (1 / (𝐶𝐸𝐸𝑅 𝑜𝑟 𝑆𝐸𝐸𝑅)) ∗ </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𝑠𝑣𝑔𝑠,𝑎𝑐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 ∗ 𝑃𝐹 ∗ 𝐸𝐹𝐿𝐻</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75121</xdr:colOff>
      <xdr:row>32</xdr:row>
      <xdr:rowOff>34507</xdr:rowOff>
    </xdr:from>
    <xdr:ext cx="5059033" cy="26059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AA113F5-AC4F-43A0-9035-3216A79B4CCB}"/>
                </a:ext>
              </a:extLst>
            </xdr:cNvPr>
            <xdr:cNvSpPr txBox="1"/>
          </xdr:nvSpPr>
          <xdr:spPr>
            <a:xfrm>
              <a:off x="256096" y="7578307"/>
              <a:ext cx="5059033"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𝐴𝐶</m:t>
                      </m:r>
                    </m:e>
                    <m:sub>
                      <m:r>
                        <a:rPr lang="en-US" sz="1100" b="0" i="1">
                          <a:solidFill>
                            <a:sysClr val="windowText" lastClr="000000"/>
                          </a:solidFill>
                          <a:effectLst/>
                          <a:latin typeface="Cambria Math" panose="02040503050406030204" pitchFamily="18" charset="0"/>
                          <a:ea typeface="+mn-ea"/>
                          <a:cs typeface="+mn-cs"/>
                        </a:rPr>
                        <m:t>𝑐𝑎𝑝</m:t>
                      </m:r>
                    </m:sub>
                  </m:sSub>
                  <m:r>
                    <a:rPr lang="en-US" sz="1100" b="0" i="1">
                      <a:solidFill>
                        <a:sysClr val="windowText" lastClr="000000"/>
                      </a:solidFill>
                      <a:latin typeface="Cambria Math" panose="02040503050406030204" pitchFamily="18" charset="0"/>
                      <a:ea typeface="Cambria Math" panose="02040503050406030204" pitchFamily="18" charset="0"/>
                    </a:rPr>
                    <m:t>/ 1000 ∗ (1 / (</m:t>
                  </m:r>
                  <m:r>
                    <a:rPr lang="en-US" sz="1100" b="0" i="1">
                      <a:solidFill>
                        <a:sysClr val="windowText" lastClr="000000"/>
                      </a:solidFill>
                      <a:latin typeface="Cambria Math" panose="02040503050406030204" pitchFamily="18" charset="0"/>
                      <a:ea typeface="Cambria Math" panose="02040503050406030204" pitchFamily="18" charset="0"/>
                    </a:rPr>
                    <m:t>𝐶𝐸𝐸𝑅</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𝑜𝑟</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𝑆𝐸𝐸𝑅</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𝑠𝑣𝑔𝑠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𝑎𝑐</m:t>
                      </m:r>
                    </m:sub>
                  </m:sSub>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𝑃𝐹</m:t>
                  </m:r>
                </m:oMath>
              </a14:m>
              <a:r>
                <a:rPr lang="en-US" sz="1100">
                  <a:solidFill>
                    <a:sysClr val="windowText" lastClr="000000"/>
                  </a:solidFill>
                  <a:latin typeface="Cambria Math" panose="02040503050406030204" pitchFamily="18" charset="0"/>
                  <a:ea typeface="Cambria Math" panose="02040503050406030204" pitchFamily="18" charset="0"/>
                </a:rPr>
                <a:t>* CF</a:t>
              </a:r>
            </a:p>
          </xdr:txBody>
        </xdr:sp>
      </mc:Choice>
      <mc:Fallback xmlns="">
        <xdr:sp macro="" textlink="">
          <xdr:nvSpPr>
            <xdr:cNvPr id="3" name="TextBox 2">
              <a:extLst>
                <a:ext uri="{FF2B5EF4-FFF2-40B4-BE49-F238E27FC236}">
                  <a16:creationId xmlns:a16="http://schemas.microsoft.com/office/drawing/2014/main" id="{5AA113F5-AC4F-43A0-9035-3216A79B4CCB}"/>
                </a:ext>
              </a:extLst>
            </xdr:cNvPr>
            <xdr:cNvSpPr txBox="1"/>
          </xdr:nvSpPr>
          <xdr:spPr>
            <a:xfrm>
              <a:off x="256096" y="7578307"/>
              <a:ext cx="5059033"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ysClr val="windowText" lastClr="000000"/>
                  </a:solidFill>
                  <a:effectLst/>
                  <a:latin typeface="Cambria Math" panose="02040503050406030204" pitchFamily="18" charset="0"/>
                  <a:ea typeface="+mn-ea"/>
                  <a:cs typeface="+mn-cs"/>
                </a:rPr>
                <a:t>𝐴𝐶</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𝑐𝑎𝑝</a:t>
              </a:r>
              <a:r>
                <a:rPr lang="en-US" sz="1100" b="0" i="0">
                  <a:solidFill>
                    <a:sysClr val="windowText" lastClr="000000"/>
                  </a:solidFill>
                  <a:latin typeface="Cambria Math" panose="02040503050406030204" pitchFamily="18" charset="0"/>
                  <a:ea typeface="Cambria Math" panose="02040503050406030204" pitchFamily="18" charset="0"/>
                </a:rPr>
                <a:t>/ 1000 ∗ (1 / (𝐶𝐸𝐸𝑅 𝑜𝑟 𝑆𝐸𝐸𝑅)) ∗ </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𝑠𝑣𝑔𝑠,𝑎𝑐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 ∗ 𝑃𝐹</a:t>
              </a:r>
              <a:r>
                <a:rPr lang="en-US" sz="1100">
                  <a:solidFill>
                    <a:sysClr val="windowText" lastClr="000000"/>
                  </a:solidFill>
                  <a:latin typeface="Cambria Math" panose="02040503050406030204" pitchFamily="18" charset="0"/>
                  <a:ea typeface="Cambria Math" panose="02040503050406030204" pitchFamily="18" charset="0"/>
                </a:rPr>
                <a:t>* CF</a:t>
              </a:r>
            </a:p>
          </xdr:txBody>
        </xdr:sp>
      </mc:Fallback>
    </mc:AlternateContent>
    <xdr:clientData/>
  </xdr:oneCellAnchor>
  <xdr:oneCellAnchor>
    <xdr:from>
      <xdr:col>1</xdr:col>
      <xdr:colOff>84107</xdr:colOff>
      <xdr:row>36</xdr:row>
      <xdr:rowOff>40978</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E141347-3411-4A36-9603-7DA66D2A6FBA}"/>
                </a:ext>
              </a:extLst>
            </xdr:cNvPr>
            <xdr:cNvSpPr txBox="1"/>
          </xdr:nvSpPr>
          <xdr:spPr>
            <a:xfrm>
              <a:off x="265082" y="8422978"/>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2E141347-3411-4A36-9603-7DA66D2A6FBA}"/>
                </a:ext>
              </a:extLst>
            </xdr:cNvPr>
            <xdr:cNvSpPr txBox="1"/>
          </xdr:nvSpPr>
          <xdr:spPr>
            <a:xfrm>
              <a:off x="265082" y="8422978"/>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wsDr>
</file>

<file path=xl/drawings/drawing51.xml><?xml version="1.0" encoding="utf-8"?>
<xdr:wsDr xmlns:xdr="http://schemas.openxmlformats.org/drawingml/2006/spreadsheetDrawing" xmlns:a="http://schemas.openxmlformats.org/drawingml/2006/main">
  <xdr:oneCellAnchor>
    <xdr:from>
      <xdr:col>1</xdr:col>
      <xdr:colOff>62901</xdr:colOff>
      <xdr:row>27</xdr:row>
      <xdr:rowOff>26956</xdr:rowOff>
    </xdr:from>
    <xdr:ext cx="5148891" cy="26059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C81F8A8-F4CA-4860-AFA2-EB5868197944}"/>
                </a:ext>
              </a:extLst>
            </xdr:cNvPr>
            <xdr:cNvSpPr txBox="1"/>
          </xdr:nvSpPr>
          <xdr:spPr>
            <a:xfrm>
              <a:off x="243876" y="7970806"/>
              <a:ext cx="5148891"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𝐴𝐶</m:t>
                        </m:r>
                      </m:e>
                      <m:sub>
                        <m:r>
                          <a:rPr lang="en-US" sz="1100" b="0" i="1">
                            <a:solidFill>
                              <a:sysClr val="windowText" lastClr="000000"/>
                            </a:solidFill>
                            <a:effectLst/>
                            <a:latin typeface="Cambria Math" panose="02040503050406030204" pitchFamily="18" charset="0"/>
                            <a:ea typeface="+mn-ea"/>
                            <a:cs typeface="+mn-cs"/>
                          </a:rPr>
                          <m:t>𝑐𝑎𝑝</m:t>
                        </m:r>
                      </m:sub>
                    </m:sSub>
                    <m:r>
                      <a:rPr lang="en-US" sz="1100" b="0" i="1">
                        <a:solidFill>
                          <a:sysClr val="windowText" lastClr="000000"/>
                        </a:solidFill>
                        <a:latin typeface="Cambria Math" panose="02040503050406030204" pitchFamily="18" charset="0"/>
                        <a:ea typeface="Cambria Math" panose="02040503050406030204" pitchFamily="18" charset="0"/>
                      </a:rPr>
                      <m:t>/ 1000 ∗ (1 / (</m:t>
                    </m:r>
                    <m:r>
                      <a:rPr lang="en-US" sz="1100" b="0" i="1">
                        <a:solidFill>
                          <a:sysClr val="windowText" lastClr="000000"/>
                        </a:solidFill>
                        <a:latin typeface="Cambria Math" panose="02040503050406030204" pitchFamily="18" charset="0"/>
                        <a:ea typeface="Cambria Math" panose="02040503050406030204" pitchFamily="18" charset="0"/>
                      </a:rPr>
                      <m:t>𝐶𝐸𝐸𝑅</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𝑜𝑟</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𝑆𝐸𝐸𝑅</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𝑠𝑣𝑔𝑠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𝑎𝑐</m:t>
                        </m:r>
                      </m:sub>
                    </m:sSub>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𝑃𝐹</m:t>
                    </m:r>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𝐸𝐹𝐿𝐻</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𝑊𝐻𝐹</m:t>
                        </m:r>
                      </m:sub>
                    </m:sSub>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2" name="TextBox 1">
              <a:extLst>
                <a:ext uri="{FF2B5EF4-FFF2-40B4-BE49-F238E27FC236}">
                  <a16:creationId xmlns:a16="http://schemas.microsoft.com/office/drawing/2014/main" id="{0C81F8A8-F4CA-4860-AFA2-EB5868197944}"/>
                </a:ext>
              </a:extLst>
            </xdr:cNvPr>
            <xdr:cNvSpPr txBox="1"/>
          </xdr:nvSpPr>
          <xdr:spPr>
            <a:xfrm>
              <a:off x="243876" y="7970806"/>
              <a:ext cx="5148891"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a:t>
              </a:r>
              <a:r>
                <a:rPr lang="en-US" sz="1100" b="0" i="0">
                  <a:solidFill>
                    <a:sysClr val="windowText" lastClr="000000"/>
                  </a:solidFill>
                  <a:effectLst/>
                  <a:latin typeface="Cambria Math" panose="02040503050406030204" pitchFamily="18" charset="0"/>
                  <a:ea typeface="+mn-ea"/>
                  <a:cs typeface="+mn-cs"/>
                </a:rPr>
                <a:t>𝐴𝐶</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𝑐𝑎𝑝</a:t>
              </a:r>
              <a:r>
                <a:rPr lang="en-US" sz="1100" b="0" i="0">
                  <a:solidFill>
                    <a:sysClr val="windowText" lastClr="000000"/>
                  </a:solidFill>
                  <a:latin typeface="Cambria Math" panose="02040503050406030204" pitchFamily="18" charset="0"/>
                  <a:ea typeface="Cambria Math" panose="02040503050406030204" pitchFamily="18" charset="0"/>
                </a:rPr>
                <a:t>/ 1000 ∗ (1 / (𝐶𝐸𝐸𝑅 𝑜𝑟 𝑆𝐸𝐸𝑅)) ∗ </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𝑠𝑣𝑔𝑠,𝑎𝑐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 ∗ 𝑃𝐹 ∗ 𝐸𝐹𝐿𝐻 − 〖</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𝑊𝐻𝐹</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80872</xdr:colOff>
      <xdr:row>31</xdr:row>
      <xdr:rowOff>35943</xdr:rowOff>
    </xdr:from>
    <xdr:ext cx="5059033" cy="26059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91E3B8F-B259-4F42-84FE-D35D82D5874B}"/>
                </a:ext>
              </a:extLst>
            </xdr:cNvPr>
            <xdr:cNvSpPr txBox="1"/>
          </xdr:nvSpPr>
          <xdr:spPr>
            <a:xfrm>
              <a:off x="261847" y="8827518"/>
              <a:ext cx="5059033"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𝐴𝐶</m:t>
                      </m:r>
                    </m:e>
                    <m:sub>
                      <m:r>
                        <a:rPr lang="en-US" sz="1100" b="0" i="1">
                          <a:solidFill>
                            <a:sysClr val="windowText" lastClr="000000"/>
                          </a:solidFill>
                          <a:effectLst/>
                          <a:latin typeface="Cambria Math" panose="02040503050406030204" pitchFamily="18" charset="0"/>
                          <a:ea typeface="+mn-ea"/>
                          <a:cs typeface="+mn-cs"/>
                        </a:rPr>
                        <m:t>𝑐𝑎𝑝</m:t>
                      </m:r>
                    </m:sub>
                  </m:sSub>
                  <m:r>
                    <a:rPr lang="en-US" sz="1100" b="0" i="1">
                      <a:solidFill>
                        <a:sysClr val="windowText" lastClr="000000"/>
                      </a:solidFill>
                      <a:latin typeface="Cambria Math" panose="02040503050406030204" pitchFamily="18" charset="0"/>
                      <a:ea typeface="Cambria Math" panose="02040503050406030204" pitchFamily="18" charset="0"/>
                    </a:rPr>
                    <m:t>/ 1000 ∗ (1 / (</m:t>
                  </m:r>
                  <m:r>
                    <a:rPr lang="en-US" sz="1100" b="0" i="1">
                      <a:solidFill>
                        <a:sysClr val="windowText" lastClr="000000"/>
                      </a:solidFill>
                      <a:latin typeface="Cambria Math" panose="02040503050406030204" pitchFamily="18" charset="0"/>
                      <a:ea typeface="Cambria Math" panose="02040503050406030204" pitchFamily="18" charset="0"/>
                    </a:rPr>
                    <m:t>𝐶𝐸𝐸𝑅</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𝑜𝑟</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𝑆𝐸𝐸𝑅</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𝑠𝑣𝑔𝑠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𝑎𝑐</m:t>
                      </m:r>
                    </m:sub>
                  </m:sSub>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𝑃𝐹</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𝑊𝐻𝐹</m:t>
                      </m:r>
                    </m:sub>
                  </m:sSub>
                </m:oMath>
              </a14:m>
              <a:r>
                <a:rPr lang="en-US" sz="1100">
                  <a:solidFill>
                    <a:sysClr val="windowText" lastClr="000000"/>
                  </a:solidFill>
                  <a:latin typeface="Cambria Math" panose="02040503050406030204" pitchFamily="18" charset="0"/>
                  <a:ea typeface="Cambria Math" panose="02040503050406030204" pitchFamily="18" charset="0"/>
                </a:rPr>
                <a:t>) * CF</a:t>
              </a:r>
            </a:p>
          </xdr:txBody>
        </xdr:sp>
      </mc:Choice>
      <mc:Fallback xmlns="">
        <xdr:sp macro="" textlink="">
          <xdr:nvSpPr>
            <xdr:cNvPr id="3" name="TextBox 2">
              <a:extLst>
                <a:ext uri="{FF2B5EF4-FFF2-40B4-BE49-F238E27FC236}">
                  <a16:creationId xmlns:a16="http://schemas.microsoft.com/office/drawing/2014/main" id="{191E3B8F-B259-4F42-84FE-D35D82D5874B}"/>
                </a:ext>
              </a:extLst>
            </xdr:cNvPr>
            <xdr:cNvSpPr txBox="1"/>
          </xdr:nvSpPr>
          <xdr:spPr>
            <a:xfrm>
              <a:off x="261847" y="8827518"/>
              <a:ext cx="5059033"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ysClr val="windowText" lastClr="000000"/>
                  </a:solidFill>
                  <a:effectLst/>
                  <a:latin typeface="Cambria Math" panose="02040503050406030204" pitchFamily="18" charset="0"/>
                  <a:ea typeface="+mn-ea"/>
                  <a:cs typeface="+mn-cs"/>
                </a:rPr>
                <a:t>𝐴𝐶</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𝑐𝑎𝑝</a:t>
              </a:r>
              <a:r>
                <a:rPr lang="en-US" sz="1100" b="0" i="0">
                  <a:solidFill>
                    <a:sysClr val="windowText" lastClr="000000"/>
                  </a:solidFill>
                  <a:latin typeface="Cambria Math" panose="02040503050406030204" pitchFamily="18" charset="0"/>
                  <a:ea typeface="Cambria Math" panose="02040503050406030204" pitchFamily="18" charset="0"/>
                </a:rPr>
                <a:t>/ 1000 ∗ (1 / (𝐶𝐸𝐸𝑅 𝑜𝑟 𝑆𝐸𝐸𝑅)) ∗ </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𝑠𝑣𝑔𝑠,𝑎𝑐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 ∗ 𝑃𝐹 − 〖</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𝑊𝐻𝐹</a:t>
              </a:r>
              <a:r>
                <a:rPr lang="en-US" sz="1100">
                  <a:solidFill>
                    <a:sysClr val="windowText" lastClr="000000"/>
                  </a:solidFill>
                  <a:latin typeface="Cambria Math" panose="02040503050406030204" pitchFamily="18" charset="0"/>
                  <a:ea typeface="Cambria Math" panose="02040503050406030204" pitchFamily="18" charset="0"/>
                </a:rPr>
                <a:t>) * CF</a:t>
              </a:r>
            </a:p>
          </xdr:txBody>
        </xdr:sp>
      </mc:Fallback>
    </mc:AlternateContent>
    <xdr:clientData/>
  </xdr:oneCellAnchor>
  <xdr:oneCellAnchor>
    <xdr:from>
      <xdr:col>1</xdr:col>
      <xdr:colOff>89858</xdr:colOff>
      <xdr:row>35</xdr:row>
      <xdr:rowOff>44930</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6D9A3D8-BC3E-4E0E-999D-E73D7A1751AB}"/>
                </a:ext>
              </a:extLst>
            </xdr:cNvPr>
            <xdr:cNvSpPr txBox="1"/>
          </xdr:nvSpPr>
          <xdr:spPr>
            <a:xfrm>
              <a:off x="270833" y="967470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06D9A3D8-BC3E-4E0E-999D-E73D7A1751AB}"/>
                </a:ext>
              </a:extLst>
            </xdr:cNvPr>
            <xdr:cNvSpPr txBox="1"/>
          </xdr:nvSpPr>
          <xdr:spPr>
            <a:xfrm>
              <a:off x="270833" y="967470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wsDr>
</file>

<file path=xl/drawings/drawing52.xml><?xml version="1.0" encoding="utf-8"?>
<xdr:wsDr xmlns:xdr="http://schemas.openxmlformats.org/drawingml/2006/spreadsheetDrawing" xmlns:a="http://schemas.openxmlformats.org/drawingml/2006/main">
  <xdr:oneCellAnchor>
    <xdr:from>
      <xdr:col>2</xdr:col>
      <xdr:colOff>1</xdr:colOff>
      <xdr:row>33</xdr:row>
      <xdr:rowOff>9525</xdr:rowOff>
    </xdr:from>
    <xdr:ext cx="4876799" cy="2063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1390855-901A-4643-9AEA-EE2FDB196CED}"/>
                </a:ext>
              </a:extLst>
            </xdr:cNvPr>
            <xdr:cNvSpPr txBox="1"/>
          </xdr:nvSpPr>
          <xdr:spPr>
            <a:xfrm>
              <a:off x="361951" y="9925050"/>
              <a:ext cx="4876799" cy="2063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chemeClr val="tx1"/>
                      </a:solidFill>
                      <a:effectLst/>
                      <a:latin typeface="Cambria Math" panose="02040503050406030204" pitchFamily="18" charset="0"/>
                      <a:ea typeface="+mn-ea"/>
                      <a:cs typeface="+mn-cs"/>
                    </a:rPr>
                    <m:t>∆</m:t>
                  </m:r>
                </m:oMath>
              </a14:m>
              <a:r>
                <a:rPr lang="en-US" sz="1100" b="0" i="1">
                  <a:solidFill>
                    <a:schemeClr val="tx1"/>
                  </a:solidFill>
                  <a:effectLst/>
                  <a:latin typeface="+mn-lt"/>
                  <a:ea typeface="+mn-ea"/>
                  <a:cs typeface="+mn-cs"/>
                </a:rPr>
                <a:t>kW</a:t>
              </a:r>
              <a14:m>
                <m:oMath xmlns:m="http://schemas.openxmlformats.org/officeDocument/2006/math">
                  <m:r>
                    <a:rPr lang="en-US" sz="1100" b="0" i="1">
                      <a:latin typeface="Cambria Math" panose="02040503050406030204" pitchFamily="18" charset="0"/>
                      <a:ea typeface="Cambria Math" panose="02040503050406030204" pitchFamily="18" charset="0"/>
                    </a:rPr>
                    <m:t>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𝐿𝐸𝐷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latin typeface="Cambria Math" panose="02040503050406030204" pitchFamily="18" charset="0"/>
                      <a:ea typeface="Cambria Math" panose="02040503050406030204" pitchFamily="18" charset="0"/>
                    </a:rPr>
                    <m:t>𝑑𝑎𝑦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𝑦𝑟</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a14:m>
              <a:endParaRPr lang="en-US" sz="1100"/>
            </a:p>
          </xdr:txBody>
        </xdr:sp>
      </mc:Choice>
      <mc:Fallback xmlns="">
        <xdr:sp macro="" textlink="">
          <xdr:nvSpPr>
            <xdr:cNvPr id="2" name="TextBox 1">
              <a:extLst>
                <a:ext uri="{FF2B5EF4-FFF2-40B4-BE49-F238E27FC236}">
                  <a16:creationId xmlns:a16="http://schemas.microsoft.com/office/drawing/2014/main" id="{51390855-901A-4643-9AEA-EE2FDB196CED}"/>
                </a:ext>
              </a:extLst>
            </xdr:cNvPr>
            <xdr:cNvSpPr txBox="1"/>
          </xdr:nvSpPr>
          <xdr:spPr>
            <a:xfrm>
              <a:off x="361951" y="9925050"/>
              <a:ext cx="4876799" cy="2063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chemeClr val="tx1"/>
                  </a:solidFill>
                  <a:effectLst/>
                  <a:latin typeface="Cambria Math" panose="02040503050406030204" pitchFamily="18" charset="0"/>
                  <a:ea typeface="+mn-ea"/>
                  <a:cs typeface="+mn-cs"/>
                </a:rPr>
                <a:t>∆</a:t>
              </a:r>
              <a:r>
                <a:rPr lang="en-US" sz="1100" b="0" i="1">
                  <a:solidFill>
                    <a:schemeClr val="tx1"/>
                  </a:solidFill>
                  <a:effectLst/>
                  <a:latin typeface="+mn-lt"/>
                  <a:ea typeface="+mn-ea"/>
                  <a:cs typeface="+mn-cs"/>
                </a:rPr>
                <a:t>kW</a:t>
              </a:r>
              <a:r>
                <a:rPr lang="en-US" sz="1100" b="0" i="0">
                  <a:latin typeface="Cambria Math" panose="02040503050406030204" pitchFamily="18" charset="0"/>
                  <a:ea typeface="Cambria Math" panose="02040503050406030204" pitchFamily="18" charset="0"/>
                </a:rPr>
                <a:t>ℎ=(〖𝑘𝑊〗_𝑏𝑎𝑠𝑒−〖𝑘𝑊〗_𝐿𝐸𝐷 )∗𝐼𝑆𝑅∗𝐻𝑂𝑈∗365𝑑𝑎𝑦/𝑦𝑟∗</a:t>
              </a:r>
              <a:r>
                <a:rPr lang="en-US" sz="1100" b="0" i="0">
                  <a:solidFill>
                    <a:schemeClr val="tx1"/>
                  </a:solidFill>
                  <a:effectLst/>
                  <a:latin typeface="Cambria Math" panose="02040503050406030204" pitchFamily="18" charset="0"/>
                  <a:ea typeface="+mn-ea"/>
                  <a:cs typeface="+mn-cs"/>
                </a:rPr>
                <a:t>(1+〖𝑊𝐻〗_(𝐶,𝐸)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28</xdr:row>
      <xdr:rowOff>171449</xdr:rowOff>
    </xdr:from>
    <xdr:ext cx="4981575" cy="23812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C4DE2A8B-206C-436E-A54E-5A72D4C4F277}"/>
                </a:ext>
              </a:extLst>
            </xdr:cNvPr>
            <xdr:cNvSpPr txBox="1"/>
          </xdr:nvSpPr>
          <xdr:spPr>
            <a:xfrm>
              <a:off x="368300" y="9134474"/>
              <a:ext cx="49815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chemeClr val="tx1"/>
                      </a:solidFill>
                      <a:effectLst/>
                      <a:latin typeface="Cambria Math" panose="02040503050406030204" pitchFamily="18" charset="0"/>
                      <a:ea typeface="+mn-ea"/>
                      <a:cs typeface="+mn-cs"/>
                    </a:rPr>
                    <m:t>∆</m:t>
                  </m:r>
                </m:oMath>
              </a14:m>
              <a:r>
                <a:rPr lang="en-US" sz="1100" b="0" i="1">
                  <a:ea typeface="Cambria Math" panose="02040503050406030204" pitchFamily="18" charset="0"/>
                </a:rPr>
                <a:t>kW </a:t>
              </a:r>
              <a14:m>
                <m:oMath xmlns:m="http://schemas.openxmlformats.org/officeDocument/2006/math">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𝐿𝐸𝐷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a14:m>
              <a:endParaRPr lang="en-US" sz="1100"/>
            </a:p>
          </xdr:txBody>
        </xdr:sp>
      </mc:Choice>
      <mc:Fallback xmlns="">
        <xdr:sp macro="" textlink="">
          <xdr:nvSpPr>
            <xdr:cNvPr id="7" name="TextBox 6">
              <a:extLst>
                <a:ext uri="{FF2B5EF4-FFF2-40B4-BE49-F238E27FC236}">
                  <a16:creationId xmlns:a16="http://schemas.microsoft.com/office/drawing/2014/main" id="{C4DE2A8B-206C-436E-A54E-5A72D4C4F277}"/>
                </a:ext>
              </a:extLst>
            </xdr:cNvPr>
            <xdr:cNvSpPr txBox="1"/>
          </xdr:nvSpPr>
          <xdr:spPr>
            <a:xfrm>
              <a:off x="368300" y="9134474"/>
              <a:ext cx="49815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chemeClr val="tx1"/>
                  </a:solidFill>
                  <a:effectLst/>
                  <a:latin typeface="Cambria Math" panose="02040503050406030204" pitchFamily="18" charset="0"/>
                  <a:ea typeface="+mn-ea"/>
                  <a:cs typeface="+mn-cs"/>
                </a:rPr>
                <a:t>∆</a:t>
              </a:r>
              <a:r>
                <a:rPr lang="en-US" sz="1100" b="0" i="1">
                  <a:ea typeface="Cambria Math" panose="02040503050406030204" pitchFamily="18" charset="0"/>
                </a:rPr>
                <a:t>kW </a:t>
              </a:r>
              <a:r>
                <a:rPr lang="en-US" sz="1100" b="0" i="0">
                  <a:latin typeface="Cambria Math" panose="02040503050406030204" pitchFamily="18" charset="0"/>
                  <a:ea typeface="Cambria Math" panose="02040503050406030204" pitchFamily="18" charset="0"/>
                </a:rPr>
                <a:t>=(〖𝑘𝑊〗_𝑏𝑎𝑠𝑒−〖𝑘𝑊〗_𝐿𝐸𝐷 )∗𝐼𝑆𝑅∗𝐶𝐹∗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37</xdr:row>
      <xdr:rowOff>6351</xdr:rowOff>
    </xdr:from>
    <xdr:ext cx="3914775" cy="185628"/>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434CADF1-5FC0-48A9-90AD-FDA46AB97855}"/>
                </a:ext>
              </a:extLst>
            </xdr:cNvPr>
            <xdr:cNvSpPr txBox="1"/>
          </xdr:nvSpPr>
          <xdr:spPr>
            <a:xfrm>
              <a:off x="339725" y="10683876"/>
              <a:ext cx="3914775"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𝑙𝑖𝑓𝑒𝑡𝑖𝑚𝑒</m:t>
                        </m:r>
                      </m:sub>
                    </m:sSub>
                    <m:r>
                      <a:rPr lang="en-US" sz="1100" b="0" i="1">
                        <a:solidFill>
                          <a:schemeClr val="tx1"/>
                        </a:solidFill>
                        <a:effectLst/>
                        <a:latin typeface="Cambria Math" panose="02040503050406030204" pitchFamily="18" charset="0"/>
                        <a:ea typeface="+mn-ea"/>
                        <a:cs typeface="+mn-cs"/>
                      </a:rPr>
                      <m:t> </m:t>
                    </m:r>
                    <m:r>
                      <a:rPr lang="en-US" sz="1100" b="0" i="1">
                        <a:latin typeface="Cambria Math" panose="02040503050406030204" pitchFamily="18" charset="0"/>
                        <a:ea typeface="Cambria Math" panose="02040503050406030204" pitchFamily="18" charset="0"/>
                      </a:rPr>
                      <m:t>= </m:t>
                    </m:r>
                    <m:r>
                      <a:rPr lang="en-US" sz="1100" i="1">
                        <a:solidFill>
                          <a:schemeClr val="tx1"/>
                        </a:solidFill>
                        <a:effectLst/>
                        <a:latin typeface="Cambria Math" panose="02040503050406030204" pitchFamily="18" charset="0"/>
                        <a:ea typeface="+mn-ea"/>
                        <a:cs typeface="+mn-cs"/>
                      </a:rPr>
                      <m:t>∆</m:t>
                    </m:r>
                    <m:r>
                      <m:rPr>
                        <m:nor/>
                      </m:rPr>
                      <a:rPr lang="en-US" sz="1100" b="0" i="1">
                        <a:solidFill>
                          <a:schemeClr val="tx1"/>
                        </a:solidFill>
                        <a:effectLst/>
                        <a:latin typeface="+mn-lt"/>
                        <a:ea typeface="+mn-ea"/>
                        <a:cs typeface="+mn-cs"/>
                      </a:rPr>
                      <m:t>kW</m:t>
                    </m:r>
                    <m:r>
                      <a:rPr lang="en-US" sz="1100" b="0" i="1">
                        <a:solidFill>
                          <a:schemeClr val="tx1"/>
                        </a:solidFill>
                        <a:effectLst/>
                        <a:latin typeface="Cambria Math" panose="02040503050406030204" pitchFamily="18" charset="0"/>
                        <a:ea typeface="+mn-ea"/>
                        <a:cs typeface="+mn-cs"/>
                      </a:rPr>
                      <m:t>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𝐿𝐸𝐷</m:t>
                        </m:r>
                      </m:sub>
                    </m:sSub>
                  </m:oMath>
                </m:oMathPara>
              </a14:m>
              <a:endParaRPr lang="en-US" sz="1100"/>
            </a:p>
          </xdr:txBody>
        </xdr:sp>
      </mc:Choice>
      <mc:Fallback xmlns="">
        <xdr:sp macro="" textlink="">
          <xdr:nvSpPr>
            <xdr:cNvPr id="11" name="TextBox 10">
              <a:extLst>
                <a:ext uri="{FF2B5EF4-FFF2-40B4-BE49-F238E27FC236}">
                  <a16:creationId xmlns:a16="http://schemas.microsoft.com/office/drawing/2014/main" id="{434CADF1-5FC0-48A9-90AD-FDA46AB97855}"/>
                </a:ext>
              </a:extLst>
            </xdr:cNvPr>
            <xdr:cNvSpPr txBox="1"/>
          </xdr:nvSpPr>
          <xdr:spPr>
            <a:xfrm>
              <a:off x="339725" y="10683876"/>
              <a:ext cx="3914775"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𝑘𝑊ℎ〗_𝑙𝑖𝑓𝑒𝑡𝑖𝑚𝑒  </a:t>
              </a:r>
              <a:r>
                <a:rPr lang="en-US" sz="1100" b="0" i="0">
                  <a:latin typeface="Cambria Math" panose="02040503050406030204" pitchFamily="18" charset="0"/>
                  <a:ea typeface="Cambria Math" panose="02040503050406030204" pitchFamily="18" charset="0"/>
                </a:rPr>
                <a:t>= </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"kW" ℎ∗〖𝐸𝑈𝐿〗_𝐿𝐸𝐷</a:t>
              </a:r>
              <a:endParaRPr lang="en-US" sz="1100"/>
            </a:p>
          </xdr:txBody>
        </xdr:sp>
      </mc:Fallback>
    </mc:AlternateContent>
    <xdr:clientData/>
  </xdr:oneCellAnchor>
  <xdr:oneCellAnchor>
    <xdr:from>
      <xdr:col>1</xdr:col>
      <xdr:colOff>171450</xdr:colOff>
      <xdr:row>41</xdr:row>
      <xdr:rowOff>7937</xdr:rowOff>
    </xdr:from>
    <xdr:ext cx="2241768" cy="191078"/>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648F3AEE-33A1-467E-BD26-DBEB324D7CD2}"/>
                </a:ext>
              </a:extLst>
            </xdr:cNvPr>
            <xdr:cNvSpPr txBox="1"/>
          </xdr:nvSpPr>
          <xdr:spPr>
            <a:xfrm>
              <a:off x="352425" y="11447462"/>
              <a:ext cx="22417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𝐼𝑛𝑡</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13" name="TextBox 12">
              <a:extLst>
                <a:ext uri="{FF2B5EF4-FFF2-40B4-BE49-F238E27FC236}">
                  <a16:creationId xmlns:a16="http://schemas.microsoft.com/office/drawing/2014/main" id="{648F3AEE-33A1-467E-BD26-DBEB324D7CD2}"/>
                </a:ext>
              </a:extLst>
            </xdr:cNvPr>
            <xdr:cNvSpPr txBox="1"/>
          </xdr:nvSpPr>
          <xdr:spPr>
            <a:xfrm>
              <a:off x="352425" y="11447462"/>
              <a:ext cx="22417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𝑊𝐻〗_(𝐶,𝐷)=</a:t>
              </a:r>
              <a:r>
                <a:rPr lang="en-US" sz="1100" b="0" i="0">
                  <a:solidFill>
                    <a:schemeClr val="tx1"/>
                  </a:solidFill>
                  <a:effectLst/>
                  <a:latin typeface="Cambria Math" panose="02040503050406030204" pitchFamily="18" charset="0"/>
                  <a:ea typeface="+mn-ea"/>
                  <a:cs typeface="+mn-cs"/>
                </a:rPr>
                <a:t>%_𝐶𝑜𝑜𝑙∗%_𝐼𝑛𝑡∗</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〖𝐼𝐸〗_(𝐶,𝐷)−1)</a:t>
              </a:r>
              <a:endParaRPr lang="en-US" sz="1100"/>
            </a:p>
          </xdr:txBody>
        </xdr:sp>
      </mc:Fallback>
    </mc:AlternateContent>
    <xdr:clientData/>
  </xdr:oneCellAnchor>
  <xdr:oneCellAnchor>
    <xdr:from>
      <xdr:col>1</xdr:col>
      <xdr:colOff>158750</xdr:colOff>
      <xdr:row>43</xdr:row>
      <xdr:rowOff>0</xdr:rowOff>
    </xdr:from>
    <xdr:ext cx="2150845" cy="191078"/>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4E0ECAD4-B520-432B-B457-64AF07D593DC}"/>
                </a:ext>
              </a:extLst>
            </xdr:cNvPr>
            <xdr:cNvSpPr txBox="1"/>
          </xdr:nvSpPr>
          <xdr:spPr>
            <a:xfrm>
              <a:off x="339725" y="11820525"/>
              <a:ext cx="2150845"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𝐼𝑛𝑡</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14" name="TextBox 13">
              <a:extLst>
                <a:ext uri="{FF2B5EF4-FFF2-40B4-BE49-F238E27FC236}">
                  <a16:creationId xmlns:a16="http://schemas.microsoft.com/office/drawing/2014/main" id="{4E0ECAD4-B520-432B-B457-64AF07D593DC}"/>
                </a:ext>
              </a:extLst>
            </xdr:cNvPr>
            <xdr:cNvSpPr txBox="1"/>
          </xdr:nvSpPr>
          <xdr:spPr>
            <a:xfrm>
              <a:off x="339725" y="11820525"/>
              <a:ext cx="2150845"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𝑊𝐻〗_(𝐶,𝐸)=</a:t>
              </a:r>
              <a:r>
                <a:rPr lang="en-US" sz="1100" b="0" i="0">
                  <a:solidFill>
                    <a:schemeClr val="tx1"/>
                  </a:solidFill>
                  <a:effectLst/>
                  <a:latin typeface="Cambria Math" panose="02040503050406030204" pitchFamily="18" charset="0"/>
                  <a:ea typeface="+mn-ea"/>
                  <a:cs typeface="+mn-cs"/>
                </a:rPr>
                <a:t>%_𝐶𝑜𝑜𝑙∗%_𝐼𝑛𝑡∗</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〖𝐼𝐸〗_(𝐶,𝐸)−1)</a:t>
              </a:r>
              <a:endParaRPr lang="en-US" sz="1100"/>
            </a:p>
          </xdr:txBody>
        </xdr:sp>
      </mc:Fallback>
    </mc:AlternateContent>
    <xdr:clientData/>
  </xdr:oneCellAnchor>
</xdr:wsDr>
</file>

<file path=xl/drawings/drawing53.xml><?xml version="1.0" encoding="utf-8"?>
<xdr:wsDr xmlns:xdr="http://schemas.openxmlformats.org/drawingml/2006/spreadsheetDrawing" xmlns:a="http://schemas.openxmlformats.org/drawingml/2006/main">
  <xdr:oneCellAnchor>
    <xdr:from>
      <xdr:col>1</xdr:col>
      <xdr:colOff>177801</xdr:colOff>
      <xdr:row>38</xdr:row>
      <xdr:rowOff>171450</xdr:rowOff>
    </xdr:from>
    <xdr:ext cx="4905374" cy="257176"/>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63E0A479-8523-48F8-96D8-860F99204D43}"/>
                </a:ext>
              </a:extLst>
            </xdr:cNvPr>
            <xdr:cNvSpPr txBox="1"/>
          </xdr:nvSpPr>
          <xdr:spPr>
            <a:xfrm>
              <a:off x="368301" y="10086975"/>
              <a:ext cx="4905374" cy="2571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𝑐𝑡𝑟𝑙</m:t>
                        </m:r>
                        <m:r>
                          <a:rPr lang="en-US" sz="1100" b="0" i="1">
                            <a:solidFill>
                              <a:schemeClr val="tx1"/>
                            </a:solidFill>
                            <a:effectLst/>
                            <a:latin typeface="Cambria Math" panose="02040503050406030204" pitchFamily="18" charset="0"/>
                            <a:ea typeface="+mn-ea"/>
                            <a:cs typeface="+mn-cs"/>
                          </a:rPr>
                          <m:t>,1</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latin typeface="Cambria Math" panose="02040503050406030204" pitchFamily="18" charset="0"/>
                        <a:ea typeface="Cambria Math" panose="02040503050406030204" pitchFamily="18" charset="0"/>
                      </a:rPr>
                      <m:t>𝑑𝑎𝑦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𝑦𝑟</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63E0A479-8523-48F8-96D8-860F99204D43}"/>
                </a:ext>
              </a:extLst>
            </xdr:cNvPr>
            <xdr:cNvSpPr txBox="1"/>
          </xdr:nvSpPr>
          <xdr:spPr>
            <a:xfrm>
              <a:off x="368301" y="10086975"/>
              <a:ext cx="4905374" cy="2571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a:t>
              </a:r>
              <a:r>
                <a:rPr lang="en-US" sz="1100" b="0" i="0">
                  <a:solidFill>
                    <a:schemeClr val="tx1"/>
                  </a:solidFill>
                  <a:effectLst/>
                  <a:latin typeface="Cambria Math" panose="02040503050406030204" pitchFamily="18" charset="0"/>
                  <a:ea typeface="+mn-ea"/>
                  <a:cs typeface="+mn-cs"/>
                </a:rPr>
                <a:t>〖𝑘𝑊〗_(𝑐𝑡𝑟𝑙,1)</a:t>
              </a:r>
              <a:r>
                <a:rPr lang="en-US" sz="1100" b="0" i="0">
                  <a:latin typeface="Cambria Math" panose="02040503050406030204" pitchFamily="18" charset="0"/>
                  <a:ea typeface="Cambria Math" panose="02040503050406030204" pitchFamily="18" charset="0"/>
                </a:rPr>
                <a:t>∗𝑅𝑇𝑅∗𝐼𝑆𝑅∗𝐻𝑂𝑈∗365𝑑𝑎𝑦/𝑦𝑟∗</a:t>
              </a:r>
              <a:r>
                <a:rPr lang="en-US" sz="1100" b="0" i="0">
                  <a:solidFill>
                    <a:schemeClr val="tx1"/>
                  </a:solidFill>
                  <a:effectLst/>
                  <a:latin typeface="Cambria Math" panose="02040503050406030204" pitchFamily="18" charset="0"/>
                  <a:ea typeface="+mn-ea"/>
                  <a:cs typeface="+mn-cs"/>
                </a:rPr>
                <a:t>(1+〖𝑊𝐻〗_(𝐶,𝐸)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30</xdr:row>
      <xdr:rowOff>171449</xdr:rowOff>
    </xdr:from>
    <xdr:ext cx="4819650" cy="2381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3EF9F9D7-63FE-483B-A183-F1F412FB0F4A}"/>
                </a:ext>
              </a:extLst>
            </xdr:cNvPr>
            <xdr:cNvSpPr txBox="1"/>
          </xdr:nvSpPr>
          <xdr:spPr>
            <a:xfrm>
              <a:off x="387350" y="8639174"/>
              <a:ext cx="48196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𝑐𝑡𝑟𝑙</m:t>
                        </m:r>
                        <m:r>
                          <a:rPr lang="en-US" sz="1100" b="0" i="1">
                            <a:solidFill>
                              <a:schemeClr val="tx1"/>
                            </a:solidFill>
                            <a:effectLst/>
                            <a:latin typeface="Cambria Math" panose="02040503050406030204" pitchFamily="18" charset="0"/>
                            <a:ea typeface="+mn-ea"/>
                            <a:cs typeface="+mn-cs"/>
                          </a:rPr>
                          <m:t>,1</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3EF9F9D7-63FE-483B-A183-F1F412FB0F4A}"/>
                </a:ext>
              </a:extLst>
            </xdr:cNvPr>
            <xdr:cNvSpPr txBox="1"/>
          </xdr:nvSpPr>
          <xdr:spPr>
            <a:xfrm>
              <a:off x="387350" y="8639174"/>
              <a:ext cx="48196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a:t>
              </a:r>
              <a:r>
                <a:rPr lang="en-US" sz="1100" b="0" i="0">
                  <a:solidFill>
                    <a:schemeClr val="tx1"/>
                  </a:solidFill>
                  <a:effectLst/>
                  <a:latin typeface="Cambria Math" panose="02040503050406030204" pitchFamily="18" charset="0"/>
                  <a:ea typeface="+mn-ea"/>
                  <a:cs typeface="+mn-cs"/>
                </a:rPr>
                <a:t>〖𝑘𝑊〗_(𝑐𝑡𝑟𝑙,1)</a:t>
              </a:r>
              <a:r>
                <a:rPr lang="en-US" sz="1100" b="0" i="0">
                  <a:latin typeface="Cambria Math" panose="02040503050406030204" pitchFamily="18" charset="0"/>
                  <a:ea typeface="Cambria Math" panose="02040503050406030204" pitchFamily="18" charset="0"/>
                </a:rPr>
                <a:t>∗𝑅𝑇𝑅∗𝐼𝑆𝑅∗𝐶𝐹∗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47</xdr:row>
      <xdr:rowOff>6351</xdr:rowOff>
    </xdr:from>
    <xdr:ext cx="3914775"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AA968269-950C-4985-8AFC-EF57489CD369}"/>
                </a:ext>
              </a:extLst>
            </xdr:cNvPr>
            <xdr:cNvSpPr txBox="1"/>
          </xdr:nvSpPr>
          <xdr:spPr>
            <a:xfrm>
              <a:off x="349250" y="11550651"/>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𝐷𝑢𝑎𝑙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7" name="TextBox 6">
              <a:extLst>
                <a:ext uri="{FF2B5EF4-FFF2-40B4-BE49-F238E27FC236}">
                  <a16:creationId xmlns:a16="http://schemas.microsoft.com/office/drawing/2014/main" id="{AA968269-950C-4985-8AFC-EF57489CD369}"/>
                </a:ext>
              </a:extLst>
            </xdr:cNvPr>
            <xdr:cNvSpPr txBox="1"/>
          </xdr:nvSpPr>
          <xdr:spPr>
            <a:xfrm>
              <a:off x="349250" y="11550651"/>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𝐷𝑢𝑎𝑙=</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1</xdr:col>
      <xdr:colOff>158750</xdr:colOff>
      <xdr:row>51</xdr:row>
      <xdr:rowOff>6351</xdr:rowOff>
    </xdr:from>
    <xdr:ext cx="3914775"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F859CEAB-7E0C-4A05-BFE3-F4C9F9C062CD}"/>
                </a:ext>
              </a:extLst>
            </xdr:cNvPr>
            <xdr:cNvSpPr txBox="1"/>
          </xdr:nvSpPr>
          <xdr:spPr>
            <a:xfrm>
              <a:off x="349250" y="12274551"/>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𝑃𝑌</m:t>
                        </m:r>
                        <m:r>
                          <a:rPr lang="en-US" sz="1100" b="0" i="1">
                            <a:solidFill>
                              <a:schemeClr val="tx1"/>
                            </a:solidFill>
                            <a:effectLst/>
                            <a:latin typeface="Cambria Math" panose="02040503050406030204" pitchFamily="18" charset="0"/>
                            <a:ea typeface="+mn-ea"/>
                            <a:cs typeface="+mn-cs"/>
                          </a:rPr>
                          <m:t>22+</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10" name="TextBox 9">
              <a:extLst>
                <a:ext uri="{FF2B5EF4-FFF2-40B4-BE49-F238E27FC236}">
                  <a16:creationId xmlns:a16="http://schemas.microsoft.com/office/drawing/2014/main" id="{F859CEAB-7E0C-4A05-BFE3-F4C9F9C062CD}"/>
                </a:ext>
              </a:extLst>
            </xdr:cNvPr>
            <xdr:cNvSpPr txBox="1"/>
          </xdr:nvSpPr>
          <xdr:spPr>
            <a:xfrm>
              <a:off x="349250" y="12274551"/>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𝑘𝑊ℎ〗_(𝑃𝑌22+)</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endParaRPr lang="en-US" sz="1100"/>
            </a:p>
          </xdr:txBody>
        </xdr:sp>
      </mc:Fallback>
    </mc:AlternateContent>
    <xdr:clientData/>
  </xdr:oneCellAnchor>
  <xdr:oneCellAnchor>
    <xdr:from>
      <xdr:col>1</xdr:col>
      <xdr:colOff>177800</xdr:colOff>
      <xdr:row>35</xdr:row>
      <xdr:rowOff>0</xdr:rowOff>
    </xdr:from>
    <xdr:ext cx="4410075" cy="238125"/>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90433FB-CA10-492A-A01D-F804DFB9E025}"/>
                </a:ext>
              </a:extLst>
            </xdr:cNvPr>
            <xdr:cNvSpPr txBox="1"/>
          </xdr:nvSpPr>
          <xdr:spPr>
            <a:xfrm>
              <a:off x="368300" y="9372600"/>
              <a:ext cx="44100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𝑐𝑡𝑟𝑙</m:t>
                        </m:r>
                        <m:r>
                          <a:rPr lang="en-US" sz="1100" b="0" i="1">
                            <a:solidFill>
                              <a:schemeClr val="tx1"/>
                            </a:solidFill>
                            <a:effectLst/>
                            <a:latin typeface="Cambria Math" panose="02040503050406030204" pitchFamily="18" charset="0"/>
                            <a:ea typeface="+mn-ea"/>
                            <a:cs typeface="+mn-cs"/>
                          </a:rPr>
                          <m:t>,2</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1" name="TextBox 10">
              <a:extLst>
                <a:ext uri="{FF2B5EF4-FFF2-40B4-BE49-F238E27FC236}">
                  <a16:creationId xmlns:a16="http://schemas.microsoft.com/office/drawing/2014/main" id="{190433FB-CA10-492A-A01D-F804DFB9E025}"/>
                </a:ext>
              </a:extLst>
            </xdr:cNvPr>
            <xdr:cNvSpPr txBox="1"/>
          </xdr:nvSpPr>
          <xdr:spPr>
            <a:xfrm>
              <a:off x="368300" y="9372600"/>
              <a:ext cx="44100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a:t>
              </a:r>
              <a:r>
                <a:rPr lang="en-US" sz="1100" b="0" i="0">
                  <a:solidFill>
                    <a:schemeClr val="tx1"/>
                  </a:solidFill>
                  <a:effectLst/>
                  <a:latin typeface="Cambria Math" panose="02040503050406030204" pitchFamily="18" charset="0"/>
                  <a:ea typeface="+mn-ea"/>
                  <a:cs typeface="+mn-cs"/>
                </a:rPr>
                <a:t>〖𝑘𝑊〗_(𝑐𝑡𝑟𝑙,2)</a:t>
              </a:r>
              <a:r>
                <a:rPr lang="en-US" sz="1100" b="0" i="0">
                  <a:latin typeface="Cambria Math" panose="02040503050406030204" pitchFamily="18" charset="0"/>
                  <a:ea typeface="Cambria Math" panose="02040503050406030204" pitchFamily="18" charset="0"/>
                </a:rPr>
                <a:t>∗𝑅𝑇𝑅∗𝐼𝑆𝑅∗𝐶𝐹∗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171450</xdr:colOff>
      <xdr:row>42</xdr:row>
      <xdr:rowOff>158750</xdr:rowOff>
    </xdr:from>
    <xdr:ext cx="4867275" cy="247650"/>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BD8CCA2F-5FF4-4B0D-BA22-DE54314874F1}"/>
                </a:ext>
              </a:extLst>
            </xdr:cNvPr>
            <xdr:cNvSpPr txBox="1"/>
          </xdr:nvSpPr>
          <xdr:spPr>
            <a:xfrm>
              <a:off x="361950" y="10798175"/>
              <a:ext cx="48672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𝑐𝑡𝑟𝑙</m:t>
                        </m:r>
                        <m:r>
                          <a:rPr lang="en-US" sz="1100" b="0" i="1">
                            <a:solidFill>
                              <a:schemeClr val="tx1"/>
                            </a:solidFill>
                            <a:effectLst/>
                            <a:latin typeface="Cambria Math" panose="02040503050406030204" pitchFamily="18" charset="0"/>
                            <a:ea typeface="+mn-ea"/>
                            <a:cs typeface="+mn-cs"/>
                          </a:rPr>
                          <m:t>,2</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latin typeface="Cambria Math" panose="02040503050406030204" pitchFamily="18" charset="0"/>
                        <a:ea typeface="Cambria Math" panose="02040503050406030204" pitchFamily="18" charset="0"/>
                      </a:rPr>
                      <m:t>𝑑𝑎𝑦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𝑦𝑟</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2" name="TextBox 11">
              <a:extLst>
                <a:ext uri="{FF2B5EF4-FFF2-40B4-BE49-F238E27FC236}">
                  <a16:creationId xmlns:a16="http://schemas.microsoft.com/office/drawing/2014/main" id="{BD8CCA2F-5FF4-4B0D-BA22-DE54314874F1}"/>
                </a:ext>
              </a:extLst>
            </xdr:cNvPr>
            <xdr:cNvSpPr txBox="1"/>
          </xdr:nvSpPr>
          <xdr:spPr>
            <a:xfrm>
              <a:off x="361950" y="10798175"/>
              <a:ext cx="48672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a:t>
              </a:r>
              <a:r>
                <a:rPr lang="en-US" sz="1100" b="0" i="0">
                  <a:solidFill>
                    <a:schemeClr val="tx1"/>
                  </a:solidFill>
                  <a:effectLst/>
                  <a:latin typeface="Cambria Math" panose="02040503050406030204" pitchFamily="18" charset="0"/>
                  <a:ea typeface="+mn-ea"/>
                  <a:cs typeface="+mn-cs"/>
                </a:rPr>
                <a:t>〖𝑘𝑊〗_(𝑐𝑡𝑟𝑙,2)</a:t>
              </a:r>
              <a:r>
                <a:rPr lang="en-US" sz="1100" b="0" i="0">
                  <a:latin typeface="Cambria Math" panose="02040503050406030204" pitchFamily="18" charset="0"/>
                  <a:ea typeface="Cambria Math" panose="02040503050406030204" pitchFamily="18" charset="0"/>
                </a:rPr>
                <a:t>∗𝑅𝑇𝑅∗𝐼𝑆𝑅∗𝐻𝑂𝑈∗365𝑑𝑎𝑦/𝑦𝑟∗</a:t>
              </a:r>
              <a:r>
                <a:rPr lang="en-US" sz="1100" b="0" i="0">
                  <a:solidFill>
                    <a:schemeClr val="tx1"/>
                  </a:solidFill>
                  <a:effectLst/>
                  <a:latin typeface="Cambria Math" panose="02040503050406030204" pitchFamily="18" charset="0"/>
                  <a:ea typeface="+mn-ea"/>
                  <a:cs typeface="+mn-cs"/>
                </a:rPr>
                <a:t>(1+〖𝑊𝐻〗_(𝐶,𝐸)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171450</xdr:colOff>
      <xdr:row>55</xdr:row>
      <xdr:rowOff>7937</xdr:rowOff>
    </xdr:from>
    <xdr:ext cx="2241768" cy="191078"/>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A52C8D37-0B43-41B4-88CA-9E83EEAEDD6A}"/>
                </a:ext>
              </a:extLst>
            </xdr:cNvPr>
            <xdr:cNvSpPr txBox="1"/>
          </xdr:nvSpPr>
          <xdr:spPr>
            <a:xfrm>
              <a:off x="361950" y="13000037"/>
              <a:ext cx="22417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𝐼𝑛𝑡</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8" name="TextBox 7">
              <a:extLst>
                <a:ext uri="{FF2B5EF4-FFF2-40B4-BE49-F238E27FC236}">
                  <a16:creationId xmlns:a16="http://schemas.microsoft.com/office/drawing/2014/main" id="{A52C8D37-0B43-41B4-88CA-9E83EEAEDD6A}"/>
                </a:ext>
              </a:extLst>
            </xdr:cNvPr>
            <xdr:cNvSpPr txBox="1"/>
          </xdr:nvSpPr>
          <xdr:spPr>
            <a:xfrm>
              <a:off x="361950" y="13000037"/>
              <a:ext cx="22417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𝑊𝐻〗_(𝐶,𝐷)=</a:t>
              </a:r>
              <a:r>
                <a:rPr lang="en-US" sz="1100" b="0" i="0">
                  <a:solidFill>
                    <a:schemeClr val="tx1"/>
                  </a:solidFill>
                  <a:effectLst/>
                  <a:latin typeface="Cambria Math" panose="02040503050406030204" pitchFamily="18" charset="0"/>
                  <a:ea typeface="+mn-ea"/>
                  <a:cs typeface="+mn-cs"/>
                </a:rPr>
                <a:t>%_𝐶𝑜𝑜𝑙∗%_𝐼𝑛𝑡∗</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〖𝐼𝐸〗_(𝐶,𝐷)−1)</a:t>
              </a:r>
              <a:endParaRPr lang="en-US" sz="1100"/>
            </a:p>
          </xdr:txBody>
        </xdr:sp>
      </mc:Fallback>
    </mc:AlternateContent>
    <xdr:clientData/>
  </xdr:oneCellAnchor>
  <xdr:oneCellAnchor>
    <xdr:from>
      <xdr:col>1</xdr:col>
      <xdr:colOff>158750</xdr:colOff>
      <xdr:row>57</xdr:row>
      <xdr:rowOff>0</xdr:rowOff>
    </xdr:from>
    <xdr:ext cx="2150845" cy="191078"/>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2D2E33EE-DE8E-4CBB-AFB6-35975A5349BF}"/>
                </a:ext>
              </a:extLst>
            </xdr:cNvPr>
            <xdr:cNvSpPr txBox="1"/>
          </xdr:nvSpPr>
          <xdr:spPr>
            <a:xfrm>
              <a:off x="349250" y="13354050"/>
              <a:ext cx="2150845"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𝐼𝑛𝑡</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9" name="TextBox 8">
              <a:extLst>
                <a:ext uri="{FF2B5EF4-FFF2-40B4-BE49-F238E27FC236}">
                  <a16:creationId xmlns:a16="http://schemas.microsoft.com/office/drawing/2014/main" id="{2D2E33EE-DE8E-4CBB-AFB6-35975A5349BF}"/>
                </a:ext>
              </a:extLst>
            </xdr:cNvPr>
            <xdr:cNvSpPr txBox="1"/>
          </xdr:nvSpPr>
          <xdr:spPr>
            <a:xfrm>
              <a:off x="349250" y="13354050"/>
              <a:ext cx="2150845"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𝑊𝐻〗_(𝐶,𝐸)=</a:t>
              </a:r>
              <a:r>
                <a:rPr lang="en-US" sz="1100" b="0" i="0">
                  <a:solidFill>
                    <a:schemeClr val="tx1"/>
                  </a:solidFill>
                  <a:effectLst/>
                  <a:latin typeface="Cambria Math" panose="02040503050406030204" pitchFamily="18" charset="0"/>
                  <a:ea typeface="+mn-ea"/>
                  <a:cs typeface="+mn-cs"/>
                </a:rPr>
                <a:t>%_𝐶𝑜𝑜𝑙∗%_𝐼𝑛𝑡∗</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〖𝐼𝐸〗_(𝐶,𝐸)−1)</a:t>
              </a:r>
              <a:endParaRPr lang="en-US" sz="1100"/>
            </a:p>
          </xdr:txBody>
        </xdr:sp>
      </mc:Fallback>
    </mc:AlternateContent>
    <xdr:clientData/>
  </xdr:oneCellAnchor>
</xdr:wsDr>
</file>

<file path=xl/drawings/drawing54.xml><?xml version="1.0" encoding="utf-8"?>
<xdr:wsDr xmlns:xdr="http://schemas.openxmlformats.org/drawingml/2006/spreadsheetDrawing" xmlns:a="http://schemas.openxmlformats.org/drawingml/2006/main">
  <xdr:oneCellAnchor>
    <xdr:from>
      <xdr:col>2</xdr:col>
      <xdr:colOff>28576</xdr:colOff>
      <xdr:row>40</xdr:row>
      <xdr:rowOff>85725</xdr:rowOff>
    </xdr:from>
    <xdr:ext cx="4876799" cy="42545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5611C5B4-2DA3-4051-82FF-489F76632AF8}"/>
                </a:ext>
              </a:extLst>
            </xdr:cNvPr>
            <xdr:cNvSpPr txBox="1"/>
          </xdr:nvSpPr>
          <xdr:spPr>
            <a:xfrm>
              <a:off x="409576" y="7077075"/>
              <a:ext cx="4876799" cy="4254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𝐻𝑂𝑈</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𝑊𝐻</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m:t>
                            </m:r>
                          </m:sub>
                        </m:sSub>
                      </m:e>
                    </m:d>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5611C5B4-2DA3-4051-82FF-489F76632AF8}"/>
                </a:ext>
              </a:extLst>
            </xdr:cNvPr>
            <xdr:cNvSpPr txBox="1"/>
          </xdr:nvSpPr>
          <xdr:spPr>
            <a:xfrm>
              <a:off x="409576" y="7077075"/>
              <a:ext cx="4876799" cy="4254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=((𝑊_𝑏𝑎𝑠𝑒−𝑊_𝐿𝐸𝐷 ))/(1,000 𝑊/𝑘𝑊)∗𝐼𝑆𝑅∗𝐻𝑂𝑈</a:t>
              </a:r>
              <a:r>
                <a:rPr lang="en-US" sz="1100" b="0" i="0">
                  <a:solidFill>
                    <a:sysClr val="windowText" lastClr="000000"/>
                  </a:solidFill>
                  <a:effectLst/>
                  <a:latin typeface="Cambria Math" panose="02040503050406030204" pitchFamily="18" charset="0"/>
                  <a:ea typeface="+mn-ea"/>
                  <a:cs typeface="+mn-cs"/>
                </a:rPr>
                <a:t>∗(1+〖𝑊𝐻〗_(𝐶,𝐸) )</a:t>
              </a:r>
              <a:r>
                <a:rPr lang="en-US" sz="1100" b="0" i="0">
                  <a:solidFill>
                    <a:sysClr val="windowText" lastClr="000000"/>
                  </a:solidFill>
                  <a:latin typeface="Cambria Math" panose="02040503050406030204" pitchFamily="18" charset="0"/>
                  <a:ea typeface="Cambria Math" panose="02040503050406030204" pitchFamily="18" charset="0"/>
                </a:rPr>
                <a:t>∗𝑃𝐹</a:t>
              </a:r>
              <a:endParaRPr lang="en-US" sz="1100">
                <a:solidFill>
                  <a:sysClr val="windowText" lastClr="000000"/>
                </a:solidFill>
              </a:endParaRPr>
            </a:p>
          </xdr:txBody>
        </xdr:sp>
      </mc:Fallback>
    </mc:AlternateContent>
    <xdr:clientData/>
  </xdr:oneCellAnchor>
  <xdr:oneCellAnchor>
    <xdr:from>
      <xdr:col>2</xdr:col>
      <xdr:colOff>34925</xdr:colOff>
      <xdr:row>36</xdr:row>
      <xdr:rowOff>107949</xdr:rowOff>
    </xdr:from>
    <xdr:ext cx="4981575" cy="409576"/>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444BF223-C5C5-4088-859C-28C6DA907CE1}"/>
                </a:ext>
              </a:extLst>
            </xdr:cNvPr>
            <xdr:cNvSpPr txBox="1"/>
          </xdr:nvSpPr>
          <xdr:spPr>
            <a:xfrm>
              <a:off x="415925" y="6375399"/>
              <a:ext cx="4981575" cy="409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𝑊𝐻</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𝐷</m:t>
                            </m:r>
                          </m:sub>
                        </m:sSub>
                      </m:e>
                    </m:d>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9" name="TextBox 8">
              <a:extLst>
                <a:ext uri="{FF2B5EF4-FFF2-40B4-BE49-F238E27FC236}">
                  <a16:creationId xmlns:a16="http://schemas.microsoft.com/office/drawing/2014/main" id="{444BF223-C5C5-4088-859C-28C6DA907CE1}"/>
                </a:ext>
              </a:extLst>
            </xdr:cNvPr>
            <xdr:cNvSpPr txBox="1"/>
          </xdr:nvSpPr>
          <xdr:spPr>
            <a:xfrm>
              <a:off x="415925" y="6375399"/>
              <a:ext cx="4981575" cy="409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=((𝑊_𝑏𝑎𝑠𝑒−𝑊_𝐿𝐸𝐷 ))/(1,000 𝑊/𝑘𝑊)∗𝐼𝑆𝑅∗𝐶𝐹</a:t>
              </a:r>
              <a:r>
                <a:rPr lang="en-US" sz="1100" b="0" i="0">
                  <a:solidFill>
                    <a:sysClr val="windowText" lastClr="000000"/>
                  </a:solidFill>
                  <a:effectLst/>
                  <a:latin typeface="Cambria Math" panose="02040503050406030204" pitchFamily="18" charset="0"/>
                  <a:ea typeface="+mn-ea"/>
                  <a:cs typeface="+mn-cs"/>
                </a:rPr>
                <a:t>∗(1+〖𝑊𝐻〗_(𝐶,𝐷) )</a:t>
              </a:r>
              <a:r>
                <a:rPr lang="en-US" sz="1100" b="0" i="0">
                  <a:solidFill>
                    <a:sysClr val="windowText" lastClr="000000"/>
                  </a:solidFill>
                  <a:latin typeface="Cambria Math" panose="02040503050406030204" pitchFamily="18" charset="0"/>
                  <a:ea typeface="Cambria Math" panose="02040503050406030204" pitchFamily="18" charset="0"/>
                </a:rPr>
                <a:t>∗𝑃𝐹</a:t>
              </a:r>
              <a:endParaRPr lang="en-US" sz="1100">
                <a:solidFill>
                  <a:sysClr val="windowText" lastClr="000000"/>
                </a:solidFill>
              </a:endParaRPr>
            </a:p>
          </xdr:txBody>
        </xdr:sp>
      </mc:Fallback>
    </mc:AlternateContent>
    <xdr:clientData/>
  </xdr:oneCellAnchor>
  <xdr:oneCellAnchor>
    <xdr:from>
      <xdr:col>1</xdr:col>
      <xdr:colOff>187325</xdr:colOff>
      <xdr:row>45</xdr:row>
      <xdr:rowOff>6351</xdr:rowOff>
    </xdr:from>
    <xdr:ext cx="3914775"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3AE8A938-206D-43F4-B287-125B8B635763}"/>
                </a:ext>
              </a:extLst>
            </xdr:cNvPr>
            <xdr:cNvSpPr txBox="1"/>
          </xdr:nvSpPr>
          <xdr:spPr>
            <a:xfrm>
              <a:off x="377825" y="79025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10" name="TextBox 9">
              <a:extLst>
                <a:ext uri="{FF2B5EF4-FFF2-40B4-BE49-F238E27FC236}">
                  <a16:creationId xmlns:a16="http://schemas.microsoft.com/office/drawing/2014/main" id="{3AE8A938-206D-43F4-B287-125B8B635763}"/>
                </a:ext>
              </a:extLst>
            </xdr:cNvPr>
            <xdr:cNvSpPr txBox="1"/>
          </xdr:nvSpPr>
          <xdr:spPr>
            <a:xfrm>
              <a:off x="377825" y="79025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oneCellAnchor>
    <xdr:from>
      <xdr:col>1</xdr:col>
      <xdr:colOff>180975</xdr:colOff>
      <xdr:row>49</xdr:row>
      <xdr:rowOff>0</xdr:rowOff>
    </xdr:from>
    <xdr:ext cx="1776897" cy="191078"/>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520ECA61-6B7A-4295-B09B-A7EF809F8980}"/>
                </a:ext>
              </a:extLst>
            </xdr:cNvPr>
            <xdr:cNvSpPr txBox="1"/>
          </xdr:nvSpPr>
          <xdr:spPr>
            <a:xfrm>
              <a:off x="371475" y="8620125"/>
              <a:ext cx="1776897"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𝑊𝐻</m:t>
                        </m:r>
                      </m:e>
                      <m:sub>
                        <m:r>
                          <a:rPr lang="en-US" sz="1100" b="0" i="1">
                            <a:solidFill>
                              <a:sysClr val="windowText" lastClr="000000"/>
                            </a:solidFill>
                            <a:latin typeface="Cambria Math" panose="02040503050406030204" pitchFamily="18" charset="0"/>
                          </a:rPr>
                          <m:t>𝐶</m:t>
                        </m:r>
                        <m:r>
                          <a:rPr lang="en-US" sz="1100" b="0" i="1">
                            <a:solidFill>
                              <a:sysClr val="windowText" lastClr="000000"/>
                            </a:solidFill>
                            <a:latin typeface="Cambria Math" panose="02040503050406030204" pitchFamily="18" charset="0"/>
                          </a:rPr>
                          <m:t>,</m:t>
                        </m:r>
                        <m:r>
                          <a:rPr lang="en-US" sz="1100" b="0" i="1">
                            <a:solidFill>
                              <a:sysClr val="windowText" lastClr="000000"/>
                            </a:solidFill>
                            <a:latin typeface="Cambria Math" panose="02040503050406030204" pitchFamily="18" charset="0"/>
                          </a:rPr>
                          <m:t>𝐷</m:t>
                        </m:r>
                      </m:sub>
                    </m:sSub>
                    <m:r>
                      <a:rPr lang="en-US" sz="1100" b="0" i="1">
                        <a:solidFill>
                          <a:sysClr val="windowText" lastClr="000000"/>
                        </a:solidFill>
                        <a:latin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𝐶𝑜𝑜𝑙</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𝐷</m:t>
                            </m:r>
                          </m:sub>
                        </m:sSub>
                        <m:r>
                          <a:rPr lang="en-US" sz="1100" b="0" i="1">
                            <a:solidFill>
                              <a:sysClr val="windowText" lastClr="000000"/>
                            </a:solidFill>
                            <a:effectLst/>
                            <a:latin typeface="Cambria Math" panose="02040503050406030204" pitchFamily="18" charset="0"/>
                            <a:ea typeface="+mn-ea"/>
                            <a:cs typeface="+mn-cs"/>
                          </a:rPr>
                          <m:t>−1</m:t>
                        </m:r>
                      </m:e>
                    </m:d>
                  </m:oMath>
                </m:oMathPara>
              </a14:m>
              <a:endParaRPr lang="en-US" sz="1100">
                <a:solidFill>
                  <a:sysClr val="windowText" lastClr="000000"/>
                </a:solidFill>
              </a:endParaRPr>
            </a:p>
          </xdr:txBody>
        </xdr:sp>
      </mc:Choice>
      <mc:Fallback xmlns="">
        <xdr:sp macro="" textlink="">
          <xdr:nvSpPr>
            <xdr:cNvPr id="11" name="TextBox 10">
              <a:extLst>
                <a:ext uri="{FF2B5EF4-FFF2-40B4-BE49-F238E27FC236}">
                  <a16:creationId xmlns:a16="http://schemas.microsoft.com/office/drawing/2014/main" id="{520ECA61-6B7A-4295-B09B-A7EF809F8980}"/>
                </a:ext>
              </a:extLst>
            </xdr:cNvPr>
            <xdr:cNvSpPr txBox="1"/>
          </xdr:nvSpPr>
          <xdr:spPr>
            <a:xfrm>
              <a:off x="371475" y="8620125"/>
              <a:ext cx="1776897"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solidFill>
                    <a:sysClr val="windowText" lastClr="000000"/>
                  </a:solidFill>
                  <a:latin typeface="Cambria Math" panose="02040503050406030204" pitchFamily="18" charset="0"/>
                </a:rPr>
                <a:t>〖</a:t>
              </a:r>
              <a:r>
                <a:rPr lang="en-US" sz="1100" b="0" i="0">
                  <a:solidFill>
                    <a:sysClr val="windowText" lastClr="000000"/>
                  </a:solidFill>
                  <a:latin typeface="Cambria Math" panose="02040503050406030204" pitchFamily="18" charset="0"/>
                </a:rPr>
                <a:t>𝑊𝐻〗_(𝐶,𝐷)=</a:t>
              </a:r>
              <a:r>
                <a:rPr lang="en-US" sz="1100" b="0" i="0">
                  <a:solidFill>
                    <a:sysClr val="windowText" lastClr="000000"/>
                  </a:solidFill>
                  <a:effectLst/>
                  <a:latin typeface="Cambria Math" panose="02040503050406030204" pitchFamily="18" charset="0"/>
                  <a:ea typeface="+mn-ea"/>
                  <a:cs typeface="+mn-cs"/>
                </a:rPr>
                <a:t>%_𝐶𝑜𝑜𝑙∗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〖𝐼𝐸〗_(𝐶,𝐷)−1)</a:t>
              </a:r>
              <a:endParaRPr lang="en-US" sz="1100">
                <a:solidFill>
                  <a:sysClr val="windowText" lastClr="000000"/>
                </a:solidFill>
              </a:endParaRPr>
            </a:p>
          </xdr:txBody>
        </xdr:sp>
      </mc:Fallback>
    </mc:AlternateContent>
    <xdr:clientData/>
  </xdr:oneCellAnchor>
  <xdr:oneCellAnchor>
    <xdr:from>
      <xdr:col>1</xdr:col>
      <xdr:colOff>180975</xdr:colOff>
      <xdr:row>51</xdr:row>
      <xdr:rowOff>0</xdr:rowOff>
    </xdr:from>
    <xdr:ext cx="1764073" cy="191078"/>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D2225E4C-5262-4A7B-8F08-78CC6E60D069}"/>
                </a:ext>
              </a:extLst>
            </xdr:cNvPr>
            <xdr:cNvSpPr txBox="1"/>
          </xdr:nvSpPr>
          <xdr:spPr>
            <a:xfrm>
              <a:off x="371475" y="8982075"/>
              <a:ext cx="1764073"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𝑊𝐻</m:t>
                        </m:r>
                      </m:e>
                      <m:sub>
                        <m:r>
                          <a:rPr lang="en-US" sz="1100" b="0" i="1">
                            <a:solidFill>
                              <a:sysClr val="windowText" lastClr="000000"/>
                            </a:solidFill>
                            <a:latin typeface="Cambria Math" panose="02040503050406030204" pitchFamily="18" charset="0"/>
                          </a:rPr>
                          <m:t>𝐶</m:t>
                        </m:r>
                        <m:r>
                          <a:rPr lang="en-US" sz="1100" b="0" i="1">
                            <a:solidFill>
                              <a:sysClr val="windowText" lastClr="000000"/>
                            </a:solidFill>
                            <a:latin typeface="Cambria Math" panose="02040503050406030204" pitchFamily="18" charset="0"/>
                          </a:rPr>
                          <m:t>,</m:t>
                        </m:r>
                        <m:r>
                          <a:rPr lang="en-US" sz="1100" b="0" i="1">
                            <a:solidFill>
                              <a:sysClr val="windowText" lastClr="000000"/>
                            </a:solidFill>
                            <a:latin typeface="Cambria Math" panose="02040503050406030204" pitchFamily="18" charset="0"/>
                          </a:rPr>
                          <m:t>𝐸</m:t>
                        </m:r>
                      </m:sub>
                    </m:sSub>
                    <m:r>
                      <a:rPr lang="en-US" sz="1100" b="0" i="1">
                        <a:solidFill>
                          <a:sysClr val="windowText" lastClr="000000"/>
                        </a:solidFill>
                        <a:latin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𝐶𝑜𝑜𝑙</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m:t>
                            </m:r>
                          </m:sub>
                        </m:sSub>
                        <m:r>
                          <a:rPr lang="en-US" sz="1100" b="0" i="1">
                            <a:solidFill>
                              <a:sysClr val="windowText" lastClr="000000"/>
                            </a:solidFill>
                            <a:effectLst/>
                            <a:latin typeface="Cambria Math" panose="02040503050406030204" pitchFamily="18" charset="0"/>
                            <a:ea typeface="+mn-ea"/>
                            <a:cs typeface="+mn-cs"/>
                          </a:rPr>
                          <m:t>−1</m:t>
                        </m:r>
                      </m:e>
                    </m:d>
                  </m:oMath>
                </m:oMathPara>
              </a14:m>
              <a:endParaRPr lang="en-US" sz="1100">
                <a:solidFill>
                  <a:sysClr val="windowText" lastClr="000000"/>
                </a:solidFill>
              </a:endParaRPr>
            </a:p>
          </xdr:txBody>
        </xdr:sp>
      </mc:Choice>
      <mc:Fallback xmlns="">
        <xdr:sp macro="" textlink="">
          <xdr:nvSpPr>
            <xdr:cNvPr id="12" name="TextBox 11">
              <a:extLst>
                <a:ext uri="{FF2B5EF4-FFF2-40B4-BE49-F238E27FC236}">
                  <a16:creationId xmlns:a16="http://schemas.microsoft.com/office/drawing/2014/main" id="{D2225E4C-5262-4A7B-8F08-78CC6E60D069}"/>
                </a:ext>
              </a:extLst>
            </xdr:cNvPr>
            <xdr:cNvSpPr txBox="1"/>
          </xdr:nvSpPr>
          <xdr:spPr>
            <a:xfrm>
              <a:off x="371475" y="8982075"/>
              <a:ext cx="1764073"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solidFill>
                    <a:sysClr val="windowText" lastClr="000000"/>
                  </a:solidFill>
                  <a:latin typeface="Cambria Math" panose="02040503050406030204" pitchFamily="18" charset="0"/>
                </a:rPr>
                <a:t>〖</a:t>
              </a:r>
              <a:r>
                <a:rPr lang="en-US" sz="1100" b="0" i="0">
                  <a:solidFill>
                    <a:sysClr val="windowText" lastClr="000000"/>
                  </a:solidFill>
                  <a:latin typeface="Cambria Math" panose="02040503050406030204" pitchFamily="18" charset="0"/>
                </a:rPr>
                <a:t>𝑊𝐻〗_(𝐶,𝐸)=</a:t>
              </a:r>
              <a:r>
                <a:rPr lang="en-US" sz="1100" b="0" i="0">
                  <a:solidFill>
                    <a:sysClr val="windowText" lastClr="000000"/>
                  </a:solidFill>
                  <a:effectLst/>
                  <a:latin typeface="Cambria Math" panose="02040503050406030204" pitchFamily="18" charset="0"/>
                  <a:ea typeface="+mn-ea"/>
                  <a:cs typeface="+mn-cs"/>
                </a:rPr>
                <a:t>%_𝐶𝑜𝑜𝑙∗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〖𝐼𝐸〗_(𝐶,𝐸)−1)</a:t>
              </a:r>
              <a:endParaRPr lang="en-US" sz="1100">
                <a:solidFill>
                  <a:sysClr val="windowText" lastClr="000000"/>
                </a:solidFill>
              </a:endParaRPr>
            </a:p>
          </xdr:txBody>
        </xdr:sp>
      </mc:Fallback>
    </mc:AlternateContent>
    <xdr:clientData/>
  </xdr:oneCellAnchor>
</xdr:wsDr>
</file>

<file path=xl/drawings/drawing55.xml><?xml version="1.0" encoding="utf-8"?>
<xdr:wsDr xmlns:xdr="http://schemas.openxmlformats.org/drawingml/2006/spreadsheetDrawing" xmlns:a="http://schemas.openxmlformats.org/drawingml/2006/main">
  <xdr:oneCellAnchor>
    <xdr:from>
      <xdr:col>2</xdr:col>
      <xdr:colOff>1</xdr:colOff>
      <xdr:row>36</xdr:row>
      <xdr:rowOff>63500</xdr:rowOff>
    </xdr:from>
    <xdr:ext cx="4876799" cy="37782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A0D0E92-E842-4C4D-B978-D0726725339D}"/>
                </a:ext>
              </a:extLst>
            </xdr:cNvPr>
            <xdr:cNvSpPr txBox="1"/>
          </xdr:nvSpPr>
          <xdr:spPr>
            <a:xfrm>
              <a:off x="361951" y="8988425"/>
              <a:ext cx="4876799" cy="377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𝐻𝑂𝑈</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2A0D0E92-E842-4C4D-B978-D0726725339D}"/>
                </a:ext>
              </a:extLst>
            </xdr:cNvPr>
            <xdr:cNvSpPr txBox="1"/>
          </xdr:nvSpPr>
          <xdr:spPr>
            <a:xfrm>
              <a:off x="361951" y="8988425"/>
              <a:ext cx="4876799" cy="377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=((𝑊_𝑏𝑎𝑠𝑒−𝑊_𝐿𝐸𝐷 ))/(1,000 𝑊/𝑘𝑊)∗𝐼𝑆𝑅∗𝐻𝑂𝑈∗𝑃𝐹</a:t>
              </a:r>
              <a:endParaRPr lang="en-US" sz="1100">
                <a:solidFill>
                  <a:sysClr val="windowText" lastClr="000000"/>
                </a:solidFill>
              </a:endParaRPr>
            </a:p>
          </xdr:txBody>
        </xdr:sp>
      </mc:Fallback>
    </mc:AlternateContent>
    <xdr:clientData/>
  </xdr:oneCellAnchor>
  <xdr:oneCellAnchor>
    <xdr:from>
      <xdr:col>2</xdr:col>
      <xdr:colOff>6350</xdr:colOff>
      <xdr:row>32</xdr:row>
      <xdr:rowOff>57149</xdr:rowOff>
    </xdr:from>
    <xdr:ext cx="4981575" cy="400051"/>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88BE51D7-392D-4E1C-98D9-51EBAADA3291}"/>
                </a:ext>
              </a:extLst>
            </xdr:cNvPr>
            <xdr:cNvSpPr txBox="1"/>
          </xdr:nvSpPr>
          <xdr:spPr>
            <a:xfrm>
              <a:off x="368300" y="8220074"/>
              <a:ext cx="4981575" cy="4000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effectLst/>
                            <a:latin typeface="Cambria Math" panose="02040503050406030204" pitchFamily="18" charset="0"/>
                            <a:ea typeface="+mn-ea"/>
                            <a:cs typeface="+mn-cs"/>
                          </a:rPr>
                          <m:t>𝑊</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9" name="TextBox 8">
              <a:extLst>
                <a:ext uri="{FF2B5EF4-FFF2-40B4-BE49-F238E27FC236}">
                  <a16:creationId xmlns:a16="http://schemas.microsoft.com/office/drawing/2014/main" id="{88BE51D7-392D-4E1C-98D9-51EBAADA3291}"/>
                </a:ext>
              </a:extLst>
            </xdr:cNvPr>
            <xdr:cNvSpPr txBox="1"/>
          </xdr:nvSpPr>
          <xdr:spPr>
            <a:xfrm>
              <a:off x="368300" y="8220074"/>
              <a:ext cx="4981575" cy="4000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=((𝑊_𝑏𝑎𝑠𝑒−𝑊_𝐿𝐸𝐷 ))/(1,000 </a:t>
              </a:r>
              <a:r>
                <a:rPr lang="en-US" sz="1100" b="0" i="0">
                  <a:solidFill>
                    <a:sysClr val="windowText" lastClr="000000"/>
                  </a:solidFill>
                  <a:effectLst/>
                  <a:latin typeface="Cambria Math" panose="02040503050406030204" pitchFamily="18" charset="0"/>
                  <a:ea typeface="+mn-ea"/>
                  <a:cs typeface="+mn-cs"/>
                </a:rPr>
                <a:t>𝑊/𝑘𝑊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latin typeface="Cambria Math" panose="02040503050406030204" pitchFamily="18" charset="0"/>
                  <a:ea typeface="Cambria Math" panose="02040503050406030204" pitchFamily="18" charset="0"/>
                </a:rPr>
                <a:t>∗𝐼𝑆𝑅∗𝐶𝐹∗𝑃𝐹</a:t>
              </a:r>
              <a:endParaRPr lang="en-US" sz="1100">
                <a:solidFill>
                  <a:sysClr val="windowText" lastClr="000000"/>
                </a:solidFill>
              </a:endParaRPr>
            </a:p>
          </xdr:txBody>
        </xdr:sp>
      </mc:Fallback>
    </mc:AlternateContent>
    <xdr:clientData/>
  </xdr:oneCellAnchor>
  <xdr:oneCellAnchor>
    <xdr:from>
      <xdr:col>2</xdr:col>
      <xdr:colOff>6350</xdr:colOff>
      <xdr:row>41</xdr:row>
      <xdr:rowOff>6351</xdr:rowOff>
    </xdr:from>
    <xdr:ext cx="3914775" cy="1831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EE4B9028-2084-49D5-8F2D-5A12E3DA11CE}"/>
                </a:ext>
              </a:extLst>
            </xdr:cNvPr>
            <xdr:cNvSpPr txBox="1"/>
          </xdr:nvSpPr>
          <xdr:spPr>
            <a:xfrm>
              <a:off x="368300" y="988377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𝑙𝑖𝑓𝑒𝑡𝑖𝑚𝑒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𝐿𝐸𝐷</m:t>
                        </m:r>
                      </m:sub>
                    </m:sSub>
                  </m:oMath>
                </m:oMathPara>
              </a14:m>
              <a:endParaRPr lang="en-US" sz="1100">
                <a:solidFill>
                  <a:sysClr val="windowText" lastClr="000000"/>
                </a:solidFill>
              </a:endParaRPr>
            </a:p>
          </xdr:txBody>
        </xdr:sp>
      </mc:Choice>
      <mc:Fallback xmlns="">
        <xdr:sp macro="" textlink="">
          <xdr:nvSpPr>
            <xdr:cNvPr id="10" name="TextBox 9">
              <a:extLst>
                <a:ext uri="{FF2B5EF4-FFF2-40B4-BE49-F238E27FC236}">
                  <a16:creationId xmlns:a16="http://schemas.microsoft.com/office/drawing/2014/main" id="{EE4B9028-2084-49D5-8F2D-5A12E3DA11CE}"/>
                </a:ext>
              </a:extLst>
            </xdr:cNvPr>
            <xdr:cNvSpPr txBox="1"/>
          </xdr:nvSpPr>
          <xdr:spPr>
            <a:xfrm>
              <a:off x="368300" y="988377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𝑘𝑊ℎ〗_𝑙𝑖𝑓𝑒𝑡𝑖𝑚𝑒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𝑘𝑊ℎ∗〖𝐸𝑈𝐿〗_𝐿𝐸𝐷</a:t>
              </a:r>
              <a:endParaRPr lang="en-US" sz="1100">
                <a:solidFill>
                  <a:sysClr val="windowText" lastClr="000000"/>
                </a:solidFill>
              </a:endParaRPr>
            </a:p>
          </xdr:txBody>
        </xdr:sp>
      </mc:Fallback>
    </mc:AlternateContent>
    <xdr:clientData/>
  </xdr:oneCellAnchor>
</xdr:wsDr>
</file>

<file path=xl/drawings/drawing56.xml><?xml version="1.0" encoding="utf-8"?>
<xdr:wsDr xmlns:xdr="http://schemas.openxmlformats.org/drawingml/2006/spreadsheetDrawing" xmlns:a="http://schemas.openxmlformats.org/drawingml/2006/main">
  <xdr:oneCellAnchor>
    <xdr:from>
      <xdr:col>2</xdr:col>
      <xdr:colOff>9526</xdr:colOff>
      <xdr:row>30</xdr:row>
      <xdr:rowOff>85725</xdr:rowOff>
    </xdr:from>
    <xdr:ext cx="4876799" cy="36830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30CAFBB-5B2C-4274-B1C4-C93A513F82E3}"/>
                </a:ext>
              </a:extLst>
            </xdr:cNvPr>
            <xdr:cNvSpPr txBox="1"/>
          </xdr:nvSpPr>
          <xdr:spPr>
            <a:xfrm>
              <a:off x="390526" y="5781675"/>
              <a:ext cx="4876799" cy="368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effectLst/>
                            <a:latin typeface="Cambria Math" panose="02040503050406030204" pitchFamily="18" charset="0"/>
                            <a:ea typeface="+mn-ea"/>
                            <a:cs typeface="+mn-cs"/>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𝑏𝑎𝑠𝑒</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𝐿𝐸𝐷</m:t>
                                </m:r>
                              </m:sub>
                            </m:sSub>
                          </m:e>
                        </m:d>
                      </m:num>
                      <m:den>
                        <m:r>
                          <a:rPr lang="en-US" sz="1100" b="0" i="1">
                            <a:solidFill>
                              <a:sysClr val="windowText" lastClr="000000"/>
                            </a:solidFill>
                            <a:effectLst/>
                            <a:latin typeface="Cambria Math" panose="02040503050406030204" pitchFamily="18" charset="0"/>
                            <a:ea typeface="+mn-ea"/>
                            <a:cs typeface="+mn-cs"/>
                          </a:rPr>
                          <m:t>1,000 </m:t>
                        </m:r>
                        <m:r>
                          <a:rPr lang="en-US" sz="1100" b="0" i="1">
                            <a:solidFill>
                              <a:sysClr val="windowText" lastClr="000000"/>
                            </a:solidFill>
                            <a:effectLst/>
                            <a:latin typeface="Cambria Math" panose="02040503050406030204" pitchFamily="18" charset="0"/>
                            <a:ea typeface="+mn-ea"/>
                            <a:cs typeface="+mn-cs"/>
                          </a:rPr>
                          <m:t>𝑊</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𝐻𝑂𝑈</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030CAFBB-5B2C-4274-B1C4-C93A513F82E3}"/>
                </a:ext>
              </a:extLst>
            </xdr:cNvPr>
            <xdr:cNvSpPr txBox="1"/>
          </xdr:nvSpPr>
          <xdr:spPr>
            <a:xfrm>
              <a:off x="390526" y="5781675"/>
              <a:ext cx="4876799" cy="368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((𝑊_𝑏𝑎𝑠𝑒−𝑊_𝐿𝐸𝐷 ))/(1,000 𝑊/𝑘𝑊)</a:t>
              </a:r>
              <a:r>
                <a:rPr lang="en-US" sz="1100" b="0" i="0">
                  <a:solidFill>
                    <a:sysClr val="windowText" lastClr="000000"/>
                  </a:solidFill>
                  <a:latin typeface="Cambria Math" panose="02040503050406030204" pitchFamily="18" charset="0"/>
                  <a:ea typeface="Cambria Math" panose="02040503050406030204" pitchFamily="18" charset="0"/>
                </a:rPr>
                <a:t>∗𝐼𝑆𝑅∗𝐻𝑂𝑈∗𝑃𝐹</a:t>
              </a:r>
              <a:endParaRPr lang="en-US" sz="1100">
                <a:solidFill>
                  <a:sysClr val="windowText" lastClr="000000"/>
                </a:solidFill>
              </a:endParaRPr>
            </a:p>
          </xdr:txBody>
        </xdr:sp>
      </mc:Fallback>
    </mc:AlternateContent>
    <xdr:clientData/>
  </xdr:oneCellAnchor>
  <xdr:oneCellAnchor>
    <xdr:from>
      <xdr:col>2</xdr:col>
      <xdr:colOff>15875</xdr:colOff>
      <xdr:row>26</xdr:row>
      <xdr:rowOff>57149</xdr:rowOff>
    </xdr:from>
    <xdr:ext cx="4981575" cy="41910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38D0841-B7BF-48F2-926D-71FDCB915F2C}"/>
                </a:ext>
              </a:extLst>
            </xdr:cNvPr>
            <xdr:cNvSpPr txBox="1"/>
          </xdr:nvSpPr>
          <xdr:spPr>
            <a:xfrm>
              <a:off x="396875" y="5029199"/>
              <a:ext cx="4981575" cy="4191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F38D0841-B7BF-48F2-926D-71FDCB915F2C}"/>
                </a:ext>
              </a:extLst>
            </xdr:cNvPr>
            <xdr:cNvSpPr txBox="1"/>
          </xdr:nvSpPr>
          <xdr:spPr>
            <a:xfrm>
              <a:off x="396875" y="5029199"/>
              <a:ext cx="4981575" cy="4191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=((𝑊_𝑏𝑎𝑠𝑒−𝑊_𝐿𝐸𝐷 ))/(1,000 𝑊/𝑘𝑊)∗𝐼𝑆𝑅∗𝐶𝐹∗𝑃𝐹</a:t>
              </a:r>
              <a:endParaRPr lang="en-US" sz="1100">
                <a:solidFill>
                  <a:sysClr val="windowText" lastClr="000000"/>
                </a:solidFill>
              </a:endParaRPr>
            </a:p>
          </xdr:txBody>
        </xdr:sp>
      </mc:Fallback>
    </mc:AlternateContent>
    <xdr:clientData/>
  </xdr:oneCellAnchor>
  <xdr:oneCellAnchor>
    <xdr:from>
      <xdr:col>1</xdr:col>
      <xdr:colOff>168275</xdr:colOff>
      <xdr:row>35</xdr:row>
      <xdr:rowOff>6351</xdr:rowOff>
    </xdr:from>
    <xdr:ext cx="3914775"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3A3C539-F187-4799-82C2-31BBB13601EE}"/>
                </a:ext>
              </a:extLst>
            </xdr:cNvPr>
            <xdr:cNvSpPr txBox="1"/>
          </xdr:nvSpPr>
          <xdr:spPr>
            <a:xfrm>
              <a:off x="358775" y="66071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B3A3C539-F187-4799-82C2-31BBB13601EE}"/>
                </a:ext>
              </a:extLst>
            </xdr:cNvPr>
            <xdr:cNvSpPr txBox="1"/>
          </xdr:nvSpPr>
          <xdr:spPr>
            <a:xfrm>
              <a:off x="358775" y="66071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wsDr>
</file>

<file path=xl/drawings/drawing57.xml><?xml version="1.0" encoding="utf-8"?>
<xdr:wsDr xmlns:xdr="http://schemas.openxmlformats.org/drawingml/2006/spreadsheetDrawing" xmlns:a="http://schemas.openxmlformats.org/drawingml/2006/main">
  <xdr:oneCellAnchor>
    <xdr:from>
      <xdr:col>2</xdr:col>
      <xdr:colOff>1</xdr:colOff>
      <xdr:row>35</xdr:row>
      <xdr:rowOff>9525</xdr:rowOff>
    </xdr:from>
    <xdr:ext cx="4876799" cy="2063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FCEDF45-34F1-4960-A49C-AE58F30AC553}"/>
                </a:ext>
              </a:extLst>
            </xdr:cNvPr>
            <xdr:cNvSpPr txBox="1"/>
          </xdr:nvSpPr>
          <xdr:spPr>
            <a:xfrm>
              <a:off x="361951" y="9467850"/>
              <a:ext cx="4876799" cy="2063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latin typeface="Cambria Math" panose="02040503050406030204" pitchFamily="18" charset="0"/>
                        <a:ea typeface="Cambria Math" panose="02040503050406030204" pitchFamily="18" charset="0"/>
                      </a:rPr>
                      <m:t>𝑑𝑎𝑦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𝑦𝑟</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6FCEDF45-34F1-4960-A49C-AE58F30AC553}"/>
                </a:ext>
              </a:extLst>
            </xdr:cNvPr>
            <xdr:cNvSpPr txBox="1"/>
          </xdr:nvSpPr>
          <xdr:spPr>
            <a:xfrm>
              <a:off x="361951" y="9467850"/>
              <a:ext cx="4876799" cy="2063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 )∗𝐼𝑆𝑅∗𝐻𝑂𝑈∗365𝑑𝑎𝑦/𝑦𝑟∗</a:t>
              </a:r>
              <a:r>
                <a:rPr lang="en-US" sz="1100" b="0" i="0">
                  <a:solidFill>
                    <a:schemeClr val="tx1"/>
                  </a:solidFill>
                  <a:effectLst/>
                  <a:latin typeface="Cambria Math" panose="02040503050406030204" pitchFamily="18" charset="0"/>
                  <a:ea typeface="+mn-ea"/>
                  <a:cs typeface="+mn-cs"/>
                </a:rPr>
                <a:t>(1+〖𝑊𝐻〗_(𝐶,𝐸)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26</xdr:row>
      <xdr:rowOff>171449</xdr:rowOff>
    </xdr:from>
    <xdr:ext cx="4981575"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B5840D3-6BC2-4938-A09E-5368593BC5F1}"/>
                </a:ext>
              </a:extLst>
            </xdr:cNvPr>
            <xdr:cNvSpPr txBox="1"/>
          </xdr:nvSpPr>
          <xdr:spPr>
            <a:xfrm>
              <a:off x="368300" y="7915274"/>
              <a:ext cx="49815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2B5840D3-6BC2-4938-A09E-5368593BC5F1}"/>
                </a:ext>
              </a:extLst>
            </xdr:cNvPr>
            <xdr:cNvSpPr txBox="1"/>
          </xdr:nvSpPr>
          <xdr:spPr>
            <a:xfrm>
              <a:off x="368300" y="7915274"/>
              <a:ext cx="49815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 )∗𝐼𝑆𝑅∗𝐶𝐹∗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43</xdr:row>
      <xdr:rowOff>6351</xdr:rowOff>
    </xdr:from>
    <xdr:ext cx="3914775"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F0DEB89-CF49-407A-B76B-6E0526883A3B}"/>
                </a:ext>
              </a:extLst>
            </xdr:cNvPr>
            <xdr:cNvSpPr txBox="1"/>
          </xdr:nvSpPr>
          <xdr:spPr>
            <a:xfrm>
              <a:off x="339725" y="109886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𝑃𝑌</m:t>
                        </m:r>
                        <m:r>
                          <a:rPr lang="en-US" sz="1100" b="0" i="1">
                            <a:latin typeface="Cambria Math" panose="02040503050406030204" pitchFamily="18" charset="0"/>
                            <a:ea typeface="Cambria Math" panose="02040503050406030204" pitchFamily="18" charset="0"/>
                          </a:rPr>
                          <m:t>21</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𝑡𝑢𝑏𝑒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4" name="TextBox 3">
              <a:extLst>
                <a:ext uri="{FF2B5EF4-FFF2-40B4-BE49-F238E27FC236}">
                  <a16:creationId xmlns:a16="http://schemas.microsoft.com/office/drawing/2014/main" id="{2F0DEB89-CF49-407A-B76B-6E0526883A3B}"/>
                </a:ext>
              </a:extLst>
            </xdr:cNvPr>
            <xdr:cNvSpPr txBox="1"/>
          </xdr:nvSpPr>
          <xdr:spPr>
            <a:xfrm>
              <a:off x="339725" y="109886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𝑃𝑌21=</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𝑘𝑊ℎ〗_2𝑛𝑑∗(〖𝐸𝑈𝐿〗_𝑡𝑢𝑏𝑒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2</xdr:col>
      <xdr:colOff>0</xdr:colOff>
      <xdr:row>39</xdr:row>
      <xdr:rowOff>0</xdr:rowOff>
    </xdr:from>
    <xdr:ext cx="4914900" cy="22860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9148DAF-F5A1-4DFB-8FEC-CCAE14C7988D}"/>
                </a:ext>
              </a:extLst>
            </xdr:cNvPr>
            <xdr:cNvSpPr txBox="1"/>
          </xdr:nvSpPr>
          <xdr:spPr>
            <a:xfrm>
              <a:off x="361950" y="10220325"/>
              <a:ext cx="49149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solidFill>
                          <a:schemeClr val="tx1"/>
                        </a:solidFill>
                        <a:effectLst/>
                        <a:latin typeface="Cambria Math" panose="02040503050406030204" pitchFamily="18" charset="0"/>
                        <a:ea typeface="+mn-ea"/>
                        <a:cs typeface="+mn-cs"/>
                      </a:rPr>
                      <m:t>𝑑𝑎𝑦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𝑦𝑟</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D9148DAF-F5A1-4DFB-8FEC-CCAE14C7988D}"/>
                </a:ext>
              </a:extLst>
            </xdr:cNvPr>
            <xdr:cNvSpPr txBox="1"/>
          </xdr:nvSpPr>
          <xdr:spPr>
            <a:xfrm>
              <a:off x="361950" y="10220325"/>
              <a:ext cx="49149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 )∗𝐼𝑆𝑅∗𝐻𝑂𝑈∗365</a:t>
              </a:r>
              <a:r>
                <a:rPr lang="en-US" sz="1100" b="0" i="0">
                  <a:solidFill>
                    <a:schemeClr val="tx1"/>
                  </a:solidFill>
                  <a:effectLst/>
                  <a:latin typeface="Cambria Math" panose="02040503050406030204" pitchFamily="18" charset="0"/>
                  <a:ea typeface="+mn-ea"/>
                  <a:cs typeface="+mn-cs"/>
                </a:rPr>
                <a:t>𝑑𝑎𝑦/𝑦𝑟∗(1+〖𝑊𝐻〗_(𝐶,𝐸)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30</xdr:row>
      <xdr:rowOff>171449</xdr:rowOff>
    </xdr:from>
    <xdr:ext cx="4962526" cy="2381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748B750-57A2-4A94-95D2-D592B2B48B11}"/>
                </a:ext>
              </a:extLst>
            </xdr:cNvPr>
            <xdr:cNvSpPr txBox="1"/>
          </xdr:nvSpPr>
          <xdr:spPr>
            <a:xfrm>
              <a:off x="368300" y="8677274"/>
              <a:ext cx="496252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4748B750-57A2-4A94-95D2-D592B2B48B11}"/>
                </a:ext>
              </a:extLst>
            </xdr:cNvPr>
            <xdr:cNvSpPr txBox="1"/>
          </xdr:nvSpPr>
          <xdr:spPr>
            <a:xfrm>
              <a:off x="368300" y="8677274"/>
              <a:ext cx="496252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 )∗𝐼𝑆𝑅∗𝐶𝐹∗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47</xdr:row>
      <xdr:rowOff>6351</xdr:rowOff>
    </xdr:from>
    <xdr:ext cx="3914775"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75253DA0-6FB9-492C-B087-A52B33DAD646}"/>
                </a:ext>
              </a:extLst>
            </xdr:cNvPr>
            <xdr:cNvSpPr txBox="1"/>
          </xdr:nvSpPr>
          <xdr:spPr>
            <a:xfrm>
              <a:off x="339725" y="117506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𝑃𝑌</m:t>
                        </m:r>
                        <m:r>
                          <a:rPr lang="en-US" sz="1100" b="0" i="1">
                            <a:solidFill>
                              <a:schemeClr val="tx1"/>
                            </a:solidFill>
                            <a:effectLst/>
                            <a:latin typeface="Cambria Math" panose="02040503050406030204" pitchFamily="18" charset="0"/>
                            <a:ea typeface="+mn-ea"/>
                            <a:cs typeface="+mn-cs"/>
                          </a:rPr>
                          <m:t>22+</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𝑡𝑢𝑏𝑒</m:t>
                        </m:r>
                      </m:sub>
                    </m:sSub>
                  </m:oMath>
                </m:oMathPara>
              </a14:m>
              <a:endParaRPr lang="en-US" sz="1100"/>
            </a:p>
          </xdr:txBody>
        </xdr:sp>
      </mc:Choice>
      <mc:Fallback xmlns="">
        <xdr:sp macro="" textlink="">
          <xdr:nvSpPr>
            <xdr:cNvPr id="7" name="TextBox 6">
              <a:extLst>
                <a:ext uri="{FF2B5EF4-FFF2-40B4-BE49-F238E27FC236}">
                  <a16:creationId xmlns:a16="http://schemas.microsoft.com/office/drawing/2014/main" id="{75253DA0-6FB9-492C-B087-A52B33DAD646}"/>
                </a:ext>
              </a:extLst>
            </xdr:cNvPr>
            <xdr:cNvSpPr txBox="1"/>
          </xdr:nvSpPr>
          <xdr:spPr>
            <a:xfrm>
              <a:off x="339725" y="117506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𝑘𝑊ℎ〗_(𝑃𝑌22+)</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𝑘𝑊ℎ〗_2𝑛𝑑∗〖𝐸𝑈𝐿〗_𝑡𝑢𝑏𝑒</a:t>
              </a:r>
              <a:endParaRPr lang="en-US" sz="1100"/>
            </a:p>
          </xdr:txBody>
        </xdr:sp>
      </mc:Fallback>
    </mc:AlternateContent>
    <xdr:clientData/>
  </xdr:oneCellAnchor>
  <xdr:oneCellAnchor>
    <xdr:from>
      <xdr:col>1</xdr:col>
      <xdr:colOff>171450</xdr:colOff>
      <xdr:row>51</xdr:row>
      <xdr:rowOff>7937</xdr:rowOff>
    </xdr:from>
    <xdr:ext cx="1776897" cy="191078"/>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E0D0095B-9161-43B3-892B-B02C1EF96830}"/>
                </a:ext>
              </a:extLst>
            </xdr:cNvPr>
            <xdr:cNvSpPr txBox="1"/>
          </xdr:nvSpPr>
          <xdr:spPr>
            <a:xfrm>
              <a:off x="352425" y="12514262"/>
              <a:ext cx="1776897"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8" name="TextBox 7">
              <a:extLst>
                <a:ext uri="{FF2B5EF4-FFF2-40B4-BE49-F238E27FC236}">
                  <a16:creationId xmlns:a16="http://schemas.microsoft.com/office/drawing/2014/main" id="{E0D0095B-9161-43B3-892B-B02C1EF96830}"/>
                </a:ext>
              </a:extLst>
            </xdr:cNvPr>
            <xdr:cNvSpPr txBox="1"/>
          </xdr:nvSpPr>
          <xdr:spPr>
            <a:xfrm>
              <a:off x="352425" y="12514262"/>
              <a:ext cx="1776897"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𝑊𝐻〗_(𝐶,𝐷)=</a:t>
              </a:r>
              <a:r>
                <a:rPr lang="en-US" sz="1100" b="0" i="0">
                  <a:solidFill>
                    <a:schemeClr val="tx1"/>
                  </a:solidFill>
                  <a:effectLst/>
                  <a:latin typeface="Cambria Math" panose="02040503050406030204" pitchFamily="18" charset="0"/>
                  <a:ea typeface="+mn-ea"/>
                  <a:cs typeface="+mn-cs"/>
                </a:rPr>
                <a:t>%_𝐶𝑜𝑜𝑙∗</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〖𝐼𝐸〗_(𝐶,𝐷)−1)</a:t>
              </a:r>
              <a:endParaRPr lang="en-US" sz="1100"/>
            </a:p>
          </xdr:txBody>
        </xdr:sp>
      </mc:Fallback>
    </mc:AlternateContent>
    <xdr:clientData/>
  </xdr:oneCellAnchor>
  <xdr:oneCellAnchor>
    <xdr:from>
      <xdr:col>1</xdr:col>
      <xdr:colOff>158750</xdr:colOff>
      <xdr:row>53</xdr:row>
      <xdr:rowOff>0</xdr:rowOff>
    </xdr:from>
    <xdr:ext cx="1832168" cy="191078"/>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FF1982E1-EB4C-466B-A51B-27E3F1FCEF9F}"/>
                </a:ext>
              </a:extLst>
            </xdr:cNvPr>
            <xdr:cNvSpPr txBox="1"/>
          </xdr:nvSpPr>
          <xdr:spPr>
            <a:xfrm>
              <a:off x="339725" y="12887325"/>
              <a:ext cx="18321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9" name="TextBox 8">
              <a:extLst>
                <a:ext uri="{FF2B5EF4-FFF2-40B4-BE49-F238E27FC236}">
                  <a16:creationId xmlns:a16="http://schemas.microsoft.com/office/drawing/2014/main" id="{FF1982E1-EB4C-466B-A51B-27E3F1FCEF9F}"/>
                </a:ext>
              </a:extLst>
            </xdr:cNvPr>
            <xdr:cNvSpPr txBox="1"/>
          </xdr:nvSpPr>
          <xdr:spPr>
            <a:xfrm>
              <a:off x="339725" y="12887325"/>
              <a:ext cx="18321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𝑊𝐻〗_(𝐶,𝐸)=</a:t>
              </a:r>
              <a:r>
                <a:rPr lang="en-US" sz="1100" b="0" i="0">
                  <a:solidFill>
                    <a:schemeClr val="tx1"/>
                  </a:solidFill>
                  <a:effectLst/>
                  <a:latin typeface="Cambria Math" panose="02040503050406030204" pitchFamily="18" charset="0"/>
                  <a:ea typeface="+mn-ea"/>
                  <a:cs typeface="+mn-cs"/>
                </a:rPr>
                <a:t>%_𝐶𝑜𝑜𝑙∗</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〖𝐼𝐸〗_(𝐶,𝐸)−1)</a:t>
              </a:r>
              <a:endParaRPr lang="en-US" sz="1100"/>
            </a:p>
          </xdr:txBody>
        </xdr:sp>
      </mc:Fallback>
    </mc:AlternateContent>
    <xdr:clientData/>
  </xdr:oneCellAnchor>
</xdr:wsDr>
</file>

<file path=xl/drawings/drawing58.xml><?xml version="1.0" encoding="utf-8"?>
<xdr:wsDr xmlns:xdr="http://schemas.openxmlformats.org/drawingml/2006/spreadsheetDrawing" xmlns:a="http://schemas.openxmlformats.org/drawingml/2006/main">
  <xdr:oneCellAnchor>
    <xdr:from>
      <xdr:col>2</xdr:col>
      <xdr:colOff>182880</xdr:colOff>
      <xdr:row>35</xdr:row>
      <xdr:rowOff>152400</xdr:rowOff>
    </xdr:from>
    <xdr:ext cx="1658595"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C4594D2-E7FB-436E-B341-01003DEFDD78}"/>
                </a:ext>
              </a:extLst>
            </xdr:cNvPr>
            <xdr:cNvSpPr txBox="1"/>
          </xdr:nvSpPr>
          <xdr:spPr>
            <a:xfrm>
              <a:off x="659130" y="9753600"/>
              <a:ext cx="165859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8C4594D2-E7FB-436E-B341-01003DEFDD78}"/>
                </a:ext>
              </a:extLst>
            </xdr:cNvPr>
            <xdr:cNvSpPr txBox="1"/>
          </xdr:nvSpPr>
          <xdr:spPr>
            <a:xfrm>
              <a:off x="659130" y="9753600"/>
              <a:ext cx="165859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𝑙𝑖𝑓𝑒=</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oneCellAnchor>
    <xdr:from>
      <xdr:col>2</xdr:col>
      <xdr:colOff>160020</xdr:colOff>
      <xdr:row>27</xdr:row>
      <xdr:rowOff>190499</xdr:rowOff>
    </xdr:from>
    <xdr:ext cx="3430270"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9AB0CBC-8B64-48EC-81B8-DEFD0EB7C436}"/>
                </a:ext>
              </a:extLst>
            </xdr:cNvPr>
            <xdr:cNvSpPr txBox="1"/>
          </xdr:nvSpPr>
          <xdr:spPr>
            <a:xfrm>
              <a:off x="636270" y="8267699"/>
              <a:ext cx="343027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𝑆𝑎𝑣𝑖𝑛𝑔𝑠</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𝐾𝑊𝐻</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59AB0CBC-8B64-48EC-81B8-DEFD0EB7C436}"/>
                </a:ext>
              </a:extLst>
            </xdr:cNvPr>
            <xdr:cNvSpPr txBox="1"/>
          </xdr:nvSpPr>
          <xdr:spPr>
            <a:xfrm>
              <a:off x="636270" y="8267699"/>
              <a:ext cx="343027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 𝑆𝑎𝑣𝑖𝑛𝑔𝑠∗〖𝐾𝑊𝐻〗_𝐵𝑎𝑠𝑒𝑙𝑖𝑛𝑒∗𝐼𝑆𝑅∗𝑃𝐹</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160019</xdr:colOff>
      <xdr:row>31</xdr:row>
      <xdr:rowOff>190499</xdr:rowOff>
    </xdr:from>
    <xdr:ext cx="4021455" cy="2571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3A26A81-701E-40B6-B753-4349BD9F2A7C}"/>
                </a:ext>
              </a:extLst>
            </xdr:cNvPr>
            <xdr:cNvSpPr txBox="1"/>
          </xdr:nvSpPr>
          <xdr:spPr>
            <a:xfrm>
              <a:off x="636269" y="9029699"/>
              <a:ext cx="402145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𝑆𝑎𝑣𝑖𝑛𝑔𝑠</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𝐾𝑊𝐻</m:t>
                        </m:r>
                      </m:e>
                      <m:sub>
                        <m:r>
                          <a:rPr lang="en-US" sz="1100" b="0" i="1">
                            <a:solidFill>
                              <a:schemeClr val="tx1"/>
                            </a:solidFill>
                            <a:effectLst/>
                            <a:latin typeface="Cambria Math" panose="02040503050406030204" pitchFamily="18" charset="0"/>
                            <a:ea typeface="+mn-ea"/>
                            <a:cs typeface="+mn-cs"/>
                          </a:rPr>
                          <m:t>𝐵𝑎𝑠𝑒𝑙𝑖𝑛𝑒</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r>
                      <a:rPr lang="en-US" sz="1100" b="0" i="0">
                        <a:solidFill>
                          <a:sysClr val="windowText" lastClr="000000"/>
                        </a:solidFill>
                        <a:latin typeface="Cambria Math" panose="02040503050406030204" pitchFamily="18" charset="0"/>
                        <a:ea typeface="Cambria Math" panose="02040503050406030204" pitchFamily="18" charset="0"/>
                      </a:rPr>
                      <m:t>∗</m:t>
                    </m:r>
                    <m:r>
                      <m:rPr>
                        <m:sty m:val="p"/>
                      </m:rPr>
                      <a:rPr lang="en-US" sz="1100" b="0" i="0">
                        <a:solidFill>
                          <a:sysClr val="windowText" lastClr="000000"/>
                        </a:solidFill>
                        <a:latin typeface="Cambria Math" panose="02040503050406030204" pitchFamily="18" charset="0"/>
                        <a:ea typeface="Cambria Math" panose="02040503050406030204" pitchFamily="18" charset="0"/>
                      </a:rPr>
                      <m:t>CF</m:t>
                    </m:r>
                    <m:r>
                      <a:rPr lang="en-US" sz="1100" b="0" i="0">
                        <a:solidFill>
                          <a:sysClr val="windowText" lastClr="000000"/>
                        </a:solidFill>
                        <a:latin typeface="Cambria Math" panose="02040503050406030204" pitchFamily="18" charset="0"/>
                        <a:ea typeface="Cambria Math" panose="02040503050406030204" pitchFamily="18" charset="0"/>
                      </a:rPr>
                      <m:t>/</m:t>
                    </m:r>
                    <m:r>
                      <m:rPr>
                        <m:sty m:val="p"/>
                      </m:rPr>
                      <a:rPr lang="en-US" sz="1100" b="0" i="0">
                        <a:solidFill>
                          <a:sysClr val="windowText" lastClr="000000"/>
                        </a:solidFill>
                        <a:latin typeface="Cambria Math" panose="02040503050406030204" pitchFamily="18" charset="0"/>
                        <a:ea typeface="Cambria Math" panose="02040503050406030204" pitchFamily="18" charset="0"/>
                      </a:rPr>
                      <m:t>HRS</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B3A26A81-701E-40B6-B753-4349BD9F2A7C}"/>
                </a:ext>
              </a:extLst>
            </xdr:cNvPr>
            <xdr:cNvSpPr txBox="1"/>
          </xdr:nvSpPr>
          <xdr:spPr>
            <a:xfrm>
              <a:off x="636269" y="9029699"/>
              <a:ext cx="402145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 𝑆𝑎𝑣𝑖𝑛𝑔𝑠∗</a:t>
              </a:r>
              <a:r>
                <a:rPr lang="en-US" sz="1100" b="0" i="0">
                  <a:solidFill>
                    <a:schemeClr val="tx1"/>
                  </a:solidFill>
                  <a:effectLst/>
                  <a:latin typeface="Cambria Math" panose="02040503050406030204" pitchFamily="18" charset="0"/>
                  <a:ea typeface="+mn-ea"/>
                  <a:cs typeface="+mn-cs"/>
                </a:rPr>
                <a:t>〖𝐾𝑊𝐻〗_𝐵𝑎𝑠𝑒𝑙𝑖𝑛𝑒  </a:t>
              </a:r>
              <a:r>
                <a:rPr lang="en-US" sz="1100" b="0" i="0">
                  <a:solidFill>
                    <a:sysClr val="windowText" lastClr="000000"/>
                  </a:solidFill>
                  <a:latin typeface="Cambria Math" panose="02040503050406030204" pitchFamily="18" charset="0"/>
                  <a:ea typeface="Cambria Math" panose="02040503050406030204" pitchFamily="18" charset="0"/>
                </a:rPr>
                <a:t>∗𝐼𝑆𝑅∗𝑃𝐹∗CF/HRS</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59.xml><?xml version="1.0" encoding="utf-8"?>
<xdr:wsDr xmlns:xdr="http://schemas.openxmlformats.org/drawingml/2006/spreadsheetDrawing" xmlns:a="http://schemas.openxmlformats.org/drawingml/2006/main">
  <xdr:oneCellAnchor>
    <xdr:from>
      <xdr:col>2</xdr:col>
      <xdr:colOff>8601</xdr:colOff>
      <xdr:row>56</xdr:row>
      <xdr:rowOff>11776</xdr:rowOff>
    </xdr:from>
    <xdr:ext cx="2680380" cy="235874"/>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008DEBF-209B-404B-8ABC-50761D15ECB9}"/>
                </a:ext>
              </a:extLst>
            </xdr:cNvPr>
            <xdr:cNvSpPr txBox="1"/>
          </xdr:nvSpPr>
          <xdr:spPr>
            <a:xfrm>
              <a:off x="370551" y="11765626"/>
              <a:ext cx="2680380" cy="23587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effectLst/>
                        <a:latin typeface="Cambria Math" panose="02040503050406030204" pitchFamily="18" charset="0"/>
                        <a:ea typeface="+mn-ea"/>
                        <a:cs typeface="+mn-cs"/>
                      </a:rPr>
                      <m:t>𝑘𝑊</m:t>
                    </m:r>
                    <m:r>
                      <a:rPr lang="en-US" sz="1100" b="0" i="1" baseline="-25000">
                        <a:solidFill>
                          <a:sysClr val="windowText" lastClr="000000"/>
                        </a:solidFill>
                        <a:effectLst/>
                        <a:latin typeface="Cambria Math" panose="02040503050406030204" pitchFamily="18" charset="0"/>
                        <a:ea typeface="+mn-ea"/>
                        <a:cs typeface="+mn-cs"/>
                      </a:rPr>
                      <m:t>𝑠</m:t>
                    </m:r>
                    <m:r>
                      <a:rPr lang="en-US" sz="1100" b="0" i="1" baseline="-25000">
                        <a:solidFill>
                          <a:sysClr val="windowText" lastClr="000000"/>
                        </a:solidFill>
                        <a:effectLst/>
                        <a:latin typeface="Cambria Math" panose="02040503050406030204" pitchFamily="18" charset="0"/>
                        <a:ea typeface="+mn-ea"/>
                        <a:cs typeface="+mn-cs"/>
                      </a:rPr>
                      <m:t>,</m:t>
                    </m:r>
                    <m:r>
                      <a:rPr lang="en-US" sz="1100" b="0" i="1" baseline="-25000">
                        <a:solidFill>
                          <a:sysClr val="windowText" lastClr="000000"/>
                        </a:solidFill>
                        <a:effectLst/>
                        <a:latin typeface="Cambria Math" panose="02040503050406030204" pitchFamily="18" charset="0"/>
                        <a:ea typeface="+mn-ea"/>
                        <a:cs typeface="+mn-cs"/>
                      </a:rPr>
                      <m:t>𝑎𝑣𝑒𝑟𝑎𝑔𝑒</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2008DEBF-209B-404B-8ABC-50761D15ECB9}"/>
                </a:ext>
              </a:extLst>
            </xdr:cNvPr>
            <xdr:cNvSpPr txBox="1"/>
          </xdr:nvSpPr>
          <xdr:spPr>
            <a:xfrm>
              <a:off x="370551" y="11765626"/>
              <a:ext cx="2680380" cy="23587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 ∆</a:t>
              </a:r>
              <a:r>
                <a:rPr lang="en-US" sz="1100" b="0" i="0">
                  <a:solidFill>
                    <a:sysClr val="windowText" lastClr="000000"/>
                  </a:solidFill>
                  <a:effectLst/>
                  <a:latin typeface="Cambria Math" panose="02040503050406030204" pitchFamily="18" charset="0"/>
                  <a:ea typeface="+mn-ea"/>
                  <a:cs typeface="+mn-cs"/>
                </a:rPr>
                <a:t>𝑘𝑊</a:t>
              </a:r>
              <a:r>
                <a:rPr lang="en-US" sz="1100" b="0" i="0" baseline="-25000">
                  <a:solidFill>
                    <a:sysClr val="windowText" lastClr="000000"/>
                  </a:solidFill>
                  <a:effectLst/>
                  <a:latin typeface="Cambria Math" panose="02040503050406030204" pitchFamily="18" charset="0"/>
                  <a:ea typeface="+mn-ea"/>
                  <a:cs typeface="+mn-cs"/>
                </a:rPr>
                <a:t>𝑠,𝑎𝑣𝑒𝑟𝑎𝑔𝑒</a:t>
              </a:r>
              <a:r>
                <a:rPr lang="en-US" sz="1100" b="0" i="0">
                  <a:solidFill>
                    <a:sysClr val="windowText" lastClr="000000"/>
                  </a:solidFill>
                  <a:latin typeface="Cambria Math" panose="02040503050406030204" pitchFamily="18" charset="0"/>
                  <a:ea typeface="Cambria Math" panose="02040503050406030204" pitchFamily="18" charset="0"/>
                </a:rPr>
                <a:t>∗𝐶𝐹</a:t>
              </a:r>
              <a:endParaRPr lang="en-US" sz="1100">
                <a:solidFill>
                  <a:sysClr val="windowText" lastClr="000000"/>
                </a:solidFill>
              </a:endParaRPr>
            </a:p>
          </xdr:txBody>
        </xdr:sp>
      </mc:Fallback>
    </mc:AlternateContent>
    <xdr:clientData/>
  </xdr:oneCellAnchor>
  <xdr:oneCellAnchor>
    <xdr:from>
      <xdr:col>2</xdr:col>
      <xdr:colOff>38042</xdr:colOff>
      <xdr:row>61</xdr:row>
      <xdr:rowOff>7793</xdr:rowOff>
    </xdr:from>
    <xdr:ext cx="3914775" cy="1831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060D773-E16E-413B-95D5-A09C068FEA33}"/>
                </a:ext>
              </a:extLst>
            </xdr:cNvPr>
            <xdr:cNvSpPr txBox="1"/>
          </xdr:nvSpPr>
          <xdr:spPr>
            <a:xfrm>
              <a:off x="399992" y="12714143"/>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𝑒𝑒</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E060D773-E16E-413B-95D5-A09C068FEA33}"/>
                </a:ext>
              </a:extLst>
            </xdr:cNvPr>
            <xdr:cNvSpPr txBox="1"/>
          </xdr:nvSpPr>
          <xdr:spPr>
            <a:xfrm>
              <a:off x="399992" y="12714143"/>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𝑘𝑊ℎ∗〖𝐸𝑈𝐿〗_𝑒𝑒</a:t>
              </a:r>
              <a:endParaRPr lang="en-US" sz="1100"/>
            </a:p>
          </xdr:txBody>
        </xdr:sp>
      </mc:Fallback>
    </mc:AlternateContent>
    <xdr:clientData/>
  </xdr:oneCellAnchor>
  <xdr:oneCellAnchor>
    <xdr:from>
      <xdr:col>2</xdr:col>
      <xdr:colOff>22985</xdr:colOff>
      <xdr:row>45</xdr:row>
      <xdr:rowOff>29592</xdr:rowOff>
    </xdr:from>
    <xdr:ext cx="3848101" cy="20955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EC88AE0F-A04D-4B19-BB64-8C5A63951927}"/>
                </a:ext>
              </a:extLst>
            </xdr:cNvPr>
            <xdr:cNvSpPr txBox="1"/>
          </xdr:nvSpPr>
          <xdr:spPr>
            <a:xfrm>
              <a:off x="384935" y="9687942"/>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𝑒𝑒</m:t>
                            </m:r>
                          </m:sub>
                        </m:sSub>
                      </m:e>
                    </m:d>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EC88AE0F-A04D-4B19-BB64-8C5A63951927}"/>
                </a:ext>
              </a:extLst>
            </xdr:cNvPr>
            <xdr:cNvSpPr txBox="1"/>
          </xdr:nvSpPr>
          <xdr:spPr>
            <a:xfrm>
              <a:off x="384935" y="9687942"/>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〖𝑘𝑊ℎ〗_𝑏𝑎𝑠𝑒−〖𝑘𝑊ℎ〗_𝑒𝑒 )</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66675</xdr:colOff>
      <xdr:row>28</xdr:row>
      <xdr:rowOff>19050</xdr:rowOff>
    </xdr:from>
    <xdr:ext cx="3113210" cy="51435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4D6CB89B-CA96-47BC-A55D-EB23A5050AEF}"/>
                </a:ext>
              </a:extLst>
            </xdr:cNvPr>
            <xdr:cNvSpPr txBox="1"/>
          </xdr:nvSpPr>
          <xdr:spPr>
            <a:xfrm>
              <a:off x="428625" y="6438900"/>
              <a:ext cx="3113210" cy="514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𝑏𝑎𝑠𝑒</m:t>
                        </m:r>
                      </m:sub>
                    </m:sSub>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𝐻𝑅𝑆</m:t>
                            </m:r>
                            <m:r>
                              <a:rPr lang="en-US" sz="1100" b="0" i="1" baseline="-25000">
                                <a:latin typeface="Cambria Math" panose="02040503050406030204" pitchFamily="18" charset="0"/>
                                <a:ea typeface="Cambria Math" panose="02040503050406030204" pitchFamily="18" charset="0"/>
                              </a:rPr>
                              <m:t>𝑠𝑝</m:t>
                            </m:r>
                            <m:r>
                              <a:rPr lang="en-US" sz="1100" b="0" i="1" baseline="0">
                                <a:latin typeface="Cambria Math" panose="02040503050406030204" pitchFamily="18" charset="0"/>
                                <a:ea typeface="Cambria Math" panose="02040503050406030204" pitchFamily="18" charset="0"/>
                              </a:rPr>
                              <m:t>+</m:t>
                            </m:r>
                            <m:sSub>
                              <m:sSubPr>
                                <m:ctrlPr>
                                  <a:rPr lang="en-US" sz="1100" b="0" i="1" baseline="0">
                                    <a:latin typeface="Cambria Math" panose="02040503050406030204" pitchFamily="18" charset="0"/>
                                    <a:ea typeface="Cambria Math" panose="02040503050406030204" pitchFamily="18" charset="0"/>
                                  </a:rPr>
                                </m:ctrlPr>
                              </m:sSubPr>
                              <m:e>
                                <m:r>
                                  <a:rPr lang="en-US" sz="1100" b="0" i="1" baseline="0">
                                    <a:latin typeface="Cambria Math" panose="02040503050406030204" pitchFamily="18" charset="0"/>
                                    <a:ea typeface="Cambria Math" panose="02040503050406030204" pitchFamily="18" charset="0"/>
                                  </a:rPr>
                                  <m:t>𝐻𝑅𝑆</m:t>
                                </m:r>
                              </m:e>
                              <m:sub>
                                <m:r>
                                  <a:rPr lang="en-US" sz="1100" b="0" i="1" baseline="0">
                                    <a:latin typeface="Cambria Math" panose="02040503050406030204" pitchFamily="18" charset="0"/>
                                    <a:ea typeface="Cambria Math" panose="02040503050406030204" pitchFamily="18" charset="0"/>
                                  </a:rPr>
                                  <m:t>𝑠𝑢</m:t>
                                </m:r>
                              </m:sub>
                            </m:sSub>
                          </m:e>
                        </m:d>
                        <m:r>
                          <a:rPr lang="en-US" sz="1100" b="0" i="1" baseline="0">
                            <a:latin typeface="Cambria Math" panose="02040503050406030204" pitchFamily="18" charset="0"/>
                            <a:ea typeface="Cambria Math" panose="02040503050406030204" pitchFamily="18" charset="0"/>
                          </a:rPr>
                          <m:t>∗</m:t>
                        </m:r>
                        <m:sSub>
                          <m:sSubPr>
                            <m:ctrlPr>
                              <a:rPr lang="en-US" sz="1100" b="0" i="1" baseline="0">
                                <a:latin typeface="Cambria Math" panose="02040503050406030204" pitchFamily="18" charset="0"/>
                                <a:ea typeface="Cambria Math" panose="02040503050406030204" pitchFamily="18" charset="0"/>
                              </a:rPr>
                            </m:ctrlPr>
                          </m:sSubPr>
                          <m:e>
                            <m:r>
                              <a:rPr lang="en-US" sz="1100" b="0" i="1" baseline="0">
                                <a:latin typeface="Cambria Math" panose="02040503050406030204" pitchFamily="18" charset="0"/>
                                <a:ea typeface="Cambria Math" panose="02040503050406030204" pitchFamily="18" charset="0"/>
                              </a:rPr>
                              <m:t>𝑊</m:t>
                            </m:r>
                          </m:e>
                          <m:sub>
                            <m:r>
                              <a:rPr lang="en-US" sz="1100" b="0" i="1" baseline="0">
                                <a:latin typeface="Cambria Math" panose="02040503050406030204" pitchFamily="18" charset="0"/>
                                <a:ea typeface="Cambria Math" panose="02040503050406030204" pitchFamily="18" charset="0"/>
                              </a:rPr>
                              <m:t>𝑏𝑎𝑠𝑒</m:t>
                            </m:r>
                          </m:sub>
                        </m:sSub>
                      </m:num>
                      <m:den>
                        <m:r>
                          <a:rPr lang="en-US" sz="1100" b="0" i="1">
                            <a:latin typeface="Cambria Math" panose="02040503050406030204" pitchFamily="18" charset="0"/>
                            <a:ea typeface="Cambria Math" panose="02040503050406030204" pitchFamily="18" charset="0"/>
                          </a:rPr>
                          <m:t>1000</m:t>
                        </m:r>
                      </m:den>
                    </m:f>
                  </m:oMath>
                </m:oMathPara>
              </a14:m>
              <a:endParaRPr lang="en-US" sz="1100"/>
            </a:p>
          </xdr:txBody>
        </xdr:sp>
      </mc:Choice>
      <mc:Fallback xmlns="">
        <xdr:sp macro="" textlink="">
          <xdr:nvSpPr>
            <xdr:cNvPr id="5" name="TextBox 4">
              <a:extLst>
                <a:ext uri="{FF2B5EF4-FFF2-40B4-BE49-F238E27FC236}">
                  <a16:creationId xmlns:a16="http://schemas.microsoft.com/office/drawing/2014/main" id="{4D6CB89B-CA96-47BC-A55D-EB23A5050AEF}"/>
                </a:ext>
              </a:extLst>
            </xdr:cNvPr>
            <xdr:cNvSpPr txBox="1"/>
          </xdr:nvSpPr>
          <xdr:spPr>
            <a:xfrm>
              <a:off x="428625" y="6438900"/>
              <a:ext cx="3113210" cy="514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〖𝑘𝑊ℎ〗_𝑏𝑎𝑠𝑒</a:t>
              </a:r>
              <a:r>
                <a:rPr lang="en-US" sz="1100" b="0" i="0">
                  <a:latin typeface="Cambria Math" panose="02040503050406030204" pitchFamily="18" charset="0"/>
                  <a:ea typeface="Cambria Math" panose="02040503050406030204" pitchFamily="18" charset="0"/>
                </a:rPr>
                <a:t>=((𝐻𝑅𝑆</a:t>
              </a:r>
              <a:r>
                <a:rPr lang="en-US" sz="1100" b="0" i="0" baseline="-25000">
                  <a:latin typeface="Cambria Math" panose="02040503050406030204" pitchFamily="18" charset="0"/>
                  <a:ea typeface="Cambria Math" panose="02040503050406030204" pitchFamily="18" charset="0"/>
                </a:rPr>
                <a:t>𝑠𝑝</a:t>
              </a:r>
              <a:r>
                <a:rPr lang="en-US" sz="1100" b="0" i="0" baseline="0">
                  <a:latin typeface="Cambria Math" panose="02040503050406030204" pitchFamily="18" charset="0"/>
                  <a:ea typeface="Cambria Math" panose="02040503050406030204" pitchFamily="18" charset="0"/>
                </a:rPr>
                <a:t>+〖𝐻𝑅𝑆〗_𝑠𝑢 )∗𝑊_𝑏𝑎𝑠𝑒)/</a:t>
              </a:r>
              <a:r>
                <a:rPr lang="en-US" sz="1100" b="0" i="0">
                  <a:latin typeface="Cambria Math" panose="02040503050406030204" pitchFamily="18" charset="0"/>
                  <a:ea typeface="Cambria Math" panose="02040503050406030204" pitchFamily="18" charset="0"/>
                </a:rPr>
                <a:t>1000</a:t>
              </a:r>
              <a:endParaRPr lang="en-US" sz="1100"/>
            </a:p>
          </xdr:txBody>
        </xdr:sp>
      </mc:Fallback>
    </mc:AlternateContent>
    <xdr:clientData/>
  </xdr:oneCellAnchor>
  <xdr:oneCellAnchor>
    <xdr:from>
      <xdr:col>2</xdr:col>
      <xdr:colOff>47624</xdr:colOff>
      <xdr:row>34</xdr:row>
      <xdr:rowOff>9525</xdr:rowOff>
    </xdr:from>
    <xdr:ext cx="5051913" cy="5143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9CD3653-4A11-405F-BDF0-B19299156080}"/>
                </a:ext>
              </a:extLst>
            </xdr:cNvPr>
            <xdr:cNvSpPr txBox="1"/>
          </xdr:nvSpPr>
          <xdr:spPr>
            <a:xfrm>
              <a:off x="409574" y="7572375"/>
              <a:ext cx="5051913" cy="514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𝑒𝑒</m:t>
                        </m:r>
                      </m:sub>
                    </m:sSub>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𝐻𝑅𝑆</m:t>
                            </m:r>
                            <m:r>
                              <a:rPr lang="en-US" sz="1100" b="0" i="1" baseline="-25000">
                                <a:latin typeface="Cambria Math" panose="02040503050406030204" pitchFamily="18" charset="0"/>
                                <a:ea typeface="Cambria Math" panose="02040503050406030204" pitchFamily="18" charset="0"/>
                              </a:rPr>
                              <m:t>𝑠𝑝</m:t>
                            </m:r>
                            <m:r>
                              <a:rPr lang="en-US" sz="1100" b="0" i="1">
                                <a:latin typeface="Cambria Math" panose="02040503050406030204" pitchFamily="18" charset="0"/>
                                <a:ea typeface="Cambria Math" panose="02040503050406030204" pitchFamily="18" charset="0"/>
                              </a:rPr>
                              <m:t> ∗</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𝑊</m:t>
                                </m:r>
                              </m:e>
                              <m:sub>
                                <m:r>
                                  <a:rPr lang="en-US" sz="1100" b="0" i="1">
                                    <a:latin typeface="Cambria Math" panose="02040503050406030204" pitchFamily="18" charset="0"/>
                                    <a:ea typeface="Cambria Math" panose="02040503050406030204" pitchFamily="18" charset="0"/>
                                  </a:rPr>
                                  <m:t>𝑒𝑒𝑝</m:t>
                                </m:r>
                              </m:sub>
                            </m:sSub>
                          </m:e>
                        </m:d>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𝐻𝑅𝑆</m:t>
                            </m:r>
                          </m:e>
                          <m:sub>
                            <m:r>
                              <a:rPr lang="en-US" sz="1100" b="0" i="1">
                                <a:latin typeface="Cambria Math" panose="02040503050406030204" pitchFamily="18" charset="0"/>
                                <a:ea typeface="Cambria Math" panose="02040503050406030204" pitchFamily="18" charset="0"/>
                              </a:rPr>
                              <m:t>𝑠𝑢</m:t>
                            </m:r>
                          </m:sub>
                        </m:sSub>
                        <m:r>
                          <a:rPr lang="en-US" sz="1100" b="0" i="1">
                            <a:latin typeface="Cambria Math" panose="02040503050406030204" pitchFamily="18" charset="0"/>
                            <a:ea typeface="Cambria Math" panose="02040503050406030204" pitchFamily="18" charset="0"/>
                          </a:rPr>
                          <m:t> ∗</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𝑊</m:t>
                            </m:r>
                          </m:e>
                          <m:sub>
                            <m:r>
                              <a:rPr lang="en-US" sz="1100" b="0" i="1">
                                <a:latin typeface="Cambria Math" panose="02040503050406030204" pitchFamily="18" charset="0"/>
                                <a:ea typeface="Cambria Math" panose="02040503050406030204" pitchFamily="18" charset="0"/>
                              </a:rPr>
                              <m:t>𝑒𝑒𝑢</m:t>
                            </m:r>
                          </m:sub>
                        </m:sSub>
                        <m:r>
                          <a:rPr lang="en-US" sz="1100" b="0" i="1">
                            <a:latin typeface="Cambria Math" panose="02040503050406030204" pitchFamily="18" charset="0"/>
                            <a:ea typeface="Cambria Math" panose="02040503050406030204" pitchFamily="18" charset="0"/>
                          </a:rPr>
                          <m:t>)</m:t>
                        </m:r>
                      </m:num>
                      <m:den>
                        <m:r>
                          <a:rPr lang="en-US" sz="1100" b="0" i="1">
                            <a:latin typeface="Cambria Math" panose="02040503050406030204" pitchFamily="18" charset="0"/>
                            <a:ea typeface="Cambria Math" panose="02040503050406030204" pitchFamily="18" charset="0"/>
                          </a:rPr>
                          <m:t>1000</m:t>
                        </m:r>
                      </m:den>
                    </m:f>
                  </m:oMath>
                </m:oMathPara>
              </a14:m>
              <a:endParaRPr lang="en-US" sz="1100"/>
            </a:p>
          </xdr:txBody>
        </xdr:sp>
      </mc:Choice>
      <mc:Fallback xmlns="">
        <xdr:sp macro="" textlink="">
          <xdr:nvSpPr>
            <xdr:cNvPr id="6" name="TextBox 5">
              <a:extLst>
                <a:ext uri="{FF2B5EF4-FFF2-40B4-BE49-F238E27FC236}">
                  <a16:creationId xmlns:a16="http://schemas.microsoft.com/office/drawing/2014/main" id="{F9CD3653-4A11-405F-BDF0-B19299156080}"/>
                </a:ext>
              </a:extLst>
            </xdr:cNvPr>
            <xdr:cNvSpPr txBox="1"/>
          </xdr:nvSpPr>
          <xdr:spPr>
            <a:xfrm>
              <a:off x="409574" y="7572375"/>
              <a:ext cx="5051913" cy="514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〖𝑘𝑊ℎ〗_𝑒𝑒</a:t>
              </a:r>
              <a:r>
                <a:rPr lang="en-US" sz="1100" b="0" i="0">
                  <a:latin typeface="Cambria Math" panose="02040503050406030204" pitchFamily="18" charset="0"/>
                  <a:ea typeface="Cambria Math" panose="02040503050406030204" pitchFamily="18" charset="0"/>
                </a:rPr>
                <a:t>=((𝐻𝑅𝑆</a:t>
              </a:r>
              <a:r>
                <a:rPr lang="en-US" sz="1100" b="0" i="0" baseline="-25000">
                  <a:latin typeface="Cambria Math" panose="02040503050406030204" pitchFamily="18" charset="0"/>
                  <a:ea typeface="Cambria Math" panose="02040503050406030204" pitchFamily="18" charset="0"/>
                </a:rPr>
                <a:t>𝑠𝑝</a:t>
              </a:r>
              <a:r>
                <a:rPr lang="en-US" sz="1100" b="0" i="0">
                  <a:latin typeface="Cambria Math" panose="02040503050406030204" pitchFamily="18" charset="0"/>
                  <a:ea typeface="Cambria Math" panose="02040503050406030204" pitchFamily="18" charset="0"/>
                </a:rPr>
                <a:t> ∗𝑊_𝑒𝑒𝑝 )+(〖𝐻𝑅𝑆〗_𝑠𝑢  ∗𝑊_𝑒𝑒𝑢))/1000</a:t>
              </a:r>
              <a:endParaRPr lang="en-US" sz="1100"/>
            </a:p>
          </xdr:txBody>
        </xdr:sp>
      </mc:Fallback>
    </mc:AlternateContent>
    <xdr:clientData/>
  </xdr:oneCellAnchor>
  <xdr:oneCellAnchor>
    <xdr:from>
      <xdr:col>1</xdr:col>
      <xdr:colOff>180000</xdr:colOff>
      <xdr:row>39</xdr:row>
      <xdr:rowOff>164368</xdr:rowOff>
    </xdr:from>
    <xdr:ext cx="5051913" cy="194651"/>
    <mc:AlternateContent xmlns:mc="http://schemas.openxmlformats.org/markup-compatibility/2006" xmlns:a14="http://schemas.microsoft.com/office/drawing/2010/main">
      <mc:Choice Requires="a14">
        <xdr:sp macro="" textlink="">
          <xdr:nvSpPr>
            <xdr:cNvPr id="7" name="TextBox 7">
              <a:extLst>
                <a:ext uri="{FF2B5EF4-FFF2-40B4-BE49-F238E27FC236}">
                  <a16:creationId xmlns:a16="http://schemas.microsoft.com/office/drawing/2014/main" id="{2722E67E-899E-433F-81F9-A38B7EC1AEA8}"/>
                </a:ext>
              </a:extLst>
            </xdr:cNvPr>
            <xdr:cNvSpPr txBox="1"/>
          </xdr:nvSpPr>
          <xdr:spPr>
            <a:xfrm>
              <a:off x="360975" y="8679718"/>
              <a:ext cx="5051913" cy="1946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𝐻𝑅𝑆</m:t>
                        </m:r>
                      </m:e>
                      <m:sub>
                        <m:r>
                          <a:rPr lang="en-US" sz="1100" b="0" i="1">
                            <a:solidFill>
                              <a:schemeClr val="tx1"/>
                            </a:solidFill>
                            <a:effectLst/>
                            <a:latin typeface="Cambria Math" panose="02040503050406030204" pitchFamily="18" charset="0"/>
                            <a:ea typeface="+mn-ea"/>
                            <a:cs typeface="+mn-cs"/>
                          </a:rPr>
                          <m:t>𝑠𝑝</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𝐻𝑅𝑆</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𝐻𝑅𝑆</m:t>
                        </m:r>
                      </m:e>
                      <m:sub>
                        <m:r>
                          <a:rPr lang="en-US" sz="1100" b="0" i="1">
                            <a:latin typeface="Cambria Math" panose="02040503050406030204" pitchFamily="18" charset="0"/>
                            <a:ea typeface="Cambria Math" panose="02040503050406030204" pitchFamily="18" charset="0"/>
                          </a:rPr>
                          <m:t>𝑐</m:t>
                        </m:r>
                      </m:sub>
                    </m:sSub>
                  </m:oMath>
                </m:oMathPara>
              </a14:m>
              <a:endParaRPr lang="en-US" sz="1100" baseline="-25000"/>
            </a:p>
          </xdr:txBody>
        </xdr:sp>
      </mc:Choice>
      <mc:Fallback xmlns="">
        <xdr:sp macro="" textlink="">
          <xdr:nvSpPr>
            <xdr:cNvPr id="7" name="TextBox 7">
              <a:extLst>
                <a:ext uri="{FF2B5EF4-FFF2-40B4-BE49-F238E27FC236}">
                  <a16:creationId xmlns:a16="http://schemas.microsoft.com/office/drawing/2014/main" id="{2722E67E-899E-433F-81F9-A38B7EC1AEA8}"/>
                </a:ext>
              </a:extLst>
            </xdr:cNvPr>
            <xdr:cNvSpPr txBox="1"/>
          </xdr:nvSpPr>
          <xdr:spPr>
            <a:xfrm>
              <a:off x="360975" y="8679718"/>
              <a:ext cx="5051913" cy="1946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〖𝐻𝑅𝑆〗_𝑠𝑝</a:t>
              </a:r>
              <a:r>
                <a:rPr lang="en-US" sz="1100" b="0" i="0">
                  <a:latin typeface="Cambria Math" panose="02040503050406030204" pitchFamily="18" charset="0"/>
                  <a:ea typeface="Cambria Math" panose="02040503050406030204" pitchFamily="18" charset="0"/>
                </a:rPr>
                <a:t>=〖𝐻𝑅𝑆〗_𝑝−〖𝐻𝑅𝑆〗_𝑐</a:t>
              </a:r>
              <a:endParaRPr lang="en-US" sz="1100" baseline="-25000"/>
            </a:p>
          </xdr:txBody>
        </xdr:sp>
      </mc:Fallback>
    </mc:AlternateContent>
    <xdr:clientData/>
  </xdr:oneCellAnchor>
  <xdr:oneCellAnchor>
    <xdr:from>
      <xdr:col>1</xdr:col>
      <xdr:colOff>51288</xdr:colOff>
      <xdr:row>50</xdr:row>
      <xdr:rowOff>14654</xdr:rowOff>
    </xdr:from>
    <xdr:ext cx="5273188" cy="404446"/>
    <mc:AlternateContent xmlns:mc="http://schemas.openxmlformats.org/markup-compatibility/2006" xmlns:a14="http://schemas.microsoft.com/office/drawing/2010/main">
      <mc:Choice Requires="a14">
        <xdr:sp macro="" textlink="">
          <xdr:nvSpPr>
            <xdr:cNvPr id="8" name="TextBox 5">
              <a:extLst>
                <a:ext uri="{FF2B5EF4-FFF2-40B4-BE49-F238E27FC236}">
                  <a16:creationId xmlns:a16="http://schemas.microsoft.com/office/drawing/2014/main" id="{A7EF12D5-7CA1-49AC-9326-56C9CB0FDD40}"/>
                </a:ext>
              </a:extLst>
            </xdr:cNvPr>
            <xdr:cNvSpPr txBox="1"/>
          </xdr:nvSpPr>
          <xdr:spPr>
            <a:xfrm>
              <a:off x="232263" y="10625504"/>
              <a:ext cx="5273188" cy="4044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𝑎𝑣𝑒𝑟𝑎𝑔𝑒</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𝑊</m:t>
                        </m:r>
                        <m:r>
                          <a:rPr lang="en-US" sz="1100" b="0" i="1" baseline="-25000">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𝑒𝑒𝑝</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𝐻𝑅𝑆</m:t>
                            </m:r>
                          </m:e>
                          <m:sub>
                            <m:r>
                              <a:rPr lang="en-US" sz="1100" b="0" i="1">
                                <a:solidFill>
                                  <a:sysClr val="windowText" lastClr="000000"/>
                                </a:solidFill>
                                <a:effectLst/>
                                <a:latin typeface="Cambria Math" panose="02040503050406030204" pitchFamily="18" charset="0"/>
                                <a:ea typeface="+mn-ea"/>
                                <a:cs typeface="+mn-cs"/>
                              </a:rPr>
                              <m:t>𝑠𝑝</m:t>
                            </m:r>
                          </m:sub>
                        </m:sSub>
                        <m:r>
                          <a:rPr lang="en-US" sz="1100" b="0" i="1" baseline="-2500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𝑊</m:t>
                            </m:r>
                            <m:r>
                              <a:rPr lang="en-US" sz="1100" b="0" i="1" baseline="-25000">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𝑒𝑒𝑢</m:t>
                                </m:r>
                              </m:sub>
                            </m:sSub>
                          </m:e>
                        </m:d>
                        <m:r>
                          <a:rPr lang="en-US" sz="1100" b="0" i="1" baseline="-25000">
                            <a:solidFill>
                              <a:sysClr val="windowText" lastClr="000000"/>
                            </a:solidFill>
                            <a:effectLst/>
                            <a:latin typeface="Cambria Math" panose="02040503050406030204" pitchFamily="18" charset="0"/>
                            <a:ea typeface="+mn-ea"/>
                            <a:cs typeface="+mn-cs"/>
                          </a:rPr>
                          <m:t> </m:t>
                        </m:r>
                        <m:r>
                          <a:rPr lang="en-US" sz="1100" b="0" i="1" baseline="0">
                            <a:solidFill>
                              <a:sysClr val="windowText" lastClr="000000"/>
                            </a:solidFill>
                            <a:effectLst/>
                            <a:latin typeface="Cambria Math" panose="02040503050406030204" pitchFamily="18" charset="0"/>
                            <a:ea typeface="+mn-ea"/>
                            <a:cs typeface="+mn-cs"/>
                          </a:rPr>
                          <m:t>∗</m:t>
                        </m:r>
                        <m:r>
                          <a:rPr lang="en-US" sz="1100" b="0" i="1" baseline="-2500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𝐻𝑅𝑆</m:t>
                        </m:r>
                        <m:r>
                          <a:rPr lang="en-US" sz="1100" b="0" i="1" baseline="-25000">
                            <a:solidFill>
                              <a:sysClr val="windowText" lastClr="000000"/>
                            </a:solidFill>
                            <a:effectLst/>
                            <a:latin typeface="Cambria Math" panose="02040503050406030204" pitchFamily="18" charset="0"/>
                            <a:ea typeface="+mn-ea"/>
                            <a:cs typeface="+mn-cs"/>
                          </a:rPr>
                          <m:t>𝑠𝑢</m:t>
                        </m:r>
                        <m:r>
                          <a:rPr lang="en-US" sz="1100" b="0" i="1">
                            <a:solidFill>
                              <a:sysClr val="windowText" lastClr="000000"/>
                            </a:solidFill>
                            <a:effectLst/>
                            <a:latin typeface="Cambria Math" panose="02040503050406030204" pitchFamily="18" charset="0"/>
                            <a:ea typeface="+mn-ea"/>
                            <a:cs typeface="+mn-cs"/>
                          </a:rPr>
                          <m:t> </m:t>
                        </m:r>
                      </m:num>
                      <m:den>
                        <m:r>
                          <a:rPr lang="en-US" sz="1100" b="0" i="1">
                            <a:solidFill>
                              <a:sysClr val="windowText" lastClr="000000"/>
                            </a:solidFill>
                            <a:latin typeface="Cambria Math" panose="02040503050406030204" pitchFamily="18" charset="0"/>
                            <a:ea typeface="Cambria Math" panose="02040503050406030204" pitchFamily="18" charset="0"/>
                          </a:rPr>
                          <m:t>1000∗</m:t>
                        </m:r>
                        <m:r>
                          <a:rPr lang="en-US" sz="1100" b="0" i="1" baseline="0">
                            <a:solidFill>
                              <a:sysClr val="windowText" lastClr="000000"/>
                            </a:solidFill>
                            <a:effectLst/>
                            <a:latin typeface="Cambria Math" panose="02040503050406030204" pitchFamily="18" charset="0"/>
                            <a:ea typeface="+mn-ea"/>
                            <a:cs typeface="+mn-cs"/>
                          </a:rPr>
                          <m:t>(8760−</m:t>
                        </m:r>
                        <m:r>
                          <a:rPr lang="en-US" sz="1100" b="0" i="1">
                            <a:solidFill>
                              <a:sysClr val="windowText" lastClr="000000"/>
                            </a:solidFill>
                            <a:effectLst/>
                            <a:latin typeface="Cambria Math" panose="02040503050406030204" pitchFamily="18" charset="0"/>
                            <a:ea typeface="+mn-ea"/>
                            <a:cs typeface="+mn-cs"/>
                          </a:rPr>
                          <m:t>𝐻𝑅𝑆</m:t>
                        </m:r>
                        <m:r>
                          <a:rPr lang="en-US" sz="1100" b="0" i="1" baseline="-25000">
                            <a:solidFill>
                              <a:sysClr val="windowText" lastClr="000000"/>
                            </a:solidFill>
                            <a:effectLst/>
                            <a:latin typeface="Cambria Math" panose="02040503050406030204" pitchFamily="18" charset="0"/>
                            <a:ea typeface="+mn-ea"/>
                            <a:cs typeface="+mn-cs"/>
                          </a:rPr>
                          <m:t>𝑐</m:t>
                        </m:r>
                        <m:r>
                          <a:rPr lang="en-US" sz="1100" b="0" i="1">
                            <a:solidFill>
                              <a:sysClr val="windowText" lastClr="000000"/>
                            </a:solidFill>
                            <a:effectLst/>
                            <a:latin typeface="Cambria Math" panose="02040503050406030204" pitchFamily="18" charset="0"/>
                            <a:ea typeface="+mn-ea"/>
                            <a:cs typeface="+mn-cs"/>
                          </a:rPr>
                          <m:t>)</m:t>
                        </m:r>
                      </m:den>
                    </m:f>
                  </m:oMath>
                </m:oMathPara>
              </a14:m>
              <a:endParaRPr lang="en-US" sz="1100">
                <a:solidFill>
                  <a:sysClr val="windowText" lastClr="000000"/>
                </a:solidFill>
              </a:endParaRPr>
            </a:p>
          </xdr:txBody>
        </xdr:sp>
      </mc:Choice>
      <mc:Fallback xmlns="">
        <xdr:sp macro="" textlink="">
          <xdr:nvSpPr>
            <xdr:cNvPr id="8" name="TextBox 5">
              <a:extLst>
                <a:ext uri="{FF2B5EF4-FFF2-40B4-BE49-F238E27FC236}">
                  <a16:creationId xmlns:a16="http://schemas.microsoft.com/office/drawing/2014/main" id="{A7EF12D5-7CA1-49AC-9326-56C9CB0FDD40}"/>
                </a:ext>
              </a:extLst>
            </xdr:cNvPr>
            <xdr:cNvSpPr txBox="1"/>
          </xdr:nvSpPr>
          <xdr:spPr>
            <a:xfrm>
              <a:off x="232263" y="10625504"/>
              <a:ext cx="5273188" cy="4044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𝑘𝑊〗_(𝑠,𝑎𝑣𝑒𝑟𝑎𝑔𝑒)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𝑊</a:t>
              </a:r>
              <a:r>
                <a:rPr lang="en-US" sz="1100" b="0" i="0" baseline="-25000">
                  <a:solidFill>
                    <a:sysClr val="windowText" lastClr="000000"/>
                  </a:solidFill>
                  <a:effectLst/>
                  <a:latin typeface="Cambria Math" panose="02040503050406030204" pitchFamily="18" charset="0"/>
                  <a:ea typeface="+mn-ea"/>
                  <a:cs typeface="+mn-cs"/>
                </a:rPr>
                <a:t>𝑏𝑎𝑠𝑒</a:t>
              </a:r>
              <a:r>
                <a:rPr lang="en-US" sz="11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𝑊_𝑒𝑒𝑝</a:t>
              </a:r>
              <a:r>
                <a:rPr lang="en-US" sz="1100" b="0" i="0">
                  <a:solidFill>
                    <a:sysClr val="windowText" lastClr="000000"/>
                  </a:solidFill>
                  <a:effectLst/>
                  <a:latin typeface="Cambria Math" panose="02040503050406030204" pitchFamily="18" charset="0"/>
                  <a:ea typeface="+mn-ea"/>
                  <a:cs typeface="+mn-cs"/>
                </a:rPr>
                <a:t>)∗〖𝐻𝑅𝑆〗_𝑠𝑝</a:t>
              </a:r>
              <a:r>
                <a:rPr lang="en-US" sz="1100" b="0" i="0" baseline="-25000">
                  <a:solidFill>
                    <a:sysClr val="windowText" lastClr="000000"/>
                  </a:solidFill>
                  <a:effectLst/>
                  <a:latin typeface="Cambria Math" panose="02040503050406030204" pitchFamily="18" charset="0"/>
                  <a:ea typeface="+mn-ea"/>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(𝑊</a:t>
              </a:r>
              <a:r>
                <a:rPr lang="en-US" sz="1100" b="0" i="0" baseline="-25000">
                  <a:solidFill>
                    <a:sysClr val="windowText" lastClr="000000"/>
                  </a:solidFill>
                  <a:effectLst/>
                  <a:latin typeface="Cambria Math" panose="02040503050406030204" pitchFamily="18" charset="0"/>
                  <a:ea typeface="+mn-ea"/>
                  <a:cs typeface="+mn-cs"/>
                </a:rPr>
                <a:t>𝑏𝑎𝑠𝑒</a:t>
              </a:r>
              <a:r>
                <a:rPr lang="en-US" sz="11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𝑊_𝑒𝑒𝑢 )</a:t>
              </a:r>
              <a:r>
                <a:rPr lang="en-US" sz="1100" b="0" i="0" baseline="-25000">
                  <a:solidFill>
                    <a:sysClr val="windowText" lastClr="000000"/>
                  </a:solidFill>
                  <a:effectLst/>
                  <a:latin typeface="Cambria Math" panose="02040503050406030204" pitchFamily="18" charset="0"/>
                  <a:ea typeface="+mn-ea"/>
                  <a:cs typeface="+mn-cs"/>
                </a:rPr>
                <a:t>  </a:t>
              </a:r>
              <a:r>
                <a:rPr lang="en-US" sz="1100" b="0" i="0" baseline="0">
                  <a:solidFill>
                    <a:sysClr val="windowText" lastClr="000000"/>
                  </a:solidFill>
                  <a:effectLst/>
                  <a:latin typeface="Cambria Math" panose="02040503050406030204" pitchFamily="18" charset="0"/>
                  <a:ea typeface="+mn-ea"/>
                  <a:cs typeface="+mn-cs"/>
                </a:rPr>
                <a:t>∗</a:t>
              </a:r>
              <a:r>
                <a:rPr lang="en-US" sz="1100" b="0" i="0" baseline="-25000">
                  <a:solidFill>
                    <a:sysClr val="windowText" lastClr="000000"/>
                  </a:solidFill>
                  <a:effectLst/>
                  <a:latin typeface="Cambria Math" panose="02040503050406030204" pitchFamily="18" charset="0"/>
                  <a:ea typeface="+mn-ea"/>
                  <a:cs typeface="+mn-cs"/>
                </a:rPr>
                <a:t> </a:t>
              </a:r>
              <a:r>
                <a:rPr lang="en-US" sz="1100" b="0" i="0">
                  <a:solidFill>
                    <a:sysClr val="windowText" lastClr="000000"/>
                  </a:solidFill>
                  <a:effectLst/>
                  <a:latin typeface="Cambria Math" panose="02040503050406030204" pitchFamily="18" charset="0"/>
                  <a:ea typeface="+mn-ea"/>
                  <a:cs typeface="+mn-cs"/>
                </a:rPr>
                <a:t>𝐻𝑅𝑆</a:t>
              </a:r>
              <a:r>
                <a:rPr lang="en-US" sz="1100" b="0" i="0" baseline="-25000">
                  <a:solidFill>
                    <a:sysClr val="windowText" lastClr="000000"/>
                  </a:solidFill>
                  <a:effectLst/>
                  <a:latin typeface="Cambria Math" panose="02040503050406030204" pitchFamily="18" charset="0"/>
                  <a:ea typeface="+mn-ea"/>
                  <a:cs typeface="+mn-cs"/>
                </a:rPr>
                <a:t>𝑠𝑢</a:t>
              </a:r>
              <a:r>
                <a:rPr lang="en-US" sz="1100" b="0" i="0">
                  <a:solidFill>
                    <a:sysClr val="windowText" lastClr="000000"/>
                  </a:solidFill>
                  <a:effectLst/>
                  <a:latin typeface="Cambria Math" panose="02040503050406030204" pitchFamily="18" charset="0"/>
                  <a:ea typeface="+mn-ea"/>
                  <a:cs typeface="+mn-cs"/>
                </a:rPr>
                <a:t>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latin typeface="Cambria Math" panose="02040503050406030204" pitchFamily="18" charset="0"/>
                  <a:ea typeface="Cambria Math" panose="02040503050406030204" pitchFamily="18" charset="0"/>
                </a:rPr>
                <a:t>1000∗</a:t>
              </a:r>
              <a:r>
                <a:rPr lang="en-US" sz="1100" b="0" i="0" baseline="0">
                  <a:solidFill>
                    <a:sysClr val="windowText" lastClr="000000"/>
                  </a:solidFill>
                  <a:effectLst/>
                  <a:latin typeface="Cambria Math" panose="02040503050406030204" pitchFamily="18" charset="0"/>
                  <a:ea typeface="+mn-ea"/>
                  <a:cs typeface="+mn-cs"/>
                </a:rPr>
                <a:t>(8760−</a:t>
              </a:r>
              <a:r>
                <a:rPr lang="en-US" sz="1100" b="0" i="0">
                  <a:solidFill>
                    <a:sysClr val="windowText" lastClr="000000"/>
                  </a:solidFill>
                  <a:effectLst/>
                  <a:latin typeface="Cambria Math" panose="02040503050406030204" pitchFamily="18" charset="0"/>
                  <a:ea typeface="+mn-ea"/>
                  <a:cs typeface="+mn-cs"/>
                </a:rPr>
                <a:t>𝐻𝑅𝑆</a:t>
              </a:r>
              <a:r>
                <a:rPr lang="en-US" sz="1100" b="0" i="0" baseline="-25000">
                  <a:solidFill>
                    <a:sysClr val="windowText" lastClr="000000"/>
                  </a:solidFill>
                  <a:effectLst/>
                  <a:latin typeface="Cambria Math" panose="02040503050406030204" pitchFamily="18" charset="0"/>
                  <a:ea typeface="+mn-ea"/>
                  <a:cs typeface="+mn-cs"/>
                </a:rPr>
                <a:t>𝑐</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28</xdr:row>
      <xdr:rowOff>9525</xdr:rowOff>
    </xdr:from>
    <xdr:ext cx="2712720" cy="1828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C91632D-EF5C-4C54-948E-90330E463D7C}"/>
                </a:ext>
              </a:extLst>
            </xdr:cNvPr>
            <xdr:cNvSpPr txBox="1"/>
          </xdr:nvSpPr>
          <xdr:spPr>
            <a:xfrm>
              <a:off x="361950" y="8534400"/>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i="1">
                  <a:solidFill>
                    <a:sysClr val="windowText" lastClr="000000"/>
                  </a:solidFill>
                  <a:latin typeface="Cambria Math" panose="02040503050406030204" pitchFamily="18" charset="0"/>
                  <a:ea typeface="Cambria Math" panose="02040503050406030204" pitchFamily="18" charset="0"/>
                </a:rPr>
                <a:t> DAYS</a:t>
              </a:r>
            </a:p>
          </xdr:txBody>
        </xdr:sp>
      </mc:Choice>
      <mc:Fallback xmlns="">
        <xdr:sp macro="" textlink="">
          <xdr:nvSpPr>
            <xdr:cNvPr id="2" name="TextBox 1">
              <a:extLst>
                <a:ext uri="{FF2B5EF4-FFF2-40B4-BE49-F238E27FC236}">
                  <a16:creationId xmlns:a16="http://schemas.microsoft.com/office/drawing/2014/main" id="{AC91632D-EF5C-4C54-948E-90330E463D7C}"/>
                </a:ext>
              </a:extLst>
            </xdr:cNvPr>
            <xdr:cNvSpPr txBox="1"/>
          </xdr:nvSpPr>
          <xdr:spPr>
            <a:xfrm>
              <a:off x="361950" y="8534400"/>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  − </a:t>
              </a:r>
              <a:r>
                <a:rPr lang="en-US" sz="1100" b="0" i="0">
                  <a:solidFill>
                    <a:schemeClr val="tx1"/>
                  </a:solidFill>
                  <a:effectLst/>
                  <a:latin typeface="Cambria Math" panose="02040503050406030204" pitchFamily="18" charset="0"/>
                  <a:ea typeface="+mn-ea"/>
                  <a:cs typeface="+mn-cs"/>
                </a:rPr>
                <a:t>𝐸_𝐻𝐸)</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a:solidFill>
                    <a:sysClr val="windowText" lastClr="000000"/>
                  </a:solidFill>
                  <a:latin typeface="Cambria Math" panose="02040503050406030204" pitchFamily="18" charset="0"/>
                  <a:ea typeface="Cambria Math" panose="02040503050406030204" pitchFamily="18" charset="0"/>
                </a:rPr>
                <a:t> DAYS</a:t>
              </a:r>
            </a:p>
          </xdr:txBody>
        </xdr:sp>
      </mc:Fallback>
    </mc:AlternateContent>
    <xdr:clientData/>
  </xdr:oneCellAnchor>
  <xdr:oneCellAnchor>
    <xdr:from>
      <xdr:col>2</xdr:col>
      <xdr:colOff>1</xdr:colOff>
      <xdr:row>44</xdr:row>
      <xdr:rowOff>9526</xdr:rowOff>
    </xdr:from>
    <xdr:ext cx="2705100" cy="25145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4C3D8B1-FB48-48B7-8FA8-141F7B6C3E0D}"/>
                </a:ext>
              </a:extLst>
            </xdr:cNvPr>
            <xdr:cNvSpPr txBox="1"/>
          </xdr:nvSpPr>
          <xdr:spPr>
            <a:xfrm>
              <a:off x="361951" y="1150620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74C3D8B1-FB48-48B7-8FA8-141F7B6C3E0D}"/>
                </a:ext>
              </a:extLst>
            </xdr:cNvPr>
            <xdr:cNvSpPr txBox="1"/>
          </xdr:nvSpPr>
          <xdr:spPr>
            <a:xfrm>
              <a:off x="361951" y="1150620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48</xdr:row>
      <xdr:rowOff>9526</xdr:rowOff>
    </xdr:from>
    <xdr:ext cx="272795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6CBD6896-62B3-40BA-A42B-B862C7E5A389}"/>
                </a:ext>
              </a:extLst>
            </xdr:cNvPr>
            <xdr:cNvSpPr txBox="1"/>
          </xdr:nvSpPr>
          <xdr:spPr>
            <a:xfrm>
              <a:off x="361950" y="1226820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6CBD6896-62B3-40BA-A42B-B862C7E5A389}"/>
                </a:ext>
              </a:extLst>
            </xdr:cNvPr>
            <xdr:cNvSpPr txBox="1"/>
          </xdr:nvSpPr>
          <xdr:spPr>
            <a:xfrm>
              <a:off x="361950" y="1226820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0</xdr:colOff>
      <xdr:row>33</xdr:row>
      <xdr:rowOff>161925</xdr:rowOff>
    </xdr:from>
    <xdr:ext cx="4505325" cy="22860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0456E7B-BDB2-4F2A-BB4F-B340D4BB96DB}"/>
                </a:ext>
              </a:extLst>
            </xdr:cNvPr>
            <xdr:cNvSpPr txBox="1"/>
          </xdr:nvSpPr>
          <xdr:spPr>
            <a:xfrm>
              <a:off x="361950" y="9639300"/>
              <a:ext cx="4505325"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𝑝𝑟𝑒h𝑒𝑎𝑡</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𝐻𝐸</m:t>
                      </m:r>
                    </m:sub>
                  </m:sSub>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𝑐𝑜𝑜𝑘</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𝐻𝐸</m:t>
                      </m:r>
                      <m:r>
                        <a:rPr lang="en-US" sz="1100" b="0" i="1">
                          <a:solidFill>
                            <a:schemeClr val="tx1"/>
                          </a:solidFill>
                          <a:effectLst/>
                          <a:latin typeface="Cambria Math" panose="02040503050406030204" pitchFamily="18" charset="0"/>
                          <a:ea typeface="+mn-ea"/>
                          <a:cs typeface="+mn-cs"/>
                        </a:rPr>
                        <m:t> </m:t>
                      </m:r>
                    </m:sub>
                  </m:sSub>
                  <m:r>
                    <a:rPr lang="en-US" sz="11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𝐻𝐸</m:t>
                      </m:r>
                      <m:r>
                        <a:rPr lang="en-US" sz="1100" b="0" i="1">
                          <a:solidFill>
                            <a:schemeClr val="tx1"/>
                          </a:solidFill>
                          <a:effectLst/>
                          <a:latin typeface="Cambria Math" panose="02040503050406030204" pitchFamily="18" charset="0"/>
                          <a:ea typeface="+mn-ea"/>
                          <a:cs typeface="+mn-cs"/>
                        </a:rPr>
                        <m:t> </m:t>
                      </m:r>
                    </m:sub>
                  </m:sSub>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 name="TextBox 4">
              <a:extLst>
                <a:ext uri="{FF2B5EF4-FFF2-40B4-BE49-F238E27FC236}">
                  <a16:creationId xmlns:a16="http://schemas.microsoft.com/office/drawing/2014/main" id="{10456E7B-BDB2-4F2A-BB4F-B340D4BB96DB}"/>
                </a:ext>
              </a:extLst>
            </xdr:cNvPr>
            <xdr:cNvSpPr txBox="1"/>
          </xdr:nvSpPr>
          <xdr:spPr>
            <a:xfrm>
              <a:off x="361950" y="9639300"/>
              <a:ext cx="4505325"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𝐸_𝐻𝐸  </a:t>
              </a:r>
              <a:r>
                <a:rPr lang="en-US" sz="1100" b="0" i="0">
                  <a:solidFill>
                    <a:sysClr val="windowText" lastClr="000000"/>
                  </a:solidFill>
                  <a:latin typeface="Cambria Math" panose="02040503050406030204" pitchFamily="18" charset="0"/>
                  <a:ea typeface="Cambria Math" panose="02040503050406030204" pitchFamily="18" charset="0"/>
                </a:rPr>
                <a:t>=( 𝐸_(𝑝𝑟𝑒ℎ𝑒𝑎𝑡, 𝐻𝐸)+ </a:t>
              </a:r>
              <a:r>
                <a:rPr lang="en-US" sz="1100" b="0" i="0">
                  <a:solidFill>
                    <a:schemeClr val="tx1"/>
                  </a:solidFill>
                  <a:effectLst/>
                  <a:latin typeface="Cambria Math" panose="02040503050406030204" pitchFamily="18" charset="0"/>
                  <a:ea typeface="+mn-ea"/>
                  <a:cs typeface="+mn-cs"/>
                </a:rPr>
                <a:t>𝐸_(𝑐𝑜𝑜𝑘, 𝐻𝐸 )+ 𝐸_(𝑖𝑑𝑙𝑒, 𝐻𝐸 )</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32</xdr:row>
      <xdr:rowOff>0</xdr:rowOff>
    </xdr:from>
    <xdr:ext cx="3781425" cy="1619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EAE2AB4-78CD-4209-9BC2-BB65B712DBE6}"/>
                </a:ext>
              </a:extLst>
            </xdr:cNvPr>
            <xdr:cNvSpPr txBox="1"/>
          </xdr:nvSpPr>
          <xdr:spPr>
            <a:xfrm>
              <a:off x="361950" y="9286875"/>
              <a:ext cx="3781425" cy="1619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𝐵𝑎𝑠𝑒𝑙𝑖𝑛𝑒</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𝑝𝑟𝑒h𝑒𝑎𝑡</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𝑐𝑜𝑜𝑘</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𝐵𝑎𝑠𝑒𝑙𝑖𝑛𝑒</m:t>
                        </m:r>
                        <m:r>
                          <a:rPr lang="en-US" sz="1100" b="0" i="1">
                            <a:solidFill>
                              <a:schemeClr val="tx1"/>
                            </a:solidFill>
                            <a:effectLst/>
                            <a:latin typeface="Cambria Math" panose="02040503050406030204" pitchFamily="18" charset="0"/>
                            <a:ea typeface="+mn-ea"/>
                            <a:cs typeface="+mn-cs"/>
                          </a:rPr>
                          <m:t> </m:t>
                        </m:r>
                      </m:sub>
                    </m:sSub>
                    <m:r>
                      <a:rPr lang="en-US" sz="11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𝐵𝑎𝑠𝑒𝑙𝑖𝑛𝑒</m:t>
                        </m:r>
                        <m:r>
                          <a:rPr lang="en-US" sz="1100" b="0" i="1">
                            <a:solidFill>
                              <a:schemeClr val="tx1"/>
                            </a:solidFill>
                            <a:effectLst/>
                            <a:latin typeface="Cambria Math" panose="02040503050406030204" pitchFamily="18" charset="0"/>
                            <a:ea typeface="+mn-ea"/>
                            <a:cs typeface="+mn-cs"/>
                          </a:rPr>
                          <m:t> </m:t>
                        </m:r>
                      </m:sub>
                    </m:sSub>
                    <m:r>
                      <a:rPr lang="en-US" sz="1100" b="0" i="0">
                        <a:solidFill>
                          <a:schemeClr val="tx1"/>
                        </a:solidFill>
                        <a:effectLst/>
                        <a:latin typeface="Cambria Math" panose="02040503050406030204" pitchFamily="18" charset="0"/>
                        <a:ea typeface="+mn-ea"/>
                        <a:cs typeface="+mn-cs"/>
                      </a:rPr>
                      <m:t>)</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6" name="TextBox 5">
              <a:extLst>
                <a:ext uri="{FF2B5EF4-FFF2-40B4-BE49-F238E27FC236}">
                  <a16:creationId xmlns:a16="http://schemas.microsoft.com/office/drawing/2014/main" id="{7EAE2AB4-78CD-4209-9BC2-BB65B712DBE6}"/>
                </a:ext>
              </a:extLst>
            </xdr:cNvPr>
            <xdr:cNvSpPr txBox="1"/>
          </xdr:nvSpPr>
          <xdr:spPr>
            <a:xfrm>
              <a:off x="361950" y="9286875"/>
              <a:ext cx="3781425" cy="1619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𝐸_𝐵𝑎𝑠𝑒𝑙𝑖𝑛𝑒  </a:t>
              </a:r>
              <a:r>
                <a:rPr lang="en-US" sz="1100" b="0" i="0">
                  <a:solidFill>
                    <a:sysClr val="windowText" lastClr="000000"/>
                  </a:solidFill>
                  <a:latin typeface="Cambria Math" panose="02040503050406030204" pitchFamily="18" charset="0"/>
                  <a:ea typeface="Cambria Math" panose="02040503050406030204" pitchFamily="18" charset="0"/>
                </a:rPr>
                <a:t>=( 𝐸_(𝑝𝑟𝑒ℎ𝑒𝑎𝑡, 𝐵𝑎𝑠𝑒𝑙𝑖𝑛𝑒)+ </a:t>
              </a:r>
              <a:r>
                <a:rPr lang="en-US" sz="1100" b="0" i="0">
                  <a:solidFill>
                    <a:schemeClr val="tx1"/>
                  </a:solidFill>
                  <a:effectLst/>
                  <a:latin typeface="Cambria Math" panose="02040503050406030204" pitchFamily="18" charset="0"/>
                  <a:ea typeface="+mn-ea"/>
                  <a:cs typeface="+mn-cs"/>
                </a:rPr>
                <a:t>𝐸_(𝑐𝑜𝑜𝑘, 𝐵𝑎𝑠𝑒𝑙𝑖𝑛𝑒 )+ 𝐸_(𝑖𝑑𝑙𝑒, 𝐵𝑎𝑠𝑒𝑙𝑖𝑛𝑒 ))</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35</xdr:row>
      <xdr:rowOff>180974</xdr:rowOff>
    </xdr:from>
    <xdr:ext cx="2066925" cy="25717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1988B409-B3C5-4CA2-B46E-525583618326}"/>
                </a:ext>
              </a:extLst>
            </xdr:cNvPr>
            <xdr:cNvSpPr txBox="1"/>
          </xdr:nvSpPr>
          <xdr:spPr>
            <a:xfrm>
              <a:off x="361950" y="10029824"/>
              <a:ext cx="20669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𝑐𝑜𝑜𝑘</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𝐸𝑃𝑀</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𝑀𝐴𝑆𝑆𝐷𝐴𝑌</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ƞ</m:t>
                        </m:r>
                      </m:e>
                      <m:sub>
                        <m:r>
                          <a:rPr lang="en-US" sz="1100" b="0" i="1">
                            <a:solidFill>
                              <a:schemeClr val="tx1"/>
                            </a:solidFill>
                            <a:effectLst/>
                            <a:latin typeface="Cambria Math" panose="02040503050406030204" pitchFamily="18" charset="0"/>
                            <a:ea typeface="+mn-ea"/>
                            <a:cs typeface="+mn-cs"/>
                          </a:rPr>
                          <m:t>𝑐𝑜𝑜𝑘</m:t>
                        </m:r>
                        <m:r>
                          <a:rPr lang="en-US" sz="1100" b="0" i="1">
                            <a:solidFill>
                              <a:schemeClr val="tx1"/>
                            </a:solidFill>
                            <a:effectLst/>
                            <a:latin typeface="Cambria Math" panose="02040503050406030204" pitchFamily="18" charset="0"/>
                            <a:ea typeface="+mn-ea"/>
                            <a:cs typeface="+mn-cs"/>
                          </a:rPr>
                          <m:t> </m:t>
                        </m:r>
                      </m:sub>
                    </m:sSub>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7" name="TextBox 6">
              <a:extLst>
                <a:ext uri="{FF2B5EF4-FFF2-40B4-BE49-F238E27FC236}">
                  <a16:creationId xmlns:a16="http://schemas.microsoft.com/office/drawing/2014/main" id="{1988B409-B3C5-4CA2-B46E-525583618326}"/>
                </a:ext>
              </a:extLst>
            </xdr:cNvPr>
            <xdr:cNvSpPr txBox="1"/>
          </xdr:nvSpPr>
          <xdr:spPr>
            <a:xfrm>
              <a:off x="361950" y="10029824"/>
              <a:ext cx="20669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𝐸_𝑐𝑜𝑜𝑘  </a:t>
              </a:r>
              <a:r>
                <a:rPr lang="en-US" sz="1100" b="0" i="0">
                  <a:solidFill>
                    <a:sysClr val="windowText" lastClr="000000"/>
                  </a:solidFill>
                  <a:latin typeface="Cambria Math" panose="02040503050406030204" pitchFamily="18" charset="0"/>
                  <a:ea typeface="Cambria Math" panose="02040503050406030204" pitchFamily="18" charset="0"/>
                </a:rPr>
                <a:t>=𝐸𝑃𝑀 ∗𝑀𝐴𝑆𝑆𝐷𝐴𝑌/ </a:t>
              </a:r>
              <a:r>
                <a:rPr lang="en-US" sz="1100" b="0" i="0">
                  <a:solidFill>
                    <a:schemeClr val="tx1"/>
                  </a:solidFill>
                  <a:effectLst/>
                  <a:latin typeface="Cambria Math" panose="02040503050406030204" pitchFamily="18" charset="0"/>
                  <a:ea typeface="+mn-ea"/>
                  <a:cs typeface="+mn-cs"/>
                </a:rPr>
                <a:t>ƞ_(𝑐𝑜𝑜𝑘 )</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19050</xdr:colOff>
      <xdr:row>37</xdr:row>
      <xdr:rowOff>152400</xdr:rowOff>
    </xdr:from>
    <xdr:ext cx="1724025" cy="2571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A17FBA50-7023-4AB8-9FE6-5FFF381FDB5F}"/>
                </a:ext>
              </a:extLst>
            </xdr:cNvPr>
            <xdr:cNvSpPr txBox="1"/>
          </xdr:nvSpPr>
          <xdr:spPr>
            <a:xfrm>
              <a:off x="381000" y="10363200"/>
              <a:ext cx="17240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𝑖𝑑𝑙𝑒</m:t>
                      </m:r>
                    </m:sub>
                  </m:sSub>
                </m:oMath>
              </a14:m>
              <a:r>
                <a:rPr lang="en-US" sz="1100" i="1">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oMath>
              </a14:m>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i="1" baseline="-250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sub>
                  </m:sSub>
                  <m:r>
                    <a:rPr lang="en-US" sz="1100" b="0" i="1">
                      <a:solidFill>
                        <a:schemeClr val="tx1"/>
                      </a:solidFill>
                      <a:effectLst/>
                      <a:latin typeface="Cambria Math" panose="02040503050406030204" pitchFamily="18" charset="0"/>
                      <a:ea typeface="+mn-ea"/>
                      <a:cs typeface="+mn-cs"/>
                    </a:rPr>
                    <m:t> </m:t>
                  </m:r>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A17FBA50-7023-4AB8-9FE6-5FFF381FDB5F}"/>
                </a:ext>
              </a:extLst>
            </xdr:cNvPr>
            <xdr:cNvSpPr txBox="1"/>
          </xdr:nvSpPr>
          <xdr:spPr>
            <a:xfrm>
              <a:off x="381000" y="10363200"/>
              <a:ext cx="17240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𝐸_𝑖𝑑𝑙𝑒  </a:t>
              </a:r>
              <a:r>
                <a:rPr lang="en-US" sz="1100" b="0" i="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𝑃_𝑖𝑑𝑙𝑒</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i="1" baseline="-250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𝑡_𝑖𝑑𝑙𝑒  </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19051</xdr:colOff>
      <xdr:row>39</xdr:row>
      <xdr:rowOff>114301</xdr:rowOff>
    </xdr:from>
    <xdr:ext cx="3209924" cy="304800"/>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AE1AA44C-33EA-4B23-868E-D587FCB77891}"/>
                </a:ext>
              </a:extLst>
            </xdr:cNvPr>
            <xdr:cNvSpPr txBox="1"/>
          </xdr:nvSpPr>
          <xdr:spPr>
            <a:xfrm>
              <a:off x="381001" y="10687051"/>
              <a:ext cx="3209924"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𝐷𝐴𝑌𝐻𝑅𝑆</m:t>
                  </m:r>
                  <m:r>
                    <a:rPr lang="en-US" sz="1100" b="0" i="1">
                      <a:solidFill>
                        <a:sysClr val="windowText" lastClr="000000"/>
                      </a:solidFill>
                      <a:latin typeface="Cambria Math" panose="02040503050406030204" pitchFamily="18" charset="0"/>
                      <a:ea typeface="Cambria Math" panose="02040503050406030204" pitchFamily="18" charset="0"/>
                    </a:rPr>
                    <m:t> −</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𝑀𝐴𝑆𝑆𝐷𝐴𝑌</m:t>
                          </m:r>
                        </m:num>
                        <m:den>
                          <m:r>
                            <a:rPr lang="en-US" sz="1100" b="0" i="1">
                              <a:solidFill>
                                <a:schemeClr val="tx1"/>
                              </a:solidFill>
                              <a:effectLst/>
                              <a:latin typeface="Cambria Math" panose="02040503050406030204" pitchFamily="18" charset="0"/>
                              <a:ea typeface="+mn-ea"/>
                              <a:cs typeface="+mn-cs"/>
                            </a:rPr>
                            <m:t>𝐶𝐴𝑃</m:t>
                          </m:r>
                        </m:den>
                      </m:f>
                    </m:e>
                  </m:d>
                </m:oMath>
              </a14:m>
              <a:r>
                <a:rPr lang="en-US" sz="1100" i="1">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𝑡</m:t>
                          </m:r>
                          <m:r>
                            <a:rPr lang="en-US" sz="1100" b="0" i="1" baseline="-25000">
                              <a:solidFill>
                                <a:schemeClr val="tx1"/>
                              </a:solidFill>
                              <a:effectLst/>
                              <a:latin typeface="Cambria Math" panose="02040503050406030204" pitchFamily="18" charset="0"/>
                              <a:ea typeface="+mn-ea"/>
                              <a:cs typeface="+mn-cs"/>
                            </a:rPr>
                            <m:t>𝑝𝑟𝑒h𝑒𝑎𝑡</m:t>
                          </m:r>
                        </m:num>
                        <m:den>
                          <m:r>
                            <a:rPr lang="en-US" sz="1100" b="0" i="1">
                              <a:solidFill>
                                <a:schemeClr val="tx1"/>
                              </a:solidFill>
                              <a:effectLst/>
                              <a:latin typeface="Cambria Math" panose="02040503050406030204" pitchFamily="18" charset="0"/>
                              <a:ea typeface="+mn-ea"/>
                              <a:cs typeface="+mn-cs"/>
                            </a:rPr>
                            <m:t>60</m:t>
                          </m:r>
                        </m:den>
                      </m:f>
                    </m:e>
                  </m:d>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AE1AA44C-33EA-4B23-868E-D587FCB77891}"/>
                </a:ext>
              </a:extLst>
            </xdr:cNvPr>
            <xdr:cNvSpPr txBox="1"/>
          </xdr:nvSpPr>
          <xdr:spPr>
            <a:xfrm>
              <a:off x="381001" y="10687051"/>
              <a:ext cx="3209924"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𝑡_𝑖𝑑𝑙𝑒  </a:t>
              </a:r>
              <a:r>
                <a:rPr lang="en-US" sz="1100" b="0" i="0">
                  <a:solidFill>
                    <a:sysClr val="windowText" lastClr="000000"/>
                  </a:solidFill>
                  <a:latin typeface="Cambria Math" panose="02040503050406030204" pitchFamily="18" charset="0"/>
                  <a:ea typeface="Cambria Math" panose="02040503050406030204" pitchFamily="18" charset="0"/>
                </a:rPr>
                <a:t>=  𝐷𝐴𝑌𝐻𝑅𝑆 −(</a:t>
              </a:r>
              <a:r>
                <a:rPr lang="en-US" sz="1100" b="0" i="0">
                  <a:solidFill>
                    <a:schemeClr val="tx1"/>
                  </a:solidFill>
                  <a:effectLst/>
                  <a:latin typeface="Cambria Math" panose="02040503050406030204" pitchFamily="18" charset="0"/>
                  <a:ea typeface="+mn-ea"/>
                  <a:cs typeface="+mn-cs"/>
                </a:rPr>
                <a:t>𝑀𝐴𝑆𝑆𝐷𝐴𝑌/𝐶𝐴𝑃)</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 (𝑡</a:t>
              </a:r>
              <a:r>
                <a:rPr lang="en-US" sz="1100" b="0" i="0" baseline="-25000">
                  <a:solidFill>
                    <a:schemeClr val="tx1"/>
                  </a:solidFill>
                  <a:effectLst/>
                  <a:latin typeface="Cambria Math" panose="02040503050406030204" pitchFamily="18" charset="0"/>
                  <a:ea typeface="+mn-ea"/>
                  <a:cs typeface="+mn-cs"/>
                </a:rPr>
                <a:t>𝑝𝑟𝑒ℎ𝑒𝑎𝑡/</a:t>
              </a:r>
              <a:r>
                <a:rPr lang="en-US" sz="1100" b="0" i="0">
                  <a:solidFill>
                    <a:schemeClr val="tx1"/>
                  </a:solidFill>
                  <a:effectLst/>
                  <a:latin typeface="Cambria Math" panose="02040503050406030204" pitchFamily="18" charset="0"/>
                  <a:ea typeface="+mn-ea"/>
                  <a:cs typeface="+mn-cs"/>
                </a:rPr>
                <a:t>60)</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60.xml><?xml version="1.0" encoding="utf-8"?>
<xdr:wsDr xmlns:xdr="http://schemas.openxmlformats.org/drawingml/2006/spreadsheetDrawing" xmlns:a="http://schemas.openxmlformats.org/drawingml/2006/main">
  <xdr:oneCellAnchor>
    <xdr:from>
      <xdr:col>2</xdr:col>
      <xdr:colOff>6350</xdr:colOff>
      <xdr:row>32</xdr:row>
      <xdr:rowOff>152</xdr:rowOff>
    </xdr:from>
    <xdr:ext cx="4591050" cy="19492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3BABD567-7F25-4F06-B47E-A4C43A3ADFB8}"/>
                </a:ext>
              </a:extLst>
            </xdr:cNvPr>
            <xdr:cNvSpPr txBox="1"/>
          </xdr:nvSpPr>
          <xdr:spPr>
            <a:xfrm>
              <a:off x="368300" y="9096527"/>
              <a:ext cx="459105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𝑘𝑊h</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𝐷𝑎𝑦𝑠</m:t>
                  </m:r>
                </m:oMath>
              </a14:m>
              <a:r>
                <a:rPr lang="en-US">
                  <a:effectLst/>
                </a:rPr>
                <a:t> </a:t>
              </a:r>
            </a:p>
          </xdr:txBody>
        </xdr:sp>
      </mc:Choice>
      <mc:Fallback xmlns="">
        <xdr:sp macro="" textlink="">
          <xdr:nvSpPr>
            <xdr:cNvPr id="5" name="TextBox 4">
              <a:extLst>
                <a:ext uri="{FF2B5EF4-FFF2-40B4-BE49-F238E27FC236}">
                  <a16:creationId xmlns:a16="http://schemas.microsoft.com/office/drawing/2014/main" id="{3BABD567-7F25-4F06-B47E-A4C43A3ADFB8}"/>
                </a:ext>
              </a:extLst>
            </xdr:cNvPr>
            <xdr:cNvSpPr txBox="1"/>
          </xdr:nvSpPr>
          <xdr:spPr>
            <a:xfrm>
              <a:off x="368300" y="9096527"/>
              <a:ext cx="459105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Cambria Math" panose="02040503050406030204" pitchFamily="18" charset="0"/>
                  <a:cs typeface="+mn-cs"/>
                </a:rPr>
                <a:t>∆𝑘𝑊ℎ</a:t>
              </a:r>
              <a:r>
                <a:rPr lang="en-US" sz="1100" b="0" i="0">
                  <a:solidFill>
                    <a:schemeClr val="tx1"/>
                  </a:solidFill>
                  <a:effectLst/>
                  <a:latin typeface="Cambria Math" panose="02040503050406030204" pitchFamily="18" charset="0"/>
                  <a:ea typeface="+mn-ea"/>
                  <a:cs typeface="+mn-cs"/>
                </a:rPr>
                <a:t>=(〖𝑘𝑊ℎ〗_(𝐷𝑎𝑖𝑙𝑦,𝐵𝑎𝑠𝑒)−〖𝑘𝑊ℎ〗_(𝐷𝑎𝑖𝑙𝑦,𝐸𝑓𝑓) )∗𝐷𝑎𝑦𝑠</a:t>
              </a:r>
              <a:r>
                <a:rPr lang="en-US">
                  <a:effectLst/>
                </a:rPr>
                <a:t> </a:t>
              </a:r>
            </a:p>
          </xdr:txBody>
        </xdr:sp>
      </mc:Fallback>
    </mc:AlternateContent>
    <xdr:clientData/>
  </xdr:oneCellAnchor>
  <xdr:oneCellAnchor>
    <xdr:from>
      <xdr:col>2</xdr:col>
      <xdr:colOff>11113</xdr:colOff>
      <xdr:row>35</xdr:row>
      <xdr:rowOff>179163</xdr:rowOff>
    </xdr:from>
    <xdr:ext cx="4008437" cy="3858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9ECDFCF-E327-4094-B7AF-A5A48E605F85}"/>
                </a:ext>
              </a:extLst>
            </xdr:cNvPr>
            <xdr:cNvSpPr txBox="1"/>
          </xdr:nvSpPr>
          <xdr:spPr>
            <a:xfrm>
              <a:off x="373063" y="9847038"/>
              <a:ext cx="4008437" cy="385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𝑘𝑊</m:t>
                    </m:r>
                    <m:r>
                      <a:rPr lang="en-US" sz="1100" b="0" i="1">
                        <a:solidFill>
                          <a:schemeClr val="tx1"/>
                        </a:solidFill>
                        <a:effectLst/>
                        <a:latin typeface="Cambria Math" panose="02040503050406030204" pitchFamily="18" charset="0"/>
                        <a:ea typeface="+mn-ea"/>
                        <a:cs typeface="+mn-cs"/>
                      </a:rPr>
                      <m:t>=</m:t>
                    </m:r>
                    <m:d>
                      <m:dPr>
                        <m:begChr m:val="["/>
                        <m:endChr m:val="]"/>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𝐻𝑜𝑢𝑟𝑠</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𝐵𝑎𝑠𝑒</m:t>
                            </m:r>
                          </m:sub>
                        </m:sSub>
                      </m:e>
                    </m:d>
                    <m:r>
                      <a:rPr lang="en-US" sz="1100" b="0" i="1">
                        <a:solidFill>
                          <a:schemeClr val="tx1"/>
                        </a:solidFill>
                        <a:effectLst/>
                        <a:latin typeface="Cambria Math" panose="02040503050406030204" pitchFamily="18" charset="0"/>
                        <a:ea typeface="+mn-ea"/>
                        <a:cs typeface="+mn-cs"/>
                      </a:rPr>
                      <m:t>−</m:t>
                    </m:r>
                    <m:d>
                      <m:dPr>
                        <m:begChr m:val="["/>
                        <m:endChr m:val="]"/>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𝐻𝑜𝑢𝑟𝑠</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𝐸𝑓𝑓</m:t>
                            </m:r>
                          </m:sub>
                        </m:sSub>
                      </m:e>
                    </m:d>
                  </m:oMath>
                </m:oMathPara>
              </a14:m>
              <a:endParaRPr lang="en-US">
                <a:effectLst/>
              </a:endParaRPr>
            </a:p>
          </xdr:txBody>
        </xdr:sp>
      </mc:Choice>
      <mc:Fallback xmlns="">
        <xdr:sp macro="" textlink="">
          <xdr:nvSpPr>
            <xdr:cNvPr id="6" name="TextBox 5">
              <a:extLst>
                <a:ext uri="{FF2B5EF4-FFF2-40B4-BE49-F238E27FC236}">
                  <a16:creationId xmlns:a16="http://schemas.microsoft.com/office/drawing/2014/main" id="{F9ECDFCF-E327-4094-B7AF-A5A48E605F85}"/>
                </a:ext>
              </a:extLst>
            </xdr:cNvPr>
            <xdr:cNvSpPr txBox="1"/>
          </xdr:nvSpPr>
          <xdr:spPr>
            <a:xfrm>
              <a:off x="373063" y="9847038"/>
              <a:ext cx="4008437" cy="385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Cambria Math" panose="02040503050406030204" pitchFamily="18" charset="0"/>
                  <a:cs typeface="+mn-cs"/>
                </a:rPr>
                <a:t>∆𝑘𝑊</a:t>
              </a:r>
              <a:r>
                <a:rPr lang="en-US" sz="1100" b="0" i="0">
                  <a:solidFill>
                    <a:schemeClr val="tx1"/>
                  </a:solidFill>
                  <a:effectLst/>
                  <a:latin typeface="Cambria Math" panose="02040503050406030204" pitchFamily="18" charset="0"/>
                  <a:ea typeface="+mn-ea"/>
                  <a:cs typeface="+mn-cs"/>
                </a:rPr>
                <a:t>=[(〖𝑘𝑊ℎ〗_(𝐷𝑎𝑖𝑙𝑦,𝐵𝑎𝑠𝑒)/〖𝐻𝑜𝑢𝑟𝑠〗_(𝐷𝑎𝑖𝑙𝑦,𝐵𝑎𝑠𝑒) )∗〖𝐶𝐹〗_𝐵𝑎𝑠𝑒 ]−[(〖𝑘𝑊ℎ〗_(𝐷𝑎𝑖𝑙𝑦,𝐸𝑓𝑓)/〖𝐻𝑜𝑢𝑟𝑠〗_(𝐷𝑎𝑖𝑙𝑦,𝐸𝑓𝑓) )∗〖𝐶𝐹〗_𝐸𝑓𝑓 ]</a:t>
              </a:r>
              <a:endParaRPr lang="en-US">
                <a:effectLst/>
              </a:endParaRPr>
            </a:p>
          </xdr:txBody>
        </xdr:sp>
      </mc:Fallback>
    </mc:AlternateContent>
    <xdr:clientData/>
  </xdr:oneCellAnchor>
  <xdr:oneCellAnchor>
    <xdr:from>
      <xdr:col>2</xdr:col>
      <xdr:colOff>44450</xdr:colOff>
      <xdr:row>41</xdr:row>
      <xdr:rowOff>7938</xdr:rowOff>
    </xdr:from>
    <xdr:ext cx="2895599"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F8EA4CB-208F-4FFB-B7BB-ED599D1DF0A5}"/>
                </a:ext>
              </a:extLst>
            </xdr:cNvPr>
            <xdr:cNvSpPr txBox="1"/>
          </xdr:nvSpPr>
          <xdr:spPr>
            <a:xfrm>
              <a:off x="406400" y="1077118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7" name="TextBox 6">
              <a:extLst>
                <a:ext uri="{FF2B5EF4-FFF2-40B4-BE49-F238E27FC236}">
                  <a16:creationId xmlns:a16="http://schemas.microsoft.com/office/drawing/2014/main" id="{EF8EA4CB-208F-4FFB-B7BB-ED599D1DF0A5}"/>
                </a:ext>
              </a:extLst>
            </xdr:cNvPr>
            <xdr:cNvSpPr txBox="1"/>
          </xdr:nvSpPr>
          <xdr:spPr>
            <a:xfrm>
              <a:off x="406400" y="1077118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wsDr>
</file>

<file path=xl/drawings/drawing61.xml><?xml version="1.0" encoding="utf-8"?>
<xdr:wsDr xmlns:xdr="http://schemas.openxmlformats.org/drawingml/2006/spreadsheetDrawing" xmlns:a="http://schemas.openxmlformats.org/drawingml/2006/main">
  <xdr:oneCellAnchor>
    <xdr:from>
      <xdr:col>2</xdr:col>
      <xdr:colOff>18531</xdr:colOff>
      <xdr:row>38</xdr:row>
      <xdr:rowOff>15758</xdr:rowOff>
    </xdr:from>
    <xdr:ext cx="4781550" cy="55574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DF42EE5C-F396-4D35-96C5-344D5AC952FF}"/>
                </a:ext>
              </a:extLst>
            </xdr:cNvPr>
            <xdr:cNvSpPr txBox="1"/>
          </xdr:nvSpPr>
          <xdr:spPr>
            <a:xfrm>
              <a:off x="380481" y="9921758"/>
              <a:ext cx="4781550" cy="5557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𝑈𝐸𝐹</m:t>
                                </m:r>
                              </m:e>
                              <m:sub>
                                <m:r>
                                  <a:rPr lang="en-US" sz="1100" b="0" i="1">
                                    <a:latin typeface="Cambria Math" panose="02040503050406030204" pitchFamily="18" charset="0"/>
                                    <a:ea typeface="Cambria Math" panose="02040503050406030204" pitchFamily="18" charset="0"/>
                                  </a:rPr>
                                  <m:t>𝑏𝑎𝑠𝑒</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𝐺𝑃𝐷</m:t>
                            </m:r>
                          </m:e>
                          <m:sub>
                            <m:r>
                              <a:rPr lang="en-US" sz="1100" b="0" i="1">
                                <a:latin typeface="Cambria Math" panose="02040503050406030204" pitchFamily="18" charset="0"/>
                                <a:ea typeface="Cambria Math" panose="02040503050406030204" pitchFamily="18" charset="0"/>
                              </a:rPr>
                              <m:t>𝑂𝑐𝑐</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𝑂𝑐𝑐</m:t>
                        </m:r>
                        <m:r>
                          <a:rPr lang="en-US" sz="1100" b="0" i="1">
                            <a:latin typeface="Cambria Math" panose="02040503050406030204" pitchFamily="18" charset="0"/>
                            <a:ea typeface="Cambria Math" panose="02040503050406030204" pitchFamily="18" charset="0"/>
                          </a:rPr>
                          <m:t>∗365 </m:t>
                        </m:r>
                        <m:r>
                          <a:rPr lang="en-US" sz="1100" b="0" i="1">
                            <a:latin typeface="Cambria Math" panose="02040503050406030204" pitchFamily="18" charset="0"/>
                            <a:ea typeface="Cambria Math" panose="02040503050406030204" pitchFamily="18" charset="0"/>
                          </a:rPr>
                          <m:t>𝑑𝑎𝑦𝑠</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2" name="TextBox 1">
              <a:extLst>
                <a:ext uri="{FF2B5EF4-FFF2-40B4-BE49-F238E27FC236}">
                  <a16:creationId xmlns:a16="http://schemas.microsoft.com/office/drawing/2014/main" id="{DF42EE5C-F396-4D35-96C5-344D5AC952FF}"/>
                </a:ext>
              </a:extLst>
            </xdr:cNvPr>
            <xdr:cNvSpPr txBox="1"/>
          </xdr:nvSpPr>
          <xdr:spPr>
            <a:xfrm>
              <a:off x="380481" y="9921758"/>
              <a:ext cx="4781550" cy="5557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〖𝑘𝑊ℎ〗_𝑏𝑎𝑠𝑒=(1/〖𝑈𝐸𝐹〗_𝑏𝑎𝑠𝑒 )∗(〖𝐺𝑃𝐷〗_𝑂𝑐𝑐∗#𝑂𝑐𝑐∗365 𝑑𝑎𝑦𝑠∗𝜌∗𝑐_𝑝∗(𝑇_𝑜𝑢𝑡−𝑇_𝑖𝑛 ))/(3412 𝐵𝑡𝑢/𝑘𝑊ℎ)</a:t>
              </a:r>
              <a:endParaRPr lang="en-US" sz="1100"/>
            </a:p>
          </xdr:txBody>
        </xdr:sp>
      </mc:Fallback>
    </mc:AlternateContent>
    <xdr:clientData/>
  </xdr:oneCellAnchor>
  <xdr:oneCellAnchor>
    <xdr:from>
      <xdr:col>2</xdr:col>
      <xdr:colOff>25459</xdr:colOff>
      <xdr:row>28</xdr:row>
      <xdr:rowOff>12642</xdr:rowOff>
    </xdr:from>
    <xdr:ext cx="4441765"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C9753304-91B7-4AE2-AD74-F6895733DAEA}"/>
                </a:ext>
              </a:extLst>
            </xdr:cNvPr>
            <xdr:cNvSpPr txBox="1"/>
          </xdr:nvSpPr>
          <xdr:spPr>
            <a:xfrm>
              <a:off x="387409" y="7756467"/>
              <a:ext cx="444176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𝑈𝐸𝐹</m:t>
                        </m:r>
                      </m:e>
                      <m:sub>
                        <m:r>
                          <a:rPr lang="en-US" sz="1100" b="0" i="1">
                            <a:solidFill>
                              <a:schemeClr val="tx1"/>
                            </a:solidFill>
                            <a:effectLst/>
                            <a:latin typeface="Cambria Math" panose="02040503050406030204" pitchFamily="18" charset="0"/>
                            <a:ea typeface="+mn-ea"/>
                            <a:cs typeface="+mn-cs"/>
                          </a:rPr>
                          <m:t>𝑏𝑎𝑠𝑒</m:t>
                        </m:r>
                      </m:sub>
                    </m:sSub>
                    <m:r>
                      <a:rPr lang="en-US" sz="1100" b="0" i="1">
                        <a:latin typeface="Cambria Math" panose="02040503050406030204" pitchFamily="18" charset="0"/>
                        <a:ea typeface="Cambria Math" panose="02040503050406030204" pitchFamily="18" charset="0"/>
                      </a:rPr>
                      <m:t>=0.9254−</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0.0003∗</m:t>
                        </m:r>
                        <m:r>
                          <a:rPr lang="en-US" sz="1100" b="0" i="1">
                            <a:latin typeface="Cambria Math" panose="02040503050406030204" pitchFamily="18" charset="0"/>
                            <a:ea typeface="Cambria Math" panose="02040503050406030204" pitchFamily="18" charset="0"/>
                          </a:rPr>
                          <m:t>𝑅𝑎𝑡𝑒𝑑</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𝑆𝑡𝑜𝑟𝑎𝑔𝑒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𝑉𝑜𝑙𝑢𝑚𝑒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𝑖𝑛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𝑔𝑎𝑙𝑙𝑜𝑛𝑠</m:t>
                        </m:r>
                      </m:e>
                    </m:d>
                  </m:oMath>
                </m:oMathPara>
              </a14:m>
              <a:endParaRPr lang="en-US" sz="1100"/>
            </a:p>
          </xdr:txBody>
        </xdr:sp>
      </mc:Choice>
      <mc:Fallback xmlns="">
        <xdr:sp macro="" textlink="">
          <xdr:nvSpPr>
            <xdr:cNvPr id="3" name="TextBox 2">
              <a:extLst>
                <a:ext uri="{FF2B5EF4-FFF2-40B4-BE49-F238E27FC236}">
                  <a16:creationId xmlns:a16="http://schemas.microsoft.com/office/drawing/2014/main" id="{C9753304-91B7-4AE2-AD74-F6895733DAEA}"/>
                </a:ext>
              </a:extLst>
            </xdr:cNvPr>
            <xdr:cNvSpPr txBox="1"/>
          </xdr:nvSpPr>
          <xdr:spPr>
            <a:xfrm>
              <a:off x="387409" y="7756467"/>
              <a:ext cx="444176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〖𝑈𝐸𝐹〗_𝑏𝑎𝑠𝑒</a:t>
              </a:r>
              <a:r>
                <a:rPr lang="en-US" sz="1100" b="0" i="0">
                  <a:latin typeface="Cambria Math" panose="02040503050406030204" pitchFamily="18" charset="0"/>
                  <a:ea typeface="Cambria Math" panose="02040503050406030204" pitchFamily="18" charset="0"/>
                </a:rPr>
                <a:t>=0.9254−(0.0003∗𝑅𝑎𝑡𝑒𝑑 𝑆𝑡𝑜𝑟𝑎𝑔𝑒 𝑉𝑜𝑙𝑢𝑚𝑒 𝑖𝑛 𝑔𝑎𝑙𝑙𝑜𝑛𝑠)</a:t>
              </a:r>
              <a:endParaRPr lang="en-US" sz="1100"/>
            </a:p>
          </xdr:txBody>
        </xdr:sp>
      </mc:Fallback>
    </mc:AlternateContent>
    <xdr:clientData/>
  </xdr:oneCellAnchor>
  <xdr:oneCellAnchor>
    <xdr:from>
      <xdr:col>2</xdr:col>
      <xdr:colOff>28575</xdr:colOff>
      <xdr:row>33</xdr:row>
      <xdr:rowOff>11084</xdr:rowOff>
    </xdr:from>
    <xdr:ext cx="4564553"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A6EFF394-50D3-4783-AB84-6FC6CB208F54}"/>
                </a:ext>
              </a:extLst>
            </xdr:cNvPr>
            <xdr:cNvSpPr txBox="1"/>
          </xdr:nvSpPr>
          <xdr:spPr>
            <a:xfrm>
              <a:off x="390525" y="8716934"/>
              <a:ext cx="4564553"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𝑈𝐸𝐹</m:t>
                        </m:r>
                      </m:e>
                      <m:sub>
                        <m:r>
                          <a:rPr lang="en-US" sz="1100" b="0" i="1">
                            <a:solidFill>
                              <a:schemeClr val="tx1"/>
                            </a:solidFill>
                            <a:effectLst/>
                            <a:latin typeface="Cambria Math" panose="02040503050406030204" pitchFamily="18" charset="0"/>
                            <a:ea typeface="+mn-ea"/>
                            <a:cs typeface="+mn-cs"/>
                          </a:rPr>
                          <m:t>𝑏𝑎𝑠𝑒</m:t>
                        </m:r>
                      </m:sub>
                    </m:sSub>
                    <m:r>
                      <a:rPr lang="en-US" sz="1100" b="0" i="1">
                        <a:latin typeface="Cambria Math" panose="02040503050406030204" pitchFamily="18" charset="0"/>
                        <a:ea typeface="Cambria Math" panose="02040503050406030204" pitchFamily="18" charset="0"/>
                      </a:rPr>
                      <m:t>=2.0440−</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0.0011∗</m:t>
                        </m:r>
                        <m:r>
                          <a:rPr lang="en-US" sz="1100" b="0" i="1">
                            <a:latin typeface="Cambria Math" panose="02040503050406030204" pitchFamily="18" charset="0"/>
                            <a:ea typeface="Cambria Math" panose="02040503050406030204" pitchFamily="18" charset="0"/>
                          </a:rPr>
                          <m:t>𝑅𝑎𝑡𝑒𝑑</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𝑆𝑡𝑜𝑟𝑎𝑔𝑒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𝑉𝑜𝑙𝑢𝑚𝑒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𝑖𝑛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𝑔𝑎𝑙𝑙𝑜𝑛𝑠</m:t>
                        </m:r>
                      </m:e>
                    </m:d>
                  </m:oMath>
                </m:oMathPara>
              </a14:m>
              <a:endParaRPr lang="en-US" sz="1100"/>
            </a:p>
          </xdr:txBody>
        </xdr:sp>
      </mc:Choice>
      <mc:Fallback xmlns="">
        <xdr:sp macro="" textlink="">
          <xdr:nvSpPr>
            <xdr:cNvPr id="4" name="TextBox 3">
              <a:extLst>
                <a:ext uri="{FF2B5EF4-FFF2-40B4-BE49-F238E27FC236}">
                  <a16:creationId xmlns:a16="http://schemas.microsoft.com/office/drawing/2014/main" id="{A6EFF394-50D3-4783-AB84-6FC6CB208F54}"/>
                </a:ext>
              </a:extLst>
            </xdr:cNvPr>
            <xdr:cNvSpPr txBox="1"/>
          </xdr:nvSpPr>
          <xdr:spPr>
            <a:xfrm>
              <a:off x="390525" y="8716934"/>
              <a:ext cx="4564553"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〖𝑈𝐸𝐹〗_𝑏𝑎𝑠𝑒</a:t>
              </a:r>
              <a:r>
                <a:rPr lang="en-US" sz="1100" b="0" i="0">
                  <a:latin typeface="Cambria Math" panose="02040503050406030204" pitchFamily="18" charset="0"/>
                  <a:ea typeface="Cambria Math" panose="02040503050406030204" pitchFamily="18" charset="0"/>
                </a:rPr>
                <a:t>=2.0440−(0.0011∗𝑅𝑎𝑡𝑒𝑑 𝑆𝑡𝑜𝑟𝑎𝑔𝑒 𝑉𝑜𝑙𝑢𝑚𝑒 𝑖𝑛 𝑔𝑎𝑙𝑙𝑜𝑛𝑠)</a:t>
              </a:r>
              <a:endParaRPr lang="en-US" sz="1100"/>
            </a:p>
          </xdr:txBody>
        </xdr:sp>
      </mc:Fallback>
    </mc:AlternateContent>
    <xdr:clientData/>
  </xdr:oneCellAnchor>
  <xdr:oneCellAnchor>
    <xdr:from>
      <xdr:col>2</xdr:col>
      <xdr:colOff>22513</xdr:colOff>
      <xdr:row>44</xdr:row>
      <xdr:rowOff>13911</xdr:rowOff>
    </xdr:from>
    <xdr:ext cx="4781550" cy="567114"/>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A9818A93-8F6C-42F3-B7AC-52E6DE0A2640}"/>
                </a:ext>
              </a:extLst>
            </xdr:cNvPr>
            <xdr:cNvSpPr txBox="1"/>
          </xdr:nvSpPr>
          <xdr:spPr>
            <a:xfrm>
              <a:off x="384463" y="11062911"/>
              <a:ext cx="4781550" cy="5671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𝐸𝑓𝑓</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𝑈𝐸𝐹</m:t>
                                </m:r>
                              </m:e>
                              <m:sub>
                                <m:r>
                                  <a:rPr lang="en-US" sz="1100" b="0" i="1">
                                    <a:latin typeface="Cambria Math" panose="02040503050406030204" pitchFamily="18" charset="0"/>
                                    <a:ea typeface="Cambria Math" panose="02040503050406030204" pitchFamily="18" charset="0"/>
                                  </a:rPr>
                                  <m:t>𝐸𝑓𝑓</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𝐺𝑃𝐷</m:t>
                            </m:r>
                          </m:e>
                          <m:sub>
                            <m:r>
                              <a:rPr lang="en-US" sz="1100" b="0" i="1">
                                <a:latin typeface="Cambria Math" panose="02040503050406030204" pitchFamily="18" charset="0"/>
                                <a:ea typeface="Cambria Math" panose="02040503050406030204" pitchFamily="18" charset="0"/>
                              </a:rPr>
                              <m:t>𝑂𝑐𝑐</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𝑂𝑐𝑐</m:t>
                        </m:r>
                        <m:r>
                          <a:rPr lang="en-US" sz="1100" b="0" i="1">
                            <a:latin typeface="Cambria Math" panose="02040503050406030204" pitchFamily="18" charset="0"/>
                            <a:ea typeface="Cambria Math" panose="02040503050406030204" pitchFamily="18" charset="0"/>
                          </a:rPr>
                          <m:t>∗365 </m:t>
                        </m:r>
                        <m:r>
                          <a:rPr lang="en-US" sz="1100" b="0" i="1">
                            <a:latin typeface="Cambria Math" panose="02040503050406030204" pitchFamily="18" charset="0"/>
                            <a:ea typeface="Cambria Math" panose="02040503050406030204" pitchFamily="18" charset="0"/>
                          </a:rPr>
                          <m:t>𝑑𝑎𝑦𝑠</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5" name="TextBox 4">
              <a:extLst>
                <a:ext uri="{FF2B5EF4-FFF2-40B4-BE49-F238E27FC236}">
                  <a16:creationId xmlns:a16="http://schemas.microsoft.com/office/drawing/2014/main" id="{A9818A93-8F6C-42F3-B7AC-52E6DE0A2640}"/>
                </a:ext>
              </a:extLst>
            </xdr:cNvPr>
            <xdr:cNvSpPr txBox="1"/>
          </xdr:nvSpPr>
          <xdr:spPr>
            <a:xfrm>
              <a:off x="384463" y="11062911"/>
              <a:ext cx="4781550" cy="5671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〖𝑘𝑊ℎ〗_𝐸𝑓𝑓=(1/〖𝑈𝐸𝐹〗_𝐸𝑓𝑓 )∗(〖𝐺𝑃𝐷〗_𝑂𝑐𝑐∗#𝑂𝑐𝑐∗365 𝑑𝑎𝑦𝑠∗𝜌∗𝑐_𝑝∗(𝑇_𝑜𝑢𝑡−𝑇_𝑖𝑛 ))/(3412 𝐵𝑡𝑢/𝑘𝑊ℎ)</a:t>
              </a:r>
              <a:endParaRPr lang="en-US" sz="1100"/>
            </a:p>
          </xdr:txBody>
        </xdr:sp>
      </mc:Fallback>
    </mc:AlternateContent>
    <xdr:clientData/>
  </xdr:oneCellAnchor>
  <xdr:oneCellAnchor>
    <xdr:from>
      <xdr:col>2</xdr:col>
      <xdr:colOff>8601</xdr:colOff>
      <xdr:row>54</xdr:row>
      <xdr:rowOff>11776</xdr:rowOff>
    </xdr:from>
    <xdr:ext cx="1308100" cy="32028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495A287-86CF-4467-B6E7-BCB608036AB6}"/>
                </a:ext>
              </a:extLst>
            </xdr:cNvPr>
            <xdr:cNvSpPr txBox="1"/>
          </xdr:nvSpPr>
          <xdr:spPr>
            <a:xfrm>
              <a:off x="370551" y="12965776"/>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F495A287-86CF-4467-B6E7-BCB608036AB6}"/>
                </a:ext>
              </a:extLst>
            </xdr:cNvPr>
            <xdr:cNvSpPr txBox="1"/>
          </xdr:nvSpPr>
          <xdr:spPr>
            <a:xfrm>
              <a:off x="370551" y="12965776"/>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38042</xdr:colOff>
      <xdr:row>59</xdr:row>
      <xdr:rowOff>7793</xdr:rowOff>
    </xdr:from>
    <xdr:ext cx="3914775"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A052A1CC-E631-4F78-B117-A4EB0C2A0BAF}"/>
                </a:ext>
              </a:extLst>
            </xdr:cNvPr>
            <xdr:cNvSpPr txBox="1"/>
          </xdr:nvSpPr>
          <xdr:spPr>
            <a:xfrm>
              <a:off x="399992" y="13914293"/>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7" name="TextBox 6">
              <a:extLst>
                <a:ext uri="{FF2B5EF4-FFF2-40B4-BE49-F238E27FC236}">
                  <a16:creationId xmlns:a16="http://schemas.microsoft.com/office/drawing/2014/main" id="{A052A1CC-E631-4F78-B117-A4EB0C2A0BAF}"/>
                </a:ext>
              </a:extLst>
            </xdr:cNvPr>
            <xdr:cNvSpPr txBox="1"/>
          </xdr:nvSpPr>
          <xdr:spPr>
            <a:xfrm>
              <a:off x="399992" y="13914293"/>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37638</xdr:colOff>
      <xdr:row>49</xdr:row>
      <xdr:rowOff>224732</xdr:rowOff>
    </xdr:from>
    <xdr:ext cx="3848101" cy="20955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E926E7D-C6F9-481B-B52A-2FEBAB1441B0}"/>
                </a:ext>
              </a:extLst>
            </xdr:cNvPr>
            <xdr:cNvSpPr txBox="1"/>
          </xdr:nvSpPr>
          <xdr:spPr>
            <a:xfrm>
              <a:off x="399588" y="12188132"/>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𝐸𝐸</m:t>
                            </m:r>
                          </m:sub>
                        </m:sSub>
                      </m:e>
                    </m:d>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2E926E7D-C6F9-481B-B52A-2FEBAB1441B0}"/>
                </a:ext>
              </a:extLst>
            </xdr:cNvPr>
            <xdr:cNvSpPr txBox="1"/>
          </xdr:nvSpPr>
          <xdr:spPr>
            <a:xfrm>
              <a:off x="399588" y="12188132"/>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〖𝑘𝑊ℎ〗_𝑏𝑎𝑠𝑒−〖𝑘𝑊ℎ〗_𝐸𝐸 )</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62.xml><?xml version="1.0" encoding="utf-8"?>
<xdr:wsDr xmlns:xdr="http://schemas.openxmlformats.org/drawingml/2006/spreadsheetDrawing" xmlns:a="http://schemas.openxmlformats.org/drawingml/2006/main">
  <xdr:oneCellAnchor>
    <xdr:from>
      <xdr:col>2</xdr:col>
      <xdr:colOff>15876</xdr:colOff>
      <xdr:row>54</xdr:row>
      <xdr:rowOff>123825</xdr:rowOff>
    </xdr:from>
    <xdr:ext cx="1308100" cy="3202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DCE7EFD9-A505-4F35-BD58-050AAF912208}"/>
                </a:ext>
              </a:extLst>
            </xdr:cNvPr>
            <xdr:cNvSpPr txBox="1"/>
          </xdr:nvSpPr>
          <xdr:spPr>
            <a:xfrm>
              <a:off x="377826" y="15849600"/>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DCE7EFD9-A505-4F35-BD58-050AAF912208}"/>
                </a:ext>
              </a:extLst>
            </xdr:cNvPr>
            <xdr:cNvSpPr txBox="1"/>
          </xdr:nvSpPr>
          <xdr:spPr>
            <a:xfrm>
              <a:off x="377826" y="15849600"/>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28574</xdr:colOff>
      <xdr:row>29</xdr:row>
      <xdr:rowOff>19050</xdr:rowOff>
    </xdr:from>
    <xdr:ext cx="3857625"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A7709C8-9883-45FC-BBBD-840A36C3B142}"/>
                </a:ext>
              </a:extLst>
            </xdr:cNvPr>
            <xdr:cNvSpPr txBox="1"/>
          </xdr:nvSpPr>
          <xdr:spPr>
            <a:xfrm>
              <a:off x="390524" y="10982325"/>
              <a:ext cx="38576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𝑈𝐸𝐹</m:t>
                        </m:r>
                      </m:e>
                      <m:sub>
                        <m:r>
                          <a:rPr lang="en-US" sz="1100" b="0" i="1">
                            <a:solidFill>
                              <a:sysClr val="windowText" lastClr="000000"/>
                            </a:solidFill>
                            <a:effectLst/>
                            <a:latin typeface="Cambria Math" panose="02040503050406030204" pitchFamily="18" charset="0"/>
                            <a:ea typeface="+mn-ea"/>
                            <a:cs typeface="+mn-cs"/>
                          </a:rPr>
                          <m:t>𝑏𝑎𝑠𝑒</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0.9254−</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0.0003∗</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𝑉</m:t>
                            </m:r>
                          </m:e>
                          <m:sub>
                            <m:r>
                              <a:rPr lang="en-US" sz="1100" b="0" i="1">
                                <a:solidFill>
                                  <a:sysClr val="windowText" lastClr="000000"/>
                                </a:solidFill>
                                <a:effectLst/>
                                <a:latin typeface="Cambria Math" panose="02040503050406030204" pitchFamily="18" charset="0"/>
                                <a:ea typeface="+mn-ea"/>
                                <a:cs typeface="+mn-cs"/>
                              </a:rPr>
                              <m:t>𝑏𝑎𝑠𝑒</m:t>
                            </m:r>
                          </m:sub>
                        </m:sSub>
                        <m:r>
                          <a:rPr lang="en-US" sz="1100" b="0" i="1">
                            <a:solidFill>
                              <a:sysClr val="windowText" lastClr="000000"/>
                            </a:solidFill>
                            <a:effectLst/>
                            <a:latin typeface="Cambria Math" panose="02040503050406030204" pitchFamily="18" charset="0"/>
                            <a:ea typeface="+mn-ea"/>
                            <a:cs typeface="+mn-cs"/>
                          </a:rPr>
                          <m:t> </m:t>
                        </m:r>
                      </m:e>
                    </m:d>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AA7709C8-9883-45FC-BBBD-840A36C3B142}"/>
                </a:ext>
              </a:extLst>
            </xdr:cNvPr>
            <xdr:cNvSpPr txBox="1"/>
          </xdr:nvSpPr>
          <xdr:spPr>
            <a:xfrm>
              <a:off x="390524" y="10982325"/>
              <a:ext cx="38576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〖𝑈𝐸𝐹〗_𝑏𝑎𝑠𝑒=</a:t>
              </a:r>
              <a:r>
                <a:rPr lang="en-US" sz="1100" b="0" i="0">
                  <a:solidFill>
                    <a:sysClr val="windowText" lastClr="000000"/>
                  </a:solidFill>
                  <a:latin typeface="Cambria Math" panose="02040503050406030204" pitchFamily="18" charset="0"/>
                  <a:ea typeface="Cambria Math" panose="02040503050406030204" pitchFamily="18" charset="0"/>
                </a:rPr>
                <a:t>0.9254−(0.0003∗</a:t>
              </a:r>
              <a:r>
                <a:rPr lang="en-US" sz="1100" b="0" i="0">
                  <a:solidFill>
                    <a:sysClr val="windowText" lastClr="000000"/>
                  </a:solidFill>
                  <a:effectLst/>
                  <a:latin typeface="Cambria Math" panose="02040503050406030204" pitchFamily="18" charset="0"/>
                  <a:ea typeface="+mn-ea"/>
                  <a:cs typeface="+mn-cs"/>
                </a:rPr>
                <a:t>𝑉_𝑏𝑎𝑠𝑒  )</a:t>
              </a:r>
              <a:endParaRPr lang="en-US" sz="1100">
                <a:solidFill>
                  <a:sysClr val="windowText" lastClr="000000"/>
                </a:solidFill>
              </a:endParaRPr>
            </a:p>
          </xdr:txBody>
        </xdr:sp>
      </mc:Fallback>
    </mc:AlternateContent>
    <xdr:clientData/>
  </xdr:oneCellAnchor>
  <xdr:oneCellAnchor>
    <xdr:from>
      <xdr:col>2</xdr:col>
      <xdr:colOff>19050</xdr:colOff>
      <xdr:row>60</xdr:row>
      <xdr:rowOff>0</xdr:rowOff>
    </xdr:from>
    <xdr:ext cx="3914775"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FDF364A4-DB93-43BD-A39F-FB4412506DCF}"/>
                </a:ext>
              </a:extLst>
            </xdr:cNvPr>
            <xdr:cNvSpPr txBox="1"/>
          </xdr:nvSpPr>
          <xdr:spPr>
            <a:xfrm>
              <a:off x="381000" y="1686877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5" name="TextBox 4">
              <a:extLst>
                <a:ext uri="{FF2B5EF4-FFF2-40B4-BE49-F238E27FC236}">
                  <a16:creationId xmlns:a16="http://schemas.microsoft.com/office/drawing/2014/main" id="{FDF364A4-DB93-43BD-A39F-FB4412506DCF}"/>
                </a:ext>
              </a:extLst>
            </xdr:cNvPr>
            <xdr:cNvSpPr txBox="1"/>
          </xdr:nvSpPr>
          <xdr:spPr>
            <a:xfrm>
              <a:off x="381000" y="1686877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6350</xdr:colOff>
      <xdr:row>39</xdr:row>
      <xdr:rowOff>82550</xdr:rowOff>
    </xdr:from>
    <xdr:ext cx="4781550" cy="472758"/>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BA34F75A-A538-4BB9-AF30-D9439FC5C4B6}"/>
                </a:ext>
              </a:extLst>
            </xdr:cNvPr>
            <xdr:cNvSpPr txBox="1"/>
          </xdr:nvSpPr>
          <xdr:spPr>
            <a:xfrm>
              <a:off x="368300" y="12950825"/>
              <a:ext cx="4781550" cy="4727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𝑘𝑊h</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𝑈𝐸𝐹</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den>
                        </m:f>
                      </m:e>
                    </m:d>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𝐺𝑃𝐷</m:t>
                            </m:r>
                          </m:e>
                          <m:sub>
                            <m:r>
                              <a:rPr lang="en-US" sz="1100" b="0" i="1">
                                <a:solidFill>
                                  <a:sysClr val="windowText" lastClr="000000"/>
                                </a:solidFill>
                                <a:latin typeface="Cambria Math" panose="02040503050406030204" pitchFamily="18" charset="0"/>
                                <a:ea typeface="Cambria Math" panose="02040503050406030204" pitchFamily="18" charset="0"/>
                              </a:rPr>
                              <m:t>𝑂𝑐𝑐</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𝑂𝑐𝑐</m:t>
                        </m:r>
                        <m:r>
                          <a:rPr lang="en-US" sz="1100" b="0" i="1">
                            <a:solidFill>
                              <a:sysClr val="windowText" lastClr="000000"/>
                            </a:solidFill>
                            <a:latin typeface="Cambria Math" panose="02040503050406030204" pitchFamily="18" charset="0"/>
                            <a:ea typeface="Cambria Math" panose="02040503050406030204" pitchFamily="18" charset="0"/>
                          </a:rPr>
                          <m:t>∗365 </m:t>
                        </m:r>
                        <m:r>
                          <a:rPr lang="en-US" sz="1100" b="0" i="1">
                            <a:solidFill>
                              <a:sysClr val="windowText" lastClr="000000"/>
                            </a:solidFill>
                            <a:latin typeface="Cambria Math" panose="02040503050406030204" pitchFamily="18" charset="0"/>
                            <a:ea typeface="Cambria Math" panose="02040503050406030204" pitchFamily="18" charset="0"/>
                          </a:rPr>
                          <m:t>𝑑𝑎𝑦𝑠</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𝜌</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𝑐</m:t>
                            </m:r>
                          </m:e>
                          <m:sub>
                            <m:r>
                              <a:rPr lang="en-US" sz="1100" b="0" i="1">
                                <a:solidFill>
                                  <a:sysClr val="windowText" lastClr="000000"/>
                                </a:solidFill>
                                <a:latin typeface="Cambria Math" panose="02040503050406030204" pitchFamily="18" charset="0"/>
                                <a:ea typeface="Cambria Math" panose="02040503050406030204" pitchFamily="18" charset="0"/>
                              </a:rPr>
                              <m:t>𝑝</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𝑇</m:t>
                                </m:r>
                              </m:e>
                              <m:sub>
                                <m:r>
                                  <a:rPr lang="en-US" sz="1100" b="0" i="1">
                                    <a:solidFill>
                                      <a:sysClr val="windowText" lastClr="000000"/>
                                    </a:solidFill>
                                    <a:latin typeface="Cambria Math" panose="02040503050406030204" pitchFamily="18" charset="0"/>
                                    <a:ea typeface="Cambria Math" panose="02040503050406030204" pitchFamily="18" charset="0"/>
                                  </a:rPr>
                                  <m:t>𝑜𝑢𝑡</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𝑇</m:t>
                                </m:r>
                              </m:e>
                              <m:sub>
                                <m:r>
                                  <a:rPr lang="en-US" sz="1100" b="0" i="1">
                                    <a:solidFill>
                                      <a:sysClr val="windowText" lastClr="000000"/>
                                    </a:solidFill>
                                    <a:latin typeface="Cambria Math" panose="02040503050406030204" pitchFamily="18" charset="0"/>
                                    <a:ea typeface="Cambria Math" panose="02040503050406030204" pitchFamily="18" charset="0"/>
                                  </a:rPr>
                                  <m:t>𝑖𝑛</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3412</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𝐵𝑡𝑢</m:t>
                            </m:r>
                          </m:num>
                          <m:den>
                            <m:r>
                              <a:rPr lang="en-US" sz="1100" b="0" i="1">
                                <a:solidFill>
                                  <a:sysClr val="windowText" lastClr="000000"/>
                                </a:solidFill>
                                <a:latin typeface="Cambria Math" panose="02040503050406030204" pitchFamily="18" charset="0"/>
                                <a:ea typeface="Cambria Math" panose="02040503050406030204" pitchFamily="18" charset="0"/>
                              </a:rPr>
                              <m:t>𝑘𝑊h</m:t>
                            </m:r>
                          </m:den>
                        </m:f>
                      </m:den>
                    </m:f>
                  </m:oMath>
                </m:oMathPara>
              </a14:m>
              <a:endParaRPr lang="en-US" sz="1100">
                <a:solidFill>
                  <a:sysClr val="windowText" lastClr="000000"/>
                </a:solidFill>
              </a:endParaRPr>
            </a:p>
          </xdr:txBody>
        </xdr:sp>
      </mc:Choice>
      <mc:Fallback xmlns="">
        <xdr:sp macro="" textlink="">
          <xdr:nvSpPr>
            <xdr:cNvPr id="11" name="TextBox 10">
              <a:extLst>
                <a:ext uri="{FF2B5EF4-FFF2-40B4-BE49-F238E27FC236}">
                  <a16:creationId xmlns:a16="http://schemas.microsoft.com/office/drawing/2014/main" id="{BA34F75A-A538-4BB9-AF30-D9439FC5C4B6}"/>
                </a:ext>
              </a:extLst>
            </xdr:cNvPr>
            <xdr:cNvSpPr txBox="1"/>
          </xdr:nvSpPr>
          <xdr:spPr>
            <a:xfrm>
              <a:off x="368300" y="12950825"/>
              <a:ext cx="4781550" cy="4727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〖𝑘𝑊ℎ〗_𝑏𝑎𝑠𝑒=(1/〖𝑈𝐸𝐹〗_𝑏𝑎𝑠𝑒 )∗(〖𝐺𝑃𝐷〗_𝑂𝑐𝑐∗#𝑂𝑐𝑐∗365 𝑑𝑎𝑦𝑠∗𝜌∗𝑐_𝑝∗(𝑇_𝑜𝑢𝑡−𝑇_𝑖𝑛 ))/(3412 𝐵𝑡𝑢/𝑘𝑊ℎ)</a:t>
              </a:r>
              <a:endParaRPr lang="en-US" sz="1100">
                <a:solidFill>
                  <a:sysClr val="windowText" lastClr="000000"/>
                </a:solidFill>
              </a:endParaRPr>
            </a:p>
          </xdr:txBody>
        </xdr:sp>
      </mc:Fallback>
    </mc:AlternateContent>
    <xdr:clientData/>
  </xdr:oneCellAnchor>
  <xdr:oneCellAnchor>
    <xdr:from>
      <xdr:col>2</xdr:col>
      <xdr:colOff>25400</xdr:colOff>
      <xdr:row>51</xdr:row>
      <xdr:rowOff>0</xdr:rowOff>
    </xdr:from>
    <xdr:ext cx="3848101" cy="209550"/>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E359C4F1-15AA-4351-934D-07468E2E5F92}"/>
                </a:ext>
              </a:extLst>
            </xdr:cNvPr>
            <xdr:cNvSpPr txBox="1"/>
          </xdr:nvSpPr>
          <xdr:spPr>
            <a:xfrm>
              <a:off x="387350" y="15154275"/>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E359C4F1-15AA-4351-934D-07468E2E5F92}"/>
                </a:ext>
              </a:extLst>
            </xdr:cNvPr>
            <xdr:cNvSpPr txBox="1"/>
          </xdr:nvSpPr>
          <xdr:spPr>
            <a:xfrm>
              <a:off x="387350" y="15154275"/>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〖𝑘𝑊ℎ〗_𝑏𝑎𝑠𝑒−〖𝑘𝑊ℎ〗_𝐸𝐸 )</a:t>
              </a:r>
              <a:r>
                <a:rPr lang="en-US" sz="1100" b="0" i="0">
                  <a:latin typeface="Cambria Math" panose="02040503050406030204" pitchFamily="18" charset="0"/>
                  <a:ea typeface="Cambria Math" panose="02040503050406030204" pitchFamily="18" charset="0"/>
                </a:rPr>
                <a:t>∗𝑃𝐹</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63500</xdr:colOff>
      <xdr:row>45</xdr:row>
      <xdr:rowOff>6350</xdr:rowOff>
    </xdr:from>
    <xdr:ext cx="5289550" cy="580159"/>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ECCA7269-AD35-468B-9C0F-04BA72949806}"/>
                </a:ext>
              </a:extLst>
            </xdr:cNvPr>
            <xdr:cNvSpPr txBox="1"/>
          </xdr:nvSpPr>
          <xdr:spPr>
            <a:xfrm>
              <a:off x="244475" y="14017625"/>
              <a:ext cx="5289550" cy="5801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0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000" b="0" i="1">
                            <a:solidFill>
                              <a:sysClr val="windowText" lastClr="000000"/>
                            </a:solidFill>
                            <a:effectLst/>
                            <a:latin typeface="Cambria Math" panose="02040503050406030204" pitchFamily="18" charset="0"/>
                            <a:ea typeface="Cambria Math" panose="02040503050406030204" pitchFamily="18" charset="0"/>
                            <a:cs typeface="+mn-cs"/>
                          </a:rPr>
                          <m:t>𝑘𝑊h</m:t>
                        </m:r>
                      </m:e>
                      <m:sub>
                        <m:r>
                          <a:rPr lang="en-US" sz="1000" b="0" i="1">
                            <a:solidFill>
                              <a:sysClr val="windowText" lastClr="000000"/>
                            </a:solidFill>
                            <a:effectLst/>
                            <a:latin typeface="Cambria Math" panose="02040503050406030204" pitchFamily="18" charset="0"/>
                            <a:ea typeface="Cambria Math" panose="02040503050406030204" pitchFamily="18" charset="0"/>
                            <a:cs typeface="+mn-cs"/>
                          </a:rPr>
                          <m:t>𝐸𝐸</m:t>
                        </m:r>
                      </m:sub>
                    </m:sSub>
                    <m:r>
                      <a:rPr lang="en-US" sz="1000" b="0" i="1">
                        <a:solidFill>
                          <a:sysClr val="windowText" lastClr="000000"/>
                        </a:solidFill>
                        <a:latin typeface="Cambria Math" panose="02040503050406030204" pitchFamily="18" charset="0"/>
                        <a:ea typeface="Cambria Math" panose="02040503050406030204" pitchFamily="18" charset="0"/>
                      </a:rPr>
                      <m:t>=</m:t>
                    </m:r>
                    <m:d>
                      <m:dPr>
                        <m:ctrlPr>
                          <a:rPr lang="en-US" sz="1000" b="0" i="1">
                            <a:solidFill>
                              <a:sysClr val="windowText" lastClr="000000"/>
                            </a:solidFill>
                            <a:latin typeface="Cambria Math" panose="02040503050406030204" pitchFamily="18" charset="0"/>
                            <a:ea typeface="Cambria Math" panose="02040503050406030204" pitchFamily="18" charset="0"/>
                          </a:rPr>
                        </m:ctrlPr>
                      </m:dPr>
                      <m:e>
                        <m:r>
                          <a:rPr lang="en-US" sz="1000" b="0" i="1">
                            <a:solidFill>
                              <a:sysClr val="windowText" lastClr="000000"/>
                            </a:solidFill>
                            <a:latin typeface="Cambria Math" panose="02040503050406030204" pitchFamily="18" charset="0"/>
                            <a:ea typeface="Cambria Math" panose="02040503050406030204" pitchFamily="18" charset="0"/>
                          </a:rPr>
                          <m:t>1−</m:t>
                        </m:r>
                        <m:r>
                          <a:rPr lang="en-US" sz="1000" b="0" i="1">
                            <a:solidFill>
                              <a:sysClr val="windowText" lastClr="000000"/>
                            </a:solidFill>
                            <a:latin typeface="Cambria Math" panose="02040503050406030204" pitchFamily="18" charset="0"/>
                            <a:ea typeface="Cambria Math" panose="02040503050406030204" pitchFamily="18" charset="0"/>
                          </a:rPr>
                          <m:t>𝑆𝐹</m:t>
                        </m:r>
                      </m:e>
                    </m:d>
                    <m:d>
                      <m:dPr>
                        <m:ctrlPr>
                          <a:rPr lang="en-US" sz="1000" b="0" i="1">
                            <a:solidFill>
                              <a:sysClr val="windowText" lastClr="000000"/>
                            </a:solidFill>
                            <a:latin typeface="Cambria Math" panose="02040503050406030204" pitchFamily="18" charset="0"/>
                            <a:ea typeface="Cambria Math" panose="02040503050406030204" pitchFamily="18" charset="0"/>
                          </a:rPr>
                        </m:ctrlPr>
                      </m:dPr>
                      <m:e>
                        <m:f>
                          <m:fPr>
                            <m:ctrlPr>
                              <a:rPr lang="en-US" sz="1000" b="0" i="1">
                                <a:solidFill>
                                  <a:sysClr val="windowText" lastClr="000000"/>
                                </a:solidFill>
                                <a:latin typeface="Cambria Math" panose="02040503050406030204" pitchFamily="18" charset="0"/>
                                <a:ea typeface="Cambria Math" panose="02040503050406030204" pitchFamily="18" charset="0"/>
                              </a:rPr>
                            </m:ctrlPr>
                          </m:fPr>
                          <m:num>
                            <m:r>
                              <a:rPr lang="en-US" sz="10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000" b="0" i="1">
                                    <a:solidFill>
                                      <a:sysClr val="windowText" lastClr="000000"/>
                                    </a:solidFill>
                                    <a:latin typeface="Cambria Math" panose="02040503050406030204" pitchFamily="18" charset="0"/>
                                    <a:ea typeface="Cambria Math" panose="02040503050406030204" pitchFamily="18" charset="0"/>
                                  </a:rPr>
                                </m:ctrlPr>
                              </m:sSubPr>
                              <m:e>
                                <m:r>
                                  <a:rPr lang="en-US" sz="1000" b="0" i="1">
                                    <a:solidFill>
                                      <a:sysClr val="windowText" lastClr="000000"/>
                                    </a:solidFill>
                                    <a:latin typeface="Cambria Math" panose="02040503050406030204" pitchFamily="18" charset="0"/>
                                    <a:ea typeface="Cambria Math" panose="02040503050406030204" pitchFamily="18" charset="0"/>
                                  </a:rPr>
                                  <m:t>𝑈𝐸𝐹</m:t>
                                </m:r>
                              </m:e>
                              <m:sub>
                                <m:r>
                                  <a:rPr lang="en-US" sz="1000" b="0" i="1">
                                    <a:solidFill>
                                      <a:sysClr val="windowText" lastClr="000000"/>
                                    </a:solidFill>
                                    <a:latin typeface="Cambria Math" panose="02040503050406030204" pitchFamily="18" charset="0"/>
                                    <a:ea typeface="Cambria Math" panose="02040503050406030204" pitchFamily="18" charset="0"/>
                                  </a:rPr>
                                  <m:t>𝑆𝑊𝐻</m:t>
                                </m:r>
                              </m:sub>
                            </m:sSub>
                          </m:den>
                        </m:f>
                      </m:e>
                    </m:d>
                    <m:r>
                      <a:rPr lang="en-US" sz="1000" b="0" i="1">
                        <a:solidFill>
                          <a:sysClr val="windowText" lastClr="000000"/>
                        </a:solidFill>
                        <a:latin typeface="Cambria Math" panose="02040503050406030204" pitchFamily="18" charset="0"/>
                        <a:ea typeface="Cambria Math" panose="02040503050406030204" pitchFamily="18" charset="0"/>
                      </a:rPr>
                      <m:t>∗</m:t>
                    </m:r>
                    <m:f>
                      <m:fPr>
                        <m:ctrlPr>
                          <a:rPr lang="en-US" sz="1000" b="0" i="1">
                            <a:solidFill>
                              <a:sysClr val="windowText" lastClr="000000"/>
                            </a:solidFill>
                            <a:latin typeface="Cambria Math" panose="02040503050406030204" pitchFamily="18" charset="0"/>
                            <a:ea typeface="Cambria Math" panose="02040503050406030204" pitchFamily="18" charset="0"/>
                          </a:rPr>
                        </m:ctrlPr>
                      </m:fPr>
                      <m:num>
                        <m:sSub>
                          <m:sSubPr>
                            <m:ctrlPr>
                              <a:rPr lang="en-US" sz="1000" b="0" i="1">
                                <a:solidFill>
                                  <a:sysClr val="windowText" lastClr="000000"/>
                                </a:solidFill>
                                <a:latin typeface="Cambria Math" panose="02040503050406030204" pitchFamily="18" charset="0"/>
                                <a:ea typeface="Cambria Math" panose="02040503050406030204" pitchFamily="18" charset="0"/>
                              </a:rPr>
                            </m:ctrlPr>
                          </m:sSubPr>
                          <m:e>
                            <m:r>
                              <a:rPr lang="en-US" sz="1000" b="0" i="1">
                                <a:solidFill>
                                  <a:sysClr val="windowText" lastClr="000000"/>
                                </a:solidFill>
                                <a:latin typeface="Cambria Math" panose="02040503050406030204" pitchFamily="18" charset="0"/>
                                <a:ea typeface="Cambria Math" panose="02040503050406030204" pitchFamily="18" charset="0"/>
                              </a:rPr>
                              <m:t>𝐺𝑃𝐷</m:t>
                            </m:r>
                          </m:e>
                          <m:sub>
                            <m:r>
                              <a:rPr lang="en-US" sz="1000" b="0" i="1">
                                <a:solidFill>
                                  <a:sysClr val="windowText" lastClr="000000"/>
                                </a:solidFill>
                                <a:latin typeface="Cambria Math" panose="02040503050406030204" pitchFamily="18" charset="0"/>
                                <a:ea typeface="Cambria Math" panose="02040503050406030204" pitchFamily="18" charset="0"/>
                              </a:rPr>
                              <m:t>𝑂𝑐𝑐</m:t>
                            </m:r>
                          </m:sub>
                        </m:sSub>
                        <m:r>
                          <a:rPr lang="en-US" sz="1000" b="0" i="1">
                            <a:solidFill>
                              <a:sysClr val="windowText" lastClr="000000"/>
                            </a:solidFill>
                            <a:latin typeface="Cambria Math" panose="02040503050406030204" pitchFamily="18" charset="0"/>
                            <a:ea typeface="Cambria Math" panose="02040503050406030204" pitchFamily="18" charset="0"/>
                          </a:rPr>
                          <m:t>∗#</m:t>
                        </m:r>
                        <m:r>
                          <a:rPr lang="en-US" sz="1000" b="0" i="1">
                            <a:solidFill>
                              <a:sysClr val="windowText" lastClr="000000"/>
                            </a:solidFill>
                            <a:latin typeface="Cambria Math" panose="02040503050406030204" pitchFamily="18" charset="0"/>
                            <a:ea typeface="Cambria Math" panose="02040503050406030204" pitchFamily="18" charset="0"/>
                          </a:rPr>
                          <m:t>𝑂𝑐𝑐</m:t>
                        </m:r>
                        <m:r>
                          <a:rPr lang="en-US" sz="1000" b="0" i="1">
                            <a:solidFill>
                              <a:sysClr val="windowText" lastClr="000000"/>
                            </a:solidFill>
                            <a:latin typeface="Cambria Math" panose="02040503050406030204" pitchFamily="18" charset="0"/>
                            <a:ea typeface="Cambria Math" panose="02040503050406030204" pitchFamily="18" charset="0"/>
                          </a:rPr>
                          <m:t>∗365 </m:t>
                        </m:r>
                        <m:r>
                          <a:rPr lang="en-US" sz="1000" b="0" i="1">
                            <a:solidFill>
                              <a:sysClr val="windowText" lastClr="000000"/>
                            </a:solidFill>
                            <a:latin typeface="Cambria Math" panose="02040503050406030204" pitchFamily="18" charset="0"/>
                            <a:ea typeface="Cambria Math" panose="02040503050406030204" pitchFamily="18" charset="0"/>
                          </a:rPr>
                          <m:t>𝑑𝑎𝑦𝑠</m:t>
                        </m:r>
                        <m:r>
                          <a:rPr lang="en-US" sz="1000" b="0" i="1">
                            <a:solidFill>
                              <a:sysClr val="windowText" lastClr="000000"/>
                            </a:solidFill>
                            <a:latin typeface="Cambria Math" panose="02040503050406030204" pitchFamily="18" charset="0"/>
                            <a:ea typeface="Cambria Math" panose="02040503050406030204" pitchFamily="18" charset="0"/>
                          </a:rPr>
                          <m:t>∗</m:t>
                        </m:r>
                        <m:r>
                          <a:rPr lang="en-US" sz="1000" b="0" i="1">
                            <a:solidFill>
                              <a:sysClr val="windowText" lastClr="000000"/>
                            </a:solidFill>
                            <a:latin typeface="Cambria Math" panose="02040503050406030204" pitchFamily="18" charset="0"/>
                            <a:ea typeface="Cambria Math" panose="02040503050406030204" pitchFamily="18" charset="0"/>
                          </a:rPr>
                          <m:t>𝜌</m:t>
                        </m:r>
                        <m:r>
                          <a:rPr lang="en-US" sz="1000" b="0" i="1">
                            <a:solidFill>
                              <a:sysClr val="windowText" lastClr="000000"/>
                            </a:solidFill>
                            <a:latin typeface="Cambria Math" panose="02040503050406030204" pitchFamily="18" charset="0"/>
                            <a:ea typeface="Cambria Math" panose="02040503050406030204" pitchFamily="18" charset="0"/>
                          </a:rPr>
                          <m:t>∗</m:t>
                        </m:r>
                        <m:sSub>
                          <m:sSubPr>
                            <m:ctrlPr>
                              <a:rPr lang="en-US" sz="1000" b="0" i="1">
                                <a:solidFill>
                                  <a:sysClr val="windowText" lastClr="000000"/>
                                </a:solidFill>
                                <a:latin typeface="Cambria Math" panose="02040503050406030204" pitchFamily="18" charset="0"/>
                                <a:ea typeface="Cambria Math" panose="02040503050406030204" pitchFamily="18" charset="0"/>
                              </a:rPr>
                            </m:ctrlPr>
                          </m:sSubPr>
                          <m:e>
                            <m:r>
                              <a:rPr lang="en-US" sz="1000" b="0" i="1">
                                <a:solidFill>
                                  <a:sysClr val="windowText" lastClr="000000"/>
                                </a:solidFill>
                                <a:latin typeface="Cambria Math" panose="02040503050406030204" pitchFamily="18" charset="0"/>
                                <a:ea typeface="Cambria Math" panose="02040503050406030204" pitchFamily="18" charset="0"/>
                              </a:rPr>
                              <m:t>𝑐</m:t>
                            </m:r>
                          </m:e>
                          <m:sub>
                            <m:r>
                              <a:rPr lang="en-US" sz="1000" b="0" i="1">
                                <a:solidFill>
                                  <a:sysClr val="windowText" lastClr="000000"/>
                                </a:solidFill>
                                <a:latin typeface="Cambria Math" panose="02040503050406030204" pitchFamily="18" charset="0"/>
                                <a:ea typeface="Cambria Math" panose="02040503050406030204" pitchFamily="18" charset="0"/>
                              </a:rPr>
                              <m:t>𝑝</m:t>
                            </m:r>
                          </m:sub>
                        </m:sSub>
                        <m:r>
                          <a:rPr lang="en-US" sz="1000" b="0" i="1">
                            <a:solidFill>
                              <a:sysClr val="windowText" lastClr="000000"/>
                            </a:solidFill>
                            <a:latin typeface="Cambria Math" panose="02040503050406030204" pitchFamily="18" charset="0"/>
                            <a:ea typeface="Cambria Math" panose="02040503050406030204" pitchFamily="18" charset="0"/>
                          </a:rPr>
                          <m:t>∗</m:t>
                        </m:r>
                        <m:d>
                          <m:dPr>
                            <m:ctrlPr>
                              <a:rPr lang="en-US" sz="10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000" b="0" i="1">
                                    <a:solidFill>
                                      <a:sysClr val="windowText" lastClr="000000"/>
                                    </a:solidFill>
                                    <a:latin typeface="Cambria Math" panose="02040503050406030204" pitchFamily="18" charset="0"/>
                                    <a:ea typeface="Cambria Math" panose="02040503050406030204" pitchFamily="18" charset="0"/>
                                  </a:rPr>
                                </m:ctrlPr>
                              </m:sSubPr>
                              <m:e>
                                <m:r>
                                  <a:rPr lang="en-US" sz="1000" b="0" i="1">
                                    <a:solidFill>
                                      <a:sysClr val="windowText" lastClr="000000"/>
                                    </a:solidFill>
                                    <a:latin typeface="Cambria Math" panose="02040503050406030204" pitchFamily="18" charset="0"/>
                                    <a:ea typeface="Cambria Math" panose="02040503050406030204" pitchFamily="18" charset="0"/>
                                  </a:rPr>
                                  <m:t>𝑇</m:t>
                                </m:r>
                              </m:e>
                              <m:sub>
                                <m:r>
                                  <a:rPr lang="en-US" sz="1000" b="0" i="1">
                                    <a:solidFill>
                                      <a:sysClr val="windowText" lastClr="000000"/>
                                    </a:solidFill>
                                    <a:latin typeface="Cambria Math" panose="02040503050406030204" pitchFamily="18" charset="0"/>
                                    <a:ea typeface="Cambria Math" panose="02040503050406030204" pitchFamily="18" charset="0"/>
                                  </a:rPr>
                                  <m:t>𝑜𝑢𝑡</m:t>
                                </m:r>
                              </m:sub>
                            </m:sSub>
                            <m:r>
                              <a:rPr lang="en-US" sz="1000" b="0" i="1">
                                <a:solidFill>
                                  <a:sysClr val="windowText" lastClr="000000"/>
                                </a:solidFill>
                                <a:latin typeface="Cambria Math" panose="02040503050406030204" pitchFamily="18" charset="0"/>
                                <a:ea typeface="Cambria Math" panose="02040503050406030204" pitchFamily="18" charset="0"/>
                              </a:rPr>
                              <m:t>−</m:t>
                            </m:r>
                            <m:sSub>
                              <m:sSubPr>
                                <m:ctrlPr>
                                  <a:rPr lang="en-US" sz="1000" b="0" i="1">
                                    <a:solidFill>
                                      <a:sysClr val="windowText" lastClr="000000"/>
                                    </a:solidFill>
                                    <a:latin typeface="Cambria Math" panose="02040503050406030204" pitchFamily="18" charset="0"/>
                                    <a:ea typeface="Cambria Math" panose="02040503050406030204" pitchFamily="18" charset="0"/>
                                  </a:rPr>
                                </m:ctrlPr>
                              </m:sSubPr>
                              <m:e>
                                <m:r>
                                  <a:rPr lang="en-US" sz="1000" b="0" i="1">
                                    <a:solidFill>
                                      <a:sysClr val="windowText" lastClr="000000"/>
                                    </a:solidFill>
                                    <a:latin typeface="Cambria Math" panose="02040503050406030204" pitchFamily="18" charset="0"/>
                                    <a:ea typeface="Cambria Math" panose="02040503050406030204" pitchFamily="18" charset="0"/>
                                  </a:rPr>
                                  <m:t>𝑇</m:t>
                                </m:r>
                              </m:e>
                              <m:sub>
                                <m:r>
                                  <a:rPr lang="en-US" sz="1000" b="0" i="1">
                                    <a:solidFill>
                                      <a:sysClr val="windowText" lastClr="000000"/>
                                    </a:solidFill>
                                    <a:latin typeface="Cambria Math" panose="02040503050406030204" pitchFamily="18" charset="0"/>
                                    <a:ea typeface="Cambria Math" panose="02040503050406030204" pitchFamily="18" charset="0"/>
                                  </a:rPr>
                                  <m:t>𝑖𝑛</m:t>
                                </m:r>
                              </m:sub>
                            </m:sSub>
                          </m:e>
                        </m:d>
                      </m:num>
                      <m:den>
                        <m:r>
                          <a:rPr lang="en-US" sz="1000" b="0" i="1">
                            <a:solidFill>
                              <a:sysClr val="windowText" lastClr="000000"/>
                            </a:solidFill>
                            <a:latin typeface="Cambria Math" panose="02040503050406030204" pitchFamily="18" charset="0"/>
                            <a:ea typeface="Cambria Math" panose="02040503050406030204" pitchFamily="18" charset="0"/>
                          </a:rPr>
                          <m:t>3412</m:t>
                        </m:r>
                        <m:f>
                          <m:fPr>
                            <m:ctrlPr>
                              <a:rPr lang="en-US" sz="1000" b="0" i="1">
                                <a:solidFill>
                                  <a:sysClr val="windowText" lastClr="000000"/>
                                </a:solidFill>
                                <a:latin typeface="Cambria Math" panose="02040503050406030204" pitchFamily="18" charset="0"/>
                                <a:ea typeface="Cambria Math" panose="02040503050406030204" pitchFamily="18" charset="0"/>
                              </a:rPr>
                            </m:ctrlPr>
                          </m:fPr>
                          <m:num>
                            <m:r>
                              <a:rPr lang="en-US" sz="1000" b="0" i="1">
                                <a:solidFill>
                                  <a:sysClr val="windowText" lastClr="000000"/>
                                </a:solidFill>
                                <a:latin typeface="Cambria Math" panose="02040503050406030204" pitchFamily="18" charset="0"/>
                                <a:ea typeface="Cambria Math" panose="02040503050406030204" pitchFamily="18" charset="0"/>
                              </a:rPr>
                              <m:t>𝐵𝑡𝑢</m:t>
                            </m:r>
                          </m:num>
                          <m:den>
                            <m:r>
                              <a:rPr lang="en-US" sz="1000" b="0" i="1">
                                <a:solidFill>
                                  <a:sysClr val="windowText" lastClr="000000"/>
                                </a:solidFill>
                                <a:latin typeface="Cambria Math" panose="02040503050406030204" pitchFamily="18" charset="0"/>
                                <a:ea typeface="Cambria Math" panose="02040503050406030204" pitchFamily="18" charset="0"/>
                              </a:rPr>
                              <m:t>𝑘𝑊h</m:t>
                            </m:r>
                          </m:den>
                        </m:f>
                      </m:den>
                    </m:f>
                    <m:r>
                      <a:rPr lang="en-US" sz="1000" b="0" i="1">
                        <a:solidFill>
                          <a:sysClr val="windowText" lastClr="000000"/>
                        </a:solidFill>
                        <a:latin typeface="Cambria Math" panose="02040503050406030204" pitchFamily="18" charset="0"/>
                        <a:ea typeface="Cambria Math" panose="02040503050406030204" pitchFamily="18" charset="0"/>
                      </a:rPr>
                      <m:t>+</m:t>
                    </m:r>
                    <m:sSub>
                      <m:sSubPr>
                        <m:ctrlPr>
                          <a:rPr lang="en-US" sz="1000" b="0" i="1">
                            <a:solidFill>
                              <a:sysClr val="windowText" lastClr="000000"/>
                            </a:solidFill>
                            <a:latin typeface="Cambria Math" panose="02040503050406030204" pitchFamily="18" charset="0"/>
                            <a:ea typeface="Cambria Math" panose="02040503050406030204" pitchFamily="18" charset="0"/>
                          </a:rPr>
                        </m:ctrlPr>
                      </m:sSubPr>
                      <m:e>
                        <m:r>
                          <a:rPr lang="en-US" sz="1000" b="0" i="1">
                            <a:solidFill>
                              <a:sysClr val="windowText" lastClr="000000"/>
                            </a:solidFill>
                            <a:latin typeface="Cambria Math" panose="02040503050406030204" pitchFamily="18" charset="0"/>
                            <a:ea typeface="Cambria Math" panose="02040503050406030204" pitchFamily="18" charset="0"/>
                          </a:rPr>
                          <m:t>(</m:t>
                        </m:r>
                        <m:r>
                          <a:rPr lang="en-US" sz="1000" b="0" i="1">
                            <a:solidFill>
                              <a:sysClr val="windowText" lastClr="000000"/>
                            </a:solidFill>
                            <a:latin typeface="Cambria Math" panose="02040503050406030204" pitchFamily="18" charset="0"/>
                            <a:ea typeface="Cambria Math" panose="02040503050406030204" pitchFamily="18" charset="0"/>
                          </a:rPr>
                          <m:t>𝑘𝑊</m:t>
                        </m:r>
                      </m:e>
                      <m:sub>
                        <m:r>
                          <a:rPr lang="en-US" sz="1000" b="0" i="1">
                            <a:solidFill>
                              <a:sysClr val="windowText" lastClr="000000"/>
                            </a:solidFill>
                            <a:latin typeface="Cambria Math" panose="02040503050406030204" pitchFamily="18" charset="0"/>
                            <a:ea typeface="Cambria Math" panose="02040503050406030204" pitchFamily="18" charset="0"/>
                          </a:rPr>
                          <m:t>𝑝𝑢𝑚𝑝</m:t>
                        </m:r>
                      </m:sub>
                    </m:sSub>
                    <m:r>
                      <a:rPr lang="en-US" sz="1000" b="0" i="1">
                        <a:solidFill>
                          <a:sysClr val="windowText" lastClr="000000"/>
                        </a:solidFill>
                        <a:latin typeface="Cambria Math" panose="02040503050406030204" pitchFamily="18" charset="0"/>
                        <a:ea typeface="Cambria Math" panose="02040503050406030204" pitchFamily="18" charset="0"/>
                      </a:rPr>
                      <m:t>∗</m:t>
                    </m:r>
                    <m:sSub>
                      <m:sSubPr>
                        <m:ctrlPr>
                          <a:rPr lang="en-US" sz="1000" b="0" i="1">
                            <a:solidFill>
                              <a:sysClr val="windowText" lastClr="000000"/>
                            </a:solidFill>
                            <a:latin typeface="Cambria Math" panose="02040503050406030204" pitchFamily="18" charset="0"/>
                            <a:ea typeface="Cambria Math" panose="02040503050406030204" pitchFamily="18" charset="0"/>
                          </a:rPr>
                        </m:ctrlPr>
                      </m:sSubPr>
                      <m:e>
                        <m:r>
                          <a:rPr lang="en-US" sz="1000" b="0" i="1">
                            <a:solidFill>
                              <a:sysClr val="windowText" lastClr="000000"/>
                            </a:solidFill>
                            <a:latin typeface="Cambria Math" panose="02040503050406030204" pitchFamily="18" charset="0"/>
                            <a:ea typeface="Cambria Math" panose="02040503050406030204" pitchFamily="18" charset="0"/>
                          </a:rPr>
                          <m:t>𝐻𝑂𝑈</m:t>
                        </m:r>
                      </m:e>
                      <m:sub>
                        <m:r>
                          <a:rPr lang="en-US" sz="1000" b="0" i="1">
                            <a:solidFill>
                              <a:sysClr val="windowText" lastClr="000000"/>
                            </a:solidFill>
                            <a:latin typeface="Cambria Math" panose="02040503050406030204" pitchFamily="18" charset="0"/>
                            <a:ea typeface="Cambria Math" panose="02040503050406030204" pitchFamily="18" charset="0"/>
                          </a:rPr>
                          <m:t>𝑝𝑢𝑚𝑝</m:t>
                        </m:r>
                      </m:sub>
                    </m:sSub>
                    <m:r>
                      <a:rPr lang="en-US" sz="10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ECCA7269-AD35-468B-9C0F-04BA72949806}"/>
                </a:ext>
              </a:extLst>
            </xdr:cNvPr>
            <xdr:cNvSpPr txBox="1"/>
          </xdr:nvSpPr>
          <xdr:spPr>
            <a:xfrm>
              <a:off x="244475" y="14017625"/>
              <a:ext cx="5289550" cy="5801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000" b="0" i="0">
                  <a:solidFill>
                    <a:sysClr val="windowText" lastClr="000000"/>
                  </a:solidFill>
                  <a:effectLst/>
                  <a:latin typeface="Cambria Math" panose="02040503050406030204" pitchFamily="18" charset="0"/>
                  <a:ea typeface="Cambria Math" panose="02040503050406030204" pitchFamily="18" charset="0"/>
                  <a:cs typeface="+mn-cs"/>
                </a:rPr>
                <a:t>〖𝑘𝑊ℎ〗_𝐸𝐸</a:t>
              </a:r>
              <a:r>
                <a:rPr lang="en-US" sz="1000" b="0" i="0">
                  <a:solidFill>
                    <a:sysClr val="windowText" lastClr="000000"/>
                  </a:solidFill>
                  <a:latin typeface="Cambria Math" panose="02040503050406030204" pitchFamily="18" charset="0"/>
                  <a:ea typeface="Cambria Math" panose="02040503050406030204" pitchFamily="18" charset="0"/>
                </a:rPr>
                <a:t>=(1−𝑆𝐹)(1/〖𝑈𝐸𝐹〗_𝑆𝑊𝐻 )∗(〖𝐺𝑃𝐷〗_𝑂𝑐𝑐∗#𝑂𝑐𝑐∗365 𝑑𝑎𝑦𝑠∗𝜌∗𝑐_𝑝∗(𝑇_𝑜𝑢𝑡−𝑇_𝑖𝑛 ))/(3412 𝐵𝑡𝑢/𝑘𝑊ℎ)+〖(𝑘𝑊〗_𝑝𝑢𝑚𝑝∗〖𝐻𝑂𝑈〗_𝑝𝑢𝑚𝑝)</a:t>
              </a:r>
              <a:endParaRPr lang="en-US" sz="1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28575</xdr:colOff>
      <xdr:row>34</xdr:row>
      <xdr:rowOff>11084</xdr:rowOff>
    </xdr:from>
    <xdr:ext cx="4564553" cy="172227"/>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8C569870-BBC1-4679-8100-119F54011B75}"/>
                </a:ext>
              </a:extLst>
            </xdr:cNvPr>
            <xdr:cNvSpPr txBox="1"/>
          </xdr:nvSpPr>
          <xdr:spPr>
            <a:xfrm>
              <a:off x="390525" y="11926859"/>
              <a:ext cx="4564553"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𝑈𝐸𝐹</m:t>
                        </m:r>
                      </m:e>
                      <m:sub>
                        <m:r>
                          <a:rPr lang="en-US" sz="1100" b="0" i="1">
                            <a:solidFill>
                              <a:sysClr val="windowText" lastClr="000000"/>
                            </a:solidFill>
                            <a:effectLst/>
                            <a:latin typeface="Cambria Math" panose="02040503050406030204" pitchFamily="18" charset="0"/>
                            <a:ea typeface="+mn-ea"/>
                            <a:cs typeface="+mn-cs"/>
                          </a:rPr>
                          <m:t>𝑏𝑎𝑠𝑒</m:t>
                        </m:r>
                      </m:sub>
                    </m:sSub>
                    <m:r>
                      <a:rPr lang="en-US" sz="1100" b="0" i="1">
                        <a:solidFill>
                          <a:sysClr val="windowText" lastClr="000000"/>
                        </a:solidFill>
                        <a:latin typeface="Cambria Math" panose="02040503050406030204" pitchFamily="18" charset="0"/>
                        <a:ea typeface="Cambria Math" panose="02040503050406030204" pitchFamily="18" charset="0"/>
                      </a:rPr>
                      <m:t>=2.0440−</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0.0011∗ </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𝑉</m:t>
                            </m:r>
                          </m:e>
                          <m:sub>
                            <m:r>
                              <a:rPr lang="en-US" sz="1100" b="0" i="1">
                                <a:solidFill>
                                  <a:sysClr val="windowText" lastClr="000000"/>
                                </a:solidFill>
                                <a:effectLst/>
                                <a:latin typeface="Cambria Math" panose="02040503050406030204" pitchFamily="18" charset="0"/>
                                <a:ea typeface="+mn-ea"/>
                                <a:cs typeface="+mn-cs"/>
                              </a:rPr>
                              <m:t>𝑏𝑎𝑠𝑒</m:t>
                            </m:r>
                          </m:sub>
                        </m:sSub>
                        <m:r>
                          <a:rPr lang="en-US" sz="1100" b="0" i="1">
                            <a:solidFill>
                              <a:sysClr val="windowText" lastClr="000000"/>
                            </a:solidFill>
                            <a:effectLst/>
                            <a:latin typeface="Cambria Math" panose="02040503050406030204" pitchFamily="18" charset="0"/>
                            <a:ea typeface="+mn-ea"/>
                            <a:cs typeface="+mn-cs"/>
                          </a:rPr>
                          <m:t> </m:t>
                        </m:r>
                      </m:e>
                    </m:d>
                    <m:r>
                      <a:rPr lang="en-US" sz="1100" b="0" i="1">
                        <a:solidFill>
                          <a:sysClr val="windowText" lastClr="000000"/>
                        </a:solidFill>
                        <a:effectLst/>
                        <a:latin typeface="Cambria Math" panose="02040503050406030204" pitchFamily="18" charset="0"/>
                        <a:ea typeface="+mn-ea"/>
                        <a:cs typeface="+mn-cs"/>
                      </a:rPr>
                      <m:t> </m:t>
                    </m:r>
                  </m:oMath>
                </m:oMathPara>
              </a14:m>
              <a:endParaRPr lang="en-US" sz="1100">
                <a:solidFill>
                  <a:sysClr val="windowText" lastClr="000000"/>
                </a:solidFill>
              </a:endParaRPr>
            </a:p>
          </xdr:txBody>
        </xdr:sp>
      </mc:Choice>
      <mc:Fallback xmlns="">
        <xdr:sp macro="" textlink="">
          <xdr:nvSpPr>
            <xdr:cNvPr id="14" name="TextBox 13">
              <a:extLst>
                <a:ext uri="{FF2B5EF4-FFF2-40B4-BE49-F238E27FC236}">
                  <a16:creationId xmlns:a16="http://schemas.microsoft.com/office/drawing/2014/main" id="{8C569870-BBC1-4679-8100-119F54011B75}"/>
                </a:ext>
              </a:extLst>
            </xdr:cNvPr>
            <xdr:cNvSpPr txBox="1"/>
          </xdr:nvSpPr>
          <xdr:spPr>
            <a:xfrm>
              <a:off x="390525" y="11926859"/>
              <a:ext cx="4564553"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〖𝑈𝐸𝐹〗_𝑏𝑎𝑠𝑒</a:t>
              </a:r>
              <a:r>
                <a:rPr lang="en-US" sz="1100" b="0" i="0">
                  <a:solidFill>
                    <a:sysClr val="windowText" lastClr="000000"/>
                  </a:solidFill>
                  <a:latin typeface="Cambria Math" panose="02040503050406030204" pitchFamily="18" charset="0"/>
                  <a:ea typeface="Cambria Math" panose="02040503050406030204" pitchFamily="18" charset="0"/>
                </a:rPr>
                <a:t>=2.0440−(0.0011∗ </a:t>
              </a:r>
              <a:r>
                <a:rPr lang="en-US" sz="1100" b="0" i="0">
                  <a:solidFill>
                    <a:sysClr val="windowText" lastClr="000000"/>
                  </a:solidFill>
                  <a:effectLst/>
                  <a:latin typeface="Cambria Math" panose="02040503050406030204" pitchFamily="18" charset="0"/>
                  <a:ea typeface="+mn-ea"/>
                  <a:cs typeface="+mn-cs"/>
                </a:rPr>
                <a:t>𝑉_𝑏𝑎𝑠𝑒  )  </a:t>
              </a:r>
              <a:endParaRPr lang="en-US" sz="1100">
                <a:solidFill>
                  <a:sysClr val="windowText" lastClr="000000"/>
                </a:solidFill>
              </a:endParaRPr>
            </a:p>
          </xdr:txBody>
        </xdr:sp>
      </mc:Fallback>
    </mc:AlternateContent>
    <xdr:clientData/>
  </xdr:oneCellAnchor>
</xdr:wsDr>
</file>

<file path=xl/drawings/drawing63.xml><?xml version="1.0" encoding="utf-8"?>
<xdr:wsDr xmlns:xdr="http://schemas.openxmlformats.org/drawingml/2006/spreadsheetDrawing" xmlns:a="http://schemas.openxmlformats.org/drawingml/2006/main">
  <xdr:oneCellAnchor>
    <xdr:from>
      <xdr:col>2</xdr:col>
      <xdr:colOff>38101</xdr:colOff>
      <xdr:row>35</xdr:row>
      <xdr:rowOff>9525</xdr:rowOff>
    </xdr:from>
    <xdr:ext cx="1943100" cy="1831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D157C804-4164-4A41-8FF8-631CF8B1A7C2}"/>
                </a:ext>
              </a:extLst>
            </xdr:cNvPr>
            <xdr:cNvSpPr txBox="1"/>
          </xdr:nvSpPr>
          <xdr:spPr>
            <a:xfrm>
              <a:off x="400051" y="8172450"/>
              <a:ext cx="19431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D157C804-4164-4A41-8FF8-631CF8B1A7C2}"/>
                </a:ext>
              </a:extLst>
            </xdr:cNvPr>
            <xdr:cNvSpPr txBox="1"/>
          </xdr:nvSpPr>
          <xdr:spPr>
            <a:xfrm>
              <a:off x="400051" y="8172450"/>
              <a:ext cx="19431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38100</xdr:colOff>
      <xdr:row>31</xdr:row>
      <xdr:rowOff>19050</xdr:rowOff>
    </xdr:from>
    <xdr:ext cx="1971675" cy="19652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BD2A9F6-4AC3-447B-B7A7-E6250FFD2307}"/>
                </a:ext>
              </a:extLst>
            </xdr:cNvPr>
            <xdr:cNvSpPr txBox="1"/>
          </xdr:nvSpPr>
          <xdr:spPr>
            <a:xfrm>
              <a:off x="400050" y="7610475"/>
              <a:ext cx="1971675" cy="196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𝑏𝑎𝑠𝑒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𝑜𝑝</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2BD2A9F6-4AC3-447B-B7A7-E6250FFD2307}"/>
                </a:ext>
              </a:extLst>
            </xdr:cNvPr>
            <xdr:cNvSpPr txBox="1"/>
          </xdr:nvSpPr>
          <xdr:spPr>
            <a:xfrm>
              <a:off x="400050" y="7610475"/>
              <a:ext cx="1971675" cy="196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𝐸</a:t>
              </a:r>
              <a:r>
                <a:rPr lang="en-US" sz="1100" b="0" i="0">
                  <a:solidFill>
                    <a:schemeClr val="tx1"/>
                  </a:solidFill>
                  <a:effectLst/>
                  <a:latin typeface="+mn-lt"/>
                  <a:ea typeface="+mn-ea"/>
                  <a:cs typeface="+mn-cs"/>
                </a:rPr>
                <a:t>_𝑏𝑎𝑠𝑒−</a:t>
              </a:r>
              <a:r>
                <a:rPr lang="en-US" sz="1100" b="0" i="0">
                  <a:solidFill>
                    <a:schemeClr val="tx1"/>
                  </a:solidFill>
                  <a:effectLst/>
                  <a:latin typeface="Cambria Math" panose="02040503050406030204" pitchFamily="18" charset="0"/>
                  <a:ea typeface="+mn-ea"/>
                  <a:cs typeface="+mn-cs"/>
                </a:rPr>
                <a:t>𝐸</a:t>
              </a:r>
              <a:r>
                <a:rPr lang="en-US" sz="1100" b="0" i="0">
                  <a:solidFill>
                    <a:schemeClr val="tx1"/>
                  </a:solidFill>
                  <a:effectLst/>
                  <a:latin typeface="+mn-lt"/>
                  <a:ea typeface="+mn-ea"/>
                  <a:cs typeface="+mn-cs"/>
                </a:rPr>
                <a:t>_𝑜𝑝 )∗𝑃𝐹</a:t>
              </a:r>
              <a:endParaRPr lang="en-US" sz="1100"/>
            </a:p>
          </xdr:txBody>
        </xdr:sp>
      </mc:Fallback>
    </mc:AlternateContent>
    <xdr:clientData/>
  </xdr:oneCellAnchor>
  <xdr:oneCellAnchor>
    <xdr:from>
      <xdr:col>2</xdr:col>
      <xdr:colOff>28575</xdr:colOff>
      <xdr:row>27</xdr:row>
      <xdr:rowOff>19050</xdr:rowOff>
    </xdr:from>
    <xdr:ext cx="1857375" cy="194412"/>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FE15ACB-EA6C-45D4-A20D-8C7544084B62}"/>
                </a:ext>
              </a:extLst>
            </xdr:cNvPr>
            <xdr:cNvSpPr txBox="1"/>
          </xdr:nvSpPr>
          <xdr:spPr>
            <a:xfrm>
              <a:off x="390525" y="6858000"/>
              <a:ext cx="1857375" cy="1944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𝑜𝑝</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1FE15ACB-EA6C-45D4-A20D-8C7544084B62}"/>
                </a:ext>
              </a:extLst>
            </xdr:cNvPr>
            <xdr:cNvSpPr txBox="1"/>
          </xdr:nvSpPr>
          <xdr:spPr>
            <a:xfrm>
              <a:off x="390525" y="6858000"/>
              <a:ext cx="1857375" cy="1944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a:t>
              </a:r>
              <a:r>
                <a:rPr lang="en-US" sz="1100" b="0" i="0">
                  <a:latin typeface="Cambria Math" panose="02040503050406030204" pitchFamily="18" charset="0"/>
                  <a:ea typeface="Cambria Math" panose="02040503050406030204" pitchFamily="18" charset="0"/>
                </a:rPr>
                <a:t>=(𝑃_𝑏𝑎𝑠𝑒−</a:t>
              </a:r>
              <a:r>
                <a:rPr lang="en-US" sz="1100" b="0" i="0">
                  <a:solidFill>
                    <a:schemeClr val="tx1"/>
                  </a:solidFill>
                  <a:effectLst/>
                  <a:latin typeface="+mn-lt"/>
                  <a:ea typeface="+mn-ea"/>
                  <a:cs typeface="+mn-cs"/>
                </a:rPr>
                <a:t>𝑃_</a:t>
              </a:r>
              <a:r>
                <a:rPr lang="en-US" sz="1100" b="0" i="0">
                  <a:solidFill>
                    <a:schemeClr val="tx1"/>
                  </a:solidFill>
                  <a:effectLst/>
                  <a:latin typeface="Cambria Math" panose="02040503050406030204" pitchFamily="18" charset="0"/>
                  <a:ea typeface="+mn-ea"/>
                  <a:cs typeface="+mn-cs"/>
                </a:rPr>
                <a:t>𝑜𝑝</a:t>
              </a:r>
              <a:r>
                <a:rPr lang="en-US" sz="1100" b="0" i="0">
                  <a:solidFill>
                    <a:schemeClr val="tx1"/>
                  </a:solidFill>
                  <a:effectLst/>
                  <a:latin typeface="Cambria Math" panose="02040503050406030204" pitchFamily="18" charset="0"/>
                  <a:ea typeface="Cambria Math" panose="02040503050406030204" pitchFamily="18" charset="0"/>
                  <a:cs typeface="+mn-cs"/>
                </a:rPr>
                <a:t>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wsDr>
</file>

<file path=xl/drawings/drawing64.xml><?xml version="1.0" encoding="utf-8"?>
<xdr:wsDr xmlns:xdr="http://schemas.openxmlformats.org/drawingml/2006/spreadsheetDrawing" xmlns:a="http://schemas.openxmlformats.org/drawingml/2006/main">
  <xdr:oneCellAnchor>
    <xdr:from>
      <xdr:col>2</xdr:col>
      <xdr:colOff>6350</xdr:colOff>
      <xdr:row>52</xdr:row>
      <xdr:rowOff>6351</xdr:rowOff>
    </xdr:from>
    <xdr:ext cx="3914775" cy="22224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BB959A5-FC7F-4A61-B2FC-243F670DB81A}"/>
                </a:ext>
              </a:extLst>
            </xdr:cNvPr>
            <xdr:cNvSpPr txBox="1"/>
          </xdr:nvSpPr>
          <xdr:spPr>
            <a:xfrm>
              <a:off x="368300" y="12017376"/>
              <a:ext cx="3914775" cy="222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𝑑𝑢𝑎𝑙</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𝐸𝑈𝐿</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2BB959A5-FC7F-4A61-B2FC-243F670DB81A}"/>
                </a:ext>
              </a:extLst>
            </xdr:cNvPr>
            <xdr:cNvSpPr txBox="1"/>
          </xdr:nvSpPr>
          <xdr:spPr>
            <a:xfrm>
              <a:off x="368300" y="12017376"/>
              <a:ext cx="3914775" cy="222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𝑘𝑊ℎ〗_𝑑𝑢𝑎𝑙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𝑘𝑊ℎ〗_2∗(𝐸𝑈𝐿−𝑅𝑈𝐿)</a:t>
              </a:r>
              <a:endParaRPr lang="en-US" sz="1100">
                <a:solidFill>
                  <a:sysClr val="windowText" lastClr="000000"/>
                </a:solidFill>
              </a:endParaRPr>
            </a:p>
          </xdr:txBody>
        </xdr:sp>
      </mc:Fallback>
    </mc:AlternateContent>
    <xdr:clientData/>
  </xdr:oneCellAnchor>
  <xdr:oneCellAnchor>
    <xdr:from>
      <xdr:col>2</xdr:col>
      <xdr:colOff>38100</xdr:colOff>
      <xdr:row>56</xdr:row>
      <xdr:rowOff>28574</xdr:rowOff>
    </xdr:from>
    <xdr:ext cx="3914775"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1E466D5-105B-4735-9882-D3F784825552}"/>
                </a:ext>
              </a:extLst>
            </xdr:cNvPr>
            <xdr:cNvSpPr txBox="1"/>
          </xdr:nvSpPr>
          <xdr:spPr>
            <a:xfrm>
              <a:off x="400050" y="12801599"/>
              <a:ext cx="39147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𝑠𝑖𝑛𝑔𝑙𝑒</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E1E466D5-105B-4735-9882-D3F784825552}"/>
                </a:ext>
              </a:extLst>
            </xdr:cNvPr>
            <xdr:cNvSpPr txBox="1"/>
          </xdr:nvSpPr>
          <xdr:spPr>
            <a:xfrm>
              <a:off x="400050" y="12801599"/>
              <a:ext cx="39147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𝑘𝑊ℎ〗_𝑠𝑖𝑛𝑔𝑙𝑒1</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𝑘𝑊ℎ〗_1∗𝐸𝑈𝐿</a:t>
              </a:r>
              <a:endParaRPr lang="en-US" sz="1100">
                <a:solidFill>
                  <a:sysClr val="windowText" lastClr="000000"/>
                </a:solidFill>
              </a:endParaRPr>
            </a:p>
          </xdr:txBody>
        </xdr:sp>
      </mc:Fallback>
    </mc:AlternateContent>
    <xdr:clientData/>
  </xdr:oneCellAnchor>
  <xdr:oneCellAnchor>
    <xdr:from>
      <xdr:col>2</xdr:col>
      <xdr:colOff>47625</xdr:colOff>
      <xdr:row>59</xdr:row>
      <xdr:rowOff>161925</xdr:rowOff>
    </xdr:from>
    <xdr:ext cx="3914775" cy="18332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EEFEED1E-325E-4631-8875-2230EEF27585}"/>
                </a:ext>
              </a:extLst>
            </xdr:cNvPr>
            <xdr:cNvSpPr txBox="1"/>
          </xdr:nvSpPr>
          <xdr:spPr>
            <a:xfrm>
              <a:off x="409575" y="13506450"/>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𝑠𝑖𝑛𝑔𝑙𝑒</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EEFEED1E-325E-4631-8875-2230EEF27585}"/>
                </a:ext>
              </a:extLst>
            </xdr:cNvPr>
            <xdr:cNvSpPr txBox="1"/>
          </xdr:nvSpPr>
          <xdr:spPr>
            <a:xfrm>
              <a:off x="409575" y="13506450"/>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𝑘𝑊ℎ〗_𝑠𝑖𝑛𝑔𝑙𝑒2</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𝑘𝑊ℎ〗_2∗𝐸𝑈𝐿</a:t>
              </a:r>
              <a:endParaRPr lang="en-US" sz="1100">
                <a:solidFill>
                  <a:sysClr val="windowText" lastClr="000000"/>
                </a:solidFill>
              </a:endParaRPr>
            </a:p>
          </xdr:txBody>
        </xdr:sp>
      </mc:Fallback>
    </mc:AlternateContent>
    <xdr:clientData/>
  </xdr:oneCellAnchor>
  <xdr:oneCellAnchor>
    <xdr:from>
      <xdr:col>2</xdr:col>
      <xdr:colOff>9525</xdr:colOff>
      <xdr:row>38</xdr:row>
      <xdr:rowOff>0</xdr:rowOff>
    </xdr:from>
    <xdr:ext cx="4600575" cy="52387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A261081-C68B-42F9-930A-C829BCC29FA6}"/>
                </a:ext>
              </a:extLst>
            </xdr:cNvPr>
            <xdr:cNvSpPr txBox="1"/>
          </xdr:nvSpPr>
          <xdr:spPr>
            <a:xfrm>
              <a:off x="371475" y="9344025"/>
              <a:ext cx="460057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𝐸𝐸</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𝑀𝑃𝐷</m:t>
                        </m:r>
                        <m:r>
                          <a:rPr lang="en-US" sz="1100" b="0" i="1">
                            <a:solidFill>
                              <a:sysClr val="windowText" lastClr="000000"/>
                            </a:solidFill>
                            <a:effectLst/>
                            <a:latin typeface="Cambria Math" panose="02040503050406030204" pitchFamily="18" charset="0"/>
                            <a:ea typeface="+mn-ea"/>
                            <a:cs typeface="+mn-cs"/>
                          </a:rPr>
                          <m:t>∗</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𝑃𝐻</m:t>
                            </m:r>
                          </m:num>
                          <m:den>
                            <m:r>
                              <a:rPr lang="en-US" sz="1100" b="0" i="1">
                                <a:solidFill>
                                  <a:sysClr val="windowText" lastClr="000000"/>
                                </a:solidFill>
                                <a:effectLst/>
                                <a:latin typeface="Cambria Math" panose="02040503050406030204" pitchFamily="18" charset="0"/>
                                <a:ea typeface="+mn-ea"/>
                                <a:cs typeface="+mn-cs"/>
                              </a:rPr>
                              <m:t>𝐹𝐻</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𝑚𝑖𝑥</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𝑖𝑛𝑙𝑒𝑡</m:t>
                                </m:r>
                              </m:sub>
                            </m:sSub>
                          </m:e>
                        </m:d>
                        <m:r>
                          <a:rPr lang="en-US" sz="1100" b="0" i="1">
                            <a:solidFill>
                              <a:sysClr val="windowText" lastClr="000000"/>
                            </a:solidFill>
                            <a:effectLst/>
                            <a:latin typeface="Cambria Math" panose="02040503050406030204" pitchFamily="18" charset="0"/>
                            <a:ea typeface="+mn-ea"/>
                            <a:cs typeface="+mn-cs"/>
                          </a:rPr>
                          <m:t>∗365∗</m:t>
                        </m:r>
                        <m:r>
                          <a:rPr lang="en-US" sz="1100" b="0" i="1">
                            <a:solidFill>
                              <a:sysClr val="windowText" lastClr="000000"/>
                            </a:solidFill>
                            <a:effectLst/>
                            <a:latin typeface="Cambria Math" panose="02040503050406030204" pitchFamily="18" charset="0"/>
                            <a:ea typeface="+mn-ea"/>
                            <a:cs typeface="+mn-cs"/>
                          </a:rPr>
                          <m:t>𝐼𝑆𝑅</m:t>
                        </m:r>
                      </m:num>
                      <m:den>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𝐸𝐹</m:t>
                            </m:r>
                            <m:r>
                              <a:rPr lang="en-US" sz="1100" b="0" i="1">
                                <a:solidFill>
                                  <a:sysClr val="windowText" lastClr="000000"/>
                                </a:solidFill>
                                <a:effectLst/>
                                <a:latin typeface="Cambria Math" panose="02040503050406030204" pitchFamily="18" charset="0"/>
                                <a:ea typeface="+mn-ea"/>
                                <a:cs typeface="+mn-cs"/>
                              </a:rPr>
                              <m:t>∗3412</m:t>
                            </m:r>
                          </m:e>
                        </m:d>
                      </m:den>
                    </m:f>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CA261081-C68B-42F9-930A-C829BCC29FA6}"/>
                </a:ext>
              </a:extLst>
            </xdr:cNvPr>
            <xdr:cNvSpPr txBox="1"/>
          </xdr:nvSpPr>
          <xdr:spPr>
            <a:xfrm>
              <a:off x="371475" y="9344025"/>
              <a:ext cx="460057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(〖𝑔𝑝𝑚〗_𝑏𝑎𝑠𝑒1−〖𝑔𝑝𝑚〗_𝐸𝐸 )∗𝑀𝑃𝐷∗𝑃𝐻/𝐹𝐻∗𝑆∗(𝑇_𝑚𝑖𝑥−𝑇_𝑖𝑛𝑙𝑒𝑡 )∗365∗𝐼𝑆𝑅</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(𝐸𝐹∗3412)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oneCellAnchor>
    <xdr:from>
      <xdr:col>2</xdr:col>
      <xdr:colOff>9525</xdr:colOff>
      <xdr:row>29</xdr:row>
      <xdr:rowOff>142876</xdr:rowOff>
    </xdr:from>
    <xdr:ext cx="1988237" cy="3238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30F5E8F-2AC4-4261-8F16-73B453FF3BC6}"/>
                </a:ext>
              </a:extLst>
            </xdr:cNvPr>
            <xdr:cNvSpPr txBox="1"/>
          </xdr:nvSpPr>
          <xdr:spPr>
            <a:xfrm>
              <a:off x="371475" y="7772401"/>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Sup>
                      <m:sSubSupPr>
                        <m:ctrlPr>
                          <a:rPr lang="en-US" sz="1100" b="0" i="1">
                            <a:solidFill>
                              <a:sysClr val="windowText" lastClr="000000"/>
                            </a:solidFill>
                            <a:latin typeface="Cambria Math" panose="02040503050406030204" pitchFamily="18" charset="0"/>
                            <a:ea typeface="Cambria Math" panose="02040503050406030204" pitchFamily="18" charset="0"/>
                          </a:rPr>
                        </m:ctrlPr>
                      </m:sSubSupPr>
                      <m:e>
                        <m:r>
                          <a:rPr lang="en-US" sz="1100" b="0" i="1">
                            <a:solidFill>
                              <a:sysClr val="windowText" lastClr="000000"/>
                            </a:solidFill>
                            <a:latin typeface="Cambria Math" panose="02040503050406030204" pitchFamily="18" charset="0"/>
                            <a:ea typeface="Cambria Math" panose="02040503050406030204" pitchFamily="18" charset="0"/>
                          </a:rPr>
                          <m:t>𝑅𝑎𝑡𝑖𝑜</m:t>
                        </m:r>
                      </m:e>
                      <m:sub>
                        <m:r>
                          <a:rPr lang="en-US" sz="1100" b="0" i="1">
                            <a:solidFill>
                              <a:sysClr val="windowText" lastClr="000000"/>
                            </a:solidFill>
                            <a:latin typeface="Cambria Math" panose="02040503050406030204" pitchFamily="18" charset="0"/>
                            <a:ea typeface="Cambria Math" panose="02040503050406030204" pitchFamily="18" charset="0"/>
                          </a:rPr>
                          <m:t>𝐴𝑛𝑛𝑢𝑎𝑙</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𝑘𝑊h</m:t>
                        </m:r>
                      </m:sub>
                      <m:sup>
                        <m:r>
                          <a:rPr lang="en-US" sz="1100" b="0" i="1">
                            <a:solidFill>
                              <a:sysClr val="windowText" lastClr="000000"/>
                            </a:solidFill>
                            <a:latin typeface="Cambria Math" panose="02040503050406030204" pitchFamily="18" charset="0"/>
                            <a:ea typeface="Cambria Math" panose="02040503050406030204" pitchFamily="18" charset="0"/>
                          </a:rPr>
                          <m:t>𝑃𝑒𝑎𝑘</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m:t>
                        </m:r>
                      </m:sup>
                    </m:sSubSup>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C30F5E8F-2AC4-4261-8F16-73B453FF3BC6}"/>
                </a:ext>
              </a:extLst>
            </xdr:cNvPr>
            <xdr:cNvSpPr txBox="1"/>
          </xdr:nvSpPr>
          <xdr:spPr>
            <a:xfrm>
              <a:off x="371475" y="7772401"/>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1∗〖𝑅𝑎𝑡𝑖𝑜〗_(𝐴𝑛𝑛𝑢𝑎𝑙 𝑘𝑊ℎ)^(𝑃𝑒𝑎𝑘 𝑘𝑊)</a:t>
              </a:r>
              <a:endParaRPr lang="en-US" sz="1100">
                <a:solidFill>
                  <a:sysClr val="windowText" lastClr="000000"/>
                </a:solidFill>
              </a:endParaRPr>
            </a:p>
          </xdr:txBody>
        </xdr:sp>
      </mc:Fallback>
    </mc:AlternateContent>
    <xdr:clientData/>
  </xdr:oneCellAnchor>
  <xdr:oneCellAnchor>
    <xdr:from>
      <xdr:col>2</xdr:col>
      <xdr:colOff>0</xdr:colOff>
      <xdr:row>33</xdr:row>
      <xdr:rowOff>142875</xdr:rowOff>
    </xdr:from>
    <xdr:ext cx="1988237" cy="32385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C13FEEBD-180B-4C8A-968B-1E03CCDA015B}"/>
                </a:ext>
              </a:extLst>
            </xdr:cNvPr>
            <xdr:cNvSpPr txBox="1"/>
          </xdr:nvSpPr>
          <xdr:spPr>
            <a:xfrm>
              <a:off x="361950" y="8534400"/>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Sup>
                      <m:sSubSupPr>
                        <m:ctrlPr>
                          <a:rPr lang="en-US" sz="1100" b="0" i="1">
                            <a:solidFill>
                              <a:sysClr val="windowText" lastClr="000000"/>
                            </a:solidFill>
                            <a:latin typeface="Cambria Math" panose="02040503050406030204" pitchFamily="18" charset="0"/>
                            <a:ea typeface="Cambria Math" panose="02040503050406030204" pitchFamily="18" charset="0"/>
                          </a:rPr>
                        </m:ctrlPr>
                      </m:sSubSupPr>
                      <m:e>
                        <m:r>
                          <a:rPr lang="en-US" sz="1100" b="0" i="1">
                            <a:solidFill>
                              <a:sysClr val="windowText" lastClr="000000"/>
                            </a:solidFill>
                            <a:latin typeface="Cambria Math" panose="02040503050406030204" pitchFamily="18" charset="0"/>
                            <a:ea typeface="Cambria Math" panose="02040503050406030204" pitchFamily="18" charset="0"/>
                          </a:rPr>
                          <m:t>𝑅𝑎𝑡𝑖𝑜</m:t>
                        </m:r>
                      </m:e>
                      <m:sub>
                        <m:r>
                          <a:rPr lang="en-US" sz="1100" b="0" i="1">
                            <a:solidFill>
                              <a:sysClr val="windowText" lastClr="000000"/>
                            </a:solidFill>
                            <a:latin typeface="Cambria Math" panose="02040503050406030204" pitchFamily="18" charset="0"/>
                            <a:ea typeface="Cambria Math" panose="02040503050406030204" pitchFamily="18" charset="0"/>
                          </a:rPr>
                          <m:t>𝐴𝑛𝑛𝑢𝑎𝑙</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𝑘𝑊h</m:t>
                        </m:r>
                      </m:sub>
                      <m:sup>
                        <m:r>
                          <a:rPr lang="en-US" sz="1100" b="0" i="1">
                            <a:solidFill>
                              <a:sysClr val="windowText" lastClr="000000"/>
                            </a:solidFill>
                            <a:latin typeface="Cambria Math" panose="02040503050406030204" pitchFamily="18" charset="0"/>
                            <a:ea typeface="Cambria Math" panose="02040503050406030204" pitchFamily="18" charset="0"/>
                          </a:rPr>
                          <m:t>𝑃𝑒𝑎𝑘</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m:t>
                        </m:r>
                      </m:sup>
                    </m:sSubSup>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C13FEEBD-180B-4C8A-968B-1E03CCDA015B}"/>
                </a:ext>
              </a:extLst>
            </xdr:cNvPr>
            <xdr:cNvSpPr txBox="1"/>
          </xdr:nvSpPr>
          <xdr:spPr>
            <a:xfrm>
              <a:off x="361950" y="8534400"/>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2∗〖𝑅𝑎𝑡𝑖𝑜〗_(𝐴𝑛𝑛𝑢𝑎𝑙 𝑘𝑊ℎ)^(𝑃𝑒𝑎𝑘 𝑘𝑊)</a:t>
              </a:r>
              <a:endParaRPr lang="en-US" sz="1100">
                <a:solidFill>
                  <a:sysClr val="windowText" lastClr="000000"/>
                </a:solidFill>
              </a:endParaRPr>
            </a:p>
          </xdr:txBody>
        </xdr:sp>
      </mc:Fallback>
    </mc:AlternateContent>
    <xdr:clientData/>
  </xdr:oneCellAnchor>
  <xdr:oneCellAnchor>
    <xdr:from>
      <xdr:col>2</xdr:col>
      <xdr:colOff>28575</xdr:colOff>
      <xdr:row>43</xdr:row>
      <xdr:rowOff>180975</xdr:rowOff>
    </xdr:from>
    <xdr:ext cx="4600575" cy="5238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1F435538-843D-4CFD-9982-C1E10572BD7C}"/>
                </a:ext>
              </a:extLst>
            </xdr:cNvPr>
            <xdr:cNvSpPr txBox="1"/>
          </xdr:nvSpPr>
          <xdr:spPr>
            <a:xfrm>
              <a:off x="390525" y="10477500"/>
              <a:ext cx="460057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𝐸𝐸</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𝑀𝑃𝐷</m:t>
                        </m:r>
                        <m:r>
                          <a:rPr lang="en-US" sz="1100" b="0" i="1">
                            <a:solidFill>
                              <a:sysClr val="windowText" lastClr="000000"/>
                            </a:solidFill>
                            <a:effectLst/>
                            <a:latin typeface="Cambria Math" panose="02040503050406030204" pitchFamily="18" charset="0"/>
                            <a:ea typeface="+mn-ea"/>
                            <a:cs typeface="+mn-cs"/>
                          </a:rPr>
                          <m:t>∗</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𝑃𝐻</m:t>
                            </m:r>
                          </m:num>
                          <m:den>
                            <m:r>
                              <a:rPr lang="en-US" sz="1100" b="0" i="1">
                                <a:solidFill>
                                  <a:sysClr val="windowText" lastClr="000000"/>
                                </a:solidFill>
                                <a:effectLst/>
                                <a:latin typeface="Cambria Math" panose="02040503050406030204" pitchFamily="18" charset="0"/>
                                <a:ea typeface="+mn-ea"/>
                                <a:cs typeface="+mn-cs"/>
                              </a:rPr>
                              <m:t>𝐹𝐻</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𝑚𝑖𝑥</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𝑖𝑛𝑙𝑒𝑡</m:t>
                                </m:r>
                              </m:sub>
                            </m:sSub>
                          </m:e>
                        </m:d>
                        <m:r>
                          <a:rPr lang="en-US" sz="1100" b="0" i="1">
                            <a:solidFill>
                              <a:sysClr val="windowText" lastClr="000000"/>
                            </a:solidFill>
                            <a:effectLst/>
                            <a:latin typeface="Cambria Math" panose="02040503050406030204" pitchFamily="18" charset="0"/>
                            <a:ea typeface="+mn-ea"/>
                            <a:cs typeface="+mn-cs"/>
                          </a:rPr>
                          <m:t>∗365∗</m:t>
                        </m:r>
                        <m:r>
                          <a:rPr lang="en-US" sz="1100" b="0" i="1">
                            <a:solidFill>
                              <a:sysClr val="windowText" lastClr="000000"/>
                            </a:solidFill>
                            <a:effectLst/>
                            <a:latin typeface="Cambria Math" panose="02040503050406030204" pitchFamily="18" charset="0"/>
                            <a:ea typeface="+mn-ea"/>
                            <a:cs typeface="+mn-cs"/>
                          </a:rPr>
                          <m:t>𝐼𝑆𝑅</m:t>
                        </m:r>
                      </m:num>
                      <m:den>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𝐸𝐹</m:t>
                            </m:r>
                            <m:r>
                              <a:rPr lang="en-US" sz="1100" b="0" i="1">
                                <a:solidFill>
                                  <a:sysClr val="windowText" lastClr="000000"/>
                                </a:solidFill>
                                <a:effectLst/>
                                <a:latin typeface="Cambria Math" panose="02040503050406030204" pitchFamily="18" charset="0"/>
                                <a:ea typeface="+mn-ea"/>
                                <a:cs typeface="+mn-cs"/>
                              </a:rPr>
                              <m:t>∗3412</m:t>
                            </m:r>
                          </m:e>
                        </m:d>
                      </m:den>
                    </m:f>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1F435538-843D-4CFD-9982-C1E10572BD7C}"/>
                </a:ext>
              </a:extLst>
            </xdr:cNvPr>
            <xdr:cNvSpPr txBox="1"/>
          </xdr:nvSpPr>
          <xdr:spPr>
            <a:xfrm>
              <a:off x="390525" y="10477500"/>
              <a:ext cx="460057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(〖𝑔𝑝𝑚〗_𝑏𝑎𝑠𝑒2−〖𝑔𝑝𝑚〗_𝐸𝐸 )∗𝑀𝑃𝐷∗𝑃𝐻/𝐹𝐻∗𝑆∗(𝑇_𝑚𝑖𝑥−𝑇_𝑖𝑛𝑙𝑒𝑡 )∗365∗𝐼𝑆𝑅</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(𝐸𝐹∗3412)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wsDr>
</file>

<file path=xl/drawings/drawing65.xml><?xml version="1.0" encoding="utf-8"?>
<xdr:wsDr xmlns:xdr="http://schemas.openxmlformats.org/drawingml/2006/spreadsheetDrawing" xmlns:a="http://schemas.openxmlformats.org/drawingml/2006/main">
  <xdr:oneCellAnchor>
    <xdr:from>
      <xdr:col>2</xdr:col>
      <xdr:colOff>6350</xdr:colOff>
      <xdr:row>52</xdr:row>
      <xdr:rowOff>6351</xdr:rowOff>
    </xdr:from>
    <xdr:ext cx="3914775" cy="22224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10ACCF0F-5C6C-4A3A-9C33-F78EB12DAE0D}"/>
                </a:ext>
              </a:extLst>
            </xdr:cNvPr>
            <xdr:cNvSpPr txBox="1"/>
          </xdr:nvSpPr>
          <xdr:spPr>
            <a:xfrm>
              <a:off x="368300" y="11626851"/>
              <a:ext cx="3914775" cy="222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𝑑𝑢𝑎𝑙</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𝐸𝑈𝐿</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10ACCF0F-5C6C-4A3A-9C33-F78EB12DAE0D}"/>
                </a:ext>
              </a:extLst>
            </xdr:cNvPr>
            <xdr:cNvSpPr txBox="1"/>
          </xdr:nvSpPr>
          <xdr:spPr>
            <a:xfrm>
              <a:off x="368300" y="11626851"/>
              <a:ext cx="3914775" cy="222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𝑘𝑊ℎ〗_𝑑𝑢𝑎𝑙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𝑘𝑊ℎ〗_2∗(𝐸𝑈𝐿−𝑅𝑈𝐿)</a:t>
              </a:r>
              <a:endParaRPr lang="en-US" sz="1100">
                <a:solidFill>
                  <a:sysClr val="windowText" lastClr="000000"/>
                </a:solidFill>
              </a:endParaRPr>
            </a:p>
          </xdr:txBody>
        </xdr:sp>
      </mc:Fallback>
    </mc:AlternateContent>
    <xdr:clientData/>
  </xdr:oneCellAnchor>
  <xdr:oneCellAnchor>
    <xdr:from>
      <xdr:col>2</xdr:col>
      <xdr:colOff>38100</xdr:colOff>
      <xdr:row>56</xdr:row>
      <xdr:rowOff>28574</xdr:rowOff>
    </xdr:from>
    <xdr:ext cx="3914775"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90AFF52A-116A-4DFC-AF90-47C5B38D6CDF}"/>
                </a:ext>
              </a:extLst>
            </xdr:cNvPr>
            <xdr:cNvSpPr txBox="1"/>
          </xdr:nvSpPr>
          <xdr:spPr>
            <a:xfrm>
              <a:off x="400050" y="12411074"/>
              <a:ext cx="39147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𝑠𝑖𝑛𝑔𝑙𝑒</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90AFF52A-116A-4DFC-AF90-47C5B38D6CDF}"/>
                </a:ext>
              </a:extLst>
            </xdr:cNvPr>
            <xdr:cNvSpPr txBox="1"/>
          </xdr:nvSpPr>
          <xdr:spPr>
            <a:xfrm>
              <a:off x="400050" y="12411074"/>
              <a:ext cx="39147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𝑘𝑊ℎ〗_𝑠𝑖𝑛𝑔𝑙𝑒1</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𝑘𝑊ℎ〗_1∗𝐸𝑈𝐿</a:t>
              </a:r>
              <a:endParaRPr lang="en-US" sz="1100">
                <a:solidFill>
                  <a:sysClr val="windowText" lastClr="000000"/>
                </a:solidFill>
              </a:endParaRPr>
            </a:p>
          </xdr:txBody>
        </xdr:sp>
      </mc:Fallback>
    </mc:AlternateContent>
    <xdr:clientData/>
  </xdr:oneCellAnchor>
  <xdr:oneCellAnchor>
    <xdr:from>
      <xdr:col>2</xdr:col>
      <xdr:colOff>47625</xdr:colOff>
      <xdr:row>59</xdr:row>
      <xdr:rowOff>161925</xdr:rowOff>
    </xdr:from>
    <xdr:ext cx="3914775" cy="18332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55DAA0CD-D569-4F5E-A05B-EAAB6E2C6945}"/>
                </a:ext>
              </a:extLst>
            </xdr:cNvPr>
            <xdr:cNvSpPr txBox="1"/>
          </xdr:nvSpPr>
          <xdr:spPr>
            <a:xfrm>
              <a:off x="409575" y="13115925"/>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𝑠𝑖𝑛𝑔𝑙𝑒</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55DAA0CD-D569-4F5E-A05B-EAAB6E2C6945}"/>
                </a:ext>
              </a:extLst>
            </xdr:cNvPr>
            <xdr:cNvSpPr txBox="1"/>
          </xdr:nvSpPr>
          <xdr:spPr>
            <a:xfrm>
              <a:off x="409575" y="13115925"/>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𝑘𝑊ℎ〗_𝑠𝑖𝑛𝑔𝑙𝑒2</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𝑘𝑊ℎ〗_2∗𝐸𝑈𝐿</a:t>
              </a:r>
              <a:endParaRPr lang="en-US" sz="1100">
                <a:solidFill>
                  <a:sysClr val="windowText" lastClr="000000"/>
                </a:solidFill>
              </a:endParaRPr>
            </a:p>
          </xdr:txBody>
        </xdr:sp>
      </mc:Fallback>
    </mc:AlternateContent>
    <xdr:clientData/>
  </xdr:oneCellAnchor>
  <xdr:oneCellAnchor>
    <xdr:from>
      <xdr:col>2</xdr:col>
      <xdr:colOff>9525</xdr:colOff>
      <xdr:row>38</xdr:row>
      <xdr:rowOff>0</xdr:rowOff>
    </xdr:from>
    <xdr:ext cx="5048250" cy="52387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53202D6-2738-459E-A93E-CE98B099388A}"/>
                </a:ext>
              </a:extLst>
            </xdr:cNvPr>
            <xdr:cNvSpPr txBox="1"/>
          </xdr:nvSpPr>
          <xdr:spPr>
            <a:xfrm>
              <a:off x="371475" y="8953500"/>
              <a:ext cx="5048250"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𝐸𝐸</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𝑀𝑃𝑆</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𝑆𝑃𝐷</m:t>
                        </m:r>
                        <m:r>
                          <a:rPr lang="en-US" sz="1100" b="0" i="1">
                            <a:solidFill>
                              <a:sysClr val="windowText" lastClr="000000"/>
                            </a:solidFill>
                            <a:effectLst/>
                            <a:latin typeface="Cambria Math" panose="02040503050406030204" pitchFamily="18" charset="0"/>
                            <a:ea typeface="+mn-ea"/>
                            <a:cs typeface="+mn-cs"/>
                          </a:rPr>
                          <m:t>∗</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𝑃𝐻</m:t>
                            </m:r>
                          </m:num>
                          <m:den>
                            <m:r>
                              <a:rPr lang="en-US" sz="1100" b="0" i="1">
                                <a:solidFill>
                                  <a:sysClr val="windowText" lastClr="000000"/>
                                </a:solidFill>
                                <a:effectLst/>
                                <a:latin typeface="Cambria Math" panose="02040503050406030204" pitchFamily="18" charset="0"/>
                                <a:ea typeface="+mn-ea"/>
                                <a:cs typeface="+mn-cs"/>
                              </a:rPr>
                              <m:t>𝐹𝐻</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𝑚𝑖𝑥</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𝑖𝑛𝑙𝑒𝑡</m:t>
                                </m:r>
                              </m:sub>
                            </m:sSub>
                          </m:e>
                        </m:d>
                        <m:r>
                          <a:rPr lang="en-US" sz="1100" b="0" i="1">
                            <a:solidFill>
                              <a:sysClr val="windowText" lastClr="000000"/>
                            </a:solidFill>
                            <a:effectLst/>
                            <a:latin typeface="Cambria Math" panose="02040503050406030204" pitchFamily="18" charset="0"/>
                            <a:ea typeface="+mn-ea"/>
                            <a:cs typeface="+mn-cs"/>
                          </a:rPr>
                          <m:t>∗365∗</m:t>
                        </m:r>
                        <m:r>
                          <a:rPr lang="en-US" sz="1100" b="0" i="1">
                            <a:solidFill>
                              <a:sysClr val="windowText" lastClr="000000"/>
                            </a:solidFill>
                            <a:effectLst/>
                            <a:latin typeface="Cambria Math" panose="02040503050406030204" pitchFamily="18" charset="0"/>
                            <a:ea typeface="+mn-ea"/>
                            <a:cs typeface="+mn-cs"/>
                          </a:rPr>
                          <m:t>𝐼𝑆𝑅</m:t>
                        </m:r>
                      </m:num>
                      <m:den>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𝐸𝐹</m:t>
                            </m:r>
                            <m:r>
                              <a:rPr lang="en-US" sz="1100" b="0" i="1">
                                <a:solidFill>
                                  <a:sysClr val="windowText" lastClr="000000"/>
                                </a:solidFill>
                                <a:effectLst/>
                                <a:latin typeface="Cambria Math" panose="02040503050406030204" pitchFamily="18" charset="0"/>
                                <a:ea typeface="+mn-ea"/>
                                <a:cs typeface="+mn-cs"/>
                              </a:rPr>
                              <m:t>∗3412</m:t>
                            </m:r>
                          </m:e>
                        </m:d>
                      </m:den>
                    </m:f>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553202D6-2738-459E-A93E-CE98B099388A}"/>
                </a:ext>
              </a:extLst>
            </xdr:cNvPr>
            <xdr:cNvSpPr txBox="1"/>
          </xdr:nvSpPr>
          <xdr:spPr>
            <a:xfrm>
              <a:off x="371475" y="8953500"/>
              <a:ext cx="5048250"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(〖𝑔𝑝𝑚〗_𝑏𝑎𝑠𝑒1−〖𝑔𝑝𝑚〗_𝐸𝐸 )∗𝑀𝑃𝑆∗𝑆𝑃𝐷∗𝑃𝐻/𝐹𝐻∗𝑆∗(𝑇_𝑚𝑖𝑥−𝑇_𝑖𝑛𝑙𝑒𝑡 )∗365∗𝐼𝑆𝑅</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(𝐸𝐹∗3412)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oneCellAnchor>
    <xdr:from>
      <xdr:col>2</xdr:col>
      <xdr:colOff>9525</xdr:colOff>
      <xdr:row>29</xdr:row>
      <xdr:rowOff>142876</xdr:rowOff>
    </xdr:from>
    <xdr:ext cx="1988237" cy="3238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106C1E5-1631-426E-9483-60F96625E60E}"/>
                </a:ext>
              </a:extLst>
            </xdr:cNvPr>
            <xdr:cNvSpPr txBox="1"/>
          </xdr:nvSpPr>
          <xdr:spPr>
            <a:xfrm>
              <a:off x="371475" y="7381876"/>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Sup>
                      <m:sSubSupPr>
                        <m:ctrlPr>
                          <a:rPr lang="en-US" sz="1100" b="0" i="1">
                            <a:solidFill>
                              <a:sysClr val="windowText" lastClr="000000"/>
                            </a:solidFill>
                            <a:latin typeface="Cambria Math" panose="02040503050406030204" pitchFamily="18" charset="0"/>
                            <a:ea typeface="Cambria Math" panose="02040503050406030204" pitchFamily="18" charset="0"/>
                          </a:rPr>
                        </m:ctrlPr>
                      </m:sSubSupPr>
                      <m:e>
                        <m:r>
                          <a:rPr lang="en-US" sz="1100" b="0" i="1">
                            <a:solidFill>
                              <a:sysClr val="windowText" lastClr="000000"/>
                            </a:solidFill>
                            <a:latin typeface="Cambria Math" panose="02040503050406030204" pitchFamily="18" charset="0"/>
                            <a:ea typeface="Cambria Math" panose="02040503050406030204" pitchFamily="18" charset="0"/>
                          </a:rPr>
                          <m:t>𝑅𝑎𝑡𝑖𝑜</m:t>
                        </m:r>
                      </m:e>
                      <m:sub>
                        <m:r>
                          <a:rPr lang="en-US" sz="1100" b="0" i="1">
                            <a:solidFill>
                              <a:sysClr val="windowText" lastClr="000000"/>
                            </a:solidFill>
                            <a:latin typeface="Cambria Math" panose="02040503050406030204" pitchFamily="18" charset="0"/>
                            <a:ea typeface="Cambria Math" panose="02040503050406030204" pitchFamily="18" charset="0"/>
                          </a:rPr>
                          <m:t>𝐴𝑛𝑛𝑢𝑎𝑙</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𝑘𝑊h</m:t>
                        </m:r>
                      </m:sub>
                      <m:sup>
                        <m:r>
                          <a:rPr lang="en-US" sz="1100" b="0" i="1">
                            <a:solidFill>
                              <a:sysClr val="windowText" lastClr="000000"/>
                            </a:solidFill>
                            <a:latin typeface="Cambria Math" panose="02040503050406030204" pitchFamily="18" charset="0"/>
                            <a:ea typeface="Cambria Math" panose="02040503050406030204" pitchFamily="18" charset="0"/>
                          </a:rPr>
                          <m:t>𝑃𝑒𝑎𝑘</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m:t>
                        </m:r>
                      </m:sup>
                    </m:sSubSup>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4106C1E5-1631-426E-9483-60F96625E60E}"/>
                </a:ext>
              </a:extLst>
            </xdr:cNvPr>
            <xdr:cNvSpPr txBox="1"/>
          </xdr:nvSpPr>
          <xdr:spPr>
            <a:xfrm>
              <a:off x="371475" y="7381876"/>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1∗〖𝑅𝑎𝑡𝑖𝑜〗_(𝐴𝑛𝑛𝑢𝑎𝑙 𝑘𝑊ℎ)^(𝑃𝑒𝑎𝑘 𝑘𝑊)</a:t>
              </a:r>
              <a:endParaRPr lang="en-US" sz="1100">
                <a:solidFill>
                  <a:sysClr val="windowText" lastClr="000000"/>
                </a:solidFill>
              </a:endParaRPr>
            </a:p>
          </xdr:txBody>
        </xdr:sp>
      </mc:Fallback>
    </mc:AlternateContent>
    <xdr:clientData/>
  </xdr:oneCellAnchor>
  <xdr:oneCellAnchor>
    <xdr:from>
      <xdr:col>2</xdr:col>
      <xdr:colOff>0</xdr:colOff>
      <xdr:row>33</xdr:row>
      <xdr:rowOff>142875</xdr:rowOff>
    </xdr:from>
    <xdr:ext cx="1988237" cy="32385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7798D71D-ACFE-4998-93B7-1D800ADF52E4}"/>
                </a:ext>
              </a:extLst>
            </xdr:cNvPr>
            <xdr:cNvSpPr txBox="1"/>
          </xdr:nvSpPr>
          <xdr:spPr>
            <a:xfrm>
              <a:off x="361950" y="8143875"/>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Sup>
                      <m:sSubSupPr>
                        <m:ctrlPr>
                          <a:rPr lang="en-US" sz="1100" b="0" i="1">
                            <a:solidFill>
                              <a:sysClr val="windowText" lastClr="000000"/>
                            </a:solidFill>
                            <a:latin typeface="Cambria Math" panose="02040503050406030204" pitchFamily="18" charset="0"/>
                            <a:ea typeface="Cambria Math" panose="02040503050406030204" pitchFamily="18" charset="0"/>
                          </a:rPr>
                        </m:ctrlPr>
                      </m:sSubSupPr>
                      <m:e>
                        <m:r>
                          <a:rPr lang="en-US" sz="1100" b="0" i="1">
                            <a:solidFill>
                              <a:sysClr val="windowText" lastClr="000000"/>
                            </a:solidFill>
                            <a:latin typeface="Cambria Math" panose="02040503050406030204" pitchFamily="18" charset="0"/>
                            <a:ea typeface="Cambria Math" panose="02040503050406030204" pitchFamily="18" charset="0"/>
                          </a:rPr>
                          <m:t>𝑅𝑎𝑡𝑖𝑜</m:t>
                        </m:r>
                      </m:e>
                      <m:sub>
                        <m:r>
                          <a:rPr lang="en-US" sz="1100" b="0" i="1">
                            <a:solidFill>
                              <a:sysClr val="windowText" lastClr="000000"/>
                            </a:solidFill>
                            <a:latin typeface="Cambria Math" panose="02040503050406030204" pitchFamily="18" charset="0"/>
                            <a:ea typeface="Cambria Math" panose="02040503050406030204" pitchFamily="18" charset="0"/>
                          </a:rPr>
                          <m:t>𝐴𝑛𝑛𝑢𝑎𝑙</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𝑘𝑊h</m:t>
                        </m:r>
                      </m:sub>
                      <m:sup>
                        <m:r>
                          <a:rPr lang="en-US" sz="1100" b="0" i="1">
                            <a:solidFill>
                              <a:sysClr val="windowText" lastClr="000000"/>
                            </a:solidFill>
                            <a:latin typeface="Cambria Math" panose="02040503050406030204" pitchFamily="18" charset="0"/>
                            <a:ea typeface="Cambria Math" panose="02040503050406030204" pitchFamily="18" charset="0"/>
                          </a:rPr>
                          <m:t>𝑃𝑒𝑎𝑘</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m:t>
                        </m:r>
                      </m:sup>
                    </m:sSubSup>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7798D71D-ACFE-4998-93B7-1D800ADF52E4}"/>
                </a:ext>
              </a:extLst>
            </xdr:cNvPr>
            <xdr:cNvSpPr txBox="1"/>
          </xdr:nvSpPr>
          <xdr:spPr>
            <a:xfrm>
              <a:off x="361950" y="8143875"/>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2∗〖𝑅𝑎𝑡𝑖𝑜〗_(𝐴𝑛𝑛𝑢𝑎𝑙 𝑘𝑊ℎ)^(𝑃𝑒𝑎𝑘 𝑘𝑊)</a:t>
              </a:r>
              <a:endParaRPr lang="en-US" sz="1100">
                <a:solidFill>
                  <a:sysClr val="windowText" lastClr="000000"/>
                </a:solidFill>
              </a:endParaRPr>
            </a:p>
          </xdr:txBody>
        </xdr:sp>
      </mc:Fallback>
    </mc:AlternateContent>
    <xdr:clientData/>
  </xdr:oneCellAnchor>
  <xdr:oneCellAnchor>
    <xdr:from>
      <xdr:col>2</xdr:col>
      <xdr:colOff>28575</xdr:colOff>
      <xdr:row>43</xdr:row>
      <xdr:rowOff>180975</xdr:rowOff>
    </xdr:from>
    <xdr:ext cx="5000625" cy="5238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9D16EC93-784E-4DFD-A6A2-CB00D0C0D605}"/>
                </a:ext>
              </a:extLst>
            </xdr:cNvPr>
            <xdr:cNvSpPr txBox="1"/>
          </xdr:nvSpPr>
          <xdr:spPr>
            <a:xfrm>
              <a:off x="390525" y="10086975"/>
              <a:ext cx="500062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𝐸𝐸</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𝑀𝑃𝑆</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𝑆𝑃𝐷</m:t>
                        </m:r>
                        <m:r>
                          <a:rPr lang="en-US" sz="1100" b="0" i="1">
                            <a:solidFill>
                              <a:sysClr val="windowText" lastClr="000000"/>
                            </a:solidFill>
                            <a:effectLst/>
                            <a:latin typeface="Cambria Math" panose="02040503050406030204" pitchFamily="18" charset="0"/>
                            <a:ea typeface="+mn-ea"/>
                            <a:cs typeface="+mn-cs"/>
                          </a:rPr>
                          <m:t>∗</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𝑃𝐻</m:t>
                            </m:r>
                          </m:num>
                          <m:den>
                            <m:r>
                              <a:rPr lang="en-US" sz="1100" b="0" i="1">
                                <a:solidFill>
                                  <a:sysClr val="windowText" lastClr="000000"/>
                                </a:solidFill>
                                <a:effectLst/>
                                <a:latin typeface="Cambria Math" panose="02040503050406030204" pitchFamily="18" charset="0"/>
                                <a:ea typeface="+mn-ea"/>
                                <a:cs typeface="+mn-cs"/>
                              </a:rPr>
                              <m:t>𝐹𝐻</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𝑚𝑖𝑥</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𝑖𝑛𝑙𝑒𝑡</m:t>
                                </m:r>
                              </m:sub>
                            </m:sSub>
                          </m:e>
                        </m:d>
                        <m:r>
                          <a:rPr lang="en-US" sz="1100" b="0" i="1">
                            <a:solidFill>
                              <a:sysClr val="windowText" lastClr="000000"/>
                            </a:solidFill>
                            <a:effectLst/>
                            <a:latin typeface="Cambria Math" panose="02040503050406030204" pitchFamily="18" charset="0"/>
                            <a:ea typeface="+mn-ea"/>
                            <a:cs typeface="+mn-cs"/>
                          </a:rPr>
                          <m:t>∗365∗</m:t>
                        </m:r>
                        <m:r>
                          <a:rPr lang="en-US" sz="1100" b="0" i="1">
                            <a:solidFill>
                              <a:sysClr val="windowText" lastClr="000000"/>
                            </a:solidFill>
                            <a:effectLst/>
                            <a:latin typeface="Cambria Math" panose="02040503050406030204" pitchFamily="18" charset="0"/>
                            <a:ea typeface="+mn-ea"/>
                            <a:cs typeface="+mn-cs"/>
                          </a:rPr>
                          <m:t>𝐼𝑆𝑅</m:t>
                        </m:r>
                      </m:num>
                      <m:den>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𝐸𝐹</m:t>
                            </m:r>
                            <m:r>
                              <a:rPr lang="en-US" sz="1100" b="0" i="1">
                                <a:solidFill>
                                  <a:sysClr val="windowText" lastClr="000000"/>
                                </a:solidFill>
                                <a:effectLst/>
                                <a:latin typeface="Cambria Math" panose="02040503050406030204" pitchFamily="18" charset="0"/>
                                <a:ea typeface="+mn-ea"/>
                                <a:cs typeface="+mn-cs"/>
                              </a:rPr>
                              <m:t>∗3412</m:t>
                            </m:r>
                          </m:e>
                        </m:d>
                      </m:den>
                    </m:f>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9D16EC93-784E-4DFD-A6A2-CB00D0C0D605}"/>
                </a:ext>
              </a:extLst>
            </xdr:cNvPr>
            <xdr:cNvSpPr txBox="1"/>
          </xdr:nvSpPr>
          <xdr:spPr>
            <a:xfrm>
              <a:off x="390525" y="10086975"/>
              <a:ext cx="500062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(〖𝑔𝑝𝑚〗_𝑏𝑎𝑠𝑒2−〖𝑔𝑝𝑚〗_𝐸𝐸 )∗𝑀𝑃𝑆∗𝑆𝑃𝐷∗𝑃𝐻/𝐹𝐻∗𝑆∗(𝑇_𝑚𝑖𝑥−𝑇_𝑖𝑛𝑙𝑒𝑡 )∗365∗𝐼𝑆𝑅</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(𝐸𝐹∗3412)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wsDr>
</file>

<file path=xl/drawings/drawing66.xml><?xml version="1.0" encoding="utf-8"?>
<xdr:wsDr xmlns:xdr="http://schemas.openxmlformats.org/drawingml/2006/spreadsheetDrawing" xmlns:a="http://schemas.openxmlformats.org/drawingml/2006/main">
  <xdr:twoCellAnchor editAs="oneCell">
    <xdr:from>
      <xdr:col>11</xdr:col>
      <xdr:colOff>28575</xdr:colOff>
      <xdr:row>96</xdr:row>
      <xdr:rowOff>85725</xdr:rowOff>
    </xdr:from>
    <xdr:to>
      <xdr:col>19</xdr:col>
      <xdr:colOff>142875</xdr:colOff>
      <xdr:row>114</xdr:row>
      <xdr:rowOff>85725</xdr:rowOff>
    </xdr:to>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xfrm>
          <a:off x="2019300" y="19030950"/>
          <a:ext cx="5800725" cy="3495675"/>
        </a:xfrm>
        <a:prstGeom prst="rect">
          <a:avLst/>
        </a:prstGeom>
      </xdr:spPr>
    </xdr:pic>
    <xdr:clientData/>
  </xdr:twoCellAnchor>
  <xdr:twoCellAnchor editAs="oneCell">
    <xdr:from>
      <xdr:col>11</xdr:col>
      <xdr:colOff>47625</xdr:colOff>
      <xdr:row>79</xdr:row>
      <xdr:rowOff>19050</xdr:rowOff>
    </xdr:from>
    <xdr:to>
      <xdr:col>18</xdr:col>
      <xdr:colOff>57150</xdr:colOff>
      <xdr:row>88</xdr:row>
      <xdr:rowOff>114300</xdr:rowOff>
    </xdr:to>
    <xdr:pic>
      <xdr:nvPicPr>
        <xdr:cNvPr id="3" name="Picture 2">
          <a:extLst>
            <a:ext uri="{FF2B5EF4-FFF2-40B4-BE49-F238E27FC236}">
              <a16:creationId xmlns:a16="http://schemas.microsoft.com/office/drawing/2014/main" id="{00000000-0008-0000-4F00-000003000000}"/>
            </a:ext>
          </a:extLst>
        </xdr:cNvPr>
        <xdr:cNvPicPr/>
      </xdr:nvPicPr>
      <xdr:blipFill>
        <a:blip xmlns:r="http://schemas.openxmlformats.org/officeDocument/2006/relationships" r:embed="rId2"/>
        <a:stretch>
          <a:fillRect/>
        </a:stretch>
      </xdr:blipFill>
      <xdr:spPr>
        <a:xfrm>
          <a:off x="2038350" y="15268575"/>
          <a:ext cx="5514975" cy="2324100"/>
        </a:xfrm>
        <a:prstGeom prst="rect">
          <a:avLst/>
        </a:prstGeom>
      </xdr:spPr>
    </xdr:pic>
    <xdr:clientData/>
  </xdr:twoCellAnchor>
  <xdr:twoCellAnchor editAs="oneCell">
    <xdr:from>
      <xdr:col>10</xdr:col>
      <xdr:colOff>76200</xdr:colOff>
      <xdr:row>63</xdr:row>
      <xdr:rowOff>66675</xdr:rowOff>
    </xdr:from>
    <xdr:to>
      <xdr:col>18</xdr:col>
      <xdr:colOff>133350</xdr:colOff>
      <xdr:row>70</xdr:row>
      <xdr:rowOff>142875</xdr:rowOff>
    </xdr:to>
    <xdr:pic>
      <xdr:nvPicPr>
        <xdr:cNvPr id="5" name="Picture 4">
          <a:extLst>
            <a:ext uri="{FF2B5EF4-FFF2-40B4-BE49-F238E27FC236}">
              <a16:creationId xmlns:a16="http://schemas.microsoft.com/office/drawing/2014/main" id="{00000000-0008-0000-4F00-000005000000}"/>
            </a:ext>
          </a:extLst>
        </xdr:cNvPr>
        <xdr:cNvPicPr/>
      </xdr:nvPicPr>
      <xdr:blipFill>
        <a:blip xmlns:r="http://schemas.openxmlformats.org/officeDocument/2006/relationships" r:embed="rId3"/>
        <a:stretch>
          <a:fillRect/>
        </a:stretch>
      </xdr:blipFill>
      <xdr:spPr>
        <a:xfrm>
          <a:off x="1885950" y="11982450"/>
          <a:ext cx="6353175" cy="17145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52</xdr:row>
      <xdr:rowOff>0</xdr:rowOff>
    </xdr:from>
    <xdr:to>
      <xdr:col>31</xdr:col>
      <xdr:colOff>0</xdr:colOff>
      <xdr:row>56</xdr:row>
      <xdr:rowOff>7620</xdr:rowOff>
    </xdr:to>
    <xdr:pic>
      <xdr:nvPicPr>
        <xdr:cNvPr id="2" name="Picture 21">
          <a:extLst>
            <a:ext uri="{FF2B5EF4-FFF2-40B4-BE49-F238E27FC236}">
              <a16:creationId xmlns:a16="http://schemas.microsoft.com/office/drawing/2014/main" id="{00000000-0008-0000-5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 y="13289280"/>
          <a:ext cx="5760720" cy="739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59</xdr:row>
      <xdr:rowOff>0</xdr:rowOff>
    </xdr:from>
    <xdr:to>
      <xdr:col>31</xdr:col>
      <xdr:colOff>0</xdr:colOff>
      <xdr:row>63</xdr:row>
      <xdr:rowOff>0</xdr:rowOff>
    </xdr:to>
    <xdr:pic>
      <xdr:nvPicPr>
        <xdr:cNvPr id="3" name="Picture 26">
          <a:extLst>
            <a:ext uri="{FF2B5EF4-FFF2-40B4-BE49-F238E27FC236}">
              <a16:creationId xmlns:a16="http://schemas.microsoft.com/office/drawing/2014/main" id="{00000000-0008-0000-5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16215360"/>
          <a:ext cx="576072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66</xdr:row>
      <xdr:rowOff>0</xdr:rowOff>
    </xdr:from>
    <xdr:to>
      <xdr:col>31</xdr:col>
      <xdr:colOff>0</xdr:colOff>
      <xdr:row>69</xdr:row>
      <xdr:rowOff>0</xdr:rowOff>
    </xdr:to>
    <xdr:pic>
      <xdr:nvPicPr>
        <xdr:cNvPr id="4" name="Picture 1364">
          <a:extLst>
            <a:ext uri="{FF2B5EF4-FFF2-40B4-BE49-F238E27FC236}">
              <a16:creationId xmlns:a16="http://schemas.microsoft.com/office/drawing/2014/main" id="{00000000-0008-0000-5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5740" y="19324320"/>
          <a:ext cx="576072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xdr:colOff>
      <xdr:row>72</xdr:row>
      <xdr:rowOff>0</xdr:rowOff>
    </xdr:from>
    <xdr:to>
      <xdr:col>31</xdr:col>
      <xdr:colOff>1</xdr:colOff>
      <xdr:row>75</xdr:row>
      <xdr:rowOff>0</xdr:rowOff>
    </xdr:to>
    <xdr:pic>
      <xdr:nvPicPr>
        <xdr:cNvPr id="5" name="Picture 1363">
          <a:extLst>
            <a:ext uri="{FF2B5EF4-FFF2-40B4-BE49-F238E27FC236}">
              <a16:creationId xmlns:a16="http://schemas.microsoft.com/office/drawing/2014/main" id="{00000000-0008-0000-5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205741" y="21153120"/>
          <a:ext cx="576072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86</xdr:row>
      <xdr:rowOff>0</xdr:rowOff>
    </xdr:from>
    <xdr:to>
      <xdr:col>31</xdr:col>
      <xdr:colOff>0</xdr:colOff>
      <xdr:row>90</xdr:row>
      <xdr:rowOff>0</xdr:rowOff>
    </xdr:to>
    <xdr:pic>
      <xdr:nvPicPr>
        <xdr:cNvPr id="6" name="Picture 1365">
          <a:extLst>
            <a:ext uri="{FF2B5EF4-FFF2-40B4-BE49-F238E27FC236}">
              <a16:creationId xmlns:a16="http://schemas.microsoft.com/office/drawing/2014/main" id="{00000000-0008-0000-51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5740" y="23713440"/>
          <a:ext cx="576072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93</xdr:row>
      <xdr:rowOff>0</xdr:rowOff>
    </xdr:from>
    <xdr:to>
      <xdr:col>31</xdr:col>
      <xdr:colOff>0</xdr:colOff>
      <xdr:row>97</xdr:row>
      <xdr:rowOff>0</xdr:rowOff>
    </xdr:to>
    <xdr:pic>
      <xdr:nvPicPr>
        <xdr:cNvPr id="7" name="Picture 1367">
          <a:extLst>
            <a:ext uri="{FF2B5EF4-FFF2-40B4-BE49-F238E27FC236}">
              <a16:creationId xmlns:a16="http://schemas.microsoft.com/office/drawing/2014/main" id="{00000000-0008-0000-51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5740" y="25908000"/>
          <a:ext cx="576072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100</xdr:row>
      <xdr:rowOff>0</xdr:rowOff>
    </xdr:from>
    <xdr:to>
      <xdr:col>31</xdr:col>
      <xdr:colOff>0</xdr:colOff>
      <xdr:row>103</xdr:row>
      <xdr:rowOff>0</xdr:rowOff>
    </xdr:to>
    <xdr:pic>
      <xdr:nvPicPr>
        <xdr:cNvPr id="8" name="Picture 1398">
          <a:extLst>
            <a:ext uri="{FF2B5EF4-FFF2-40B4-BE49-F238E27FC236}">
              <a16:creationId xmlns:a16="http://schemas.microsoft.com/office/drawing/2014/main" id="{00000000-0008-0000-51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740" y="28285440"/>
          <a:ext cx="576072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106</xdr:row>
      <xdr:rowOff>0</xdr:rowOff>
    </xdr:from>
    <xdr:to>
      <xdr:col>31</xdr:col>
      <xdr:colOff>0</xdr:colOff>
      <xdr:row>109</xdr:row>
      <xdr:rowOff>0</xdr:rowOff>
    </xdr:to>
    <xdr:pic>
      <xdr:nvPicPr>
        <xdr:cNvPr id="9" name="Picture 46">
          <a:extLst>
            <a:ext uri="{FF2B5EF4-FFF2-40B4-BE49-F238E27FC236}">
              <a16:creationId xmlns:a16="http://schemas.microsoft.com/office/drawing/2014/main" id="{00000000-0008-0000-51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5740" y="30114240"/>
          <a:ext cx="576072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30</xdr:col>
      <xdr:colOff>129540</xdr:colOff>
      <xdr:row>5</xdr:row>
      <xdr:rowOff>102870</xdr:rowOff>
    </xdr:from>
    <xdr:ext cx="65" cy="172227"/>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5615940" y="507111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129540</xdr:colOff>
      <xdr:row>9</xdr:row>
      <xdr:rowOff>102870</xdr:rowOff>
    </xdr:from>
    <xdr:ext cx="65" cy="172227"/>
    <xdr:sp macro="" textlink="">
      <xdr:nvSpPr>
        <xdr:cNvPr id="3" name="TextBox 2">
          <a:extLst>
            <a:ext uri="{FF2B5EF4-FFF2-40B4-BE49-F238E27FC236}">
              <a16:creationId xmlns:a16="http://schemas.microsoft.com/office/drawing/2014/main" id="{87441400-2471-4BC9-9448-71216721B897}"/>
            </a:ext>
          </a:extLst>
        </xdr:cNvPr>
        <xdr:cNvSpPr txBox="1"/>
      </xdr:nvSpPr>
      <xdr:spPr>
        <a:xfrm>
          <a:off x="5558790" y="181737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xdr:col>
      <xdr:colOff>0</xdr:colOff>
      <xdr:row>32</xdr:row>
      <xdr:rowOff>123825</xdr:rowOff>
    </xdr:from>
    <xdr:ext cx="2705100" cy="357188"/>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5654349B-37CF-4508-A730-965E6641890B}"/>
                </a:ext>
              </a:extLst>
            </xdr:cNvPr>
            <xdr:cNvSpPr txBox="1"/>
          </xdr:nvSpPr>
          <xdr:spPr>
            <a:xfrm>
              <a:off x="361950" y="10258425"/>
              <a:ext cx="2705100" cy="357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𝐻𝑃</m:t>
                        </m:r>
                      </m:den>
                    </m:f>
                    <m:r>
                      <a:rPr lang="en-US" sz="1100" b="0" i="0">
                        <a:solidFill>
                          <a:schemeClr val="tx1"/>
                        </a:solidFill>
                        <a:effectLst/>
                        <a:latin typeface="Cambria Math" panose="02040503050406030204" pitchFamily="18" charset="0"/>
                        <a:ea typeface="+mn-ea"/>
                        <a:cs typeface="+mn-cs"/>
                      </a:rPr>
                      <m:t> </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𝐻𝑃</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5654349B-37CF-4508-A730-965E6641890B}"/>
                </a:ext>
              </a:extLst>
            </xdr:cNvPr>
            <xdr:cNvSpPr txBox="1"/>
          </xdr:nvSpPr>
          <xdr:spPr>
            <a:xfrm>
              <a:off x="361950" y="10258425"/>
              <a:ext cx="2705100" cy="357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𝑘𝑊/𝐻𝑃  </a:t>
              </a:r>
              <a:r>
                <a:rPr lang="en-US" sz="1100" b="0" i="0">
                  <a:solidFill>
                    <a:sysClr val="windowText" lastClr="000000"/>
                  </a:solidFill>
                  <a:latin typeface="Cambria Math" panose="02040503050406030204" pitchFamily="18" charset="0"/>
                  <a:ea typeface="Cambria Math" panose="02040503050406030204" pitchFamily="18" charset="0"/>
                </a:rPr>
                <a:t>∗𝐻𝑃</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38</xdr:row>
      <xdr:rowOff>0</xdr:rowOff>
    </xdr:from>
    <xdr:ext cx="2686049"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DB34E90-FF38-45C6-BBFC-6E97459433D6}"/>
                </a:ext>
              </a:extLst>
            </xdr:cNvPr>
            <xdr:cNvSpPr txBox="1"/>
          </xdr:nvSpPr>
          <xdr:spPr>
            <a:xfrm>
              <a:off x="361950" y="10534650"/>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DDB34E90-FF38-45C6-BBFC-6E97459433D6}"/>
                </a:ext>
              </a:extLst>
            </xdr:cNvPr>
            <xdr:cNvSpPr txBox="1"/>
          </xdr:nvSpPr>
          <xdr:spPr>
            <a:xfrm>
              <a:off x="361950" y="10534650"/>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0</xdr:colOff>
      <xdr:row>27</xdr:row>
      <xdr:rowOff>123825</xdr:rowOff>
    </xdr:from>
    <xdr:ext cx="2705100" cy="357188"/>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7475174-351F-4E4B-8194-E7F7F3D8AF47}"/>
                </a:ext>
              </a:extLst>
            </xdr:cNvPr>
            <xdr:cNvSpPr txBox="1"/>
          </xdr:nvSpPr>
          <xdr:spPr>
            <a:xfrm>
              <a:off x="361950" y="9305925"/>
              <a:ext cx="2705100" cy="357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num>
                      <m:den>
                        <m:r>
                          <a:rPr lang="en-US" sz="1100" b="0" i="1">
                            <a:solidFill>
                              <a:schemeClr val="tx1"/>
                            </a:solidFill>
                            <a:effectLst/>
                            <a:latin typeface="Cambria Math" panose="02040503050406030204" pitchFamily="18" charset="0"/>
                            <a:ea typeface="+mn-ea"/>
                            <a:cs typeface="+mn-cs"/>
                          </a:rPr>
                          <m:t>𝐻𝑃</m:t>
                        </m:r>
                      </m:den>
                    </m:f>
                    <m:r>
                      <a:rPr lang="en-US" sz="1100" b="0" i="0">
                        <a:solidFill>
                          <a:schemeClr val="tx1"/>
                        </a:solidFill>
                        <a:effectLst/>
                        <a:latin typeface="Cambria Math" panose="02040503050406030204" pitchFamily="18" charset="0"/>
                        <a:ea typeface="+mn-ea"/>
                        <a:cs typeface="+mn-cs"/>
                      </a:rPr>
                      <m:t> </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𝐻𝑃</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6" name="TextBox 5">
              <a:extLst>
                <a:ext uri="{FF2B5EF4-FFF2-40B4-BE49-F238E27FC236}">
                  <a16:creationId xmlns:a16="http://schemas.microsoft.com/office/drawing/2014/main" id="{C7475174-351F-4E4B-8194-E7F7F3D8AF47}"/>
                </a:ext>
              </a:extLst>
            </xdr:cNvPr>
            <xdr:cNvSpPr txBox="1"/>
          </xdr:nvSpPr>
          <xdr:spPr>
            <a:xfrm>
              <a:off x="361950" y="9305925"/>
              <a:ext cx="2705100" cy="357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mn-ea"/>
                  <a:cs typeface="+mn-cs"/>
                </a:rPr>
                <a:t>𝑘𝑊ℎ/𝐻𝑃  </a:t>
              </a:r>
              <a:r>
                <a:rPr lang="en-US" sz="1100" b="0" i="0">
                  <a:solidFill>
                    <a:sysClr val="windowText" lastClr="000000"/>
                  </a:solidFill>
                  <a:latin typeface="Cambria Math" panose="02040503050406030204" pitchFamily="18" charset="0"/>
                  <a:ea typeface="Cambria Math" panose="02040503050406030204" pitchFamily="18" charset="0"/>
                </a:rPr>
                <a:t>∗𝐻𝑃</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oneCellAnchor>
    <xdr:from>
      <xdr:col>2</xdr:col>
      <xdr:colOff>0</xdr:colOff>
      <xdr:row>28</xdr:row>
      <xdr:rowOff>9525</xdr:rowOff>
    </xdr:from>
    <xdr:ext cx="4400550" cy="1809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AA8B230-2168-4772-8C52-E064CC7E5889}"/>
                </a:ext>
              </a:extLst>
            </xdr:cNvPr>
            <xdr:cNvSpPr txBox="1"/>
          </xdr:nvSpPr>
          <xdr:spPr>
            <a:xfrm>
              <a:off x="361950" y="8601075"/>
              <a:ext cx="4400550" cy="180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r>
                        <a:rPr lang="en-US" sz="1100" b="0" i="1">
                          <a:solidFill>
                            <a:sysClr val="windowText" lastClr="000000"/>
                          </a:solidFill>
                          <a:latin typeface="Cambria Math" panose="02040503050406030204" pitchFamily="18" charset="0"/>
                          <a:ea typeface="Cambria Math" panose="02040503050406030204" pitchFamily="18" charset="0"/>
                        </a:rPr>
                        <m:t>,100</m:t>
                      </m:r>
                      <m:r>
                        <a:rPr lang="en-US" sz="1100" b="0" i="1">
                          <a:solidFill>
                            <a:sysClr val="windowText" lastClr="000000"/>
                          </a:solidFill>
                          <a:latin typeface="Cambria Math" panose="02040503050406030204" pitchFamily="18" charset="0"/>
                          <a:ea typeface="Cambria Math" panose="02040503050406030204" pitchFamily="18" charset="0"/>
                        </a:rPr>
                        <m:t>𝑙𝑏</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r>
                        <a:rPr lang="en-US" sz="1100" b="0" i="1">
                          <a:solidFill>
                            <a:schemeClr val="tx1"/>
                          </a:solidFill>
                          <a:effectLst/>
                          <a:latin typeface="Cambria Math" panose="02040503050406030204" pitchFamily="18" charset="0"/>
                          <a:ea typeface="+mn-ea"/>
                          <a:cs typeface="+mn-cs"/>
                        </a:rPr>
                        <m:t>,100</m:t>
                      </m:r>
                      <m:r>
                        <a:rPr lang="en-US" sz="1100" b="0" i="1">
                          <a:solidFill>
                            <a:schemeClr val="tx1"/>
                          </a:solidFill>
                          <a:effectLst/>
                          <a:latin typeface="Cambria Math" panose="02040503050406030204" pitchFamily="18" charset="0"/>
                          <a:ea typeface="+mn-ea"/>
                          <a:cs typeface="+mn-cs"/>
                        </a:rPr>
                        <m:t>𝑙𝑏</m:t>
                      </m:r>
                    </m:sub>
                  </m:sSub>
                  <m:r>
                    <a:rPr lang="en-US" sz="1100" b="0" i="0">
                      <a:solidFill>
                        <a:schemeClr val="tx1"/>
                      </a:solidFill>
                      <a:effectLst/>
                      <a:latin typeface="Cambria Math" panose="02040503050406030204" pitchFamily="18" charset="0"/>
                      <a:ea typeface="+mn-ea"/>
                      <a:cs typeface="+mn-cs"/>
                    </a:rPr>
                    <m:t>)/100 ∗</m:t>
                  </m:r>
                  <m:r>
                    <a:rPr lang="en-US" sz="1100" b="0" i="1">
                      <a:solidFill>
                        <a:schemeClr val="tx1"/>
                      </a:solidFill>
                      <a:effectLst/>
                      <a:latin typeface="Cambria Math" panose="02040503050406030204" pitchFamily="18" charset="0"/>
                      <a:ea typeface="+mn-ea"/>
                      <a:cs typeface="+mn-cs"/>
                    </a:rPr>
                    <m:t>𝐷𝐶</m:t>
                  </m:r>
                  <m:r>
                    <a:rPr lang="en-US" sz="1100" b="0" i="0">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i="1">
                  <a:solidFill>
                    <a:sysClr val="windowText" lastClr="000000"/>
                  </a:solidFill>
                  <a:latin typeface="Cambria Math" panose="02040503050406030204" pitchFamily="18" charset="0"/>
                  <a:ea typeface="Cambria Math" panose="02040503050406030204" pitchFamily="18" charset="0"/>
                </a:rPr>
                <a:t> DAYS</a:t>
              </a:r>
            </a:p>
          </xdr:txBody>
        </xdr:sp>
      </mc:Choice>
      <mc:Fallback xmlns="">
        <xdr:sp macro="" textlink="">
          <xdr:nvSpPr>
            <xdr:cNvPr id="2" name="TextBox 1">
              <a:extLst>
                <a:ext uri="{FF2B5EF4-FFF2-40B4-BE49-F238E27FC236}">
                  <a16:creationId xmlns:a16="http://schemas.microsoft.com/office/drawing/2014/main" id="{2AA8B230-2168-4772-8C52-E064CC7E5889}"/>
                </a:ext>
              </a:extLst>
            </xdr:cNvPr>
            <xdr:cNvSpPr txBox="1"/>
          </xdr:nvSpPr>
          <xdr:spPr>
            <a:xfrm>
              <a:off x="361950" y="8601075"/>
              <a:ext cx="4400550" cy="180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𝑘𝑊ℎ=〖(𝐸〗_(𝐵𝑎𝑠𝑒𝑙𝑖𝑛𝑒,100𝑙𝑏)  − </a:t>
              </a:r>
              <a:r>
                <a:rPr lang="en-US" sz="1100" b="0" i="0">
                  <a:solidFill>
                    <a:schemeClr val="tx1"/>
                  </a:solidFill>
                  <a:effectLst/>
                  <a:latin typeface="Cambria Math" panose="02040503050406030204" pitchFamily="18" charset="0"/>
                  <a:ea typeface="+mn-ea"/>
                  <a:cs typeface="+mn-cs"/>
                </a:rPr>
                <a:t>𝐸_(𝐻𝐸,100𝑙𝑏))/100 ∗𝐷𝐶 ∗𝐻</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a:solidFill>
                    <a:sysClr val="windowText" lastClr="000000"/>
                  </a:solidFill>
                  <a:latin typeface="Cambria Math" panose="02040503050406030204" pitchFamily="18" charset="0"/>
                  <a:ea typeface="Cambria Math" panose="02040503050406030204" pitchFamily="18" charset="0"/>
                </a:rPr>
                <a:t> DAYS</a:t>
              </a:r>
            </a:p>
          </xdr:txBody>
        </xdr:sp>
      </mc:Fallback>
    </mc:AlternateContent>
    <xdr:clientData/>
  </xdr:oneCellAnchor>
  <xdr:oneCellAnchor>
    <xdr:from>
      <xdr:col>2</xdr:col>
      <xdr:colOff>1</xdr:colOff>
      <xdr:row>32</xdr:row>
      <xdr:rowOff>9526</xdr:rowOff>
    </xdr:from>
    <xdr:ext cx="2705100" cy="25145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7F23D3D-429E-48BC-A0B8-EED02B0BC4ED}"/>
                </a:ext>
              </a:extLst>
            </xdr:cNvPr>
            <xdr:cNvSpPr txBox="1"/>
          </xdr:nvSpPr>
          <xdr:spPr>
            <a:xfrm>
              <a:off x="361951" y="9363076"/>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07F23D3D-429E-48BC-A0B8-EED02B0BC4ED}"/>
                </a:ext>
              </a:extLst>
            </xdr:cNvPr>
            <xdr:cNvSpPr txBox="1"/>
          </xdr:nvSpPr>
          <xdr:spPr>
            <a:xfrm>
              <a:off x="361951" y="9363076"/>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 ∆</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36</xdr:row>
      <xdr:rowOff>9526</xdr:rowOff>
    </xdr:from>
    <xdr:ext cx="272795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60B1363-B094-4D9D-B2A0-103BB8D2F55B}"/>
                </a:ext>
              </a:extLst>
            </xdr:cNvPr>
            <xdr:cNvSpPr txBox="1"/>
          </xdr:nvSpPr>
          <xdr:spPr>
            <a:xfrm>
              <a:off x="361950" y="10125076"/>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B60B1363-B094-4D9D-B2A0-103BB8D2F55B}"/>
                </a:ext>
              </a:extLst>
            </xdr:cNvPr>
            <xdr:cNvSpPr txBox="1"/>
          </xdr:nvSpPr>
          <xdr:spPr>
            <a:xfrm>
              <a:off x="361950" y="10125076"/>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oneCellAnchor>
    <xdr:from>
      <xdr:col>1</xdr:col>
      <xdr:colOff>28575</xdr:colOff>
      <xdr:row>36</xdr:row>
      <xdr:rowOff>28575</xdr:rowOff>
    </xdr:from>
    <xdr:ext cx="4695825" cy="49244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DAFD533A-25B1-4563-BF17-8FF70AA85D77}"/>
                </a:ext>
              </a:extLst>
            </xdr:cNvPr>
            <xdr:cNvSpPr txBox="1"/>
          </xdr:nvSpPr>
          <xdr:spPr>
            <a:xfrm>
              <a:off x="209550" y="10191750"/>
              <a:ext cx="4695825" cy="4924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𝐺𝑃𝑀</m:t>
                                </m:r>
                              </m:e>
                              <m:sub>
                                <m:r>
                                  <a:rPr lang="en-US" sz="1100" b="0" i="1">
                                    <a:solidFill>
                                      <a:sysClr val="windowText" lastClr="000000"/>
                                    </a:solidFill>
                                    <a:latin typeface="Cambria Math" panose="02040503050406030204" pitchFamily="18" charset="0"/>
                                    <a:ea typeface="Cambria Math" panose="02040503050406030204" pitchFamily="18" charset="0"/>
                                  </a:rPr>
                                  <m:t>𝐵𝑎𝑠𝑒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𝐺𝑃𝑀</m:t>
                                </m:r>
                              </m:e>
                              <m:sub>
                                <m:r>
                                  <a:rPr lang="en-US" sz="1100" b="0" i="1">
                                    <a:solidFill>
                                      <a:sysClr val="windowText" lastClr="000000"/>
                                    </a:solidFill>
                                    <a:latin typeface="Cambria Math" panose="02040503050406030204" pitchFamily="18" charset="0"/>
                                    <a:ea typeface="Cambria Math" panose="02040503050406030204" pitchFamily="18" charset="0"/>
                                  </a:rPr>
                                  <m:t>𝐸𝐸</m:t>
                                </m:r>
                              </m:sub>
                            </m:sSub>
                          </m:e>
                        </m:d>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𝑀𝑖𝑛</m:t>
                            </m:r>
                          </m:e>
                          <m:sub>
                            <m:r>
                              <a:rPr lang="en-US" sz="1100" b="0" i="1">
                                <a:solidFill>
                                  <a:sysClr val="windowText" lastClr="000000"/>
                                </a:solidFill>
                                <a:latin typeface="Cambria Math" panose="02040503050406030204" pitchFamily="18" charset="0"/>
                                <a:ea typeface="Cambria Math" panose="02040503050406030204" pitchFamily="18" charset="0"/>
                              </a:rPr>
                              <m:t>𝑑𝑎𝑦</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𝐷𝑎𝑦</m:t>
                            </m:r>
                          </m:e>
                          <m:sub>
                            <m:r>
                              <a:rPr lang="en-US" sz="1100" b="0" i="1">
                                <a:solidFill>
                                  <a:sysClr val="windowText" lastClr="000000"/>
                                </a:solidFill>
                                <a:effectLst/>
                                <a:latin typeface="Cambria Math" panose="02040503050406030204" pitchFamily="18" charset="0"/>
                                <a:ea typeface="+mn-ea"/>
                                <a:cs typeface="+mn-cs"/>
                              </a:rPr>
                              <m:t>𝑦𝑒𝑎𝑟</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𝜌</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100" b="0" i="1">
                                <a:solidFill>
                                  <a:sysClr val="windowText" lastClr="000000"/>
                                </a:solidFill>
                                <a:effectLst/>
                                <a:latin typeface="Cambria Math" panose="02040503050406030204" pitchFamily="18" charset="0"/>
                                <a:ea typeface="Cambria Math" panose="02040503050406030204" pitchFamily="18" charset="0"/>
                                <a:cs typeface="+mn-cs"/>
                              </a:rPr>
                              <m:t>𝑐</m:t>
                            </m:r>
                          </m:e>
                          <m:sub>
                            <m:r>
                              <a:rPr lang="en-US" sz="1100" b="0" i="1">
                                <a:solidFill>
                                  <a:sysClr val="windowText" lastClr="000000"/>
                                </a:solidFill>
                                <a:effectLst/>
                                <a:latin typeface="Cambria Math" panose="02040503050406030204" pitchFamily="18" charset="0"/>
                                <a:ea typeface="Cambria Math" panose="02040503050406030204" pitchFamily="18" charset="0"/>
                                <a:cs typeface="+mn-cs"/>
                              </a:rPr>
                              <m:t>𝑝</m:t>
                            </m:r>
                          </m:sub>
                        </m:sSub>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d>
                          <m:dPr>
                            <m:ctrlPr>
                              <a:rPr lang="en-US" sz="1100" b="0" i="1">
                                <a:solidFill>
                                  <a:sysClr val="windowText" lastClr="000000"/>
                                </a:solidFill>
                                <a:effectLst/>
                                <a:latin typeface="Cambria Math" panose="02040503050406030204" pitchFamily="18" charset="0"/>
                                <a:ea typeface="Cambria Math" panose="02040503050406030204" pitchFamily="18" charset="0"/>
                                <a:cs typeface="+mn-cs"/>
                              </a:rPr>
                            </m:ctrlPr>
                          </m:dPr>
                          <m:e>
                            <m:sSub>
                              <m:sSubPr>
                                <m:ctrlPr>
                                  <a:rPr lang="en-US" sz="11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100" b="0" i="1">
                                    <a:solidFill>
                                      <a:sysClr val="windowText" lastClr="000000"/>
                                    </a:solidFill>
                                    <a:effectLst/>
                                    <a:latin typeface="Cambria Math" panose="02040503050406030204" pitchFamily="18" charset="0"/>
                                    <a:ea typeface="Cambria Math" panose="02040503050406030204" pitchFamily="18" charset="0"/>
                                    <a:cs typeface="+mn-cs"/>
                                  </a:rPr>
                                  <m:t>𝑇</m:t>
                                </m:r>
                              </m:e>
                              <m:sub>
                                <m:r>
                                  <a:rPr lang="en-US" sz="1100" b="0" i="1">
                                    <a:solidFill>
                                      <a:sysClr val="windowText" lastClr="000000"/>
                                    </a:solidFill>
                                    <a:effectLst/>
                                    <a:latin typeface="Cambria Math" panose="02040503050406030204" pitchFamily="18" charset="0"/>
                                    <a:ea typeface="Cambria Math" panose="02040503050406030204" pitchFamily="18" charset="0"/>
                                    <a:cs typeface="+mn-cs"/>
                                  </a:rPr>
                                  <m:t>𝑚𝑖𝑥</m:t>
                                </m:r>
                              </m:sub>
                            </m:sSub>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𝑠𝑢𝑝𝑝𝑙𝑦</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𝑈𝐸𝐹</m:t>
                        </m:r>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effectLst/>
                                <a:latin typeface="Cambria Math" panose="02040503050406030204" pitchFamily="18" charset="0"/>
                                <a:ea typeface="+mn-ea"/>
                                <a:cs typeface="+mn-cs"/>
                              </a:rPr>
                              <m:t>3412</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𝐵𝑡𝑢</m:t>
                                </m:r>
                              </m:num>
                              <m:den>
                                <m:r>
                                  <a:rPr lang="en-US" sz="1100" b="0" i="1">
                                    <a:solidFill>
                                      <a:sysClr val="windowText" lastClr="000000"/>
                                    </a:solidFill>
                                    <a:effectLst/>
                                    <a:latin typeface="Cambria Math" panose="02040503050406030204" pitchFamily="18" charset="0"/>
                                    <a:ea typeface="+mn-ea"/>
                                    <a:cs typeface="+mn-cs"/>
                                  </a:rPr>
                                  <m:t>𝑘𝑊h</m:t>
                                </m:r>
                              </m:den>
                            </m:f>
                          </m:e>
                        </m:d>
                      </m:den>
                    </m:f>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DAFD533A-25B1-4563-BF17-8FF70AA85D77}"/>
                </a:ext>
              </a:extLst>
            </xdr:cNvPr>
            <xdr:cNvSpPr txBox="1"/>
          </xdr:nvSpPr>
          <xdr:spPr>
            <a:xfrm>
              <a:off x="209550" y="10191750"/>
              <a:ext cx="4695825" cy="4924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𝑘𝑊ℎ=((〖𝐺𝑃𝑀〗_𝐵𝑎𝑠𝑒−〖𝐺𝑃𝑀〗_𝐸𝐸 )∗〖𝑀𝑖𝑛〗_𝑑𝑎𝑦</a:t>
              </a:r>
              <a:r>
                <a:rPr lang="en-US" sz="1100" b="0" i="0">
                  <a:solidFill>
                    <a:sysClr val="windowText" lastClr="000000"/>
                  </a:solidFill>
                  <a:effectLst/>
                  <a:latin typeface="Cambria Math" panose="02040503050406030204" pitchFamily="18" charset="0"/>
                  <a:ea typeface="+mn-ea"/>
                  <a:cs typeface="+mn-cs"/>
                </a:rPr>
                <a:t>∗〖𝐷𝑎𝑦〗_𝑦𝑒𝑎𝑟∗</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𝜌∗𝑐_𝑝∗(𝑇_𝑚𝑖𝑥−</a:t>
              </a:r>
              <a:r>
                <a:rPr lang="en-US" sz="1100" b="0" i="0">
                  <a:solidFill>
                    <a:sysClr val="windowText" lastClr="000000"/>
                  </a:solidFill>
                  <a:effectLst/>
                  <a:latin typeface="Cambria Math" panose="02040503050406030204" pitchFamily="18" charset="0"/>
                  <a:ea typeface="+mn-ea"/>
                  <a:cs typeface="+mn-cs"/>
                </a:rPr>
                <a:t>𝑇_𝑠𝑢𝑝𝑝𝑙𝑦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latin typeface="Cambria Math" panose="02040503050406030204" pitchFamily="18" charset="0"/>
                  <a:ea typeface="Cambria Math" panose="02040503050406030204" pitchFamily="18" charset="0"/>
                </a:rPr>
                <a:t>𝑈𝐸𝐹∗(</a:t>
              </a:r>
              <a:r>
                <a:rPr lang="en-US" sz="1100" b="0" i="0">
                  <a:solidFill>
                    <a:sysClr val="windowText" lastClr="000000"/>
                  </a:solidFill>
                  <a:effectLst/>
                  <a:latin typeface="Cambria Math" panose="02040503050406030204" pitchFamily="18" charset="0"/>
                  <a:ea typeface="+mn-ea"/>
                  <a:cs typeface="+mn-cs"/>
                </a:rPr>
                <a:t>3412 𝐵𝑡𝑢/𝑘𝑊ℎ)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oneCellAnchor>
    <xdr:from>
      <xdr:col>1</xdr:col>
      <xdr:colOff>38100</xdr:colOff>
      <xdr:row>40</xdr:row>
      <xdr:rowOff>0</xdr:rowOff>
    </xdr:from>
    <xdr:ext cx="1308100" cy="32028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E602344-2DA9-46B4-BB19-1C6014275104}"/>
                </a:ext>
              </a:extLst>
            </xdr:cNvPr>
            <xdr:cNvSpPr txBox="1"/>
          </xdr:nvSpPr>
          <xdr:spPr>
            <a:xfrm>
              <a:off x="219075" y="1126807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num>
                      <m:den>
                        <m:r>
                          <a:rPr lang="en-US" sz="1100" b="0" i="1">
                            <a:solidFill>
                              <a:sysClr val="windowText" lastClr="000000"/>
                            </a:solidFill>
                            <a:latin typeface="Cambria Math" panose="02040503050406030204" pitchFamily="18" charset="0"/>
                            <a:ea typeface="Cambria Math" panose="02040503050406030204" pitchFamily="18" charset="0"/>
                          </a:rPr>
                          <m:t>𝐸𝐹𝐿𝐻</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5E602344-2DA9-46B4-BB19-1C6014275104}"/>
                </a:ext>
              </a:extLst>
            </xdr:cNvPr>
            <xdr:cNvSpPr txBox="1"/>
          </xdr:nvSpPr>
          <xdr:spPr>
            <a:xfrm>
              <a:off x="219075" y="1126807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𝑘𝑊=∆𝑘𝑊ℎ/𝐸𝐹𝐿𝐻∗𝐶𝐹</a:t>
              </a:r>
              <a:endParaRPr lang="en-US" sz="1100">
                <a:solidFill>
                  <a:sysClr val="windowText" lastClr="000000"/>
                </a:solidFill>
              </a:endParaRPr>
            </a:p>
          </xdr:txBody>
        </xdr:sp>
      </mc:Fallback>
    </mc:AlternateContent>
    <xdr:clientData/>
  </xdr:oneCellAnchor>
  <xdr:oneCellAnchor>
    <xdr:from>
      <xdr:col>1</xdr:col>
      <xdr:colOff>9525</xdr:colOff>
      <xdr:row>44</xdr:row>
      <xdr:rowOff>19050</xdr:rowOff>
    </xdr:from>
    <xdr:ext cx="1885950" cy="2286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8184D417-ECD4-4AAC-B975-958B7A922DEA}"/>
                </a:ext>
              </a:extLst>
            </xdr:cNvPr>
            <xdr:cNvSpPr txBox="1"/>
          </xdr:nvSpPr>
          <xdr:spPr>
            <a:xfrm>
              <a:off x="190500" y="12201525"/>
              <a:ext cx="188595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8184D417-ECD4-4AAC-B975-958B7A922DEA}"/>
                </a:ext>
              </a:extLst>
            </xdr:cNvPr>
            <xdr:cNvSpPr txBox="1"/>
          </xdr:nvSpPr>
          <xdr:spPr>
            <a:xfrm>
              <a:off x="190500" y="12201525"/>
              <a:ext cx="188595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meresco-my.sharepoint.com/personal/kparmenter_ameresco_com/Documents/Documents/AEG/0%20-%202020-2021%20Work/00%20-%20TRM/0%20-%20PY22/Updates/00%20-%20Added%20to%20TRM/PY22%20C_HVAC_Chiller%20-%20Analysis%20Fil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meresco.sharepoint.com/sites/HawaiiPUCEMVandPlanning/Shared%20Documents/General/2_Files%202022-2024/TRM/PY24%20TRM/PY23%20TRM%20V2.0_Final_Approved_UNPROTECTED.xlsm" TargetMode="External"/><Relationship Id="rId1" Type="http://schemas.openxmlformats.org/officeDocument/2006/relationships/externalLinkPath" Target="https://ameresco-my.sharepoint.com/sites/HawaiiPUCEMVandPlanning/Shared%20Documents/General/2_Files%202022-2024/TRM/PY24%20TRM/PY23%20TRM%20V2.0_Final_Approved_UNPROTECTE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parmenter/OneDrive%20-%20AMERESCO/Documents/AEG/2018/Hawaii%20PUC/Task%203%20-%20TRM/0%20-%20Measure%20Update%20Worksheets/PY19%20TRM%20Working%20Draft.xlsm"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https://ameresco-my.sharepoint.com/personal/kparmenter_ameresco_com/Documents/Documents/AEG/0%20-%202020-2022%20Work/00%20-%20TRM/0-%20PY24/Analysis%20Files/April%2012%20Upload/PY24%20TRM%20-%20Commercial%20Transformer%20-%20Analysis%20File_03252024.xlsx" TargetMode="External"/><Relationship Id="rId2" Type="http://schemas.microsoft.com/office/2019/04/relationships/externalLinkLongPath" Target="https://ameresco-my.sharepoint.com/personal/kparmenter_ameresco_com/Documents/Documents/AEG/0%20-%202020-2022%20Work/00%20-%20TRM/0-%20PY24/Analysis%20Files/April%2012%20Upload/PY24%20TRM%20-%20Commercial%20Transformer%20-%20Analysis%20File_03252024.xlsx?AD0F8D10" TargetMode="External"/><Relationship Id="rId1" Type="http://schemas.openxmlformats.org/officeDocument/2006/relationships/externalLinkPath" Target="file:///\\AD0F8D10\PY24%20TRM%20-%20Commercial%20Transformer%20-%20Analysis%20File_0325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meresco-my.sharepoint.com/personal/kparmenter_ameresco_com/Documents/Documents/AEG/0%20-%202020-2021%20Work/00%20-%20TRM/0%20-%20PY21%20TRM/Measure%20Updates/TV/PY21%20R_Electronics_Television%20Analysis%20File_Mar%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_HVAC_Chiller-TRM"/>
      <sheetName val="C_HVAC_Chiller-Notes"/>
      <sheetName val="C_HVAC_Chiller_WKST-TRM"/>
      <sheetName val="C_HVAC_Chiller_WKST-Notes"/>
    </sheetNames>
    <sheetDataSet>
      <sheetData sheetId="0" refreshError="1"/>
      <sheetData sheetId="1" refreshError="1"/>
      <sheetData sheetId="2">
        <row r="52">
          <cell r="Q52">
            <v>22</v>
          </cell>
        </row>
      </sheetData>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ssues Log"/>
      <sheetName val="Cover Page"/>
      <sheetName val="TOC"/>
      <sheetName val="Changes from PY22"/>
      <sheetName val="Introduction"/>
      <sheetName val="Signatures"/>
      <sheetName val="Glossary"/>
      <sheetName val="C&amp;S Tracking"/>
      <sheetName val="Key Metrics"/>
      <sheetName val="Master EUL"/>
      <sheetName val="Savings Factors"/>
      <sheetName val="EFLH &amp; CF"/>
      <sheetName val="Custom"/>
      <sheetName val="---------------------------"/>
      <sheetName val="C_Appliance_Refrigerator"/>
      <sheetName val="C_BEnvelope_Cool Roof"/>
      <sheetName val="C_BEnvelope_Window Film"/>
      <sheetName val="C_Kitchen_Combination Oven"/>
      <sheetName val="C_Kitchen_Convection Oven"/>
      <sheetName val="C_Kitchen_DCV"/>
      <sheetName val="C_Kitchen_Electric Griddle"/>
      <sheetName val="C_Kitchen_Electric Steam Cooker"/>
      <sheetName val="C_Kitchen_Fryer"/>
      <sheetName val="C_Kitchen_HF Holding Cabinet"/>
      <sheetName val="C_Kitchen_Ice Machine"/>
      <sheetName val="C_Kitchen_LF Spray Nozzle"/>
      <sheetName val="C_Kitchen_Freezer"/>
      <sheetName val="C_Kitchen_Refrigerator"/>
      <sheetName val="C_Kitchen_Dishwasher"/>
      <sheetName val="C_ESG_Design Assistance"/>
      <sheetName val="C_ESG_Energy Study"/>
      <sheetName val="C_HVAC_Chiller"/>
      <sheetName val="C_HVAC_Chiller_WKST"/>
      <sheetName val="C_HVAC_AC &amp; Heat Pump"/>
      <sheetName val="C_HVAC_AC_HP_WKST"/>
      <sheetName val="C_HVAC_Window AC"/>
      <sheetName val="C_HVAC_WindowAC_WKST"/>
      <sheetName val="C_HVAC_VFD Water Pump"/>
      <sheetName val="C_HVAC_VFD Water Pump Reference"/>
      <sheetName val="C_HVAC_VRF"/>
      <sheetName val="C_HVAC_VRF_WKST"/>
      <sheetName val="C_HVAC_EMS"/>
      <sheetName val="C_Light_General"/>
      <sheetName val="C_Light_Downlight Retrofit"/>
      <sheetName val="C_Light_Exterior"/>
      <sheetName val="C_Light_Dimmable(Nonlinear LED)"/>
      <sheetName val="C_Lighting_Refrigerated Case"/>
      <sheetName val="C_Light_Occupancy Sensor"/>
      <sheetName val="C_Light_Stairwell Bi-Level"/>
      <sheetName val="C_Light_Energy Advantage"/>
      <sheetName val="C_PlugProcess_ASH Control"/>
      <sheetName val="C_PlugProcess_Vending Miser"/>
      <sheetName val="C_PlugProcess_Water Cooler Tmr"/>
      <sheetName val="C_PlugProcess_Case Night Cover"/>
      <sheetName val="C_PumpMotor_VFD Booster Pump"/>
      <sheetName val="C_PumpMotor_ECM"/>
      <sheetName val="C_PumpMotor_PE Motor"/>
      <sheetName val="C_PumpMotor_VFD Pool Pump"/>
      <sheetName val="C_Refrig_Evap Motor Control"/>
      <sheetName val="C_Refrig_Add Case Doors"/>
      <sheetName val="C_Refrig_FHP Control"/>
      <sheetName val="C_SubMeter_Condominium"/>
      <sheetName val="C_SubMeter_Small Business"/>
      <sheetName val="Dropdown"/>
      <sheetName val="C_WH_Solar"/>
      <sheetName val="C_WH_Heat Pump"/>
      <sheetName val="C_Other_Re|Retro-Commissioning"/>
      <sheetName val="-------------------------------"/>
      <sheetName val="R_Appliance_Clothes Washer"/>
      <sheetName val="R_Appliance_Heat Pump Dryer"/>
      <sheetName val="R_Appliance_Clothes Dryer"/>
      <sheetName val="R_Appliance_Refrigerator"/>
      <sheetName val="R_Appliance_Dishwasher"/>
      <sheetName val="R_Appliance_Air Purifier"/>
      <sheetName val="R_Appliance_Induction Cooktop"/>
      <sheetName val="R_BEnvelope_Cool Wall"/>
      <sheetName val="R_Electronics_Television"/>
      <sheetName val="R_Electronics_Soundbar"/>
      <sheetName val="R_HVAC_Window AC"/>
      <sheetName val="R_HVAC_Ductless"/>
      <sheetName val="R_HVAC_Central AC Retrofit"/>
      <sheetName val="R_HVAC_AC_WKST"/>
      <sheetName val="R_HVAC_Central AC Tune Up"/>
      <sheetName val="R_HVAC_Ceiling Fan"/>
      <sheetName val="R_HVAC_Smart Thermostat"/>
      <sheetName val="R_HVAC_Solar Attic Fan"/>
      <sheetName val="R_HVAC_Whole House Fan"/>
      <sheetName val="R_HVAC_Dehumidifier"/>
      <sheetName val="R_Light_LED"/>
      <sheetName val="R_Light_Occupancy Sensor"/>
      <sheetName val="R_Light_Linear LED"/>
      <sheetName val="R_Light_Security Light"/>
      <sheetName val="R_Light_Holiday String Light"/>
      <sheetName val="R_Light_Solar Tube"/>
      <sheetName val="R_PlugProcess_Adv Power Strip"/>
      <sheetName val="R_PlugProcess_Switch Plug"/>
      <sheetName val="R_PlugProcess_Switch_Plug_CALC"/>
      <sheetName val="R_PlugProcess_EV Charger"/>
      <sheetName val="R_PumpMotor_VFD Pool Pump"/>
      <sheetName val="R_WH_Heat Pump"/>
      <sheetName val="R_WH_SWH"/>
      <sheetName val="R_WH_SWH Tune Up"/>
      <sheetName val="R_WH_Faucet Aerator"/>
      <sheetName val="R_WH_LFShowerhead"/>
      <sheetName val="MASTER"/>
      <sheetName val="Revision Log (internal)"/>
      <sheetName val="OLD_Delete_Transformer"/>
      <sheetName val="OLD_CFL"/>
      <sheetName val="OLD_Other_Direct Install Kit"/>
      <sheetName val="OLD_HVAC_Chiller (2)"/>
      <sheetName val="OLD_C_WH_Heat Pump"/>
    </sheetNames>
    <sheetDataSet>
      <sheetData sheetId="0"/>
      <sheetData sheetId="1"/>
      <sheetData sheetId="2"/>
      <sheetData sheetId="3"/>
      <sheetData sheetId="4"/>
      <sheetData sheetId="5"/>
      <sheetData sheetId="6"/>
      <sheetData sheetId="7"/>
      <sheetData sheetId="8"/>
      <sheetData sheetId="9">
        <row r="12">
          <cell r="X12">
            <v>18</v>
          </cell>
        </row>
      </sheetData>
      <sheetData sheetId="10">
        <row r="21">
          <cell r="I21">
            <v>1.25</v>
          </cell>
          <cell r="M21">
            <v>1.1299999999999999</v>
          </cell>
        </row>
        <row r="22">
          <cell r="I22">
            <v>1.26</v>
          </cell>
          <cell r="M22">
            <v>1.56</v>
          </cell>
        </row>
        <row r="23">
          <cell r="I23">
            <v>1.3</v>
          </cell>
          <cell r="M23">
            <v>1.25</v>
          </cell>
        </row>
        <row r="24">
          <cell r="I24">
            <v>1.1100000000000001</v>
          </cell>
          <cell r="M24">
            <v>1.1399999999999999</v>
          </cell>
        </row>
        <row r="25">
          <cell r="I25">
            <v>1.23</v>
          </cell>
          <cell r="M25">
            <v>1.1399999999999999</v>
          </cell>
        </row>
        <row r="26">
          <cell r="I26">
            <v>1.27</v>
          </cell>
          <cell r="M26">
            <v>1.38</v>
          </cell>
        </row>
        <row r="27">
          <cell r="I27">
            <v>1.19</v>
          </cell>
          <cell r="M27">
            <v>1.1200000000000001</v>
          </cell>
        </row>
        <row r="28">
          <cell r="I28">
            <v>1.08</v>
          </cell>
          <cell r="M28">
            <v>1.25</v>
          </cell>
        </row>
        <row r="29">
          <cell r="I29">
            <v>1.22</v>
          </cell>
          <cell r="M29">
            <v>1.28</v>
          </cell>
        </row>
        <row r="30">
          <cell r="I30">
            <v>1.39</v>
          </cell>
          <cell r="M30">
            <v>1.1399999999999999</v>
          </cell>
        </row>
        <row r="31">
          <cell r="I31">
            <v>1.1499999999999999</v>
          </cell>
          <cell r="M31">
            <v>1.01</v>
          </cell>
        </row>
      </sheetData>
      <sheetData sheetId="11">
        <row r="13">
          <cell r="I13">
            <v>8760</v>
          </cell>
          <cell r="N13">
            <v>1831</v>
          </cell>
        </row>
        <row r="14">
          <cell r="N14">
            <v>4710</v>
          </cell>
        </row>
        <row r="15">
          <cell r="N15">
            <v>1498</v>
          </cell>
        </row>
        <row r="16">
          <cell r="N16">
            <v>4900</v>
          </cell>
        </row>
        <row r="17">
          <cell r="N17">
            <v>5370</v>
          </cell>
        </row>
        <row r="18">
          <cell r="N18">
            <v>1284</v>
          </cell>
        </row>
        <row r="19">
          <cell r="N19">
            <v>2145</v>
          </cell>
        </row>
        <row r="20">
          <cell r="N20">
            <v>1780</v>
          </cell>
        </row>
        <row r="21">
          <cell r="N21">
            <v>3700</v>
          </cell>
        </row>
        <row r="22">
          <cell r="N22">
            <v>2363</v>
          </cell>
        </row>
        <row r="23">
          <cell r="N23">
            <v>1690</v>
          </cell>
        </row>
        <row r="28">
          <cell r="N28">
            <v>0.31</v>
          </cell>
        </row>
        <row r="29">
          <cell r="N29">
            <v>0.2</v>
          </cell>
        </row>
        <row r="30">
          <cell r="N30">
            <v>0.28000000000000003</v>
          </cell>
        </row>
        <row r="31">
          <cell r="N31">
            <v>0.7</v>
          </cell>
        </row>
        <row r="32">
          <cell r="N32">
            <v>0.66</v>
          </cell>
        </row>
        <row r="33">
          <cell r="N33">
            <v>0.26</v>
          </cell>
        </row>
        <row r="34">
          <cell r="N34">
            <v>0.53</v>
          </cell>
        </row>
        <row r="35">
          <cell r="N35">
            <v>0.22</v>
          </cell>
        </row>
        <row r="36">
          <cell r="N36">
            <v>0.52</v>
          </cell>
        </row>
        <row r="37">
          <cell r="N37">
            <v>0.32</v>
          </cell>
        </row>
        <row r="38">
          <cell r="N38">
            <v>7.0000000000000007E-2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7">
          <cell r="Q67">
            <v>20</v>
          </cell>
        </row>
      </sheetData>
      <sheetData sheetId="40"/>
      <sheetData sheetId="41"/>
      <sheetData sheetId="42">
        <row r="580">
          <cell r="G580">
            <v>7.0000000000000001E-3</v>
          </cell>
        </row>
      </sheetData>
      <sheetData sheetId="43"/>
      <sheetData sheetId="44"/>
      <sheetData sheetId="45">
        <row r="86">
          <cell r="G86">
            <v>4.7379999999999992E-2</v>
          </cell>
          <cell r="V86">
            <v>9.6399599999999995E-3</v>
          </cell>
        </row>
        <row r="87">
          <cell r="V87">
            <v>8.6327999999999995E-3</v>
          </cell>
        </row>
        <row r="88">
          <cell r="V88">
            <v>5.0413999999999997E-3</v>
          </cell>
        </row>
        <row r="89">
          <cell r="V89">
            <v>6.8096000000000007E-3</v>
          </cell>
        </row>
        <row r="90">
          <cell r="V90">
            <v>1.18066E-2</v>
          </cell>
        </row>
        <row r="91">
          <cell r="V91">
            <v>1.3011E-2</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ow r="89">
          <cell r="L89">
            <v>4.7379999999999992E-2</v>
          </cell>
        </row>
      </sheetData>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troduction"/>
      <sheetName val="C_Other_Transformer-TRM"/>
      <sheetName val="C_Other_Transformer_WKST-TRM"/>
      <sheetName val="Input-Notes"/>
      <sheetName val="Sheets from orig. wks.--&gt;"/>
      <sheetName val="Input"/>
      <sheetName val="Lookup"/>
      <sheetName val="TP-1 Data"/>
    </sheetNames>
    <sheetDataSet>
      <sheetData sheetId="0" refreshError="1"/>
      <sheetData sheetId="1" refreshError="1"/>
      <sheetData sheetId="2" refreshError="1"/>
      <sheetData sheetId="3" refreshError="1"/>
      <sheetData sheetId="4" refreshError="1"/>
      <sheetData sheetId="5" refreshError="1"/>
      <sheetData sheetId="6">
        <row r="3">
          <cell r="M3" t="str">
            <v>Misc. Commercial</v>
          </cell>
        </row>
        <row r="4">
          <cell r="M4" t="str">
            <v>Cold Storage</v>
          </cell>
        </row>
        <row r="5">
          <cell r="M5" t="str">
            <v>Education</v>
          </cell>
        </row>
        <row r="6">
          <cell r="M6" t="str">
            <v>Grocery</v>
          </cell>
        </row>
        <row r="7">
          <cell r="M7" t="str">
            <v>Health</v>
          </cell>
        </row>
        <row r="8">
          <cell r="M8" t="str">
            <v>Hotel/Motel</v>
          </cell>
        </row>
        <row r="9">
          <cell r="M9" t="str">
            <v>Industrial</v>
          </cell>
        </row>
        <row r="10">
          <cell r="M10" t="str">
            <v>Office</v>
          </cell>
        </row>
        <row r="11">
          <cell r="M11" t="str">
            <v>Restaurant</v>
          </cell>
        </row>
        <row r="12">
          <cell r="M12" t="str">
            <v>Retail</v>
          </cell>
        </row>
        <row r="13">
          <cell r="M13" t="str">
            <v>Warehouse</v>
          </cell>
        </row>
      </sheetData>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R_Electronics_Television_TRM"/>
      <sheetName val="R_Electronics_Television - Note"/>
      <sheetName val="Savings Calculation"/>
      <sheetName val="CF"/>
      <sheetName val="RECS Data"/>
      <sheetName val="Lifetime Comparison"/>
    </sheetNames>
    <sheetDataSet>
      <sheetData sheetId="0" refreshError="1"/>
      <sheetData sheetId="1" refreshError="1"/>
      <sheetData sheetId="2" refreshError="1"/>
      <sheetData sheetId="3"/>
      <sheetData sheetId="4">
        <row r="6">
          <cell r="I6">
            <v>0.55970548302982814</v>
          </cell>
        </row>
      </sheetData>
      <sheetData sheetId="5"/>
      <sheetData sheetId="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H259" totalsRowShown="0" headerRowDxfId="48" dataDxfId="47">
  <autoFilter ref="A2:H259" xr:uid="{00000000-0009-0000-0100-000001000000}">
    <filterColumn colId="7">
      <filters>
        <filter val="Yes"/>
      </filters>
    </filterColumn>
  </autoFilter>
  <sortState xmlns:xlrd2="http://schemas.microsoft.com/office/spreadsheetml/2017/richdata2" ref="A3:G105">
    <sortCondition ref="E2:E105"/>
  </sortState>
  <tableColumns count="8">
    <tableColumn id="1" xr3:uid="{00000000-0010-0000-0000-000001000000}" name="#" dataDxfId="46"/>
    <tableColumn id="2" xr3:uid="{00000000-0010-0000-0000-000002000000}" name="Tab Name" dataDxfId="45"/>
    <tableColumn id="3" xr3:uid="{00000000-0010-0000-0000-000003000000}" name="Measure Name" dataDxfId="44"/>
    <tableColumn id="4" xr3:uid="{00000000-0010-0000-0000-000004000000}" name="Issues" dataDxfId="43"/>
    <tableColumn id="5" xr3:uid="{00000000-0010-0000-0000-000005000000}" name="Resolution Status" dataDxfId="42"/>
    <tableColumn id="6" xr3:uid="{00000000-0010-0000-0000-000006000000}" name="Status Last Updated" dataDxfId="41"/>
    <tableColumn id="7" xr3:uid="{00000000-0010-0000-0000-000007000000}" name="Other Notes" dataDxfId="40"/>
    <tableColumn id="8" xr3:uid="{00000000-0010-0000-0000-000008000000}" name="Part of PY24 v1.0 Update" dataDxfId="39"/>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95.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6.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97.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98.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99.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0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1.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library.cee1.org/content/transformersqplfebruary2015/" TargetMode="External"/><Relationship Id="rId1" Type="http://schemas.openxmlformats.org/officeDocument/2006/relationships/hyperlink" Target="http://library.cee1.org/sites/default/files/library/7905/Specification_Low_Voltage_Dry_Type_2012.pdf" TargetMode="External"/><Relationship Id="rId4" Type="http://schemas.openxmlformats.org/officeDocument/2006/relationships/drawing" Target="../drawings/drawing66.xm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05.bin"/></Relationships>
</file>

<file path=xl/worksheets/_rels/sheet1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7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8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90.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91.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6">
    <tabColor theme="5"/>
    <pageSetUpPr autoPageBreaks="0"/>
  </sheetPr>
  <dimension ref="A1:AH259"/>
  <sheetViews>
    <sheetView zoomScaleNormal="100" workbookViewId="0">
      <pane ySplit="2" topLeftCell="A244" activePane="bottomLeft" state="frozen"/>
      <selection pane="bottomLeft" sqref="A1:A1048576"/>
    </sheetView>
  </sheetViews>
  <sheetFormatPr defaultColWidth="8.85546875" defaultRowHeight="15" x14ac:dyDescent="0.25"/>
  <cols>
    <col min="1" max="1" width="8.85546875" style="8"/>
    <col min="2" max="2" width="24.7109375" style="2" customWidth="1"/>
    <col min="3" max="3" width="26" style="2" bestFit="1" customWidth="1"/>
    <col min="4" max="4" width="73" style="2" customWidth="1"/>
    <col min="5" max="5" width="18.140625" style="2" bestFit="1" customWidth="1"/>
    <col min="6" max="6" width="20.140625" style="8" bestFit="1" customWidth="1"/>
    <col min="7" max="7" width="40.28515625" style="8" customWidth="1"/>
    <col min="8" max="8" width="22.42578125" style="267" bestFit="1" customWidth="1"/>
    <col min="9" max="16384" width="8.85546875" style="272"/>
  </cols>
  <sheetData>
    <row r="1" spans="1:34" ht="19.5" thickBot="1" x14ac:dyDescent="0.3">
      <c r="A1" s="361" t="s">
        <v>1627</v>
      </c>
      <c r="B1" s="367"/>
      <c r="C1" s="367"/>
      <c r="D1" s="361"/>
      <c r="E1" s="361"/>
      <c r="F1" s="361"/>
      <c r="G1" s="361"/>
      <c r="H1" s="361"/>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row>
    <row r="2" spans="1:34" ht="30" x14ac:dyDescent="0.25">
      <c r="A2" s="369" t="s">
        <v>1002</v>
      </c>
      <c r="B2" s="365" t="s">
        <v>1577</v>
      </c>
      <c r="C2" s="365" t="s">
        <v>22</v>
      </c>
      <c r="D2" s="365" t="s">
        <v>1578</v>
      </c>
      <c r="E2" s="366" t="s">
        <v>1579</v>
      </c>
      <c r="F2" s="366" t="s">
        <v>1584</v>
      </c>
      <c r="G2" s="366" t="s">
        <v>1591</v>
      </c>
      <c r="H2" s="698" t="s">
        <v>7227</v>
      </c>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row>
    <row r="3" spans="1:34" hidden="1" x14ac:dyDescent="0.25">
      <c r="A3" s="7">
        <v>1</v>
      </c>
      <c r="B3" s="2" t="s">
        <v>1308</v>
      </c>
      <c r="D3" s="2" t="s">
        <v>1340</v>
      </c>
      <c r="E3" s="2" t="s">
        <v>1580</v>
      </c>
      <c r="F3" s="8" t="s">
        <v>1581</v>
      </c>
      <c r="G3" s="8" t="s">
        <v>1592</v>
      </c>
      <c r="H3" s="290"/>
    </row>
    <row r="4" spans="1:34" hidden="1" x14ac:dyDescent="0.25">
      <c r="A4" s="7">
        <v>2</v>
      </c>
      <c r="B4" s="2" t="s">
        <v>1290</v>
      </c>
      <c r="D4" s="2" t="s">
        <v>1411</v>
      </c>
      <c r="E4" s="2" t="s">
        <v>1580</v>
      </c>
      <c r="F4" s="8" t="s">
        <v>1581</v>
      </c>
      <c r="G4" s="8" t="s">
        <v>1592</v>
      </c>
      <c r="H4" s="290"/>
    </row>
    <row r="5" spans="1:34" hidden="1" x14ac:dyDescent="0.25">
      <c r="A5" s="7">
        <v>3</v>
      </c>
      <c r="B5" s="2" t="s">
        <v>1291</v>
      </c>
      <c r="D5" s="2" t="s">
        <v>1411</v>
      </c>
      <c r="E5" s="2" t="s">
        <v>1580</v>
      </c>
      <c r="F5" s="8" t="s">
        <v>1581</v>
      </c>
      <c r="G5" s="8" t="s">
        <v>1592</v>
      </c>
      <c r="H5" s="290"/>
    </row>
    <row r="6" spans="1:34" ht="30" hidden="1" x14ac:dyDescent="0.25">
      <c r="A6" s="7">
        <v>4</v>
      </c>
      <c r="B6" s="2" t="s">
        <v>1288</v>
      </c>
      <c r="D6" s="2" t="s">
        <v>1410</v>
      </c>
      <c r="E6" s="2" t="s">
        <v>1580</v>
      </c>
      <c r="F6" s="8" t="s">
        <v>1581</v>
      </c>
      <c r="G6" s="8" t="s">
        <v>1592</v>
      </c>
      <c r="H6" s="290"/>
    </row>
    <row r="7" spans="1:34" ht="30" hidden="1" x14ac:dyDescent="0.25">
      <c r="A7" s="7">
        <v>5</v>
      </c>
      <c r="B7" s="2" t="s">
        <v>1289</v>
      </c>
      <c r="D7" s="2" t="s">
        <v>1410</v>
      </c>
      <c r="E7" s="2" t="s">
        <v>1580</v>
      </c>
      <c r="F7" s="8" t="s">
        <v>1581</v>
      </c>
      <c r="G7" s="8" t="s">
        <v>1592</v>
      </c>
      <c r="H7" s="290"/>
    </row>
    <row r="8" spans="1:34" ht="30" hidden="1" x14ac:dyDescent="0.25">
      <c r="A8" s="7">
        <v>6</v>
      </c>
      <c r="B8" s="2" t="s">
        <v>1292</v>
      </c>
      <c r="D8" s="2" t="s">
        <v>1409</v>
      </c>
      <c r="E8" s="2" t="s">
        <v>1580</v>
      </c>
      <c r="F8" s="8" t="s">
        <v>1581</v>
      </c>
      <c r="G8" s="8" t="s">
        <v>1592</v>
      </c>
      <c r="H8" s="290"/>
    </row>
    <row r="9" spans="1:34" ht="135" hidden="1" x14ac:dyDescent="0.25">
      <c r="A9" s="7">
        <v>7</v>
      </c>
      <c r="B9" s="368" t="s">
        <v>1413</v>
      </c>
      <c r="C9" s="368"/>
      <c r="D9" s="2" t="s">
        <v>1389</v>
      </c>
      <c r="E9" s="2" t="s">
        <v>1580</v>
      </c>
      <c r="F9" s="8" t="s">
        <v>1581</v>
      </c>
      <c r="G9" s="8" t="s">
        <v>1592</v>
      </c>
      <c r="H9" s="290"/>
    </row>
    <row r="10" spans="1:34" hidden="1" x14ac:dyDescent="0.25">
      <c r="A10" s="7">
        <v>8</v>
      </c>
      <c r="B10" s="2" t="s">
        <v>1414</v>
      </c>
      <c r="D10" s="2" t="s">
        <v>1400</v>
      </c>
      <c r="E10" s="2" t="s">
        <v>1580</v>
      </c>
      <c r="F10" s="8" t="s">
        <v>1581</v>
      </c>
      <c r="G10" s="8" t="s">
        <v>1592</v>
      </c>
      <c r="H10" s="290"/>
    </row>
    <row r="11" spans="1:34" hidden="1" x14ac:dyDescent="0.25">
      <c r="A11" s="7">
        <v>9</v>
      </c>
      <c r="B11" s="2" t="s">
        <v>1294</v>
      </c>
      <c r="D11" s="2" t="s">
        <v>1411</v>
      </c>
      <c r="E11" s="2" t="s">
        <v>1580</v>
      </c>
      <c r="F11" s="8" t="s">
        <v>1581</v>
      </c>
      <c r="G11" s="8" t="s">
        <v>1592</v>
      </c>
      <c r="H11" s="290"/>
    </row>
    <row r="12" spans="1:34" ht="30" hidden="1" x14ac:dyDescent="0.25">
      <c r="A12" s="7">
        <v>10</v>
      </c>
      <c r="B12" s="2" t="s">
        <v>1299</v>
      </c>
      <c r="D12" s="2" t="s">
        <v>1397</v>
      </c>
      <c r="E12" s="2" t="s">
        <v>1580</v>
      </c>
      <c r="F12" s="8" t="s">
        <v>1581</v>
      </c>
      <c r="G12" s="8" t="s">
        <v>1592</v>
      </c>
      <c r="H12" s="290"/>
    </row>
    <row r="13" spans="1:34" hidden="1" x14ac:dyDescent="0.25">
      <c r="A13" s="7">
        <v>11</v>
      </c>
      <c r="B13" s="2" t="s">
        <v>1488</v>
      </c>
      <c r="D13" s="2" t="s">
        <v>1525</v>
      </c>
      <c r="E13" s="2" t="s">
        <v>1580</v>
      </c>
      <c r="F13" s="8" t="s">
        <v>1581</v>
      </c>
      <c r="G13" s="8" t="s">
        <v>1592</v>
      </c>
      <c r="H13" s="290"/>
    </row>
    <row r="14" spans="1:34" hidden="1" x14ac:dyDescent="0.25">
      <c r="A14" s="7">
        <v>12</v>
      </c>
      <c r="B14" s="2" t="s">
        <v>1301</v>
      </c>
      <c r="D14" s="2" t="s">
        <v>1412</v>
      </c>
      <c r="E14" s="2" t="s">
        <v>1580</v>
      </c>
      <c r="F14" s="8" t="s">
        <v>1581</v>
      </c>
      <c r="G14" s="8" t="s">
        <v>1592</v>
      </c>
      <c r="H14" s="290"/>
    </row>
    <row r="15" spans="1:34" hidden="1" x14ac:dyDescent="0.25">
      <c r="A15" s="7">
        <v>13</v>
      </c>
      <c r="B15" s="2" t="s">
        <v>1302</v>
      </c>
      <c r="D15" s="2" t="s">
        <v>1411</v>
      </c>
      <c r="E15" s="2" t="s">
        <v>1580</v>
      </c>
      <c r="F15" s="8" t="s">
        <v>1581</v>
      </c>
      <c r="G15" s="8" t="s">
        <v>1592</v>
      </c>
      <c r="H15" s="290"/>
    </row>
    <row r="16" spans="1:34" hidden="1" x14ac:dyDescent="0.25">
      <c r="A16" s="7">
        <v>14</v>
      </c>
      <c r="B16" s="2" t="s">
        <v>1303</v>
      </c>
      <c r="D16" s="2" t="s">
        <v>1400</v>
      </c>
      <c r="E16" s="2" t="s">
        <v>1580</v>
      </c>
      <c r="F16" s="8" t="s">
        <v>1581</v>
      </c>
      <c r="G16" s="8" t="s">
        <v>1592</v>
      </c>
      <c r="H16" s="290"/>
    </row>
    <row r="17" spans="1:8" hidden="1" x14ac:dyDescent="0.25">
      <c r="A17" s="7">
        <v>15</v>
      </c>
      <c r="B17" s="2" t="s">
        <v>1304</v>
      </c>
      <c r="D17" s="2" t="s">
        <v>1403</v>
      </c>
      <c r="E17" s="2" t="s">
        <v>1580</v>
      </c>
      <c r="F17" s="8" t="s">
        <v>1581</v>
      </c>
      <c r="G17" s="8" t="s">
        <v>1592</v>
      </c>
      <c r="H17" s="290"/>
    </row>
    <row r="18" spans="1:8" ht="30" hidden="1" x14ac:dyDescent="0.25">
      <c r="A18" s="7">
        <v>16</v>
      </c>
      <c r="B18" s="2" t="s">
        <v>1305</v>
      </c>
      <c r="D18" s="2" t="s">
        <v>1411</v>
      </c>
      <c r="E18" s="2" t="s">
        <v>1580</v>
      </c>
      <c r="F18" s="8" t="s">
        <v>1581</v>
      </c>
      <c r="G18" s="8" t="s">
        <v>1592</v>
      </c>
      <c r="H18" s="290"/>
    </row>
    <row r="19" spans="1:8" hidden="1" x14ac:dyDescent="0.25">
      <c r="A19" s="7">
        <v>17</v>
      </c>
      <c r="B19" s="2" t="s">
        <v>1306</v>
      </c>
      <c r="D19" s="2" t="s">
        <v>1407</v>
      </c>
      <c r="E19" s="2" t="s">
        <v>1580</v>
      </c>
      <c r="F19" s="8" t="s">
        <v>1581</v>
      </c>
      <c r="G19" s="8" t="s">
        <v>1592</v>
      </c>
      <c r="H19" s="290"/>
    </row>
    <row r="20" spans="1:8" hidden="1" x14ac:dyDescent="0.25">
      <c r="A20" s="7">
        <v>18</v>
      </c>
      <c r="B20" s="2" t="s">
        <v>1307</v>
      </c>
      <c r="D20" s="2" t="s">
        <v>1407</v>
      </c>
      <c r="E20" s="2" t="s">
        <v>1580</v>
      </c>
      <c r="F20" s="8" t="s">
        <v>1581</v>
      </c>
      <c r="G20" s="8" t="s">
        <v>1592</v>
      </c>
      <c r="H20" s="290"/>
    </row>
    <row r="21" spans="1:8" hidden="1" x14ac:dyDescent="0.25">
      <c r="A21" s="7">
        <v>19</v>
      </c>
      <c r="B21" s="2" t="s">
        <v>1405</v>
      </c>
      <c r="D21" s="2" t="s">
        <v>1398</v>
      </c>
      <c r="E21" s="2" t="s">
        <v>1580</v>
      </c>
      <c r="F21" s="8" t="s">
        <v>1581</v>
      </c>
      <c r="G21" s="8" t="s">
        <v>1592</v>
      </c>
      <c r="H21" s="290"/>
    </row>
    <row r="22" spans="1:8" hidden="1" x14ac:dyDescent="0.25">
      <c r="A22" s="7">
        <v>20</v>
      </c>
      <c r="B22" s="2" t="s">
        <v>1406</v>
      </c>
      <c r="D22" s="2" t="s">
        <v>1399</v>
      </c>
      <c r="E22" s="2" t="s">
        <v>1580</v>
      </c>
      <c r="F22" s="8" t="s">
        <v>1581</v>
      </c>
      <c r="G22" s="8" t="s">
        <v>1592</v>
      </c>
      <c r="H22" s="290"/>
    </row>
    <row r="23" spans="1:8" hidden="1" x14ac:dyDescent="0.25">
      <c r="A23" s="7">
        <v>21</v>
      </c>
      <c r="B23" s="2" t="s">
        <v>1404</v>
      </c>
      <c r="D23" s="2" t="s">
        <v>1399</v>
      </c>
      <c r="E23" s="2" t="s">
        <v>1580</v>
      </c>
      <c r="F23" s="8" t="s">
        <v>1581</v>
      </c>
      <c r="G23" s="8" t="s">
        <v>1592</v>
      </c>
      <c r="H23" s="290"/>
    </row>
    <row r="24" spans="1:8" ht="30" hidden="1" x14ac:dyDescent="0.25">
      <c r="A24" s="7">
        <v>22</v>
      </c>
      <c r="B24" s="2" t="s">
        <v>1402</v>
      </c>
      <c r="D24" s="2" t="s">
        <v>1408</v>
      </c>
      <c r="E24" s="2" t="s">
        <v>1580</v>
      </c>
      <c r="F24" s="8" t="s">
        <v>1581</v>
      </c>
      <c r="G24" s="8" t="s">
        <v>1592</v>
      </c>
      <c r="H24" s="290"/>
    </row>
    <row r="25" spans="1:8" hidden="1" x14ac:dyDescent="0.25">
      <c r="A25" s="7">
        <v>23</v>
      </c>
      <c r="B25" s="2" t="s">
        <v>1574</v>
      </c>
      <c r="D25" s="2" t="s">
        <v>1576</v>
      </c>
      <c r="E25" s="2" t="s">
        <v>1580</v>
      </c>
      <c r="F25" s="8" t="s">
        <v>1581</v>
      </c>
      <c r="G25" s="8" t="s">
        <v>1592</v>
      </c>
      <c r="H25" s="290"/>
    </row>
    <row r="26" spans="1:8" ht="30" hidden="1" x14ac:dyDescent="0.25">
      <c r="A26" s="7">
        <v>24</v>
      </c>
      <c r="B26" s="2" t="s">
        <v>1341</v>
      </c>
      <c r="D26" s="2" t="s">
        <v>1347</v>
      </c>
      <c r="E26" s="2" t="s">
        <v>1580</v>
      </c>
      <c r="F26" s="364">
        <v>42986</v>
      </c>
      <c r="G26" s="2" t="s">
        <v>1597</v>
      </c>
      <c r="H26" s="290"/>
    </row>
    <row r="27" spans="1:8" ht="30" hidden="1" x14ac:dyDescent="0.25">
      <c r="A27" s="7">
        <v>25</v>
      </c>
      <c r="B27" s="2" t="s">
        <v>1342</v>
      </c>
      <c r="D27" s="2" t="s">
        <v>1346</v>
      </c>
      <c r="E27" s="2" t="s">
        <v>1580</v>
      </c>
      <c r="F27" s="364">
        <v>42992</v>
      </c>
      <c r="G27" s="2" t="s">
        <v>1597</v>
      </c>
      <c r="H27" s="290"/>
    </row>
    <row r="28" spans="1:8" ht="195" hidden="1" x14ac:dyDescent="0.25">
      <c r="A28" s="7">
        <v>26</v>
      </c>
      <c r="B28" s="2" t="s">
        <v>1338</v>
      </c>
      <c r="D28" s="2" t="s">
        <v>1594</v>
      </c>
      <c r="E28" s="2" t="s">
        <v>1580</v>
      </c>
      <c r="F28" s="364">
        <v>42992</v>
      </c>
      <c r="G28" s="2" t="s">
        <v>1597</v>
      </c>
      <c r="H28" s="290"/>
    </row>
    <row r="29" spans="1:8" ht="30" hidden="1" x14ac:dyDescent="0.25">
      <c r="A29" s="7">
        <v>27</v>
      </c>
      <c r="B29" s="2" t="s">
        <v>1344</v>
      </c>
      <c r="D29" s="2" t="s">
        <v>875</v>
      </c>
      <c r="E29" s="2" t="s">
        <v>1580</v>
      </c>
      <c r="F29" s="364">
        <v>42992</v>
      </c>
      <c r="G29" s="2" t="s">
        <v>1597</v>
      </c>
      <c r="H29" s="290"/>
    </row>
    <row r="30" spans="1:8" ht="30" hidden="1" x14ac:dyDescent="0.25">
      <c r="A30" s="7">
        <v>28</v>
      </c>
      <c r="B30" s="2" t="s">
        <v>1360</v>
      </c>
      <c r="D30" s="2" t="s">
        <v>960</v>
      </c>
      <c r="E30" s="2" t="s">
        <v>1580</v>
      </c>
      <c r="F30" s="364">
        <v>42999</v>
      </c>
      <c r="G30" s="2" t="s">
        <v>1597</v>
      </c>
      <c r="H30" s="290"/>
    </row>
    <row r="31" spans="1:8" ht="30" hidden="1" x14ac:dyDescent="0.25">
      <c r="A31" s="7">
        <v>29</v>
      </c>
      <c r="B31" s="2" t="s">
        <v>48</v>
      </c>
      <c r="D31" s="2" t="s">
        <v>961</v>
      </c>
      <c r="E31" s="2" t="s">
        <v>1580</v>
      </c>
      <c r="F31" s="364">
        <v>42999</v>
      </c>
      <c r="G31" s="2" t="s">
        <v>1597</v>
      </c>
      <c r="H31" s="290"/>
    </row>
    <row r="32" spans="1:8" ht="30" hidden="1" x14ac:dyDescent="0.25">
      <c r="A32" s="7">
        <v>30</v>
      </c>
      <c r="B32" s="2" t="s">
        <v>1348</v>
      </c>
      <c r="D32" s="2" t="s">
        <v>1043</v>
      </c>
      <c r="E32" s="2" t="s">
        <v>1580</v>
      </c>
      <c r="F32" s="364">
        <v>42999</v>
      </c>
      <c r="G32" s="2" t="s">
        <v>1597</v>
      </c>
      <c r="H32" s="290"/>
    </row>
    <row r="33" spans="1:8" ht="30" hidden="1" x14ac:dyDescent="0.25">
      <c r="A33" s="7">
        <v>31</v>
      </c>
      <c r="B33" s="2" t="s">
        <v>1349</v>
      </c>
      <c r="D33" s="2" t="s">
        <v>1044</v>
      </c>
      <c r="E33" s="2" t="s">
        <v>1580</v>
      </c>
      <c r="F33" s="364">
        <v>42999</v>
      </c>
      <c r="G33" s="2" t="s">
        <v>1597</v>
      </c>
      <c r="H33" s="290"/>
    </row>
    <row r="34" spans="1:8" ht="30" hidden="1" x14ac:dyDescent="0.25">
      <c r="A34" s="7">
        <v>32</v>
      </c>
      <c r="B34" s="2" t="s">
        <v>1338</v>
      </c>
      <c r="D34" s="2" t="s">
        <v>1387</v>
      </c>
      <c r="E34" s="2" t="s">
        <v>1580</v>
      </c>
      <c r="F34" s="364">
        <v>42999</v>
      </c>
      <c r="G34" s="2" t="s">
        <v>1597</v>
      </c>
      <c r="H34" s="290"/>
    </row>
    <row r="35" spans="1:8" ht="30" hidden="1" x14ac:dyDescent="0.25">
      <c r="A35" s="7">
        <v>33</v>
      </c>
      <c r="B35" s="2" t="s">
        <v>1350</v>
      </c>
      <c r="D35" s="2" t="s">
        <v>1351</v>
      </c>
      <c r="E35" s="2" t="s">
        <v>1580</v>
      </c>
      <c r="F35" s="364">
        <v>42999</v>
      </c>
      <c r="G35" s="2" t="s">
        <v>1597</v>
      </c>
      <c r="H35" s="290"/>
    </row>
    <row r="36" spans="1:8" ht="30" hidden="1" x14ac:dyDescent="0.25">
      <c r="A36" s="7">
        <v>34</v>
      </c>
      <c r="B36" s="2" t="s">
        <v>1338</v>
      </c>
      <c r="D36" s="2" t="s">
        <v>962</v>
      </c>
      <c r="E36" s="2" t="s">
        <v>1580</v>
      </c>
      <c r="F36" s="364">
        <v>42999</v>
      </c>
      <c r="G36" s="2" t="s">
        <v>1597</v>
      </c>
      <c r="H36" s="290"/>
    </row>
    <row r="37" spans="1:8" ht="30" hidden="1" x14ac:dyDescent="0.25">
      <c r="A37" s="7">
        <v>35</v>
      </c>
      <c r="B37" s="2" t="s">
        <v>1352</v>
      </c>
      <c r="D37" s="2" t="s">
        <v>1353</v>
      </c>
      <c r="E37" s="2" t="s">
        <v>1580</v>
      </c>
      <c r="F37" s="364">
        <v>43021</v>
      </c>
      <c r="G37" s="2" t="s">
        <v>1597</v>
      </c>
      <c r="H37" s="290"/>
    </row>
    <row r="38" spans="1:8" ht="30" hidden="1" x14ac:dyDescent="0.25">
      <c r="A38" s="7">
        <v>36</v>
      </c>
      <c r="B38" s="2" t="s">
        <v>1305</v>
      </c>
      <c r="D38" s="2" t="s">
        <v>2700</v>
      </c>
      <c r="E38" s="2" t="s">
        <v>1580</v>
      </c>
      <c r="F38" s="364">
        <v>43054</v>
      </c>
      <c r="G38" s="2" t="s">
        <v>1597</v>
      </c>
      <c r="H38" s="290"/>
    </row>
    <row r="39" spans="1:8" ht="30" hidden="1" x14ac:dyDescent="0.25">
      <c r="A39" s="7">
        <v>37</v>
      </c>
      <c r="D39" s="2" t="s">
        <v>1356</v>
      </c>
      <c r="E39" s="2" t="s">
        <v>1580</v>
      </c>
      <c r="F39" s="364">
        <v>43174</v>
      </c>
      <c r="G39" s="2" t="s">
        <v>1597</v>
      </c>
      <c r="H39" s="290"/>
    </row>
    <row r="40" spans="1:8" ht="30" hidden="1" x14ac:dyDescent="0.25">
      <c r="A40" s="7">
        <v>38</v>
      </c>
      <c r="B40" s="2" t="s">
        <v>1355</v>
      </c>
      <c r="D40" s="2" t="s">
        <v>1357</v>
      </c>
      <c r="E40" s="2" t="s">
        <v>1580</v>
      </c>
      <c r="F40" s="364">
        <v>43174</v>
      </c>
      <c r="G40" s="2" t="s">
        <v>1597</v>
      </c>
      <c r="H40" s="290"/>
    </row>
    <row r="41" spans="1:8" ht="30" hidden="1" x14ac:dyDescent="0.25">
      <c r="A41" s="7">
        <v>39</v>
      </c>
      <c r="B41" s="2" t="s">
        <v>1358</v>
      </c>
      <c r="D41" s="2" t="s">
        <v>1359</v>
      </c>
      <c r="E41" s="2" t="s">
        <v>1580</v>
      </c>
      <c r="F41" s="364">
        <v>43177</v>
      </c>
      <c r="G41" s="2" t="s">
        <v>1597</v>
      </c>
      <c r="H41" s="290"/>
    </row>
    <row r="42" spans="1:8" ht="30" hidden="1" x14ac:dyDescent="0.25">
      <c r="A42" s="7">
        <v>40</v>
      </c>
      <c r="B42" s="2" t="s">
        <v>1317</v>
      </c>
      <c r="D42" s="2" t="s">
        <v>1377</v>
      </c>
      <c r="E42" s="2" t="s">
        <v>1580</v>
      </c>
      <c r="F42" s="364">
        <v>43230</v>
      </c>
      <c r="G42" s="2" t="s">
        <v>1597</v>
      </c>
      <c r="H42" s="290"/>
    </row>
    <row r="43" spans="1:8" ht="30" hidden="1" x14ac:dyDescent="0.25">
      <c r="A43" s="7">
        <v>41</v>
      </c>
      <c r="B43" s="2" t="s">
        <v>1320</v>
      </c>
      <c r="D43" s="2" t="s">
        <v>1376</v>
      </c>
      <c r="E43" s="2" t="s">
        <v>1580</v>
      </c>
      <c r="F43" s="364">
        <v>43230</v>
      </c>
      <c r="G43" s="2" t="s">
        <v>1597</v>
      </c>
      <c r="H43" s="290"/>
    </row>
    <row r="44" spans="1:8" ht="30" hidden="1" x14ac:dyDescent="0.25">
      <c r="A44" s="7">
        <v>42</v>
      </c>
      <c r="B44" s="2" t="s">
        <v>1322</v>
      </c>
      <c r="D44" s="2" t="s">
        <v>1375</v>
      </c>
      <c r="E44" s="2" t="s">
        <v>1580</v>
      </c>
      <c r="F44" s="364">
        <v>43230</v>
      </c>
      <c r="G44" s="2" t="s">
        <v>1597</v>
      </c>
      <c r="H44" s="290"/>
    </row>
    <row r="45" spans="1:8" ht="30" hidden="1" x14ac:dyDescent="0.25">
      <c r="A45" s="7">
        <v>43</v>
      </c>
      <c r="B45" s="2" t="s">
        <v>1360</v>
      </c>
      <c r="D45" s="2" t="s">
        <v>1046</v>
      </c>
      <c r="E45" s="2" t="s">
        <v>1580</v>
      </c>
      <c r="F45" s="364">
        <v>43230</v>
      </c>
      <c r="G45" s="2" t="s">
        <v>1597</v>
      </c>
      <c r="H45" s="290"/>
    </row>
    <row r="46" spans="1:8" ht="30" hidden="1" x14ac:dyDescent="0.25">
      <c r="A46" s="7">
        <v>44</v>
      </c>
      <c r="B46" s="2" t="s">
        <v>48</v>
      </c>
      <c r="D46" s="2" t="s">
        <v>1380</v>
      </c>
      <c r="E46" s="2" t="s">
        <v>1580</v>
      </c>
      <c r="F46" s="364">
        <v>43230</v>
      </c>
      <c r="G46" s="2" t="s">
        <v>1597</v>
      </c>
      <c r="H46" s="290"/>
    </row>
    <row r="47" spans="1:8" ht="30" hidden="1" x14ac:dyDescent="0.25">
      <c r="A47" s="7">
        <v>45</v>
      </c>
      <c r="B47" s="2" t="s">
        <v>467</v>
      </c>
      <c r="D47" s="2" t="s">
        <v>1379</v>
      </c>
      <c r="E47" s="2" t="s">
        <v>1580</v>
      </c>
      <c r="F47" s="364">
        <v>43238</v>
      </c>
      <c r="G47" s="2" t="s">
        <v>1597</v>
      </c>
      <c r="H47" s="290"/>
    </row>
    <row r="48" spans="1:8" ht="30" hidden="1" x14ac:dyDescent="0.25">
      <c r="A48" s="7">
        <v>46</v>
      </c>
      <c r="B48" s="2" t="s">
        <v>1361</v>
      </c>
      <c r="D48" s="2" t="s">
        <v>1218</v>
      </c>
      <c r="E48" s="2" t="s">
        <v>1580</v>
      </c>
      <c r="F48" s="364">
        <v>43241</v>
      </c>
      <c r="G48" s="2" t="s">
        <v>1597</v>
      </c>
      <c r="H48" s="290"/>
    </row>
    <row r="49" spans="1:8" ht="30" hidden="1" x14ac:dyDescent="0.25">
      <c r="A49" s="7">
        <v>47</v>
      </c>
      <c r="B49" s="2" t="s">
        <v>1361</v>
      </c>
      <c r="D49" s="2" t="s">
        <v>1219</v>
      </c>
      <c r="E49" s="2" t="s">
        <v>1580</v>
      </c>
      <c r="F49" s="364">
        <v>43241</v>
      </c>
      <c r="G49" s="2" t="s">
        <v>1597</v>
      </c>
      <c r="H49" s="290"/>
    </row>
    <row r="50" spans="1:8" ht="30" hidden="1" x14ac:dyDescent="0.25">
      <c r="A50" s="7">
        <v>48</v>
      </c>
      <c r="B50" s="2" t="s">
        <v>1362</v>
      </c>
      <c r="D50" s="2" t="s">
        <v>1220</v>
      </c>
      <c r="E50" s="2" t="s">
        <v>1580</v>
      </c>
      <c r="F50" s="364">
        <v>43241</v>
      </c>
      <c r="G50" s="2" t="s">
        <v>1597</v>
      </c>
      <c r="H50" s="290"/>
    </row>
    <row r="51" spans="1:8" ht="30" hidden="1" x14ac:dyDescent="0.25">
      <c r="A51" s="7">
        <v>49</v>
      </c>
      <c r="B51" s="2" t="s">
        <v>1362</v>
      </c>
      <c r="D51" s="2" t="s">
        <v>1221</v>
      </c>
      <c r="E51" s="2" t="s">
        <v>1580</v>
      </c>
      <c r="F51" s="364">
        <v>43241</v>
      </c>
      <c r="G51" s="2" t="s">
        <v>1597</v>
      </c>
      <c r="H51" s="290"/>
    </row>
    <row r="52" spans="1:8" ht="30" hidden="1" x14ac:dyDescent="0.25">
      <c r="A52" s="7">
        <v>50</v>
      </c>
      <c r="B52" s="2" t="s">
        <v>1321</v>
      </c>
      <c r="D52" s="2" t="s">
        <v>1381</v>
      </c>
      <c r="E52" s="2" t="s">
        <v>1580</v>
      </c>
      <c r="F52" s="364">
        <v>43243</v>
      </c>
      <c r="G52" s="2" t="s">
        <v>1597</v>
      </c>
      <c r="H52" s="290"/>
    </row>
    <row r="53" spans="1:8" ht="30" hidden="1" x14ac:dyDescent="0.25">
      <c r="A53" s="7">
        <v>51</v>
      </c>
      <c r="B53" s="2" t="s">
        <v>1321</v>
      </c>
      <c r="D53" s="2" t="s">
        <v>1365</v>
      </c>
      <c r="E53" s="2" t="s">
        <v>1580</v>
      </c>
      <c r="F53" s="364">
        <v>43243</v>
      </c>
      <c r="G53" s="2" t="s">
        <v>1597</v>
      </c>
      <c r="H53" s="290"/>
    </row>
    <row r="54" spans="1:8" ht="30" hidden="1" x14ac:dyDescent="0.25">
      <c r="A54" s="7">
        <v>52</v>
      </c>
      <c r="B54" s="2" t="s">
        <v>1363</v>
      </c>
      <c r="D54" s="2" t="s">
        <v>1223</v>
      </c>
      <c r="E54" s="2" t="s">
        <v>1580</v>
      </c>
      <c r="F54" s="364">
        <v>43243</v>
      </c>
      <c r="G54" s="2" t="s">
        <v>1597</v>
      </c>
      <c r="H54" s="290"/>
    </row>
    <row r="55" spans="1:8" ht="30" hidden="1" x14ac:dyDescent="0.25">
      <c r="A55" s="7">
        <v>53</v>
      </c>
      <c r="B55" s="2" t="s">
        <v>1229</v>
      </c>
      <c r="D55" s="2" t="s">
        <v>1364</v>
      </c>
      <c r="E55" s="2" t="s">
        <v>1580</v>
      </c>
      <c r="F55" s="364">
        <v>43243</v>
      </c>
      <c r="G55" s="2" t="s">
        <v>1597</v>
      </c>
      <c r="H55" s="290"/>
    </row>
    <row r="56" spans="1:8" ht="30" hidden="1" x14ac:dyDescent="0.25">
      <c r="A56" s="7">
        <v>54</v>
      </c>
      <c r="B56" s="2" t="s">
        <v>1321</v>
      </c>
      <c r="D56" s="2" t="s">
        <v>1232</v>
      </c>
      <c r="E56" s="2" t="s">
        <v>1580</v>
      </c>
      <c r="F56" s="364">
        <v>43243</v>
      </c>
      <c r="G56" s="2" t="s">
        <v>1597</v>
      </c>
      <c r="H56" s="290"/>
    </row>
    <row r="57" spans="1:8" ht="30" hidden="1" x14ac:dyDescent="0.25">
      <c r="A57" s="7">
        <v>55</v>
      </c>
      <c r="B57" s="2" t="s">
        <v>1293</v>
      </c>
      <c r="D57" s="2" t="s">
        <v>1366</v>
      </c>
      <c r="E57" s="2" t="s">
        <v>1580</v>
      </c>
      <c r="F57" s="364">
        <v>43252</v>
      </c>
      <c r="G57" s="2" t="s">
        <v>1597</v>
      </c>
      <c r="H57" s="290"/>
    </row>
    <row r="58" spans="1:8" ht="30" hidden="1" x14ac:dyDescent="0.25">
      <c r="A58" s="7">
        <v>56</v>
      </c>
      <c r="B58" s="2" t="s">
        <v>1293</v>
      </c>
      <c r="D58" s="2" t="s">
        <v>1367</v>
      </c>
      <c r="E58" s="2" t="s">
        <v>1580</v>
      </c>
      <c r="F58" s="364">
        <v>43252</v>
      </c>
      <c r="G58" s="2" t="s">
        <v>1597</v>
      </c>
      <c r="H58" s="290"/>
    </row>
    <row r="59" spans="1:8" ht="30" hidden="1" x14ac:dyDescent="0.25">
      <c r="A59" s="7">
        <v>57</v>
      </c>
      <c r="B59" s="2" t="s">
        <v>1293</v>
      </c>
      <c r="D59" s="2" t="s">
        <v>1368</v>
      </c>
      <c r="E59" s="2" t="s">
        <v>1580</v>
      </c>
      <c r="F59" s="364">
        <v>43252</v>
      </c>
      <c r="G59" s="2" t="s">
        <v>1597</v>
      </c>
      <c r="H59" s="290"/>
    </row>
    <row r="60" spans="1:8" ht="30" hidden="1" x14ac:dyDescent="0.25">
      <c r="A60" s="7">
        <v>58</v>
      </c>
      <c r="B60" s="2" t="s">
        <v>1293</v>
      </c>
      <c r="D60" s="2" t="s">
        <v>1372</v>
      </c>
      <c r="E60" s="2" t="s">
        <v>1580</v>
      </c>
      <c r="F60" s="364">
        <v>43252</v>
      </c>
      <c r="G60" s="2" t="s">
        <v>1597</v>
      </c>
      <c r="H60" s="290"/>
    </row>
    <row r="61" spans="1:8" ht="30" hidden="1" x14ac:dyDescent="0.25">
      <c r="A61" s="7">
        <v>59</v>
      </c>
      <c r="B61" s="2" t="s">
        <v>1320</v>
      </c>
      <c r="D61" s="2" t="s">
        <v>1369</v>
      </c>
      <c r="E61" s="2" t="s">
        <v>1580</v>
      </c>
      <c r="F61" s="364">
        <v>43252</v>
      </c>
      <c r="G61" s="2" t="s">
        <v>1597</v>
      </c>
      <c r="H61" s="290"/>
    </row>
    <row r="62" spans="1:8" ht="30" hidden="1" x14ac:dyDescent="0.25">
      <c r="A62" s="7">
        <v>60</v>
      </c>
      <c r="B62" s="2" t="s">
        <v>1373</v>
      </c>
      <c r="D62" s="2" t="s">
        <v>1370</v>
      </c>
      <c r="E62" s="2" t="s">
        <v>1580</v>
      </c>
      <c r="F62" s="364">
        <v>43254</v>
      </c>
      <c r="G62" s="2" t="s">
        <v>1597</v>
      </c>
      <c r="H62" s="290"/>
    </row>
    <row r="63" spans="1:8" ht="30" hidden="1" x14ac:dyDescent="0.25">
      <c r="A63" s="7">
        <v>61</v>
      </c>
      <c r="B63" s="2" t="s">
        <v>1374</v>
      </c>
      <c r="D63" s="2" t="s">
        <v>1371</v>
      </c>
      <c r="E63" s="2" t="s">
        <v>1580</v>
      </c>
      <c r="F63" s="364">
        <v>43254</v>
      </c>
      <c r="G63" s="2" t="s">
        <v>1597</v>
      </c>
      <c r="H63" s="290"/>
    </row>
    <row r="64" spans="1:8" ht="30" hidden="1" x14ac:dyDescent="0.25">
      <c r="A64" s="7">
        <v>62</v>
      </c>
      <c r="B64" s="2" t="s">
        <v>1384</v>
      </c>
      <c r="D64" s="2" t="s">
        <v>1596</v>
      </c>
      <c r="E64" s="2" t="s">
        <v>1580</v>
      </c>
      <c r="F64" s="364">
        <v>43254</v>
      </c>
      <c r="G64" s="2" t="s">
        <v>1597</v>
      </c>
      <c r="H64" s="290"/>
    </row>
    <row r="65" spans="1:8" ht="30" hidden="1" x14ac:dyDescent="0.25">
      <c r="A65" s="7">
        <v>63</v>
      </c>
      <c r="B65" s="2" t="s">
        <v>1320</v>
      </c>
      <c r="D65" s="2" t="s">
        <v>1386</v>
      </c>
      <c r="E65" s="2" t="s">
        <v>1580</v>
      </c>
      <c r="F65" s="364">
        <v>43255</v>
      </c>
      <c r="G65" s="2" t="s">
        <v>1597</v>
      </c>
      <c r="H65" s="290"/>
    </row>
    <row r="66" spans="1:8" ht="30" hidden="1" x14ac:dyDescent="0.25">
      <c r="A66" s="7">
        <v>64</v>
      </c>
      <c r="B66" s="2" t="s">
        <v>1338</v>
      </c>
      <c r="D66" s="2" t="s">
        <v>1388</v>
      </c>
      <c r="E66" s="2" t="s">
        <v>1580</v>
      </c>
      <c r="F66" s="364">
        <v>43255</v>
      </c>
      <c r="G66" s="2" t="s">
        <v>1597</v>
      </c>
      <c r="H66" s="290"/>
    </row>
    <row r="67" spans="1:8" ht="30" hidden="1" x14ac:dyDescent="0.25">
      <c r="A67" s="7">
        <v>65</v>
      </c>
      <c r="B67" s="2" t="s">
        <v>1488</v>
      </c>
      <c r="D67" s="2" t="s">
        <v>1527</v>
      </c>
      <c r="E67" s="2" t="s">
        <v>1580</v>
      </c>
      <c r="F67" s="364">
        <v>43270</v>
      </c>
      <c r="G67" s="2" t="s">
        <v>1597</v>
      </c>
      <c r="H67" s="290"/>
    </row>
    <row r="68" spans="1:8" ht="30" hidden="1" x14ac:dyDescent="0.25">
      <c r="A68" s="7">
        <v>66</v>
      </c>
      <c r="B68" s="2" t="s">
        <v>1488</v>
      </c>
      <c r="D68" s="2" t="s">
        <v>1526</v>
      </c>
      <c r="E68" s="2" t="s">
        <v>1580</v>
      </c>
      <c r="F68" s="364">
        <v>43272</v>
      </c>
      <c r="G68" s="2" t="s">
        <v>1597</v>
      </c>
      <c r="H68" s="290"/>
    </row>
    <row r="69" spans="1:8" ht="30" hidden="1" x14ac:dyDescent="0.25">
      <c r="A69" s="7">
        <v>67</v>
      </c>
      <c r="B69" s="2" t="s">
        <v>1574</v>
      </c>
      <c r="D69" s="2" t="s">
        <v>1575</v>
      </c>
      <c r="E69" s="2" t="s">
        <v>1580</v>
      </c>
      <c r="F69" s="364">
        <v>43273</v>
      </c>
      <c r="G69" s="2" t="s">
        <v>1597</v>
      </c>
      <c r="H69" s="290"/>
    </row>
    <row r="70" spans="1:8" ht="60" hidden="1" x14ac:dyDescent="0.25">
      <c r="A70" s="7">
        <v>68</v>
      </c>
      <c r="B70" s="2" t="s">
        <v>1343</v>
      </c>
      <c r="D70" s="2" t="s">
        <v>1345</v>
      </c>
      <c r="E70" s="2" t="s">
        <v>1595</v>
      </c>
      <c r="F70" s="364">
        <v>42992</v>
      </c>
      <c r="G70" s="2" t="s">
        <v>1597</v>
      </c>
      <c r="H70" s="290"/>
    </row>
    <row r="71" spans="1:8" ht="30" hidden="1" x14ac:dyDescent="0.25">
      <c r="A71" s="7">
        <v>69</v>
      </c>
      <c r="B71" s="2" t="s">
        <v>1605</v>
      </c>
      <c r="C71" s="2" t="s">
        <v>1315</v>
      </c>
      <c r="D71" s="2" t="s">
        <v>1623</v>
      </c>
      <c r="E71" s="2" t="s">
        <v>1580</v>
      </c>
      <c r="F71" s="364">
        <v>43419</v>
      </c>
      <c r="G71" s="8" t="s">
        <v>1624</v>
      </c>
      <c r="H71" s="290" t="s">
        <v>2363</v>
      </c>
    </row>
    <row r="72" spans="1:8" ht="30" hidden="1" x14ac:dyDescent="0.25">
      <c r="A72" s="7">
        <v>70</v>
      </c>
      <c r="B72" s="2" t="s">
        <v>1604</v>
      </c>
      <c r="C72" s="2" t="s">
        <v>1298</v>
      </c>
      <c r="D72" s="2" t="s">
        <v>1623</v>
      </c>
      <c r="E72" s="2" t="s">
        <v>1580</v>
      </c>
      <c r="F72" s="364">
        <v>43418</v>
      </c>
      <c r="G72" s="8" t="s">
        <v>1624</v>
      </c>
      <c r="H72" s="290" t="s">
        <v>2363</v>
      </c>
    </row>
    <row r="73" spans="1:8" ht="30" hidden="1" x14ac:dyDescent="0.25">
      <c r="A73" s="7">
        <v>71</v>
      </c>
      <c r="B73" s="4" t="s">
        <v>1625</v>
      </c>
      <c r="C73" s="2" t="s">
        <v>1136</v>
      </c>
      <c r="D73" s="2" t="s">
        <v>1587</v>
      </c>
      <c r="E73" s="2" t="s">
        <v>1580</v>
      </c>
      <c r="F73" s="364">
        <v>43419</v>
      </c>
      <c r="G73" s="8" t="s">
        <v>1593</v>
      </c>
      <c r="H73" s="290" t="s">
        <v>2363</v>
      </c>
    </row>
    <row r="74" spans="1:8" ht="30" hidden="1" x14ac:dyDescent="0.25">
      <c r="A74" s="7">
        <v>72</v>
      </c>
      <c r="B74" s="2" t="s">
        <v>1384</v>
      </c>
      <c r="C74" s="2" t="s">
        <v>1309</v>
      </c>
      <c r="D74" s="2" t="s">
        <v>1623</v>
      </c>
      <c r="E74" s="2" t="s">
        <v>1580</v>
      </c>
      <c r="F74" s="364">
        <v>43412</v>
      </c>
      <c r="G74" s="8" t="s">
        <v>1624</v>
      </c>
      <c r="H74" s="290" t="s">
        <v>2363</v>
      </c>
    </row>
    <row r="75" spans="1:8" ht="45" hidden="1" x14ac:dyDescent="0.25">
      <c r="A75" s="7">
        <v>73</v>
      </c>
      <c r="B75" s="1" t="s">
        <v>1601</v>
      </c>
      <c r="C75" s="2" t="s">
        <v>1139</v>
      </c>
      <c r="D75" s="2" t="s">
        <v>1586</v>
      </c>
      <c r="E75" s="2" t="s">
        <v>1580</v>
      </c>
      <c r="F75" s="364">
        <v>43470</v>
      </c>
      <c r="G75" s="8" t="s">
        <v>1593</v>
      </c>
      <c r="H75" s="290" t="s">
        <v>2363</v>
      </c>
    </row>
    <row r="76" spans="1:8" ht="30" hidden="1" x14ac:dyDescent="0.25">
      <c r="A76" s="7">
        <v>74</v>
      </c>
      <c r="B76" s="2" t="s">
        <v>1603</v>
      </c>
      <c r="C76" s="2" t="s">
        <v>1141</v>
      </c>
      <c r="D76" s="2" t="s">
        <v>1623</v>
      </c>
      <c r="E76" s="2" t="s">
        <v>1580</v>
      </c>
      <c r="F76" s="364">
        <v>43390</v>
      </c>
      <c r="G76" s="8" t="s">
        <v>1624</v>
      </c>
      <c r="H76" s="290" t="s">
        <v>2363</v>
      </c>
    </row>
    <row r="77" spans="1:8" ht="30" hidden="1" x14ac:dyDescent="0.25">
      <c r="A77" s="7">
        <v>75</v>
      </c>
      <c r="B77" s="2" t="s">
        <v>1602</v>
      </c>
      <c r="C77" s="2" t="s">
        <v>1140</v>
      </c>
      <c r="D77" s="2" t="s">
        <v>1623</v>
      </c>
      <c r="E77" s="2" t="s">
        <v>1580</v>
      </c>
      <c r="F77" s="364">
        <v>43415</v>
      </c>
      <c r="G77" s="8" t="s">
        <v>1624</v>
      </c>
      <c r="H77" s="290" t="s">
        <v>2363</v>
      </c>
    </row>
    <row r="78" spans="1:8" ht="30" hidden="1" x14ac:dyDescent="0.25">
      <c r="A78" s="7">
        <v>76</v>
      </c>
      <c r="B78" s="4" t="s">
        <v>1608</v>
      </c>
      <c r="C78" s="2" t="s">
        <v>1152</v>
      </c>
      <c r="D78" s="2" t="s">
        <v>1623</v>
      </c>
      <c r="E78" s="2" t="s">
        <v>1580</v>
      </c>
      <c r="F78" s="364">
        <v>43487</v>
      </c>
      <c r="G78" s="8" t="s">
        <v>1624</v>
      </c>
      <c r="H78" s="290" t="s">
        <v>2363</v>
      </c>
    </row>
    <row r="79" spans="1:8" ht="30" hidden="1" x14ac:dyDescent="0.25">
      <c r="A79" s="7">
        <v>77</v>
      </c>
      <c r="B79" s="2" t="s">
        <v>1606</v>
      </c>
      <c r="C79" s="2" t="s">
        <v>1528</v>
      </c>
      <c r="D79" s="2" t="s">
        <v>1588</v>
      </c>
      <c r="E79" s="2" t="s">
        <v>1580</v>
      </c>
      <c r="F79" s="364">
        <v>43467</v>
      </c>
      <c r="G79" s="8" t="s">
        <v>1593</v>
      </c>
      <c r="H79" s="290" t="s">
        <v>2363</v>
      </c>
    </row>
    <row r="80" spans="1:8" ht="30" hidden="1" x14ac:dyDescent="0.25">
      <c r="A80" s="7">
        <v>78</v>
      </c>
      <c r="B80" s="2" t="s">
        <v>1607</v>
      </c>
      <c r="C80" s="2" t="s">
        <v>1148</v>
      </c>
      <c r="D80" s="2" t="s">
        <v>1588</v>
      </c>
      <c r="E80" s="2" t="s">
        <v>1580</v>
      </c>
      <c r="F80" s="364">
        <v>43467</v>
      </c>
      <c r="G80" s="8" t="s">
        <v>1593</v>
      </c>
      <c r="H80" s="290" t="s">
        <v>2363</v>
      </c>
    </row>
    <row r="81" spans="1:8" ht="30" hidden="1" x14ac:dyDescent="0.25">
      <c r="A81" s="7">
        <v>79</v>
      </c>
      <c r="B81" s="2" t="s">
        <v>1599</v>
      </c>
      <c r="C81" s="2" t="s">
        <v>1137</v>
      </c>
      <c r="D81" s="2" t="s">
        <v>1588</v>
      </c>
      <c r="E81" s="2" t="s">
        <v>1580</v>
      </c>
      <c r="F81" s="364">
        <v>43454</v>
      </c>
      <c r="G81" s="8" t="s">
        <v>1593</v>
      </c>
      <c r="H81" s="290" t="s">
        <v>2363</v>
      </c>
    </row>
    <row r="82" spans="1:8" hidden="1" x14ac:dyDescent="0.25">
      <c r="A82" s="7">
        <v>80</v>
      </c>
      <c r="B82" s="4" t="s">
        <v>1600</v>
      </c>
      <c r="C82" s="2" t="s">
        <v>1138</v>
      </c>
      <c r="D82" s="2" t="s">
        <v>1623</v>
      </c>
      <c r="E82" s="2" t="s">
        <v>1580</v>
      </c>
      <c r="F82" s="364">
        <v>43469</v>
      </c>
      <c r="G82" s="8" t="s">
        <v>1624</v>
      </c>
      <c r="H82" s="290" t="s">
        <v>2363</v>
      </c>
    </row>
    <row r="83" spans="1:8" ht="90" hidden="1" x14ac:dyDescent="0.25">
      <c r="A83" s="7">
        <v>81</v>
      </c>
      <c r="B83" s="2" t="s">
        <v>1413</v>
      </c>
      <c r="C83" s="2" t="s">
        <v>1622</v>
      </c>
      <c r="D83" s="2" t="s">
        <v>2011</v>
      </c>
      <c r="E83" s="2" t="s">
        <v>1580</v>
      </c>
      <c r="F83" s="364">
        <v>43408</v>
      </c>
      <c r="G83" s="8" t="s">
        <v>1593</v>
      </c>
      <c r="H83" s="290" t="s">
        <v>2363</v>
      </c>
    </row>
    <row r="84" spans="1:8" ht="75" hidden="1" x14ac:dyDescent="0.25">
      <c r="A84" s="7">
        <v>82</v>
      </c>
      <c r="B84" s="2" t="s">
        <v>1413</v>
      </c>
      <c r="C84" s="2" t="s">
        <v>1622</v>
      </c>
      <c r="D84" s="2" t="s">
        <v>1585</v>
      </c>
      <c r="E84" s="2" t="s">
        <v>1580</v>
      </c>
      <c r="F84" s="364">
        <v>43408</v>
      </c>
      <c r="G84" s="8" t="s">
        <v>1593</v>
      </c>
      <c r="H84" s="290" t="s">
        <v>2363</v>
      </c>
    </row>
    <row r="85" spans="1:8" ht="30" hidden="1" x14ac:dyDescent="0.25">
      <c r="A85" s="7">
        <v>83</v>
      </c>
      <c r="B85" s="2" t="s">
        <v>467</v>
      </c>
      <c r="C85" s="2" t="s">
        <v>1626</v>
      </c>
      <c r="D85" s="2" t="s">
        <v>1623</v>
      </c>
      <c r="E85" s="2" t="s">
        <v>1580</v>
      </c>
      <c r="F85" s="364">
        <v>43390</v>
      </c>
      <c r="G85" s="8" t="s">
        <v>1624</v>
      </c>
      <c r="H85" s="290" t="s">
        <v>2363</v>
      </c>
    </row>
    <row r="86" spans="1:8" ht="30" hidden="1" x14ac:dyDescent="0.25">
      <c r="A86" s="7">
        <v>84</v>
      </c>
      <c r="B86" s="2" t="s">
        <v>1582</v>
      </c>
      <c r="C86" s="2" t="s">
        <v>252</v>
      </c>
      <c r="D86" s="2" t="s">
        <v>1621</v>
      </c>
      <c r="E86" s="2" t="s">
        <v>1580</v>
      </c>
      <c r="F86" s="364">
        <v>43451</v>
      </c>
      <c r="G86" s="8" t="s">
        <v>1593</v>
      </c>
      <c r="H86" s="290" t="s">
        <v>2363</v>
      </c>
    </row>
    <row r="87" spans="1:8" ht="30" hidden="1" x14ac:dyDescent="0.25">
      <c r="A87" s="7">
        <v>85</v>
      </c>
      <c r="B87" s="2" t="s">
        <v>1582</v>
      </c>
      <c r="C87" s="2" t="s">
        <v>252</v>
      </c>
      <c r="D87" s="2" t="s">
        <v>2658</v>
      </c>
      <c r="E87" s="2" t="s">
        <v>1580</v>
      </c>
      <c r="F87" s="364">
        <v>43451</v>
      </c>
      <c r="G87" s="8" t="s">
        <v>1593</v>
      </c>
      <c r="H87" s="290" t="s">
        <v>2363</v>
      </c>
    </row>
    <row r="88" spans="1:8" ht="30" hidden="1" x14ac:dyDescent="0.25">
      <c r="A88" s="7">
        <v>86</v>
      </c>
      <c r="B88" s="2" t="s">
        <v>1582</v>
      </c>
      <c r="C88" s="2" t="s">
        <v>252</v>
      </c>
      <c r="D88" s="2" t="s">
        <v>1617</v>
      </c>
      <c r="E88" s="2" t="s">
        <v>1580</v>
      </c>
      <c r="F88" s="364">
        <v>43452</v>
      </c>
      <c r="G88" s="8" t="s">
        <v>1593</v>
      </c>
      <c r="H88" s="290" t="s">
        <v>2363</v>
      </c>
    </row>
    <row r="89" spans="1:8" ht="30" hidden="1" x14ac:dyDescent="0.25">
      <c r="A89" s="7">
        <v>87</v>
      </c>
      <c r="B89" s="2" t="s">
        <v>1582</v>
      </c>
      <c r="C89" s="2" t="s">
        <v>252</v>
      </c>
      <c r="D89" s="2" t="s">
        <v>2929</v>
      </c>
      <c r="E89" s="2" t="s">
        <v>1583</v>
      </c>
      <c r="F89" s="364">
        <v>43390</v>
      </c>
      <c r="G89" s="2" t="s">
        <v>1618</v>
      </c>
      <c r="H89" s="290" t="s">
        <v>2363</v>
      </c>
    </row>
    <row r="90" spans="1:8" ht="135" hidden="1" x14ac:dyDescent="0.25">
      <c r="A90" s="7">
        <v>88</v>
      </c>
      <c r="B90" s="2" t="s">
        <v>1582</v>
      </c>
      <c r="C90" s="2" t="s">
        <v>252</v>
      </c>
      <c r="D90" s="2" t="s">
        <v>2917</v>
      </c>
      <c r="E90" s="2" t="s">
        <v>1580</v>
      </c>
      <c r="F90" s="364">
        <v>43470</v>
      </c>
      <c r="G90" s="8" t="s">
        <v>1593</v>
      </c>
      <c r="H90" s="290" t="s">
        <v>2363</v>
      </c>
    </row>
    <row r="91" spans="1:8" ht="30" hidden="1" x14ac:dyDescent="0.25">
      <c r="A91" s="7">
        <v>89</v>
      </c>
      <c r="B91" s="2" t="s">
        <v>1582</v>
      </c>
      <c r="C91" s="2" t="s">
        <v>252</v>
      </c>
      <c r="D91" s="2" t="s">
        <v>2926</v>
      </c>
      <c r="E91" s="2" t="s">
        <v>1580</v>
      </c>
      <c r="F91" s="364">
        <v>43452</v>
      </c>
      <c r="H91" s="290" t="s">
        <v>2363</v>
      </c>
    </row>
    <row r="92" spans="1:8" ht="30" hidden="1" x14ac:dyDescent="0.25">
      <c r="A92" s="7">
        <v>90</v>
      </c>
      <c r="B92" s="2" t="s">
        <v>1582</v>
      </c>
      <c r="C92" s="2" t="s">
        <v>252</v>
      </c>
      <c r="D92" s="2" t="s">
        <v>2927</v>
      </c>
      <c r="E92" s="2" t="s">
        <v>1580</v>
      </c>
      <c r="F92" s="364">
        <v>43452</v>
      </c>
      <c r="H92" s="290" t="s">
        <v>2363</v>
      </c>
    </row>
    <row r="93" spans="1:8" hidden="1" x14ac:dyDescent="0.25">
      <c r="A93" s="7">
        <v>91</v>
      </c>
      <c r="B93" s="2" t="s">
        <v>1582</v>
      </c>
      <c r="C93" s="2" t="s">
        <v>252</v>
      </c>
      <c r="D93" s="2" t="s">
        <v>2410</v>
      </c>
      <c r="E93" s="2" t="s">
        <v>1580</v>
      </c>
      <c r="F93" s="364">
        <v>43390</v>
      </c>
      <c r="H93" s="290" t="s">
        <v>2363</v>
      </c>
    </row>
    <row r="94" spans="1:8" hidden="1" x14ac:dyDescent="0.25">
      <c r="A94" s="7">
        <v>92</v>
      </c>
      <c r="B94" s="2" t="s">
        <v>1582</v>
      </c>
      <c r="C94" s="2" t="s">
        <v>252</v>
      </c>
      <c r="D94" s="2" t="s">
        <v>1620</v>
      </c>
      <c r="E94" s="2" t="s">
        <v>1580</v>
      </c>
      <c r="F94" s="364">
        <v>43412</v>
      </c>
      <c r="H94" s="290" t="s">
        <v>2363</v>
      </c>
    </row>
    <row r="95" spans="1:8" ht="30" hidden="1" x14ac:dyDescent="0.25">
      <c r="A95" s="7">
        <v>93</v>
      </c>
      <c r="B95" s="2" t="s">
        <v>1582</v>
      </c>
      <c r="C95" s="2" t="s">
        <v>252</v>
      </c>
      <c r="D95" s="2" t="s">
        <v>2189</v>
      </c>
      <c r="E95" s="2" t="s">
        <v>1580</v>
      </c>
      <c r="F95" s="364">
        <v>43416</v>
      </c>
      <c r="H95" s="290" t="s">
        <v>2363</v>
      </c>
    </row>
    <row r="96" spans="1:8" ht="45" hidden="1" x14ac:dyDescent="0.25">
      <c r="A96" s="7">
        <v>94</v>
      </c>
      <c r="B96" s="2" t="s">
        <v>1582</v>
      </c>
      <c r="C96" s="2" t="s">
        <v>252</v>
      </c>
      <c r="D96" s="2" t="s">
        <v>2928</v>
      </c>
      <c r="E96" s="2" t="s">
        <v>1580</v>
      </c>
      <c r="F96" s="364">
        <v>43415</v>
      </c>
      <c r="H96" s="290" t="s">
        <v>2363</v>
      </c>
    </row>
    <row r="97" spans="1:8" hidden="1" x14ac:dyDescent="0.25">
      <c r="A97" s="7">
        <v>95</v>
      </c>
      <c r="B97" s="2" t="s">
        <v>1582</v>
      </c>
      <c r="C97" s="2" t="s">
        <v>252</v>
      </c>
      <c r="D97" s="2" t="s">
        <v>2407</v>
      </c>
      <c r="E97" s="2" t="s">
        <v>1580</v>
      </c>
      <c r="F97" s="364">
        <v>43395</v>
      </c>
      <c r="G97" s="2"/>
      <c r="H97" s="290" t="s">
        <v>2363</v>
      </c>
    </row>
    <row r="98" spans="1:8" hidden="1" x14ac:dyDescent="0.25">
      <c r="A98" s="7">
        <v>96</v>
      </c>
      <c r="B98" s="2" t="s">
        <v>1582</v>
      </c>
      <c r="C98" s="2" t="s">
        <v>252</v>
      </c>
      <c r="D98" s="2" t="s">
        <v>3027</v>
      </c>
      <c r="E98" s="2" t="s">
        <v>1580</v>
      </c>
      <c r="F98" s="364">
        <v>43470</v>
      </c>
      <c r="G98" s="2"/>
      <c r="H98" s="290" t="s">
        <v>2363</v>
      </c>
    </row>
    <row r="99" spans="1:8" hidden="1" x14ac:dyDescent="0.25">
      <c r="A99" s="7">
        <v>97</v>
      </c>
      <c r="B99" s="2" t="s">
        <v>1341</v>
      </c>
      <c r="C99" s="2" t="s">
        <v>1121</v>
      </c>
      <c r="D99" s="2" t="s">
        <v>1623</v>
      </c>
      <c r="E99" s="2" t="s">
        <v>1580</v>
      </c>
      <c r="F99" s="364">
        <v>43401</v>
      </c>
      <c r="G99" s="8" t="s">
        <v>1624</v>
      </c>
      <c r="H99" s="290" t="s">
        <v>2363</v>
      </c>
    </row>
    <row r="100" spans="1:8" ht="30" hidden="1" x14ac:dyDescent="0.25">
      <c r="A100" s="7">
        <v>98</v>
      </c>
      <c r="B100" s="2" t="s">
        <v>1304</v>
      </c>
      <c r="C100" s="2" t="s">
        <v>1165</v>
      </c>
      <c r="D100" s="2" t="s">
        <v>1623</v>
      </c>
      <c r="E100" s="2" t="s">
        <v>1580</v>
      </c>
      <c r="F100" s="364">
        <v>43390</v>
      </c>
      <c r="G100" s="8" t="s">
        <v>1624</v>
      </c>
      <c r="H100" s="290" t="s">
        <v>2363</v>
      </c>
    </row>
    <row r="101" spans="1:8" hidden="1" x14ac:dyDescent="0.25">
      <c r="A101" s="7">
        <v>99</v>
      </c>
      <c r="B101" s="2" t="s">
        <v>1609</v>
      </c>
      <c r="C101" s="2" t="s">
        <v>1156</v>
      </c>
      <c r="D101" s="2" t="s">
        <v>1623</v>
      </c>
      <c r="E101" s="2" t="s">
        <v>1580</v>
      </c>
      <c r="F101" s="364">
        <v>43451</v>
      </c>
      <c r="G101" s="8" t="s">
        <v>1624</v>
      </c>
      <c r="H101" s="290" t="s">
        <v>2363</v>
      </c>
    </row>
    <row r="102" spans="1:8" ht="60" hidden="1" x14ac:dyDescent="0.25">
      <c r="A102" s="7">
        <v>100</v>
      </c>
      <c r="B102" s="2" t="s">
        <v>1590</v>
      </c>
      <c r="C102" s="2" t="s">
        <v>1173</v>
      </c>
      <c r="D102" s="2" t="s">
        <v>1619</v>
      </c>
      <c r="E102" s="2" t="s">
        <v>1580</v>
      </c>
      <c r="F102" s="364">
        <v>43487</v>
      </c>
      <c r="G102" s="8" t="s">
        <v>1593</v>
      </c>
      <c r="H102" s="290" t="s">
        <v>2363</v>
      </c>
    </row>
    <row r="103" spans="1:8" ht="30" hidden="1" x14ac:dyDescent="0.25">
      <c r="A103" s="7">
        <v>101</v>
      </c>
      <c r="B103" s="2" t="s">
        <v>1611</v>
      </c>
      <c r="C103" s="2" t="s">
        <v>1177</v>
      </c>
      <c r="D103" s="2" t="s">
        <v>1623</v>
      </c>
      <c r="E103" s="2" t="s">
        <v>1580</v>
      </c>
      <c r="F103" s="364">
        <v>43390</v>
      </c>
      <c r="G103" s="8" t="s">
        <v>1624</v>
      </c>
      <c r="H103" s="290" t="s">
        <v>2363</v>
      </c>
    </row>
    <row r="104" spans="1:8" ht="30" hidden="1" x14ac:dyDescent="0.25">
      <c r="A104" s="7">
        <v>102</v>
      </c>
      <c r="B104" s="2" t="s">
        <v>1610</v>
      </c>
      <c r="C104" s="2" t="s">
        <v>1170</v>
      </c>
      <c r="D104" s="2" t="s">
        <v>1623</v>
      </c>
      <c r="E104" s="2" t="s">
        <v>1580</v>
      </c>
      <c r="F104" s="364">
        <v>43467</v>
      </c>
      <c r="G104" s="8" t="s">
        <v>1624</v>
      </c>
      <c r="H104" s="290" t="s">
        <v>2363</v>
      </c>
    </row>
    <row r="105" spans="1:8" ht="30" hidden="1" x14ac:dyDescent="0.25">
      <c r="A105" s="7">
        <v>103</v>
      </c>
      <c r="B105" s="2" t="s">
        <v>1574</v>
      </c>
      <c r="C105" s="2" t="s">
        <v>1159</v>
      </c>
      <c r="D105" s="2" t="s">
        <v>1589</v>
      </c>
      <c r="E105" s="2" t="s">
        <v>1580</v>
      </c>
      <c r="F105" s="364">
        <v>43469</v>
      </c>
      <c r="G105" s="8" t="s">
        <v>1593</v>
      </c>
      <c r="H105" s="290" t="s">
        <v>2363</v>
      </c>
    </row>
    <row r="106" spans="1:8" ht="30" hidden="1" x14ac:dyDescent="0.25">
      <c r="A106" s="7">
        <v>104</v>
      </c>
      <c r="B106" s="2" t="s">
        <v>1612</v>
      </c>
      <c r="C106" s="2" t="s">
        <v>2167</v>
      </c>
      <c r="D106" s="2" t="s">
        <v>2168</v>
      </c>
      <c r="E106" s="2" t="s">
        <v>1580</v>
      </c>
      <c r="F106" s="364">
        <v>43416</v>
      </c>
      <c r="H106" s="290" t="s">
        <v>2363</v>
      </c>
    </row>
    <row r="107" spans="1:8" ht="30" hidden="1" x14ac:dyDescent="0.25">
      <c r="A107" s="7">
        <v>105</v>
      </c>
      <c r="B107" s="2" t="s">
        <v>1582</v>
      </c>
      <c r="C107" s="2" t="s">
        <v>252</v>
      </c>
      <c r="D107" s="2" t="s">
        <v>4162</v>
      </c>
      <c r="E107" s="2" t="s">
        <v>1595</v>
      </c>
      <c r="F107" s="364">
        <v>43437</v>
      </c>
      <c r="H107" s="290" t="s">
        <v>2363</v>
      </c>
    </row>
    <row r="108" spans="1:8" hidden="1" x14ac:dyDescent="0.25">
      <c r="A108" s="7">
        <v>106</v>
      </c>
      <c r="B108" s="2" t="s">
        <v>1582</v>
      </c>
      <c r="C108" s="2" t="s">
        <v>252</v>
      </c>
      <c r="D108" s="2" t="s">
        <v>2413</v>
      </c>
      <c r="E108" s="2" t="s">
        <v>1580</v>
      </c>
      <c r="F108" s="364">
        <v>43470</v>
      </c>
      <c r="H108" s="290" t="s">
        <v>2363</v>
      </c>
    </row>
    <row r="109" spans="1:8" hidden="1" x14ac:dyDescent="0.25">
      <c r="A109" s="191">
        <v>107</v>
      </c>
      <c r="B109" s="2" t="s">
        <v>1582</v>
      </c>
      <c r="C109" s="2" t="s">
        <v>252</v>
      </c>
      <c r="D109" s="2" t="s">
        <v>2414</v>
      </c>
      <c r="E109" s="2" t="s">
        <v>1580</v>
      </c>
      <c r="F109" s="364">
        <v>43470</v>
      </c>
      <c r="H109" s="290" t="s">
        <v>2363</v>
      </c>
    </row>
    <row r="110" spans="1:8" hidden="1" x14ac:dyDescent="0.25">
      <c r="A110" s="191">
        <v>108</v>
      </c>
      <c r="B110" s="2" t="s">
        <v>1582</v>
      </c>
      <c r="C110" s="2" t="s">
        <v>252</v>
      </c>
      <c r="D110" s="2" t="s">
        <v>2408</v>
      </c>
      <c r="E110" s="2" t="s">
        <v>1580</v>
      </c>
      <c r="F110" s="364">
        <v>43451</v>
      </c>
      <c r="H110" s="290" t="s">
        <v>2363</v>
      </c>
    </row>
    <row r="111" spans="1:8" hidden="1" x14ac:dyDescent="0.25">
      <c r="A111" s="7">
        <v>109</v>
      </c>
      <c r="B111" s="2" t="s">
        <v>1582</v>
      </c>
      <c r="C111" s="2" t="s">
        <v>252</v>
      </c>
      <c r="D111" s="2" t="s">
        <v>2409</v>
      </c>
      <c r="E111" s="2" t="s">
        <v>1580</v>
      </c>
      <c r="F111" s="364">
        <v>43470</v>
      </c>
      <c r="H111" s="290" t="s">
        <v>2363</v>
      </c>
    </row>
    <row r="112" spans="1:8" hidden="1" x14ac:dyDescent="0.25">
      <c r="A112" s="7">
        <v>110</v>
      </c>
      <c r="B112" s="2" t="s">
        <v>1582</v>
      </c>
      <c r="C112" s="2" t="s">
        <v>252</v>
      </c>
      <c r="D112" s="2" t="s">
        <v>2411</v>
      </c>
      <c r="E112" s="2" t="s">
        <v>1580</v>
      </c>
      <c r="F112" s="364">
        <v>43648</v>
      </c>
      <c r="H112" s="290" t="s">
        <v>2363</v>
      </c>
    </row>
    <row r="113" spans="1:8" hidden="1" x14ac:dyDescent="0.25">
      <c r="A113" s="7">
        <v>111</v>
      </c>
      <c r="B113" s="2" t="s">
        <v>1582</v>
      </c>
      <c r="C113" s="2" t="s">
        <v>252</v>
      </c>
      <c r="D113" s="2" t="s">
        <v>2412</v>
      </c>
      <c r="E113" s="2" t="s">
        <v>1580</v>
      </c>
      <c r="F113" s="364">
        <v>43470</v>
      </c>
      <c r="H113" s="290" t="s">
        <v>2363</v>
      </c>
    </row>
    <row r="114" spans="1:8" hidden="1" x14ac:dyDescent="0.25">
      <c r="A114" s="7">
        <v>112</v>
      </c>
      <c r="B114" s="2" t="s">
        <v>3410</v>
      </c>
      <c r="C114" s="2" t="s">
        <v>3359</v>
      </c>
      <c r="D114" s="2" t="s">
        <v>1623</v>
      </c>
      <c r="E114" s="2" t="s">
        <v>1580</v>
      </c>
      <c r="F114" s="364">
        <v>43557</v>
      </c>
      <c r="G114" s="8" t="s">
        <v>3414</v>
      </c>
      <c r="H114" s="290" t="s">
        <v>2363</v>
      </c>
    </row>
    <row r="115" spans="1:8" ht="60" hidden="1" x14ac:dyDescent="0.25">
      <c r="A115" s="7">
        <v>113</v>
      </c>
      <c r="B115" s="2" t="s">
        <v>3411</v>
      </c>
      <c r="C115" s="2" t="s">
        <v>3338</v>
      </c>
      <c r="D115" s="2" t="s">
        <v>1623</v>
      </c>
      <c r="E115" s="2" t="s">
        <v>1580</v>
      </c>
      <c r="F115" s="364">
        <v>43557</v>
      </c>
      <c r="G115" s="2" t="s">
        <v>3415</v>
      </c>
      <c r="H115" s="290" t="s">
        <v>2363</v>
      </c>
    </row>
    <row r="116" spans="1:8" ht="30" hidden="1" x14ac:dyDescent="0.25">
      <c r="A116" s="7">
        <v>114</v>
      </c>
      <c r="B116" s="2" t="s">
        <v>3412</v>
      </c>
      <c r="C116" s="2" t="s">
        <v>3127</v>
      </c>
      <c r="D116" s="2" t="s">
        <v>1623</v>
      </c>
      <c r="E116" s="2" t="s">
        <v>1580</v>
      </c>
      <c r="F116" s="364">
        <v>43557</v>
      </c>
      <c r="G116" s="2" t="s">
        <v>3415</v>
      </c>
      <c r="H116" s="290" t="s">
        <v>2363</v>
      </c>
    </row>
    <row r="117" spans="1:8" ht="30" hidden="1" x14ac:dyDescent="0.25">
      <c r="A117" s="7">
        <v>115</v>
      </c>
      <c r="B117" s="2" t="s">
        <v>3413</v>
      </c>
      <c r="C117" s="2" t="s">
        <v>3145</v>
      </c>
      <c r="D117" s="2" t="s">
        <v>1623</v>
      </c>
      <c r="E117" s="2" t="s">
        <v>1580</v>
      </c>
      <c r="F117" s="364">
        <v>43557</v>
      </c>
      <c r="G117" s="2" t="s">
        <v>3415</v>
      </c>
      <c r="H117" s="290" t="s">
        <v>2363</v>
      </c>
    </row>
    <row r="118" spans="1:8" ht="45" hidden="1" x14ac:dyDescent="0.25">
      <c r="A118" s="7">
        <v>116</v>
      </c>
      <c r="B118" s="2" t="s">
        <v>3426</v>
      </c>
      <c r="C118" s="2" t="s">
        <v>3425</v>
      </c>
      <c r="D118" s="2" t="s">
        <v>3424</v>
      </c>
      <c r="E118" s="2" t="s">
        <v>1580</v>
      </c>
      <c r="F118" s="364">
        <v>43571</v>
      </c>
      <c r="G118" s="2"/>
      <c r="H118" s="290" t="s">
        <v>2363</v>
      </c>
    </row>
    <row r="119" spans="1:8" ht="45" hidden="1" x14ac:dyDescent="0.25">
      <c r="A119" s="7">
        <v>117</v>
      </c>
      <c r="B119" s="2" t="s">
        <v>1582</v>
      </c>
      <c r="C119" s="2" t="s">
        <v>252</v>
      </c>
      <c r="D119" s="2" t="s">
        <v>3416</v>
      </c>
      <c r="E119" s="2" t="s">
        <v>1595</v>
      </c>
      <c r="F119" s="364">
        <v>43557</v>
      </c>
      <c r="G119" s="2" t="s">
        <v>3427</v>
      </c>
      <c r="H119" s="290" t="s">
        <v>2363</v>
      </c>
    </row>
    <row r="120" spans="1:8" ht="60" hidden="1" x14ac:dyDescent="0.25">
      <c r="A120" s="7">
        <v>118</v>
      </c>
      <c r="B120" s="2" t="s">
        <v>1582</v>
      </c>
      <c r="C120" s="2" t="s">
        <v>252</v>
      </c>
      <c r="D120" s="2" t="s">
        <v>3417</v>
      </c>
      <c r="E120" s="2" t="s">
        <v>1595</v>
      </c>
      <c r="F120" s="364">
        <v>43557</v>
      </c>
      <c r="G120" s="2" t="s">
        <v>3418</v>
      </c>
      <c r="H120" s="290" t="s">
        <v>2363</v>
      </c>
    </row>
    <row r="121" spans="1:8" hidden="1" x14ac:dyDescent="0.25">
      <c r="A121" s="7">
        <v>119</v>
      </c>
      <c r="B121" s="2" t="s">
        <v>1341</v>
      </c>
      <c r="C121" s="2" t="s">
        <v>1121</v>
      </c>
      <c r="D121" s="460" t="s">
        <v>4381</v>
      </c>
      <c r="E121" s="2" t="s">
        <v>1595</v>
      </c>
      <c r="F121" s="364"/>
      <c r="G121" s="2"/>
      <c r="H121" s="290"/>
    </row>
    <row r="122" spans="1:8" ht="60" hidden="1" x14ac:dyDescent="0.25">
      <c r="A122" s="7">
        <v>120</v>
      </c>
      <c r="B122" s="2" t="s">
        <v>3421</v>
      </c>
      <c r="C122" s="2" t="s">
        <v>3422</v>
      </c>
      <c r="D122" s="2" t="s">
        <v>3419</v>
      </c>
      <c r="E122" s="2" t="s">
        <v>1595</v>
      </c>
      <c r="F122" s="364">
        <v>43557</v>
      </c>
      <c r="G122" s="2" t="s">
        <v>3420</v>
      </c>
      <c r="H122" s="290" t="s">
        <v>2363</v>
      </c>
    </row>
    <row r="123" spans="1:8" ht="135" hidden="1" x14ac:dyDescent="0.25">
      <c r="A123" s="7">
        <v>121</v>
      </c>
      <c r="B123" s="2" t="s">
        <v>1582</v>
      </c>
      <c r="C123" s="2" t="s">
        <v>252</v>
      </c>
      <c r="D123" s="460" t="s">
        <v>3423</v>
      </c>
      <c r="E123" s="2" t="s">
        <v>1580</v>
      </c>
      <c r="F123" s="364">
        <v>44214</v>
      </c>
      <c r="G123" s="2" t="s">
        <v>4620</v>
      </c>
      <c r="H123" s="290" t="s">
        <v>2363</v>
      </c>
    </row>
    <row r="124" spans="1:8" ht="45" hidden="1" x14ac:dyDescent="0.25">
      <c r="A124" s="7">
        <v>122</v>
      </c>
      <c r="B124" s="2" t="s">
        <v>3428</v>
      </c>
      <c r="C124" s="2" t="s">
        <v>3429</v>
      </c>
      <c r="D124" s="2" t="s">
        <v>3431</v>
      </c>
      <c r="E124" s="2" t="s">
        <v>1595</v>
      </c>
      <c r="F124" s="364">
        <v>43559</v>
      </c>
      <c r="G124" s="2" t="s">
        <v>3430</v>
      </c>
      <c r="H124" s="290" t="s">
        <v>2363</v>
      </c>
    </row>
    <row r="125" spans="1:8" ht="60" hidden="1" x14ac:dyDescent="0.25">
      <c r="A125" s="7">
        <v>123</v>
      </c>
      <c r="B125" s="2" t="s">
        <v>3536</v>
      </c>
      <c r="C125" s="2" t="s">
        <v>3124</v>
      </c>
      <c r="D125" s="2" t="s">
        <v>3646</v>
      </c>
      <c r="E125" s="2" t="s">
        <v>1580</v>
      </c>
      <c r="F125" s="364">
        <v>43872</v>
      </c>
      <c r="G125" s="2" t="s">
        <v>3773</v>
      </c>
      <c r="H125" s="290" t="s">
        <v>2363</v>
      </c>
    </row>
    <row r="126" spans="1:8" ht="90" hidden="1" x14ac:dyDescent="0.25">
      <c r="A126" s="7">
        <v>124</v>
      </c>
      <c r="B126" s="2" t="s">
        <v>3824</v>
      </c>
      <c r="C126" s="2" t="s">
        <v>4161</v>
      </c>
      <c r="D126" s="2" t="s">
        <v>3825</v>
      </c>
      <c r="E126" s="2" t="s">
        <v>1580</v>
      </c>
      <c r="F126" s="364">
        <v>43922</v>
      </c>
      <c r="G126" s="2" t="s">
        <v>4166</v>
      </c>
      <c r="H126" s="290" t="s">
        <v>2363</v>
      </c>
    </row>
    <row r="127" spans="1:8" ht="30" hidden="1" x14ac:dyDescent="0.25">
      <c r="A127" s="7">
        <v>125</v>
      </c>
      <c r="B127" s="2" t="s">
        <v>1349</v>
      </c>
      <c r="C127" s="2" t="s">
        <v>1425</v>
      </c>
      <c r="D127" s="2" t="s">
        <v>3638</v>
      </c>
      <c r="E127" s="2" t="s">
        <v>1580</v>
      </c>
      <c r="F127" s="364">
        <v>43826</v>
      </c>
      <c r="G127" s="2" t="s">
        <v>3639</v>
      </c>
      <c r="H127" s="290" t="s">
        <v>2363</v>
      </c>
    </row>
    <row r="128" spans="1:8" ht="30" hidden="1" x14ac:dyDescent="0.25">
      <c r="A128" s="7">
        <v>126</v>
      </c>
      <c r="B128" s="2" t="s">
        <v>3534</v>
      </c>
      <c r="C128" s="2" t="s">
        <v>1429</v>
      </c>
      <c r="D128" s="2" t="s">
        <v>3638</v>
      </c>
      <c r="E128" s="2" t="s">
        <v>1580</v>
      </c>
      <c r="F128" s="364">
        <v>43826</v>
      </c>
      <c r="G128" s="2" t="s">
        <v>3639</v>
      </c>
      <c r="H128" s="290" t="s">
        <v>2363</v>
      </c>
    </row>
    <row r="129" spans="1:8" ht="45" hidden="1" x14ac:dyDescent="0.25">
      <c r="A129" s="7">
        <v>127</v>
      </c>
      <c r="B129" s="2" t="s">
        <v>1601</v>
      </c>
      <c r="C129" s="2" t="s">
        <v>3013</v>
      </c>
      <c r="D129" s="2" t="s">
        <v>3640</v>
      </c>
      <c r="E129" s="2" t="s">
        <v>1580</v>
      </c>
      <c r="F129" s="364">
        <v>43826</v>
      </c>
      <c r="G129" s="2" t="s">
        <v>3642</v>
      </c>
      <c r="H129" s="290" t="s">
        <v>2363</v>
      </c>
    </row>
    <row r="130" spans="1:8" hidden="1" x14ac:dyDescent="0.25">
      <c r="A130" s="7">
        <v>128</v>
      </c>
      <c r="B130" s="2" t="s">
        <v>1373</v>
      </c>
      <c r="C130" s="2" t="s">
        <v>1136</v>
      </c>
      <c r="D130" s="2" t="s">
        <v>3641</v>
      </c>
      <c r="E130" s="2" t="s">
        <v>1580</v>
      </c>
      <c r="F130" s="364">
        <v>43826</v>
      </c>
      <c r="G130" s="8" t="s">
        <v>3643</v>
      </c>
      <c r="H130" s="290" t="s">
        <v>2363</v>
      </c>
    </row>
    <row r="131" spans="1:8" ht="45" hidden="1" x14ac:dyDescent="0.25">
      <c r="A131" s="7">
        <v>129</v>
      </c>
      <c r="B131" s="2" t="s">
        <v>3535</v>
      </c>
      <c r="C131" s="2" t="s">
        <v>3544</v>
      </c>
      <c r="D131" s="2" t="s">
        <v>3645</v>
      </c>
      <c r="E131" s="2" t="s">
        <v>1580</v>
      </c>
      <c r="F131" s="364">
        <v>43872</v>
      </c>
      <c r="G131" s="2" t="s">
        <v>3772</v>
      </c>
      <c r="H131" s="290" t="s">
        <v>2363</v>
      </c>
    </row>
    <row r="132" spans="1:8" ht="45" hidden="1" x14ac:dyDescent="0.25">
      <c r="A132" s="7">
        <v>130</v>
      </c>
      <c r="B132" s="2" t="s">
        <v>3537</v>
      </c>
      <c r="C132" s="2" t="s">
        <v>1160</v>
      </c>
      <c r="D132" s="2" t="s">
        <v>3647</v>
      </c>
      <c r="E132" s="2" t="s">
        <v>1580</v>
      </c>
      <c r="F132" s="364">
        <v>43826</v>
      </c>
      <c r="G132" s="8" t="s">
        <v>3648</v>
      </c>
      <c r="H132" s="290" t="s">
        <v>2363</v>
      </c>
    </row>
    <row r="133" spans="1:8" hidden="1" x14ac:dyDescent="0.25">
      <c r="A133" s="7">
        <v>131</v>
      </c>
      <c r="B133" s="2" t="s">
        <v>3538</v>
      </c>
      <c r="C133" s="2" t="s">
        <v>3541</v>
      </c>
      <c r="D133" s="2" t="s">
        <v>3649</v>
      </c>
      <c r="E133" s="2" t="s">
        <v>1580</v>
      </c>
      <c r="F133" s="364">
        <v>43834</v>
      </c>
      <c r="G133" s="8" t="s">
        <v>3644</v>
      </c>
      <c r="H133" s="290" t="s">
        <v>2363</v>
      </c>
    </row>
    <row r="134" spans="1:8" hidden="1" x14ac:dyDescent="0.25">
      <c r="A134" s="7">
        <v>132</v>
      </c>
      <c r="B134" s="2" t="s">
        <v>3539</v>
      </c>
      <c r="C134" s="2" t="s">
        <v>3542</v>
      </c>
      <c r="D134" s="2" t="s">
        <v>3649</v>
      </c>
      <c r="E134" s="2" t="s">
        <v>1580</v>
      </c>
      <c r="F134" s="364">
        <v>43834</v>
      </c>
      <c r="G134" s="8" t="s">
        <v>3644</v>
      </c>
      <c r="H134" s="290" t="s">
        <v>2363</v>
      </c>
    </row>
    <row r="135" spans="1:8" ht="30" hidden="1" x14ac:dyDescent="0.25">
      <c r="A135" s="7">
        <v>133</v>
      </c>
      <c r="B135" s="2" t="s">
        <v>3540</v>
      </c>
      <c r="C135" s="2" t="s">
        <v>3543</v>
      </c>
      <c r="D135" s="2" t="s">
        <v>3649</v>
      </c>
      <c r="E135" s="2" t="s">
        <v>1580</v>
      </c>
      <c r="F135" s="364">
        <v>43834</v>
      </c>
      <c r="G135" s="8" t="s">
        <v>3644</v>
      </c>
      <c r="H135" s="290" t="s">
        <v>2363</v>
      </c>
    </row>
    <row r="136" spans="1:8" hidden="1" x14ac:dyDescent="0.25">
      <c r="A136" s="7">
        <v>134</v>
      </c>
      <c r="B136" s="2" t="s">
        <v>1341</v>
      </c>
      <c r="C136" s="2" t="s">
        <v>1121</v>
      </c>
      <c r="D136" s="2" t="s">
        <v>3756</v>
      </c>
      <c r="E136" s="2" t="s">
        <v>1580</v>
      </c>
      <c r="F136" s="364">
        <v>43834</v>
      </c>
      <c r="G136" s="8" t="s">
        <v>3757</v>
      </c>
      <c r="H136" s="290" t="s">
        <v>2363</v>
      </c>
    </row>
    <row r="137" spans="1:8" ht="30" hidden="1" x14ac:dyDescent="0.25">
      <c r="A137" s="7">
        <v>135</v>
      </c>
      <c r="B137" s="2" t="s">
        <v>3774</v>
      </c>
      <c r="C137" s="2" t="s">
        <v>2905</v>
      </c>
      <c r="D137" s="2" t="s">
        <v>3775</v>
      </c>
      <c r="E137" s="2" t="s">
        <v>1580</v>
      </c>
      <c r="F137" s="364">
        <v>43872</v>
      </c>
      <c r="G137" s="8" t="s">
        <v>3776</v>
      </c>
      <c r="H137" s="290" t="s">
        <v>2363</v>
      </c>
    </row>
    <row r="138" spans="1:8" hidden="1" x14ac:dyDescent="0.25">
      <c r="A138" s="7">
        <f>A137+1</f>
        <v>136</v>
      </c>
      <c r="B138" s="2" t="s">
        <v>3819</v>
      </c>
      <c r="C138" s="2" t="s">
        <v>252</v>
      </c>
      <c r="D138" s="2" t="s">
        <v>3820</v>
      </c>
      <c r="E138" s="2" t="s">
        <v>1580</v>
      </c>
      <c r="F138" s="364">
        <v>44214</v>
      </c>
      <c r="G138" s="8" t="s">
        <v>4622</v>
      </c>
      <c r="H138" s="290" t="s">
        <v>2363</v>
      </c>
    </row>
    <row r="139" spans="1:8" hidden="1" x14ac:dyDescent="0.25">
      <c r="A139" s="7">
        <v>137</v>
      </c>
      <c r="B139" s="2" t="s">
        <v>1598</v>
      </c>
      <c r="C139" s="2" t="s">
        <v>252</v>
      </c>
      <c r="D139" s="2" t="s">
        <v>4158</v>
      </c>
      <c r="E139" s="2" t="s">
        <v>1580</v>
      </c>
      <c r="F139" s="364">
        <v>44214</v>
      </c>
      <c r="G139" s="8" t="s">
        <v>4622</v>
      </c>
      <c r="H139" s="290" t="s">
        <v>2363</v>
      </c>
    </row>
    <row r="140" spans="1:8" hidden="1" x14ac:dyDescent="0.25">
      <c r="A140" s="7">
        <v>138</v>
      </c>
      <c r="B140" s="2" t="s">
        <v>3817</v>
      </c>
      <c r="C140" s="2" t="s">
        <v>252</v>
      </c>
      <c r="D140" s="2" t="s">
        <v>3818</v>
      </c>
      <c r="E140" s="2" t="s">
        <v>1580</v>
      </c>
      <c r="F140" s="364">
        <v>44214</v>
      </c>
      <c r="G140" s="8" t="s">
        <v>4622</v>
      </c>
      <c r="H140" s="290" t="s">
        <v>2363</v>
      </c>
    </row>
    <row r="141" spans="1:8" hidden="1" x14ac:dyDescent="0.25">
      <c r="A141" s="7">
        <v>139</v>
      </c>
      <c r="B141" s="2" t="s">
        <v>1317</v>
      </c>
      <c r="C141" s="2" t="s">
        <v>252</v>
      </c>
      <c r="D141" s="2" t="s">
        <v>4157</v>
      </c>
      <c r="E141" s="2" t="s">
        <v>1580</v>
      </c>
      <c r="F141" s="364">
        <v>43922</v>
      </c>
      <c r="G141" s="8" t="s">
        <v>4163</v>
      </c>
      <c r="H141" s="290" t="s">
        <v>2363</v>
      </c>
    </row>
    <row r="142" spans="1:8" hidden="1" x14ac:dyDescent="0.25">
      <c r="A142" s="7">
        <v>140</v>
      </c>
      <c r="B142" s="2" t="s">
        <v>1318</v>
      </c>
      <c r="C142" s="2" t="s">
        <v>252</v>
      </c>
      <c r="D142" s="2" t="s">
        <v>4159</v>
      </c>
      <c r="E142" s="2" t="s">
        <v>1580</v>
      </c>
      <c r="F142" s="364">
        <v>44214</v>
      </c>
      <c r="G142" s="8" t="s">
        <v>4622</v>
      </c>
      <c r="H142" s="290" t="s">
        <v>2363</v>
      </c>
    </row>
    <row r="143" spans="1:8" ht="90" hidden="1" x14ac:dyDescent="0.25">
      <c r="A143" s="7">
        <v>141</v>
      </c>
      <c r="B143" s="2" t="s">
        <v>3821</v>
      </c>
      <c r="C143" s="2" t="s">
        <v>252</v>
      </c>
      <c r="D143" s="2" t="s">
        <v>3822</v>
      </c>
      <c r="E143" s="2" t="s">
        <v>1580</v>
      </c>
      <c r="F143" s="364">
        <v>44214</v>
      </c>
      <c r="G143" s="2" t="s">
        <v>4626</v>
      </c>
      <c r="H143" s="290" t="s">
        <v>2363</v>
      </c>
    </row>
    <row r="144" spans="1:8" ht="90" hidden="1" x14ac:dyDescent="0.25">
      <c r="A144" s="7">
        <v>142</v>
      </c>
      <c r="B144" s="2" t="s">
        <v>1320</v>
      </c>
      <c r="C144" s="2" t="s">
        <v>252</v>
      </c>
      <c r="D144" s="2" t="s">
        <v>3823</v>
      </c>
      <c r="E144" s="2" t="s">
        <v>1580</v>
      </c>
      <c r="F144" s="364">
        <v>43997</v>
      </c>
      <c r="G144" s="2" t="s">
        <v>4165</v>
      </c>
      <c r="H144" s="290" t="s">
        <v>2363</v>
      </c>
    </row>
    <row r="145" spans="1:8" hidden="1" x14ac:dyDescent="0.25">
      <c r="A145" s="7">
        <v>143</v>
      </c>
      <c r="B145" s="2" t="s">
        <v>3006</v>
      </c>
      <c r="C145" s="2" t="s">
        <v>252</v>
      </c>
      <c r="D145" s="2" t="s">
        <v>4160</v>
      </c>
      <c r="E145" s="2" t="s">
        <v>1580</v>
      </c>
      <c r="F145" s="364">
        <v>44214</v>
      </c>
      <c r="G145" s="8" t="s">
        <v>4163</v>
      </c>
      <c r="H145" s="290" t="s">
        <v>2363</v>
      </c>
    </row>
    <row r="146" spans="1:8" ht="60" hidden="1" x14ac:dyDescent="0.25">
      <c r="A146" s="7">
        <v>144</v>
      </c>
      <c r="B146" s="2" t="s">
        <v>3827</v>
      </c>
      <c r="C146" s="2" t="s">
        <v>4164</v>
      </c>
      <c r="D146" s="2" t="s">
        <v>3826</v>
      </c>
      <c r="E146" s="2" t="s">
        <v>1580</v>
      </c>
      <c r="F146" s="364">
        <v>43922</v>
      </c>
      <c r="G146" s="2" t="s">
        <v>4167</v>
      </c>
      <c r="H146" s="290" t="s">
        <v>2363</v>
      </c>
    </row>
    <row r="147" spans="1:8" ht="45" hidden="1" x14ac:dyDescent="0.25">
      <c r="A147" s="7">
        <v>145</v>
      </c>
      <c r="B147" s="2" t="s">
        <v>1413</v>
      </c>
      <c r="C147" s="2" t="s">
        <v>1995</v>
      </c>
      <c r="D147" s="2" t="s">
        <v>3828</v>
      </c>
      <c r="E147" s="2" t="s">
        <v>1580</v>
      </c>
      <c r="F147" s="364">
        <v>44214</v>
      </c>
      <c r="G147" s="2" t="s">
        <v>4619</v>
      </c>
      <c r="H147" s="290" t="s">
        <v>2363</v>
      </c>
    </row>
    <row r="148" spans="1:8" ht="45" hidden="1" x14ac:dyDescent="0.25">
      <c r="A148" s="7">
        <v>146</v>
      </c>
      <c r="B148" s="2" t="s">
        <v>1384</v>
      </c>
      <c r="C148" s="2" t="s">
        <v>1309</v>
      </c>
      <c r="D148" s="2" t="s">
        <v>3829</v>
      </c>
      <c r="E148" s="2" t="s">
        <v>1580</v>
      </c>
      <c r="F148" s="364">
        <v>44214</v>
      </c>
      <c r="G148" s="2" t="s">
        <v>4619</v>
      </c>
      <c r="H148" s="290" t="s">
        <v>2363</v>
      </c>
    </row>
    <row r="149" spans="1:8" ht="30" hidden="1" x14ac:dyDescent="0.25">
      <c r="A149" s="7">
        <v>147</v>
      </c>
      <c r="B149" s="2" t="s">
        <v>1602</v>
      </c>
      <c r="C149" s="2" t="s">
        <v>1140</v>
      </c>
      <c r="D149" s="2" t="s">
        <v>3830</v>
      </c>
      <c r="E149" s="2" t="s">
        <v>1580</v>
      </c>
      <c r="F149" s="364">
        <v>43922</v>
      </c>
      <c r="G149" s="8" t="s">
        <v>4168</v>
      </c>
      <c r="H149" s="290" t="s">
        <v>2363</v>
      </c>
    </row>
    <row r="150" spans="1:8" ht="75" hidden="1" x14ac:dyDescent="0.25">
      <c r="A150" s="7">
        <v>148</v>
      </c>
      <c r="B150" s="2" t="s">
        <v>1605</v>
      </c>
      <c r="C150" s="2" t="s">
        <v>1315</v>
      </c>
      <c r="D150" s="2" t="s">
        <v>3831</v>
      </c>
      <c r="E150" s="2" t="s">
        <v>1580</v>
      </c>
      <c r="F150" s="364">
        <v>43922</v>
      </c>
      <c r="G150" s="2" t="s">
        <v>4169</v>
      </c>
      <c r="H150" s="290" t="s">
        <v>2363</v>
      </c>
    </row>
    <row r="151" spans="1:8" ht="45" hidden="1" x14ac:dyDescent="0.25">
      <c r="A151" s="7">
        <v>149</v>
      </c>
      <c r="B151" s="2" t="s">
        <v>1355</v>
      </c>
      <c r="C151" s="2" t="s">
        <v>1154</v>
      </c>
      <c r="D151" s="2" t="s">
        <v>3832</v>
      </c>
      <c r="E151" s="2" t="s">
        <v>1580</v>
      </c>
      <c r="F151" s="364">
        <v>43922</v>
      </c>
      <c r="G151" s="2" t="s">
        <v>4170</v>
      </c>
      <c r="H151" s="290" t="s">
        <v>2363</v>
      </c>
    </row>
    <row r="152" spans="1:8" ht="45" hidden="1" x14ac:dyDescent="0.25">
      <c r="A152" s="7">
        <v>150</v>
      </c>
      <c r="B152" s="2" t="s">
        <v>3410</v>
      </c>
      <c r="C152" s="2" t="s">
        <v>3359</v>
      </c>
      <c r="D152" s="2" t="s">
        <v>3833</v>
      </c>
      <c r="E152" s="2" t="s">
        <v>1580</v>
      </c>
      <c r="F152" s="364">
        <v>43922</v>
      </c>
      <c r="G152" s="2" t="s">
        <v>4170</v>
      </c>
      <c r="H152" s="290" t="s">
        <v>2363</v>
      </c>
    </row>
    <row r="153" spans="1:8" ht="45" hidden="1" x14ac:dyDescent="0.25">
      <c r="A153" s="7">
        <v>151</v>
      </c>
      <c r="B153" s="2" t="s">
        <v>1609</v>
      </c>
      <c r="C153" s="2" t="s">
        <v>2418</v>
      </c>
      <c r="D153" s="2" t="s">
        <v>3834</v>
      </c>
      <c r="E153" s="2" t="s">
        <v>1580</v>
      </c>
      <c r="F153" s="364">
        <v>43922</v>
      </c>
      <c r="G153" s="2" t="s">
        <v>4171</v>
      </c>
      <c r="H153" s="290" t="s">
        <v>2363</v>
      </c>
    </row>
    <row r="154" spans="1:8" ht="30" hidden="1" x14ac:dyDescent="0.25">
      <c r="A154" s="7">
        <v>152</v>
      </c>
      <c r="B154" s="2" t="s">
        <v>3835</v>
      </c>
      <c r="C154" s="2" t="s">
        <v>1164</v>
      </c>
      <c r="D154" s="2" t="s">
        <v>3837</v>
      </c>
      <c r="E154" s="2" t="s">
        <v>1580</v>
      </c>
      <c r="F154" s="364">
        <v>43923</v>
      </c>
      <c r="G154" s="2" t="s">
        <v>4172</v>
      </c>
      <c r="H154" s="290" t="s">
        <v>2363</v>
      </c>
    </row>
    <row r="155" spans="1:8" ht="30" hidden="1" x14ac:dyDescent="0.25">
      <c r="A155" s="7">
        <v>153</v>
      </c>
      <c r="B155" s="2" t="s">
        <v>3836</v>
      </c>
      <c r="C155" s="2" t="s">
        <v>1163</v>
      </c>
      <c r="D155" s="2" t="s">
        <v>3837</v>
      </c>
      <c r="E155" s="2" t="s">
        <v>1580</v>
      </c>
      <c r="F155" s="364">
        <v>43923</v>
      </c>
      <c r="G155" s="2" t="s">
        <v>4172</v>
      </c>
      <c r="H155" s="290" t="s">
        <v>2363</v>
      </c>
    </row>
    <row r="156" spans="1:8" ht="60" hidden="1" x14ac:dyDescent="0.25">
      <c r="A156" s="7">
        <v>154</v>
      </c>
      <c r="B156" s="2" t="s">
        <v>1341</v>
      </c>
      <c r="C156" s="2" t="s">
        <v>1121</v>
      </c>
      <c r="D156" s="2" t="s">
        <v>3839</v>
      </c>
      <c r="E156" s="2" t="s">
        <v>1580</v>
      </c>
      <c r="F156" s="364">
        <v>44214</v>
      </c>
      <c r="G156" s="2" t="s">
        <v>4617</v>
      </c>
      <c r="H156" s="290" t="s">
        <v>2363</v>
      </c>
    </row>
    <row r="157" spans="1:8" ht="45" hidden="1" x14ac:dyDescent="0.25">
      <c r="A157" s="7">
        <v>155</v>
      </c>
      <c r="B157" s="2" t="s">
        <v>3538</v>
      </c>
      <c r="C157" s="2" t="s">
        <v>3541</v>
      </c>
      <c r="D157" s="2" t="s">
        <v>3838</v>
      </c>
      <c r="E157" s="2" t="s">
        <v>1580</v>
      </c>
      <c r="F157" s="364">
        <v>43922</v>
      </c>
      <c r="G157" s="2" t="s">
        <v>4170</v>
      </c>
      <c r="H157" s="290" t="s">
        <v>2363</v>
      </c>
    </row>
    <row r="158" spans="1:8" ht="60" hidden="1" x14ac:dyDescent="0.25">
      <c r="A158" s="7">
        <v>156</v>
      </c>
      <c r="B158" s="2" t="s">
        <v>1304</v>
      </c>
      <c r="C158" s="2" t="s">
        <v>1165</v>
      </c>
      <c r="D158" s="2" t="s">
        <v>3839</v>
      </c>
      <c r="E158" s="2" t="s">
        <v>1580</v>
      </c>
      <c r="F158" s="364">
        <v>44214</v>
      </c>
      <c r="G158" s="2" t="s">
        <v>4617</v>
      </c>
      <c r="H158" s="290" t="s">
        <v>2363</v>
      </c>
    </row>
    <row r="159" spans="1:8" ht="45" hidden="1" x14ac:dyDescent="0.25">
      <c r="A159" s="7">
        <v>157</v>
      </c>
      <c r="B159" s="2" t="s">
        <v>3539</v>
      </c>
      <c r="C159" s="2" t="s">
        <v>3542</v>
      </c>
      <c r="D159" s="2" t="s">
        <v>3829</v>
      </c>
      <c r="E159" s="2" t="s">
        <v>1580</v>
      </c>
      <c r="F159" s="364">
        <v>44214</v>
      </c>
      <c r="G159" s="2" t="s">
        <v>4618</v>
      </c>
      <c r="H159" s="290" t="s">
        <v>2363</v>
      </c>
    </row>
    <row r="160" spans="1:8" ht="45" hidden="1" x14ac:dyDescent="0.25">
      <c r="A160" s="7">
        <v>158</v>
      </c>
      <c r="B160" s="2" t="s">
        <v>1305</v>
      </c>
      <c r="C160" s="2" t="s">
        <v>1166</v>
      </c>
      <c r="D160" s="2" t="s">
        <v>3840</v>
      </c>
      <c r="E160" s="2" t="s">
        <v>1580</v>
      </c>
      <c r="F160" s="364">
        <v>43922</v>
      </c>
      <c r="G160" s="2" t="s">
        <v>4170</v>
      </c>
      <c r="H160" s="290" t="s">
        <v>2363</v>
      </c>
    </row>
    <row r="161" spans="1:8" ht="105" hidden="1" x14ac:dyDescent="0.25">
      <c r="A161" s="7">
        <v>159</v>
      </c>
      <c r="B161" s="2" t="s">
        <v>1349</v>
      </c>
      <c r="C161" s="2" t="s">
        <v>1425</v>
      </c>
      <c r="D161" s="2" t="s">
        <v>3837</v>
      </c>
      <c r="E161" s="2" t="s">
        <v>1580</v>
      </c>
      <c r="F161" s="364">
        <v>43923</v>
      </c>
      <c r="G161" s="2" t="s">
        <v>4174</v>
      </c>
      <c r="H161" s="290" t="s">
        <v>2363</v>
      </c>
    </row>
    <row r="162" spans="1:8" ht="105" hidden="1" x14ac:dyDescent="0.25">
      <c r="A162" s="7">
        <v>160</v>
      </c>
      <c r="B162" s="2" t="s">
        <v>3534</v>
      </c>
      <c r="C162" s="2" t="s">
        <v>1429</v>
      </c>
      <c r="D162" s="2" t="s">
        <v>3837</v>
      </c>
      <c r="E162" s="2" t="s">
        <v>1580</v>
      </c>
      <c r="F162" s="364">
        <v>43923</v>
      </c>
      <c r="G162" s="2" t="s">
        <v>4174</v>
      </c>
      <c r="H162" s="290" t="s">
        <v>2363</v>
      </c>
    </row>
    <row r="163" spans="1:8" ht="60" hidden="1" x14ac:dyDescent="0.25">
      <c r="A163" s="7">
        <v>161</v>
      </c>
      <c r="B163" s="2" t="s">
        <v>3841</v>
      </c>
      <c r="C163" s="2" t="s">
        <v>1172</v>
      </c>
      <c r="D163" s="2" t="s">
        <v>3837</v>
      </c>
      <c r="E163" s="2" t="s">
        <v>1580</v>
      </c>
      <c r="F163" s="364">
        <v>43923</v>
      </c>
      <c r="G163" s="2" t="s">
        <v>4173</v>
      </c>
      <c r="H163" s="290" t="s">
        <v>2363</v>
      </c>
    </row>
    <row r="164" spans="1:8" ht="45" hidden="1" x14ac:dyDescent="0.25">
      <c r="A164" s="7">
        <v>162</v>
      </c>
      <c r="B164" s="2" t="s">
        <v>1590</v>
      </c>
      <c r="C164" s="2" t="s">
        <v>1173</v>
      </c>
      <c r="D164" s="2" t="s">
        <v>3842</v>
      </c>
      <c r="E164" s="2" t="s">
        <v>1580</v>
      </c>
      <c r="F164" s="364">
        <v>43922</v>
      </c>
      <c r="G164" s="2" t="s">
        <v>4170</v>
      </c>
      <c r="H164" s="290" t="s">
        <v>2363</v>
      </c>
    </row>
    <row r="165" spans="1:8" ht="30" hidden="1" x14ac:dyDescent="0.25">
      <c r="A165" s="7">
        <v>163</v>
      </c>
      <c r="B165" s="2" t="s">
        <v>4613</v>
      </c>
      <c r="C165" s="2" t="s">
        <v>4394</v>
      </c>
      <c r="D165" s="2" t="s">
        <v>4623</v>
      </c>
      <c r="E165" s="2" t="s">
        <v>1580</v>
      </c>
      <c r="F165" s="364">
        <v>44214</v>
      </c>
      <c r="G165" s="8" t="s">
        <v>4616</v>
      </c>
      <c r="H165" s="290" t="s">
        <v>2363</v>
      </c>
    </row>
    <row r="166" spans="1:8" ht="30" hidden="1" x14ac:dyDescent="0.25">
      <c r="A166" s="7">
        <v>164</v>
      </c>
      <c r="B166" s="2" t="s">
        <v>4614</v>
      </c>
      <c r="C166" s="2" t="s">
        <v>4457</v>
      </c>
      <c r="D166" s="2" t="s">
        <v>4623</v>
      </c>
      <c r="E166" s="2" t="s">
        <v>1580</v>
      </c>
      <c r="F166" s="364">
        <v>44214</v>
      </c>
      <c r="G166" s="8" t="s">
        <v>4616</v>
      </c>
      <c r="H166" s="290" t="s">
        <v>2363</v>
      </c>
    </row>
    <row r="167" spans="1:8" ht="30" hidden="1" x14ac:dyDescent="0.25">
      <c r="A167" s="7">
        <v>165</v>
      </c>
      <c r="B167" s="2" t="s">
        <v>4615</v>
      </c>
      <c r="C167" s="2" t="s">
        <v>4508</v>
      </c>
      <c r="D167" s="2" t="s">
        <v>4623</v>
      </c>
      <c r="E167" s="2" t="s">
        <v>1580</v>
      </c>
      <c r="F167" s="364">
        <v>44214</v>
      </c>
      <c r="G167" s="8" t="s">
        <v>4616</v>
      </c>
      <c r="H167" s="290" t="s">
        <v>2363</v>
      </c>
    </row>
    <row r="168" spans="1:8" ht="45" hidden="1" x14ac:dyDescent="0.25">
      <c r="A168" s="7">
        <v>166</v>
      </c>
      <c r="B168" s="2" t="s">
        <v>1625</v>
      </c>
      <c r="C168" s="2" t="s">
        <v>4628</v>
      </c>
      <c r="D168" s="2" t="s">
        <v>4621</v>
      </c>
      <c r="E168" s="2" t="s">
        <v>1580</v>
      </c>
      <c r="F168" s="364">
        <v>44214</v>
      </c>
      <c r="G168" s="8" t="s">
        <v>4622</v>
      </c>
      <c r="H168" s="290" t="s">
        <v>2363</v>
      </c>
    </row>
    <row r="169" spans="1:8" ht="60" hidden="1" x14ac:dyDescent="0.25">
      <c r="A169" s="7">
        <v>167</v>
      </c>
      <c r="B169" s="2" t="s">
        <v>3824</v>
      </c>
      <c r="C169" s="2" t="s">
        <v>4629</v>
      </c>
      <c r="D169" s="2" t="s">
        <v>4624</v>
      </c>
      <c r="E169" s="2" t="s">
        <v>1580</v>
      </c>
      <c r="F169" s="364">
        <v>44214</v>
      </c>
      <c r="G169" s="8" t="s">
        <v>4622</v>
      </c>
      <c r="H169" s="290" t="s">
        <v>2363</v>
      </c>
    </row>
    <row r="170" spans="1:8" ht="75" hidden="1" x14ac:dyDescent="0.25">
      <c r="A170" s="7">
        <v>168</v>
      </c>
      <c r="B170" s="2" t="s">
        <v>3827</v>
      </c>
      <c r="C170" s="2" t="s">
        <v>4630</v>
      </c>
      <c r="D170" s="2" t="s">
        <v>4624</v>
      </c>
      <c r="E170" s="2" t="s">
        <v>1580</v>
      </c>
      <c r="F170" s="364">
        <v>44214</v>
      </c>
      <c r="G170" s="8" t="s">
        <v>4622</v>
      </c>
      <c r="H170" s="290" t="s">
        <v>2363</v>
      </c>
    </row>
    <row r="171" spans="1:8" ht="45" hidden="1" x14ac:dyDescent="0.25">
      <c r="A171" s="7">
        <v>169</v>
      </c>
      <c r="B171" s="2" t="s">
        <v>4625</v>
      </c>
      <c r="C171" s="2" t="s">
        <v>4631</v>
      </c>
      <c r="D171" s="2" t="s">
        <v>4624</v>
      </c>
      <c r="E171" s="2" t="s">
        <v>1580</v>
      </c>
      <c r="F171" s="364">
        <v>44214</v>
      </c>
      <c r="G171" s="8" t="s">
        <v>4622</v>
      </c>
      <c r="H171" s="290" t="s">
        <v>2363</v>
      </c>
    </row>
    <row r="172" spans="1:8" ht="45" hidden="1" x14ac:dyDescent="0.25">
      <c r="A172" s="7">
        <v>170</v>
      </c>
      <c r="B172" s="2" t="s">
        <v>3537</v>
      </c>
      <c r="C172" s="2" t="s">
        <v>4632</v>
      </c>
      <c r="D172" s="2" t="s">
        <v>4624</v>
      </c>
      <c r="E172" s="2" t="s">
        <v>1580</v>
      </c>
      <c r="F172" s="364">
        <v>44214</v>
      </c>
      <c r="G172" s="8" t="s">
        <v>4622</v>
      </c>
      <c r="H172" s="290" t="s">
        <v>2363</v>
      </c>
    </row>
    <row r="173" spans="1:8" hidden="1" x14ac:dyDescent="0.25">
      <c r="A173" s="7">
        <v>171</v>
      </c>
      <c r="B173" s="2" t="s">
        <v>1321</v>
      </c>
      <c r="C173" s="2" t="s">
        <v>252</v>
      </c>
      <c r="D173" s="2" t="s">
        <v>4627</v>
      </c>
      <c r="E173" s="2" t="s">
        <v>1580</v>
      </c>
      <c r="F173" s="364">
        <v>44214</v>
      </c>
      <c r="G173" s="8" t="s">
        <v>4622</v>
      </c>
      <c r="H173" s="290" t="s">
        <v>2363</v>
      </c>
    </row>
    <row r="174" spans="1:8" hidden="1" x14ac:dyDescent="0.25">
      <c r="A174" s="7">
        <v>172</v>
      </c>
      <c r="B174" s="2" t="s">
        <v>3819</v>
      </c>
      <c r="C174" s="2" t="s">
        <v>252</v>
      </c>
      <c r="D174" s="2" t="s">
        <v>5010</v>
      </c>
      <c r="E174" s="2" t="s">
        <v>1580</v>
      </c>
      <c r="F174" s="364">
        <v>44286</v>
      </c>
      <c r="G174" s="8" t="s">
        <v>5018</v>
      </c>
      <c r="H174" s="290" t="s">
        <v>2363</v>
      </c>
    </row>
    <row r="175" spans="1:8" hidden="1" x14ac:dyDescent="0.25">
      <c r="A175" s="7">
        <v>173</v>
      </c>
      <c r="B175" s="2" t="s">
        <v>1598</v>
      </c>
      <c r="C175" s="2" t="s">
        <v>252</v>
      </c>
      <c r="D175" s="2" t="s">
        <v>5011</v>
      </c>
      <c r="E175" s="2" t="s">
        <v>1580</v>
      </c>
      <c r="F175" s="364">
        <v>44271</v>
      </c>
      <c r="G175" s="8" t="s">
        <v>5018</v>
      </c>
      <c r="H175" s="290" t="s">
        <v>2363</v>
      </c>
    </row>
    <row r="176" spans="1:8" hidden="1" x14ac:dyDescent="0.25">
      <c r="A176" s="7">
        <v>174</v>
      </c>
      <c r="B176" s="2" t="s">
        <v>5012</v>
      </c>
      <c r="C176" s="2" t="s">
        <v>252</v>
      </c>
      <c r="D176" s="2" t="s">
        <v>5013</v>
      </c>
      <c r="E176" s="2" t="s">
        <v>1580</v>
      </c>
      <c r="F176" s="364">
        <v>44271</v>
      </c>
      <c r="G176" s="8" t="s">
        <v>5018</v>
      </c>
      <c r="H176" s="290" t="s">
        <v>2363</v>
      </c>
    </row>
    <row r="177" spans="1:8" hidden="1" x14ac:dyDescent="0.25">
      <c r="A177" s="7">
        <v>175</v>
      </c>
      <c r="B177" s="2" t="s">
        <v>1317</v>
      </c>
      <c r="C177" s="2" t="s">
        <v>252</v>
      </c>
      <c r="D177" s="2" t="s">
        <v>5014</v>
      </c>
      <c r="E177" s="2" t="s">
        <v>1580</v>
      </c>
      <c r="F177" s="364">
        <v>44271</v>
      </c>
      <c r="G177" s="8" t="s">
        <v>5018</v>
      </c>
      <c r="H177" s="290" t="s">
        <v>2363</v>
      </c>
    </row>
    <row r="178" spans="1:8" hidden="1" x14ac:dyDescent="0.25">
      <c r="A178" s="7">
        <v>176</v>
      </c>
      <c r="B178" s="2" t="s">
        <v>1318</v>
      </c>
      <c r="C178" s="2" t="s">
        <v>252</v>
      </c>
      <c r="D178" s="2" t="s">
        <v>5015</v>
      </c>
      <c r="E178" s="2" t="s">
        <v>1580</v>
      </c>
      <c r="F178" s="364">
        <v>44286</v>
      </c>
      <c r="G178" s="8" t="s">
        <v>5018</v>
      </c>
      <c r="H178" s="290" t="s">
        <v>2363</v>
      </c>
    </row>
    <row r="179" spans="1:8" ht="30" hidden="1" x14ac:dyDescent="0.25">
      <c r="A179" s="7">
        <v>177</v>
      </c>
      <c r="B179" s="2" t="s">
        <v>3821</v>
      </c>
      <c r="C179" s="2" t="s">
        <v>252</v>
      </c>
      <c r="D179" s="2" t="s">
        <v>5017</v>
      </c>
      <c r="E179" s="2" t="s">
        <v>1580</v>
      </c>
      <c r="F179" s="364">
        <v>44271</v>
      </c>
      <c r="G179" s="8" t="s">
        <v>5018</v>
      </c>
      <c r="H179" s="290" t="s">
        <v>2363</v>
      </c>
    </row>
    <row r="180" spans="1:8" hidden="1" x14ac:dyDescent="0.25">
      <c r="A180" s="7">
        <v>178</v>
      </c>
      <c r="B180" s="2" t="s">
        <v>1320</v>
      </c>
      <c r="C180" s="2" t="s">
        <v>252</v>
      </c>
      <c r="D180" s="2" t="s">
        <v>5016</v>
      </c>
      <c r="E180" s="2" t="s">
        <v>1580</v>
      </c>
      <c r="F180" s="364">
        <v>44271</v>
      </c>
      <c r="G180" s="8" t="s">
        <v>5018</v>
      </c>
      <c r="H180" s="290" t="s">
        <v>2363</v>
      </c>
    </row>
    <row r="181" spans="1:8" hidden="1" x14ac:dyDescent="0.25">
      <c r="A181" s="7">
        <v>179</v>
      </c>
      <c r="B181" s="2" t="s">
        <v>3006</v>
      </c>
      <c r="C181" s="2" t="s">
        <v>252</v>
      </c>
      <c r="D181" s="2" t="s">
        <v>5019</v>
      </c>
      <c r="E181" s="2" t="s">
        <v>1580</v>
      </c>
      <c r="F181" s="364">
        <v>44271</v>
      </c>
      <c r="G181" s="8" t="s">
        <v>5018</v>
      </c>
      <c r="H181" s="290" t="s">
        <v>2363</v>
      </c>
    </row>
    <row r="182" spans="1:8" ht="195" hidden="1" x14ac:dyDescent="0.25">
      <c r="A182" s="7">
        <v>180</v>
      </c>
      <c r="B182" s="2" t="s">
        <v>5022</v>
      </c>
      <c r="C182" s="2" t="s">
        <v>5021</v>
      </c>
      <c r="D182" s="2" t="s">
        <v>5020</v>
      </c>
      <c r="E182" s="2" t="s">
        <v>1580</v>
      </c>
      <c r="F182" s="364">
        <v>44271</v>
      </c>
      <c r="G182" s="8" t="s">
        <v>5018</v>
      </c>
      <c r="H182" s="290" t="s">
        <v>2363</v>
      </c>
    </row>
    <row r="183" spans="1:8" ht="30" hidden="1" x14ac:dyDescent="0.25">
      <c r="A183" s="7">
        <v>181</v>
      </c>
      <c r="B183" s="2" t="s">
        <v>467</v>
      </c>
      <c r="C183" s="2" t="s">
        <v>5023</v>
      </c>
      <c r="D183" s="2" t="s">
        <v>5024</v>
      </c>
      <c r="E183" s="2" t="s">
        <v>1580</v>
      </c>
      <c r="F183" s="364">
        <v>44271</v>
      </c>
      <c r="G183" s="8" t="s">
        <v>5018</v>
      </c>
      <c r="H183" s="290" t="s">
        <v>2363</v>
      </c>
    </row>
    <row r="184" spans="1:8" ht="30" hidden="1" x14ac:dyDescent="0.25">
      <c r="A184" s="7">
        <v>182</v>
      </c>
      <c r="B184" s="2" t="s">
        <v>1305</v>
      </c>
      <c r="C184" s="2" t="s">
        <v>5025</v>
      </c>
      <c r="D184" s="2" t="s">
        <v>3837</v>
      </c>
      <c r="E184" s="2" t="s">
        <v>1580</v>
      </c>
      <c r="F184" s="364">
        <v>44271</v>
      </c>
      <c r="G184" s="8" t="s">
        <v>5018</v>
      </c>
      <c r="H184" s="290" t="s">
        <v>2363</v>
      </c>
    </row>
    <row r="185" spans="1:8" hidden="1" x14ac:dyDescent="0.25">
      <c r="A185" s="7">
        <v>183</v>
      </c>
      <c r="B185" s="2" t="s">
        <v>5028</v>
      </c>
      <c r="C185" s="2" t="s">
        <v>1157</v>
      </c>
      <c r="D185" s="2" t="s">
        <v>3837</v>
      </c>
      <c r="E185" s="2" t="s">
        <v>1580</v>
      </c>
      <c r="F185" s="364">
        <v>44271</v>
      </c>
      <c r="G185" s="8" t="s">
        <v>5018</v>
      </c>
      <c r="H185" s="290" t="s">
        <v>2363</v>
      </c>
    </row>
    <row r="186" spans="1:8" ht="30" hidden="1" x14ac:dyDescent="0.25">
      <c r="A186" s="7">
        <v>184</v>
      </c>
      <c r="B186" s="2" t="s">
        <v>5027</v>
      </c>
      <c r="C186" s="2" t="s">
        <v>1124</v>
      </c>
      <c r="D186" s="2" t="s">
        <v>3837</v>
      </c>
      <c r="E186" s="2" t="s">
        <v>1580</v>
      </c>
      <c r="F186" s="364">
        <v>44271</v>
      </c>
      <c r="G186" s="8" t="s">
        <v>5018</v>
      </c>
      <c r="H186" s="290" t="s">
        <v>2363</v>
      </c>
    </row>
    <row r="187" spans="1:8" hidden="1" x14ac:dyDescent="0.25">
      <c r="A187" s="7">
        <v>185</v>
      </c>
      <c r="B187" s="2" t="s">
        <v>4855</v>
      </c>
      <c r="C187" s="2" t="s">
        <v>4787</v>
      </c>
      <c r="D187" s="2" t="s">
        <v>5026</v>
      </c>
      <c r="E187" s="2" t="s">
        <v>1580</v>
      </c>
      <c r="F187" s="364">
        <v>44271</v>
      </c>
      <c r="G187" s="8" t="s">
        <v>5018</v>
      </c>
      <c r="H187" s="290" t="s">
        <v>2363</v>
      </c>
    </row>
    <row r="188" spans="1:8" ht="30" hidden="1" x14ac:dyDescent="0.25">
      <c r="A188" s="7">
        <v>186</v>
      </c>
      <c r="B188" s="2" t="s">
        <v>5029</v>
      </c>
      <c r="C188" s="2" t="s">
        <v>4881</v>
      </c>
      <c r="D188" s="2" t="s">
        <v>5026</v>
      </c>
      <c r="E188" s="2" t="s">
        <v>1580</v>
      </c>
      <c r="F188" s="364">
        <v>44271</v>
      </c>
      <c r="G188" s="8" t="s">
        <v>5018</v>
      </c>
      <c r="H188" s="290" t="s">
        <v>2363</v>
      </c>
    </row>
    <row r="189" spans="1:8" hidden="1" x14ac:dyDescent="0.25">
      <c r="A189" s="7">
        <v>187</v>
      </c>
      <c r="B189" s="2" t="s">
        <v>1321</v>
      </c>
      <c r="C189" s="2" t="s">
        <v>252</v>
      </c>
      <c r="D189" s="2" t="s">
        <v>5030</v>
      </c>
      <c r="E189" s="2" t="s">
        <v>1580</v>
      </c>
      <c r="F189" s="364">
        <v>44271</v>
      </c>
      <c r="G189" s="8" t="s">
        <v>5018</v>
      </c>
      <c r="H189" s="290" t="s">
        <v>2363</v>
      </c>
    </row>
    <row r="190" spans="1:8" ht="30" hidden="1" x14ac:dyDescent="0.25">
      <c r="A190" s="7">
        <v>188</v>
      </c>
      <c r="B190" s="2" t="s">
        <v>252</v>
      </c>
      <c r="C190" s="2" t="s">
        <v>252</v>
      </c>
      <c r="D190" s="2" t="s">
        <v>5031</v>
      </c>
      <c r="E190" s="2" t="s">
        <v>1580</v>
      </c>
      <c r="F190" s="364">
        <v>44286</v>
      </c>
      <c r="G190" s="2" t="s">
        <v>5032</v>
      </c>
      <c r="H190" s="290" t="s">
        <v>2363</v>
      </c>
    </row>
    <row r="191" spans="1:8" hidden="1" x14ac:dyDescent="0.25">
      <c r="A191" s="7">
        <v>189</v>
      </c>
      <c r="B191" s="2" t="s">
        <v>3819</v>
      </c>
      <c r="C191" s="2" t="s">
        <v>252</v>
      </c>
      <c r="D191" s="2" t="s">
        <v>5040</v>
      </c>
      <c r="E191" s="2" t="s">
        <v>1580</v>
      </c>
      <c r="F191" s="364">
        <v>44714</v>
      </c>
      <c r="G191" s="8" t="s">
        <v>5360</v>
      </c>
      <c r="H191" s="290" t="s">
        <v>2363</v>
      </c>
    </row>
    <row r="192" spans="1:8" hidden="1" x14ac:dyDescent="0.25">
      <c r="A192" s="7">
        <v>190</v>
      </c>
      <c r="B192" s="2" t="s">
        <v>1598</v>
      </c>
      <c r="C192" s="2" t="s">
        <v>252</v>
      </c>
      <c r="D192" s="2" t="s">
        <v>5357</v>
      </c>
      <c r="E192" s="2" t="s">
        <v>1580</v>
      </c>
      <c r="F192" s="364">
        <v>44636</v>
      </c>
      <c r="G192" s="8" t="s">
        <v>5360</v>
      </c>
      <c r="H192" s="290" t="s">
        <v>2363</v>
      </c>
    </row>
    <row r="193" spans="1:8" hidden="1" x14ac:dyDescent="0.25">
      <c r="A193" s="7">
        <v>191</v>
      </c>
      <c r="B193" s="2" t="s">
        <v>5042</v>
      </c>
      <c r="C193" s="2" t="s">
        <v>252</v>
      </c>
      <c r="D193" s="2" t="s">
        <v>5043</v>
      </c>
      <c r="E193" s="2" t="s">
        <v>1580</v>
      </c>
      <c r="F193" s="364">
        <v>44636</v>
      </c>
      <c r="G193" s="8" t="s">
        <v>5360</v>
      </c>
      <c r="H193" s="290" t="s">
        <v>2363</v>
      </c>
    </row>
    <row r="194" spans="1:8" hidden="1" x14ac:dyDescent="0.25">
      <c r="A194" s="7">
        <v>192</v>
      </c>
      <c r="B194" s="2" t="s">
        <v>1317</v>
      </c>
      <c r="C194" s="2" t="s">
        <v>252</v>
      </c>
      <c r="D194" s="2" t="s">
        <v>5041</v>
      </c>
      <c r="E194" s="2" t="s">
        <v>1580</v>
      </c>
      <c r="F194" s="364">
        <v>44618</v>
      </c>
      <c r="G194" s="8" t="s">
        <v>5360</v>
      </c>
      <c r="H194" s="290" t="s">
        <v>2363</v>
      </c>
    </row>
    <row r="195" spans="1:8" hidden="1" x14ac:dyDescent="0.25">
      <c r="A195" s="7">
        <v>193</v>
      </c>
      <c r="B195" s="2" t="s">
        <v>1318</v>
      </c>
      <c r="C195" s="2" t="s">
        <v>252</v>
      </c>
      <c r="D195" s="2" t="s">
        <v>5358</v>
      </c>
      <c r="E195" s="2" t="s">
        <v>1580</v>
      </c>
      <c r="F195" s="364">
        <v>44714</v>
      </c>
      <c r="G195" s="8" t="s">
        <v>5360</v>
      </c>
      <c r="H195" s="290" t="s">
        <v>2363</v>
      </c>
    </row>
    <row r="196" spans="1:8" ht="30" hidden="1" x14ac:dyDescent="0.25">
      <c r="A196" s="7">
        <v>194</v>
      </c>
      <c r="B196" s="2" t="s">
        <v>3821</v>
      </c>
      <c r="C196" s="2" t="s">
        <v>252</v>
      </c>
      <c r="D196" s="2" t="s">
        <v>5354</v>
      </c>
      <c r="E196" s="2" t="s">
        <v>1580</v>
      </c>
      <c r="F196" s="364">
        <v>44618</v>
      </c>
      <c r="G196" s="8" t="s">
        <v>5360</v>
      </c>
      <c r="H196" s="290" t="s">
        <v>2363</v>
      </c>
    </row>
    <row r="197" spans="1:8" ht="45" hidden="1" x14ac:dyDescent="0.25">
      <c r="A197" s="7">
        <v>195</v>
      </c>
      <c r="B197" s="2" t="s">
        <v>1320</v>
      </c>
      <c r="C197" s="2" t="s">
        <v>252</v>
      </c>
      <c r="D197" s="2" t="s">
        <v>5119</v>
      </c>
      <c r="E197" s="2" t="s">
        <v>1580</v>
      </c>
      <c r="F197" s="364">
        <v>44636</v>
      </c>
      <c r="G197" s="8" t="s">
        <v>5360</v>
      </c>
      <c r="H197" s="290" t="s">
        <v>2363</v>
      </c>
    </row>
    <row r="198" spans="1:8" hidden="1" x14ac:dyDescent="0.25">
      <c r="A198" s="7">
        <v>196</v>
      </c>
      <c r="B198" s="2" t="s">
        <v>1321</v>
      </c>
      <c r="C198" s="2" t="s">
        <v>252</v>
      </c>
      <c r="D198" s="2" t="s">
        <v>5120</v>
      </c>
      <c r="E198" s="2" t="s">
        <v>1595</v>
      </c>
      <c r="F198" s="364"/>
      <c r="G198" s="8" t="s">
        <v>5360</v>
      </c>
      <c r="H198" s="290"/>
    </row>
    <row r="199" spans="1:8" hidden="1" x14ac:dyDescent="0.25">
      <c r="A199" s="7">
        <v>197</v>
      </c>
      <c r="B199" s="2" t="s">
        <v>3006</v>
      </c>
      <c r="C199" s="2" t="s">
        <v>252</v>
      </c>
      <c r="D199" s="2" t="s">
        <v>5359</v>
      </c>
      <c r="E199" s="2" t="s">
        <v>1580</v>
      </c>
      <c r="F199" s="364">
        <v>44714</v>
      </c>
      <c r="G199" s="8" t="s">
        <v>5360</v>
      </c>
      <c r="H199" s="290" t="s">
        <v>2363</v>
      </c>
    </row>
    <row r="200" spans="1:8" ht="60" hidden="1" x14ac:dyDescent="0.25">
      <c r="A200" s="7">
        <v>198</v>
      </c>
      <c r="B200" s="2" t="s">
        <v>467</v>
      </c>
      <c r="C200" s="2" t="s">
        <v>467</v>
      </c>
      <c r="D200" s="2" t="s">
        <v>5134</v>
      </c>
      <c r="E200" s="2" t="s">
        <v>1580</v>
      </c>
      <c r="F200" s="364">
        <v>44618</v>
      </c>
      <c r="G200" s="8" t="s">
        <v>5360</v>
      </c>
      <c r="H200" s="290" t="s">
        <v>2363</v>
      </c>
    </row>
    <row r="201" spans="1:8" ht="30" hidden="1" x14ac:dyDescent="0.25">
      <c r="A201" s="7">
        <v>199</v>
      </c>
      <c r="B201" s="2" t="s">
        <v>1308</v>
      </c>
      <c r="C201" s="2" t="s">
        <v>5346</v>
      </c>
      <c r="D201" s="2" t="s">
        <v>3837</v>
      </c>
      <c r="E201" s="2" t="s">
        <v>1580</v>
      </c>
      <c r="F201" s="364">
        <v>44618</v>
      </c>
      <c r="G201" s="8" t="s">
        <v>5360</v>
      </c>
      <c r="H201" s="290" t="s">
        <v>2363</v>
      </c>
    </row>
    <row r="202" spans="1:8" ht="45" hidden="1" x14ac:dyDescent="0.25">
      <c r="A202" s="7">
        <v>200</v>
      </c>
      <c r="B202" s="2" t="s">
        <v>5349</v>
      </c>
      <c r="C202" s="2" t="s">
        <v>5361</v>
      </c>
      <c r="D202" s="2" t="s">
        <v>3837</v>
      </c>
      <c r="E202" s="2" t="s">
        <v>1580</v>
      </c>
      <c r="F202" s="364">
        <v>44618</v>
      </c>
      <c r="G202" s="8" t="s">
        <v>5360</v>
      </c>
      <c r="H202" s="290" t="s">
        <v>2363</v>
      </c>
    </row>
    <row r="203" spans="1:8" ht="30" hidden="1" x14ac:dyDescent="0.25">
      <c r="A203" s="7">
        <v>201</v>
      </c>
      <c r="B203" s="2" t="s">
        <v>4320</v>
      </c>
      <c r="C203" s="2" t="s">
        <v>5347</v>
      </c>
      <c r="D203" s="2" t="s">
        <v>3837</v>
      </c>
      <c r="E203" s="2" t="s">
        <v>1580</v>
      </c>
      <c r="F203" s="364">
        <v>44618</v>
      </c>
      <c r="G203" s="8" t="s">
        <v>5360</v>
      </c>
      <c r="H203" s="290" t="s">
        <v>2363</v>
      </c>
    </row>
    <row r="204" spans="1:8" ht="30" hidden="1" x14ac:dyDescent="0.25">
      <c r="A204" s="7">
        <v>202</v>
      </c>
      <c r="B204" s="2" t="s">
        <v>4316</v>
      </c>
      <c r="C204" s="2" t="s">
        <v>5348</v>
      </c>
      <c r="D204" s="2" t="s">
        <v>3837</v>
      </c>
      <c r="E204" s="2" t="s">
        <v>1580</v>
      </c>
      <c r="F204" s="364">
        <v>44618</v>
      </c>
      <c r="G204" s="8" t="s">
        <v>5360</v>
      </c>
      <c r="H204" s="290" t="s">
        <v>2363</v>
      </c>
    </row>
    <row r="205" spans="1:8" ht="30" hidden="1" x14ac:dyDescent="0.25">
      <c r="A205" s="7">
        <v>203</v>
      </c>
      <c r="B205" s="2" t="s">
        <v>5350</v>
      </c>
      <c r="C205" s="2" t="s">
        <v>5023</v>
      </c>
      <c r="D205" s="2" t="s">
        <v>5026</v>
      </c>
      <c r="E205" s="2" t="s">
        <v>1580</v>
      </c>
      <c r="F205" s="364">
        <v>44636</v>
      </c>
      <c r="G205" s="8" t="s">
        <v>5360</v>
      </c>
      <c r="H205" s="290" t="s">
        <v>2363</v>
      </c>
    </row>
    <row r="206" spans="1:8" ht="30" hidden="1" x14ac:dyDescent="0.25">
      <c r="A206" s="7">
        <v>204</v>
      </c>
      <c r="B206" s="2" t="s">
        <v>1625</v>
      </c>
      <c r="C206" s="2" t="s">
        <v>5363</v>
      </c>
      <c r="D206" s="2" t="s">
        <v>5352</v>
      </c>
      <c r="E206" s="2" t="s">
        <v>1580</v>
      </c>
      <c r="F206" s="364">
        <v>44618</v>
      </c>
      <c r="G206" s="8" t="s">
        <v>5360</v>
      </c>
      <c r="H206" s="290" t="s">
        <v>2363</v>
      </c>
    </row>
    <row r="207" spans="1:8" ht="45" hidden="1" x14ac:dyDescent="0.25">
      <c r="A207" s="7">
        <v>205</v>
      </c>
      <c r="B207" s="2" t="s">
        <v>3824</v>
      </c>
      <c r="C207" s="2" t="s">
        <v>5362</v>
      </c>
      <c r="D207" s="2" t="s">
        <v>5351</v>
      </c>
      <c r="E207" s="2" t="s">
        <v>1580</v>
      </c>
      <c r="F207" s="364">
        <v>44618</v>
      </c>
      <c r="G207" s="8" t="s">
        <v>5360</v>
      </c>
      <c r="H207" s="290" t="s">
        <v>2363</v>
      </c>
    </row>
    <row r="208" spans="1:8" ht="30" hidden="1" x14ac:dyDescent="0.25">
      <c r="A208" s="7">
        <v>206</v>
      </c>
      <c r="B208" s="2" t="s">
        <v>5044</v>
      </c>
      <c r="C208" s="2" t="s">
        <v>5364</v>
      </c>
      <c r="D208" s="2" t="s">
        <v>5026</v>
      </c>
      <c r="E208" s="2" t="s">
        <v>1580</v>
      </c>
      <c r="F208" s="364">
        <v>44636</v>
      </c>
      <c r="G208" s="8" t="s">
        <v>5360</v>
      </c>
      <c r="H208" s="290" t="s">
        <v>2363</v>
      </c>
    </row>
    <row r="209" spans="1:8" ht="30" hidden="1" x14ac:dyDescent="0.25">
      <c r="A209" s="7">
        <v>207</v>
      </c>
      <c r="B209" s="2" t="s">
        <v>5049</v>
      </c>
      <c r="C209" s="2" t="s">
        <v>5365</v>
      </c>
      <c r="D209" s="2" t="s">
        <v>5026</v>
      </c>
      <c r="E209" s="2" t="s">
        <v>1580</v>
      </c>
      <c r="F209" s="364">
        <v>44618</v>
      </c>
      <c r="G209" s="8" t="s">
        <v>5360</v>
      </c>
      <c r="H209" s="290" t="s">
        <v>2363</v>
      </c>
    </row>
    <row r="210" spans="1:8" hidden="1" x14ac:dyDescent="0.25">
      <c r="A210" s="7">
        <v>208</v>
      </c>
      <c r="B210" s="2" t="s">
        <v>4212</v>
      </c>
      <c r="C210" s="2" t="s">
        <v>5366</v>
      </c>
      <c r="D210" s="2" t="s">
        <v>5355</v>
      </c>
      <c r="E210" s="2" t="s">
        <v>1580</v>
      </c>
      <c r="F210" s="364">
        <v>44618</v>
      </c>
      <c r="G210" s="8" t="s">
        <v>5360</v>
      </c>
      <c r="H210" s="290" t="s">
        <v>2363</v>
      </c>
    </row>
    <row r="211" spans="1:8" ht="30" hidden="1" x14ac:dyDescent="0.25">
      <c r="A211" s="7">
        <v>209</v>
      </c>
      <c r="B211" s="2" t="s">
        <v>1358</v>
      </c>
      <c r="C211" s="2" t="s">
        <v>5367</v>
      </c>
      <c r="D211" s="2" t="s">
        <v>3837</v>
      </c>
      <c r="E211" s="2" t="s">
        <v>1580</v>
      </c>
      <c r="F211" s="364">
        <v>44618</v>
      </c>
      <c r="G211" s="8" t="s">
        <v>5360</v>
      </c>
      <c r="H211" s="290" t="s">
        <v>2363</v>
      </c>
    </row>
    <row r="212" spans="1:8" ht="30" hidden="1" x14ac:dyDescent="0.25">
      <c r="A212" s="7">
        <v>210</v>
      </c>
      <c r="B212" s="2" t="s">
        <v>3841</v>
      </c>
      <c r="C212" s="2" t="s">
        <v>5368</v>
      </c>
      <c r="D212" s="2" t="s">
        <v>5353</v>
      </c>
      <c r="E212" s="2" t="s">
        <v>1580</v>
      </c>
      <c r="F212" s="364">
        <v>44618</v>
      </c>
      <c r="G212" s="8" t="s">
        <v>5360</v>
      </c>
      <c r="H212" s="290" t="s">
        <v>2363</v>
      </c>
    </row>
    <row r="213" spans="1:8" ht="30" hidden="1" x14ac:dyDescent="0.25">
      <c r="A213" s="7">
        <v>211</v>
      </c>
      <c r="B213" s="2" t="s">
        <v>252</v>
      </c>
      <c r="C213" s="2" t="s">
        <v>5131</v>
      </c>
      <c r="D213" s="2" t="s">
        <v>5356</v>
      </c>
      <c r="E213" s="2" t="s">
        <v>1580</v>
      </c>
      <c r="F213" s="364">
        <v>44618</v>
      </c>
      <c r="G213" s="8" t="s">
        <v>5360</v>
      </c>
      <c r="H213" s="290" t="s">
        <v>2363</v>
      </c>
    </row>
    <row r="214" spans="1:8" ht="30" hidden="1" x14ac:dyDescent="0.25">
      <c r="A214" s="7">
        <v>212</v>
      </c>
      <c r="B214" s="2" t="s">
        <v>3827</v>
      </c>
      <c r="C214" s="2" t="s">
        <v>5584</v>
      </c>
      <c r="D214" s="2" t="s">
        <v>5351</v>
      </c>
      <c r="E214" s="2" t="s">
        <v>1580</v>
      </c>
      <c r="F214" s="364">
        <v>44670</v>
      </c>
      <c r="G214" s="8" t="s">
        <v>5360</v>
      </c>
      <c r="H214" s="290" t="s">
        <v>2363</v>
      </c>
    </row>
    <row r="215" spans="1:8" hidden="1" x14ac:dyDescent="0.25">
      <c r="A215" s="7">
        <v>213</v>
      </c>
      <c r="B215" s="2" t="s">
        <v>1320</v>
      </c>
      <c r="C215" s="2" t="s">
        <v>252</v>
      </c>
      <c r="D215" s="2" t="s">
        <v>5585</v>
      </c>
      <c r="E215" s="2" t="s">
        <v>1580</v>
      </c>
      <c r="F215" s="364">
        <v>44670</v>
      </c>
      <c r="G215" s="8" t="s">
        <v>5360</v>
      </c>
      <c r="H215" s="290" t="s">
        <v>2363</v>
      </c>
    </row>
    <row r="216" spans="1:8" hidden="1" x14ac:dyDescent="0.25">
      <c r="A216" s="7">
        <v>214</v>
      </c>
      <c r="B216" s="2" t="s">
        <v>1341</v>
      </c>
      <c r="C216" s="2" t="s">
        <v>5586</v>
      </c>
      <c r="D216" s="2" t="s">
        <v>5587</v>
      </c>
      <c r="E216" s="2" t="s">
        <v>1580</v>
      </c>
      <c r="F216" s="364">
        <v>44670</v>
      </c>
      <c r="G216" s="8" t="s">
        <v>5360</v>
      </c>
      <c r="H216" s="290" t="s">
        <v>2363</v>
      </c>
    </row>
    <row r="217" spans="1:8" ht="45" hidden="1" x14ac:dyDescent="0.25">
      <c r="A217" s="7">
        <v>215</v>
      </c>
      <c r="B217" s="2" t="s">
        <v>3537</v>
      </c>
      <c r="C217" s="2" t="s">
        <v>5589</v>
      </c>
      <c r="D217" s="2" t="s">
        <v>5601</v>
      </c>
      <c r="E217" s="2" t="s">
        <v>1580</v>
      </c>
      <c r="F217" s="364">
        <v>44977</v>
      </c>
      <c r="G217" s="8" t="s">
        <v>5590</v>
      </c>
      <c r="H217" s="290"/>
    </row>
    <row r="218" spans="1:8" ht="30" hidden="1" x14ac:dyDescent="0.25">
      <c r="A218" s="7">
        <v>216</v>
      </c>
      <c r="B218" s="2" t="s">
        <v>4625</v>
      </c>
      <c r="C218" s="2" t="s">
        <v>5591</v>
      </c>
      <c r="D218" s="2" t="s">
        <v>5602</v>
      </c>
      <c r="E218" s="2" t="s">
        <v>1580</v>
      </c>
      <c r="F218" s="364">
        <v>44977</v>
      </c>
      <c r="G218" s="8" t="s">
        <v>5590</v>
      </c>
      <c r="H218" s="290"/>
    </row>
    <row r="219" spans="1:8" hidden="1" x14ac:dyDescent="0.25">
      <c r="A219" s="7">
        <v>217</v>
      </c>
      <c r="B219" s="2" t="s">
        <v>1341</v>
      </c>
      <c r="C219" s="2" t="s">
        <v>5592</v>
      </c>
      <c r="D219" s="2" t="s">
        <v>5593</v>
      </c>
      <c r="E219" s="2" t="s">
        <v>1580</v>
      </c>
      <c r="F219" s="364">
        <v>44977</v>
      </c>
      <c r="G219" s="8" t="s">
        <v>5590</v>
      </c>
      <c r="H219" s="290"/>
    </row>
    <row r="220" spans="1:8" hidden="1" x14ac:dyDescent="0.25">
      <c r="A220" s="7">
        <v>218</v>
      </c>
      <c r="B220" s="2" t="s">
        <v>3821</v>
      </c>
      <c r="C220" s="2" t="s">
        <v>3821</v>
      </c>
      <c r="D220" s="2" t="s">
        <v>5594</v>
      </c>
      <c r="E220" s="2" t="s">
        <v>1580</v>
      </c>
      <c r="F220" s="364">
        <v>44977</v>
      </c>
      <c r="G220" s="8" t="s">
        <v>5590</v>
      </c>
      <c r="H220" s="290"/>
    </row>
    <row r="221" spans="1:8" hidden="1" x14ac:dyDescent="0.25">
      <c r="A221" s="7">
        <v>219</v>
      </c>
      <c r="B221" s="2" t="s">
        <v>1320</v>
      </c>
      <c r="C221" s="2" t="s">
        <v>5595</v>
      </c>
      <c r="D221" s="2" t="s">
        <v>5596</v>
      </c>
      <c r="E221" s="2" t="s">
        <v>1580</v>
      </c>
      <c r="F221" s="364">
        <v>44977</v>
      </c>
      <c r="G221" s="8" t="s">
        <v>5590</v>
      </c>
      <c r="H221" s="290"/>
    </row>
    <row r="222" spans="1:8" ht="30" hidden="1" x14ac:dyDescent="0.25">
      <c r="A222" s="7">
        <v>220</v>
      </c>
      <c r="B222" s="2" t="s">
        <v>5044</v>
      </c>
      <c r="C222" s="2" t="s">
        <v>5364</v>
      </c>
      <c r="D222" s="2" t="s">
        <v>5597</v>
      </c>
      <c r="E222" s="2" t="s">
        <v>1580</v>
      </c>
      <c r="F222" s="364">
        <v>44977</v>
      </c>
      <c r="G222" s="8" t="s">
        <v>5590</v>
      </c>
      <c r="H222" s="290"/>
    </row>
    <row r="223" spans="1:8" ht="120" hidden="1" x14ac:dyDescent="0.25">
      <c r="A223" s="7">
        <v>221</v>
      </c>
      <c r="B223" s="2" t="s">
        <v>5603</v>
      </c>
      <c r="C223" s="2" t="s">
        <v>5598</v>
      </c>
      <c r="D223" s="2" t="s">
        <v>5599</v>
      </c>
      <c r="E223" s="2" t="s">
        <v>1580</v>
      </c>
      <c r="F223" s="364">
        <v>44977</v>
      </c>
      <c r="G223" s="8" t="s">
        <v>5590</v>
      </c>
      <c r="H223" s="290"/>
    </row>
    <row r="224" spans="1:8" hidden="1" x14ac:dyDescent="0.25">
      <c r="A224" s="7">
        <v>222</v>
      </c>
      <c r="B224" s="2" t="s">
        <v>1605</v>
      </c>
      <c r="C224" s="2" t="s">
        <v>4651</v>
      </c>
      <c r="D224" s="2" t="s">
        <v>5792</v>
      </c>
      <c r="E224" s="2" t="s">
        <v>1580</v>
      </c>
      <c r="F224" s="364">
        <v>44977</v>
      </c>
      <c r="G224" s="8" t="s">
        <v>5590</v>
      </c>
      <c r="H224" s="290"/>
    </row>
    <row r="225" spans="1:8" ht="30" hidden="1" x14ac:dyDescent="0.25">
      <c r="A225" s="7">
        <v>223</v>
      </c>
      <c r="B225" s="2" t="s">
        <v>3841</v>
      </c>
      <c r="C225" s="2" t="s">
        <v>5368</v>
      </c>
      <c r="D225" s="2" t="s">
        <v>5600</v>
      </c>
      <c r="E225" s="2" t="s">
        <v>1580</v>
      </c>
      <c r="F225" s="364">
        <v>44977</v>
      </c>
      <c r="G225" s="8" t="s">
        <v>5590</v>
      </c>
      <c r="H225" s="290"/>
    </row>
    <row r="226" spans="1:8" ht="45" hidden="1" x14ac:dyDescent="0.25">
      <c r="A226" s="7">
        <v>224</v>
      </c>
      <c r="B226" s="2" t="s">
        <v>5816</v>
      </c>
      <c r="C226" s="2" t="s">
        <v>5793</v>
      </c>
      <c r="D226" s="2" t="s">
        <v>5794</v>
      </c>
      <c r="E226" s="2" t="s">
        <v>1580</v>
      </c>
      <c r="F226" s="364"/>
      <c r="G226" s="8" t="s">
        <v>5813</v>
      </c>
      <c r="H226" s="290" t="s">
        <v>2363</v>
      </c>
    </row>
    <row r="227" spans="1:8" ht="30" hidden="1" x14ac:dyDescent="0.25">
      <c r="A227" s="7">
        <v>225</v>
      </c>
      <c r="B227" s="2" t="s">
        <v>5817</v>
      </c>
      <c r="C227" s="2" t="s">
        <v>5795</v>
      </c>
      <c r="D227" s="2" t="s">
        <v>5796</v>
      </c>
      <c r="E227" s="2" t="s">
        <v>1580</v>
      </c>
      <c r="F227" s="364"/>
      <c r="G227" s="8" t="s">
        <v>5813</v>
      </c>
      <c r="H227" s="290" t="s">
        <v>2363</v>
      </c>
    </row>
    <row r="228" spans="1:8" ht="30" hidden="1" x14ac:dyDescent="0.25">
      <c r="A228" s="7">
        <v>226</v>
      </c>
      <c r="B228" s="2" t="s">
        <v>5818</v>
      </c>
      <c r="C228" s="2" t="s">
        <v>5797</v>
      </c>
      <c r="D228" s="2" t="s">
        <v>5796</v>
      </c>
      <c r="E228" s="2" t="s">
        <v>1580</v>
      </c>
      <c r="F228" s="364"/>
      <c r="G228" s="8" t="s">
        <v>5813</v>
      </c>
      <c r="H228" s="290" t="s">
        <v>2363</v>
      </c>
    </row>
    <row r="229" spans="1:8" ht="30" hidden="1" x14ac:dyDescent="0.25">
      <c r="A229" s="7">
        <v>227</v>
      </c>
      <c r="B229" s="2" t="s">
        <v>4322</v>
      </c>
      <c r="C229" s="2" t="s">
        <v>5798</v>
      </c>
      <c r="D229" s="2" t="s">
        <v>5799</v>
      </c>
      <c r="E229" s="2" t="s">
        <v>1580</v>
      </c>
      <c r="F229" s="364"/>
      <c r="G229" s="8" t="s">
        <v>5813</v>
      </c>
      <c r="H229" s="290" t="s">
        <v>2363</v>
      </c>
    </row>
    <row r="230" spans="1:8" ht="30" hidden="1" x14ac:dyDescent="0.25">
      <c r="A230" s="7">
        <v>228</v>
      </c>
      <c r="B230" s="2" t="s">
        <v>5819</v>
      </c>
      <c r="C230" s="2" t="s">
        <v>5800</v>
      </c>
      <c r="D230" s="2" t="s">
        <v>5796</v>
      </c>
      <c r="E230" s="2" t="s">
        <v>1580</v>
      </c>
      <c r="F230" s="364"/>
      <c r="G230" s="8" t="s">
        <v>5813</v>
      </c>
      <c r="H230" s="290" t="s">
        <v>2363</v>
      </c>
    </row>
    <row r="231" spans="1:8" ht="30" hidden="1" x14ac:dyDescent="0.25">
      <c r="A231" s="7">
        <v>229</v>
      </c>
      <c r="B231" s="2" t="s">
        <v>4320</v>
      </c>
      <c r="C231" s="2" t="s">
        <v>5801</v>
      </c>
      <c r="D231" s="2" t="s">
        <v>5802</v>
      </c>
      <c r="E231" s="2" t="s">
        <v>1580</v>
      </c>
      <c r="F231" s="364"/>
      <c r="G231" s="8" t="s">
        <v>5813</v>
      </c>
      <c r="H231" s="290" t="s">
        <v>2363</v>
      </c>
    </row>
    <row r="232" spans="1:8" ht="30" hidden="1" x14ac:dyDescent="0.25">
      <c r="A232" s="7">
        <v>230</v>
      </c>
      <c r="B232" s="2" t="s">
        <v>4316</v>
      </c>
      <c r="C232" s="2" t="s">
        <v>5803</v>
      </c>
      <c r="D232" s="2" t="s">
        <v>5802</v>
      </c>
      <c r="E232" s="2" t="s">
        <v>1580</v>
      </c>
      <c r="F232" s="364"/>
      <c r="G232" s="8" t="s">
        <v>5813</v>
      </c>
      <c r="H232" s="290" t="s">
        <v>2363</v>
      </c>
    </row>
    <row r="233" spans="1:8" ht="30" hidden="1" x14ac:dyDescent="0.25">
      <c r="A233" s="7">
        <v>231</v>
      </c>
      <c r="B233" s="2" t="s">
        <v>1355</v>
      </c>
      <c r="C233" s="2" t="s">
        <v>5804</v>
      </c>
      <c r="D233" s="2" t="s">
        <v>5796</v>
      </c>
      <c r="E233" s="2" t="s">
        <v>1580</v>
      </c>
      <c r="F233" s="364"/>
      <c r="G233" s="8" t="s">
        <v>5813</v>
      </c>
      <c r="H233" s="290" t="s">
        <v>2363</v>
      </c>
    </row>
    <row r="234" spans="1:8" ht="45" hidden="1" x14ac:dyDescent="0.25">
      <c r="A234" s="7">
        <v>232</v>
      </c>
      <c r="B234" s="2" t="s">
        <v>5814</v>
      </c>
      <c r="C234" s="2" t="s">
        <v>5805</v>
      </c>
      <c r="D234" s="2" t="s">
        <v>5815</v>
      </c>
      <c r="E234" s="2" t="s">
        <v>1580</v>
      </c>
      <c r="F234" s="364"/>
      <c r="G234" s="8" t="s">
        <v>5813</v>
      </c>
      <c r="H234" s="290" t="s">
        <v>2363</v>
      </c>
    </row>
    <row r="235" spans="1:8" ht="30" hidden="1" x14ac:dyDescent="0.25">
      <c r="A235" s="7">
        <v>233</v>
      </c>
      <c r="B235" s="2" t="s">
        <v>1320</v>
      </c>
      <c r="C235" s="2" t="s">
        <v>5806</v>
      </c>
      <c r="D235" s="2" t="s">
        <v>5820</v>
      </c>
      <c r="E235" s="2" t="s">
        <v>1580</v>
      </c>
      <c r="F235" s="364"/>
      <c r="G235" s="8" t="s">
        <v>5821</v>
      </c>
      <c r="H235" s="290" t="s">
        <v>2363</v>
      </c>
    </row>
    <row r="236" spans="1:8" hidden="1" x14ac:dyDescent="0.25">
      <c r="A236" s="7">
        <v>234</v>
      </c>
      <c r="B236" s="2" t="s">
        <v>1320</v>
      </c>
      <c r="C236" s="2" t="s">
        <v>5807</v>
      </c>
      <c r="D236" s="2" t="s">
        <v>5808</v>
      </c>
      <c r="E236" s="2" t="s">
        <v>1580</v>
      </c>
      <c r="F236" s="364"/>
      <c r="G236" s="8" t="s">
        <v>5813</v>
      </c>
      <c r="H236" s="290" t="s">
        <v>2363</v>
      </c>
    </row>
    <row r="237" spans="1:8" hidden="1" x14ac:dyDescent="0.25">
      <c r="A237" s="7">
        <v>235</v>
      </c>
      <c r="B237" s="2" t="s">
        <v>3821</v>
      </c>
      <c r="C237" s="2" t="s">
        <v>5809</v>
      </c>
      <c r="D237" s="2" t="s">
        <v>5810</v>
      </c>
      <c r="E237" s="2" t="s">
        <v>1580</v>
      </c>
      <c r="F237" s="364"/>
      <c r="G237" s="8" t="s">
        <v>5813</v>
      </c>
      <c r="H237" s="290" t="s">
        <v>2363</v>
      </c>
    </row>
    <row r="238" spans="1:8" ht="45" hidden="1" x14ac:dyDescent="0.25">
      <c r="A238" s="7">
        <v>236</v>
      </c>
      <c r="B238" s="2" t="s">
        <v>5822</v>
      </c>
      <c r="C238" s="2" t="s">
        <v>5811</v>
      </c>
      <c r="D238" s="2" t="s">
        <v>5812</v>
      </c>
      <c r="E238" s="2" t="s">
        <v>1580</v>
      </c>
      <c r="F238" s="364"/>
      <c r="G238" s="8" t="s">
        <v>5813</v>
      </c>
      <c r="H238" s="290" t="s">
        <v>2363</v>
      </c>
    </row>
    <row r="239" spans="1:8" ht="105" hidden="1" x14ac:dyDescent="0.25">
      <c r="A239" s="7">
        <v>237</v>
      </c>
      <c r="B239" s="2" t="s">
        <v>6338</v>
      </c>
      <c r="C239" s="2" t="s">
        <v>6337</v>
      </c>
      <c r="D239" s="2" t="s">
        <v>6336</v>
      </c>
      <c r="E239" s="2" t="s">
        <v>1580</v>
      </c>
      <c r="F239" s="364"/>
      <c r="G239" s="8" t="s">
        <v>5813</v>
      </c>
      <c r="H239" s="290" t="s">
        <v>2363</v>
      </c>
    </row>
    <row r="240" spans="1:8" ht="30" hidden="1" x14ac:dyDescent="0.25">
      <c r="A240" s="7">
        <v>238</v>
      </c>
      <c r="B240" s="2" t="s">
        <v>1413</v>
      </c>
      <c r="C240" s="2" t="s">
        <v>6503</v>
      </c>
      <c r="D240" s="2" t="s">
        <v>6506</v>
      </c>
      <c r="E240" s="2" t="s">
        <v>1580</v>
      </c>
      <c r="F240" s="364"/>
      <c r="G240" s="8" t="s">
        <v>6507</v>
      </c>
      <c r="H240" s="290" t="s">
        <v>2363</v>
      </c>
    </row>
    <row r="241" spans="1:8" ht="30" hidden="1" x14ac:dyDescent="0.25">
      <c r="A241" s="7">
        <v>239</v>
      </c>
      <c r="B241" s="2" t="s">
        <v>6500</v>
      </c>
      <c r="C241" s="2" t="s">
        <v>6504</v>
      </c>
      <c r="D241" s="2" t="s">
        <v>4623</v>
      </c>
      <c r="E241" s="2" t="s">
        <v>1580</v>
      </c>
      <c r="F241" s="364"/>
      <c r="G241" s="8" t="s">
        <v>6507</v>
      </c>
      <c r="H241" s="290" t="s">
        <v>2363</v>
      </c>
    </row>
    <row r="242" spans="1:8" ht="30" hidden="1" x14ac:dyDescent="0.25">
      <c r="A242" s="7">
        <v>240</v>
      </c>
      <c r="B242" s="2" t="s">
        <v>6501</v>
      </c>
      <c r="C242" s="2" t="s">
        <v>6422</v>
      </c>
      <c r="D242" s="2" t="s">
        <v>4623</v>
      </c>
      <c r="E242" s="2" t="s">
        <v>1580</v>
      </c>
      <c r="F242" s="364"/>
      <c r="G242" s="8" t="s">
        <v>6507</v>
      </c>
      <c r="H242" s="290" t="s">
        <v>2363</v>
      </c>
    </row>
    <row r="243" spans="1:8" hidden="1" x14ac:dyDescent="0.25">
      <c r="A243" s="7">
        <v>241</v>
      </c>
      <c r="B243" s="2" t="s">
        <v>6502</v>
      </c>
      <c r="C243" s="2" t="s">
        <v>6505</v>
      </c>
      <c r="D243" s="2" t="s">
        <v>4623</v>
      </c>
      <c r="E243" s="2" t="s">
        <v>1580</v>
      </c>
      <c r="F243" s="364"/>
      <c r="G243" s="8" t="s">
        <v>6507</v>
      </c>
      <c r="H243" s="290" t="s">
        <v>2363</v>
      </c>
    </row>
    <row r="244" spans="1:8" ht="30" x14ac:dyDescent="0.25">
      <c r="A244" s="7">
        <v>242</v>
      </c>
      <c r="B244" s="2" t="s">
        <v>1320</v>
      </c>
      <c r="C244" s="2" t="s">
        <v>5807</v>
      </c>
      <c r="D244" s="2" t="s">
        <v>7217</v>
      </c>
      <c r="E244" s="2" t="s">
        <v>1580</v>
      </c>
      <c r="F244" s="364">
        <v>45394</v>
      </c>
      <c r="G244" s="8" t="s">
        <v>7228</v>
      </c>
      <c r="H244" s="290" t="s">
        <v>1805</v>
      </c>
    </row>
    <row r="245" spans="1:8" x14ac:dyDescent="0.25">
      <c r="A245" s="7">
        <v>243</v>
      </c>
      <c r="B245" s="2" t="s">
        <v>3821</v>
      </c>
      <c r="C245" s="2" t="s">
        <v>5809</v>
      </c>
      <c r="D245" s="2" t="s">
        <v>7208</v>
      </c>
      <c r="E245" s="2" t="s">
        <v>1580</v>
      </c>
      <c r="F245" s="364">
        <v>45394</v>
      </c>
      <c r="G245" s="8" t="s">
        <v>7228</v>
      </c>
      <c r="H245" s="290" t="s">
        <v>1805</v>
      </c>
    </row>
    <row r="246" spans="1:8" ht="30" x14ac:dyDescent="0.25">
      <c r="A246" s="7">
        <v>244</v>
      </c>
      <c r="B246" s="2" t="s">
        <v>7210</v>
      </c>
      <c r="D246" s="2" t="s">
        <v>7211</v>
      </c>
      <c r="E246" s="2" t="s">
        <v>1580</v>
      </c>
      <c r="F246" s="364">
        <v>45394</v>
      </c>
      <c r="G246" s="8" t="s">
        <v>7228</v>
      </c>
      <c r="H246" s="290" t="s">
        <v>1805</v>
      </c>
    </row>
    <row r="247" spans="1:8" x14ac:dyDescent="0.25">
      <c r="A247" s="7">
        <v>245</v>
      </c>
      <c r="B247" s="2" t="s">
        <v>4336</v>
      </c>
      <c r="D247" s="2" t="s">
        <v>5796</v>
      </c>
      <c r="E247" s="2" t="s">
        <v>1580</v>
      </c>
      <c r="F247" s="364">
        <v>45394</v>
      </c>
      <c r="G247" s="8" t="s">
        <v>7228</v>
      </c>
      <c r="H247" s="290" t="s">
        <v>1805</v>
      </c>
    </row>
    <row r="248" spans="1:8" x14ac:dyDescent="0.25">
      <c r="A248" s="7">
        <v>246</v>
      </c>
      <c r="B248" s="2" t="s">
        <v>1605</v>
      </c>
      <c r="D248" s="2" t="s">
        <v>7212</v>
      </c>
      <c r="E248" s="2" t="s">
        <v>1580</v>
      </c>
      <c r="F248" s="364">
        <v>45394</v>
      </c>
      <c r="G248" s="8" t="s">
        <v>7228</v>
      </c>
      <c r="H248" s="290" t="s">
        <v>1805</v>
      </c>
    </row>
    <row r="249" spans="1:8" x14ac:dyDescent="0.25">
      <c r="A249" s="7">
        <v>247</v>
      </c>
      <c r="B249" s="2" t="s">
        <v>1413</v>
      </c>
      <c r="D249" s="2" t="s">
        <v>7213</v>
      </c>
      <c r="E249" s="2" t="s">
        <v>1580</v>
      </c>
      <c r="F249" s="364">
        <v>45394</v>
      </c>
      <c r="G249" s="8" t="s">
        <v>7228</v>
      </c>
      <c r="H249" s="290" t="s">
        <v>1805</v>
      </c>
    </row>
    <row r="250" spans="1:8" x14ac:dyDescent="0.25">
      <c r="A250" s="7">
        <v>248</v>
      </c>
      <c r="B250" s="2" t="s">
        <v>7214</v>
      </c>
      <c r="D250" s="2" t="s">
        <v>7215</v>
      </c>
      <c r="E250" s="2" t="s">
        <v>1580</v>
      </c>
      <c r="F250" s="364">
        <v>45394</v>
      </c>
      <c r="G250" s="8" t="s">
        <v>7228</v>
      </c>
      <c r="H250" s="290" t="s">
        <v>1805</v>
      </c>
    </row>
    <row r="251" spans="1:8" ht="30" x14ac:dyDescent="0.25">
      <c r="A251" s="7">
        <v>249</v>
      </c>
      <c r="B251" s="2" t="s">
        <v>7216</v>
      </c>
      <c r="D251" s="2" t="s">
        <v>7225</v>
      </c>
      <c r="E251" s="2" t="s">
        <v>1580</v>
      </c>
      <c r="F251" s="364">
        <v>45394</v>
      </c>
      <c r="G251" s="8" t="s">
        <v>7228</v>
      </c>
      <c r="H251" s="290" t="s">
        <v>1805</v>
      </c>
    </row>
    <row r="252" spans="1:8" ht="30" x14ac:dyDescent="0.25">
      <c r="A252" s="7">
        <v>250</v>
      </c>
      <c r="B252" s="2" t="s">
        <v>5044</v>
      </c>
      <c r="D252" s="2" t="s">
        <v>7218</v>
      </c>
      <c r="E252" s="2" t="s">
        <v>1580</v>
      </c>
      <c r="F252" s="364">
        <v>45394</v>
      </c>
      <c r="G252" s="8" t="s">
        <v>7228</v>
      </c>
      <c r="H252" s="290" t="s">
        <v>1805</v>
      </c>
    </row>
    <row r="253" spans="1:8" ht="45" x14ac:dyDescent="0.25">
      <c r="A253" s="7">
        <v>251</v>
      </c>
      <c r="B253" s="2" t="s">
        <v>7223</v>
      </c>
      <c r="D253" s="2" t="s">
        <v>7224</v>
      </c>
      <c r="E253" s="2" t="s">
        <v>1580</v>
      </c>
      <c r="F253" s="364">
        <v>45394</v>
      </c>
      <c r="G253" s="8" t="s">
        <v>7228</v>
      </c>
      <c r="H253" s="290" t="s">
        <v>1805</v>
      </c>
    </row>
    <row r="254" spans="1:8" ht="30" x14ac:dyDescent="0.25">
      <c r="A254" s="7">
        <v>252</v>
      </c>
      <c r="B254" s="2" t="s">
        <v>1607</v>
      </c>
      <c r="D254" s="2" t="s">
        <v>5796</v>
      </c>
      <c r="E254" s="2" t="s">
        <v>1580</v>
      </c>
      <c r="F254" s="364">
        <v>45394</v>
      </c>
      <c r="G254" s="8" t="s">
        <v>7228</v>
      </c>
      <c r="H254" s="290" t="s">
        <v>1805</v>
      </c>
    </row>
    <row r="255" spans="1:8" x14ac:dyDescent="0.25">
      <c r="A255" s="7">
        <v>253</v>
      </c>
      <c r="B255" s="2" t="s">
        <v>3841</v>
      </c>
      <c r="D255" s="2" t="s">
        <v>7220</v>
      </c>
      <c r="E255" s="2" t="s">
        <v>1580</v>
      </c>
      <c r="F255" s="364">
        <v>45394</v>
      </c>
      <c r="G255" s="8" t="s">
        <v>7228</v>
      </c>
      <c r="H255" s="290" t="s">
        <v>1805</v>
      </c>
    </row>
    <row r="256" spans="1:8" ht="30" x14ac:dyDescent="0.25">
      <c r="A256" s="7">
        <v>254</v>
      </c>
      <c r="B256" s="2" t="s">
        <v>1341</v>
      </c>
      <c r="D256" s="2" t="s">
        <v>7219</v>
      </c>
      <c r="E256" s="2" t="s">
        <v>1580</v>
      </c>
      <c r="F256" s="364">
        <v>45394</v>
      </c>
      <c r="G256" s="8" t="s">
        <v>7228</v>
      </c>
      <c r="H256" s="290" t="s">
        <v>1805</v>
      </c>
    </row>
    <row r="257" spans="1:8" x14ac:dyDescent="0.25">
      <c r="A257" s="7">
        <v>255</v>
      </c>
      <c r="B257" s="2" t="s">
        <v>3539</v>
      </c>
      <c r="D257" s="2" t="s">
        <v>7221</v>
      </c>
      <c r="E257" s="2" t="s">
        <v>1580</v>
      </c>
      <c r="F257" s="364">
        <v>45394</v>
      </c>
      <c r="G257" s="8" t="s">
        <v>7228</v>
      </c>
      <c r="H257" s="290" t="s">
        <v>1805</v>
      </c>
    </row>
    <row r="258" spans="1:8" ht="30" x14ac:dyDescent="0.25">
      <c r="A258" s="7">
        <v>256</v>
      </c>
      <c r="B258" s="2" t="s">
        <v>1590</v>
      </c>
      <c r="D258" s="2" t="s">
        <v>7222</v>
      </c>
      <c r="E258" s="2" t="s">
        <v>1580</v>
      </c>
      <c r="F258" s="364">
        <v>45394</v>
      </c>
      <c r="G258" s="8" t="s">
        <v>7228</v>
      </c>
      <c r="H258" s="290" t="s">
        <v>1805</v>
      </c>
    </row>
    <row r="259" spans="1:8" ht="30" x14ac:dyDescent="0.25">
      <c r="A259" s="7">
        <v>257</v>
      </c>
      <c r="B259" s="2" t="s">
        <v>1610</v>
      </c>
      <c r="D259" s="2" t="s">
        <v>5796</v>
      </c>
      <c r="E259" s="2" t="s">
        <v>1580</v>
      </c>
      <c r="F259" s="364">
        <v>45394</v>
      </c>
      <c r="G259" s="8" t="s">
        <v>7228</v>
      </c>
      <c r="H259" s="290" t="s">
        <v>1805</v>
      </c>
    </row>
  </sheetData>
  <sheetProtection algorithmName="SHA-512" hashValue="cMtPW5iEiBP+jEL55BPLcHdRUTpLchXo1SiEQ96ekS8c5lLMK2TZKTBRLoSg62+PAKbPYB8oPumFEs6HQma0uw==" saltValue="pyDfa3pwFbsDE7+3PsUIEQ==" spinCount="100000" sheet="1" objects="1" scenarios="1"/>
  <conditionalFormatting sqref="E3:E28 E30:E32 E35 E41:E44 E57 E48:E52 E119:E124 E127:E128 E62:E117 E133:E135 E137:E157 E160:E168 E173 E182 E217:E1048576">
    <cfRule type="cellIs" dxfId="195" priority="152" operator="equal">
      <formula>"TBD"</formula>
    </cfRule>
    <cfRule type="cellIs" dxfId="194" priority="153" operator="equal">
      <formula>"Unresolved"</formula>
    </cfRule>
    <cfRule type="cellIs" dxfId="193" priority="154" operator="equal">
      <formula>"Resolved"</formula>
    </cfRule>
  </conditionalFormatting>
  <conditionalFormatting sqref="E29">
    <cfRule type="cellIs" dxfId="192" priority="146" operator="equal">
      <formula>"TBD"</formula>
    </cfRule>
    <cfRule type="cellIs" dxfId="191" priority="147" operator="equal">
      <formula>"Unresolved"</formula>
    </cfRule>
    <cfRule type="cellIs" dxfId="190" priority="148" operator="equal">
      <formula>"Resolved"</formula>
    </cfRule>
  </conditionalFormatting>
  <conditionalFormatting sqref="E36">
    <cfRule type="cellIs" dxfId="189" priority="143" operator="equal">
      <formula>"TBD"</formula>
    </cfRule>
    <cfRule type="cellIs" dxfId="188" priority="144" operator="equal">
      <formula>"Unresolved"</formula>
    </cfRule>
    <cfRule type="cellIs" dxfId="187" priority="145" operator="equal">
      <formula>"Resolved"</formula>
    </cfRule>
  </conditionalFormatting>
  <conditionalFormatting sqref="E34">
    <cfRule type="cellIs" dxfId="186" priority="140" operator="equal">
      <formula>"TBD"</formula>
    </cfRule>
    <cfRule type="cellIs" dxfId="185" priority="141" operator="equal">
      <formula>"Unresolved"</formula>
    </cfRule>
    <cfRule type="cellIs" dxfId="184" priority="142" operator="equal">
      <formula>"Resolved"</formula>
    </cfRule>
  </conditionalFormatting>
  <conditionalFormatting sqref="E37">
    <cfRule type="cellIs" dxfId="183" priority="137" operator="equal">
      <formula>"TBD"</formula>
    </cfRule>
    <cfRule type="cellIs" dxfId="182" priority="138" operator="equal">
      <formula>"Unresolved"</formula>
    </cfRule>
    <cfRule type="cellIs" dxfId="181" priority="139" operator="equal">
      <formula>"Resolved"</formula>
    </cfRule>
  </conditionalFormatting>
  <conditionalFormatting sqref="E38">
    <cfRule type="cellIs" dxfId="180" priority="134" operator="equal">
      <formula>"TBD"</formula>
    </cfRule>
    <cfRule type="cellIs" dxfId="179" priority="135" operator="equal">
      <formula>"Unresolved"</formula>
    </cfRule>
    <cfRule type="cellIs" dxfId="178" priority="136" operator="equal">
      <formula>"Resolved"</formula>
    </cfRule>
  </conditionalFormatting>
  <conditionalFormatting sqref="E39">
    <cfRule type="cellIs" dxfId="177" priority="131" operator="equal">
      <formula>"TBD"</formula>
    </cfRule>
    <cfRule type="cellIs" dxfId="176" priority="132" operator="equal">
      <formula>"Unresolved"</formula>
    </cfRule>
    <cfRule type="cellIs" dxfId="175" priority="133" operator="equal">
      <formula>"Resolved"</formula>
    </cfRule>
  </conditionalFormatting>
  <conditionalFormatting sqref="E45">
    <cfRule type="cellIs" dxfId="174" priority="128" operator="equal">
      <formula>"TBD"</formula>
    </cfRule>
    <cfRule type="cellIs" dxfId="173" priority="129" operator="equal">
      <formula>"Unresolved"</formula>
    </cfRule>
    <cfRule type="cellIs" dxfId="172" priority="130" operator="equal">
      <formula>"Resolved"</formula>
    </cfRule>
  </conditionalFormatting>
  <conditionalFormatting sqref="E46">
    <cfRule type="cellIs" dxfId="171" priority="125" operator="equal">
      <formula>"TBD"</formula>
    </cfRule>
    <cfRule type="cellIs" dxfId="170" priority="126" operator="equal">
      <formula>"Unresolved"</formula>
    </cfRule>
    <cfRule type="cellIs" dxfId="169" priority="127" operator="equal">
      <formula>"Resolved"</formula>
    </cfRule>
  </conditionalFormatting>
  <conditionalFormatting sqref="E47">
    <cfRule type="cellIs" dxfId="168" priority="122" operator="equal">
      <formula>"TBD"</formula>
    </cfRule>
    <cfRule type="cellIs" dxfId="167" priority="123" operator="equal">
      <formula>"Unresolved"</formula>
    </cfRule>
    <cfRule type="cellIs" dxfId="166" priority="124" operator="equal">
      <formula>"Resolved"</formula>
    </cfRule>
  </conditionalFormatting>
  <conditionalFormatting sqref="E55:E56">
    <cfRule type="cellIs" dxfId="165" priority="119" operator="equal">
      <formula>"TBD"</formula>
    </cfRule>
    <cfRule type="cellIs" dxfId="164" priority="120" operator="equal">
      <formula>"Unresolved"</formula>
    </cfRule>
    <cfRule type="cellIs" dxfId="163" priority="121" operator="equal">
      <formula>"Resolved"</formula>
    </cfRule>
  </conditionalFormatting>
  <conditionalFormatting sqref="E53">
    <cfRule type="cellIs" dxfId="162" priority="113" operator="equal">
      <formula>"TBD"</formula>
    </cfRule>
    <cfRule type="cellIs" dxfId="161" priority="114" operator="equal">
      <formula>"Unresolved"</formula>
    </cfRule>
    <cfRule type="cellIs" dxfId="160" priority="115" operator="equal">
      <formula>"Resolved"</formula>
    </cfRule>
  </conditionalFormatting>
  <conditionalFormatting sqref="E59">
    <cfRule type="cellIs" dxfId="159" priority="110" operator="equal">
      <formula>"TBD"</formula>
    </cfRule>
    <cfRule type="cellIs" dxfId="158" priority="111" operator="equal">
      <formula>"Unresolved"</formula>
    </cfRule>
    <cfRule type="cellIs" dxfId="157" priority="112" operator="equal">
      <formula>"Resolved"</formula>
    </cfRule>
  </conditionalFormatting>
  <conditionalFormatting sqref="E58">
    <cfRule type="cellIs" dxfId="156" priority="107" operator="equal">
      <formula>"TBD"</formula>
    </cfRule>
    <cfRule type="cellIs" dxfId="155" priority="108" operator="equal">
      <formula>"Unresolved"</formula>
    </cfRule>
    <cfRule type="cellIs" dxfId="154" priority="109" operator="equal">
      <formula>"Resolved"</formula>
    </cfRule>
  </conditionalFormatting>
  <conditionalFormatting sqref="E60">
    <cfRule type="cellIs" dxfId="153" priority="104" operator="equal">
      <formula>"TBD"</formula>
    </cfRule>
    <cfRule type="cellIs" dxfId="152" priority="105" operator="equal">
      <formula>"Unresolved"</formula>
    </cfRule>
    <cfRule type="cellIs" dxfId="151" priority="106" operator="equal">
      <formula>"Resolved"</formula>
    </cfRule>
  </conditionalFormatting>
  <conditionalFormatting sqref="E61">
    <cfRule type="cellIs" dxfId="150" priority="101" operator="equal">
      <formula>"TBD"</formula>
    </cfRule>
    <cfRule type="cellIs" dxfId="149" priority="102" operator="equal">
      <formula>"Unresolved"</formula>
    </cfRule>
    <cfRule type="cellIs" dxfId="148" priority="103" operator="equal">
      <formula>"Resolved"</formula>
    </cfRule>
  </conditionalFormatting>
  <conditionalFormatting sqref="E54">
    <cfRule type="cellIs" dxfId="147" priority="98" operator="equal">
      <formula>"TBD"</formula>
    </cfRule>
    <cfRule type="cellIs" dxfId="146" priority="99" operator="equal">
      <formula>"Unresolved"</formula>
    </cfRule>
    <cfRule type="cellIs" dxfId="145" priority="100" operator="equal">
      <formula>"Resolved"</formula>
    </cfRule>
  </conditionalFormatting>
  <conditionalFormatting sqref="E33">
    <cfRule type="cellIs" dxfId="144" priority="95" operator="equal">
      <formula>"TBD"</formula>
    </cfRule>
    <cfRule type="cellIs" dxfId="143" priority="96" operator="equal">
      <formula>"Unresolved"</formula>
    </cfRule>
    <cfRule type="cellIs" dxfId="142" priority="97" operator="equal">
      <formula>"Resolved"</formula>
    </cfRule>
  </conditionalFormatting>
  <conditionalFormatting sqref="E40">
    <cfRule type="cellIs" dxfId="141" priority="92" operator="equal">
      <formula>"TBD"</formula>
    </cfRule>
    <cfRule type="cellIs" dxfId="140" priority="93" operator="equal">
      <formula>"Unresolved"</formula>
    </cfRule>
    <cfRule type="cellIs" dxfId="139" priority="94" operator="equal">
      <formula>"Resolved"</formula>
    </cfRule>
  </conditionalFormatting>
  <conditionalFormatting sqref="E118">
    <cfRule type="cellIs" dxfId="138" priority="88" operator="equal">
      <formula>"TBD"</formula>
    </cfRule>
    <cfRule type="cellIs" dxfId="137" priority="89" operator="equal">
      <formula>"Unresolved"</formula>
    </cfRule>
    <cfRule type="cellIs" dxfId="136" priority="90" operator="equal">
      <formula>"Resolved"</formula>
    </cfRule>
  </conditionalFormatting>
  <conditionalFormatting sqref="E125">
    <cfRule type="cellIs" dxfId="135" priority="85" operator="equal">
      <formula>"TBD"</formula>
    </cfRule>
    <cfRule type="cellIs" dxfId="134" priority="86" operator="equal">
      <formula>"Unresolved"</formula>
    </cfRule>
    <cfRule type="cellIs" dxfId="133" priority="87" operator="equal">
      <formula>"Resolved"</formula>
    </cfRule>
  </conditionalFormatting>
  <conditionalFormatting sqref="E126">
    <cfRule type="cellIs" dxfId="132" priority="82" operator="equal">
      <formula>"TBD"</formula>
    </cfRule>
    <cfRule type="cellIs" dxfId="131" priority="83" operator="equal">
      <formula>"Unresolved"</formula>
    </cfRule>
    <cfRule type="cellIs" dxfId="130" priority="84" operator="equal">
      <formula>"Resolved"</formula>
    </cfRule>
  </conditionalFormatting>
  <conditionalFormatting sqref="E129">
    <cfRule type="cellIs" dxfId="129" priority="79" operator="equal">
      <formula>"TBD"</formula>
    </cfRule>
    <cfRule type="cellIs" dxfId="128" priority="80" operator="equal">
      <formula>"Unresolved"</formula>
    </cfRule>
    <cfRule type="cellIs" dxfId="127" priority="81" operator="equal">
      <formula>"Resolved"</formula>
    </cfRule>
  </conditionalFormatting>
  <conditionalFormatting sqref="E130">
    <cfRule type="cellIs" dxfId="126" priority="76" operator="equal">
      <formula>"TBD"</formula>
    </cfRule>
    <cfRule type="cellIs" dxfId="125" priority="77" operator="equal">
      <formula>"Unresolved"</formula>
    </cfRule>
    <cfRule type="cellIs" dxfId="124" priority="78" operator="equal">
      <formula>"Resolved"</formula>
    </cfRule>
  </conditionalFormatting>
  <conditionalFormatting sqref="E131">
    <cfRule type="cellIs" dxfId="123" priority="73" operator="equal">
      <formula>"TBD"</formula>
    </cfRule>
    <cfRule type="cellIs" dxfId="122" priority="74" operator="equal">
      <formula>"Unresolved"</formula>
    </cfRule>
    <cfRule type="cellIs" dxfId="121" priority="75" operator="equal">
      <formula>"Resolved"</formula>
    </cfRule>
  </conditionalFormatting>
  <conditionalFormatting sqref="E132">
    <cfRule type="cellIs" dxfId="120" priority="70" operator="equal">
      <formula>"TBD"</formula>
    </cfRule>
    <cfRule type="cellIs" dxfId="119" priority="71" operator="equal">
      <formula>"Unresolved"</formula>
    </cfRule>
    <cfRule type="cellIs" dxfId="118" priority="72" operator="equal">
      <formula>"Resolved"</formula>
    </cfRule>
  </conditionalFormatting>
  <conditionalFormatting sqref="E136">
    <cfRule type="cellIs" dxfId="117" priority="67" operator="equal">
      <formula>"TBD"</formula>
    </cfRule>
    <cfRule type="cellIs" dxfId="116" priority="68" operator="equal">
      <formula>"Unresolved"</formula>
    </cfRule>
    <cfRule type="cellIs" dxfId="115" priority="69" operator="equal">
      <formula>"Resolved"</formula>
    </cfRule>
  </conditionalFormatting>
  <conditionalFormatting sqref="E158">
    <cfRule type="cellIs" dxfId="114" priority="64" operator="equal">
      <formula>"TBD"</formula>
    </cfRule>
    <cfRule type="cellIs" dxfId="113" priority="65" operator="equal">
      <formula>"Unresolved"</formula>
    </cfRule>
    <cfRule type="cellIs" dxfId="112" priority="66" operator="equal">
      <formula>"Resolved"</formula>
    </cfRule>
  </conditionalFormatting>
  <conditionalFormatting sqref="E159">
    <cfRule type="cellIs" dxfId="111" priority="61" operator="equal">
      <formula>"TBD"</formula>
    </cfRule>
    <cfRule type="cellIs" dxfId="110" priority="62" operator="equal">
      <formula>"Unresolved"</formula>
    </cfRule>
    <cfRule type="cellIs" dxfId="109" priority="63" operator="equal">
      <formula>"Resolved"</formula>
    </cfRule>
  </conditionalFormatting>
  <conditionalFormatting sqref="E169">
    <cfRule type="cellIs" dxfId="108" priority="58" operator="equal">
      <formula>"TBD"</formula>
    </cfRule>
    <cfRule type="cellIs" dxfId="107" priority="59" operator="equal">
      <formula>"Unresolved"</formula>
    </cfRule>
    <cfRule type="cellIs" dxfId="106" priority="60" operator="equal">
      <formula>"Resolved"</formula>
    </cfRule>
  </conditionalFormatting>
  <conditionalFormatting sqref="E170">
    <cfRule type="cellIs" dxfId="105" priority="55" operator="equal">
      <formula>"TBD"</formula>
    </cfRule>
    <cfRule type="cellIs" dxfId="104" priority="56" operator="equal">
      <formula>"Unresolved"</formula>
    </cfRule>
    <cfRule type="cellIs" dxfId="103" priority="57" operator="equal">
      <formula>"Resolved"</formula>
    </cfRule>
  </conditionalFormatting>
  <conditionalFormatting sqref="E171">
    <cfRule type="cellIs" dxfId="102" priority="52" operator="equal">
      <formula>"TBD"</formula>
    </cfRule>
    <cfRule type="cellIs" dxfId="101" priority="53" operator="equal">
      <formula>"Unresolved"</formula>
    </cfRule>
    <cfRule type="cellIs" dxfId="100" priority="54" operator="equal">
      <formula>"Resolved"</formula>
    </cfRule>
  </conditionalFormatting>
  <conditionalFormatting sqref="E172">
    <cfRule type="cellIs" dxfId="99" priority="49" operator="equal">
      <formula>"TBD"</formula>
    </cfRule>
    <cfRule type="cellIs" dxfId="98" priority="50" operator="equal">
      <formula>"Unresolved"</formula>
    </cfRule>
    <cfRule type="cellIs" dxfId="97" priority="51" operator="equal">
      <formula>"Resolved"</formula>
    </cfRule>
  </conditionalFormatting>
  <conditionalFormatting sqref="E174:E181">
    <cfRule type="cellIs" dxfId="96" priority="46" operator="equal">
      <formula>"TBD"</formula>
    </cfRule>
    <cfRule type="cellIs" dxfId="95" priority="47" operator="equal">
      <formula>"Unresolved"</formula>
    </cfRule>
    <cfRule type="cellIs" dxfId="94" priority="48" operator="equal">
      <formula>"Resolved"</formula>
    </cfRule>
  </conditionalFormatting>
  <conditionalFormatting sqref="E183">
    <cfRule type="cellIs" dxfId="93" priority="43" operator="equal">
      <formula>"TBD"</formula>
    </cfRule>
    <cfRule type="cellIs" dxfId="92" priority="44" operator="equal">
      <formula>"Unresolved"</formula>
    </cfRule>
    <cfRule type="cellIs" dxfId="91" priority="45" operator="equal">
      <formula>"Resolved"</formula>
    </cfRule>
  </conditionalFormatting>
  <conditionalFormatting sqref="E184:E186">
    <cfRule type="cellIs" dxfId="90" priority="40" operator="equal">
      <formula>"TBD"</formula>
    </cfRule>
    <cfRule type="cellIs" dxfId="89" priority="41" operator="equal">
      <formula>"Unresolved"</formula>
    </cfRule>
    <cfRule type="cellIs" dxfId="88" priority="42" operator="equal">
      <formula>"Resolved"</formula>
    </cfRule>
  </conditionalFormatting>
  <conditionalFormatting sqref="E187">
    <cfRule type="cellIs" dxfId="87" priority="37" operator="equal">
      <formula>"TBD"</formula>
    </cfRule>
    <cfRule type="cellIs" dxfId="86" priority="38" operator="equal">
      <formula>"Unresolved"</formula>
    </cfRule>
    <cfRule type="cellIs" dxfId="85" priority="39" operator="equal">
      <formula>"Resolved"</formula>
    </cfRule>
  </conditionalFormatting>
  <conditionalFormatting sqref="E188">
    <cfRule type="cellIs" dxfId="84" priority="34" operator="equal">
      <formula>"TBD"</formula>
    </cfRule>
    <cfRule type="cellIs" dxfId="83" priority="35" operator="equal">
      <formula>"Unresolved"</formula>
    </cfRule>
    <cfRule type="cellIs" dxfId="82" priority="36" operator="equal">
      <formula>"Resolved"</formula>
    </cfRule>
  </conditionalFormatting>
  <conditionalFormatting sqref="E189">
    <cfRule type="cellIs" dxfId="81" priority="31" operator="equal">
      <formula>"TBD"</formula>
    </cfRule>
    <cfRule type="cellIs" dxfId="80" priority="32" operator="equal">
      <formula>"Unresolved"</formula>
    </cfRule>
    <cfRule type="cellIs" dxfId="79" priority="33" operator="equal">
      <formula>"Resolved"</formula>
    </cfRule>
  </conditionalFormatting>
  <conditionalFormatting sqref="E190">
    <cfRule type="cellIs" dxfId="78" priority="28" operator="equal">
      <formula>"TBD"</formula>
    </cfRule>
    <cfRule type="cellIs" dxfId="77" priority="29" operator="equal">
      <formula>"Unresolved"</formula>
    </cfRule>
    <cfRule type="cellIs" dxfId="76" priority="30" operator="equal">
      <formula>"Resolved"</formula>
    </cfRule>
  </conditionalFormatting>
  <conditionalFormatting sqref="E191:E192 E194:E196 E198:E199">
    <cfRule type="cellIs" dxfId="75" priority="25" operator="equal">
      <formula>"TBD"</formula>
    </cfRule>
    <cfRule type="cellIs" dxfId="74" priority="26" operator="equal">
      <formula>"Unresolved"</formula>
    </cfRule>
    <cfRule type="cellIs" dxfId="73" priority="27" operator="equal">
      <formula>"Resolved"</formula>
    </cfRule>
  </conditionalFormatting>
  <conditionalFormatting sqref="E200:E204 E206:E207 E209:E213">
    <cfRule type="cellIs" dxfId="72" priority="22" operator="equal">
      <formula>"TBD"</formula>
    </cfRule>
    <cfRule type="cellIs" dxfId="71" priority="23" operator="equal">
      <formula>"Unresolved"</formula>
    </cfRule>
    <cfRule type="cellIs" dxfId="70" priority="24" operator="equal">
      <formula>"Resolved"</formula>
    </cfRule>
  </conditionalFormatting>
  <conditionalFormatting sqref="E193">
    <cfRule type="cellIs" dxfId="69" priority="19" operator="equal">
      <formula>"TBD"</formula>
    </cfRule>
    <cfRule type="cellIs" dxfId="68" priority="20" operator="equal">
      <formula>"Unresolved"</formula>
    </cfRule>
    <cfRule type="cellIs" dxfId="67" priority="21" operator="equal">
      <formula>"Resolved"</formula>
    </cfRule>
  </conditionalFormatting>
  <conditionalFormatting sqref="E197">
    <cfRule type="cellIs" dxfId="66" priority="16" operator="equal">
      <formula>"TBD"</formula>
    </cfRule>
    <cfRule type="cellIs" dxfId="65" priority="17" operator="equal">
      <formula>"Unresolved"</formula>
    </cfRule>
    <cfRule type="cellIs" dxfId="64" priority="18" operator="equal">
      <formula>"Resolved"</formula>
    </cfRule>
  </conditionalFormatting>
  <conditionalFormatting sqref="E205">
    <cfRule type="cellIs" dxfId="63" priority="13" operator="equal">
      <formula>"TBD"</formula>
    </cfRule>
    <cfRule type="cellIs" dxfId="62" priority="14" operator="equal">
      <formula>"Unresolved"</formula>
    </cfRule>
    <cfRule type="cellIs" dxfId="61" priority="15" operator="equal">
      <formula>"Resolved"</formula>
    </cfRule>
  </conditionalFormatting>
  <conditionalFormatting sqref="E208">
    <cfRule type="cellIs" dxfId="60" priority="10" operator="equal">
      <formula>"TBD"</formula>
    </cfRule>
    <cfRule type="cellIs" dxfId="59" priority="11" operator="equal">
      <formula>"Unresolved"</formula>
    </cfRule>
    <cfRule type="cellIs" dxfId="58" priority="12" operator="equal">
      <formula>"Resolved"</formula>
    </cfRule>
  </conditionalFormatting>
  <conditionalFormatting sqref="E214">
    <cfRule type="cellIs" dxfId="57" priority="7" operator="equal">
      <formula>"TBD"</formula>
    </cfRule>
    <cfRule type="cellIs" dxfId="56" priority="8" operator="equal">
      <formula>"Unresolved"</formula>
    </cfRule>
    <cfRule type="cellIs" dxfId="55" priority="9" operator="equal">
      <formula>"Resolved"</formula>
    </cfRule>
  </conditionalFormatting>
  <conditionalFormatting sqref="E215">
    <cfRule type="cellIs" dxfId="54" priority="4" operator="equal">
      <formula>"TBD"</formula>
    </cfRule>
    <cfRule type="cellIs" dxfId="53" priority="5" operator="equal">
      <formula>"Unresolved"</formula>
    </cfRule>
    <cfRule type="cellIs" dxfId="52" priority="6" operator="equal">
      <formula>"Resolved"</formula>
    </cfRule>
  </conditionalFormatting>
  <conditionalFormatting sqref="E216">
    <cfRule type="cellIs" dxfId="51" priority="1" operator="equal">
      <formula>"TBD"</formula>
    </cfRule>
    <cfRule type="cellIs" dxfId="50" priority="2" operator="equal">
      <formula>"Unresolved"</formula>
    </cfRule>
    <cfRule type="cellIs" dxfId="49" priority="3" operator="equal">
      <formula>"Resolved"</formula>
    </cfRule>
  </conditionalFormatting>
  <dataValidations count="1">
    <dataValidation type="list" errorStyle="information" allowBlank="1" showErrorMessage="1" error="Provide one of standard status options, if possible" sqref="E3:E259" xr:uid="{00000000-0002-0000-0000-000000000000}">
      <formula1>"Resolved,Unresolved,TBD"</formula1>
    </dataValidation>
  </dataValidations>
  <pageMargins left="0.7" right="0.7" top="0.75" bottom="0.75" header="0.3" footer="0.3"/>
  <pageSetup orientation="portrait" r:id="rId1"/>
  <headerFooter differentFirst="1" scaleWithDoc="0">
    <oddHeader>&amp;C&amp;"Arial,Regular"&amp;09&amp;I&amp;K000000Leidos Proprietary</oddHeader>
    <oddFooter>&amp;LPY20 TRM V1.0&amp;RPage &amp;P&amp;C&amp;"Calibri,Regular"&amp;10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811E9-3630-41D8-B94C-94AA0D814530}">
  <dimension ref="A1:AP156"/>
  <sheetViews>
    <sheetView workbookViewId="0">
      <selection activeCell="A2" sqref="A2"/>
    </sheetView>
  </sheetViews>
  <sheetFormatPr defaultColWidth="2.7109375" defaultRowHeight="15" x14ac:dyDescent="0.25"/>
  <sheetData>
    <row r="1" spans="1:42" ht="18" customHeight="1" x14ac:dyDescent="0.3">
      <c r="A1" s="1361" t="s">
        <v>7245</v>
      </c>
      <c r="B1" s="1361"/>
      <c r="C1" s="1361"/>
      <c r="D1" s="1361"/>
      <c r="E1" s="1361"/>
      <c r="F1" s="1361"/>
      <c r="G1" s="1361"/>
      <c r="H1" s="1361"/>
      <c r="I1" s="1361"/>
      <c r="J1" s="1361"/>
      <c r="K1" s="1361"/>
      <c r="L1" s="1361"/>
      <c r="M1" s="1361"/>
      <c r="N1" s="1361"/>
      <c r="O1" s="1361"/>
      <c r="P1" s="1361"/>
      <c r="Q1" s="1361"/>
      <c r="R1" s="1361"/>
      <c r="S1" s="1361"/>
      <c r="T1" s="1361"/>
      <c r="U1" s="1361"/>
      <c r="V1" s="1361"/>
      <c r="W1" s="1361"/>
      <c r="X1" s="1361"/>
      <c r="Y1" s="1361"/>
      <c r="Z1" s="1361"/>
      <c r="AA1" s="1361"/>
      <c r="AB1" s="1361"/>
      <c r="AC1" s="1361"/>
      <c r="AD1" s="1361"/>
      <c r="AE1" s="1361"/>
      <c r="AF1" s="1361"/>
      <c r="AG1" s="1124"/>
      <c r="AH1" s="1124"/>
      <c r="AI1" s="1124"/>
      <c r="AJ1" s="1124"/>
      <c r="AK1" s="1124"/>
      <c r="AL1" s="1124"/>
      <c r="AM1" s="1124"/>
      <c r="AN1" s="1124"/>
      <c r="AO1" s="1124"/>
      <c r="AP1" s="1124"/>
    </row>
    <row r="2" spans="1:4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row>
    <row r="3" spans="1:42" ht="14.45" customHeight="1" x14ac:dyDescent="0.25">
      <c r="A3" s="1252" t="s">
        <v>1630</v>
      </c>
      <c r="B3" s="1253"/>
      <c r="C3" s="1253"/>
      <c r="D3" s="1253"/>
      <c r="E3" s="1253"/>
      <c r="F3" s="1253"/>
      <c r="G3" s="1253"/>
      <c r="H3" s="1253"/>
      <c r="I3" s="1253"/>
      <c r="J3" s="1253"/>
      <c r="K3" s="1253"/>
      <c r="L3" s="1253"/>
      <c r="M3" s="1253"/>
      <c r="N3" s="1253"/>
      <c r="O3" s="1253"/>
      <c r="P3" s="1253"/>
      <c r="Q3" s="1253"/>
      <c r="R3" s="1253"/>
      <c r="S3" s="1253"/>
      <c r="T3" s="1253"/>
      <c r="U3" s="1253"/>
      <c r="V3" s="1253"/>
      <c r="W3" s="1253"/>
      <c r="X3" s="1253"/>
      <c r="Y3" s="1253"/>
      <c r="Z3" s="1253"/>
      <c r="AA3" s="1253"/>
      <c r="AB3" s="1253"/>
      <c r="AC3" s="1253"/>
      <c r="AD3" s="1253"/>
      <c r="AE3" s="1253"/>
      <c r="AF3" s="1254"/>
    </row>
    <row r="4" spans="1:42" x14ac:dyDescent="0.25">
      <c r="A4" s="274"/>
      <c r="B4" s="274"/>
      <c r="C4" s="274"/>
      <c r="D4" s="274"/>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row>
    <row r="5" spans="1:42" ht="32.25" customHeight="1" x14ac:dyDescent="0.25">
      <c r="A5" s="1173" t="s">
        <v>7246</v>
      </c>
      <c r="B5" s="1173"/>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647"/>
    </row>
    <row r="6" spans="1:42" x14ac:dyDescent="0.25">
      <c r="A6" s="274"/>
      <c r="B6" s="274"/>
      <c r="C6" s="274"/>
      <c r="D6" s="274"/>
      <c r="E6" s="274"/>
      <c r="F6" s="274"/>
      <c r="G6" s="274"/>
      <c r="H6" s="274"/>
      <c r="I6" s="274"/>
      <c r="J6" s="274"/>
      <c r="K6" s="274"/>
      <c r="L6" s="274"/>
      <c r="M6" s="274"/>
      <c r="N6" s="274"/>
      <c r="O6" s="274"/>
      <c r="P6" s="274"/>
      <c r="Q6" s="274"/>
      <c r="R6" s="274"/>
      <c r="S6" s="274"/>
      <c r="T6" s="274"/>
      <c r="U6" s="274"/>
      <c r="V6" s="274"/>
      <c r="W6" s="274"/>
      <c r="X6" s="274"/>
      <c r="Y6" s="274"/>
      <c r="Z6" s="274"/>
      <c r="AA6" s="274"/>
      <c r="AB6" s="274"/>
      <c r="AC6" s="274"/>
      <c r="AD6" s="274"/>
      <c r="AE6" s="274"/>
      <c r="AF6" s="274"/>
    </row>
    <row r="7" spans="1:42" x14ac:dyDescent="0.25">
      <c r="A7" s="1252" t="s">
        <v>2296</v>
      </c>
      <c r="B7" s="1253"/>
      <c r="C7" s="1253"/>
      <c r="D7" s="1253"/>
      <c r="E7" s="125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4"/>
    </row>
    <row r="8" spans="1:42" ht="63.75" customHeight="1" x14ac:dyDescent="0.25">
      <c r="A8" s="1147" t="s">
        <v>3533</v>
      </c>
      <c r="B8" s="1147"/>
      <c r="C8" s="1147"/>
      <c r="D8" s="1147"/>
      <c r="E8" s="1147"/>
      <c r="F8" s="1147"/>
      <c r="G8" s="1147"/>
      <c r="H8" s="1147"/>
      <c r="I8" s="1147"/>
      <c r="J8" s="1147"/>
      <c r="K8" s="1147"/>
      <c r="L8" s="1147"/>
      <c r="M8" s="1147"/>
      <c r="N8" s="1147"/>
      <c r="O8" s="1147"/>
      <c r="P8" s="1147"/>
      <c r="Q8" s="1147"/>
      <c r="R8" s="1147"/>
      <c r="S8" s="1147"/>
      <c r="T8" s="1147"/>
      <c r="U8" s="1147"/>
      <c r="V8" s="1147"/>
      <c r="W8" s="1147"/>
      <c r="X8" s="1147"/>
      <c r="Y8" s="1147"/>
      <c r="Z8" s="1147"/>
      <c r="AA8" s="1147"/>
      <c r="AB8" s="1147"/>
      <c r="AC8" s="1147"/>
      <c r="AD8" s="1147"/>
      <c r="AE8" s="1147"/>
      <c r="AF8" s="1147"/>
    </row>
    <row r="9" spans="1:42" x14ac:dyDescent="0.25">
      <c r="A9" s="266"/>
      <c r="B9" s="266"/>
      <c r="C9" s="266"/>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row>
    <row r="10" spans="1:42" x14ac:dyDescent="0.25">
      <c r="A10" s="1274" t="s">
        <v>3522</v>
      </c>
      <c r="B10" s="1274"/>
      <c r="C10" s="1274"/>
      <c r="D10" s="1274"/>
      <c r="E10" s="1274"/>
      <c r="F10" s="1274"/>
      <c r="G10" s="1274"/>
      <c r="H10" s="1274"/>
      <c r="I10" s="1274"/>
      <c r="J10" s="1274"/>
      <c r="K10" s="1274"/>
      <c r="L10" s="1274"/>
      <c r="M10" s="1274"/>
      <c r="N10" s="1274"/>
      <c r="O10" s="1274"/>
      <c r="P10" s="1274"/>
      <c r="Q10" s="1274"/>
      <c r="R10" s="1274"/>
      <c r="S10" s="1274"/>
      <c r="T10" s="1274"/>
      <c r="U10" s="1274"/>
      <c r="V10" s="1274"/>
      <c r="W10" s="1274"/>
      <c r="X10" s="1274"/>
      <c r="Y10" s="1274"/>
      <c r="Z10" s="1274"/>
      <c r="AA10" s="1274"/>
      <c r="AB10" s="1274"/>
      <c r="AC10" s="1274"/>
      <c r="AD10" s="1274"/>
      <c r="AE10" s="1274"/>
      <c r="AF10" s="1274"/>
    </row>
    <row r="11" spans="1:42" ht="141.94999999999999" customHeight="1" x14ac:dyDescent="0.25">
      <c r="A11" s="1142" t="s">
        <v>5565</v>
      </c>
      <c r="B11" s="1142"/>
      <c r="C11" s="1142"/>
      <c r="D11" s="1142"/>
      <c r="E11" s="1142"/>
      <c r="F11" s="1142"/>
      <c r="G11" s="1142"/>
      <c r="H11" s="1142"/>
      <c r="I11" s="1142"/>
      <c r="J11" s="1142"/>
      <c r="K11" s="1142"/>
      <c r="L11" s="1142"/>
      <c r="M11" s="1142"/>
      <c r="N11" s="1142"/>
      <c r="O11" s="1142"/>
      <c r="P11" s="1142"/>
      <c r="Q11" s="1142"/>
      <c r="R11" s="1142"/>
      <c r="S11" s="1142"/>
      <c r="T11" s="1142"/>
      <c r="U11" s="1142"/>
      <c r="V11" s="1142"/>
      <c r="W11" s="1142"/>
      <c r="X11" s="1142"/>
      <c r="Y11" s="1142"/>
      <c r="Z11" s="1142"/>
      <c r="AA11" s="1142"/>
      <c r="AB11" s="1142"/>
      <c r="AC11" s="1142"/>
      <c r="AD11" s="1142"/>
      <c r="AE11" s="1142"/>
      <c r="AF11" s="1142"/>
    </row>
    <row r="12" spans="1:42" ht="81" customHeight="1" x14ac:dyDescent="0.25">
      <c r="A12" s="515" t="s">
        <v>1013</v>
      </c>
      <c r="B12" s="1247" t="s">
        <v>3532</v>
      </c>
      <c r="C12" s="1247"/>
      <c r="D12" s="1247"/>
      <c r="E12" s="1247"/>
      <c r="F12" s="1247"/>
      <c r="G12" s="1247"/>
      <c r="H12" s="1247"/>
      <c r="I12" s="1247"/>
      <c r="J12" s="1247"/>
      <c r="K12" s="1247"/>
      <c r="L12" s="1247"/>
      <c r="M12" s="1247"/>
      <c r="N12" s="1247"/>
      <c r="O12" s="1247"/>
      <c r="P12" s="1247"/>
      <c r="Q12" s="1247"/>
      <c r="R12" s="1247"/>
      <c r="S12" s="1247"/>
      <c r="T12" s="1247"/>
      <c r="U12" s="1247"/>
      <c r="V12" s="1247"/>
      <c r="W12" s="1247"/>
      <c r="X12" s="1247"/>
      <c r="Y12" s="1247"/>
      <c r="Z12" s="1247"/>
      <c r="AA12" s="1247"/>
      <c r="AB12" s="1247"/>
      <c r="AC12" s="1247"/>
      <c r="AD12" s="1247"/>
      <c r="AE12" s="1247"/>
      <c r="AF12" s="1247"/>
    </row>
    <row r="13" spans="1:42" ht="49.5" customHeight="1" x14ac:dyDescent="0.25">
      <c r="A13" s="515" t="s">
        <v>1013</v>
      </c>
      <c r="B13" s="1247" t="s">
        <v>3511</v>
      </c>
      <c r="C13" s="1247"/>
      <c r="D13" s="1247"/>
      <c r="E13" s="1247"/>
      <c r="F13" s="1247"/>
      <c r="G13" s="1247"/>
      <c r="H13" s="1247"/>
      <c r="I13" s="1247"/>
      <c r="J13" s="1247"/>
      <c r="K13" s="1247"/>
      <c r="L13" s="1247"/>
      <c r="M13" s="1247"/>
      <c r="N13" s="1247"/>
      <c r="O13" s="1247"/>
      <c r="P13" s="1247"/>
      <c r="Q13" s="1247"/>
      <c r="R13" s="1247"/>
      <c r="S13" s="1247"/>
      <c r="T13" s="1247"/>
      <c r="U13" s="1247"/>
      <c r="V13" s="1247"/>
      <c r="W13" s="1247"/>
      <c r="X13" s="1247"/>
      <c r="Y13" s="1247"/>
      <c r="Z13" s="1247"/>
      <c r="AA13" s="1247"/>
      <c r="AB13" s="1247"/>
      <c r="AC13" s="1247"/>
      <c r="AD13" s="1247"/>
      <c r="AE13" s="1247"/>
      <c r="AF13" s="1247"/>
    </row>
    <row r="14" spans="1:42" ht="33.75" customHeight="1" x14ac:dyDescent="0.25">
      <c r="A14" s="515" t="s">
        <v>1013</v>
      </c>
      <c r="B14" s="1247" t="s">
        <v>5563</v>
      </c>
      <c r="C14" s="1247"/>
      <c r="D14" s="1247"/>
      <c r="E14" s="1247"/>
      <c r="F14" s="1247"/>
      <c r="G14" s="1247"/>
      <c r="H14" s="1247"/>
      <c r="I14" s="1247"/>
      <c r="J14" s="1247"/>
      <c r="K14" s="1247"/>
      <c r="L14" s="1247"/>
      <c r="M14" s="1247"/>
      <c r="N14" s="1247"/>
      <c r="O14" s="1247"/>
      <c r="P14" s="1247"/>
      <c r="Q14" s="1247"/>
      <c r="R14" s="1247"/>
      <c r="S14" s="1247"/>
      <c r="T14" s="1247"/>
      <c r="U14" s="1247"/>
      <c r="V14" s="1247"/>
      <c r="W14" s="1247"/>
      <c r="X14" s="1247"/>
      <c r="Y14" s="1247"/>
      <c r="Z14" s="1247"/>
      <c r="AA14" s="1247"/>
      <c r="AB14" s="1247"/>
      <c r="AC14" s="1247"/>
      <c r="AD14" s="1247"/>
      <c r="AE14" s="1247"/>
      <c r="AF14" s="1247"/>
    </row>
    <row r="15" spans="1:42" ht="33.75" customHeight="1" x14ac:dyDescent="0.25">
      <c r="A15" s="515" t="s">
        <v>1013</v>
      </c>
      <c r="B15" s="1247" t="s">
        <v>7247</v>
      </c>
      <c r="C15" s="1247"/>
      <c r="D15" s="1247"/>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row>
    <row r="16" spans="1:42" x14ac:dyDescent="0.25">
      <c r="A16" s="515"/>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row>
    <row r="17" spans="1:42" ht="93.75" customHeight="1" x14ac:dyDescent="0.25">
      <c r="A17" s="1246" t="s">
        <v>7248</v>
      </c>
      <c r="B17" s="1246"/>
      <c r="C17" s="1246"/>
      <c r="D17" s="1246"/>
      <c r="E17" s="1246"/>
      <c r="F17" s="1246"/>
      <c r="G17" s="1246"/>
      <c r="H17" s="1246"/>
      <c r="I17" s="1246"/>
      <c r="J17" s="1246"/>
      <c r="K17" s="1246"/>
      <c r="L17" s="1246"/>
      <c r="M17" s="1246"/>
      <c r="N17" s="1246"/>
      <c r="O17" s="1246"/>
      <c r="P17" s="1246"/>
      <c r="Q17" s="1246"/>
      <c r="R17" s="1246"/>
      <c r="S17" s="1246"/>
      <c r="T17" s="1246"/>
      <c r="U17" s="1246"/>
      <c r="V17" s="1246"/>
      <c r="W17" s="1246"/>
      <c r="X17" s="1246"/>
      <c r="Y17" s="1246"/>
      <c r="Z17" s="1246"/>
      <c r="AA17" s="1246"/>
      <c r="AB17" s="1246"/>
      <c r="AC17" s="1246"/>
      <c r="AD17" s="1246"/>
      <c r="AE17" s="1246"/>
      <c r="AF17" s="1246"/>
    </row>
    <row r="18" spans="1:42" x14ac:dyDescent="0.25">
      <c r="A18" s="515"/>
      <c r="B18" s="266"/>
      <c r="C18" s="266"/>
      <c r="D18" s="266"/>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8"/>
      <c r="AF18" s="268"/>
    </row>
    <row r="19" spans="1:42" ht="14.45" customHeight="1" x14ac:dyDescent="0.25">
      <c r="B19" s="462" t="s">
        <v>3520</v>
      </c>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row>
    <row r="20" spans="1:42" ht="17.25" x14ac:dyDescent="0.25">
      <c r="A20" s="515"/>
      <c r="B20" s="1358" t="s">
        <v>1735</v>
      </c>
      <c r="C20" s="1293"/>
      <c r="D20" s="1293"/>
      <c r="E20" s="1359"/>
      <c r="F20" s="1245" t="s">
        <v>3512</v>
      </c>
      <c r="G20" s="1245"/>
      <c r="H20" s="1245" t="s">
        <v>3516</v>
      </c>
      <c r="I20" s="1245"/>
      <c r="J20" s="1245"/>
      <c r="K20" s="1245" t="s">
        <v>18</v>
      </c>
      <c r="L20" s="1245"/>
      <c r="M20" s="1245"/>
      <c r="N20" s="1245"/>
      <c r="O20" s="1245"/>
      <c r="P20" s="266"/>
      <c r="Q20" s="266"/>
      <c r="R20" s="266"/>
      <c r="S20" s="266"/>
      <c r="T20" s="266"/>
      <c r="U20" s="266"/>
      <c r="V20" s="266"/>
      <c r="W20" s="266"/>
      <c r="X20" s="266"/>
      <c r="Y20" s="266"/>
      <c r="Z20" s="266"/>
      <c r="AA20" s="266"/>
      <c r="AB20" s="266"/>
      <c r="AC20" s="266"/>
      <c r="AD20" s="266"/>
      <c r="AE20" s="266"/>
      <c r="AF20" s="266"/>
      <c r="AG20" s="266"/>
    </row>
    <row r="21" spans="1:42" x14ac:dyDescent="0.25">
      <c r="A21" s="515"/>
      <c r="B21" s="1349" t="s">
        <v>7249</v>
      </c>
      <c r="C21" s="1350"/>
      <c r="D21" s="1350"/>
      <c r="E21" s="1351"/>
      <c r="F21" s="1244" t="s">
        <v>7250</v>
      </c>
      <c r="G21" s="1244"/>
      <c r="H21" s="1244">
        <v>299</v>
      </c>
      <c r="I21" s="1244"/>
      <c r="J21" s="1244"/>
      <c r="K21" s="1245" t="s">
        <v>7251</v>
      </c>
      <c r="L21" s="1245"/>
      <c r="M21" s="1245"/>
      <c r="N21" s="1245"/>
      <c r="O21" s="1245"/>
      <c r="P21" s="266"/>
      <c r="Q21" s="266"/>
      <c r="R21" s="266"/>
      <c r="S21" s="266"/>
      <c r="T21" s="266"/>
      <c r="U21" s="266"/>
      <c r="V21" s="266"/>
      <c r="W21" s="266"/>
      <c r="X21" s="266"/>
      <c r="Y21" s="266"/>
      <c r="Z21" s="266"/>
      <c r="AA21" s="266"/>
      <c r="AB21" s="266"/>
      <c r="AC21" s="266"/>
      <c r="AD21" s="266"/>
      <c r="AE21" s="266"/>
      <c r="AF21" s="266"/>
      <c r="AG21" s="266"/>
    </row>
    <row r="22" spans="1:42" x14ac:dyDescent="0.25">
      <c r="A22" s="515"/>
      <c r="B22" s="1352"/>
      <c r="C22" s="1353"/>
      <c r="D22" s="1353"/>
      <c r="E22" s="1354"/>
      <c r="F22" s="1244" t="s">
        <v>7252</v>
      </c>
      <c r="G22" s="1244"/>
      <c r="H22" s="1244">
        <v>306</v>
      </c>
      <c r="I22" s="1244"/>
      <c r="J22" s="1244"/>
      <c r="K22" s="1245" t="s">
        <v>7253</v>
      </c>
      <c r="L22" s="1245"/>
      <c r="M22" s="1245"/>
      <c r="N22" s="1245"/>
      <c r="O22" s="1245"/>
      <c r="P22" s="266"/>
      <c r="Q22" s="266"/>
      <c r="R22" s="266"/>
      <c r="S22" s="266"/>
      <c r="T22" s="266"/>
      <c r="U22" s="266"/>
      <c r="V22" s="266"/>
      <c r="W22" s="266"/>
      <c r="X22" s="266"/>
      <c r="Y22" s="266"/>
      <c r="Z22" s="266"/>
      <c r="AA22" s="266"/>
      <c r="AB22" s="266"/>
      <c r="AC22" s="266"/>
      <c r="AD22" s="266"/>
      <c r="AE22" s="266"/>
      <c r="AF22" s="266"/>
      <c r="AG22" s="266"/>
    </row>
    <row r="23" spans="1:42" x14ac:dyDescent="0.25">
      <c r="A23" s="515"/>
      <c r="B23" s="1355"/>
      <c r="C23" s="1356"/>
      <c r="D23" s="1356"/>
      <c r="E23" s="1357"/>
      <c r="F23" s="1244" t="s">
        <v>7254</v>
      </c>
      <c r="G23" s="1244"/>
      <c r="H23" s="1244">
        <v>313</v>
      </c>
      <c r="I23" s="1244"/>
      <c r="J23" s="1244"/>
      <c r="K23" s="1245" t="s">
        <v>7255</v>
      </c>
      <c r="L23" s="1245"/>
      <c r="M23" s="1245"/>
      <c r="N23" s="1245"/>
      <c r="O23" s="1245"/>
      <c r="P23" s="266"/>
      <c r="Q23" s="266"/>
      <c r="R23" s="266"/>
      <c r="S23" s="266"/>
      <c r="T23" s="266"/>
      <c r="U23" s="266"/>
      <c r="V23" s="266"/>
      <c r="W23" s="266"/>
      <c r="X23" s="266"/>
      <c r="Y23" s="266"/>
      <c r="Z23" s="266"/>
      <c r="AA23" s="266"/>
      <c r="AB23" s="266"/>
      <c r="AC23" s="266"/>
      <c r="AD23" s="266"/>
      <c r="AE23" s="266"/>
      <c r="AF23" s="266"/>
      <c r="AG23" s="266"/>
    </row>
    <row r="24" spans="1:42" x14ac:dyDescent="0.25">
      <c r="A24" s="515"/>
      <c r="B24" s="1339" t="s">
        <v>878</v>
      </c>
      <c r="C24" s="1340"/>
      <c r="D24" s="1340"/>
      <c r="E24" s="1341"/>
      <c r="F24" s="1244" t="s">
        <v>7250</v>
      </c>
      <c r="G24" s="1244"/>
      <c r="H24" s="1244">
        <v>0</v>
      </c>
      <c r="I24" s="1244"/>
      <c r="J24" s="1244"/>
      <c r="K24" s="1358" t="s">
        <v>7251</v>
      </c>
      <c r="L24" s="1293"/>
      <c r="M24" s="1293"/>
      <c r="N24" s="1293"/>
      <c r="O24" s="1359"/>
      <c r="P24" s="266"/>
      <c r="Q24" s="266"/>
      <c r="R24" s="266"/>
      <c r="S24" s="266"/>
      <c r="T24" s="266"/>
      <c r="U24" s="266"/>
      <c r="V24" s="266"/>
      <c r="W24" s="266"/>
      <c r="X24" s="266"/>
      <c r="Y24" s="266"/>
      <c r="Z24" s="266"/>
      <c r="AA24" s="266"/>
      <c r="AB24" s="266"/>
      <c r="AC24" s="266"/>
      <c r="AD24" s="266"/>
      <c r="AE24" s="266"/>
      <c r="AF24" s="266"/>
      <c r="AG24" s="266"/>
    </row>
    <row r="25" spans="1:42" x14ac:dyDescent="0.25">
      <c r="A25" s="515"/>
      <c r="B25" s="1342"/>
      <c r="C25" s="1343"/>
      <c r="D25" s="1343"/>
      <c r="E25" s="1344"/>
      <c r="F25" s="1244" t="s">
        <v>7252</v>
      </c>
      <c r="G25" s="1244"/>
      <c r="H25" s="1244">
        <v>0</v>
      </c>
      <c r="I25" s="1244"/>
      <c r="J25" s="1244"/>
      <c r="K25" s="1358" t="s">
        <v>7253</v>
      </c>
      <c r="L25" s="1293"/>
      <c r="M25" s="1293"/>
      <c r="N25" s="1293"/>
      <c r="O25" s="1359"/>
      <c r="P25" s="266"/>
      <c r="Q25" s="266"/>
      <c r="R25" s="266"/>
      <c r="S25" s="266"/>
      <c r="T25" s="266"/>
      <c r="U25" s="266"/>
      <c r="V25" s="266"/>
      <c r="W25" s="266"/>
      <c r="X25" s="266"/>
      <c r="Y25" s="266"/>
      <c r="Z25" s="266"/>
      <c r="AA25" s="266"/>
      <c r="AB25" s="266"/>
      <c r="AC25" s="266"/>
      <c r="AD25" s="266"/>
      <c r="AE25" s="266"/>
      <c r="AF25" s="266"/>
      <c r="AG25" s="266"/>
    </row>
    <row r="26" spans="1:42" x14ac:dyDescent="0.25">
      <c r="A26" s="515"/>
      <c r="B26" s="1345"/>
      <c r="C26" s="1346"/>
      <c r="D26" s="1346"/>
      <c r="E26" s="1347"/>
      <c r="F26" s="1244" t="s">
        <v>7254</v>
      </c>
      <c r="G26" s="1244"/>
      <c r="H26" s="1244">
        <v>0</v>
      </c>
      <c r="I26" s="1244"/>
      <c r="J26" s="1244"/>
      <c r="K26" s="1358" t="s">
        <v>7255</v>
      </c>
      <c r="L26" s="1293"/>
      <c r="M26" s="1293"/>
      <c r="N26" s="1293"/>
      <c r="O26" s="1359"/>
      <c r="P26" s="266"/>
      <c r="Q26" s="266"/>
      <c r="R26" s="266"/>
      <c r="S26" s="266"/>
      <c r="T26" s="266"/>
      <c r="U26" s="266"/>
      <c r="V26" s="266"/>
      <c r="W26" s="266"/>
      <c r="X26" s="266"/>
      <c r="Y26" s="266"/>
      <c r="Z26" s="266"/>
      <c r="AA26" s="266"/>
      <c r="AB26" s="266"/>
      <c r="AC26" s="266"/>
      <c r="AD26" s="266"/>
      <c r="AE26" s="266"/>
      <c r="AF26" s="266"/>
      <c r="AG26" s="266"/>
    </row>
    <row r="27" spans="1:42" x14ac:dyDescent="0.25">
      <c r="A27" s="515"/>
      <c r="B27" s="1339" t="s">
        <v>3515</v>
      </c>
      <c r="C27" s="1340"/>
      <c r="D27" s="1340"/>
      <c r="E27" s="1341"/>
      <c r="F27" s="1244" t="s">
        <v>7250</v>
      </c>
      <c r="G27" s="1244"/>
      <c r="H27" s="1244">
        <v>139</v>
      </c>
      <c r="I27" s="1244"/>
      <c r="J27" s="1244"/>
      <c r="K27" s="1358" t="s">
        <v>7251</v>
      </c>
      <c r="L27" s="1293"/>
      <c r="M27" s="1293"/>
      <c r="N27" s="1293"/>
      <c r="O27" s="1359"/>
      <c r="P27" s="266"/>
      <c r="Q27" s="266"/>
      <c r="R27" s="266"/>
      <c r="S27" s="266"/>
      <c r="T27" s="266"/>
      <c r="U27" s="266"/>
      <c r="V27" s="266"/>
      <c r="W27" s="266"/>
      <c r="X27" s="266"/>
      <c r="Y27" s="266"/>
      <c r="Z27" s="266"/>
      <c r="AA27" s="266"/>
      <c r="AB27" s="266"/>
      <c r="AC27" s="266"/>
      <c r="AD27" s="266"/>
      <c r="AE27" s="266"/>
      <c r="AF27" s="266"/>
      <c r="AG27" s="266"/>
    </row>
    <row r="28" spans="1:42" x14ac:dyDescent="0.25">
      <c r="A28" s="515"/>
      <c r="B28" s="1342"/>
      <c r="C28" s="1343"/>
      <c r="D28" s="1343"/>
      <c r="E28" s="1344"/>
      <c r="F28" s="1244" t="s">
        <v>7252</v>
      </c>
      <c r="G28" s="1244"/>
      <c r="H28" s="1244">
        <v>142</v>
      </c>
      <c r="I28" s="1244"/>
      <c r="J28" s="1244"/>
      <c r="K28" s="1358" t="s">
        <v>7253</v>
      </c>
      <c r="L28" s="1293"/>
      <c r="M28" s="1293"/>
      <c r="N28" s="1293"/>
      <c r="O28" s="1359"/>
      <c r="P28" s="266"/>
      <c r="Q28" s="266"/>
      <c r="R28" s="266"/>
      <c r="S28" s="266"/>
      <c r="T28" s="266"/>
      <c r="U28" s="266"/>
      <c r="V28" s="266"/>
      <c r="W28" s="266"/>
      <c r="X28" s="266"/>
      <c r="Y28" s="266"/>
      <c r="Z28" s="266"/>
      <c r="AA28" s="266"/>
      <c r="AB28" s="266"/>
      <c r="AC28" s="266"/>
      <c r="AD28" s="266"/>
      <c r="AE28" s="266"/>
      <c r="AF28" s="266"/>
      <c r="AG28" s="266"/>
    </row>
    <row r="29" spans="1:42" x14ac:dyDescent="0.25">
      <c r="A29" s="515"/>
      <c r="B29" s="1345"/>
      <c r="C29" s="1346"/>
      <c r="D29" s="1346"/>
      <c r="E29" s="1347"/>
      <c r="F29" s="1244" t="s">
        <v>7254</v>
      </c>
      <c r="G29" s="1244"/>
      <c r="H29" s="1244">
        <v>145</v>
      </c>
      <c r="I29" s="1244"/>
      <c r="J29" s="1244"/>
      <c r="K29" s="1358" t="s">
        <v>7255</v>
      </c>
      <c r="L29" s="1293"/>
      <c r="M29" s="1293"/>
      <c r="N29" s="1293"/>
      <c r="O29" s="1359"/>
      <c r="P29" s="266"/>
      <c r="Q29" s="266"/>
      <c r="R29" s="266"/>
      <c r="S29" s="266"/>
      <c r="T29" s="266"/>
      <c r="U29" s="266"/>
      <c r="V29" s="266"/>
      <c r="W29" s="266"/>
      <c r="X29" s="266"/>
      <c r="Y29" s="266"/>
      <c r="Z29" s="266"/>
      <c r="AA29" s="266"/>
      <c r="AB29" s="266"/>
      <c r="AC29" s="266"/>
      <c r="AD29" s="266"/>
      <c r="AE29" s="266"/>
      <c r="AF29" s="266"/>
      <c r="AG29" s="266"/>
    </row>
    <row r="30" spans="1:42" s="383" customFormat="1" ht="13.5" customHeight="1" x14ac:dyDescent="0.2">
      <c r="A30" s="608"/>
      <c r="B30" s="383" t="s">
        <v>7256</v>
      </c>
      <c r="H30" s="1360">
        <v>2.298E-2</v>
      </c>
      <c r="I30" s="1360"/>
      <c r="J30" s="1360"/>
      <c r="K30" s="1123" t="s">
        <v>7257</v>
      </c>
      <c r="L30" s="1123"/>
      <c r="M30" s="1123"/>
      <c r="N30" s="1123"/>
      <c r="O30" s="1123"/>
      <c r="P30" s="1123"/>
      <c r="Q30" s="1123"/>
      <c r="R30" s="1123"/>
      <c r="S30" s="1123"/>
      <c r="T30" s="1123"/>
      <c r="U30" s="1123"/>
      <c r="V30" s="1123"/>
      <c r="W30" s="1123"/>
      <c r="X30" s="1123"/>
      <c r="Y30" s="1123"/>
      <c r="Z30" s="1123"/>
      <c r="AA30" s="1123"/>
      <c r="AB30" s="1123"/>
      <c r="AC30" s="1123"/>
      <c r="AD30" s="1123"/>
      <c r="AE30" s="1123"/>
      <c r="AF30" s="1123"/>
    </row>
    <row r="31" spans="1:42" s="383" customFormat="1" ht="36.75" customHeight="1" x14ac:dyDescent="0.2">
      <c r="A31" s="608"/>
      <c r="B31" s="1238" t="s">
        <v>7258</v>
      </c>
      <c r="C31" s="1238"/>
      <c r="D31" s="1238"/>
      <c r="E31" s="1238"/>
      <c r="F31" s="1238"/>
      <c r="G31" s="1238"/>
      <c r="H31" s="1238"/>
      <c r="I31" s="1238"/>
      <c r="J31" s="1238"/>
      <c r="K31" s="1238"/>
      <c r="L31" s="1238"/>
      <c r="M31" s="1238"/>
      <c r="N31" s="1238"/>
      <c r="O31" s="1238"/>
      <c r="P31" s="1238"/>
      <c r="Q31" s="1238"/>
      <c r="R31" s="1238"/>
      <c r="S31" s="1238"/>
      <c r="T31" s="1238"/>
      <c r="U31" s="1238"/>
      <c r="V31" s="1238"/>
      <c r="W31" s="1238"/>
      <c r="X31" s="1238"/>
      <c r="Y31" s="1238"/>
      <c r="Z31" s="1238"/>
      <c r="AA31" s="1238"/>
      <c r="AB31" s="1238"/>
      <c r="AC31" s="1238"/>
      <c r="AD31" s="1238"/>
      <c r="AE31" s="1238"/>
      <c r="AF31" s="1238"/>
    </row>
    <row r="32" spans="1:42" s="383" customFormat="1" ht="12" x14ac:dyDescent="0.2">
      <c r="A32" s="608"/>
      <c r="B32" s="1238" t="s">
        <v>7259</v>
      </c>
      <c r="C32" s="1238"/>
      <c r="D32" s="1238"/>
      <c r="E32" s="1238"/>
      <c r="F32" s="1238"/>
      <c r="G32" s="1238"/>
      <c r="H32" s="1238"/>
      <c r="I32" s="1238"/>
      <c r="J32" s="1238"/>
      <c r="K32" s="1238"/>
      <c r="L32" s="1238"/>
      <c r="M32" s="1238"/>
      <c r="N32" s="1238"/>
      <c r="O32" s="1238"/>
      <c r="P32" s="1238"/>
      <c r="Q32" s="1238"/>
      <c r="R32" s="1238"/>
      <c r="S32" s="1238"/>
      <c r="T32" s="1238"/>
      <c r="U32" s="1238"/>
      <c r="V32" s="1238"/>
      <c r="W32" s="1238"/>
      <c r="X32" s="1238"/>
      <c r="Y32" s="1238"/>
      <c r="Z32" s="1238"/>
      <c r="AA32" s="1238"/>
      <c r="AB32" s="1238"/>
      <c r="AC32" s="1238"/>
      <c r="AD32" s="1238"/>
      <c r="AE32" s="1238"/>
      <c r="AF32" s="1238"/>
    </row>
    <row r="33" spans="1:33" s="383" customFormat="1" ht="12" customHeight="1" x14ac:dyDescent="0.2">
      <c r="A33" s="608"/>
      <c r="B33" s="1238" t="s">
        <v>7260</v>
      </c>
      <c r="C33" s="1238"/>
      <c r="D33" s="1238"/>
      <c r="E33" s="1238"/>
      <c r="F33" s="1238"/>
      <c r="G33" s="1238"/>
      <c r="H33" s="1238"/>
      <c r="I33" s="1238"/>
      <c r="J33" s="1238"/>
      <c r="K33" s="1238"/>
      <c r="L33" s="1238"/>
      <c r="M33" s="1238"/>
      <c r="N33" s="1238"/>
      <c r="O33" s="1238"/>
      <c r="P33" s="1238"/>
      <c r="Q33" s="1238"/>
      <c r="R33" s="1238"/>
      <c r="S33" s="1238"/>
      <c r="T33" s="1238"/>
      <c r="U33" s="1238"/>
      <c r="V33" s="1238"/>
      <c r="W33" s="1238"/>
      <c r="X33" s="1238"/>
      <c r="Y33" s="1238"/>
      <c r="Z33" s="1238"/>
      <c r="AA33" s="1238"/>
      <c r="AB33" s="1238"/>
      <c r="AC33" s="1238"/>
      <c r="AD33" s="1238"/>
      <c r="AE33" s="1238"/>
      <c r="AF33" s="1238"/>
    </row>
    <row r="34" spans="1:33" s="383" customFormat="1" ht="12" x14ac:dyDescent="0.2">
      <c r="A34" s="608"/>
      <c r="B34" s="1238" t="s">
        <v>7261</v>
      </c>
      <c r="C34" s="1238"/>
      <c r="D34" s="1238"/>
      <c r="E34" s="1238"/>
      <c r="F34" s="1238"/>
      <c r="G34" s="1238"/>
      <c r="H34" s="1238"/>
      <c r="I34" s="1238"/>
      <c r="J34" s="1238"/>
      <c r="K34" s="1238"/>
      <c r="L34" s="1238"/>
      <c r="M34" s="1238"/>
      <c r="N34" s="1238"/>
      <c r="O34" s="1238"/>
      <c r="P34" s="1238"/>
      <c r="Q34" s="1238"/>
      <c r="R34" s="1238"/>
      <c r="S34" s="1238"/>
      <c r="T34" s="1238"/>
      <c r="U34" s="1238"/>
      <c r="V34" s="1238"/>
      <c r="W34" s="1238"/>
      <c r="X34" s="1238"/>
      <c r="Y34" s="1238"/>
      <c r="Z34" s="1238"/>
      <c r="AA34" s="1238"/>
      <c r="AB34" s="1238"/>
      <c r="AC34" s="1238"/>
      <c r="AD34" s="1238"/>
      <c r="AE34" s="1238"/>
      <c r="AF34" s="1238"/>
    </row>
    <row r="35" spans="1:33" x14ac:dyDescent="0.25">
      <c r="A35" s="515"/>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row>
    <row r="36" spans="1:33" ht="30.95" customHeight="1" x14ac:dyDescent="0.25">
      <c r="A36" s="1246" t="s">
        <v>7262</v>
      </c>
      <c r="B36" s="1246"/>
      <c r="C36" s="1246"/>
      <c r="D36" s="1246"/>
      <c r="E36" s="1246"/>
      <c r="F36" s="1246"/>
      <c r="G36" s="1246"/>
      <c r="H36" s="1246"/>
      <c r="I36" s="1246"/>
      <c r="J36" s="1246"/>
      <c r="K36" s="1246"/>
      <c r="L36" s="1246"/>
      <c r="M36" s="1246"/>
      <c r="N36" s="1246"/>
      <c r="O36" s="1246"/>
      <c r="P36" s="1246"/>
      <c r="Q36" s="1246"/>
      <c r="R36" s="1246"/>
      <c r="S36" s="1246"/>
      <c r="T36" s="1246"/>
      <c r="U36" s="1246"/>
      <c r="V36" s="1246"/>
      <c r="W36" s="1246"/>
      <c r="X36" s="1246"/>
      <c r="Y36" s="1246"/>
      <c r="Z36" s="1246"/>
      <c r="AA36" s="1246"/>
      <c r="AB36" s="1246"/>
      <c r="AC36" s="1246"/>
      <c r="AD36" s="1246"/>
      <c r="AE36" s="1246"/>
      <c r="AF36" s="1246"/>
    </row>
    <row r="37" spans="1:33" x14ac:dyDescent="0.25">
      <c r="A37" s="515"/>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8"/>
      <c r="AF37" s="268"/>
    </row>
    <row r="38" spans="1:33" ht="14.45" customHeight="1" x14ac:dyDescent="0.25">
      <c r="B38" s="462" t="s">
        <v>3523</v>
      </c>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row>
    <row r="39" spans="1:33" ht="17.25" x14ac:dyDescent="0.25">
      <c r="A39" s="515"/>
      <c r="B39" s="1358" t="s">
        <v>1735</v>
      </c>
      <c r="C39" s="1293"/>
      <c r="D39" s="1293"/>
      <c r="E39" s="1359"/>
      <c r="F39" s="1245" t="s">
        <v>3512</v>
      </c>
      <c r="G39" s="1245"/>
      <c r="H39" s="1245" t="s">
        <v>3516</v>
      </c>
      <c r="I39" s="1245"/>
      <c r="J39" s="1245"/>
      <c r="K39" s="1245" t="s">
        <v>18</v>
      </c>
      <c r="L39" s="1245"/>
      <c r="M39" s="1245"/>
      <c r="N39" s="1245"/>
      <c r="O39" s="1245"/>
      <c r="P39" s="1245"/>
      <c r="Q39" s="266"/>
      <c r="R39" s="266"/>
      <c r="S39" s="266"/>
      <c r="T39" s="266"/>
      <c r="U39" s="266"/>
      <c r="V39" s="266"/>
      <c r="W39" s="266"/>
      <c r="X39" s="266"/>
      <c r="Y39" s="266"/>
      <c r="Z39" s="266"/>
      <c r="AA39" s="266"/>
      <c r="AB39" s="266"/>
      <c r="AC39" s="266"/>
      <c r="AD39" s="266"/>
      <c r="AE39" s="266"/>
      <c r="AF39" s="266"/>
      <c r="AG39" s="266"/>
    </row>
    <row r="40" spans="1:33" x14ac:dyDescent="0.25">
      <c r="A40" s="515"/>
      <c r="B40" s="1349" t="s">
        <v>7249</v>
      </c>
      <c r="C40" s="1350"/>
      <c r="D40" s="1350"/>
      <c r="E40" s="1351"/>
      <c r="F40" s="1244" t="s">
        <v>7250</v>
      </c>
      <c r="G40" s="1244"/>
      <c r="H40" s="1348">
        <v>0.20899999999999999</v>
      </c>
      <c r="I40" s="1348"/>
      <c r="J40" s="1348"/>
      <c r="K40" s="1245" t="s">
        <v>7263</v>
      </c>
      <c r="L40" s="1245"/>
      <c r="M40" s="1245"/>
      <c r="N40" s="1245"/>
      <c r="O40" s="1245"/>
      <c r="P40" s="1245"/>
      <c r="Q40" s="266"/>
      <c r="R40" s="266"/>
      <c r="S40" s="266"/>
      <c r="T40" s="266"/>
      <c r="U40" s="266"/>
      <c r="V40" s="266"/>
      <c r="W40" s="266"/>
      <c r="X40" s="266"/>
      <c r="Y40" s="266"/>
      <c r="Z40" s="266"/>
      <c r="AA40" s="266"/>
      <c r="AB40" s="266"/>
      <c r="AC40" s="266"/>
      <c r="AD40" s="266"/>
      <c r="AE40" s="266"/>
      <c r="AF40" s="266"/>
      <c r="AG40" s="266"/>
    </row>
    <row r="41" spans="1:33" x14ac:dyDescent="0.25">
      <c r="A41" s="515"/>
      <c r="B41" s="1352"/>
      <c r="C41" s="1353"/>
      <c r="D41" s="1353"/>
      <c r="E41" s="1354"/>
      <c r="F41" s="1244" t="s">
        <v>7252</v>
      </c>
      <c r="G41" s="1244"/>
      <c r="H41" s="1348">
        <v>0.215</v>
      </c>
      <c r="I41" s="1348"/>
      <c r="J41" s="1348"/>
      <c r="K41" s="1245" t="s">
        <v>7264</v>
      </c>
      <c r="L41" s="1245"/>
      <c r="M41" s="1245"/>
      <c r="N41" s="1245"/>
      <c r="O41" s="1245"/>
      <c r="P41" s="1245"/>
      <c r="Q41" s="266"/>
      <c r="R41" s="266"/>
      <c r="S41" s="266"/>
      <c r="T41" s="266"/>
      <c r="U41" s="266"/>
      <c r="V41" s="266"/>
      <c r="W41" s="266"/>
      <c r="X41" s="266"/>
      <c r="Y41" s="266"/>
      <c r="Z41" s="266"/>
      <c r="AA41" s="266"/>
      <c r="AB41" s="266"/>
      <c r="AC41" s="266"/>
      <c r="AD41" s="266"/>
      <c r="AE41" s="266"/>
      <c r="AF41" s="266"/>
      <c r="AG41" s="266"/>
    </row>
    <row r="42" spans="1:33" x14ac:dyDescent="0.25">
      <c r="A42" s="515"/>
      <c r="B42" s="1355"/>
      <c r="C42" s="1356"/>
      <c r="D42" s="1356"/>
      <c r="E42" s="1357"/>
      <c r="F42" s="1244" t="s">
        <v>7254</v>
      </c>
      <c r="G42" s="1244"/>
      <c r="H42" s="1348">
        <v>0.221</v>
      </c>
      <c r="I42" s="1348"/>
      <c r="J42" s="1348"/>
      <c r="K42" s="1245" t="s">
        <v>7265</v>
      </c>
      <c r="L42" s="1245"/>
      <c r="M42" s="1245"/>
      <c r="N42" s="1245"/>
      <c r="O42" s="1245"/>
      <c r="P42" s="1245"/>
      <c r="Q42" s="266"/>
      <c r="R42" s="266"/>
      <c r="S42" s="266"/>
      <c r="T42" s="266"/>
      <c r="U42" s="266"/>
      <c r="V42" s="266"/>
      <c r="W42" s="266"/>
      <c r="X42" s="266"/>
      <c r="Y42" s="266"/>
      <c r="Z42" s="266"/>
      <c r="AA42" s="266"/>
      <c r="AB42" s="266"/>
      <c r="AC42" s="266"/>
      <c r="AD42" s="266"/>
      <c r="AE42" s="266"/>
      <c r="AF42" s="266"/>
      <c r="AG42" s="266"/>
    </row>
    <row r="43" spans="1:33" x14ac:dyDescent="0.25">
      <c r="A43" s="515"/>
      <c r="B43" s="1339" t="s">
        <v>878</v>
      </c>
      <c r="C43" s="1340"/>
      <c r="D43" s="1340"/>
      <c r="E43" s="1341"/>
      <c r="F43" s="1244" t="s">
        <v>7250</v>
      </c>
      <c r="G43" s="1244"/>
      <c r="H43" s="1348">
        <v>0.21</v>
      </c>
      <c r="I43" s="1348"/>
      <c r="J43" s="1348"/>
      <c r="K43" s="1245" t="s">
        <v>7263</v>
      </c>
      <c r="L43" s="1245"/>
      <c r="M43" s="1245"/>
      <c r="N43" s="1245"/>
      <c r="O43" s="1245"/>
      <c r="P43" s="1245"/>
      <c r="Q43" s="266"/>
      <c r="R43" s="266"/>
      <c r="S43" s="266"/>
      <c r="T43" s="266"/>
      <c r="U43" s="266"/>
      <c r="V43" s="266"/>
      <c r="W43" s="266"/>
      <c r="X43" s="266"/>
      <c r="Y43" s="266"/>
      <c r="Z43" s="266"/>
      <c r="AA43" s="266"/>
      <c r="AB43" s="266"/>
      <c r="AC43" s="266"/>
      <c r="AD43" s="266"/>
      <c r="AE43" s="266"/>
      <c r="AF43" s="266"/>
      <c r="AG43" s="266"/>
    </row>
    <row r="44" spans="1:33" x14ac:dyDescent="0.25">
      <c r="A44" s="515"/>
      <c r="B44" s="1342"/>
      <c r="C44" s="1343"/>
      <c r="D44" s="1343"/>
      <c r="E44" s="1344"/>
      <c r="F44" s="1244" t="s">
        <v>7252</v>
      </c>
      <c r="G44" s="1244"/>
      <c r="H44" s="1348">
        <v>0.216</v>
      </c>
      <c r="I44" s="1348"/>
      <c r="J44" s="1348"/>
      <c r="K44" s="1245" t="s">
        <v>7264</v>
      </c>
      <c r="L44" s="1245"/>
      <c r="M44" s="1245"/>
      <c r="N44" s="1245"/>
      <c r="O44" s="1245"/>
      <c r="P44" s="1245"/>
      <c r="Q44" s="266"/>
      <c r="R44" s="266"/>
      <c r="S44" s="266"/>
      <c r="T44" s="266"/>
      <c r="U44" s="266"/>
      <c r="V44" s="266"/>
      <c r="W44" s="266"/>
      <c r="X44" s="266"/>
      <c r="Y44" s="266"/>
      <c r="Z44" s="266"/>
      <c r="AA44" s="266"/>
      <c r="AB44" s="266"/>
      <c r="AC44" s="266"/>
      <c r="AD44" s="266"/>
      <c r="AE44" s="266"/>
      <c r="AF44" s="266"/>
      <c r="AG44" s="266"/>
    </row>
    <row r="45" spans="1:33" x14ac:dyDescent="0.25">
      <c r="A45" s="515"/>
      <c r="B45" s="1345"/>
      <c r="C45" s="1346"/>
      <c r="D45" s="1346"/>
      <c r="E45" s="1347"/>
      <c r="F45" s="1244" t="s">
        <v>7254</v>
      </c>
      <c r="G45" s="1244"/>
      <c r="H45" s="1348">
        <v>0.222</v>
      </c>
      <c r="I45" s="1348"/>
      <c r="J45" s="1348"/>
      <c r="K45" s="1245" t="s">
        <v>7265</v>
      </c>
      <c r="L45" s="1245"/>
      <c r="M45" s="1245"/>
      <c r="N45" s="1245"/>
      <c r="O45" s="1245"/>
      <c r="P45" s="1245"/>
      <c r="Q45" s="266"/>
      <c r="R45" s="266"/>
      <c r="S45" s="266"/>
      <c r="T45" s="266"/>
      <c r="U45" s="266"/>
      <c r="V45" s="266"/>
      <c r="W45" s="266"/>
      <c r="X45" s="266"/>
      <c r="Y45" s="266"/>
      <c r="Z45" s="266"/>
      <c r="AA45" s="266"/>
      <c r="AB45" s="266"/>
      <c r="AC45" s="266"/>
      <c r="AD45" s="266"/>
      <c r="AE45" s="266"/>
      <c r="AF45" s="266"/>
      <c r="AG45" s="266"/>
    </row>
    <row r="46" spans="1:33" x14ac:dyDescent="0.25">
      <c r="A46" s="515"/>
      <c r="B46" s="1339" t="s">
        <v>3515</v>
      </c>
      <c r="C46" s="1340"/>
      <c r="D46" s="1340"/>
      <c r="E46" s="1341"/>
      <c r="F46" s="1244" t="s">
        <v>7250</v>
      </c>
      <c r="G46" s="1244"/>
      <c r="H46" s="1348">
        <v>0.21199999999999999</v>
      </c>
      <c r="I46" s="1348"/>
      <c r="J46" s="1348"/>
      <c r="K46" s="1245" t="s">
        <v>7263</v>
      </c>
      <c r="L46" s="1245"/>
      <c r="M46" s="1245"/>
      <c r="N46" s="1245"/>
      <c r="O46" s="1245"/>
      <c r="P46" s="1245"/>
      <c r="Q46" s="266"/>
      <c r="R46" s="266"/>
      <c r="S46" s="266"/>
      <c r="T46" s="266"/>
      <c r="U46" s="266"/>
      <c r="V46" s="266"/>
      <c r="W46" s="266"/>
      <c r="X46" s="266"/>
      <c r="Y46" s="266"/>
      <c r="Z46" s="266"/>
      <c r="AA46" s="266"/>
      <c r="AB46" s="266"/>
      <c r="AC46" s="266"/>
      <c r="AD46" s="266"/>
      <c r="AE46" s="266"/>
      <c r="AF46" s="266"/>
      <c r="AG46" s="266"/>
    </row>
    <row r="47" spans="1:33" x14ac:dyDescent="0.25">
      <c r="A47" s="515"/>
      <c r="B47" s="1342"/>
      <c r="C47" s="1343"/>
      <c r="D47" s="1343"/>
      <c r="E47" s="1344"/>
      <c r="F47" s="1244" t="s">
        <v>7252</v>
      </c>
      <c r="G47" s="1244"/>
      <c r="H47" s="1348">
        <v>0.218</v>
      </c>
      <c r="I47" s="1348"/>
      <c r="J47" s="1348"/>
      <c r="K47" s="1245" t="s">
        <v>7264</v>
      </c>
      <c r="L47" s="1245"/>
      <c r="M47" s="1245"/>
      <c r="N47" s="1245"/>
      <c r="O47" s="1245"/>
      <c r="P47" s="1245"/>
      <c r="Q47" s="266"/>
      <c r="R47" s="266"/>
      <c r="S47" s="266"/>
      <c r="T47" s="266"/>
      <c r="U47" s="266"/>
      <c r="V47" s="266"/>
      <c r="W47" s="266"/>
      <c r="X47" s="266"/>
      <c r="Y47" s="266"/>
      <c r="Z47" s="266"/>
      <c r="AA47" s="266"/>
      <c r="AB47" s="266"/>
      <c r="AC47" s="266"/>
      <c r="AD47" s="266"/>
      <c r="AE47" s="266"/>
      <c r="AF47" s="266"/>
      <c r="AG47" s="266"/>
    </row>
    <row r="48" spans="1:33" x14ac:dyDescent="0.25">
      <c r="A48" s="515"/>
      <c r="B48" s="1345"/>
      <c r="C48" s="1346"/>
      <c r="D48" s="1346"/>
      <c r="E48" s="1347"/>
      <c r="F48" s="1244" t="s">
        <v>7254</v>
      </c>
      <c r="G48" s="1244"/>
      <c r="H48" s="1348">
        <v>0.22500000000000001</v>
      </c>
      <c r="I48" s="1348"/>
      <c r="J48" s="1348"/>
      <c r="K48" s="1245" t="s">
        <v>7265</v>
      </c>
      <c r="L48" s="1245"/>
      <c r="M48" s="1245"/>
      <c r="N48" s="1245"/>
      <c r="O48" s="1245"/>
      <c r="P48" s="1245"/>
      <c r="Q48" s="266"/>
      <c r="R48" s="266"/>
      <c r="S48" s="266"/>
      <c r="T48" s="266"/>
      <c r="U48" s="266"/>
      <c r="V48" s="266"/>
      <c r="W48" s="266"/>
      <c r="X48" s="266"/>
      <c r="Y48" s="266"/>
      <c r="Z48" s="266"/>
      <c r="AA48" s="266"/>
      <c r="AB48" s="266"/>
      <c r="AC48" s="266"/>
      <c r="AD48" s="266"/>
      <c r="AE48" s="266"/>
      <c r="AF48" s="266"/>
      <c r="AG48" s="266"/>
    </row>
    <row r="49" spans="1:42" x14ac:dyDescent="0.25">
      <c r="A49" s="515"/>
      <c r="B49" s="383" t="s">
        <v>3531</v>
      </c>
      <c r="C49" s="383"/>
      <c r="D49" s="383"/>
      <c r="E49" s="383"/>
      <c r="F49" s="383"/>
      <c r="G49" s="383"/>
      <c r="H49" s="1236">
        <v>0.03</v>
      </c>
      <c r="I49" s="1236"/>
      <c r="J49" s="1237" t="s">
        <v>5577</v>
      </c>
      <c r="K49" s="1237"/>
      <c r="L49" s="1237"/>
      <c r="M49" s="1237"/>
      <c r="N49" s="1237"/>
      <c r="O49" s="1237"/>
      <c r="P49" s="1237"/>
      <c r="Q49" s="1237"/>
      <c r="R49" s="1237"/>
      <c r="S49" s="1237"/>
      <c r="T49" s="1237"/>
      <c r="U49" s="1237"/>
      <c r="V49" s="1237"/>
      <c r="W49" s="1237"/>
      <c r="X49" s="1237"/>
      <c r="Y49" s="1237"/>
      <c r="Z49" s="1237"/>
      <c r="AA49" s="1237"/>
      <c r="AB49" s="1237"/>
      <c r="AC49" s="1237"/>
      <c r="AD49" s="1237"/>
      <c r="AE49" s="1237"/>
      <c r="AF49" s="1237"/>
    </row>
    <row r="50" spans="1:42" ht="116.25" customHeight="1" x14ac:dyDescent="0.25">
      <c r="A50" s="515"/>
      <c r="B50" s="1238" t="s">
        <v>7266</v>
      </c>
      <c r="C50" s="1238"/>
      <c r="D50" s="1238"/>
      <c r="E50" s="1238"/>
      <c r="F50" s="1238"/>
      <c r="G50" s="1238"/>
      <c r="H50" s="1238"/>
      <c r="I50" s="1238"/>
      <c r="J50" s="1238"/>
      <c r="K50" s="1238"/>
      <c r="L50" s="1238"/>
      <c r="M50" s="1238"/>
      <c r="N50" s="1238"/>
      <c r="O50" s="1238"/>
      <c r="P50" s="1238"/>
      <c r="Q50" s="1238"/>
      <c r="R50" s="1238"/>
      <c r="S50" s="1238"/>
      <c r="T50" s="1238"/>
      <c r="U50" s="1238"/>
      <c r="V50" s="1238"/>
      <c r="W50" s="1238"/>
      <c r="X50" s="1238"/>
      <c r="Y50" s="1238"/>
      <c r="Z50" s="1238"/>
      <c r="AA50" s="1238"/>
      <c r="AB50" s="1238"/>
      <c r="AC50" s="1238"/>
      <c r="AD50" s="1238"/>
      <c r="AE50" s="1238"/>
      <c r="AF50" s="1238"/>
    </row>
    <row r="51" spans="1:42" x14ac:dyDescent="0.25">
      <c r="A51" s="515"/>
      <c r="B51" s="407"/>
      <c r="C51" s="407"/>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7"/>
    </row>
    <row r="52" spans="1:42" x14ac:dyDescent="0.25">
      <c r="A52" s="1252" t="s">
        <v>7267</v>
      </c>
      <c r="B52" s="1253"/>
      <c r="C52" s="1253"/>
      <c r="D52" s="1253"/>
      <c r="E52" s="1253"/>
      <c r="F52" s="1253"/>
      <c r="G52" s="1253"/>
      <c r="H52" s="1253"/>
      <c r="I52" s="1253"/>
      <c r="J52" s="1253"/>
      <c r="K52" s="1253"/>
      <c r="L52" s="1253"/>
      <c r="M52" s="1253"/>
      <c r="N52" s="1253"/>
      <c r="O52" s="1253"/>
      <c r="P52" s="1253"/>
      <c r="Q52" s="1253"/>
      <c r="R52" s="1253"/>
      <c r="S52" s="1253"/>
      <c r="T52" s="1253"/>
      <c r="U52" s="1253"/>
      <c r="V52" s="1253"/>
      <c r="W52" s="1253"/>
      <c r="X52" s="1253"/>
      <c r="Y52" s="1253"/>
      <c r="Z52" s="1253"/>
      <c r="AA52" s="1253"/>
      <c r="AB52" s="1253"/>
      <c r="AC52" s="1253"/>
      <c r="AD52" s="1253"/>
      <c r="AE52" s="1253"/>
      <c r="AF52" s="1254"/>
    </row>
    <row r="53" spans="1:42" x14ac:dyDescent="0.25">
      <c r="A53" s="273"/>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row>
    <row r="54" spans="1:42" ht="51" customHeight="1" x14ac:dyDescent="0.25">
      <c r="A54" s="1142" t="s">
        <v>7268</v>
      </c>
      <c r="B54" s="1142"/>
      <c r="C54" s="1142"/>
      <c r="D54" s="1142"/>
      <c r="E54" s="1142"/>
      <c r="F54" s="1142"/>
      <c r="G54" s="1142"/>
      <c r="H54" s="1142"/>
      <c r="I54" s="1142"/>
      <c r="J54" s="1142"/>
      <c r="K54" s="1142"/>
      <c r="L54" s="1142"/>
      <c r="M54" s="1142"/>
      <c r="N54" s="1142"/>
      <c r="O54" s="1142"/>
      <c r="P54" s="1142"/>
      <c r="Q54" s="1142"/>
      <c r="R54" s="1142"/>
      <c r="S54" s="1142"/>
      <c r="T54" s="1142"/>
      <c r="U54" s="1142"/>
      <c r="V54" s="1142"/>
      <c r="W54" s="1142"/>
      <c r="X54" s="1142"/>
      <c r="Y54" s="1142"/>
      <c r="Z54" s="1142"/>
      <c r="AA54" s="1142"/>
      <c r="AB54" s="1142"/>
      <c r="AC54" s="1142"/>
      <c r="AD54" s="1142"/>
      <c r="AE54" s="1142"/>
      <c r="AF54" s="1142"/>
    </row>
    <row r="55" spans="1:42" x14ac:dyDescent="0.25">
      <c r="A55" s="274"/>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74"/>
      <c r="AE55" s="274"/>
      <c r="AF55" s="274"/>
    </row>
    <row r="56" spans="1:42" ht="15" customHeight="1" x14ac:dyDescent="0.25">
      <c r="A56" s="462" t="s">
        <v>7269</v>
      </c>
      <c r="B56" s="462"/>
      <c r="C56" s="462"/>
      <c r="D56" s="462"/>
      <c r="E56" s="462"/>
      <c r="F56" s="462"/>
      <c r="G56" s="462"/>
      <c r="H56" s="462"/>
      <c r="I56" s="462"/>
      <c r="J56" s="462"/>
      <c r="K56" s="462"/>
      <c r="L56" s="462"/>
      <c r="M56" s="462"/>
      <c r="N56" s="462"/>
      <c r="O56" s="462"/>
      <c r="P56" s="462"/>
      <c r="Q56" s="462"/>
      <c r="R56" s="462"/>
      <c r="S56" s="462"/>
      <c r="T56" s="462"/>
      <c r="U56" s="462"/>
      <c r="V56" s="462"/>
      <c r="W56" s="462"/>
      <c r="X56" s="462"/>
      <c r="Y56" s="462"/>
      <c r="Z56" s="462"/>
      <c r="AA56" s="462"/>
      <c r="AB56" s="462"/>
      <c r="AC56" s="462"/>
      <c r="AD56" s="462"/>
      <c r="AE56" s="462"/>
      <c r="AF56" s="462"/>
    </row>
    <row r="57" spans="1:42" x14ac:dyDescent="0.25">
      <c r="A57" s="274"/>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74"/>
      <c r="AE57" s="274"/>
      <c r="AF57" s="274"/>
    </row>
    <row r="58" spans="1:42" ht="25.5" customHeight="1" x14ac:dyDescent="0.25">
      <c r="A58" s="462"/>
      <c r="B58" s="765"/>
      <c r="C58" s="765"/>
      <c r="D58" s="765"/>
      <c r="E58" s="765"/>
      <c r="F58" s="765"/>
      <c r="G58" s="765"/>
      <c r="H58" s="766"/>
      <c r="I58" s="766"/>
      <c r="J58" s="766"/>
      <c r="K58" s="1207" t="s">
        <v>1020</v>
      </c>
      <c r="L58" s="1208"/>
      <c r="M58" s="1208"/>
      <c r="N58" s="1209"/>
      <c r="O58" s="767"/>
      <c r="P58" s="768"/>
      <c r="Q58" s="768"/>
      <c r="R58" s="768"/>
      <c r="S58" s="768"/>
      <c r="T58" s="768"/>
      <c r="U58" s="769"/>
      <c r="V58" s="769"/>
      <c r="W58" s="769"/>
      <c r="X58" s="769"/>
      <c r="Y58" s="769"/>
      <c r="Z58" s="765"/>
      <c r="AA58" s="765"/>
      <c r="AB58" s="765"/>
      <c r="AC58" s="765"/>
      <c r="AD58" s="765"/>
      <c r="AE58" s="765"/>
      <c r="AF58" s="770"/>
      <c r="AG58" s="771"/>
      <c r="AH58" s="771"/>
      <c r="AI58" s="771"/>
      <c r="AJ58" s="771"/>
      <c r="AK58" s="771"/>
      <c r="AL58" s="771"/>
      <c r="AM58" s="771"/>
      <c r="AN58" s="771"/>
      <c r="AO58" s="771"/>
      <c r="AP58" s="771"/>
    </row>
    <row r="59" spans="1:42" x14ac:dyDescent="0.25">
      <c r="A59" s="772"/>
      <c r="B59" s="772"/>
      <c r="C59" s="772"/>
      <c r="D59" s="772"/>
      <c r="E59" s="772"/>
      <c r="F59" s="772"/>
      <c r="G59" s="772"/>
      <c r="H59" s="773"/>
      <c r="I59" s="773"/>
      <c r="J59" s="773"/>
      <c r="K59" s="1210">
        <v>0.06</v>
      </c>
      <c r="L59" s="1211"/>
      <c r="M59" s="1211"/>
      <c r="N59" s="1212"/>
      <c r="O59" s="774"/>
      <c r="P59" s="775"/>
      <c r="Q59" s="775"/>
      <c r="R59" s="775"/>
      <c r="S59" s="775"/>
      <c r="T59" s="775"/>
      <c r="U59" s="776"/>
      <c r="V59" s="776"/>
      <c r="W59" s="776"/>
      <c r="X59" s="776"/>
      <c r="Y59" s="776"/>
      <c r="Z59" s="772"/>
      <c r="AA59" s="772"/>
      <c r="AB59" s="772"/>
      <c r="AC59" s="772"/>
      <c r="AD59" s="772"/>
      <c r="AE59" s="772"/>
      <c r="AF59" s="777"/>
      <c r="AG59" s="771"/>
      <c r="AH59" s="771"/>
      <c r="AI59" s="771"/>
      <c r="AJ59" s="771"/>
      <c r="AK59" s="771"/>
      <c r="AL59" s="771"/>
      <c r="AM59" s="771"/>
      <c r="AN59" s="771"/>
      <c r="AO59" s="771"/>
      <c r="AP59" s="771"/>
    </row>
    <row r="60" spans="1:42" x14ac:dyDescent="0.25">
      <c r="A60" s="772"/>
      <c r="B60" s="772"/>
      <c r="C60" s="772"/>
      <c r="D60" s="772"/>
      <c r="E60" s="772"/>
      <c r="F60" s="772"/>
      <c r="G60" s="772"/>
      <c r="H60" s="773"/>
      <c r="I60" s="773"/>
      <c r="J60" s="773"/>
      <c r="K60" s="773"/>
      <c r="L60" s="773"/>
      <c r="M60" s="778"/>
      <c r="N60" s="778"/>
      <c r="O60" s="778"/>
      <c r="P60" s="778"/>
      <c r="Q60" s="778"/>
      <c r="R60" s="778"/>
      <c r="S60" s="778"/>
      <c r="T60" s="778"/>
      <c r="U60" s="778"/>
      <c r="V60" s="778"/>
      <c r="W60" s="778"/>
      <c r="X60" s="778"/>
      <c r="Y60" s="778"/>
      <c r="Z60" s="778"/>
      <c r="AA60" s="778"/>
      <c r="AB60" s="778"/>
      <c r="AC60" s="778"/>
      <c r="AD60" s="778"/>
      <c r="AE60" s="772"/>
      <c r="AF60" s="772"/>
      <c r="AG60" s="772"/>
      <c r="AH60" s="772"/>
      <c r="AI60" s="772"/>
      <c r="AJ60" s="772"/>
      <c r="AK60" s="772"/>
      <c r="AL60" s="772"/>
      <c r="AM60" s="772"/>
      <c r="AN60" s="777"/>
      <c r="AO60" s="771"/>
      <c r="AP60" s="771"/>
    </row>
    <row r="61" spans="1:42" ht="38.25" customHeight="1" x14ac:dyDescent="0.25">
      <c r="A61" s="192"/>
      <c r="B61" s="192"/>
      <c r="C61" s="192"/>
      <c r="D61" s="192"/>
      <c r="E61" s="192"/>
      <c r="F61" s="192"/>
      <c r="G61" s="1213" t="s">
        <v>3525</v>
      </c>
      <c r="H61" s="1214"/>
      <c r="I61" s="1214"/>
      <c r="J61" s="1214"/>
      <c r="K61" s="1214"/>
      <c r="L61" s="1214"/>
      <c r="M61" s="1214"/>
      <c r="N61" s="1214"/>
      <c r="O61" s="1215"/>
      <c r="P61" s="1213" t="s">
        <v>3528</v>
      </c>
      <c r="Q61" s="1214"/>
      <c r="R61" s="1214"/>
      <c r="S61" s="1214"/>
      <c r="T61" s="1214"/>
      <c r="U61" s="1214"/>
      <c r="V61" s="1214"/>
      <c r="W61" s="1214"/>
      <c r="X61" s="1215"/>
      <c r="Y61" s="1207" t="s">
        <v>3529</v>
      </c>
      <c r="Z61" s="1208"/>
      <c r="AA61" s="1208"/>
      <c r="AB61" s="1208"/>
      <c r="AC61" s="1208"/>
      <c r="AD61" s="1208"/>
      <c r="AE61" s="1208"/>
      <c r="AF61" s="1208"/>
      <c r="AG61" s="1209"/>
      <c r="AH61" s="1207" t="s">
        <v>3530</v>
      </c>
      <c r="AI61" s="1208"/>
      <c r="AJ61" s="1208"/>
      <c r="AK61" s="1208"/>
      <c r="AL61" s="1208"/>
      <c r="AM61" s="1208"/>
      <c r="AN61" s="1208"/>
      <c r="AO61" s="1208"/>
      <c r="AP61" s="1209"/>
    </row>
    <row r="62" spans="1:42" x14ac:dyDescent="0.25">
      <c r="A62" s="192"/>
      <c r="B62" s="192"/>
      <c r="C62" s="192"/>
      <c r="D62" s="192"/>
      <c r="E62" s="192"/>
      <c r="F62" s="192"/>
      <c r="G62" s="1216" t="s">
        <v>877</v>
      </c>
      <c r="H62" s="1217"/>
      <c r="I62" s="1218"/>
      <c r="J62" s="1216" t="s">
        <v>878</v>
      </c>
      <c r="K62" s="1217"/>
      <c r="L62" s="1218"/>
      <c r="M62" s="1216" t="s">
        <v>3515</v>
      </c>
      <c r="N62" s="1217"/>
      <c r="O62" s="1218"/>
      <c r="P62" s="1216" t="s">
        <v>877</v>
      </c>
      <c r="Q62" s="1217"/>
      <c r="R62" s="1218"/>
      <c r="S62" s="1216" t="s">
        <v>878</v>
      </c>
      <c r="T62" s="1217"/>
      <c r="U62" s="1218"/>
      <c r="V62" s="1216" t="s">
        <v>3515</v>
      </c>
      <c r="W62" s="1217"/>
      <c r="X62" s="1218"/>
      <c r="Y62" s="1216" t="s">
        <v>877</v>
      </c>
      <c r="Z62" s="1217"/>
      <c r="AA62" s="1218"/>
      <c r="AB62" s="1216" t="s">
        <v>878</v>
      </c>
      <c r="AC62" s="1217"/>
      <c r="AD62" s="1218"/>
      <c r="AE62" s="1216" t="s">
        <v>3515</v>
      </c>
      <c r="AF62" s="1217"/>
      <c r="AG62" s="1218"/>
      <c r="AH62" s="1216" t="s">
        <v>877</v>
      </c>
      <c r="AI62" s="1217"/>
      <c r="AJ62" s="1218"/>
      <c r="AK62" s="1216" t="s">
        <v>878</v>
      </c>
      <c r="AL62" s="1217"/>
      <c r="AM62" s="1218"/>
      <c r="AN62" s="1216" t="s">
        <v>3515</v>
      </c>
      <c r="AO62" s="1217"/>
      <c r="AP62" s="1218"/>
    </row>
    <row r="63" spans="1:42" ht="27" customHeight="1" x14ac:dyDescent="0.25">
      <c r="A63" s="1204" t="s">
        <v>1017</v>
      </c>
      <c r="B63" s="1205"/>
      <c r="C63" s="1206"/>
      <c r="D63" s="1207" t="s">
        <v>3524</v>
      </c>
      <c r="E63" s="1208"/>
      <c r="F63" s="1209"/>
      <c r="G63" s="1207" t="s">
        <v>3526</v>
      </c>
      <c r="H63" s="1208"/>
      <c r="I63" s="1209"/>
      <c r="J63" s="1201" t="s">
        <v>3526</v>
      </c>
      <c r="K63" s="1202"/>
      <c r="L63" s="1203"/>
      <c r="M63" s="1201" t="s">
        <v>3526</v>
      </c>
      <c r="N63" s="1202"/>
      <c r="O63" s="1203"/>
      <c r="P63" s="1201" t="s">
        <v>3527</v>
      </c>
      <c r="Q63" s="1202"/>
      <c r="R63" s="1203"/>
      <c r="S63" s="1201" t="s">
        <v>3527</v>
      </c>
      <c r="T63" s="1202"/>
      <c r="U63" s="1203"/>
      <c r="V63" s="1201" t="s">
        <v>3527</v>
      </c>
      <c r="W63" s="1202"/>
      <c r="X63" s="1203"/>
      <c r="Y63" s="1201" t="s">
        <v>2288</v>
      </c>
      <c r="Z63" s="1202"/>
      <c r="AA63" s="1203"/>
      <c r="AB63" s="1201" t="s">
        <v>2288</v>
      </c>
      <c r="AC63" s="1202"/>
      <c r="AD63" s="1203"/>
      <c r="AE63" s="1201" t="s">
        <v>2288</v>
      </c>
      <c r="AF63" s="1202"/>
      <c r="AG63" s="1203"/>
      <c r="AH63" s="1201" t="s">
        <v>2289</v>
      </c>
      <c r="AI63" s="1202"/>
      <c r="AJ63" s="1203"/>
      <c r="AK63" s="1201" t="s">
        <v>2289</v>
      </c>
      <c r="AL63" s="1202"/>
      <c r="AM63" s="1203"/>
      <c r="AN63" s="1201" t="s">
        <v>2289</v>
      </c>
      <c r="AO63" s="1202"/>
      <c r="AP63" s="1203"/>
    </row>
    <row r="64" spans="1:42" x14ac:dyDescent="0.25">
      <c r="A64" s="1336">
        <v>2025</v>
      </c>
      <c r="B64" s="1337"/>
      <c r="C64" s="1338"/>
      <c r="D64" s="1336">
        <v>1</v>
      </c>
      <c r="E64" s="1337"/>
      <c r="F64" s="1338"/>
      <c r="G64" s="1330">
        <v>299</v>
      </c>
      <c r="H64" s="1331"/>
      <c r="I64" s="1332"/>
      <c r="J64" s="1330">
        <v>0</v>
      </c>
      <c r="K64" s="1331"/>
      <c r="L64" s="1332"/>
      <c r="M64" s="1330">
        <v>139</v>
      </c>
      <c r="N64" s="1331"/>
      <c r="O64" s="1332"/>
      <c r="P64" s="1333">
        <v>0.20899999999999999</v>
      </c>
      <c r="Q64" s="1334"/>
      <c r="R64" s="1335"/>
      <c r="S64" s="1333">
        <v>0.21</v>
      </c>
      <c r="T64" s="1334"/>
      <c r="U64" s="1335"/>
      <c r="V64" s="1333">
        <v>0.21199999999999999</v>
      </c>
      <c r="W64" s="1334"/>
      <c r="X64" s="1335"/>
      <c r="Y64" s="1330">
        <v>299</v>
      </c>
      <c r="Z64" s="1331"/>
      <c r="AA64" s="1332"/>
      <c r="AB64" s="1330">
        <v>0</v>
      </c>
      <c r="AC64" s="1331"/>
      <c r="AD64" s="1332"/>
      <c r="AE64" s="1330">
        <v>139</v>
      </c>
      <c r="AF64" s="1331"/>
      <c r="AG64" s="1332"/>
      <c r="AH64" s="1333">
        <v>0.20899999999999999</v>
      </c>
      <c r="AI64" s="1334"/>
      <c r="AJ64" s="1335"/>
      <c r="AK64" s="1333">
        <v>0.21</v>
      </c>
      <c r="AL64" s="1334"/>
      <c r="AM64" s="1335"/>
      <c r="AN64" s="1333">
        <v>0.21199999999999999</v>
      </c>
      <c r="AO64" s="1334"/>
      <c r="AP64" s="1335"/>
    </row>
    <row r="65" spans="1:42" x14ac:dyDescent="0.25">
      <c r="A65" s="1336">
        <v>2026</v>
      </c>
      <c r="B65" s="1337"/>
      <c r="C65" s="1338"/>
      <c r="D65" s="1336">
        <v>2</v>
      </c>
      <c r="E65" s="1337"/>
      <c r="F65" s="1338"/>
      <c r="G65" s="1330">
        <v>282.07547169811318</v>
      </c>
      <c r="H65" s="1331"/>
      <c r="I65" s="1332"/>
      <c r="J65" s="1330">
        <v>0</v>
      </c>
      <c r="K65" s="1331"/>
      <c r="L65" s="1332"/>
      <c r="M65" s="1330">
        <v>131.1320754716981</v>
      </c>
      <c r="N65" s="1331"/>
      <c r="O65" s="1332"/>
      <c r="P65" s="1333">
        <v>0.20283018867924527</v>
      </c>
      <c r="Q65" s="1334"/>
      <c r="R65" s="1335"/>
      <c r="S65" s="1333">
        <v>0.20377358490566036</v>
      </c>
      <c r="T65" s="1334"/>
      <c r="U65" s="1335"/>
      <c r="V65" s="1333">
        <v>0.20566037735849055</v>
      </c>
      <c r="W65" s="1334"/>
      <c r="X65" s="1335"/>
      <c r="Y65" s="1330">
        <v>581</v>
      </c>
      <c r="Z65" s="1331"/>
      <c r="AA65" s="1332"/>
      <c r="AB65" s="1330">
        <v>0</v>
      </c>
      <c r="AC65" s="1331"/>
      <c r="AD65" s="1332"/>
      <c r="AE65" s="1330">
        <v>270</v>
      </c>
      <c r="AF65" s="1331"/>
      <c r="AG65" s="1332"/>
      <c r="AH65" s="1333">
        <v>0.41199999999999998</v>
      </c>
      <c r="AI65" s="1334"/>
      <c r="AJ65" s="1335"/>
      <c r="AK65" s="1333">
        <v>0.41399999999999998</v>
      </c>
      <c r="AL65" s="1334"/>
      <c r="AM65" s="1335"/>
      <c r="AN65" s="1333">
        <v>0.41799999999999998</v>
      </c>
      <c r="AO65" s="1334"/>
      <c r="AP65" s="1335"/>
    </row>
    <row r="66" spans="1:42" x14ac:dyDescent="0.25">
      <c r="A66" s="1336">
        <v>2027</v>
      </c>
      <c r="B66" s="1337"/>
      <c r="C66" s="1338"/>
      <c r="D66" s="1336">
        <v>3</v>
      </c>
      <c r="E66" s="1337"/>
      <c r="F66" s="1338"/>
      <c r="G66" s="1330">
        <v>266.10893556425771</v>
      </c>
      <c r="H66" s="1331"/>
      <c r="I66" s="1332"/>
      <c r="J66" s="1330">
        <v>0</v>
      </c>
      <c r="K66" s="1331"/>
      <c r="L66" s="1332"/>
      <c r="M66" s="1330">
        <v>123.70950516197934</v>
      </c>
      <c r="N66" s="1331"/>
      <c r="O66" s="1332"/>
      <c r="P66" s="1333">
        <v>0.196689213243147</v>
      </c>
      <c r="Q66" s="1334"/>
      <c r="R66" s="1335"/>
      <c r="S66" s="1333">
        <v>0.19757920968316126</v>
      </c>
      <c r="T66" s="1334"/>
      <c r="U66" s="1335"/>
      <c r="V66" s="1333">
        <v>0.20024919900320395</v>
      </c>
      <c r="W66" s="1334"/>
      <c r="X66" s="1335"/>
      <c r="Y66" s="1330">
        <v>847</v>
      </c>
      <c r="Z66" s="1331"/>
      <c r="AA66" s="1332"/>
      <c r="AB66" s="1330">
        <v>0</v>
      </c>
      <c r="AC66" s="1331"/>
      <c r="AD66" s="1332"/>
      <c r="AE66" s="1330">
        <v>394</v>
      </c>
      <c r="AF66" s="1331"/>
      <c r="AG66" s="1332"/>
      <c r="AH66" s="1333">
        <v>0.60899999999999999</v>
      </c>
      <c r="AI66" s="1334"/>
      <c r="AJ66" s="1335"/>
      <c r="AK66" s="1333">
        <v>0.61099999999999999</v>
      </c>
      <c r="AL66" s="1334"/>
      <c r="AM66" s="1335"/>
      <c r="AN66" s="1333">
        <v>0.61799999999999999</v>
      </c>
      <c r="AO66" s="1334"/>
      <c r="AP66" s="1335"/>
    </row>
    <row r="67" spans="1:42" x14ac:dyDescent="0.25">
      <c r="A67" s="1336">
        <v>2028</v>
      </c>
      <c r="B67" s="1337"/>
      <c r="C67" s="1338"/>
      <c r="D67" s="1336">
        <v>4</v>
      </c>
      <c r="E67" s="1337"/>
      <c r="F67" s="1338"/>
      <c r="G67" s="1330">
        <v>251.04616562665819</v>
      </c>
      <c r="H67" s="1331"/>
      <c r="I67" s="1332"/>
      <c r="J67" s="1330">
        <v>0</v>
      </c>
      <c r="K67" s="1331"/>
      <c r="L67" s="1332"/>
      <c r="M67" s="1330">
        <v>116.70708034148993</v>
      </c>
      <c r="N67" s="1331"/>
      <c r="O67" s="1332"/>
      <c r="P67" s="1333">
        <v>0.19143319653136479</v>
      </c>
      <c r="Q67" s="1334"/>
      <c r="R67" s="1335"/>
      <c r="S67" s="1333">
        <v>0.19227281581439709</v>
      </c>
      <c r="T67" s="1334"/>
      <c r="U67" s="1335"/>
      <c r="V67" s="1333">
        <v>0.19479167366349398</v>
      </c>
      <c r="W67" s="1334"/>
      <c r="X67" s="1335"/>
      <c r="Y67" s="1330">
        <v>1098</v>
      </c>
      <c r="Z67" s="1331"/>
      <c r="AA67" s="1332"/>
      <c r="AB67" s="1330">
        <v>0</v>
      </c>
      <c r="AC67" s="1331"/>
      <c r="AD67" s="1332"/>
      <c r="AE67" s="1330">
        <v>511</v>
      </c>
      <c r="AF67" s="1331"/>
      <c r="AG67" s="1332"/>
      <c r="AH67" s="1333">
        <v>0.8</v>
      </c>
      <c r="AI67" s="1334"/>
      <c r="AJ67" s="1335"/>
      <c r="AK67" s="1333">
        <v>0.80400000000000005</v>
      </c>
      <c r="AL67" s="1334"/>
      <c r="AM67" s="1335"/>
      <c r="AN67" s="1333">
        <v>0.81299999999999994</v>
      </c>
      <c r="AO67" s="1334"/>
      <c r="AP67" s="1335"/>
    </row>
    <row r="68" spans="1:42" x14ac:dyDescent="0.25">
      <c r="A68" s="1336">
        <v>2029</v>
      </c>
      <c r="B68" s="1337"/>
      <c r="C68" s="1338"/>
      <c r="D68" s="1336">
        <v>5</v>
      </c>
      <c r="E68" s="1337"/>
      <c r="F68" s="1338"/>
      <c r="G68" s="1330">
        <v>236.8360053081681</v>
      </c>
      <c r="H68" s="1331"/>
      <c r="I68" s="1332"/>
      <c r="J68" s="1330">
        <v>0</v>
      </c>
      <c r="K68" s="1331"/>
      <c r="L68" s="1332"/>
      <c r="M68" s="1330">
        <v>110.10101919008484</v>
      </c>
      <c r="N68" s="1331"/>
      <c r="O68" s="1332"/>
      <c r="P68" s="1333">
        <v>0.18614201086093479</v>
      </c>
      <c r="Q68" s="1334"/>
      <c r="R68" s="1335"/>
      <c r="S68" s="1333">
        <v>0.18693410452417281</v>
      </c>
      <c r="T68" s="1334"/>
      <c r="U68" s="1335"/>
      <c r="V68" s="1333">
        <v>0.18931038551388688</v>
      </c>
      <c r="W68" s="1334"/>
      <c r="X68" s="1335"/>
      <c r="Y68" s="1330">
        <v>1335</v>
      </c>
      <c r="Z68" s="1331"/>
      <c r="AA68" s="1332"/>
      <c r="AB68" s="1330">
        <v>0</v>
      </c>
      <c r="AC68" s="1331"/>
      <c r="AD68" s="1332"/>
      <c r="AE68" s="1330">
        <v>621</v>
      </c>
      <c r="AF68" s="1331"/>
      <c r="AG68" s="1332"/>
      <c r="AH68" s="1333">
        <v>0.98599999999999999</v>
      </c>
      <c r="AI68" s="1334"/>
      <c r="AJ68" s="1335"/>
      <c r="AK68" s="1333">
        <v>0.99099999999999999</v>
      </c>
      <c r="AL68" s="1334"/>
      <c r="AM68" s="1335"/>
      <c r="AN68" s="1333">
        <v>1.002</v>
      </c>
      <c r="AO68" s="1334"/>
      <c r="AP68" s="1335"/>
    </row>
    <row r="69" spans="1:42" x14ac:dyDescent="0.25">
      <c r="A69" s="1336">
        <v>2030</v>
      </c>
      <c r="B69" s="1337"/>
      <c r="C69" s="1338"/>
      <c r="D69" s="1336">
        <v>6</v>
      </c>
      <c r="E69" s="1337"/>
      <c r="F69" s="1338"/>
      <c r="G69" s="1330">
        <v>223.43019368695101</v>
      </c>
      <c r="H69" s="1331"/>
      <c r="I69" s="1332"/>
      <c r="J69" s="1330">
        <v>0</v>
      </c>
      <c r="K69" s="1331"/>
      <c r="L69" s="1332"/>
      <c r="M69" s="1330">
        <v>103.86888602838191</v>
      </c>
      <c r="N69" s="1331"/>
      <c r="O69" s="1332"/>
      <c r="P69" s="1333">
        <v>0.18083647783358575</v>
      </c>
      <c r="Q69" s="1334"/>
      <c r="R69" s="1335"/>
      <c r="S69" s="1333">
        <v>0.18158373600645181</v>
      </c>
      <c r="T69" s="1334"/>
      <c r="U69" s="1335"/>
      <c r="V69" s="1333">
        <v>0.18382551052505</v>
      </c>
      <c r="W69" s="1334"/>
      <c r="X69" s="1335"/>
      <c r="Y69" s="1330">
        <v>1558</v>
      </c>
      <c r="Z69" s="1331"/>
      <c r="AA69" s="1332"/>
      <c r="AB69" s="1330">
        <v>0</v>
      </c>
      <c r="AC69" s="1331"/>
      <c r="AD69" s="1332"/>
      <c r="AE69" s="1330">
        <v>725</v>
      </c>
      <c r="AF69" s="1331"/>
      <c r="AG69" s="1332"/>
      <c r="AH69" s="1333">
        <v>1.167</v>
      </c>
      <c r="AI69" s="1334"/>
      <c r="AJ69" s="1335"/>
      <c r="AK69" s="1333">
        <v>1.1719999999999999</v>
      </c>
      <c r="AL69" s="1334"/>
      <c r="AM69" s="1335"/>
      <c r="AN69" s="1333">
        <v>1.1859999999999999</v>
      </c>
      <c r="AO69" s="1334"/>
      <c r="AP69" s="1335"/>
    </row>
    <row r="70" spans="1:42" x14ac:dyDescent="0.25">
      <c r="A70" s="1336">
        <v>2031</v>
      </c>
      <c r="B70" s="1337"/>
      <c r="C70" s="1338"/>
      <c r="D70" s="1336">
        <v>7</v>
      </c>
      <c r="E70" s="1337"/>
      <c r="F70" s="1338"/>
      <c r="G70" s="1330">
        <v>210.78320159146321</v>
      </c>
      <c r="H70" s="1331"/>
      <c r="I70" s="1332"/>
      <c r="J70" s="1330">
        <v>0</v>
      </c>
      <c r="K70" s="1331"/>
      <c r="L70" s="1332"/>
      <c r="M70" s="1330">
        <v>97.989515121115005</v>
      </c>
      <c r="N70" s="1331"/>
      <c r="O70" s="1332"/>
      <c r="P70" s="1333">
        <v>0.1755351745694794</v>
      </c>
      <c r="Q70" s="1334"/>
      <c r="R70" s="1335"/>
      <c r="S70" s="1333">
        <v>0.17624013510991907</v>
      </c>
      <c r="T70" s="1334"/>
      <c r="U70" s="1335"/>
      <c r="V70" s="1333">
        <v>0.1783550167312381</v>
      </c>
      <c r="W70" s="1334"/>
      <c r="X70" s="1335"/>
      <c r="Y70" s="1330">
        <v>1769</v>
      </c>
      <c r="Z70" s="1331"/>
      <c r="AA70" s="1332"/>
      <c r="AB70" s="1330">
        <v>0</v>
      </c>
      <c r="AC70" s="1331"/>
      <c r="AD70" s="1332"/>
      <c r="AE70" s="1330">
        <v>823</v>
      </c>
      <c r="AF70" s="1331"/>
      <c r="AG70" s="1332"/>
      <c r="AH70" s="1333">
        <v>1.3420000000000001</v>
      </c>
      <c r="AI70" s="1334"/>
      <c r="AJ70" s="1335"/>
      <c r="AK70" s="1333">
        <v>1.3480000000000001</v>
      </c>
      <c r="AL70" s="1334"/>
      <c r="AM70" s="1335"/>
      <c r="AN70" s="1333">
        <v>1.3640000000000001</v>
      </c>
      <c r="AO70" s="1334"/>
      <c r="AP70" s="1335"/>
    </row>
    <row r="71" spans="1:42" x14ac:dyDescent="0.25">
      <c r="A71" s="1336">
        <v>2032</v>
      </c>
      <c r="B71" s="1337"/>
      <c r="C71" s="1338"/>
      <c r="D71" s="1336">
        <v>8</v>
      </c>
      <c r="E71" s="1337"/>
      <c r="F71" s="1338"/>
      <c r="G71" s="1330">
        <v>198.85207697307848</v>
      </c>
      <c r="H71" s="1331"/>
      <c r="I71" s="1332"/>
      <c r="J71" s="1330">
        <v>0</v>
      </c>
      <c r="K71" s="1331"/>
      <c r="L71" s="1332"/>
      <c r="M71" s="1330">
        <v>92.442938793504709</v>
      </c>
      <c r="N71" s="1331"/>
      <c r="O71" s="1332"/>
      <c r="P71" s="1333">
        <v>0.17025462108731804</v>
      </c>
      <c r="Q71" s="1334"/>
      <c r="R71" s="1335"/>
      <c r="S71" s="1333">
        <v>0.1715847353145627</v>
      </c>
      <c r="T71" s="1334"/>
      <c r="U71" s="1335"/>
      <c r="V71" s="1333">
        <v>0.17357990665542972</v>
      </c>
      <c r="W71" s="1334"/>
      <c r="X71" s="1335"/>
      <c r="Y71" s="1330">
        <v>1968</v>
      </c>
      <c r="Z71" s="1331"/>
      <c r="AA71" s="1332"/>
      <c r="AB71" s="1330">
        <v>0</v>
      </c>
      <c r="AC71" s="1331"/>
      <c r="AD71" s="1332"/>
      <c r="AE71" s="1330">
        <v>915</v>
      </c>
      <c r="AF71" s="1331"/>
      <c r="AG71" s="1332"/>
      <c r="AH71" s="1333">
        <v>1.5129999999999999</v>
      </c>
      <c r="AI71" s="1334"/>
      <c r="AJ71" s="1335"/>
      <c r="AK71" s="1333">
        <v>1.52</v>
      </c>
      <c r="AL71" s="1334"/>
      <c r="AM71" s="1335"/>
      <c r="AN71" s="1333">
        <v>1.538</v>
      </c>
      <c r="AO71" s="1334"/>
      <c r="AP71" s="1335"/>
    </row>
    <row r="72" spans="1:42" x14ac:dyDescent="0.25">
      <c r="A72" s="1336">
        <v>2033</v>
      </c>
      <c r="B72" s="1337"/>
      <c r="C72" s="1338"/>
      <c r="D72" s="1336">
        <v>9</v>
      </c>
      <c r="E72" s="1337"/>
      <c r="F72" s="1338"/>
      <c r="G72" s="1330">
        <v>187.59629903120612</v>
      </c>
      <c r="H72" s="1331"/>
      <c r="I72" s="1332"/>
      <c r="J72" s="1330">
        <v>0</v>
      </c>
      <c r="K72" s="1331"/>
      <c r="L72" s="1332"/>
      <c r="M72" s="1330">
        <v>87.210319616513885</v>
      </c>
      <c r="N72" s="1331"/>
      <c r="O72" s="1332"/>
      <c r="P72" s="1333">
        <v>0.16563686603424221</v>
      </c>
      <c r="Q72" s="1334"/>
      <c r="R72" s="1335"/>
      <c r="S72" s="1333">
        <v>0.16689169077692587</v>
      </c>
      <c r="T72" s="1334"/>
      <c r="U72" s="1335"/>
      <c r="V72" s="1333">
        <v>0.16877392789095133</v>
      </c>
      <c r="W72" s="1334"/>
      <c r="X72" s="1335"/>
      <c r="Y72" s="1330">
        <v>2156</v>
      </c>
      <c r="Z72" s="1331"/>
      <c r="AA72" s="1332"/>
      <c r="AB72" s="1330">
        <v>0</v>
      </c>
      <c r="AC72" s="1331"/>
      <c r="AD72" s="1332"/>
      <c r="AE72" s="1330">
        <v>1002</v>
      </c>
      <c r="AF72" s="1331"/>
      <c r="AG72" s="1332"/>
      <c r="AH72" s="1333">
        <v>1.6779999999999999</v>
      </c>
      <c r="AI72" s="1334"/>
      <c r="AJ72" s="1335"/>
      <c r="AK72" s="1333">
        <v>1.6870000000000001</v>
      </c>
      <c r="AL72" s="1334"/>
      <c r="AM72" s="1335"/>
      <c r="AN72" s="1333">
        <v>1.7070000000000001</v>
      </c>
      <c r="AO72" s="1334"/>
      <c r="AP72" s="1335"/>
    </row>
    <row r="73" spans="1:42" x14ac:dyDescent="0.25">
      <c r="A73" s="1336">
        <v>2034</v>
      </c>
      <c r="B73" s="1337"/>
      <c r="C73" s="1338"/>
      <c r="D73" s="1336">
        <v>10</v>
      </c>
      <c r="E73" s="1337"/>
      <c r="F73" s="1338"/>
      <c r="G73" s="1330">
        <v>176.97764059547748</v>
      </c>
      <c r="H73" s="1331"/>
      <c r="I73" s="1332"/>
      <c r="J73" s="1330">
        <v>0</v>
      </c>
      <c r="K73" s="1331"/>
      <c r="L73" s="1332"/>
      <c r="M73" s="1330">
        <v>82.273886430673471</v>
      </c>
      <c r="N73" s="1331"/>
      <c r="O73" s="1332"/>
      <c r="P73" s="1333">
        <v>0.16099638208016681</v>
      </c>
      <c r="Q73" s="1334"/>
      <c r="R73" s="1335"/>
      <c r="S73" s="1333">
        <v>0.16218017900722687</v>
      </c>
      <c r="T73" s="1334"/>
      <c r="U73" s="1335"/>
      <c r="V73" s="1333">
        <v>0.16395587439781695</v>
      </c>
      <c r="W73" s="1334"/>
      <c r="X73" s="1335"/>
      <c r="Y73" s="1330">
        <v>2333</v>
      </c>
      <c r="Z73" s="1331"/>
      <c r="AA73" s="1332"/>
      <c r="AB73" s="1330">
        <v>0</v>
      </c>
      <c r="AC73" s="1331"/>
      <c r="AD73" s="1332"/>
      <c r="AE73" s="1330">
        <v>1084</v>
      </c>
      <c r="AF73" s="1331"/>
      <c r="AG73" s="1332"/>
      <c r="AH73" s="1333">
        <v>1.839</v>
      </c>
      <c r="AI73" s="1334"/>
      <c r="AJ73" s="1335"/>
      <c r="AK73" s="1333">
        <v>1.849</v>
      </c>
      <c r="AL73" s="1334"/>
      <c r="AM73" s="1335"/>
      <c r="AN73" s="1333">
        <v>1.871</v>
      </c>
      <c r="AO73" s="1334"/>
      <c r="AP73" s="1335"/>
    </row>
    <row r="74" spans="1:42" x14ac:dyDescent="0.25">
      <c r="A74" s="1336">
        <v>2035</v>
      </c>
      <c r="B74" s="1337"/>
      <c r="C74" s="1338"/>
      <c r="D74" s="1336">
        <v>11</v>
      </c>
      <c r="E74" s="1337"/>
      <c r="F74" s="1338"/>
      <c r="G74" s="1330">
        <v>166.96003829762026</v>
      </c>
      <c r="H74" s="1331"/>
      <c r="I74" s="1332"/>
      <c r="J74" s="1330">
        <v>0</v>
      </c>
      <c r="K74" s="1331"/>
      <c r="L74" s="1332"/>
      <c r="M74" s="1330">
        <v>77.616873991201388</v>
      </c>
      <c r="N74" s="1331"/>
      <c r="O74" s="1332"/>
      <c r="P74" s="1333">
        <v>0.15635053753623301</v>
      </c>
      <c r="Q74" s="1334"/>
      <c r="R74" s="1335"/>
      <c r="S74" s="1333">
        <v>0.15746732709006322</v>
      </c>
      <c r="T74" s="1334"/>
      <c r="U74" s="1335"/>
      <c r="V74" s="1333">
        <v>0.15914251142080857</v>
      </c>
      <c r="W74" s="1334"/>
      <c r="X74" s="1335"/>
      <c r="Y74" s="1330">
        <v>2500</v>
      </c>
      <c r="Z74" s="1331"/>
      <c r="AA74" s="1332"/>
      <c r="AB74" s="1330">
        <v>0</v>
      </c>
      <c r="AC74" s="1331"/>
      <c r="AD74" s="1332"/>
      <c r="AE74" s="1330">
        <v>1162</v>
      </c>
      <c r="AF74" s="1331"/>
      <c r="AG74" s="1332"/>
      <c r="AH74" s="1333">
        <v>1.996</v>
      </c>
      <c r="AI74" s="1334"/>
      <c r="AJ74" s="1335"/>
      <c r="AK74" s="1333">
        <v>2.0070000000000001</v>
      </c>
      <c r="AL74" s="1334"/>
      <c r="AM74" s="1335"/>
      <c r="AN74" s="1333">
        <v>2.0299999999999998</v>
      </c>
      <c r="AO74" s="1334"/>
      <c r="AP74" s="1335"/>
    </row>
    <row r="75" spans="1:42" x14ac:dyDescent="0.25">
      <c r="A75" s="1336">
        <v>2036</v>
      </c>
      <c r="B75" s="1337"/>
      <c r="C75" s="1338"/>
      <c r="D75" s="1336">
        <v>12</v>
      </c>
      <c r="E75" s="1337"/>
      <c r="F75" s="1338"/>
      <c r="G75" s="1330">
        <v>157.50947009209455</v>
      </c>
      <c r="H75" s="1331"/>
      <c r="I75" s="1332"/>
      <c r="J75" s="1330">
        <v>0</v>
      </c>
      <c r="K75" s="1331"/>
      <c r="L75" s="1332"/>
      <c r="M75" s="1330">
        <v>73.223466029435258</v>
      </c>
      <c r="N75" s="1331"/>
      <c r="O75" s="1332"/>
      <c r="P75" s="1333">
        <v>0.15171480731278672</v>
      </c>
      <c r="Q75" s="1334"/>
      <c r="R75" s="1335"/>
      <c r="S75" s="1333">
        <v>0.15276838236356996</v>
      </c>
      <c r="T75" s="1334"/>
      <c r="U75" s="1335"/>
      <c r="V75" s="1333">
        <v>0.15487553246513644</v>
      </c>
      <c r="W75" s="1334"/>
      <c r="X75" s="1335"/>
      <c r="Y75" s="1330">
        <v>2657</v>
      </c>
      <c r="Z75" s="1331"/>
      <c r="AA75" s="1332"/>
      <c r="AB75" s="1330">
        <v>0</v>
      </c>
      <c r="AC75" s="1331"/>
      <c r="AD75" s="1332"/>
      <c r="AE75" s="1330">
        <v>1235</v>
      </c>
      <c r="AF75" s="1331"/>
      <c r="AG75" s="1332"/>
      <c r="AH75" s="1333">
        <v>2.1469999999999998</v>
      </c>
      <c r="AI75" s="1334"/>
      <c r="AJ75" s="1335"/>
      <c r="AK75" s="1333">
        <v>2.1589999999999998</v>
      </c>
      <c r="AL75" s="1334"/>
      <c r="AM75" s="1335"/>
      <c r="AN75" s="1333">
        <v>2.1850000000000001</v>
      </c>
      <c r="AO75" s="1334"/>
      <c r="AP75" s="1335"/>
    </row>
    <row r="76" spans="1:42" x14ac:dyDescent="0.25">
      <c r="A76" s="1336">
        <v>2037</v>
      </c>
      <c r="B76" s="1337"/>
      <c r="C76" s="1338"/>
      <c r="D76" s="1336">
        <v>13</v>
      </c>
      <c r="E76" s="1337"/>
      <c r="F76" s="1338"/>
      <c r="G76" s="1330">
        <v>148.59383970952314</v>
      </c>
      <c r="H76" s="1331"/>
      <c r="I76" s="1332"/>
      <c r="J76" s="1330">
        <v>0</v>
      </c>
      <c r="K76" s="1331"/>
      <c r="L76" s="1332"/>
      <c r="M76" s="1330">
        <v>69.078741537203072</v>
      </c>
      <c r="N76" s="1331"/>
      <c r="O76" s="1332"/>
      <c r="P76" s="1333">
        <v>0.14759990098236914</v>
      </c>
      <c r="Q76" s="1334"/>
      <c r="R76" s="1335"/>
      <c r="S76" s="1333">
        <v>0.14859383970952314</v>
      </c>
      <c r="T76" s="1334"/>
      <c r="U76" s="1335"/>
      <c r="V76" s="1333">
        <v>0.15058171716383115</v>
      </c>
      <c r="W76" s="1334"/>
      <c r="X76" s="1335"/>
      <c r="Y76" s="1330">
        <v>2806</v>
      </c>
      <c r="Z76" s="1331"/>
      <c r="AA76" s="1332"/>
      <c r="AB76" s="1330">
        <v>0</v>
      </c>
      <c r="AC76" s="1331"/>
      <c r="AD76" s="1332"/>
      <c r="AE76" s="1330">
        <v>1304</v>
      </c>
      <c r="AF76" s="1331"/>
      <c r="AG76" s="1332"/>
      <c r="AH76" s="1333">
        <v>2.2949999999999999</v>
      </c>
      <c r="AI76" s="1334"/>
      <c r="AJ76" s="1335"/>
      <c r="AK76" s="1333">
        <v>2.3079999999999998</v>
      </c>
      <c r="AL76" s="1334"/>
      <c r="AM76" s="1335"/>
      <c r="AN76" s="1333">
        <v>2.335</v>
      </c>
      <c r="AO76" s="1334"/>
      <c r="AP76" s="1335"/>
    </row>
    <row r="77" spans="1:42" x14ac:dyDescent="0.25">
      <c r="A77" s="1336">
        <v>2038</v>
      </c>
      <c r="B77" s="1337"/>
      <c r="C77" s="1338"/>
      <c r="D77" s="1336">
        <v>14</v>
      </c>
      <c r="E77" s="1337"/>
      <c r="F77" s="1338"/>
      <c r="G77" s="1330">
        <v>140.18286765049353</v>
      </c>
      <c r="H77" s="1331"/>
      <c r="I77" s="1332"/>
      <c r="J77" s="1330">
        <v>0</v>
      </c>
      <c r="K77" s="1331"/>
      <c r="L77" s="1332"/>
      <c r="M77" s="1330">
        <v>65.168624091701005</v>
      </c>
      <c r="N77" s="1331"/>
      <c r="O77" s="1332"/>
      <c r="P77" s="1333">
        <v>0.1434647408061907</v>
      </c>
      <c r="Q77" s="1334"/>
      <c r="R77" s="1335"/>
      <c r="S77" s="1333">
        <v>0.14440241885067559</v>
      </c>
      <c r="T77" s="1334"/>
      <c r="U77" s="1335"/>
      <c r="V77" s="1333">
        <v>0.14627777493964542</v>
      </c>
      <c r="W77" s="1334"/>
      <c r="X77" s="1335"/>
      <c r="Y77" s="1330">
        <v>2946</v>
      </c>
      <c r="Z77" s="1331"/>
      <c r="AA77" s="1332"/>
      <c r="AB77" s="1330">
        <v>0</v>
      </c>
      <c r="AC77" s="1331"/>
      <c r="AD77" s="1332"/>
      <c r="AE77" s="1330">
        <v>1370</v>
      </c>
      <c r="AF77" s="1331"/>
      <c r="AG77" s="1332"/>
      <c r="AH77" s="1333">
        <v>2.4380000000000002</v>
      </c>
      <c r="AI77" s="1334"/>
      <c r="AJ77" s="1335"/>
      <c r="AK77" s="1333">
        <v>2.452</v>
      </c>
      <c r="AL77" s="1334"/>
      <c r="AM77" s="1335"/>
      <c r="AN77" s="1333">
        <v>2.4809999999999999</v>
      </c>
      <c r="AO77" s="1334"/>
      <c r="AP77" s="1335"/>
    </row>
    <row r="78" spans="1:42" x14ac:dyDescent="0.25">
      <c r="A78" s="1336">
        <v>2039</v>
      </c>
      <c r="B78" s="1337"/>
      <c r="C78" s="1338"/>
      <c r="D78" s="1336">
        <v>15</v>
      </c>
      <c r="E78" s="1337"/>
      <c r="F78" s="1338"/>
      <c r="G78" s="1330">
        <v>132.24798834952219</v>
      </c>
      <c r="H78" s="1331"/>
      <c r="I78" s="1332"/>
      <c r="J78" s="1330">
        <v>0</v>
      </c>
      <c r="K78" s="1331"/>
      <c r="L78" s="1332"/>
      <c r="M78" s="1330">
        <v>61.479834048774535</v>
      </c>
      <c r="N78" s="1331"/>
      <c r="O78" s="1332"/>
      <c r="P78" s="1333">
        <v>0.13932480377959697</v>
      </c>
      <c r="Q78" s="1334"/>
      <c r="R78" s="1335"/>
      <c r="S78" s="1333">
        <v>0.1402094057083563</v>
      </c>
      <c r="T78" s="1334"/>
      <c r="U78" s="1335"/>
      <c r="V78" s="1333">
        <v>0.14197860956587499</v>
      </c>
      <c r="W78" s="1334"/>
      <c r="X78" s="1335"/>
      <c r="Y78" s="1330">
        <v>3078</v>
      </c>
      <c r="Z78" s="1331"/>
      <c r="AA78" s="1332"/>
      <c r="AB78" s="1330">
        <v>0</v>
      </c>
      <c r="AC78" s="1331"/>
      <c r="AD78" s="1332"/>
      <c r="AE78" s="1330">
        <v>1431</v>
      </c>
      <c r="AF78" s="1331"/>
      <c r="AG78" s="1332"/>
      <c r="AH78" s="1333">
        <v>2.5779999999999998</v>
      </c>
      <c r="AI78" s="1334"/>
      <c r="AJ78" s="1335"/>
      <c r="AK78" s="1333">
        <v>2.5920000000000001</v>
      </c>
      <c r="AL78" s="1334"/>
      <c r="AM78" s="1335"/>
      <c r="AN78" s="1333">
        <v>2.6230000000000002</v>
      </c>
      <c r="AO78" s="1334"/>
      <c r="AP78" s="1335"/>
    </row>
    <row r="79" spans="1:42" x14ac:dyDescent="0.25">
      <c r="A79" s="1336">
        <v>2040</v>
      </c>
      <c r="B79" s="1337"/>
      <c r="C79" s="1338"/>
      <c r="D79" s="1336">
        <v>16</v>
      </c>
      <c r="E79" s="1337"/>
      <c r="F79" s="1338"/>
      <c r="G79" s="1330">
        <v>124.76225315992656</v>
      </c>
      <c r="H79" s="1331"/>
      <c r="I79" s="1332"/>
      <c r="J79" s="1330">
        <v>0</v>
      </c>
      <c r="K79" s="1331"/>
      <c r="L79" s="1332"/>
      <c r="M79" s="1330">
        <v>57.999843442240106</v>
      </c>
      <c r="N79" s="1331"/>
      <c r="O79" s="1332"/>
      <c r="P79" s="1333">
        <v>0.13519387967831509</v>
      </c>
      <c r="Q79" s="1334"/>
      <c r="R79" s="1335"/>
      <c r="S79" s="1333">
        <v>0.1364456748605217</v>
      </c>
      <c r="T79" s="1334"/>
      <c r="U79" s="1335"/>
      <c r="V79" s="1333">
        <v>0.13811473510346386</v>
      </c>
      <c r="W79" s="1334"/>
      <c r="X79" s="1335"/>
      <c r="Y79" s="1330">
        <v>3203</v>
      </c>
      <c r="Z79" s="1331"/>
      <c r="AA79" s="1332"/>
      <c r="AB79" s="1330">
        <v>0</v>
      </c>
      <c r="AC79" s="1331"/>
      <c r="AD79" s="1332"/>
      <c r="AE79" s="1330">
        <v>1489</v>
      </c>
      <c r="AF79" s="1331"/>
      <c r="AG79" s="1332"/>
      <c r="AH79" s="1333">
        <v>2.7130000000000001</v>
      </c>
      <c r="AI79" s="1334"/>
      <c r="AJ79" s="1335"/>
      <c r="AK79" s="1333">
        <v>2.7290000000000001</v>
      </c>
      <c r="AL79" s="1334"/>
      <c r="AM79" s="1335"/>
      <c r="AN79" s="1333">
        <v>2.7610000000000001</v>
      </c>
      <c r="AO79" s="1334"/>
      <c r="AP79" s="1335"/>
    </row>
    <row r="80" spans="1:42" x14ac:dyDescent="0.25">
      <c r="A80" s="1336">
        <v>2041</v>
      </c>
      <c r="B80" s="1337"/>
      <c r="C80" s="1338"/>
      <c r="D80" s="1336">
        <v>17</v>
      </c>
      <c r="E80" s="1337"/>
      <c r="F80" s="1338"/>
      <c r="G80" s="1330">
        <v>117.70023883011943</v>
      </c>
      <c r="H80" s="1331"/>
      <c r="I80" s="1332"/>
      <c r="J80" s="1330">
        <v>0</v>
      </c>
      <c r="K80" s="1331"/>
      <c r="L80" s="1332"/>
      <c r="M80" s="1330">
        <v>54.716833436075589</v>
      </c>
      <c r="N80" s="1331"/>
      <c r="O80" s="1332"/>
      <c r="P80" s="1333">
        <v>0.13147785876006654</v>
      </c>
      <c r="Q80" s="1334"/>
      <c r="R80" s="1335"/>
      <c r="S80" s="1333">
        <v>0.13265879761120486</v>
      </c>
      <c r="T80" s="1334"/>
      <c r="U80" s="1335"/>
      <c r="V80" s="1333">
        <v>0.13423338274605595</v>
      </c>
      <c r="W80" s="1334"/>
      <c r="X80" s="1335"/>
      <c r="Y80" s="1330">
        <v>3321</v>
      </c>
      <c r="Z80" s="1331"/>
      <c r="AA80" s="1332"/>
      <c r="AB80" s="1330">
        <v>0</v>
      </c>
      <c r="AC80" s="1331"/>
      <c r="AD80" s="1332"/>
      <c r="AE80" s="1330">
        <v>1544</v>
      </c>
      <c r="AF80" s="1331"/>
      <c r="AG80" s="1332"/>
      <c r="AH80" s="1333">
        <v>2.8439999999999999</v>
      </c>
      <c r="AI80" s="1334"/>
      <c r="AJ80" s="1335"/>
      <c r="AK80" s="1333">
        <v>2.8620000000000001</v>
      </c>
      <c r="AL80" s="1334"/>
      <c r="AM80" s="1335"/>
      <c r="AN80" s="1333">
        <v>2.8959999999999999</v>
      </c>
      <c r="AO80" s="1334"/>
      <c r="AP80" s="1335"/>
    </row>
    <row r="81" spans="1:42" x14ac:dyDescent="0.25">
      <c r="A81" s="1336">
        <v>2042</v>
      </c>
      <c r="B81" s="1337"/>
      <c r="C81" s="1338"/>
      <c r="D81" s="1336">
        <v>18</v>
      </c>
      <c r="E81" s="1337"/>
      <c r="F81" s="1338"/>
      <c r="G81" s="1330">
        <v>111.03796116049001</v>
      </c>
      <c r="H81" s="1331"/>
      <c r="I81" s="1332"/>
      <c r="J81" s="1330">
        <v>0</v>
      </c>
      <c r="K81" s="1331"/>
      <c r="L81" s="1332"/>
      <c r="M81" s="1330">
        <v>51.619654184976966</v>
      </c>
      <c r="N81" s="1331"/>
      <c r="O81" s="1332"/>
      <c r="P81" s="1333">
        <v>0.12774935999735304</v>
      </c>
      <c r="Q81" s="1334"/>
      <c r="R81" s="1335"/>
      <c r="S81" s="1333">
        <v>0.12886345325314391</v>
      </c>
      <c r="T81" s="1334"/>
      <c r="U81" s="1335"/>
      <c r="V81" s="1333">
        <v>0.13034891092753176</v>
      </c>
      <c r="W81" s="1334"/>
      <c r="X81" s="1335"/>
      <c r="Y81" s="1330">
        <v>3432</v>
      </c>
      <c r="Z81" s="1331"/>
      <c r="AA81" s="1332"/>
      <c r="AB81" s="1330">
        <v>0</v>
      </c>
      <c r="AC81" s="1331"/>
      <c r="AD81" s="1332"/>
      <c r="AE81" s="1330">
        <v>1595</v>
      </c>
      <c r="AF81" s="1331"/>
      <c r="AG81" s="1332"/>
      <c r="AH81" s="1333">
        <v>2.972</v>
      </c>
      <c r="AI81" s="1334"/>
      <c r="AJ81" s="1335"/>
      <c r="AK81" s="1333">
        <v>2.99</v>
      </c>
      <c r="AL81" s="1334"/>
      <c r="AM81" s="1335"/>
      <c r="AN81" s="1333">
        <v>3.0259999999999998</v>
      </c>
      <c r="AO81" s="1334"/>
      <c r="AP81" s="1335"/>
    </row>
    <row r="82" spans="1:42" x14ac:dyDescent="0.25">
      <c r="A82" s="1336">
        <v>2043</v>
      </c>
      <c r="B82" s="1337"/>
      <c r="C82" s="1338"/>
      <c r="D82" s="1336">
        <v>19</v>
      </c>
      <c r="E82" s="1337"/>
      <c r="F82" s="1338"/>
      <c r="G82" s="1330">
        <v>104.75279354763209</v>
      </c>
      <c r="H82" s="1331"/>
      <c r="I82" s="1332"/>
      <c r="J82" s="1330">
        <v>0</v>
      </c>
      <c r="K82" s="1331"/>
      <c r="L82" s="1332"/>
      <c r="M82" s="1330">
        <v>48.697786966959399</v>
      </c>
      <c r="N82" s="1331"/>
      <c r="O82" s="1332"/>
      <c r="P82" s="1333">
        <v>0.12402170205973832</v>
      </c>
      <c r="Q82" s="1334"/>
      <c r="R82" s="1335"/>
      <c r="S82" s="1333">
        <v>0.12507273343312594</v>
      </c>
      <c r="T82" s="1334"/>
      <c r="U82" s="1335"/>
      <c r="V82" s="1333">
        <v>0.12682445238877196</v>
      </c>
      <c r="W82" s="1334"/>
      <c r="X82" s="1335"/>
      <c r="Y82" s="1330">
        <v>3536</v>
      </c>
      <c r="Z82" s="1331"/>
      <c r="AA82" s="1332"/>
      <c r="AB82" s="1330">
        <v>0</v>
      </c>
      <c r="AC82" s="1331"/>
      <c r="AD82" s="1332"/>
      <c r="AE82" s="1330">
        <v>1644</v>
      </c>
      <c r="AF82" s="1331"/>
      <c r="AG82" s="1332"/>
      <c r="AH82" s="1333">
        <v>3.0960000000000001</v>
      </c>
      <c r="AI82" s="1334"/>
      <c r="AJ82" s="1335"/>
      <c r="AK82" s="1333">
        <v>3.1160000000000001</v>
      </c>
      <c r="AL82" s="1334"/>
      <c r="AM82" s="1335"/>
      <c r="AN82" s="1333">
        <v>3.153</v>
      </c>
      <c r="AO82" s="1334"/>
      <c r="AP82" s="1335"/>
    </row>
    <row r="83" spans="1:42" x14ac:dyDescent="0.25">
      <c r="A83" s="1336">
        <v>2044</v>
      </c>
      <c r="B83" s="1337"/>
      <c r="C83" s="1338"/>
      <c r="D83" s="1336">
        <v>20</v>
      </c>
      <c r="E83" s="1337"/>
      <c r="F83" s="1338"/>
      <c r="G83" s="1330">
        <v>98.823390139275546</v>
      </c>
      <c r="H83" s="1331"/>
      <c r="I83" s="1332"/>
      <c r="J83" s="1330">
        <v>0</v>
      </c>
      <c r="K83" s="1331"/>
      <c r="L83" s="1332"/>
      <c r="M83" s="1330">
        <v>45.941308459395657</v>
      </c>
      <c r="N83" s="1331"/>
      <c r="O83" s="1332"/>
      <c r="P83" s="1333">
        <v>0.120637248832226</v>
      </c>
      <c r="Q83" s="1334"/>
      <c r="R83" s="1335"/>
      <c r="S83" s="1333">
        <v>0.12162878786372375</v>
      </c>
      <c r="T83" s="1334"/>
      <c r="U83" s="1335"/>
      <c r="V83" s="1333">
        <v>0.12328135291622</v>
      </c>
      <c r="W83" s="1334"/>
      <c r="X83" s="1335"/>
      <c r="Y83" s="1330">
        <v>3635</v>
      </c>
      <c r="Z83" s="1331"/>
      <c r="AA83" s="1332"/>
      <c r="AB83" s="1330">
        <v>0</v>
      </c>
      <c r="AC83" s="1331"/>
      <c r="AD83" s="1332"/>
      <c r="AE83" s="1330">
        <v>1690</v>
      </c>
      <c r="AF83" s="1331"/>
      <c r="AG83" s="1332"/>
      <c r="AH83" s="1333">
        <v>3.2170000000000001</v>
      </c>
      <c r="AI83" s="1334"/>
      <c r="AJ83" s="1335"/>
      <c r="AK83" s="1333">
        <v>3.2370000000000001</v>
      </c>
      <c r="AL83" s="1334"/>
      <c r="AM83" s="1335"/>
      <c r="AN83" s="1333">
        <v>3.2759999999999998</v>
      </c>
      <c r="AO83" s="1334"/>
      <c r="AP83" s="1335"/>
    </row>
    <row r="84" spans="1:42" x14ac:dyDescent="0.25">
      <c r="A84" s="1336">
        <v>2045</v>
      </c>
      <c r="B84" s="1337"/>
      <c r="C84" s="1338"/>
      <c r="D84" s="1336">
        <v>21</v>
      </c>
      <c r="E84" s="1337"/>
      <c r="F84" s="1338"/>
      <c r="G84" s="1330">
        <v>93.229613338939203</v>
      </c>
      <c r="H84" s="1331"/>
      <c r="I84" s="1332"/>
      <c r="J84" s="1330">
        <v>0</v>
      </c>
      <c r="K84" s="1331"/>
      <c r="L84" s="1332"/>
      <c r="M84" s="1330">
        <v>43.340857037165712</v>
      </c>
      <c r="N84" s="1331"/>
      <c r="O84" s="1332"/>
      <c r="P84" s="1333">
        <v>0.11723857730916769</v>
      </c>
      <c r="Q84" s="1334"/>
      <c r="R84" s="1335"/>
      <c r="S84" s="1333">
        <v>0.11817399148982594</v>
      </c>
      <c r="T84" s="1334"/>
      <c r="U84" s="1335"/>
      <c r="V84" s="1333">
        <v>0.11973301512425637</v>
      </c>
      <c r="W84" s="1334"/>
      <c r="X84" s="1335"/>
      <c r="Y84" s="1330">
        <v>3729</v>
      </c>
      <c r="Z84" s="1331"/>
      <c r="AA84" s="1332"/>
      <c r="AB84" s="1330">
        <v>0</v>
      </c>
      <c r="AC84" s="1331"/>
      <c r="AD84" s="1332"/>
      <c r="AE84" s="1330">
        <v>1733</v>
      </c>
      <c r="AF84" s="1331"/>
      <c r="AG84" s="1332"/>
      <c r="AH84" s="1333">
        <v>3.3340000000000001</v>
      </c>
      <c r="AI84" s="1334"/>
      <c r="AJ84" s="1335"/>
      <c r="AK84" s="1333">
        <v>3.355</v>
      </c>
      <c r="AL84" s="1334"/>
      <c r="AM84" s="1335"/>
      <c r="AN84" s="1333">
        <v>3.3959999999999999</v>
      </c>
      <c r="AO84" s="1334"/>
      <c r="AP84" s="1335"/>
    </row>
    <row r="85" spans="1:42" x14ac:dyDescent="0.25">
      <c r="A85" s="1336">
        <v>2046</v>
      </c>
      <c r="B85" s="1337"/>
      <c r="C85" s="1338"/>
      <c r="D85" s="1336">
        <v>22</v>
      </c>
      <c r="E85" s="1337"/>
      <c r="F85" s="1338"/>
      <c r="G85" s="1330">
        <v>87.952465414093567</v>
      </c>
      <c r="H85" s="1331"/>
      <c r="I85" s="1332"/>
      <c r="J85" s="1330">
        <v>0</v>
      </c>
      <c r="K85" s="1331"/>
      <c r="L85" s="1332"/>
      <c r="M85" s="1330">
        <v>40.88760097845821</v>
      </c>
      <c r="N85" s="1331"/>
      <c r="O85" s="1332"/>
      <c r="P85" s="1333">
        <v>0.11383814085369301</v>
      </c>
      <c r="Q85" s="1334"/>
      <c r="R85" s="1335"/>
      <c r="S85" s="1333">
        <v>0.11472060706186117</v>
      </c>
      <c r="T85" s="1334"/>
      <c r="U85" s="1335"/>
      <c r="V85" s="1333">
        <v>0.11648553947819751</v>
      </c>
      <c r="W85" s="1334"/>
      <c r="X85" s="1335"/>
      <c r="Y85" s="1330">
        <v>3816</v>
      </c>
      <c r="Z85" s="1331"/>
      <c r="AA85" s="1332"/>
      <c r="AB85" s="1330">
        <v>0</v>
      </c>
      <c r="AC85" s="1331"/>
      <c r="AD85" s="1332"/>
      <c r="AE85" s="1330">
        <v>1774</v>
      </c>
      <c r="AF85" s="1331"/>
      <c r="AG85" s="1332"/>
      <c r="AH85" s="1333">
        <v>3.448</v>
      </c>
      <c r="AI85" s="1334"/>
      <c r="AJ85" s="1335"/>
      <c r="AK85" s="1333">
        <v>3.47</v>
      </c>
      <c r="AL85" s="1334"/>
      <c r="AM85" s="1335"/>
      <c r="AN85" s="1333">
        <v>3.512</v>
      </c>
      <c r="AO85" s="1334"/>
      <c r="AP85" s="1335"/>
    </row>
    <row r="86" spans="1:42" x14ac:dyDescent="0.25">
      <c r="A86" s="1336">
        <v>2047</v>
      </c>
      <c r="B86" s="1337"/>
      <c r="C86" s="1338"/>
      <c r="D86" s="1336">
        <v>23</v>
      </c>
      <c r="E86" s="1337"/>
      <c r="F86" s="1338"/>
      <c r="G86" s="1330">
        <v>82.974023975559959</v>
      </c>
      <c r="H86" s="1331"/>
      <c r="I86" s="1332"/>
      <c r="J86" s="1330">
        <v>0</v>
      </c>
      <c r="K86" s="1331"/>
      <c r="L86" s="1332"/>
      <c r="M86" s="1330">
        <v>38.573208470243593</v>
      </c>
      <c r="N86" s="1331"/>
      <c r="O86" s="1332"/>
      <c r="P86" s="1333">
        <v>0.1107245336663827</v>
      </c>
      <c r="Q86" s="1334"/>
      <c r="R86" s="1335"/>
      <c r="S86" s="1333">
        <v>0.11155704895710739</v>
      </c>
      <c r="T86" s="1334"/>
      <c r="U86" s="1335"/>
      <c r="V86" s="1333">
        <v>0.11322207953855673</v>
      </c>
      <c r="W86" s="1334"/>
      <c r="X86" s="1335"/>
      <c r="Y86" s="1330">
        <v>3899</v>
      </c>
      <c r="Z86" s="1331"/>
      <c r="AA86" s="1332"/>
      <c r="AB86" s="1330">
        <v>0</v>
      </c>
      <c r="AC86" s="1331"/>
      <c r="AD86" s="1332"/>
      <c r="AE86" s="1330">
        <v>1813</v>
      </c>
      <c r="AF86" s="1331"/>
      <c r="AG86" s="1332"/>
      <c r="AH86" s="1333">
        <v>3.5590000000000002</v>
      </c>
      <c r="AI86" s="1334"/>
      <c r="AJ86" s="1335"/>
      <c r="AK86" s="1333">
        <v>3.5819999999999999</v>
      </c>
      <c r="AL86" s="1334"/>
      <c r="AM86" s="1335"/>
      <c r="AN86" s="1333">
        <v>3.6259999999999999</v>
      </c>
      <c r="AO86" s="1334"/>
      <c r="AP86" s="1335"/>
    </row>
    <row r="87" spans="1:42" x14ac:dyDescent="0.25">
      <c r="A87" s="1336">
        <v>2048</v>
      </c>
      <c r="B87" s="1337"/>
      <c r="C87" s="1338"/>
      <c r="D87" s="1336">
        <v>24</v>
      </c>
      <c r="E87" s="1337"/>
      <c r="F87" s="1338"/>
      <c r="G87" s="1330">
        <v>78.277381109018819</v>
      </c>
      <c r="H87" s="1331"/>
      <c r="I87" s="1332"/>
      <c r="J87" s="1330">
        <v>0</v>
      </c>
      <c r="K87" s="1331"/>
      <c r="L87" s="1332"/>
      <c r="M87" s="1330">
        <v>36.389819311550553</v>
      </c>
      <c r="N87" s="1331"/>
      <c r="O87" s="1332"/>
      <c r="P87" s="1333">
        <v>0.1075986743672466</v>
      </c>
      <c r="Q87" s="1334"/>
      <c r="R87" s="1335"/>
      <c r="S87" s="1333">
        <v>0.10838406615094913</v>
      </c>
      <c r="T87" s="1334"/>
      <c r="U87" s="1335"/>
      <c r="V87" s="1333">
        <v>0.1099548497183542</v>
      </c>
      <c r="W87" s="1334"/>
      <c r="X87" s="1335"/>
      <c r="Y87" s="1330">
        <v>3978</v>
      </c>
      <c r="Z87" s="1331"/>
      <c r="AA87" s="1332"/>
      <c r="AB87" s="1330">
        <v>0</v>
      </c>
      <c r="AC87" s="1331"/>
      <c r="AD87" s="1332"/>
      <c r="AE87" s="1330">
        <v>1849</v>
      </c>
      <c r="AF87" s="1331"/>
      <c r="AG87" s="1332"/>
      <c r="AH87" s="1333">
        <v>3.6659999999999999</v>
      </c>
      <c r="AI87" s="1334"/>
      <c r="AJ87" s="1335"/>
      <c r="AK87" s="1333">
        <v>3.69</v>
      </c>
      <c r="AL87" s="1334"/>
      <c r="AM87" s="1335"/>
      <c r="AN87" s="1333">
        <v>3.7360000000000002</v>
      </c>
      <c r="AO87" s="1334"/>
      <c r="AP87" s="1335"/>
    </row>
    <row r="88" spans="1:42" x14ac:dyDescent="0.25">
      <c r="A88" s="1336">
        <v>2049</v>
      </c>
      <c r="B88" s="1337"/>
      <c r="C88" s="1338"/>
      <c r="D88" s="1336">
        <v>25</v>
      </c>
      <c r="E88" s="1337"/>
      <c r="F88" s="1338"/>
      <c r="G88" s="1330">
        <v>73.846585951904558</v>
      </c>
      <c r="H88" s="1331"/>
      <c r="I88" s="1332"/>
      <c r="J88" s="1330">
        <v>0</v>
      </c>
      <c r="K88" s="1331"/>
      <c r="L88" s="1332"/>
      <c r="M88" s="1330">
        <v>34.330018218443925</v>
      </c>
      <c r="N88" s="1331"/>
      <c r="O88" s="1332"/>
      <c r="P88" s="1333">
        <v>0.10447192594533655</v>
      </c>
      <c r="Q88" s="1334"/>
      <c r="R88" s="1335"/>
      <c r="S88" s="1333">
        <v>0.10521286159033894</v>
      </c>
      <c r="T88" s="1334"/>
      <c r="U88" s="1335"/>
      <c r="V88" s="1333">
        <v>0.10694171142867784</v>
      </c>
      <c r="W88" s="1334"/>
      <c r="X88" s="1335"/>
      <c r="Y88" s="1330">
        <v>4052</v>
      </c>
      <c r="Z88" s="1331"/>
      <c r="AA88" s="1332"/>
      <c r="AB88" s="1330">
        <v>0</v>
      </c>
      <c r="AC88" s="1331"/>
      <c r="AD88" s="1332"/>
      <c r="AE88" s="1330">
        <v>1883</v>
      </c>
      <c r="AF88" s="1331"/>
      <c r="AG88" s="1332"/>
      <c r="AH88" s="1333">
        <v>3.7709999999999999</v>
      </c>
      <c r="AI88" s="1334"/>
      <c r="AJ88" s="1335"/>
      <c r="AK88" s="1333">
        <v>3.7949999999999999</v>
      </c>
      <c r="AL88" s="1334"/>
      <c r="AM88" s="1335"/>
      <c r="AN88" s="1333">
        <v>3.8420000000000001</v>
      </c>
      <c r="AO88" s="1334"/>
      <c r="AP88" s="1335"/>
    </row>
    <row r="89" spans="1:42" x14ac:dyDescent="0.25">
      <c r="A89" s="602"/>
      <c r="B89" s="602"/>
      <c r="C89" s="602"/>
      <c r="D89" s="602"/>
      <c r="E89" s="602"/>
      <c r="F89" s="602"/>
      <c r="G89" s="602"/>
      <c r="H89" s="602"/>
      <c r="I89" s="602"/>
      <c r="J89" s="602"/>
      <c r="K89" s="602"/>
      <c r="L89" s="602"/>
      <c r="M89" s="602"/>
      <c r="N89" s="602"/>
      <c r="O89" s="602"/>
      <c r="P89" s="602"/>
      <c r="Q89" s="602"/>
      <c r="R89" s="602"/>
      <c r="S89" s="602"/>
      <c r="T89" s="602"/>
      <c r="U89" s="602"/>
      <c r="V89" s="602"/>
      <c r="W89" s="602"/>
      <c r="X89" s="602"/>
      <c r="Y89" s="602"/>
      <c r="Z89" s="602"/>
      <c r="AA89" s="602"/>
      <c r="AB89" s="602"/>
      <c r="AC89" s="602"/>
      <c r="AD89" s="602"/>
      <c r="AE89" s="408"/>
      <c r="AF89" s="408"/>
    </row>
    <row r="90" spans="1:42" x14ac:dyDescent="0.25">
      <c r="A90" s="462" t="s">
        <v>7270</v>
      </c>
      <c r="B90" s="462"/>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c r="AA90" s="462"/>
      <c r="AB90" s="462"/>
      <c r="AC90" s="462"/>
      <c r="AD90" s="462"/>
      <c r="AE90" s="462"/>
      <c r="AF90" s="462"/>
    </row>
    <row r="91" spans="1:42" x14ac:dyDescent="0.25">
      <c r="A91" s="462"/>
      <c r="B91" s="462"/>
      <c r="C91" s="462"/>
      <c r="D91" s="462"/>
      <c r="E91" s="462"/>
      <c r="F91" s="462"/>
      <c r="G91" s="462"/>
      <c r="H91" s="462"/>
      <c r="I91" s="462"/>
      <c r="J91" s="462"/>
      <c r="K91" s="462"/>
      <c r="L91" s="462"/>
      <c r="M91" s="462"/>
      <c r="N91" s="462"/>
      <c r="O91" s="462"/>
      <c r="P91" s="462"/>
      <c r="Q91" s="462"/>
      <c r="R91" s="462"/>
      <c r="S91" s="462"/>
      <c r="T91" s="462"/>
      <c r="U91" s="462"/>
      <c r="V91" s="462"/>
      <c r="W91" s="462"/>
      <c r="X91" s="462"/>
      <c r="Y91" s="462"/>
      <c r="Z91" s="462"/>
      <c r="AA91" s="462"/>
      <c r="AB91" s="462"/>
      <c r="AC91" s="462"/>
      <c r="AD91" s="462"/>
      <c r="AE91" s="462"/>
      <c r="AF91" s="462"/>
    </row>
    <row r="92" spans="1:42" ht="25.5" customHeight="1" x14ac:dyDescent="0.25">
      <c r="A92" s="765"/>
      <c r="B92" s="765"/>
      <c r="C92" s="765"/>
      <c r="D92" s="765"/>
      <c r="E92" s="765"/>
      <c r="F92" s="765"/>
      <c r="G92" s="765"/>
      <c r="H92" s="766"/>
      <c r="I92" s="766"/>
      <c r="J92" s="766"/>
      <c r="K92" s="1207" t="s">
        <v>1020</v>
      </c>
      <c r="L92" s="1208"/>
      <c r="M92" s="1208"/>
      <c r="N92" s="1209"/>
      <c r="O92" s="767"/>
      <c r="P92" s="768"/>
      <c r="Q92" s="768"/>
      <c r="R92" s="768"/>
      <c r="S92" s="768"/>
      <c r="T92" s="768"/>
      <c r="U92" s="769"/>
      <c r="V92" s="769"/>
      <c r="W92" s="769"/>
      <c r="X92" s="769"/>
      <c r="Y92" s="769"/>
      <c r="Z92" s="765"/>
      <c r="AA92" s="765"/>
      <c r="AB92" s="765"/>
      <c r="AC92" s="765"/>
      <c r="AD92" s="765"/>
      <c r="AE92" s="765"/>
      <c r="AF92" s="770"/>
      <c r="AG92" s="771"/>
      <c r="AH92" s="771"/>
      <c r="AI92" s="771"/>
      <c r="AJ92" s="771"/>
      <c r="AK92" s="771"/>
      <c r="AL92" s="771"/>
      <c r="AM92" s="771"/>
      <c r="AN92" s="771"/>
      <c r="AO92" s="771"/>
      <c r="AP92" s="771"/>
    </row>
    <row r="93" spans="1:42" x14ac:dyDescent="0.25">
      <c r="A93" s="772"/>
      <c r="B93" s="772"/>
      <c r="C93" s="772"/>
      <c r="D93" s="772"/>
      <c r="E93" s="772"/>
      <c r="F93" s="772"/>
      <c r="G93" s="772"/>
      <c r="H93" s="773"/>
      <c r="I93" s="773"/>
      <c r="J93" s="773"/>
      <c r="K93" s="1210">
        <v>0.06</v>
      </c>
      <c r="L93" s="1211"/>
      <c r="M93" s="1211"/>
      <c r="N93" s="1212"/>
      <c r="O93" s="774"/>
      <c r="P93" s="775"/>
      <c r="Q93" s="775"/>
      <c r="R93" s="775"/>
      <c r="S93" s="775"/>
      <c r="T93" s="775"/>
      <c r="U93" s="776"/>
      <c r="V93" s="776"/>
      <c r="W93" s="776"/>
      <c r="X93" s="776"/>
      <c r="Y93" s="776"/>
      <c r="Z93" s="772"/>
      <c r="AA93" s="772"/>
      <c r="AB93" s="772"/>
      <c r="AC93" s="772"/>
      <c r="AD93" s="772"/>
      <c r="AE93" s="772"/>
      <c r="AF93" s="777"/>
      <c r="AG93" s="771"/>
      <c r="AH93" s="771"/>
      <c r="AI93" s="771"/>
      <c r="AJ93" s="771"/>
      <c r="AK93" s="771"/>
      <c r="AL93" s="771"/>
      <c r="AM93" s="771"/>
      <c r="AN93" s="771"/>
      <c r="AO93" s="771"/>
      <c r="AP93" s="771"/>
    </row>
    <row r="94" spans="1:42" x14ac:dyDescent="0.25">
      <c r="A94" s="772"/>
      <c r="B94" s="772"/>
      <c r="C94" s="772"/>
      <c r="D94" s="772"/>
      <c r="E94" s="772"/>
      <c r="F94" s="772"/>
      <c r="G94" s="772"/>
      <c r="H94" s="773"/>
      <c r="I94" s="773"/>
      <c r="J94" s="773"/>
      <c r="K94" s="773"/>
      <c r="L94" s="773"/>
      <c r="M94" s="778"/>
      <c r="N94" s="778"/>
      <c r="O94" s="778"/>
      <c r="P94" s="778"/>
      <c r="Q94" s="778"/>
      <c r="R94" s="778"/>
      <c r="S94" s="778"/>
      <c r="T94" s="778"/>
      <c r="U94" s="778"/>
      <c r="V94" s="778"/>
      <c r="W94" s="778"/>
      <c r="X94" s="778"/>
      <c r="Y94" s="778"/>
      <c r="Z94" s="778"/>
      <c r="AA94" s="778"/>
      <c r="AB94" s="778"/>
      <c r="AC94" s="778"/>
      <c r="AD94" s="778"/>
      <c r="AE94" s="772"/>
      <c r="AF94" s="772"/>
      <c r="AG94" s="772"/>
      <c r="AH94" s="772"/>
      <c r="AI94" s="772"/>
      <c r="AJ94" s="772"/>
      <c r="AK94" s="772"/>
      <c r="AL94" s="772"/>
      <c r="AM94" s="772"/>
      <c r="AN94" s="777"/>
      <c r="AO94" s="771"/>
      <c r="AP94" s="771"/>
    </row>
    <row r="95" spans="1:42" ht="38.25" customHeight="1" x14ac:dyDescent="0.25">
      <c r="A95" s="192"/>
      <c r="B95" s="192"/>
      <c r="C95" s="192"/>
      <c r="D95" s="192"/>
      <c r="E95" s="192"/>
      <c r="F95" s="192"/>
      <c r="G95" s="1213" t="s">
        <v>3525</v>
      </c>
      <c r="H95" s="1214"/>
      <c r="I95" s="1214"/>
      <c r="J95" s="1214"/>
      <c r="K95" s="1214"/>
      <c r="L95" s="1214"/>
      <c r="M95" s="1214"/>
      <c r="N95" s="1214"/>
      <c r="O95" s="1215"/>
      <c r="P95" s="1213" t="s">
        <v>3528</v>
      </c>
      <c r="Q95" s="1214"/>
      <c r="R95" s="1214"/>
      <c r="S95" s="1214"/>
      <c r="T95" s="1214"/>
      <c r="U95" s="1214"/>
      <c r="V95" s="1214"/>
      <c r="W95" s="1214"/>
      <c r="X95" s="1215"/>
      <c r="Y95" s="1207" t="s">
        <v>3529</v>
      </c>
      <c r="Z95" s="1208"/>
      <c r="AA95" s="1208"/>
      <c r="AB95" s="1208"/>
      <c r="AC95" s="1208"/>
      <c r="AD95" s="1208"/>
      <c r="AE95" s="1208"/>
      <c r="AF95" s="1208"/>
      <c r="AG95" s="1209"/>
      <c r="AH95" s="1207" t="s">
        <v>3530</v>
      </c>
      <c r="AI95" s="1208"/>
      <c r="AJ95" s="1208"/>
      <c r="AK95" s="1208"/>
      <c r="AL95" s="1208"/>
      <c r="AM95" s="1208"/>
      <c r="AN95" s="1208"/>
      <c r="AO95" s="1208"/>
      <c r="AP95" s="1209"/>
    </row>
    <row r="96" spans="1:42" x14ac:dyDescent="0.25">
      <c r="A96" s="192"/>
      <c r="B96" s="192"/>
      <c r="C96" s="192"/>
      <c r="D96" s="192"/>
      <c r="E96" s="192"/>
      <c r="F96" s="192"/>
      <c r="G96" s="1216" t="s">
        <v>877</v>
      </c>
      <c r="H96" s="1217"/>
      <c r="I96" s="1218"/>
      <c r="J96" s="1216" t="s">
        <v>878</v>
      </c>
      <c r="K96" s="1217"/>
      <c r="L96" s="1218"/>
      <c r="M96" s="1216" t="s">
        <v>3515</v>
      </c>
      <c r="N96" s="1217"/>
      <c r="O96" s="1218"/>
      <c r="P96" s="1216" t="s">
        <v>877</v>
      </c>
      <c r="Q96" s="1217"/>
      <c r="R96" s="1218"/>
      <c r="S96" s="1216" t="s">
        <v>878</v>
      </c>
      <c r="T96" s="1217"/>
      <c r="U96" s="1218"/>
      <c r="V96" s="1216" t="s">
        <v>3515</v>
      </c>
      <c r="W96" s="1217"/>
      <c r="X96" s="1218"/>
      <c r="Y96" s="1216" t="s">
        <v>877</v>
      </c>
      <c r="Z96" s="1217"/>
      <c r="AA96" s="1218"/>
      <c r="AB96" s="1216" t="s">
        <v>878</v>
      </c>
      <c r="AC96" s="1217"/>
      <c r="AD96" s="1218"/>
      <c r="AE96" s="1216" t="s">
        <v>3515</v>
      </c>
      <c r="AF96" s="1217"/>
      <c r="AG96" s="1218"/>
      <c r="AH96" s="1216" t="s">
        <v>877</v>
      </c>
      <c r="AI96" s="1217"/>
      <c r="AJ96" s="1218"/>
      <c r="AK96" s="1216" t="s">
        <v>878</v>
      </c>
      <c r="AL96" s="1217"/>
      <c r="AM96" s="1218"/>
      <c r="AN96" s="1216" t="s">
        <v>3515</v>
      </c>
      <c r="AO96" s="1217"/>
      <c r="AP96" s="1218"/>
    </row>
    <row r="97" spans="1:42" ht="27" customHeight="1" x14ac:dyDescent="0.25">
      <c r="A97" s="1204" t="s">
        <v>1017</v>
      </c>
      <c r="B97" s="1205"/>
      <c r="C97" s="1206"/>
      <c r="D97" s="1207" t="s">
        <v>3524</v>
      </c>
      <c r="E97" s="1208"/>
      <c r="F97" s="1209"/>
      <c r="G97" s="1207" t="s">
        <v>3526</v>
      </c>
      <c r="H97" s="1208"/>
      <c r="I97" s="1209"/>
      <c r="J97" s="1201" t="s">
        <v>3526</v>
      </c>
      <c r="K97" s="1202"/>
      <c r="L97" s="1203"/>
      <c r="M97" s="1201" t="s">
        <v>3526</v>
      </c>
      <c r="N97" s="1202"/>
      <c r="O97" s="1203"/>
      <c r="P97" s="1201" t="s">
        <v>3527</v>
      </c>
      <c r="Q97" s="1202"/>
      <c r="R97" s="1203"/>
      <c r="S97" s="1201" t="s">
        <v>3527</v>
      </c>
      <c r="T97" s="1202"/>
      <c r="U97" s="1203"/>
      <c r="V97" s="1201" t="s">
        <v>3527</v>
      </c>
      <c r="W97" s="1202"/>
      <c r="X97" s="1203"/>
      <c r="Y97" s="1201" t="s">
        <v>2288</v>
      </c>
      <c r="Z97" s="1202"/>
      <c r="AA97" s="1203"/>
      <c r="AB97" s="1201" t="s">
        <v>2288</v>
      </c>
      <c r="AC97" s="1202"/>
      <c r="AD97" s="1203"/>
      <c r="AE97" s="1201" t="s">
        <v>2288</v>
      </c>
      <c r="AF97" s="1202"/>
      <c r="AG97" s="1203"/>
      <c r="AH97" s="1201" t="s">
        <v>2289</v>
      </c>
      <c r="AI97" s="1202"/>
      <c r="AJ97" s="1203"/>
      <c r="AK97" s="1201" t="s">
        <v>2289</v>
      </c>
      <c r="AL97" s="1202"/>
      <c r="AM97" s="1203"/>
      <c r="AN97" s="1201" t="s">
        <v>2289</v>
      </c>
      <c r="AO97" s="1202"/>
      <c r="AP97" s="1203"/>
    </row>
    <row r="98" spans="1:42" x14ac:dyDescent="0.25">
      <c r="A98" s="1336">
        <v>2026</v>
      </c>
      <c r="B98" s="1337"/>
      <c r="C98" s="1338"/>
      <c r="D98" s="1336">
        <v>1</v>
      </c>
      <c r="E98" s="1337"/>
      <c r="F98" s="1338"/>
      <c r="G98" s="1330">
        <v>306</v>
      </c>
      <c r="H98" s="1331"/>
      <c r="I98" s="1332"/>
      <c r="J98" s="1330">
        <v>0</v>
      </c>
      <c r="K98" s="1331"/>
      <c r="L98" s="1332"/>
      <c r="M98" s="1330">
        <v>142</v>
      </c>
      <c r="N98" s="1331"/>
      <c r="O98" s="1332"/>
      <c r="P98" s="1333">
        <v>0.215</v>
      </c>
      <c r="Q98" s="1334"/>
      <c r="R98" s="1335"/>
      <c r="S98" s="1333">
        <v>0.216</v>
      </c>
      <c r="T98" s="1334"/>
      <c r="U98" s="1335"/>
      <c r="V98" s="1333">
        <v>0.218</v>
      </c>
      <c r="W98" s="1334"/>
      <c r="X98" s="1335"/>
      <c r="Y98" s="1330">
        <v>306</v>
      </c>
      <c r="Z98" s="1331"/>
      <c r="AA98" s="1332"/>
      <c r="AB98" s="1330">
        <v>0</v>
      </c>
      <c r="AC98" s="1331"/>
      <c r="AD98" s="1332"/>
      <c r="AE98" s="1330">
        <v>142</v>
      </c>
      <c r="AF98" s="1331"/>
      <c r="AG98" s="1332"/>
      <c r="AH98" s="1333">
        <v>0.215</v>
      </c>
      <c r="AI98" s="1334"/>
      <c r="AJ98" s="1335"/>
      <c r="AK98" s="1333">
        <v>0.216</v>
      </c>
      <c r="AL98" s="1334"/>
      <c r="AM98" s="1335"/>
      <c r="AN98" s="1333">
        <v>0.218</v>
      </c>
      <c r="AO98" s="1334"/>
      <c r="AP98" s="1335"/>
    </row>
    <row r="99" spans="1:42" x14ac:dyDescent="0.25">
      <c r="A99" s="1336">
        <v>2027</v>
      </c>
      <c r="B99" s="1337"/>
      <c r="C99" s="1338"/>
      <c r="D99" s="1336">
        <v>2</v>
      </c>
      <c r="E99" s="1337"/>
      <c r="F99" s="1338"/>
      <c r="G99" s="1330">
        <v>288.67924528301887</v>
      </c>
      <c r="H99" s="1331"/>
      <c r="I99" s="1332"/>
      <c r="J99" s="1330">
        <v>0</v>
      </c>
      <c r="K99" s="1331"/>
      <c r="L99" s="1332"/>
      <c r="M99" s="1330">
        <v>133.96226415094338</v>
      </c>
      <c r="N99" s="1331"/>
      <c r="O99" s="1332"/>
      <c r="P99" s="1333">
        <v>0.20849056603773583</v>
      </c>
      <c r="Q99" s="1334"/>
      <c r="R99" s="1335"/>
      <c r="S99" s="1333">
        <v>0.20943396226415092</v>
      </c>
      <c r="T99" s="1334"/>
      <c r="U99" s="1335"/>
      <c r="V99" s="1333">
        <v>0.21226415094339623</v>
      </c>
      <c r="W99" s="1334"/>
      <c r="X99" s="1335"/>
      <c r="Y99" s="1330">
        <v>595</v>
      </c>
      <c r="Z99" s="1331"/>
      <c r="AA99" s="1332"/>
      <c r="AB99" s="1330">
        <v>0</v>
      </c>
      <c r="AC99" s="1331"/>
      <c r="AD99" s="1332"/>
      <c r="AE99" s="1330">
        <v>276</v>
      </c>
      <c r="AF99" s="1331"/>
      <c r="AG99" s="1332"/>
      <c r="AH99" s="1333">
        <v>0.42299999999999999</v>
      </c>
      <c r="AI99" s="1334"/>
      <c r="AJ99" s="1335"/>
      <c r="AK99" s="1333">
        <v>0.42499999999999999</v>
      </c>
      <c r="AL99" s="1334"/>
      <c r="AM99" s="1335"/>
      <c r="AN99" s="1333">
        <v>0.43</v>
      </c>
      <c r="AO99" s="1334"/>
      <c r="AP99" s="1335"/>
    </row>
    <row r="100" spans="1:42" x14ac:dyDescent="0.25">
      <c r="A100" s="1336">
        <v>2028</v>
      </c>
      <c r="B100" s="1337"/>
      <c r="C100" s="1338"/>
      <c r="D100" s="1336">
        <v>3</v>
      </c>
      <c r="E100" s="1337"/>
      <c r="F100" s="1338"/>
      <c r="G100" s="1330">
        <v>272.33891064435738</v>
      </c>
      <c r="H100" s="1331"/>
      <c r="I100" s="1332"/>
      <c r="J100" s="1330">
        <v>0</v>
      </c>
      <c r="K100" s="1331"/>
      <c r="L100" s="1332"/>
      <c r="M100" s="1330">
        <v>126.37949448202205</v>
      </c>
      <c r="N100" s="1331"/>
      <c r="O100" s="1332"/>
      <c r="P100" s="1333">
        <v>0.20291918832324668</v>
      </c>
      <c r="Q100" s="1334"/>
      <c r="R100" s="1335"/>
      <c r="S100" s="1333">
        <v>0.20380918476326093</v>
      </c>
      <c r="T100" s="1334"/>
      <c r="U100" s="1335"/>
      <c r="V100" s="1333">
        <v>0.20647917408330366</v>
      </c>
      <c r="W100" s="1334"/>
      <c r="X100" s="1335"/>
      <c r="Y100" s="1330">
        <v>867</v>
      </c>
      <c r="Z100" s="1331"/>
      <c r="AA100" s="1332"/>
      <c r="AB100" s="1330">
        <v>0</v>
      </c>
      <c r="AC100" s="1331"/>
      <c r="AD100" s="1332"/>
      <c r="AE100" s="1330">
        <v>402</v>
      </c>
      <c r="AF100" s="1331"/>
      <c r="AG100" s="1332"/>
      <c r="AH100" s="1333">
        <v>0.626</v>
      </c>
      <c r="AI100" s="1334"/>
      <c r="AJ100" s="1335"/>
      <c r="AK100" s="1333">
        <v>0.629</v>
      </c>
      <c r="AL100" s="1334"/>
      <c r="AM100" s="1335"/>
      <c r="AN100" s="1333">
        <v>0.63700000000000001</v>
      </c>
      <c r="AO100" s="1334"/>
      <c r="AP100" s="1335"/>
    </row>
    <row r="101" spans="1:42" x14ac:dyDescent="0.25">
      <c r="A101" s="1336">
        <v>2029</v>
      </c>
      <c r="B101" s="1337"/>
      <c r="C101" s="1338"/>
      <c r="D101" s="1336">
        <v>4</v>
      </c>
      <c r="E101" s="1337"/>
      <c r="F101" s="1338"/>
      <c r="G101" s="1330">
        <v>256.92350060788431</v>
      </c>
      <c r="H101" s="1331"/>
      <c r="I101" s="1332"/>
      <c r="J101" s="1330">
        <v>0</v>
      </c>
      <c r="K101" s="1331"/>
      <c r="L101" s="1332"/>
      <c r="M101" s="1330">
        <v>119.22593819058683</v>
      </c>
      <c r="N101" s="1331"/>
      <c r="O101" s="1332"/>
      <c r="P101" s="1333">
        <v>0.19731053151259087</v>
      </c>
      <c r="Q101" s="1334"/>
      <c r="R101" s="1335"/>
      <c r="S101" s="1333">
        <v>0.19815015079562318</v>
      </c>
      <c r="T101" s="1334"/>
      <c r="U101" s="1335"/>
      <c r="V101" s="1333">
        <v>0.20066900864472009</v>
      </c>
      <c r="W101" s="1334"/>
      <c r="X101" s="1335"/>
      <c r="Y101" s="1330">
        <v>1124</v>
      </c>
      <c r="Z101" s="1331"/>
      <c r="AA101" s="1332"/>
      <c r="AB101" s="1330">
        <v>0</v>
      </c>
      <c r="AC101" s="1331"/>
      <c r="AD101" s="1332"/>
      <c r="AE101" s="1330">
        <v>522</v>
      </c>
      <c r="AF101" s="1331"/>
      <c r="AG101" s="1332"/>
      <c r="AH101" s="1333">
        <v>0.82399999999999995</v>
      </c>
      <c r="AI101" s="1334"/>
      <c r="AJ101" s="1335"/>
      <c r="AK101" s="1333">
        <v>0.82699999999999996</v>
      </c>
      <c r="AL101" s="1334"/>
      <c r="AM101" s="1335"/>
      <c r="AN101" s="1333">
        <v>0.83699999999999997</v>
      </c>
      <c r="AO101" s="1334"/>
      <c r="AP101" s="1335"/>
    </row>
    <row r="102" spans="1:42" x14ac:dyDescent="0.25">
      <c r="A102" s="1336">
        <v>2030</v>
      </c>
      <c r="B102" s="1337"/>
      <c r="C102" s="1338"/>
      <c r="D102" s="1336">
        <v>5</v>
      </c>
      <c r="E102" s="1337"/>
      <c r="F102" s="1338"/>
      <c r="G102" s="1330">
        <v>242.38066095083425</v>
      </c>
      <c r="H102" s="1331"/>
      <c r="I102" s="1332"/>
      <c r="J102" s="1330">
        <v>0</v>
      </c>
      <c r="K102" s="1331"/>
      <c r="L102" s="1332"/>
      <c r="M102" s="1330">
        <v>112.4773001797989</v>
      </c>
      <c r="N102" s="1331"/>
      <c r="O102" s="1332"/>
      <c r="P102" s="1333">
        <v>0.19168666650360094</v>
      </c>
      <c r="Q102" s="1334"/>
      <c r="R102" s="1335"/>
      <c r="S102" s="1333">
        <v>0.19247876016683896</v>
      </c>
      <c r="T102" s="1334"/>
      <c r="U102" s="1335"/>
      <c r="V102" s="1333">
        <v>0.19485504115655303</v>
      </c>
      <c r="W102" s="1334"/>
      <c r="X102" s="1335"/>
      <c r="Y102" s="1330">
        <v>1366</v>
      </c>
      <c r="Z102" s="1331"/>
      <c r="AA102" s="1332"/>
      <c r="AB102" s="1330">
        <v>0</v>
      </c>
      <c r="AC102" s="1331"/>
      <c r="AD102" s="1332"/>
      <c r="AE102" s="1330">
        <v>634</v>
      </c>
      <c r="AF102" s="1331"/>
      <c r="AG102" s="1332"/>
      <c r="AH102" s="1333">
        <v>1.0149999999999999</v>
      </c>
      <c r="AI102" s="1334"/>
      <c r="AJ102" s="1335"/>
      <c r="AK102" s="1333">
        <v>1.02</v>
      </c>
      <c r="AL102" s="1334"/>
      <c r="AM102" s="1335"/>
      <c r="AN102" s="1333">
        <v>1.032</v>
      </c>
      <c r="AO102" s="1334"/>
      <c r="AP102" s="1335"/>
    </row>
    <row r="103" spans="1:42" x14ac:dyDescent="0.25">
      <c r="A103" s="1336">
        <v>2031</v>
      </c>
      <c r="B103" s="1337"/>
      <c r="C103" s="1338"/>
      <c r="D103" s="1336">
        <v>6</v>
      </c>
      <c r="E103" s="1337"/>
      <c r="F103" s="1338"/>
      <c r="G103" s="1330">
        <v>228.66100089701339</v>
      </c>
      <c r="H103" s="1331"/>
      <c r="I103" s="1332"/>
      <c r="J103" s="1330">
        <v>0</v>
      </c>
      <c r="K103" s="1331"/>
      <c r="L103" s="1332"/>
      <c r="M103" s="1330">
        <v>106.11066054698009</v>
      </c>
      <c r="N103" s="1331"/>
      <c r="O103" s="1332"/>
      <c r="P103" s="1333">
        <v>0.18606728504364817</v>
      </c>
      <c r="Q103" s="1334"/>
      <c r="R103" s="1335"/>
      <c r="S103" s="1333">
        <v>0.18681454321651422</v>
      </c>
      <c r="T103" s="1334"/>
      <c r="U103" s="1335"/>
      <c r="V103" s="1333">
        <v>0.18905631773511239</v>
      </c>
      <c r="W103" s="1334"/>
      <c r="X103" s="1335"/>
      <c r="Y103" s="1330">
        <v>1595</v>
      </c>
      <c r="Z103" s="1331"/>
      <c r="AA103" s="1332"/>
      <c r="AB103" s="1330">
        <v>0</v>
      </c>
      <c r="AC103" s="1331"/>
      <c r="AD103" s="1332"/>
      <c r="AE103" s="1330">
        <v>740</v>
      </c>
      <c r="AF103" s="1331"/>
      <c r="AG103" s="1332"/>
      <c r="AH103" s="1333">
        <v>1.2010000000000001</v>
      </c>
      <c r="AI103" s="1334"/>
      <c r="AJ103" s="1335"/>
      <c r="AK103" s="1333">
        <v>1.2070000000000001</v>
      </c>
      <c r="AL103" s="1334"/>
      <c r="AM103" s="1335"/>
      <c r="AN103" s="1333">
        <v>1.2210000000000001</v>
      </c>
      <c r="AO103" s="1334"/>
      <c r="AP103" s="1335"/>
    </row>
    <row r="104" spans="1:42" x14ac:dyDescent="0.25">
      <c r="A104" s="1336">
        <v>2032</v>
      </c>
      <c r="B104" s="1337"/>
      <c r="C104" s="1338"/>
      <c r="D104" s="1336">
        <v>7</v>
      </c>
      <c r="E104" s="1337"/>
      <c r="F104" s="1338"/>
      <c r="G104" s="1330">
        <v>215.71792537454095</v>
      </c>
      <c r="H104" s="1331"/>
      <c r="I104" s="1332"/>
      <c r="J104" s="1330">
        <v>0</v>
      </c>
      <c r="K104" s="1331"/>
      <c r="L104" s="1332"/>
      <c r="M104" s="1330">
        <v>100.10439674243403</v>
      </c>
      <c r="N104" s="1331"/>
      <c r="O104" s="1332"/>
      <c r="P104" s="1333">
        <v>0.18046989835255714</v>
      </c>
      <c r="Q104" s="1334"/>
      <c r="R104" s="1335"/>
      <c r="S104" s="1333">
        <v>0.18187981943343648</v>
      </c>
      <c r="T104" s="1334"/>
      <c r="U104" s="1335"/>
      <c r="V104" s="1333">
        <v>0.18399470105475552</v>
      </c>
      <c r="W104" s="1334"/>
      <c r="X104" s="1335"/>
      <c r="Y104" s="1330">
        <v>1811</v>
      </c>
      <c r="Z104" s="1331"/>
      <c r="AA104" s="1332"/>
      <c r="AB104" s="1330">
        <v>0</v>
      </c>
      <c r="AC104" s="1331"/>
      <c r="AD104" s="1332"/>
      <c r="AE104" s="1330">
        <v>840</v>
      </c>
      <c r="AF104" s="1331"/>
      <c r="AG104" s="1332"/>
      <c r="AH104" s="1333">
        <v>1.3819999999999999</v>
      </c>
      <c r="AI104" s="1334"/>
      <c r="AJ104" s="1335"/>
      <c r="AK104" s="1333">
        <v>1.389</v>
      </c>
      <c r="AL104" s="1334"/>
      <c r="AM104" s="1335"/>
      <c r="AN104" s="1333">
        <v>1.405</v>
      </c>
      <c r="AO104" s="1334"/>
      <c r="AP104" s="1335"/>
    </row>
    <row r="105" spans="1:42" x14ac:dyDescent="0.25">
      <c r="A105" s="1336">
        <v>2033</v>
      </c>
      <c r="B105" s="1337"/>
      <c r="C105" s="1338"/>
      <c r="D105" s="1336">
        <v>8</v>
      </c>
      <c r="E105" s="1337"/>
      <c r="F105" s="1338"/>
      <c r="G105" s="1330">
        <v>203.50747676843483</v>
      </c>
      <c r="H105" s="1331"/>
      <c r="I105" s="1332"/>
      <c r="J105" s="1330">
        <v>0</v>
      </c>
      <c r="K105" s="1331"/>
      <c r="L105" s="1332"/>
      <c r="M105" s="1330">
        <v>94.438110134371712</v>
      </c>
      <c r="N105" s="1331"/>
      <c r="O105" s="1332"/>
      <c r="P105" s="1333">
        <v>0.17557507799629671</v>
      </c>
      <c r="Q105" s="1334"/>
      <c r="R105" s="1335"/>
      <c r="S105" s="1333">
        <v>0.1769051922235414</v>
      </c>
      <c r="T105" s="1334"/>
      <c r="U105" s="1335"/>
      <c r="V105" s="1333">
        <v>0.17890036356440842</v>
      </c>
      <c r="W105" s="1334"/>
      <c r="X105" s="1335"/>
      <c r="Y105" s="1330">
        <v>2014</v>
      </c>
      <c r="Z105" s="1331"/>
      <c r="AA105" s="1332"/>
      <c r="AB105" s="1330">
        <v>0</v>
      </c>
      <c r="AC105" s="1331"/>
      <c r="AD105" s="1332"/>
      <c r="AE105" s="1330">
        <v>935</v>
      </c>
      <c r="AF105" s="1331"/>
      <c r="AG105" s="1332"/>
      <c r="AH105" s="1333">
        <v>1.5580000000000001</v>
      </c>
      <c r="AI105" s="1334"/>
      <c r="AJ105" s="1335"/>
      <c r="AK105" s="1333">
        <v>1.5649999999999999</v>
      </c>
      <c r="AL105" s="1334"/>
      <c r="AM105" s="1335"/>
      <c r="AN105" s="1333">
        <v>1.5840000000000001</v>
      </c>
      <c r="AO105" s="1334"/>
      <c r="AP105" s="1335"/>
    </row>
    <row r="106" spans="1:42" x14ac:dyDescent="0.25">
      <c r="A106" s="1336">
        <v>2034</v>
      </c>
      <c r="B106" s="1337"/>
      <c r="C106" s="1338"/>
      <c r="D106" s="1336">
        <v>9</v>
      </c>
      <c r="E106" s="1337"/>
      <c r="F106" s="1338"/>
      <c r="G106" s="1330">
        <v>191.98818563059891</v>
      </c>
      <c r="H106" s="1331"/>
      <c r="I106" s="1332"/>
      <c r="J106" s="1330">
        <v>0</v>
      </c>
      <c r="K106" s="1331"/>
      <c r="L106" s="1332"/>
      <c r="M106" s="1330">
        <v>89.092556730539357</v>
      </c>
      <c r="N106" s="1331"/>
      <c r="O106" s="1332"/>
      <c r="P106" s="1333">
        <v>0.17065616500497682</v>
      </c>
      <c r="Q106" s="1334"/>
      <c r="R106" s="1335"/>
      <c r="S106" s="1333">
        <v>0.17191098974766048</v>
      </c>
      <c r="T106" s="1334"/>
      <c r="U106" s="1335"/>
      <c r="V106" s="1333">
        <v>0.17379322686168597</v>
      </c>
      <c r="W106" s="1334"/>
      <c r="X106" s="1335"/>
      <c r="Y106" s="1330">
        <v>2206</v>
      </c>
      <c r="Z106" s="1331"/>
      <c r="AA106" s="1332"/>
      <c r="AB106" s="1330">
        <v>0</v>
      </c>
      <c r="AC106" s="1331"/>
      <c r="AD106" s="1332"/>
      <c r="AE106" s="1330">
        <v>1024</v>
      </c>
      <c r="AF106" s="1331"/>
      <c r="AG106" s="1332"/>
      <c r="AH106" s="1333">
        <v>1.728</v>
      </c>
      <c r="AI106" s="1334"/>
      <c r="AJ106" s="1335"/>
      <c r="AK106" s="1333">
        <v>1.7370000000000001</v>
      </c>
      <c r="AL106" s="1334"/>
      <c r="AM106" s="1335"/>
      <c r="AN106" s="1333">
        <v>1.758</v>
      </c>
      <c r="AO106" s="1334"/>
      <c r="AP106" s="1335"/>
    </row>
    <row r="107" spans="1:42" x14ac:dyDescent="0.25">
      <c r="A107" s="1336">
        <v>2035</v>
      </c>
      <c r="B107" s="1337"/>
      <c r="C107" s="1338"/>
      <c r="D107" s="1336">
        <v>10</v>
      </c>
      <c r="E107" s="1337"/>
      <c r="F107" s="1338"/>
      <c r="G107" s="1330">
        <v>181.12092984018764</v>
      </c>
      <c r="H107" s="1331"/>
      <c r="I107" s="1332"/>
      <c r="J107" s="1330">
        <v>0</v>
      </c>
      <c r="K107" s="1331"/>
      <c r="L107" s="1332"/>
      <c r="M107" s="1330">
        <v>84.049581821263544</v>
      </c>
      <c r="N107" s="1331"/>
      <c r="O107" s="1332"/>
      <c r="P107" s="1333">
        <v>0.16573156978840703</v>
      </c>
      <c r="Q107" s="1334"/>
      <c r="R107" s="1335"/>
      <c r="S107" s="1333">
        <v>0.16691536671546703</v>
      </c>
      <c r="T107" s="1334"/>
      <c r="U107" s="1335"/>
      <c r="V107" s="1333">
        <v>0.16869106210605711</v>
      </c>
      <c r="W107" s="1334"/>
      <c r="X107" s="1335"/>
      <c r="Y107" s="1330">
        <v>2387</v>
      </c>
      <c r="Z107" s="1331"/>
      <c r="AA107" s="1332"/>
      <c r="AB107" s="1330">
        <v>0</v>
      </c>
      <c r="AC107" s="1331"/>
      <c r="AD107" s="1332"/>
      <c r="AE107" s="1330">
        <v>1108</v>
      </c>
      <c r="AF107" s="1331"/>
      <c r="AG107" s="1332"/>
      <c r="AH107" s="1333">
        <v>1.8939999999999999</v>
      </c>
      <c r="AI107" s="1334"/>
      <c r="AJ107" s="1335"/>
      <c r="AK107" s="1333">
        <v>1.9039999999999999</v>
      </c>
      <c r="AL107" s="1334"/>
      <c r="AM107" s="1335"/>
      <c r="AN107" s="1333">
        <v>1.927</v>
      </c>
      <c r="AO107" s="1334"/>
      <c r="AP107" s="1335"/>
    </row>
    <row r="108" spans="1:42" x14ac:dyDescent="0.25">
      <c r="A108" s="1336">
        <v>2036</v>
      </c>
      <c r="B108" s="1337"/>
      <c r="C108" s="1338"/>
      <c r="D108" s="1336">
        <v>11</v>
      </c>
      <c r="E108" s="1337"/>
      <c r="F108" s="1338"/>
      <c r="G108" s="1330">
        <v>170.86880173602606</v>
      </c>
      <c r="H108" s="1331"/>
      <c r="I108" s="1332"/>
      <c r="J108" s="1330">
        <v>0</v>
      </c>
      <c r="K108" s="1331"/>
      <c r="L108" s="1332"/>
      <c r="M108" s="1330">
        <v>79.29205832194674</v>
      </c>
      <c r="N108" s="1331"/>
      <c r="O108" s="1332"/>
      <c r="P108" s="1333">
        <v>0.16081769575155394</v>
      </c>
      <c r="Q108" s="1334"/>
      <c r="R108" s="1335"/>
      <c r="S108" s="1333">
        <v>0.16193448530538418</v>
      </c>
      <c r="T108" s="1334"/>
      <c r="U108" s="1335"/>
      <c r="V108" s="1333">
        <v>0.16416806441304466</v>
      </c>
      <c r="W108" s="1334"/>
      <c r="X108" s="1335"/>
      <c r="Y108" s="1330">
        <v>2558</v>
      </c>
      <c r="Z108" s="1331"/>
      <c r="AA108" s="1332"/>
      <c r="AB108" s="1330">
        <v>0</v>
      </c>
      <c r="AC108" s="1331"/>
      <c r="AD108" s="1332"/>
      <c r="AE108" s="1330">
        <v>1187</v>
      </c>
      <c r="AF108" s="1331"/>
      <c r="AG108" s="1332"/>
      <c r="AH108" s="1333">
        <v>2.0550000000000002</v>
      </c>
      <c r="AI108" s="1334"/>
      <c r="AJ108" s="1335"/>
      <c r="AK108" s="1333">
        <v>2.0659999999999998</v>
      </c>
      <c r="AL108" s="1334"/>
      <c r="AM108" s="1335"/>
      <c r="AN108" s="1333">
        <v>2.0910000000000002</v>
      </c>
      <c r="AO108" s="1334"/>
      <c r="AP108" s="1335"/>
    </row>
    <row r="109" spans="1:42" x14ac:dyDescent="0.25">
      <c r="A109" s="1336">
        <v>2037</v>
      </c>
      <c r="B109" s="1337"/>
      <c r="C109" s="1338"/>
      <c r="D109" s="1336">
        <v>12</v>
      </c>
      <c r="E109" s="1337"/>
      <c r="F109" s="1338"/>
      <c r="G109" s="1330">
        <v>161.1969827698359</v>
      </c>
      <c r="H109" s="1331"/>
      <c r="I109" s="1332"/>
      <c r="J109" s="1330">
        <v>0</v>
      </c>
      <c r="K109" s="1331"/>
      <c r="L109" s="1332"/>
      <c r="M109" s="1330">
        <v>74.803828605610121</v>
      </c>
      <c r="N109" s="1331"/>
      <c r="O109" s="1332"/>
      <c r="P109" s="1333">
        <v>0.1564558950413113</v>
      </c>
      <c r="Q109" s="1334"/>
      <c r="R109" s="1335"/>
      <c r="S109" s="1333">
        <v>0.15750947009209454</v>
      </c>
      <c r="T109" s="1334"/>
      <c r="U109" s="1335"/>
      <c r="V109" s="1333">
        <v>0.15961662019366102</v>
      </c>
      <c r="W109" s="1334"/>
      <c r="X109" s="1335"/>
      <c r="Y109" s="1330">
        <v>2719</v>
      </c>
      <c r="Z109" s="1331"/>
      <c r="AA109" s="1332"/>
      <c r="AB109" s="1330">
        <v>0</v>
      </c>
      <c r="AC109" s="1331"/>
      <c r="AD109" s="1332"/>
      <c r="AE109" s="1330">
        <v>1262</v>
      </c>
      <c r="AF109" s="1331"/>
      <c r="AG109" s="1332"/>
      <c r="AH109" s="1333">
        <v>2.2109999999999999</v>
      </c>
      <c r="AI109" s="1334"/>
      <c r="AJ109" s="1335"/>
      <c r="AK109" s="1333">
        <v>2.2240000000000002</v>
      </c>
      <c r="AL109" s="1334"/>
      <c r="AM109" s="1335"/>
      <c r="AN109" s="1333">
        <v>2.25</v>
      </c>
      <c r="AO109" s="1334"/>
      <c r="AP109" s="1335"/>
    </row>
    <row r="110" spans="1:42" x14ac:dyDescent="0.25">
      <c r="A110" s="1336">
        <v>2038</v>
      </c>
      <c r="B110" s="1337"/>
      <c r="C110" s="1338"/>
      <c r="D110" s="1336">
        <v>13</v>
      </c>
      <c r="E110" s="1337"/>
      <c r="F110" s="1338"/>
      <c r="G110" s="1330">
        <v>152.07262525456215</v>
      </c>
      <c r="H110" s="1331"/>
      <c r="I110" s="1332"/>
      <c r="J110" s="1330">
        <v>0</v>
      </c>
      <c r="K110" s="1331"/>
      <c r="L110" s="1332"/>
      <c r="M110" s="1330">
        <v>70.569649627934069</v>
      </c>
      <c r="N110" s="1331"/>
      <c r="O110" s="1332"/>
      <c r="P110" s="1333">
        <v>0.15207262525456214</v>
      </c>
      <c r="Q110" s="1334"/>
      <c r="R110" s="1335"/>
      <c r="S110" s="1333">
        <v>0.15306656398171614</v>
      </c>
      <c r="T110" s="1334"/>
      <c r="U110" s="1335"/>
      <c r="V110" s="1333">
        <v>0.15505444143602415</v>
      </c>
      <c r="W110" s="1334"/>
      <c r="X110" s="1335"/>
      <c r="Y110" s="1330">
        <v>2871</v>
      </c>
      <c r="Z110" s="1331"/>
      <c r="AA110" s="1332"/>
      <c r="AB110" s="1330">
        <v>0</v>
      </c>
      <c r="AC110" s="1331"/>
      <c r="AD110" s="1332"/>
      <c r="AE110" s="1330">
        <v>1333</v>
      </c>
      <c r="AF110" s="1331"/>
      <c r="AG110" s="1332"/>
      <c r="AH110" s="1333">
        <v>2.363</v>
      </c>
      <c r="AI110" s="1334"/>
      <c r="AJ110" s="1335"/>
      <c r="AK110" s="1333">
        <v>2.3769999999999998</v>
      </c>
      <c r="AL110" s="1334"/>
      <c r="AM110" s="1335"/>
      <c r="AN110" s="1333">
        <v>2.4060000000000001</v>
      </c>
      <c r="AO110" s="1334"/>
      <c r="AP110" s="1335"/>
    </row>
    <row r="111" spans="1:42" x14ac:dyDescent="0.25">
      <c r="A111" s="1336">
        <v>2039</v>
      </c>
      <c r="B111" s="1337"/>
      <c r="C111" s="1338"/>
      <c r="D111" s="1336">
        <v>14</v>
      </c>
      <c r="E111" s="1337"/>
      <c r="F111" s="1338"/>
      <c r="G111" s="1330">
        <v>143.46474080619069</v>
      </c>
      <c r="H111" s="1331"/>
      <c r="I111" s="1332"/>
      <c r="J111" s="1330">
        <v>0</v>
      </c>
      <c r="K111" s="1331"/>
      <c r="L111" s="1332"/>
      <c r="M111" s="1330">
        <v>66.575141158428366</v>
      </c>
      <c r="N111" s="1331"/>
      <c r="O111" s="1332"/>
      <c r="P111" s="1333">
        <v>0.14768429200637279</v>
      </c>
      <c r="Q111" s="1334"/>
      <c r="R111" s="1335"/>
      <c r="S111" s="1333">
        <v>0.14862197005085767</v>
      </c>
      <c r="T111" s="1334"/>
      <c r="U111" s="1335"/>
      <c r="V111" s="1333">
        <v>0.1504973261398275</v>
      </c>
      <c r="W111" s="1334"/>
      <c r="X111" s="1335"/>
      <c r="Y111" s="1330">
        <v>3015</v>
      </c>
      <c r="Z111" s="1331"/>
      <c r="AA111" s="1332"/>
      <c r="AB111" s="1330">
        <v>0</v>
      </c>
      <c r="AC111" s="1331"/>
      <c r="AD111" s="1332"/>
      <c r="AE111" s="1330">
        <v>1399</v>
      </c>
      <c r="AF111" s="1331"/>
      <c r="AG111" s="1332"/>
      <c r="AH111" s="1333">
        <v>2.5110000000000001</v>
      </c>
      <c r="AI111" s="1334"/>
      <c r="AJ111" s="1335"/>
      <c r="AK111" s="1333">
        <v>2.5249999999999999</v>
      </c>
      <c r="AL111" s="1334"/>
      <c r="AM111" s="1335"/>
      <c r="AN111" s="1333">
        <v>2.556</v>
      </c>
      <c r="AO111" s="1334"/>
      <c r="AP111" s="1335"/>
    </row>
    <row r="112" spans="1:42" x14ac:dyDescent="0.25">
      <c r="A112" s="1336">
        <v>2040</v>
      </c>
      <c r="B112" s="1337"/>
      <c r="C112" s="1338"/>
      <c r="D112" s="1336">
        <v>15</v>
      </c>
      <c r="E112" s="1337"/>
      <c r="F112" s="1338"/>
      <c r="G112" s="1330">
        <v>135.34409510017991</v>
      </c>
      <c r="H112" s="1331"/>
      <c r="I112" s="1332"/>
      <c r="J112" s="1330">
        <v>0</v>
      </c>
      <c r="K112" s="1331"/>
      <c r="L112" s="1332"/>
      <c r="M112" s="1330">
        <v>62.806736941913549</v>
      </c>
      <c r="N112" s="1331"/>
      <c r="O112" s="1332"/>
      <c r="P112" s="1333">
        <v>0.14330551245901402</v>
      </c>
      <c r="Q112" s="1334"/>
      <c r="R112" s="1335"/>
      <c r="S112" s="1333">
        <v>0.14463241535215304</v>
      </c>
      <c r="T112" s="1334"/>
      <c r="U112" s="1335"/>
      <c r="V112" s="1333">
        <v>0.14640161920967174</v>
      </c>
      <c r="W112" s="1334"/>
      <c r="X112" s="1335"/>
      <c r="Y112" s="1330">
        <v>3150</v>
      </c>
      <c r="Z112" s="1331"/>
      <c r="AA112" s="1332"/>
      <c r="AB112" s="1330">
        <v>0</v>
      </c>
      <c r="AC112" s="1331"/>
      <c r="AD112" s="1332"/>
      <c r="AE112" s="1330">
        <v>1462</v>
      </c>
      <c r="AF112" s="1331"/>
      <c r="AG112" s="1332"/>
      <c r="AH112" s="1333">
        <v>2.6539999999999999</v>
      </c>
      <c r="AI112" s="1334"/>
      <c r="AJ112" s="1335"/>
      <c r="AK112" s="1333">
        <v>2.67</v>
      </c>
      <c r="AL112" s="1334"/>
      <c r="AM112" s="1335"/>
      <c r="AN112" s="1333">
        <v>2.702</v>
      </c>
      <c r="AO112" s="1334"/>
      <c r="AP112" s="1335"/>
    </row>
    <row r="113" spans="1:42" x14ac:dyDescent="0.25">
      <c r="A113" s="1336">
        <v>2041</v>
      </c>
      <c r="B113" s="1337"/>
      <c r="C113" s="1338"/>
      <c r="D113" s="1336">
        <v>16</v>
      </c>
      <c r="E113" s="1337"/>
      <c r="F113" s="1338"/>
      <c r="G113" s="1330">
        <v>127.68310858507535</v>
      </c>
      <c r="H113" s="1331"/>
      <c r="I113" s="1332"/>
      <c r="J113" s="1330">
        <v>0</v>
      </c>
      <c r="K113" s="1331"/>
      <c r="L113" s="1332"/>
      <c r="M113" s="1330">
        <v>59.251638624446727</v>
      </c>
      <c r="N113" s="1331"/>
      <c r="O113" s="1332"/>
      <c r="P113" s="1333">
        <v>0.13936653028567048</v>
      </c>
      <c r="Q113" s="1334"/>
      <c r="R113" s="1335"/>
      <c r="S113" s="1333">
        <v>0.14061832546787711</v>
      </c>
      <c r="T113" s="1334"/>
      <c r="U113" s="1335"/>
      <c r="V113" s="1333">
        <v>0.14228738571081928</v>
      </c>
      <c r="W113" s="1334"/>
      <c r="X113" s="1335"/>
      <c r="Y113" s="1330">
        <v>3278</v>
      </c>
      <c r="Z113" s="1331"/>
      <c r="AA113" s="1332"/>
      <c r="AB113" s="1330">
        <v>0</v>
      </c>
      <c r="AC113" s="1331"/>
      <c r="AD113" s="1332"/>
      <c r="AE113" s="1330">
        <v>1521</v>
      </c>
      <c r="AF113" s="1331"/>
      <c r="AG113" s="1332"/>
      <c r="AH113" s="1333">
        <v>2.794</v>
      </c>
      <c r="AI113" s="1334"/>
      <c r="AJ113" s="1335"/>
      <c r="AK113" s="1333">
        <v>2.8109999999999999</v>
      </c>
      <c r="AL113" s="1334"/>
      <c r="AM113" s="1335"/>
      <c r="AN113" s="1333">
        <v>2.8450000000000002</v>
      </c>
      <c r="AO113" s="1334"/>
      <c r="AP113" s="1335"/>
    </row>
    <row r="114" spans="1:42" x14ac:dyDescent="0.25">
      <c r="A114" s="1336">
        <v>2042</v>
      </c>
      <c r="B114" s="1337"/>
      <c r="C114" s="1338"/>
      <c r="D114" s="1336">
        <v>17</v>
      </c>
      <c r="E114" s="1337"/>
      <c r="F114" s="1338"/>
      <c r="G114" s="1330">
        <v>120.45576281610884</v>
      </c>
      <c r="H114" s="1331"/>
      <c r="I114" s="1332"/>
      <c r="J114" s="1330">
        <v>0</v>
      </c>
      <c r="K114" s="1331"/>
      <c r="L114" s="1332"/>
      <c r="M114" s="1330">
        <v>55.897772287213911</v>
      </c>
      <c r="N114" s="1331"/>
      <c r="O114" s="1332"/>
      <c r="P114" s="1333">
        <v>0.13541432159719424</v>
      </c>
      <c r="Q114" s="1334"/>
      <c r="R114" s="1335"/>
      <c r="S114" s="1333">
        <v>0.13659526044833256</v>
      </c>
      <c r="T114" s="1334"/>
      <c r="U114" s="1335"/>
      <c r="V114" s="1333">
        <v>0.13816984558318368</v>
      </c>
      <c r="W114" s="1334"/>
      <c r="X114" s="1335"/>
      <c r="Y114" s="1330">
        <v>3398</v>
      </c>
      <c r="Z114" s="1331"/>
      <c r="AA114" s="1332"/>
      <c r="AB114" s="1330">
        <v>0</v>
      </c>
      <c r="AC114" s="1331"/>
      <c r="AD114" s="1332"/>
      <c r="AE114" s="1330">
        <v>1577</v>
      </c>
      <c r="AF114" s="1331"/>
      <c r="AG114" s="1332"/>
      <c r="AH114" s="1333">
        <v>2.9289999999999998</v>
      </c>
      <c r="AI114" s="1334"/>
      <c r="AJ114" s="1335"/>
      <c r="AK114" s="1333">
        <v>2.9470000000000001</v>
      </c>
      <c r="AL114" s="1334"/>
      <c r="AM114" s="1335"/>
      <c r="AN114" s="1333">
        <v>2.9830000000000001</v>
      </c>
      <c r="AO114" s="1334"/>
      <c r="AP114" s="1335"/>
    </row>
    <row r="115" spans="1:42" x14ac:dyDescent="0.25">
      <c r="A115" s="1336">
        <v>2043</v>
      </c>
      <c r="B115" s="1337"/>
      <c r="C115" s="1338"/>
      <c r="D115" s="1336">
        <v>18</v>
      </c>
      <c r="E115" s="1337"/>
      <c r="F115" s="1338"/>
      <c r="G115" s="1330">
        <v>113.63751209066871</v>
      </c>
      <c r="H115" s="1331"/>
      <c r="I115" s="1332"/>
      <c r="J115" s="1330">
        <v>0</v>
      </c>
      <c r="K115" s="1331"/>
      <c r="L115" s="1332"/>
      <c r="M115" s="1330">
        <v>52.733747440767836</v>
      </c>
      <c r="N115" s="1331"/>
      <c r="O115" s="1332"/>
      <c r="P115" s="1333">
        <v>0.13146300418332263</v>
      </c>
      <c r="Q115" s="1334"/>
      <c r="R115" s="1335"/>
      <c r="S115" s="1333">
        <v>0.1325770974391135</v>
      </c>
      <c r="T115" s="1334"/>
      <c r="U115" s="1335"/>
      <c r="V115" s="1333">
        <v>0.13443391953209827</v>
      </c>
      <c r="W115" s="1334"/>
      <c r="X115" s="1335"/>
      <c r="Y115" s="1330">
        <v>3512</v>
      </c>
      <c r="Z115" s="1331"/>
      <c r="AA115" s="1332"/>
      <c r="AB115" s="1330">
        <v>0</v>
      </c>
      <c r="AC115" s="1331"/>
      <c r="AD115" s="1332"/>
      <c r="AE115" s="1330">
        <v>1630</v>
      </c>
      <c r="AF115" s="1331"/>
      <c r="AG115" s="1332"/>
      <c r="AH115" s="1333">
        <v>3.06</v>
      </c>
      <c r="AI115" s="1334"/>
      <c r="AJ115" s="1335"/>
      <c r="AK115" s="1333">
        <v>3.08</v>
      </c>
      <c r="AL115" s="1334"/>
      <c r="AM115" s="1335"/>
      <c r="AN115" s="1333">
        <v>3.117</v>
      </c>
      <c r="AO115" s="1334"/>
      <c r="AP115" s="1335"/>
    </row>
    <row r="116" spans="1:42" x14ac:dyDescent="0.25">
      <c r="A116" s="1336">
        <v>2044</v>
      </c>
      <c r="B116" s="1337"/>
      <c r="C116" s="1338"/>
      <c r="D116" s="1336">
        <v>19</v>
      </c>
      <c r="E116" s="1337"/>
      <c r="F116" s="1338"/>
      <c r="G116" s="1330">
        <v>107.20520008553652</v>
      </c>
      <c r="H116" s="1331"/>
      <c r="I116" s="1332"/>
      <c r="J116" s="1330">
        <v>0</v>
      </c>
      <c r="K116" s="1331"/>
      <c r="L116" s="1332"/>
      <c r="M116" s="1330">
        <v>49.748818340347015</v>
      </c>
      <c r="N116" s="1331"/>
      <c r="O116" s="1332"/>
      <c r="P116" s="1333">
        <v>0.12787548376215957</v>
      </c>
      <c r="Q116" s="1334"/>
      <c r="R116" s="1335"/>
      <c r="S116" s="1333">
        <v>0.12892651513554718</v>
      </c>
      <c r="T116" s="1334"/>
      <c r="U116" s="1335"/>
      <c r="V116" s="1333">
        <v>0.13067823409119322</v>
      </c>
      <c r="W116" s="1334"/>
      <c r="X116" s="1335"/>
      <c r="Y116" s="1330">
        <v>3619</v>
      </c>
      <c r="Z116" s="1331"/>
      <c r="AA116" s="1332"/>
      <c r="AB116" s="1330">
        <v>0</v>
      </c>
      <c r="AC116" s="1331"/>
      <c r="AD116" s="1332"/>
      <c r="AE116" s="1330">
        <v>1680</v>
      </c>
      <c r="AF116" s="1331"/>
      <c r="AG116" s="1332"/>
      <c r="AH116" s="1333">
        <v>3.1880000000000002</v>
      </c>
      <c r="AI116" s="1334"/>
      <c r="AJ116" s="1335"/>
      <c r="AK116" s="1333">
        <v>3.2090000000000001</v>
      </c>
      <c r="AL116" s="1334"/>
      <c r="AM116" s="1335"/>
      <c r="AN116" s="1333">
        <v>3.2480000000000002</v>
      </c>
      <c r="AO116" s="1334"/>
      <c r="AP116" s="1335"/>
    </row>
    <row r="117" spans="1:42" x14ac:dyDescent="0.25">
      <c r="A117" s="1336">
        <v>2045</v>
      </c>
      <c r="B117" s="1337"/>
      <c r="C117" s="1338"/>
      <c r="D117" s="1336">
        <v>20</v>
      </c>
      <c r="E117" s="1337"/>
      <c r="F117" s="1338"/>
      <c r="G117" s="1330">
        <v>101.13698121277029</v>
      </c>
      <c r="H117" s="1331"/>
      <c r="I117" s="1332"/>
      <c r="J117" s="1330">
        <v>0</v>
      </c>
      <c r="K117" s="1331"/>
      <c r="L117" s="1332"/>
      <c r="M117" s="1330">
        <v>46.932847490893401</v>
      </c>
      <c r="N117" s="1331"/>
      <c r="O117" s="1332"/>
      <c r="P117" s="1333">
        <v>0.12427289194771775</v>
      </c>
      <c r="Q117" s="1334"/>
      <c r="R117" s="1335"/>
      <c r="S117" s="1333">
        <v>0.1252644309792155</v>
      </c>
      <c r="T117" s="1334"/>
      <c r="U117" s="1335"/>
      <c r="V117" s="1333">
        <v>0.12691699603171175</v>
      </c>
      <c r="W117" s="1334"/>
      <c r="X117" s="1335"/>
      <c r="Y117" s="1330">
        <v>3720</v>
      </c>
      <c r="Z117" s="1331"/>
      <c r="AA117" s="1332"/>
      <c r="AB117" s="1330">
        <v>0</v>
      </c>
      <c r="AC117" s="1331"/>
      <c r="AD117" s="1332"/>
      <c r="AE117" s="1330">
        <v>1726</v>
      </c>
      <c r="AF117" s="1331"/>
      <c r="AG117" s="1332"/>
      <c r="AH117" s="1333">
        <v>3.3130000000000002</v>
      </c>
      <c r="AI117" s="1334"/>
      <c r="AJ117" s="1335"/>
      <c r="AK117" s="1333">
        <v>3.3340000000000001</v>
      </c>
      <c r="AL117" s="1334"/>
      <c r="AM117" s="1335"/>
      <c r="AN117" s="1333">
        <v>3.375</v>
      </c>
      <c r="AO117" s="1334"/>
      <c r="AP117" s="1335"/>
    </row>
    <row r="118" spans="1:42" x14ac:dyDescent="0.25">
      <c r="A118" s="1336">
        <v>2046</v>
      </c>
      <c r="B118" s="1337"/>
      <c r="C118" s="1338"/>
      <c r="D118" s="1336">
        <v>21</v>
      </c>
      <c r="E118" s="1337"/>
      <c r="F118" s="1338"/>
      <c r="G118" s="1330">
        <v>95.412246427141795</v>
      </c>
      <c r="H118" s="1331"/>
      <c r="I118" s="1332"/>
      <c r="J118" s="1330">
        <v>0</v>
      </c>
      <c r="K118" s="1331"/>
      <c r="L118" s="1332"/>
      <c r="M118" s="1330">
        <v>44.276271217823968</v>
      </c>
      <c r="N118" s="1331"/>
      <c r="O118" s="1332"/>
      <c r="P118" s="1333">
        <v>0.12066842930491462</v>
      </c>
      <c r="Q118" s="1334"/>
      <c r="R118" s="1335"/>
      <c r="S118" s="1333">
        <v>0.12160384348557288</v>
      </c>
      <c r="T118" s="1334"/>
      <c r="U118" s="1335"/>
      <c r="V118" s="1333">
        <v>0.12347467184688939</v>
      </c>
      <c r="W118" s="1334"/>
      <c r="X118" s="1335"/>
      <c r="Y118" s="1330">
        <v>3816</v>
      </c>
      <c r="Z118" s="1331"/>
      <c r="AA118" s="1332"/>
      <c r="AB118" s="1330">
        <v>0</v>
      </c>
      <c r="AC118" s="1331"/>
      <c r="AD118" s="1332"/>
      <c r="AE118" s="1330">
        <v>1771</v>
      </c>
      <c r="AF118" s="1331"/>
      <c r="AG118" s="1332"/>
      <c r="AH118" s="1333">
        <v>3.4329999999999998</v>
      </c>
      <c r="AI118" s="1334"/>
      <c r="AJ118" s="1335"/>
      <c r="AK118" s="1333">
        <v>3.456</v>
      </c>
      <c r="AL118" s="1334"/>
      <c r="AM118" s="1335"/>
      <c r="AN118" s="1333">
        <v>3.4980000000000002</v>
      </c>
      <c r="AO118" s="1334"/>
      <c r="AP118" s="1335"/>
    </row>
    <row r="119" spans="1:42" x14ac:dyDescent="0.25">
      <c r="A119" s="1336">
        <v>2047</v>
      </c>
      <c r="B119" s="1337"/>
      <c r="C119" s="1338"/>
      <c r="D119" s="1336">
        <v>22</v>
      </c>
      <c r="E119" s="1337"/>
      <c r="F119" s="1338"/>
      <c r="G119" s="1330">
        <v>90.011553233152611</v>
      </c>
      <c r="H119" s="1331"/>
      <c r="I119" s="1332"/>
      <c r="J119" s="1330">
        <v>0</v>
      </c>
      <c r="K119" s="1331"/>
      <c r="L119" s="1332"/>
      <c r="M119" s="1330">
        <v>41.770067186626378</v>
      </c>
      <c r="N119" s="1331"/>
      <c r="O119" s="1332"/>
      <c r="P119" s="1333">
        <v>0.11736800568636567</v>
      </c>
      <c r="Q119" s="1334"/>
      <c r="R119" s="1335"/>
      <c r="S119" s="1333">
        <v>0.11825047189453383</v>
      </c>
      <c r="T119" s="1334"/>
      <c r="U119" s="1335"/>
      <c r="V119" s="1333">
        <v>0.12001540431087014</v>
      </c>
      <c r="W119" s="1334"/>
      <c r="X119" s="1335"/>
      <c r="Y119" s="1330">
        <v>3906</v>
      </c>
      <c r="Z119" s="1331"/>
      <c r="AA119" s="1332"/>
      <c r="AB119" s="1330">
        <v>0</v>
      </c>
      <c r="AC119" s="1331"/>
      <c r="AD119" s="1332"/>
      <c r="AE119" s="1330">
        <v>1812</v>
      </c>
      <c r="AF119" s="1331"/>
      <c r="AG119" s="1332"/>
      <c r="AH119" s="1333">
        <v>3.5510000000000002</v>
      </c>
      <c r="AI119" s="1334"/>
      <c r="AJ119" s="1335"/>
      <c r="AK119" s="1333">
        <v>3.5739999999999998</v>
      </c>
      <c r="AL119" s="1334"/>
      <c r="AM119" s="1335"/>
      <c r="AN119" s="1333">
        <v>3.6179999999999999</v>
      </c>
      <c r="AO119" s="1334"/>
      <c r="AP119" s="1335"/>
    </row>
    <row r="120" spans="1:42" x14ac:dyDescent="0.25">
      <c r="A120" s="1336">
        <v>2048</v>
      </c>
      <c r="B120" s="1337"/>
      <c r="C120" s="1338"/>
      <c r="D120" s="1336">
        <v>23</v>
      </c>
      <c r="E120" s="1337"/>
      <c r="F120" s="1338"/>
      <c r="G120" s="1330">
        <v>84.91655965391756</v>
      </c>
      <c r="H120" s="1331"/>
      <c r="I120" s="1332"/>
      <c r="J120" s="1330">
        <v>0</v>
      </c>
      <c r="K120" s="1331"/>
      <c r="L120" s="1332"/>
      <c r="M120" s="1330">
        <v>39.405723760968279</v>
      </c>
      <c r="N120" s="1331"/>
      <c r="O120" s="1332"/>
      <c r="P120" s="1333">
        <v>0.11405459482928142</v>
      </c>
      <c r="Q120" s="1334"/>
      <c r="R120" s="1335"/>
      <c r="S120" s="1333">
        <v>0.1148871101200061</v>
      </c>
      <c r="T120" s="1334"/>
      <c r="U120" s="1335"/>
      <c r="V120" s="1333">
        <v>0.11655214070145546</v>
      </c>
      <c r="W120" s="1334"/>
      <c r="X120" s="1335"/>
      <c r="Y120" s="1330">
        <v>3991</v>
      </c>
      <c r="Z120" s="1331"/>
      <c r="AA120" s="1332"/>
      <c r="AB120" s="1330">
        <v>0</v>
      </c>
      <c r="AC120" s="1331"/>
      <c r="AD120" s="1332"/>
      <c r="AE120" s="1330">
        <v>1852</v>
      </c>
      <c r="AF120" s="1331"/>
      <c r="AG120" s="1332"/>
      <c r="AH120" s="1333">
        <v>3.665</v>
      </c>
      <c r="AI120" s="1334"/>
      <c r="AJ120" s="1335"/>
      <c r="AK120" s="1333">
        <v>3.6890000000000001</v>
      </c>
      <c r="AL120" s="1334"/>
      <c r="AM120" s="1335"/>
      <c r="AN120" s="1333">
        <v>3.7349999999999999</v>
      </c>
      <c r="AO120" s="1334"/>
      <c r="AP120" s="1335"/>
    </row>
    <row r="121" spans="1:42" x14ac:dyDescent="0.25">
      <c r="A121" s="1336">
        <v>2049</v>
      </c>
      <c r="B121" s="1337"/>
      <c r="C121" s="1338"/>
      <c r="D121" s="1336">
        <v>24</v>
      </c>
      <c r="E121" s="1337"/>
      <c r="F121" s="1338"/>
      <c r="G121" s="1330">
        <v>80.109961937658056</v>
      </c>
      <c r="H121" s="1331"/>
      <c r="I121" s="1332"/>
      <c r="J121" s="1330">
        <v>0</v>
      </c>
      <c r="K121" s="1331"/>
      <c r="L121" s="1332"/>
      <c r="M121" s="1330">
        <v>37.17521109525309</v>
      </c>
      <c r="N121" s="1331"/>
      <c r="O121" s="1332"/>
      <c r="P121" s="1333">
        <v>0.11074024150205673</v>
      </c>
      <c r="Q121" s="1334"/>
      <c r="R121" s="1335"/>
      <c r="S121" s="1333">
        <v>0.11152563328575926</v>
      </c>
      <c r="T121" s="1334"/>
      <c r="U121" s="1335"/>
      <c r="V121" s="1333">
        <v>0.11335821411439849</v>
      </c>
      <c r="W121" s="1334"/>
      <c r="X121" s="1335"/>
      <c r="Y121" s="1330">
        <v>4071</v>
      </c>
      <c r="Z121" s="1331"/>
      <c r="AA121" s="1332"/>
      <c r="AB121" s="1330">
        <v>0</v>
      </c>
      <c r="AC121" s="1331"/>
      <c r="AD121" s="1332"/>
      <c r="AE121" s="1330">
        <v>1889</v>
      </c>
      <c r="AF121" s="1331"/>
      <c r="AG121" s="1332"/>
      <c r="AH121" s="1333">
        <v>3.7749999999999999</v>
      </c>
      <c r="AI121" s="1334"/>
      <c r="AJ121" s="1335"/>
      <c r="AK121" s="1333">
        <v>3.8</v>
      </c>
      <c r="AL121" s="1334"/>
      <c r="AM121" s="1335"/>
      <c r="AN121" s="1333">
        <v>3.8479999999999999</v>
      </c>
      <c r="AO121" s="1334"/>
      <c r="AP121" s="1335"/>
    </row>
    <row r="122" spans="1:42" x14ac:dyDescent="0.25">
      <c r="A122" s="1336">
        <v>2050</v>
      </c>
      <c r="B122" s="1337"/>
      <c r="C122" s="1338"/>
      <c r="D122" s="1336">
        <v>25</v>
      </c>
      <c r="E122" s="1337"/>
      <c r="F122" s="1338"/>
      <c r="G122" s="1330">
        <v>75.575435790243461</v>
      </c>
      <c r="H122" s="1331"/>
      <c r="I122" s="1332"/>
      <c r="J122" s="1330">
        <v>0</v>
      </c>
      <c r="K122" s="1331"/>
      <c r="L122" s="1332"/>
      <c r="M122" s="1330">
        <v>35.070953863446313</v>
      </c>
      <c r="N122" s="1331"/>
      <c r="O122" s="1332"/>
      <c r="P122" s="1333">
        <v>0.10768264707368022</v>
      </c>
      <c r="Q122" s="1334"/>
      <c r="R122" s="1335"/>
      <c r="S122" s="1333">
        <v>0.10842358271868262</v>
      </c>
      <c r="T122" s="1334"/>
      <c r="U122" s="1335"/>
      <c r="V122" s="1333">
        <v>0.11015243255702152</v>
      </c>
      <c r="W122" s="1334"/>
      <c r="X122" s="1335"/>
      <c r="Y122" s="1330">
        <v>4146</v>
      </c>
      <c r="Z122" s="1331"/>
      <c r="AA122" s="1332"/>
      <c r="AB122" s="1330">
        <v>0</v>
      </c>
      <c r="AC122" s="1331"/>
      <c r="AD122" s="1332"/>
      <c r="AE122" s="1330">
        <v>1924</v>
      </c>
      <c r="AF122" s="1331"/>
      <c r="AG122" s="1332"/>
      <c r="AH122" s="1333">
        <v>3.883</v>
      </c>
      <c r="AI122" s="1334"/>
      <c r="AJ122" s="1335"/>
      <c r="AK122" s="1333">
        <v>3.9089999999999998</v>
      </c>
      <c r="AL122" s="1334"/>
      <c r="AM122" s="1335"/>
      <c r="AN122" s="1333">
        <v>3.9580000000000002</v>
      </c>
      <c r="AO122" s="1334"/>
      <c r="AP122" s="1335"/>
    </row>
    <row r="123" spans="1:42" x14ac:dyDescent="0.25">
      <c r="A123" s="605"/>
      <c r="B123" s="605"/>
      <c r="C123" s="605"/>
      <c r="D123" s="605"/>
      <c r="E123" s="605"/>
      <c r="F123" s="605"/>
      <c r="G123" s="606"/>
      <c r="H123" s="606"/>
      <c r="I123" s="606"/>
      <c r="J123" s="606"/>
      <c r="K123" s="606"/>
      <c r="L123" s="606"/>
      <c r="M123" s="606"/>
      <c r="N123" s="606"/>
      <c r="O123" s="606"/>
      <c r="P123" s="607"/>
      <c r="Q123" s="607"/>
      <c r="R123" s="607"/>
      <c r="S123" s="607"/>
      <c r="T123" s="607"/>
      <c r="U123" s="607"/>
      <c r="V123" s="607"/>
      <c r="W123" s="607"/>
      <c r="X123" s="607"/>
      <c r="Y123" s="606"/>
      <c r="Z123" s="606"/>
      <c r="AA123" s="606"/>
      <c r="AB123" s="606"/>
      <c r="AC123" s="606"/>
      <c r="AD123" s="606"/>
      <c r="AE123" s="606"/>
      <c r="AF123" s="606"/>
      <c r="AG123" s="606"/>
      <c r="AH123" s="607"/>
      <c r="AI123" s="607"/>
      <c r="AJ123" s="607"/>
      <c r="AK123" s="607"/>
      <c r="AL123" s="607"/>
      <c r="AM123" s="607"/>
      <c r="AN123" s="607"/>
      <c r="AO123" s="607"/>
      <c r="AP123" s="607"/>
    </row>
    <row r="124" spans="1:42" x14ac:dyDescent="0.25">
      <c r="A124" s="462" t="s">
        <v>7271</v>
      </c>
      <c r="B124" s="462"/>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c r="AA124" s="462"/>
      <c r="AB124" s="462"/>
      <c r="AC124" s="462"/>
      <c r="AD124" s="462"/>
      <c r="AE124" s="462"/>
      <c r="AF124" s="462"/>
    </row>
    <row r="125" spans="1:42" x14ac:dyDescent="0.25">
      <c r="A125" s="462"/>
      <c r="B125" s="462"/>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c r="AA125" s="462"/>
      <c r="AB125" s="462"/>
      <c r="AC125" s="462"/>
      <c r="AD125" s="462"/>
      <c r="AE125" s="462"/>
      <c r="AF125" s="462"/>
    </row>
    <row r="126" spans="1:42" ht="25.5" customHeight="1" x14ac:dyDescent="0.25">
      <c r="A126" s="765"/>
      <c r="B126" s="765"/>
      <c r="C126" s="765"/>
      <c r="D126" s="765"/>
      <c r="E126" s="765"/>
      <c r="F126" s="765"/>
      <c r="G126" s="765"/>
      <c r="H126" s="766"/>
      <c r="I126" s="766"/>
      <c r="J126" s="766"/>
      <c r="K126" s="1207" t="s">
        <v>1020</v>
      </c>
      <c r="L126" s="1208"/>
      <c r="M126" s="1208"/>
      <c r="N126" s="1209"/>
      <c r="O126" s="767"/>
      <c r="P126" s="768"/>
      <c r="Q126" s="768"/>
      <c r="R126" s="768"/>
      <c r="S126" s="768"/>
      <c r="T126" s="768"/>
      <c r="U126" s="769"/>
      <c r="V126" s="769"/>
      <c r="W126" s="769"/>
      <c r="X126" s="769"/>
      <c r="Y126" s="769"/>
      <c r="Z126" s="765"/>
      <c r="AA126" s="765"/>
      <c r="AB126" s="765"/>
      <c r="AC126" s="765"/>
      <c r="AD126" s="765"/>
      <c r="AE126" s="765"/>
      <c r="AF126" s="770"/>
      <c r="AG126" s="771"/>
      <c r="AH126" s="771"/>
      <c r="AI126" s="771"/>
      <c r="AJ126" s="771"/>
      <c r="AK126" s="771"/>
      <c r="AL126" s="771"/>
      <c r="AM126" s="771"/>
      <c r="AN126" s="771"/>
      <c r="AO126" s="771"/>
      <c r="AP126" s="771"/>
    </row>
    <row r="127" spans="1:42" x14ac:dyDescent="0.25">
      <c r="A127" s="772"/>
      <c r="B127" s="772"/>
      <c r="C127" s="772"/>
      <c r="D127" s="772"/>
      <c r="E127" s="772"/>
      <c r="F127" s="772"/>
      <c r="G127" s="772"/>
      <c r="H127" s="773"/>
      <c r="I127" s="773"/>
      <c r="J127" s="773"/>
      <c r="K127" s="1210">
        <v>0.06</v>
      </c>
      <c r="L127" s="1211"/>
      <c r="M127" s="1211"/>
      <c r="N127" s="1212"/>
      <c r="O127" s="774"/>
      <c r="P127" s="775"/>
      <c r="Q127" s="775"/>
      <c r="R127" s="775"/>
      <c r="S127" s="775"/>
      <c r="T127" s="775"/>
      <c r="U127" s="776"/>
      <c r="V127" s="776"/>
      <c r="W127" s="776"/>
      <c r="X127" s="776"/>
      <c r="Y127" s="776"/>
      <c r="Z127" s="772"/>
      <c r="AA127" s="772"/>
      <c r="AB127" s="772"/>
      <c r="AC127" s="772"/>
      <c r="AD127" s="772"/>
      <c r="AE127" s="772"/>
      <c r="AF127" s="777"/>
      <c r="AG127" s="771"/>
      <c r="AH127" s="771"/>
      <c r="AI127" s="771"/>
      <c r="AJ127" s="771"/>
      <c r="AK127" s="771"/>
      <c r="AL127" s="771"/>
      <c r="AM127" s="771"/>
      <c r="AN127" s="771"/>
      <c r="AO127" s="771"/>
      <c r="AP127" s="771"/>
    </row>
    <row r="128" spans="1:42" x14ac:dyDescent="0.25">
      <c r="A128" s="772"/>
      <c r="B128" s="772"/>
      <c r="C128" s="772"/>
      <c r="D128" s="772"/>
      <c r="E128" s="772"/>
      <c r="F128" s="772"/>
      <c r="G128" s="772"/>
      <c r="H128" s="773"/>
      <c r="I128" s="773"/>
      <c r="J128" s="773"/>
      <c r="K128" s="773"/>
      <c r="L128" s="773"/>
      <c r="M128" s="778"/>
      <c r="N128" s="778"/>
      <c r="O128" s="778"/>
      <c r="P128" s="778"/>
      <c r="Q128" s="778"/>
      <c r="R128" s="778"/>
      <c r="S128" s="778"/>
      <c r="T128" s="778"/>
      <c r="U128" s="778"/>
      <c r="V128" s="778"/>
      <c r="W128" s="778"/>
      <c r="X128" s="778"/>
      <c r="Y128" s="778"/>
      <c r="Z128" s="778"/>
      <c r="AA128" s="778"/>
      <c r="AB128" s="778"/>
      <c r="AC128" s="778"/>
      <c r="AD128" s="778"/>
      <c r="AE128" s="772"/>
      <c r="AF128" s="772"/>
      <c r="AG128" s="772"/>
      <c r="AH128" s="772"/>
      <c r="AI128" s="772"/>
      <c r="AJ128" s="772"/>
      <c r="AK128" s="772"/>
      <c r="AL128" s="772"/>
      <c r="AM128" s="772"/>
      <c r="AN128" s="777"/>
      <c r="AO128" s="771"/>
      <c r="AP128" s="771"/>
    </row>
    <row r="129" spans="1:42" ht="38.25" customHeight="1" x14ac:dyDescent="0.25">
      <c r="A129" s="192"/>
      <c r="B129" s="192"/>
      <c r="C129" s="192"/>
      <c r="D129" s="192"/>
      <c r="E129" s="192"/>
      <c r="F129" s="192"/>
      <c r="G129" s="1213" t="s">
        <v>3525</v>
      </c>
      <c r="H129" s="1214"/>
      <c r="I129" s="1214"/>
      <c r="J129" s="1214"/>
      <c r="K129" s="1214"/>
      <c r="L129" s="1214"/>
      <c r="M129" s="1214"/>
      <c r="N129" s="1214"/>
      <c r="O129" s="1215"/>
      <c r="P129" s="1213" t="s">
        <v>3528</v>
      </c>
      <c r="Q129" s="1214"/>
      <c r="R129" s="1214"/>
      <c r="S129" s="1214"/>
      <c r="T129" s="1214"/>
      <c r="U129" s="1214"/>
      <c r="V129" s="1214"/>
      <c r="W129" s="1214"/>
      <c r="X129" s="1215"/>
      <c r="Y129" s="1207" t="s">
        <v>3529</v>
      </c>
      <c r="Z129" s="1208"/>
      <c r="AA129" s="1208"/>
      <c r="AB129" s="1208"/>
      <c r="AC129" s="1208"/>
      <c r="AD129" s="1208"/>
      <c r="AE129" s="1208"/>
      <c r="AF129" s="1208"/>
      <c r="AG129" s="1209"/>
      <c r="AH129" s="1207" t="s">
        <v>3530</v>
      </c>
      <c r="AI129" s="1208"/>
      <c r="AJ129" s="1208"/>
      <c r="AK129" s="1208"/>
      <c r="AL129" s="1208"/>
      <c r="AM129" s="1208"/>
      <c r="AN129" s="1208"/>
      <c r="AO129" s="1208"/>
      <c r="AP129" s="1209"/>
    </row>
    <row r="130" spans="1:42" x14ac:dyDescent="0.25">
      <c r="A130" s="192"/>
      <c r="B130" s="192"/>
      <c r="C130" s="192"/>
      <c r="D130" s="192"/>
      <c r="E130" s="192"/>
      <c r="F130" s="192"/>
      <c r="G130" s="1216" t="s">
        <v>877</v>
      </c>
      <c r="H130" s="1217"/>
      <c r="I130" s="1218"/>
      <c r="J130" s="1216" t="s">
        <v>878</v>
      </c>
      <c r="K130" s="1217"/>
      <c r="L130" s="1218"/>
      <c r="M130" s="1216" t="s">
        <v>3515</v>
      </c>
      <c r="N130" s="1217"/>
      <c r="O130" s="1218"/>
      <c r="P130" s="1216" t="s">
        <v>877</v>
      </c>
      <c r="Q130" s="1217"/>
      <c r="R130" s="1218"/>
      <c r="S130" s="1216" t="s">
        <v>878</v>
      </c>
      <c r="T130" s="1217"/>
      <c r="U130" s="1218"/>
      <c r="V130" s="1216" t="s">
        <v>3515</v>
      </c>
      <c r="W130" s="1217"/>
      <c r="X130" s="1218"/>
      <c r="Y130" s="1216" t="s">
        <v>877</v>
      </c>
      <c r="Z130" s="1217"/>
      <c r="AA130" s="1218"/>
      <c r="AB130" s="1216" t="s">
        <v>878</v>
      </c>
      <c r="AC130" s="1217"/>
      <c r="AD130" s="1218"/>
      <c r="AE130" s="1216" t="s">
        <v>3515</v>
      </c>
      <c r="AF130" s="1217"/>
      <c r="AG130" s="1218"/>
      <c r="AH130" s="1216" t="s">
        <v>877</v>
      </c>
      <c r="AI130" s="1217"/>
      <c r="AJ130" s="1218"/>
      <c r="AK130" s="1216" t="s">
        <v>878</v>
      </c>
      <c r="AL130" s="1217"/>
      <c r="AM130" s="1218"/>
      <c r="AN130" s="1216" t="s">
        <v>3515</v>
      </c>
      <c r="AO130" s="1217"/>
      <c r="AP130" s="1218"/>
    </row>
    <row r="131" spans="1:42" ht="27" customHeight="1" x14ac:dyDescent="0.25">
      <c r="A131" s="1204" t="s">
        <v>1017</v>
      </c>
      <c r="B131" s="1205"/>
      <c r="C131" s="1206"/>
      <c r="D131" s="1207" t="s">
        <v>3524</v>
      </c>
      <c r="E131" s="1208"/>
      <c r="F131" s="1209"/>
      <c r="G131" s="1207" t="s">
        <v>3526</v>
      </c>
      <c r="H131" s="1208"/>
      <c r="I131" s="1209"/>
      <c r="J131" s="1201" t="s">
        <v>3526</v>
      </c>
      <c r="K131" s="1202"/>
      <c r="L131" s="1203"/>
      <c r="M131" s="1201" t="s">
        <v>3526</v>
      </c>
      <c r="N131" s="1202"/>
      <c r="O131" s="1203"/>
      <c r="P131" s="1201" t="s">
        <v>3527</v>
      </c>
      <c r="Q131" s="1202"/>
      <c r="R131" s="1203"/>
      <c r="S131" s="1201" t="s">
        <v>3527</v>
      </c>
      <c r="T131" s="1202"/>
      <c r="U131" s="1203"/>
      <c r="V131" s="1201" t="s">
        <v>3527</v>
      </c>
      <c r="W131" s="1202"/>
      <c r="X131" s="1203"/>
      <c r="Y131" s="1201" t="s">
        <v>2288</v>
      </c>
      <c r="Z131" s="1202"/>
      <c r="AA131" s="1203"/>
      <c r="AB131" s="1201" t="s">
        <v>2288</v>
      </c>
      <c r="AC131" s="1202"/>
      <c r="AD131" s="1203"/>
      <c r="AE131" s="1201" t="s">
        <v>2288</v>
      </c>
      <c r="AF131" s="1202"/>
      <c r="AG131" s="1203"/>
      <c r="AH131" s="1201" t="s">
        <v>2289</v>
      </c>
      <c r="AI131" s="1202"/>
      <c r="AJ131" s="1203"/>
      <c r="AK131" s="1201" t="s">
        <v>2289</v>
      </c>
      <c r="AL131" s="1202"/>
      <c r="AM131" s="1203"/>
      <c r="AN131" s="1201" t="s">
        <v>2289</v>
      </c>
      <c r="AO131" s="1202"/>
      <c r="AP131" s="1203"/>
    </row>
    <row r="132" spans="1:42" x14ac:dyDescent="0.25">
      <c r="A132" s="1336">
        <v>2027</v>
      </c>
      <c r="B132" s="1337"/>
      <c r="C132" s="1338"/>
      <c r="D132" s="1336">
        <v>1</v>
      </c>
      <c r="E132" s="1337"/>
      <c r="F132" s="1338"/>
      <c r="G132" s="1330">
        <v>313</v>
      </c>
      <c r="H132" s="1331"/>
      <c r="I132" s="1332"/>
      <c r="J132" s="1330">
        <v>0</v>
      </c>
      <c r="K132" s="1331"/>
      <c r="L132" s="1332"/>
      <c r="M132" s="1330">
        <v>145</v>
      </c>
      <c r="N132" s="1331"/>
      <c r="O132" s="1332"/>
      <c r="P132" s="1333">
        <v>0.221</v>
      </c>
      <c r="Q132" s="1334"/>
      <c r="R132" s="1335"/>
      <c r="S132" s="1333">
        <v>0.222</v>
      </c>
      <c r="T132" s="1334"/>
      <c r="U132" s="1335"/>
      <c r="V132" s="1333">
        <v>0.22500000000000001</v>
      </c>
      <c r="W132" s="1334"/>
      <c r="X132" s="1335"/>
      <c r="Y132" s="1330">
        <v>313</v>
      </c>
      <c r="Z132" s="1331"/>
      <c r="AA132" s="1332"/>
      <c r="AB132" s="1330">
        <v>0</v>
      </c>
      <c r="AC132" s="1331"/>
      <c r="AD132" s="1332"/>
      <c r="AE132" s="1330">
        <v>145</v>
      </c>
      <c r="AF132" s="1331"/>
      <c r="AG132" s="1332"/>
      <c r="AH132" s="1333">
        <v>0.221</v>
      </c>
      <c r="AI132" s="1334"/>
      <c r="AJ132" s="1335"/>
      <c r="AK132" s="1333">
        <v>0.222</v>
      </c>
      <c r="AL132" s="1334"/>
      <c r="AM132" s="1335"/>
      <c r="AN132" s="1333">
        <v>0.22500000000000001</v>
      </c>
      <c r="AO132" s="1334"/>
      <c r="AP132" s="1335"/>
    </row>
    <row r="133" spans="1:42" x14ac:dyDescent="0.25">
      <c r="A133" s="1336">
        <v>2028</v>
      </c>
      <c r="B133" s="1337"/>
      <c r="C133" s="1338"/>
      <c r="D133" s="1336">
        <v>2</v>
      </c>
      <c r="E133" s="1337"/>
      <c r="F133" s="1338"/>
      <c r="G133" s="1330">
        <v>295.28301886792451</v>
      </c>
      <c r="H133" s="1331"/>
      <c r="I133" s="1332"/>
      <c r="J133" s="1330">
        <v>0</v>
      </c>
      <c r="K133" s="1331"/>
      <c r="L133" s="1332"/>
      <c r="M133" s="1330">
        <v>136.79245283018867</v>
      </c>
      <c r="N133" s="1331"/>
      <c r="O133" s="1332"/>
      <c r="P133" s="1333">
        <v>0.21509433962264152</v>
      </c>
      <c r="Q133" s="1334"/>
      <c r="R133" s="1335"/>
      <c r="S133" s="1333">
        <v>0.21603773584905661</v>
      </c>
      <c r="T133" s="1334"/>
      <c r="U133" s="1335"/>
      <c r="V133" s="1333">
        <v>0.21886792452830189</v>
      </c>
      <c r="W133" s="1334"/>
      <c r="X133" s="1335"/>
      <c r="Y133" s="1330">
        <v>608</v>
      </c>
      <c r="Z133" s="1331"/>
      <c r="AA133" s="1332"/>
      <c r="AB133" s="1330">
        <v>0</v>
      </c>
      <c r="AC133" s="1331"/>
      <c r="AD133" s="1332"/>
      <c r="AE133" s="1330">
        <v>282</v>
      </c>
      <c r="AF133" s="1331"/>
      <c r="AG133" s="1332"/>
      <c r="AH133" s="1333">
        <v>0.436</v>
      </c>
      <c r="AI133" s="1334"/>
      <c r="AJ133" s="1335"/>
      <c r="AK133" s="1333">
        <v>0.438</v>
      </c>
      <c r="AL133" s="1334"/>
      <c r="AM133" s="1335"/>
      <c r="AN133" s="1333">
        <v>0.44400000000000001</v>
      </c>
      <c r="AO133" s="1334"/>
      <c r="AP133" s="1335"/>
    </row>
    <row r="134" spans="1:42" x14ac:dyDescent="0.25">
      <c r="A134" s="1336">
        <v>2029</v>
      </c>
      <c r="B134" s="1337"/>
      <c r="C134" s="1338"/>
      <c r="D134" s="1336">
        <v>3</v>
      </c>
      <c r="E134" s="1337"/>
      <c r="F134" s="1338"/>
      <c r="G134" s="1330">
        <v>278.56888572445706</v>
      </c>
      <c r="H134" s="1331"/>
      <c r="I134" s="1332"/>
      <c r="J134" s="1330">
        <v>0</v>
      </c>
      <c r="K134" s="1331"/>
      <c r="L134" s="1332"/>
      <c r="M134" s="1330">
        <v>129.04948380206477</v>
      </c>
      <c r="N134" s="1331"/>
      <c r="O134" s="1332"/>
      <c r="P134" s="1333">
        <v>0.20914916340334636</v>
      </c>
      <c r="Q134" s="1334"/>
      <c r="R134" s="1335"/>
      <c r="S134" s="1333">
        <v>0.21003915984336058</v>
      </c>
      <c r="T134" s="1334"/>
      <c r="U134" s="1335"/>
      <c r="V134" s="1333">
        <v>0.2127091491634033</v>
      </c>
      <c r="W134" s="1334"/>
      <c r="X134" s="1335"/>
      <c r="Y134" s="1330">
        <v>887</v>
      </c>
      <c r="Z134" s="1331"/>
      <c r="AA134" s="1332"/>
      <c r="AB134" s="1330">
        <v>0</v>
      </c>
      <c r="AC134" s="1331"/>
      <c r="AD134" s="1332"/>
      <c r="AE134" s="1330">
        <v>411</v>
      </c>
      <c r="AF134" s="1331"/>
      <c r="AG134" s="1332"/>
      <c r="AH134" s="1333">
        <v>0.64500000000000002</v>
      </c>
      <c r="AI134" s="1334"/>
      <c r="AJ134" s="1335"/>
      <c r="AK134" s="1333">
        <v>0.64800000000000002</v>
      </c>
      <c r="AL134" s="1334"/>
      <c r="AM134" s="1335"/>
      <c r="AN134" s="1333">
        <v>0.65700000000000003</v>
      </c>
      <c r="AO134" s="1334"/>
      <c r="AP134" s="1335"/>
    </row>
    <row r="135" spans="1:42" x14ac:dyDescent="0.25">
      <c r="A135" s="1336">
        <v>2030</v>
      </c>
      <c r="B135" s="1337"/>
      <c r="C135" s="1338"/>
      <c r="D135" s="1336">
        <v>4</v>
      </c>
      <c r="E135" s="1337"/>
      <c r="F135" s="1338"/>
      <c r="G135" s="1330">
        <v>262.80083558911042</v>
      </c>
      <c r="H135" s="1331"/>
      <c r="I135" s="1332"/>
      <c r="J135" s="1330">
        <v>0</v>
      </c>
      <c r="K135" s="1331"/>
      <c r="L135" s="1332"/>
      <c r="M135" s="1330">
        <v>121.74479603968373</v>
      </c>
      <c r="N135" s="1331"/>
      <c r="O135" s="1332"/>
      <c r="P135" s="1333">
        <v>0.20318786649381698</v>
      </c>
      <c r="Q135" s="1334"/>
      <c r="R135" s="1335"/>
      <c r="S135" s="1333">
        <v>0.20402748577684929</v>
      </c>
      <c r="T135" s="1334"/>
      <c r="U135" s="1335"/>
      <c r="V135" s="1333">
        <v>0.2065463436259462</v>
      </c>
      <c r="W135" s="1334"/>
      <c r="X135" s="1335"/>
      <c r="Y135" s="1330">
        <v>1150</v>
      </c>
      <c r="Z135" s="1331"/>
      <c r="AA135" s="1332"/>
      <c r="AB135" s="1330">
        <v>0</v>
      </c>
      <c r="AC135" s="1331"/>
      <c r="AD135" s="1332"/>
      <c r="AE135" s="1330">
        <v>533</v>
      </c>
      <c r="AF135" s="1331"/>
      <c r="AG135" s="1332"/>
      <c r="AH135" s="1333">
        <v>0.84799999999999998</v>
      </c>
      <c r="AI135" s="1334"/>
      <c r="AJ135" s="1335"/>
      <c r="AK135" s="1333">
        <v>0.85199999999999998</v>
      </c>
      <c r="AL135" s="1334"/>
      <c r="AM135" s="1335"/>
      <c r="AN135" s="1333">
        <v>0.86299999999999999</v>
      </c>
      <c r="AO135" s="1334"/>
      <c r="AP135" s="1335"/>
    </row>
    <row r="136" spans="1:42" x14ac:dyDescent="0.25">
      <c r="A136" s="1336">
        <v>2031</v>
      </c>
      <c r="B136" s="1337"/>
      <c r="C136" s="1338"/>
      <c r="D136" s="1336">
        <v>5</v>
      </c>
      <c r="E136" s="1337"/>
      <c r="F136" s="1338"/>
      <c r="G136" s="1330">
        <v>247.92531659350038</v>
      </c>
      <c r="H136" s="1331"/>
      <c r="I136" s="1332"/>
      <c r="J136" s="1330">
        <v>0</v>
      </c>
      <c r="K136" s="1331"/>
      <c r="L136" s="1332"/>
      <c r="M136" s="1330">
        <v>114.85358116951296</v>
      </c>
      <c r="N136" s="1331"/>
      <c r="O136" s="1332"/>
      <c r="P136" s="1333">
        <v>0.19723132214626707</v>
      </c>
      <c r="Q136" s="1334"/>
      <c r="R136" s="1335"/>
      <c r="S136" s="1333">
        <v>0.19802341580950511</v>
      </c>
      <c r="T136" s="1334"/>
      <c r="U136" s="1335"/>
      <c r="V136" s="1333">
        <v>0.20039969679921915</v>
      </c>
      <c r="W136" s="1334"/>
      <c r="X136" s="1335"/>
      <c r="Y136" s="1330">
        <v>1398</v>
      </c>
      <c r="Z136" s="1331"/>
      <c r="AA136" s="1332"/>
      <c r="AB136" s="1330">
        <v>0</v>
      </c>
      <c r="AC136" s="1331"/>
      <c r="AD136" s="1332"/>
      <c r="AE136" s="1330">
        <v>647</v>
      </c>
      <c r="AF136" s="1331"/>
      <c r="AG136" s="1332"/>
      <c r="AH136" s="1333">
        <v>1.046</v>
      </c>
      <c r="AI136" s="1334"/>
      <c r="AJ136" s="1335"/>
      <c r="AK136" s="1333">
        <v>1.05</v>
      </c>
      <c r="AL136" s="1334"/>
      <c r="AM136" s="1335"/>
      <c r="AN136" s="1333">
        <v>1.0640000000000001</v>
      </c>
      <c r="AO136" s="1334"/>
      <c r="AP136" s="1335"/>
    </row>
    <row r="137" spans="1:42" x14ac:dyDescent="0.25">
      <c r="A137" s="1336">
        <v>2032</v>
      </c>
      <c r="B137" s="1337"/>
      <c r="C137" s="1338"/>
      <c r="D137" s="1336">
        <v>6</v>
      </c>
      <c r="E137" s="1337"/>
      <c r="F137" s="1338"/>
      <c r="G137" s="1330">
        <v>233.8918081070758</v>
      </c>
      <c r="H137" s="1331"/>
      <c r="I137" s="1332"/>
      <c r="J137" s="1330">
        <v>0</v>
      </c>
      <c r="K137" s="1331"/>
      <c r="L137" s="1332"/>
      <c r="M137" s="1330">
        <v>108.35243506557825</v>
      </c>
      <c r="N137" s="1331"/>
      <c r="O137" s="1332"/>
      <c r="P137" s="1333">
        <v>0.19129809225371056</v>
      </c>
      <c r="Q137" s="1334"/>
      <c r="R137" s="1335"/>
      <c r="S137" s="1333">
        <v>0.19279260859944269</v>
      </c>
      <c r="T137" s="1334"/>
      <c r="U137" s="1335"/>
      <c r="V137" s="1333">
        <v>0.19503438311804086</v>
      </c>
      <c r="W137" s="1334"/>
      <c r="X137" s="1335"/>
      <c r="Y137" s="1330">
        <v>1631</v>
      </c>
      <c r="Z137" s="1331"/>
      <c r="AA137" s="1332"/>
      <c r="AB137" s="1330">
        <v>0</v>
      </c>
      <c r="AC137" s="1331"/>
      <c r="AD137" s="1332"/>
      <c r="AE137" s="1330">
        <v>756</v>
      </c>
      <c r="AF137" s="1331"/>
      <c r="AG137" s="1332"/>
      <c r="AH137" s="1333">
        <v>1.2370000000000001</v>
      </c>
      <c r="AI137" s="1334"/>
      <c r="AJ137" s="1335"/>
      <c r="AK137" s="1333">
        <v>1.2430000000000001</v>
      </c>
      <c r="AL137" s="1334"/>
      <c r="AM137" s="1335"/>
      <c r="AN137" s="1333">
        <v>1.2589999999999999</v>
      </c>
      <c r="AO137" s="1334"/>
      <c r="AP137" s="1335"/>
    </row>
    <row r="138" spans="1:42" x14ac:dyDescent="0.25">
      <c r="A138" s="1336">
        <v>2033</v>
      </c>
      <c r="B138" s="1337"/>
      <c r="C138" s="1338"/>
      <c r="D138" s="1336">
        <v>7</v>
      </c>
      <c r="E138" s="1337"/>
      <c r="F138" s="1338"/>
      <c r="G138" s="1330">
        <v>220.65264915761867</v>
      </c>
      <c r="H138" s="1331"/>
      <c r="I138" s="1332"/>
      <c r="J138" s="1330">
        <v>0</v>
      </c>
      <c r="K138" s="1331"/>
      <c r="L138" s="1332"/>
      <c r="M138" s="1330">
        <v>102.21927836375306</v>
      </c>
      <c r="N138" s="1331"/>
      <c r="O138" s="1332"/>
      <c r="P138" s="1333">
        <v>0.18610958267607455</v>
      </c>
      <c r="Q138" s="1334"/>
      <c r="R138" s="1335"/>
      <c r="S138" s="1333">
        <v>0.18751950375695389</v>
      </c>
      <c r="T138" s="1334"/>
      <c r="U138" s="1335"/>
      <c r="V138" s="1333">
        <v>0.18963438537827293</v>
      </c>
      <c r="W138" s="1334"/>
      <c r="X138" s="1335"/>
      <c r="Y138" s="1330">
        <v>1852</v>
      </c>
      <c r="Z138" s="1331"/>
      <c r="AA138" s="1332"/>
      <c r="AB138" s="1330">
        <v>0</v>
      </c>
      <c r="AC138" s="1331"/>
      <c r="AD138" s="1332"/>
      <c r="AE138" s="1330">
        <v>858</v>
      </c>
      <c r="AF138" s="1331"/>
      <c r="AG138" s="1332"/>
      <c r="AH138" s="1333">
        <v>1.423</v>
      </c>
      <c r="AI138" s="1334"/>
      <c r="AJ138" s="1335"/>
      <c r="AK138" s="1333">
        <v>1.43</v>
      </c>
      <c r="AL138" s="1334"/>
      <c r="AM138" s="1335"/>
      <c r="AN138" s="1333">
        <v>1.448</v>
      </c>
      <c r="AO138" s="1334"/>
      <c r="AP138" s="1335"/>
    </row>
    <row r="139" spans="1:42" x14ac:dyDescent="0.25">
      <c r="A139" s="1336">
        <v>2034</v>
      </c>
      <c r="B139" s="1337"/>
      <c r="C139" s="1338"/>
      <c r="D139" s="1336">
        <v>8</v>
      </c>
      <c r="E139" s="1337"/>
      <c r="F139" s="1338"/>
      <c r="G139" s="1330">
        <v>208.16287656379117</v>
      </c>
      <c r="H139" s="1331"/>
      <c r="I139" s="1332"/>
      <c r="J139" s="1330">
        <v>0</v>
      </c>
      <c r="K139" s="1331"/>
      <c r="L139" s="1332"/>
      <c r="M139" s="1330">
        <v>96.433281475238729</v>
      </c>
      <c r="N139" s="1331"/>
      <c r="O139" s="1332"/>
      <c r="P139" s="1333">
        <v>0.18089553490527541</v>
      </c>
      <c r="Q139" s="1334"/>
      <c r="R139" s="1335"/>
      <c r="S139" s="1333">
        <v>0.1822256491325201</v>
      </c>
      <c r="T139" s="1334"/>
      <c r="U139" s="1335"/>
      <c r="V139" s="1333">
        <v>0.18422082047338709</v>
      </c>
      <c r="W139" s="1334"/>
      <c r="X139" s="1335"/>
      <c r="Y139" s="1330">
        <v>2060</v>
      </c>
      <c r="Z139" s="1331"/>
      <c r="AA139" s="1332"/>
      <c r="AB139" s="1330">
        <v>0</v>
      </c>
      <c r="AC139" s="1331"/>
      <c r="AD139" s="1332"/>
      <c r="AE139" s="1330">
        <v>954</v>
      </c>
      <c r="AF139" s="1331"/>
      <c r="AG139" s="1332"/>
      <c r="AH139" s="1333">
        <v>1.6040000000000001</v>
      </c>
      <c r="AI139" s="1334"/>
      <c r="AJ139" s="1335"/>
      <c r="AK139" s="1333">
        <v>1.613</v>
      </c>
      <c r="AL139" s="1334"/>
      <c r="AM139" s="1335"/>
      <c r="AN139" s="1333">
        <v>1.6319999999999999</v>
      </c>
      <c r="AO139" s="1334"/>
      <c r="AP139" s="1335"/>
    </row>
    <row r="140" spans="1:42" x14ac:dyDescent="0.25">
      <c r="A140" s="1336">
        <v>2035</v>
      </c>
      <c r="B140" s="1337"/>
      <c r="C140" s="1338"/>
      <c r="D140" s="1336">
        <v>9</v>
      </c>
      <c r="E140" s="1337"/>
      <c r="F140" s="1338"/>
      <c r="G140" s="1330">
        <v>196.3800722299917</v>
      </c>
      <c r="H140" s="1331"/>
      <c r="I140" s="1332"/>
      <c r="J140" s="1330">
        <v>0</v>
      </c>
      <c r="K140" s="1331"/>
      <c r="L140" s="1332"/>
      <c r="M140" s="1330">
        <v>90.974793844564843</v>
      </c>
      <c r="N140" s="1331"/>
      <c r="O140" s="1332"/>
      <c r="P140" s="1333">
        <v>0.17567546397571143</v>
      </c>
      <c r="Q140" s="1334"/>
      <c r="R140" s="1335"/>
      <c r="S140" s="1333">
        <v>0.17693028871839506</v>
      </c>
      <c r="T140" s="1334"/>
      <c r="U140" s="1335"/>
      <c r="V140" s="1333">
        <v>0.17881252583242055</v>
      </c>
      <c r="W140" s="1334"/>
      <c r="X140" s="1335"/>
      <c r="Y140" s="1330">
        <v>2257</v>
      </c>
      <c r="Z140" s="1331"/>
      <c r="AA140" s="1332"/>
      <c r="AB140" s="1330">
        <v>0</v>
      </c>
      <c r="AC140" s="1331"/>
      <c r="AD140" s="1332"/>
      <c r="AE140" s="1330">
        <v>1045</v>
      </c>
      <c r="AF140" s="1331"/>
      <c r="AG140" s="1332"/>
      <c r="AH140" s="1333">
        <v>1.78</v>
      </c>
      <c r="AI140" s="1334"/>
      <c r="AJ140" s="1335"/>
      <c r="AK140" s="1333">
        <v>1.79</v>
      </c>
      <c r="AL140" s="1334"/>
      <c r="AM140" s="1335"/>
      <c r="AN140" s="1333">
        <v>1.8109999999999999</v>
      </c>
      <c r="AO140" s="1334"/>
      <c r="AP140" s="1335"/>
    </row>
    <row r="141" spans="1:42" x14ac:dyDescent="0.25">
      <c r="A141" s="1336">
        <v>2036</v>
      </c>
      <c r="B141" s="1337"/>
      <c r="C141" s="1338"/>
      <c r="D141" s="1336">
        <v>10</v>
      </c>
      <c r="E141" s="1337"/>
      <c r="F141" s="1338"/>
      <c r="G141" s="1330">
        <v>185.26421908489783</v>
      </c>
      <c r="H141" s="1331"/>
      <c r="I141" s="1332"/>
      <c r="J141" s="1330">
        <v>0</v>
      </c>
      <c r="K141" s="1331"/>
      <c r="L141" s="1332"/>
      <c r="M141" s="1330">
        <v>85.825277211853631</v>
      </c>
      <c r="N141" s="1331"/>
      <c r="O141" s="1332"/>
      <c r="P141" s="1333">
        <v>0.17046675749664719</v>
      </c>
      <c r="Q141" s="1334"/>
      <c r="R141" s="1335"/>
      <c r="S141" s="1333">
        <v>0.17165055442370725</v>
      </c>
      <c r="T141" s="1334"/>
      <c r="U141" s="1335"/>
      <c r="V141" s="1333">
        <v>0.17401814827782733</v>
      </c>
      <c r="W141" s="1334"/>
      <c r="X141" s="1335"/>
      <c r="Y141" s="1330">
        <v>2442</v>
      </c>
      <c r="Z141" s="1331"/>
      <c r="AA141" s="1332"/>
      <c r="AB141" s="1330">
        <v>0</v>
      </c>
      <c r="AC141" s="1331"/>
      <c r="AD141" s="1332"/>
      <c r="AE141" s="1330">
        <v>1131</v>
      </c>
      <c r="AF141" s="1331"/>
      <c r="AG141" s="1332"/>
      <c r="AH141" s="1333">
        <v>1.95</v>
      </c>
      <c r="AI141" s="1334"/>
      <c r="AJ141" s="1335"/>
      <c r="AK141" s="1333">
        <v>1.9610000000000001</v>
      </c>
      <c r="AL141" s="1334"/>
      <c r="AM141" s="1335"/>
      <c r="AN141" s="1333">
        <v>1.9850000000000001</v>
      </c>
      <c r="AO141" s="1334"/>
      <c r="AP141" s="1335"/>
    </row>
    <row r="142" spans="1:42" x14ac:dyDescent="0.25">
      <c r="A142" s="1336">
        <v>2037</v>
      </c>
      <c r="B142" s="1337"/>
      <c r="C142" s="1338"/>
      <c r="D142" s="1336">
        <v>11</v>
      </c>
      <c r="E142" s="1337"/>
      <c r="F142" s="1338"/>
      <c r="G142" s="1330">
        <v>174.77756517443188</v>
      </c>
      <c r="H142" s="1331"/>
      <c r="I142" s="1332"/>
      <c r="J142" s="1330">
        <v>0</v>
      </c>
      <c r="K142" s="1331"/>
      <c r="L142" s="1332"/>
      <c r="M142" s="1330">
        <v>80.967242652692093</v>
      </c>
      <c r="N142" s="1331"/>
      <c r="O142" s="1332"/>
      <c r="P142" s="1333">
        <v>0.16584324874379</v>
      </c>
      <c r="Q142" s="1334"/>
      <c r="R142" s="1335"/>
      <c r="S142" s="1333">
        <v>0.16696003829762024</v>
      </c>
      <c r="T142" s="1334"/>
      <c r="U142" s="1335"/>
      <c r="V142" s="1333">
        <v>0.16919361740528072</v>
      </c>
      <c r="W142" s="1334"/>
      <c r="X142" s="1335"/>
      <c r="Y142" s="1330">
        <v>2617</v>
      </c>
      <c r="Z142" s="1331"/>
      <c r="AA142" s="1332"/>
      <c r="AB142" s="1330">
        <v>0</v>
      </c>
      <c r="AC142" s="1331"/>
      <c r="AD142" s="1332"/>
      <c r="AE142" s="1330">
        <v>1212</v>
      </c>
      <c r="AF142" s="1331"/>
      <c r="AG142" s="1332"/>
      <c r="AH142" s="1333">
        <v>2.1160000000000001</v>
      </c>
      <c r="AI142" s="1334"/>
      <c r="AJ142" s="1335"/>
      <c r="AK142" s="1333">
        <v>2.1280000000000001</v>
      </c>
      <c r="AL142" s="1334"/>
      <c r="AM142" s="1335"/>
      <c r="AN142" s="1333">
        <v>2.1539999999999999</v>
      </c>
      <c r="AO142" s="1334"/>
      <c r="AP142" s="1335"/>
    </row>
    <row r="143" spans="1:42" x14ac:dyDescent="0.25">
      <c r="A143" s="1336">
        <v>2038</v>
      </c>
      <c r="B143" s="1337"/>
      <c r="C143" s="1338"/>
      <c r="D143" s="1336">
        <v>12</v>
      </c>
      <c r="E143" s="1337"/>
      <c r="F143" s="1338"/>
      <c r="G143" s="1330">
        <v>164.88449544757722</v>
      </c>
      <c r="H143" s="1331"/>
      <c r="I143" s="1332"/>
      <c r="J143" s="1330">
        <v>0</v>
      </c>
      <c r="K143" s="1331"/>
      <c r="L143" s="1332"/>
      <c r="M143" s="1330">
        <v>76.384191181784985</v>
      </c>
      <c r="N143" s="1331"/>
      <c r="O143" s="1332"/>
      <c r="P143" s="1333">
        <v>0.16119698276983588</v>
      </c>
      <c r="Q143" s="1334"/>
      <c r="R143" s="1335"/>
      <c r="S143" s="1333">
        <v>0.16225055782061912</v>
      </c>
      <c r="T143" s="1334"/>
      <c r="U143" s="1335"/>
      <c r="V143" s="1333">
        <v>0.16435770792218563</v>
      </c>
      <c r="W143" s="1334"/>
      <c r="X143" s="1335"/>
      <c r="Y143" s="1330">
        <v>2782</v>
      </c>
      <c r="Z143" s="1331"/>
      <c r="AA143" s="1332"/>
      <c r="AB143" s="1330">
        <v>0</v>
      </c>
      <c r="AC143" s="1331"/>
      <c r="AD143" s="1332"/>
      <c r="AE143" s="1330">
        <v>1289</v>
      </c>
      <c r="AF143" s="1331"/>
      <c r="AG143" s="1332"/>
      <c r="AH143" s="1333">
        <v>2.2770000000000001</v>
      </c>
      <c r="AI143" s="1334"/>
      <c r="AJ143" s="1335"/>
      <c r="AK143" s="1333">
        <v>2.29</v>
      </c>
      <c r="AL143" s="1334"/>
      <c r="AM143" s="1335"/>
      <c r="AN143" s="1333">
        <v>2.319</v>
      </c>
      <c r="AO143" s="1334"/>
      <c r="AP143" s="1335"/>
    </row>
    <row r="144" spans="1:42" x14ac:dyDescent="0.25">
      <c r="A144" s="1336">
        <v>2039</v>
      </c>
      <c r="B144" s="1337"/>
      <c r="C144" s="1338"/>
      <c r="D144" s="1336">
        <v>13</v>
      </c>
      <c r="E144" s="1337"/>
      <c r="F144" s="1338"/>
      <c r="G144" s="1330">
        <v>155.55141079960114</v>
      </c>
      <c r="H144" s="1331"/>
      <c r="I144" s="1332"/>
      <c r="J144" s="1330">
        <v>0</v>
      </c>
      <c r="K144" s="1331"/>
      <c r="L144" s="1332"/>
      <c r="M144" s="1330">
        <v>72.060557718665066</v>
      </c>
      <c r="N144" s="1331"/>
      <c r="O144" s="1332"/>
      <c r="P144" s="1333">
        <v>0.15654534952675517</v>
      </c>
      <c r="Q144" s="1334"/>
      <c r="R144" s="1335"/>
      <c r="S144" s="1333">
        <v>0.15753928825390917</v>
      </c>
      <c r="T144" s="1334"/>
      <c r="U144" s="1335"/>
      <c r="V144" s="1333">
        <v>0.15952716570821715</v>
      </c>
      <c r="W144" s="1334"/>
      <c r="X144" s="1335"/>
      <c r="Y144" s="1330">
        <v>2937</v>
      </c>
      <c r="Z144" s="1331"/>
      <c r="AA144" s="1332"/>
      <c r="AB144" s="1330">
        <v>0</v>
      </c>
      <c r="AC144" s="1331"/>
      <c r="AD144" s="1332"/>
      <c r="AE144" s="1330">
        <v>1361</v>
      </c>
      <c r="AF144" s="1331"/>
      <c r="AG144" s="1332"/>
      <c r="AH144" s="1333">
        <v>2.4340000000000002</v>
      </c>
      <c r="AI144" s="1334"/>
      <c r="AJ144" s="1335"/>
      <c r="AK144" s="1333">
        <v>2.448</v>
      </c>
      <c r="AL144" s="1334"/>
      <c r="AM144" s="1335"/>
      <c r="AN144" s="1333">
        <v>2.4780000000000002</v>
      </c>
      <c r="AO144" s="1334"/>
      <c r="AP144" s="1335"/>
    </row>
    <row r="145" spans="1:42" x14ac:dyDescent="0.25">
      <c r="A145" s="1336">
        <v>2040</v>
      </c>
      <c r="B145" s="1337"/>
      <c r="C145" s="1338"/>
      <c r="D145" s="1336">
        <v>14</v>
      </c>
      <c r="E145" s="1337"/>
      <c r="F145" s="1338"/>
      <c r="G145" s="1330">
        <v>146.74661396188787</v>
      </c>
      <c r="H145" s="1331"/>
      <c r="I145" s="1332"/>
      <c r="J145" s="1330">
        <v>0</v>
      </c>
      <c r="K145" s="1331"/>
      <c r="L145" s="1332"/>
      <c r="M145" s="1330">
        <v>67.981658225155726</v>
      </c>
      <c r="N145" s="1331"/>
      <c r="O145" s="1332"/>
      <c r="P145" s="1333">
        <v>0.15190384320655487</v>
      </c>
      <c r="Q145" s="1334"/>
      <c r="R145" s="1335"/>
      <c r="S145" s="1333">
        <v>0.15331036027328221</v>
      </c>
      <c r="T145" s="1334"/>
      <c r="U145" s="1335"/>
      <c r="V145" s="1333">
        <v>0.15518571636225204</v>
      </c>
      <c r="W145" s="1334"/>
      <c r="X145" s="1335"/>
      <c r="Y145" s="1330">
        <v>3084</v>
      </c>
      <c r="Z145" s="1331"/>
      <c r="AA145" s="1332"/>
      <c r="AB145" s="1330">
        <v>0</v>
      </c>
      <c r="AC145" s="1331"/>
      <c r="AD145" s="1332"/>
      <c r="AE145" s="1330">
        <v>1429</v>
      </c>
      <c r="AF145" s="1331"/>
      <c r="AG145" s="1332"/>
      <c r="AH145" s="1333">
        <v>2.5859999999999999</v>
      </c>
      <c r="AI145" s="1334"/>
      <c r="AJ145" s="1335"/>
      <c r="AK145" s="1333">
        <v>2.601</v>
      </c>
      <c r="AL145" s="1334"/>
      <c r="AM145" s="1335"/>
      <c r="AN145" s="1333">
        <v>2.6339999999999999</v>
      </c>
      <c r="AO145" s="1334"/>
      <c r="AP145" s="1335"/>
    </row>
    <row r="146" spans="1:42" x14ac:dyDescent="0.25">
      <c r="A146" s="1336">
        <v>2041</v>
      </c>
      <c r="B146" s="1337"/>
      <c r="C146" s="1338"/>
      <c r="D146" s="1336">
        <v>15</v>
      </c>
      <c r="E146" s="1337"/>
      <c r="F146" s="1338"/>
      <c r="G146" s="1330">
        <v>138.44020185083761</v>
      </c>
      <c r="H146" s="1331"/>
      <c r="I146" s="1332"/>
      <c r="J146" s="1330">
        <v>0</v>
      </c>
      <c r="K146" s="1331"/>
      <c r="L146" s="1332"/>
      <c r="M146" s="1330">
        <v>64.133639835052577</v>
      </c>
      <c r="N146" s="1331"/>
      <c r="O146" s="1332"/>
      <c r="P146" s="1333">
        <v>0.14772852210281076</v>
      </c>
      <c r="Q146" s="1334"/>
      <c r="R146" s="1335"/>
      <c r="S146" s="1333">
        <v>0.14905542499594979</v>
      </c>
      <c r="T146" s="1334"/>
      <c r="U146" s="1335"/>
      <c r="V146" s="1333">
        <v>0.15082462885346848</v>
      </c>
      <c r="W146" s="1334"/>
      <c r="X146" s="1335"/>
      <c r="Y146" s="1330">
        <v>3222</v>
      </c>
      <c r="Z146" s="1331"/>
      <c r="AA146" s="1332"/>
      <c r="AB146" s="1330">
        <v>0</v>
      </c>
      <c r="AC146" s="1331"/>
      <c r="AD146" s="1332"/>
      <c r="AE146" s="1330">
        <v>1493</v>
      </c>
      <c r="AF146" s="1331"/>
      <c r="AG146" s="1332"/>
      <c r="AH146" s="1333">
        <v>2.7330000000000001</v>
      </c>
      <c r="AI146" s="1334"/>
      <c r="AJ146" s="1335"/>
      <c r="AK146" s="1333">
        <v>2.75</v>
      </c>
      <c r="AL146" s="1334"/>
      <c r="AM146" s="1335"/>
      <c r="AN146" s="1333">
        <v>2.7839999999999998</v>
      </c>
      <c r="AO146" s="1334"/>
      <c r="AP146" s="1335"/>
    </row>
    <row r="147" spans="1:42" x14ac:dyDescent="0.25">
      <c r="A147" s="1336">
        <v>2042</v>
      </c>
      <c r="B147" s="1337"/>
      <c r="C147" s="1338"/>
      <c r="D147" s="1336">
        <v>16</v>
      </c>
      <c r="E147" s="1337"/>
      <c r="F147" s="1338"/>
      <c r="G147" s="1330">
        <v>130.60396401022413</v>
      </c>
      <c r="H147" s="1331"/>
      <c r="I147" s="1332"/>
      <c r="J147" s="1330">
        <v>0</v>
      </c>
      <c r="K147" s="1331"/>
      <c r="L147" s="1332"/>
      <c r="M147" s="1330">
        <v>60.503433806653348</v>
      </c>
      <c r="N147" s="1331"/>
      <c r="O147" s="1332"/>
      <c r="P147" s="1333">
        <v>0.14353918089302586</v>
      </c>
      <c r="Q147" s="1334"/>
      <c r="R147" s="1335"/>
      <c r="S147" s="1333">
        <v>0.1447909760752325</v>
      </c>
      <c r="T147" s="1334"/>
      <c r="U147" s="1335"/>
      <c r="V147" s="1333">
        <v>0.14646003631817464</v>
      </c>
      <c r="W147" s="1334"/>
      <c r="X147" s="1335"/>
      <c r="Y147" s="1330">
        <v>3353</v>
      </c>
      <c r="Z147" s="1331"/>
      <c r="AA147" s="1332"/>
      <c r="AB147" s="1330">
        <v>0</v>
      </c>
      <c r="AC147" s="1331"/>
      <c r="AD147" s="1332"/>
      <c r="AE147" s="1330">
        <v>1553</v>
      </c>
      <c r="AF147" s="1331"/>
      <c r="AG147" s="1332"/>
      <c r="AH147" s="1333">
        <v>2.8769999999999998</v>
      </c>
      <c r="AI147" s="1334"/>
      <c r="AJ147" s="1335"/>
      <c r="AK147" s="1333">
        <v>2.895</v>
      </c>
      <c r="AL147" s="1334"/>
      <c r="AM147" s="1335"/>
      <c r="AN147" s="1333">
        <v>2.931</v>
      </c>
      <c r="AO147" s="1334"/>
      <c r="AP147" s="1335"/>
    </row>
    <row r="148" spans="1:42" x14ac:dyDescent="0.25">
      <c r="A148" s="1336">
        <v>2043</v>
      </c>
      <c r="B148" s="1337"/>
      <c r="C148" s="1338"/>
      <c r="D148" s="1336">
        <v>17</v>
      </c>
      <c r="E148" s="1337"/>
      <c r="F148" s="1338"/>
      <c r="G148" s="1330">
        <v>123.21128680209827</v>
      </c>
      <c r="H148" s="1331"/>
      <c r="I148" s="1332"/>
      <c r="J148" s="1330">
        <v>0</v>
      </c>
      <c r="K148" s="1331"/>
      <c r="L148" s="1332"/>
      <c r="M148" s="1330">
        <v>57.078711138352233</v>
      </c>
      <c r="N148" s="1331"/>
      <c r="O148" s="1332"/>
      <c r="P148" s="1333">
        <v>0.139350784434322</v>
      </c>
      <c r="Q148" s="1334"/>
      <c r="R148" s="1335"/>
      <c r="S148" s="1333">
        <v>0.14053172328546032</v>
      </c>
      <c r="T148" s="1334"/>
      <c r="U148" s="1335"/>
      <c r="V148" s="1333">
        <v>0.14249995470402418</v>
      </c>
      <c r="W148" s="1334"/>
      <c r="X148" s="1335"/>
      <c r="Y148" s="1330">
        <v>3476</v>
      </c>
      <c r="Z148" s="1331"/>
      <c r="AA148" s="1332"/>
      <c r="AB148" s="1330">
        <v>0</v>
      </c>
      <c r="AC148" s="1331"/>
      <c r="AD148" s="1332"/>
      <c r="AE148" s="1330">
        <v>1610</v>
      </c>
      <c r="AF148" s="1331"/>
      <c r="AG148" s="1332"/>
      <c r="AH148" s="1333">
        <v>3.016</v>
      </c>
      <c r="AI148" s="1334"/>
      <c r="AJ148" s="1335"/>
      <c r="AK148" s="1333">
        <v>3.036</v>
      </c>
      <c r="AL148" s="1334"/>
      <c r="AM148" s="1335"/>
      <c r="AN148" s="1333">
        <v>3.073</v>
      </c>
      <c r="AO148" s="1334"/>
      <c r="AP148" s="1335"/>
    </row>
    <row r="149" spans="1:42" x14ac:dyDescent="0.25">
      <c r="A149" s="1336">
        <v>2044</v>
      </c>
      <c r="B149" s="1337"/>
      <c r="C149" s="1338"/>
      <c r="D149" s="1336">
        <v>18</v>
      </c>
      <c r="E149" s="1337"/>
      <c r="F149" s="1338"/>
      <c r="G149" s="1330">
        <v>116.23706302084742</v>
      </c>
      <c r="H149" s="1331"/>
      <c r="I149" s="1332"/>
      <c r="J149" s="1330">
        <v>0</v>
      </c>
      <c r="K149" s="1331"/>
      <c r="L149" s="1332"/>
      <c r="M149" s="1330">
        <v>53.847840696558706</v>
      </c>
      <c r="N149" s="1331"/>
      <c r="O149" s="1332"/>
      <c r="P149" s="1333">
        <v>0.13554801278788914</v>
      </c>
      <c r="Q149" s="1334"/>
      <c r="R149" s="1335"/>
      <c r="S149" s="1333">
        <v>0.13666210604368001</v>
      </c>
      <c r="T149" s="1334"/>
      <c r="U149" s="1335"/>
      <c r="V149" s="1333">
        <v>0.1385189281366648</v>
      </c>
      <c r="W149" s="1334"/>
      <c r="X149" s="1335"/>
      <c r="Y149" s="1330">
        <v>3592</v>
      </c>
      <c r="Z149" s="1331"/>
      <c r="AA149" s="1332"/>
      <c r="AB149" s="1330">
        <v>0</v>
      </c>
      <c r="AC149" s="1331"/>
      <c r="AD149" s="1332"/>
      <c r="AE149" s="1330">
        <v>1664</v>
      </c>
      <c r="AF149" s="1331"/>
      <c r="AG149" s="1332"/>
      <c r="AH149" s="1333">
        <v>3.1520000000000001</v>
      </c>
      <c r="AI149" s="1334"/>
      <c r="AJ149" s="1335"/>
      <c r="AK149" s="1333">
        <v>3.1720000000000002</v>
      </c>
      <c r="AL149" s="1334"/>
      <c r="AM149" s="1335"/>
      <c r="AN149" s="1333">
        <v>3.2120000000000002</v>
      </c>
      <c r="AO149" s="1334"/>
      <c r="AP149" s="1335"/>
    </row>
    <row r="150" spans="1:42" x14ac:dyDescent="0.25">
      <c r="A150" s="1336">
        <v>2045</v>
      </c>
      <c r="B150" s="1337"/>
      <c r="C150" s="1338"/>
      <c r="D150" s="1336">
        <v>19</v>
      </c>
      <c r="E150" s="1337"/>
      <c r="F150" s="1338"/>
      <c r="G150" s="1330">
        <v>109.65760662344096</v>
      </c>
      <c r="H150" s="1331"/>
      <c r="I150" s="1332"/>
      <c r="J150" s="1330">
        <v>0</v>
      </c>
      <c r="K150" s="1331"/>
      <c r="L150" s="1332"/>
      <c r="M150" s="1330">
        <v>50.799849713734631</v>
      </c>
      <c r="N150" s="1331"/>
      <c r="O150" s="1332"/>
      <c r="P150" s="1333">
        <v>0.13172926546458083</v>
      </c>
      <c r="Q150" s="1334"/>
      <c r="R150" s="1335"/>
      <c r="S150" s="1333">
        <v>0.13278029683796844</v>
      </c>
      <c r="T150" s="1334"/>
      <c r="U150" s="1335"/>
      <c r="V150" s="1333">
        <v>0.13453201579361446</v>
      </c>
      <c r="W150" s="1334"/>
      <c r="X150" s="1335"/>
      <c r="Y150" s="1330">
        <v>3702</v>
      </c>
      <c r="Z150" s="1331"/>
      <c r="AA150" s="1332"/>
      <c r="AB150" s="1330">
        <v>0</v>
      </c>
      <c r="AC150" s="1331"/>
      <c r="AD150" s="1332"/>
      <c r="AE150" s="1330">
        <v>1715</v>
      </c>
      <c r="AF150" s="1331"/>
      <c r="AG150" s="1332"/>
      <c r="AH150" s="1333">
        <v>3.2829999999999999</v>
      </c>
      <c r="AI150" s="1334"/>
      <c r="AJ150" s="1335"/>
      <c r="AK150" s="1333">
        <v>3.3050000000000002</v>
      </c>
      <c r="AL150" s="1334"/>
      <c r="AM150" s="1335"/>
      <c r="AN150" s="1333">
        <v>3.3460000000000001</v>
      </c>
      <c r="AO150" s="1334"/>
      <c r="AP150" s="1335"/>
    </row>
    <row r="151" spans="1:42" x14ac:dyDescent="0.25">
      <c r="A151" s="1336">
        <v>2046</v>
      </c>
      <c r="B151" s="1337"/>
      <c r="C151" s="1338"/>
      <c r="D151" s="1336">
        <v>20</v>
      </c>
      <c r="E151" s="1337"/>
      <c r="F151" s="1338"/>
      <c r="G151" s="1330">
        <v>103.45057228626504</v>
      </c>
      <c r="H151" s="1331"/>
      <c r="I151" s="1332"/>
      <c r="J151" s="1330">
        <v>0</v>
      </c>
      <c r="K151" s="1331"/>
      <c r="L151" s="1332"/>
      <c r="M151" s="1330">
        <v>47.924386522391153</v>
      </c>
      <c r="N151" s="1331"/>
      <c r="O151" s="1332"/>
      <c r="P151" s="1333">
        <v>0.12790853506320948</v>
      </c>
      <c r="Q151" s="1334"/>
      <c r="R151" s="1335"/>
      <c r="S151" s="1333">
        <v>0.12890007409470725</v>
      </c>
      <c r="T151" s="1334"/>
      <c r="U151" s="1335"/>
      <c r="V151" s="1333">
        <v>0.13088315215770274</v>
      </c>
      <c r="W151" s="1334"/>
      <c r="X151" s="1335"/>
      <c r="Y151" s="1330">
        <v>3805</v>
      </c>
      <c r="Z151" s="1331"/>
      <c r="AA151" s="1332"/>
      <c r="AB151" s="1330">
        <v>0</v>
      </c>
      <c r="AC151" s="1331"/>
      <c r="AD151" s="1332"/>
      <c r="AE151" s="1330">
        <v>1763</v>
      </c>
      <c r="AF151" s="1331"/>
      <c r="AG151" s="1332"/>
      <c r="AH151" s="1333">
        <v>3.411</v>
      </c>
      <c r="AI151" s="1334"/>
      <c r="AJ151" s="1335"/>
      <c r="AK151" s="1333">
        <v>3.4340000000000002</v>
      </c>
      <c r="AL151" s="1334"/>
      <c r="AM151" s="1335"/>
      <c r="AN151" s="1333">
        <v>3.4769999999999999</v>
      </c>
      <c r="AO151" s="1334"/>
      <c r="AP151" s="1335"/>
    </row>
    <row r="152" spans="1:42" x14ac:dyDescent="0.25">
      <c r="A152" s="1336">
        <v>2047</v>
      </c>
      <c r="B152" s="1337"/>
      <c r="C152" s="1338"/>
      <c r="D152" s="1336">
        <v>21</v>
      </c>
      <c r="E152" s="1337"/>
      <c r="F152" s="1338"/>
      <c r="G152" s="1330">
        <v>97.594879515344374</v>
      </c>
      <c r="H152" s="1331"/>
      <c r="I152" s="1332"/>
      <c r="J152" s="1330">
        <v>0</v>
      </c>
      <c r="K152" s="1331"/>
      <c r="L152" s="1332"/>
      <c r="M152" s="1330">
        <v>45.211685398482217</v>
      </c>
      <c r="N152" s="1331"/>
      <c r="O152" s="1332"/>
      <c r="P152" s="1333">
        <v>0.12441008602754763</v>
      </c>
      <c r="Q152" s="1334"/>
      <c r="R152" s="1335"/>
      <c r="S152" s="1333">
        <v>0.1253455002082059</v>
      </c>
      <c r="T152" s="1334"/>
      <c r="U152" s="1335"/>
      <c r="V152" s="1333">
        <v>0.12721632856952236</v>
      </c>
      <c r="W152" s="1334"/>
      <c r="X152" s="1335"/>
      <c r="Y152" s="1330">
        <v>3903</v>
      </c>
      <c r="Z152" s="1331"/>
      <c r="AA152" s="1332"/>
      <c r="AB152" s="1330">
        <v>0</v>
      </c>
      <c r="AC152" s="1331"/>
      <c r="AD152" s="1332"/>
      <c r="AE152" s="1330">
        <v>1808</v>
      </c>
      <c r="AF152" s="1331"/>
      <c r="AG152" s="1332"/>
      <c r="AH152" s="1333">
        <v>3.536</v>
      </c>
      <c r="AI152" s="1334"/>
      <c r="AJ152" s="1335"/>
      <c r="AK152" s="1333">
        <v>3.5590000000000002</v>
      </c>
      <c r="AL152" s="1334"/>
      <c r="AM152" s="1335"/>
      <c r="AN152" s="1333">
        <v>3.6040000000000001</v>
      </c>
      <c r="AO152" s="1334"/>
      <c r="AP152" s="1335"/>
    </row>
    <row r="153" spans="1:42" x14ac:dyDescent="0.25">
      <c r="A153" s="1336">
        <v>2048</v>
      </c>
      <c r="B153" s="1337"/>
      <c r="C153" s="1338"/>
      <c r="D153" s="1336">
        <v>22</v>
      </c>
      <c r="E153" s="1337"/>
      <c r="F153" s="1338"/>
      <c r="G153" s="1330">
        <v>92.070641052211656</v>
      </c>
      <c r="H153" s="1331"/>
      <c r="I153" s="1332"/>
      <c r="J153" s="1330">
        <v>0</v>
      </c>
      <c r="K153" s="1331"/>
      <c r="L153" s="1332"/>
      <c r="M153" s="1330">
        <v>42.652533394794538</v>
      </c>
      <c r="N153" s="1331"/>
      <c r="O153" s="1332"/>
      <c r="P153" s="1333">
        <v>0.1208978705190383</v>
      </c>
      <c r="Q153" s="1334"/>
      <c r="R153" s="1335"/>
      <c r="S153" s="1333">
        <v>0.12178033672720646</v>
      </c>
      <c r="T153" s="1334"/>
      <c r="U153" s="1335"/>
      <c r="V153" s="1333">
        <v>0.1235452691435428</v>
      </c>
      <c r="W153" s="1334"/>
      <c r="X153" s="1335"/>
      <c r="Y153" s="1330">
        <v>3995</v>
      </c>
      <c r="Z153" s="1331"/>
      <c r="AA153" s="1332"/>
      <c r="AB153" s="1330">
        <v>0</v>
      </c>
      <c r="AC153" s="1331"/>
      <c r="AD153" s="1332"/>
      <c r="AE153" s="1330">
        <v>1851</v>
      </c>
      <c r="AF153" s="1331"/>
      <c r="AG153" s="1332"/>
      <c r="AH153" s="1333">
        <v>3.657</v>
      </c>
      <c r="AI153" s="1334"/>
      <c r="AJ153" s="1335"/>
      <c r="AK153" s="1333">
        <v>3.681</v>
      </c>
      <c r="AL153" s="1334"/>
      <c r="AM153" s="1335"/>
      <c r="AN153" s="1333">
        <v>3.7280000000000002</v>
      </c>
      <c r="AO153" s="1334"/>
      <c r="AP153" s="1335"/>
    </row>
    <row r="154" spans="1:42" x14ac:dyDescent="0.25">
      <c r="A154" s="1336">
        <v>2049</v>
      </c>
      <c r="B154" s="1337"/>
      <c r="C154" s="1338"/>
      <c r="D154" s="1336">
        <v>23</v>
      </c>
      <c r="E154" s="1337"/>
      <c r="F154" s="1338"/>
      <c r="G154" s="1330">
        <v>86.859095332275146</v>
      </c>
      <c r="H154" s="1331"/>
      <c r="I154" s="1332"/>
      <c r="J154" s="1330">
        <v>0</v>
      </c>
      <c r="K154" s="1331"/>
      <c r="L154" s="1332"/>
      <c r="M154" s="1330">
        <v>40.238239051692958</v>
      </c>
      <c r="N154" s="1331"/>
      <c r="O154" s="1332"/>
      <c r="P154" s="1333">
        <v>0.11738465599218015</v>
      </c>
      <c r="Q154" s="1334"/>
      <c r="R154" s="1335"/>
      <c r="S154" s="1333">
        <v>0.11821717128290483</v>
      </c>
      <c r="T154" s="1334"/>
      <c r="U154" s="1335"/>
      <c r="V154" s="1333">
        <v>0.12015970696126242</v>
      </c>
      <c r="W154" s="1334"/>
      <c r="X154" s="1335"/>
      <c r="Y154" s="1330">
        <v>4082</v>
      </c>
      <c r="Z154" s="1331"/>
      <c r="AA154" s="1332"/>
      <c r="AB154" s="1330">
        <v>0</v>
      </c>
      <c r="AC154" s="1331"/>
      <c r="AD154" s="1332"/>
      <c r="AE154" s="1330">
        <v>1891</v>
      </c>
      <c r="AF154" s="1331"/>
      <c r="AG154" s="1332"/>
      <c r="AH154" s="1333">
        <v>3.774</v>
      </c>
      <c r="AI154" s="1334"/>
      <c r="AJ154" s="1335"/>
      <c r="AK154" s="1333">
        <v>3.7989999999999999</v>
      </c>
      <c r="AL154" s="1334"/>
      <c r="AM154" s="1335"/>
      <c r="AN154" s="1333">
        <v>3.8479999999999999</v>
      </c>
      <c r="AO154" s="1334"/>
      <c r="AP154" s="1335"/>
    </row>
    <row r="155" spans="1:42" x14ac:dyDescent="0.25">
      <c r="A155" s="1336">
        <v>2050</v>
      </c>
      <c r="B155" s="1337"/>
      <c r="C155" s="1338"/>
      <c r="D155" s="1336">
        <v>24</v>
      </c>
      <c r="E155" s="1337"/>
      <c r="F155" s="1338"/>
      <c r="G155" s="1330">
        <v>81.942542766297294</v>
      </c>
      <c r="H155" s="1331"/>
      <c r="I155" s="1332"/>
      <c r="J155" s="1330">
        <v>0</v>
      </c>
      <c r="K155" s="1331"/>
      <c r="L155" s="1332"/>
      <c r="M155" s="1330">
        <v>37.960602878955619</v>
      </c>
      <c r="N155" s="1331"/>
      <c r="O155" s="1332"/>
      <c r="P155" s="1333">
        <v>0.11414360589810103</v>
      </c>
      <c r="Q155" s="1334"/>
      <c r="R155" s="1335"/>
      <c r="S155" s="1333">
        <v>0.11492899768180356</v>
      </c>
      <c r="T155" s="1334"/>
      <c r="U155" s="1335"/>
      <c r="V155" s="1333">
        <v>0.11676157851044279</v>
      </c>
      <c r="W155" s="1334"/>
      <c r="X155" s="1335"/>
      <c r="Y155" s="1330">
        <v>4164</v>
      </c>
      <c r="Z155" s="1331"/>
      <c r="AA155" s="1332"/>
      <c r="AB155" s="1330">
        <v>0</v>
      </c>
      <c r="AC155" s="1331"/>
      <c r="AD155" s="1332"/>
      <c r="AE155" s="1330">
        <v>1929</v>
      </c>
      <c r="AF155" s="1331"/>
      <c r="AG155" s="1332"/>
      <c r="AH155" s="1333">
        <v>3.8879999999999999</v>
      </c>
      <c r="AI155" s="1334"/>
      <c r="AJ155" s="1335"/>
      <c r="AK155" s="1333">
        <v>3.9140000000000001</v>
      </c>
      <c r="AL155" s="1334"/>
      <c r="AM155" s="1335"/>
      <c r="AN155" s="1333">
        <v>3.9649999999999999</v>
      </c>
      <c r="AO155" s="1334"/>
      <c r="AP155" s="1335"/>
    </row>
    <row r="156" spans="1:42" x14ac:dyDescent="0.25">
      <c r="A156" s="1336">
        <v>2051</v>
      </c>
      <c r="B156" s="1337"/>
      <c r="C156" s="1338"/>
      <c r="D156" s="1336">
        <v>25</v>
      </c>
      <c r="E156" s="1337"/>
      <c r="F156" s="1338"/>
      <c r="G156" s="1330">
        <v>77.304285628582363</v>
      </c>
      <c r="H156" s="1331"/>
      <c r="I156" s="1332"/>
      <c r="J156" s="1330">
        <v>0</v>
      </c>
      <c r="K156" s="1331"/>
      <c r="L156" s="1332"/>
      <c r="M156" s="1330">
        <v>35.811889508448701</v>
      </c>
      <c r="N156" s="1331"/>
      <c r="O156" s="1332"/>
      <c r="P156" s="1333">
        <v>0.1108933682020239</v>
      </c>
      <c r="Q156" s="1334"/>
      <c r="R156" s="1335"/>
      <c r="S156" s="1333">
        <v>0.1116343038470263</v>
      </c>
      <c r="T156" s="1334"/>
      <c r="U156" s="1335"/>
      <c r="V156" s="1333">
        <v>0.1133631536853652</v>
      </c>
      <c r="W156" s="1334"/>
      <c r="X156" s="1335"/>
      <c r="Y156" s="1330">
        <v>4241</v>
      </c>
      <c r="Z156" s="1331"/>
      <c r="AA156" s="1332"/>
      <c r="AB156" s="1330">
        <v>0</v>
      </c>
      <c r="AC156" s="1331"/>
      <c r="AD156" s="1332"/>
      <c r="AE156" s="1330">
        <v>1965</v>
      </c>
      <c r="AF156" s="1331"/>
      <c r="AG156" s="1332"/>
      <c r="AH156" s="1333">
        <v>3.9990000000000001</v>
      </c>
      <c r="AI156" s="1334"/>
      <c r="AJ156" s="1335"/>
      <c r="AK156" s="1333">
        <v>4.0259999999999998</v>
      </c>
      <c r="AL156" s="1334"/>
      <c r="AM156" s="1335"/>
      <c r="AN156" s="1333">
        <v>4.0780000000000003</v>
      </c>
      <c r="AO156" s="1334"/>
      <c r="AP156" s="1335"/>
    </row>
  </sheetData>
  <sheetProtection algorithmName="SHA-512" hashValue="T309mYr/cusZDGEa8NaC9sAp2MCwqi0zG24nFq6Z0u84boMF0DksRC5xaLTvZiVaG5yide0yqHV50OoB1ZybzA==" saltValue="Pzo4x1AVbQArAlWqgqV6+w==" spinCount="100000" sheet="1" objects="1" scenarios="1"/>
  <mergeCells count="1237">
    <mergeCell ref="A11:AF11"/>
    <mergeCell ref="B12:AF12"/>
    <mergeCell ref="B13:AF13"/>
    <mergeCell ref="B14:AF14"/>
    <mergeCell ref="B15:AF15"/>
    <mergeCell ref="A17:AF17"/>
    <mergeCell ref="A1:AF1"/>
    <mergeCell ref="A3:AF3"/>
    <mergeCell ref="A5:AF5"/>
    <mergeCell ref="A7:AF7"/>
    <mergeCell ref="A8:AF8"/>
    <mergeCell ref="A10:AF10"/>
    <mergeCell ref="K22:O22"/>
    <mergeCell ref="F23:G23"/>
    <mergeCell ref="H23:J23"/>
    <mergeCell ref="K23:O23"/>
    <mergeCell ref="B24:E26"/>
    <mergeCell ref="F24:G24"/>
    <mergeCell ref="H24:J24"/>
    <mergeCell ref="K24:O24"/>
    <mergeCell ref="F25:G25"/>
    <mergeCell ref="H25:J25"/>
    <mergeCell ref="B20:E20"/>
    <mergeCell ref="F20:G20"/>
    <mergeCell ref="H20:J20"/>
    <mergeCell ref="K20:O20"/>
    <mergeCell ref="B21:E23"/>
    <mergeCell ref="F21:G21"/>
    <mergeCell ref="H21:J21"/>
    <mergeCell ref="K21:O21"/>
    <mergeCell ref="F22:G22"/>
    <mergeCell ref="H22:J22"/>
    <mergeCell ref="B32:AF32"/>
    <mergeCell ref="B33:AF33"/>
    <mergeCell ref="B34:AF34"/>
    <mergeCell ref="A36:AF36"/>
    <mergeCell ref="B39:E39"/>
    <mergeCell ref="F39:G39"/>
    <mergeCell ref="H39:J39"/>
    <mergeCell ref="K39:P39"/>
    <mergeCell ref="K28:O28"/>
    <mergeCell ref="F29:G29"/>
    <mergeCell ref="H29:J29"/>
    <mergeCell ref="K29:O29"/>
    <mergeCell ref="H30:J30"/>
    <mergeCell ref="B31:AF31"/>
    <mergeCell ref="K25:O25"/>
    <mergeCell ref="F26:G26"/>
    <mergeCell ref="H26:J26"/>
    <mergeCell ref="K26:O26"/>
    <mergeCell ref="B27:E29"/>
    <mergeCell ref="F27:G27"/>
    <mergeCell ref="H27:J27"/>
    <mergeCell ref="K27:O27"/>
    <mergeCell ref="F28:G28"/>
    <mergeCell ref="H28:J28"/>
    <mergeCell ref="B43:E45"/>
    <mergeCell ref="F43:G43"/>
    <mergeCell ref="H43:J43"/>
    <mergeCell ref="K43:P43"/>
    <mergeCell ref="F44:G44"/>
    <mergeCell ref="H44:J44"/>
    <mergeCell ref="K44:P44"/>
    <mergeCell ref="F45:G45"/>
    <mergeCell ref="H45:J45"/>
    <mergeCell ref="K45:P45"/>
    <mergeCell ref="B40:E42"/>
    <mergeCell ref="F40:G40"/>
    <mergeCell ref="H40:J40"/>
    <mergeCell ref="K40:P40"/>
    <mergeCell ref="F41:G41"/>
    <mergeCell ref="H41:J41"/>
    <mergeCell ref="K41:P41"/>
    <mergeCell ref="F42:G42"/>
    <mergeCell ref="H42:J42"/>
    <mergeCell ref="K42:P42"/>
    <mergeCell ref="K59:N59"/>
    <mergeCell ref="G61:O61"/>
    <mergeCell ref="P61:X61"/>
    <mergeCell ref="Y61:AG61"/>
    <mergeCell ref="AH61:AP61"/>
    <mergeCell ref="G62:I62"/>
    <mergeCell ref="J62:L62"/>
    <mergeCell ref="M62:O62"/>
    <mergeCell ref="P62:R62"/>
    <mergeCell ref="S62:U62"/>
    <mergeCell ref="H49:I49"/>
    <mergeCell ref="J49:AF49"/>
    <mergeCell ref="B50:AF50"/>
    <mergeCell ref="A52:AF52"/>
    <mergeCell ref="A54:AF54"/>
    <mergeCell ref="K58:N58"/>
    <mergeCell ref="B46:E48"/>
    <mergeCell ref="F46:G46"/>
    <mergeCell ref="H46:J46"/>
    <mergeCell ref="K46:P46"/>
    <mergeCell ref="F47:G47"/>
    <mergeCell ref="H47:J47"/>
    <mergeCell ref="K47:P47"/>
    <mergeCell ref="F48:G48"/>
    <mergeCell ref="H48:J48"/>
    <mergeCell ref="K48:P48"/>
    <mergeCell ref="AB63:AD63"/>
    <mergeCell ref="AE63:AG63"/>
    <mergeCell ref="AH63:AJ63"/>
    <mergeCell ref="AK63:AM63"/>
    <mergeCell ref="AN63:AP63"/>
    <mergeCell ref="A64:C64"/>
    <mergeCell ref="D64:F64"/>
    <mergeCell ref="G64:I64"/>
    <mergeCell ref="J64:L64"/>
    <mergeCell ref="M64:O64"/>
    <mergeCell ref="AN62:AP62"/>
    <mergeCell ref="A63:C63"/>
    <mergeCell ref="D63:F63"/>
    <mergeCell ref="G63:I63"/>
    <mergeCell ref="J63:L63"/>
    <mergeCell ref="M63:O63"/>
    <mergeCell ref="P63:R63"/>
    <mergeCell ref="S63:U63"/>
    <mergeCell ref="V63:X63"/>
    <mergeCell ref="Y63:AA63"/>
    <mergeCell ref="V62:X62"/>
    <mergeCell ref="Y62:AA62"/>
    <mergeCell ref="AB62:AD62"/>
    <mergeCell ref="AE62:AG62"/>
    <mergeCell ref="AH62:AJ62"/>
    <mergeCell ref="AK62:AM62"/>
    <mergeCell ref="AN65:AP65"/>
    <mergeCell ref="A66:C66"/>
    <mergeCell ref="D66:F66"/>
    <mergeCell ref="G66:I66"/>
    <mergeCell ref="J66:L66"/>
    <mergeCell ref="M66:O66"/>
    <mergeCell ref="P66:R66"/>
    <mergeCell ref="S66:U66"/>
    <mergeCell ref="V66:X66"/>
    <mergeCell ref="Y66:AA66"/>
    <mergeCell ref="V65:X65"/>
    <mergeCell ref="Y65:AA65"/>
    <mergeCell ref="AB65:AD65"/>
    <mergeCell ref="AE65:AG65"/>
    <mergeCell ref="AH65:AJ65"/>
    <mergeCell ref="AK65:AM65"/>
    <mergeCell ref="AH64:AJ64"/>
    <mergeCell ref="AK64:AM64"/>
    <mergeCell ref="AN64:AP64"/>
    <mergeCell ref="A65:C65"/>
    <mergeCell ref="D65:F65"/>
    <mergeCell ref="G65:I65"/>
    <mergeCell ref="J65:L65"/>
    <mergeCell ref="M65:O65"/>
    <mergeCell ref="P65:R65"/>
    <mergeCell ref="S65:U65"/>
    <mergeCell ref="P64:R64"/>
    <mergeCell ref="S64:U64"/>
    <mergeCell ref="V64:X64"/>
    <mergeCell ref="Y64:AA64"/>
    <mergeCell ref="AB64:AD64"/>
    <mergeCell ref="AE64:AG64"/>
    <mergeCell ref="AH67:AJ67"/>
    <mergeCell ref="AK67:AM67"/>
    <mergeCell ref="AN67:AP67"/>
    <mergeCell ref="A68:C68"/>
    <mergeCell ref="D68:F68"/>
    <mergeCell ref="G68:I68"/>
    <mergeCell ref="J68:L68"/>
    <mergeCell ref="M68:O68"/>
    <mergeCell ref="P68:R68"/>
    <mergeCell ref="S68:U68"/>
    <mergeCell ref="P67:R67"/>
    <mergeCell ref="S67:U67"/>
    <mergeCell ref="V67:X67"/>
    <mergeCell ref="Y67:AA67"/>
    <mergeCell ref="AB67:AD67"/>
    <mergeCell ref="AE67:AG67"/>
    <mergeCell ref="AB66:AD66"/>
    <mergeCell ref="AE66:AG66"/>
    <mergeCell ref="AH66:AJ66"/>
    <mergeCell ref="AK66:AM66"/>
    <mergeCell ref="AN66:AP66"/>
    <mergeCell ref="A67:C67"/>
    <mergeCell ref="D67:F67"/>
    <mergeCell ref="G67:I67"/>
    <mergeCell ref="J67:L67"/>
    <mergeCell ref="M67:O67"/>
    <mergeCell ref="AB69:AD69"/>
    <mergeCell ref="AE69:AG69"/>
    <mergeCell ref="AH69:AJ69"/>
    <mergeCell ref="AK69:AM69"/>
    <mergeCell ref="AN69:AP69"/>
    <mergeCell ref="A70:C70"/>
    <mergeCell ref="D70:F70"/>
    <mergeCell ref="G70:I70"/>
    <mergeCell ref="J70:L70"/>
    <mergeCell ref="M70:O70"/>
    <mergeCell ref="AN68:AP68"/>
    <mergeCell ref="A69:C69"/>
    <mergeCell ref="D69:F69"/>
    <mergeCell ref="G69:I69"/>
    <mergeCell ref="J69:L69"/>
    <mergeCell ref="M69:O69"/>
    <mergeCell ref="P69:R69"/>
    <mergeCell ref="S69:U69"/>
    <mergeCell ref="V69:X69"/>
    <mergeCell ref="Y69:AA69"/>
    <mergeCell ref="V68:X68"/>
    <mergeCell ref="Y68:AA68"/>
    <mergeCell ref="AB68:AD68"/>
    <mergeCell ref="AE68:AG68"/>
    <mergeCell ref="AH68:AJ68"/>
    <mergeCell ref="AK68:AM68"/>
    <mergeCell ref="AN71:AP71"/>
    <mergeCell ref="A72:C72"/>
    <mergeCell ref="D72:F72"/>
    <mergeCell ref="G72:I72"/>
    <mergeCell ref="J72:L72"/>
    <mergeCell ref="M72:O72"/>
    <mergeCell ref="P72:R72"/>
    <mergeCell ref="S72:U72"/>
    <mergeCell ref="V72:X72"/>
    <mergeCell ref="Y72:AA72"/>
    <mergeCell ref="V71:X71"/>
    <mergeCell ref="Y71:AA71"/>
    <mergeCell ref="AB71:AD71"/>
    <mergeCell ref="AE71:AG71"/>
    <mergeCell ref="AH71:AJ71"/>
    <mergeCell ref="AK71:AM71"/>
    <mergeCell ref="AH70:AJ70"/>
    <mergeCell ref="AK70:AM70"/>
    <mergeCell ref="AN70:AP70"/>
    <mergeCell ref="A71:C71"/>
    <mergeCell ref="D71:F71"/>
    <mergeCell ref="G71:I71"/>
    <mergeCell ref="J71:L71"/>
    <mergeCell ref="M71:O71"/>
    <mergeCell ref="P71:R71"/>
    <mergeCell ref="S71:U71"/>
    <mergeCell ref="P70:R70"/>
    <mergeCell ref="S70:U70"/>
    <mergeCell ref="V70:X70"/>
    <mergeCell ref="Y70:AA70"/>
    <mergeCell ref="AB70:AD70"/>
    <mergeCell ref="AE70:AG70"/>
    <mergeCell ref="AH73:AJ73"/>
    <mergeCell ref="AK73:AM73"/>
    <mergeCell ref="AN73:AP73"/>
    <mergeCell ref="A74:C74"/>
    <mergeCell ref="D74:F74"/>
    <mergeCell ref="G74:I74"/>
    <mergeCell ref="J74:L74"/>
    <mergeCell ref="M74:O74"/>
    <mergeCell ref="P74:R74"/>
    <mergeCell ref="S74:U74"/>
    <mergeCell ref="P73:R73"/>
    <mergeCell ref="S73:U73"/>
    <mergeCell ref="V73:X73"/>
    <mergeCell ref="Y73:AA73"/>
    <mergeCell ref="AB73:AD73"/>
    <mergeCell ref="AE73:AG73"/>
    <mergeCell ref="AB72:AD72"/>
    <mergeCell ref="AE72:AG72"/>
    <mergeCell ref="AH72:AJ72"/>
    <mergeCell ref="AK72:AM72"/>
    <mergeCell ref="AN72:AP72"/>
    <mergeCell ref="A73:C73"/>
    <mergeCell ref="D73:F73"/>
    <mergeCell ref="G73:I73"/>
    <mergeCell ref="J73:L73"/>
    <mergeCell ref="M73:O73"/>
    <mergeCell ref="AB75:AD75"/>
    <mergeCell ref="AE75:AG75"/>
    <mergeCell ref="AH75:AJ75"/>
    <mergeCell ref="AK75:AM75"/>
    <mergeCell ref="AN75:AP75"/>
    <mergeCell ref="A76:C76"/>
    <mergeCell ref="D76:F76"/>
    <mergeCell ref="G76:I76"/>
    <mergeCell ref="J76:L76"/>
    <mergeCell ref="M76:O76"/>
    <mergeCell ref="AN74:AP74"/>
    <mergeCell ref="A75:C75"/>
    <mergeCell ref="D75:F75"/>
    <mergeCell ref="G75:I75"/>
    <mergeCell ref="J75:L75"/>
    <mergeCell ref="M75:O75"/>
    <mergeCell ref="P75:R75"/>
    <mergeCell ref="S75:U75"/>
    <mergeCell ref="V75:X75"/>
    <mergeCell ref="Y75:AA75"/>
    <mergeCell ref="V74:X74"/>
    <mergeCell ref="Y74:AA74"/>
    <mergeCell ref="AB74:AD74"/>
    <mergeCell ref="AE74:AG74"/>
    <mergeCell ref="AH74:AJ74"/>
    <mergeCell ref="AK74:AM74"/>
    <mergeCell ref="AN77:AP77"/>
    <mergeCell ref="A78:C78"/>
    <mergeCell ref="D78:F78"/>
    <mergeCell ref="G78:I78"/>
    <mergeCell ref="J78:L78"/>
    <mergeCell ref="M78:O78"/>
    <mergeCell ref="P78:R78"/>
    <mergeCell ref="S78:U78"/>
    <mergeCell ref="V78:X78"/>
    <mergeCell ref="Y78:AA78"/>
    <mergeCell ref="V77:X77"/>
    <mergeCell ref="Y77:AA77"/>
    <mergeCell ref="AB77:AD77"/>
    <mergeCell ref="AE77:AG77"/>
    <mergeCell ref="AH77:AJ77"/>
    <mergeCell ref="AK77:AM77"/>
    <mergeCell ref="AH76:AJ76"/>
    <mergeCell ref="AK76:AM76"/>
    <mergeCell ref="AN76:AP76"/>
    <mergeCell ref="A77:C77"/>
    <mergeCell ref="D77:F77"/>
    <mergeCell ref="G77:I77"/>
    <mergeCell ref="J77:L77"/>
    <mergeCell ref="M77:O77"/>
    <mergeCell ref="P77:R77"/>
    <mergeCell ref="S77:U77"/>
    <mergeCell ref="P76:R76"/>
    <mergeCell ref="S76:U76"/>
    <mergeCell ref="V76:X76"/>
    <mergeCell ref="Y76:AA76"/>
    <mergeCell ref="AB76:AD76"/>
    <mergeCell ref="AE76:AG76"/>
    <mergeCell ref="AH79:AJ79"/>
    <mergeCell ref="AK79:AM79"/>
    <mergeCell ref="AN79:AP79"/>
    <mergeCell ref="A80:C80"/>
    <mergeCell ref="D80:F80"/>
    <mergeCell ref="G80:I80"/>
    <mergeCell ref="J80:L80"/>
    <mergeCell ref="M80:O80"/>
    <mergeCell ref="P80:R80"/>
    <mergeCell ref="S80:U80"/>
    <mergeCell ref="P79:R79"/>
    <mergeCell ref="S79:U79"/>
    <mergeCell ref="V79:X79"/>
    <mergeCell ref="Y79:AA79"/>
    <mergeCell ref="AB79:AD79"/>
    <mergeCell ref="AE79:AG79"/>
    <mergeCell ref="AB78:AD78"/>
    <mergeCell ref="AE78:AG78"/>
    <mergeCell ref="AH78:AJ78"/>
    <mergeCell ref="AK78:AM78"/>
    <mergeCell ref="AN78:AP78"/>
    <mergeCell ref="A79:C79"/>
    <mergeCell ref="D79:F79"/>
    <mergeCell ref="G79:I79"/>
    <mergeCell ref="J79:L79"/>
    <mergeCell ref="M79:O79"/>
    <mergeCell ref="AB81:AD81"/>
    <mergeCell ref="AE81:AG81"/>
    <mergeCell ref="AH81:AJ81"/>
    <mergeCell ref="AK81:AM81"/>
    <mergeCell ref="AN81:AP81"/>
    <mergeCell ref="A82:C82"/>
    <mergeCell ref="D82:F82"/>
    <mergeCell ref="G82:I82"/>
    <mergeCell ref="J82:L82"/>
    <mergeCell ref="M82:O82"/>
    <mergeCell ref="AN80:AP80"/>
    <mergeCell ref="A81:C81"/>
    <mergeCell ref="D81:F81"/>
    <mergeCell ref="G81:I81"/>
    <mergeCell ref="J81:L81"/>
    <mergeCell ref="M81:O81"/>
    <mergeCell ref="P81:R81"/>
    <mergeCell ref="S81:U81"/>
    <mergeCell ref="V81:X81"/>
    <mergeCell ref="Y81:AA81"/>
    <mergeCell ref="V80:X80"/>
    <mergeCell ref="Y80:AA80"/>
    <mergeCell ref="AB80:AD80"/>
    <mergeCell ref="AE80:AG80"/>
    <mergeCell ref="AH80:AJ80"/>
    <mergeCell ref="AK80:AM80"/>
    <mergeCell ref="AN83:AP83"/>
    <mergeCell ref="A84:C84"/>
    <mergeCell ref="D84:F84"/>
    <mergeCell ref="G84:I84"/>
    <mergeCell ref="J84:L84"/>
    <mergeCell ref="M84:O84"/>
    <mergeCell ref="P84:R84"/>
    <mergeCell ref="S84:U84"/>
    <mergeCell ref="V84:X84"/>
    <mergeCell ref="Y84:AA84"/>
    <mergeCell ref="V83:X83"/>
    <mergeCell ref="Y83:AA83"/>
    <mergeCell ref="AB83:AD83"/>
    <mergeCell ref="AE83:AG83"/>
    <mergeCell ref="AH83:AJ83"/>
    <mergeCell ref="AK83:AM83"/>
    <mergeCell ref="AH82:AJ82"/>
    <mergeCell ref="AK82:AM82"/>
    <mergeCell ref="AN82:AP82"/>
    <mergeCell ref="A83:C83"/>
    <mergeCell ref="D83:F83"/>
    <mergeCell ref="G83:I83"/>
    <mergeCell ref="J83:L83"/>
    <mergeCell ref="M83:O83"/>
    <mergeCell ref="P83:R83"/>
    <mergeCell ref="S83:U83"/>
    <mergeCell ref="P82:R82"/>
    <mergeCell ref="S82:U82"/>
    <mergeCell ref="V82:X82"/>
    <mergeCell ref="Y82:AA82"/>
    <mergeCell ref="AB82:AD82"/>
    <mergeCell ref="AE82:AG82"/>
    <mergeCell ref="AH85:AJ85"/>
    <mergeCell ref="AK85:AM85"/>
    <mergeCell ref="AN85:AP85"/>
    <mergeCell ref="A86:C86"/>
    <mergeCell ref="D86:F86"/>
    <mergeCell ref="G86:I86"/>
    <mergeCell ref="J86:L86"/>
    <mergeCell ref="M86:O86"/>
    <mergeCell ref="P86:R86"/>
    <mergeCell ref="S86:U86"/>
    <mergeCell ref="P85:R85"/>
    <mergeCell ref="S85:U85"/>
    <mergeCell ref="V85:X85"/>
    <mergeCell ref="Y85:AA85"/>
    <mergeCell ref="AB85:AD85"/>
    <mergeCell ref="AE85:AG85"/>
    <mergeCell ref="AB84:AD84"/>
    <mergeCell ref="AE84:AG84"/>
    <mergeCell ref="AH84:AJ84"/>
    <mergeCell ref="AK84:AM84"/>
    <mergeCell ref="AN84:AP84"/>
    <mergeCell ref="A85:C85"/>
    <mergeCell ref="D85:F85"/>
    <mergeCell ref="G85:I85"/>
    <mergeCell ref="J85:L85"/>
    <mergeCell ref="M85:O85"/>
    <mergeCell ref="AB87:AD87"/>
    <mergeCell ref="AE87:AG87"/>
    <mergeCell ref="AH87:AJ87"/>
    <mergeCell ref="AK87:AM87"/>
    <mergeCell ref="AN87:AP87"/>
    <mergeCell ref="A88:C88"/>
    <mergeCell ref="D88:F88"/>
    <mergeCell ref="G88:I88"/>
    <mergeCell ref="J88:L88"/>
    <mergeCell ref="M88:O88"/>
    <mergeCell ref="AN86:AP86"/>
    <mergeCell ref="A87:C87"/>
    <mergeCell ref="D87:F87"/>
    <mergeCell ref="G87:I87"/>
    <mergeCell ref="J87:L87"/>
    <mergeCell ref="M87:O87"/>
    <mergeCell ref="P87:R87"/>
    <mergeCell ref="S87:U87"/>
    <mergeCell ref="V87:X87"/>
    <mergeCell ref="Y87:AA87"/>
    <mergeCell ref="V86:X86"/>
    <mergeCell ref="Y86:AA86"/>
    <mergeCell ref="AB86:AD86"/>
    <mergeCell ref="AE86:AG86"/>
    <mergeCell ref="AH86:AJ86"/>
    <mergeCell ref="AK86:AM86"/>
    <mergeCell ref="Y96:AA96"/>
    <mergeCell ref="AB96:AD96"/>
    <mergeCell ref="AE96:AG96"/>
    <mergeCell ref="AH96:AJ96"/>
    <mergeCell ref="AK96:AM96"/>
    <mergeCell ref="AN96:AP96"/>
    <mergeCell ref="G96:I96"/>
    <mergeCell ref="J96:L96"/>
    <mergeCell ref="M96:O96"/>
    <mergeCell ref="P96:R96"/>
    <mergeCell ref="S96:U96"/>
    <mergeCell ref="V96:X96"/>
    <mergeCell ref="AH88:AJ88"/>
    <mergeCell ref="AK88:AM88"/>
    <mergeCell ref="AN88:AP88"/>
    <mergeCell ref="K92:N92"/>
    <mergeCell ref="K93:N93"/>
    <mergeCell ref="G95:O95"/>
    <mergeCell ref="P95:X95"/>
    <mergeCell ref="Y95:AG95"/>
    <mergeCell ref="AH95:AP95"/>
    <mergeCell ref="P88:R88"/>
    <mergeCell ref="S88:U88"/>
    <mergeCell ref="V88:X88"/>
    <mergeCell ref="Y88:AA88"/>
    <mergeCell ref="AB88:AD88"/>
    <mergeCell ref="AE88:AG88"/>
    <mergeCell ref="Y98:AA98"/>
    <mergeCell ref="AB98:AD98"/>
    <mergeCell ref="AE98:AG98"/>
    <mergeCell ref="AH98:AJ98"/>
    <mergeCell ref="AK98:AM98"/>
    <mergeCell ref="AN98:AP98"/>
    <mergeCell ref="AK97:AM97"/>
    <mergeCell ref="AN97:AP97"/>
    <mergeCell ref="A98:C98"/>
    <mergeCell ref="D98:F98"/>
    <mergeCell ref="G98:I98"/>
    <mergeCell ref="J98:L98"/>
    <mergeCell ref="M98:O98"/>
    <mergeCell ref="P98:R98"/>
    <mergeCell ref="S98:U98"/>
    <mergeCell ref="V98:X98"/>
    <mergeCell ref="S97:U97"/>
    <mergeCell ref="V97:X97"/>
    <mergeCell ref="Y97:AA97"/>
    <mergeCell ref="AB97:AD97"/>
    <mergeCell ref="AE97:AG97"/>
    <mergeCell ref="AH97:AJ97"/>
    <mergeCell ref="A97:C97"/>
    <mergeCell ref="D97:F97"/>
    <mergeCell ref="G97:I97"/>
    <mergeCell ref="J97:L97"/>
    <mergeCell ref="M97:O97"/>
    <mergeCell ref="P97:R97"/>
    <mergeCell ref="Y100:AA100"/>
    <mergeCell ref="AB100:AD100"/>
    <mergeCell ref="AE100:AG100"/>
    <mergeCell ref="AH100:AJ100"/>
    <mergeCell ref="AK100:AM100"/>
    <mergeCell ref="AN100:AP100"/>
    <mergeCell ref="AK99:AM99"/>
    <mergeCell ref="AN99:AP99"/>
    <mergeCell ref="A100:C100"/>
    <mergeCell ref="D100:F100"/>
    <mergeCell ref="G100:I100"/>
    <mergeCell ref="J100:L100"/>
    <mergeCell ref="M100:O100"/>
    <mergeCell ref="P100:R100"/>
    <mergeCell ref="S100:U100"/>
    <mergeCell ref="V100:X100"/>
    <mergeCell ref="S99:U99"/>
    <mergeCell ref="V99:X99"/>
    <mergeCell ref="Y99:AA99"/>
    <mergeCell ref="AB99:AD99"/>
    <mergeCell ref="AE99:AG99"/>
    <mergeCell ref="AH99:AJ99"/>
    <mergeCell ref="A99:C99"/>
    <mergeCell ref="D99:F99"/>
    <mergeCell ref="G99:I99"/>
    <mergeCell ref="J99:L99"/>
    <mergeCell ref="M99:O99"/>
    <mergeCell ref="P99:R99"/>
    <mergeCell ref="Y102:AA102"/>
    <mergeCell ref="AB102:AD102"/>
    <mergeCell ref="AE102:AG102"/>
    <mergeCell ref="AH102:AJ102"/>
    <mergeCell ref="AK102:AM102"/>
    <mergeCell ref="AN102:AP102"/>
    <mergeCell ref="AK101:AM101"/>
    <mergeCell ref="AN101:AP101"/>
    <mergeCell ref="A102:C102"/>
    <mergeCell ref="D102:F102"/>
    <mergeCell ref="G102:I102"/>
    <mergeCell ref="J102:L102"/>
    <mergeCell ref="M102:O102"/>
    <mergeCell ref="P102:R102"/>
    <mergeCell ref="S102:U102"/>
    <mergeCell ref="V102:X102"/>
    <mergeCell ref="S101:U101"/>
    <mergeCell ref="V101:X101"/>
    <mergeCell ref="Y101:AA101"/>
    <mergeCell ref="AB101:AD101"/>
    <mergeCell ref="AE101:AG101"/>
    <mergeCell ref="AH101:AJ101"/>
    <mergeCell ref="A101:C101"/>
    <mergeCell ref="D101:F101"/>
    <mergeCell ref="G101:I101"/>
    <mergeCell ref="J101:L101"/>
    <mergeCell ref="M101:O101"/>
    <mergeCell ref="P101:R101"/>
    <mergeCell ref="Y104:AA104"/>
    <mergeCell ref="AB104:AD104"/>
    <mergeCell ref="AE104:AG104"/>
    <mergeCell ref="AH104:AJ104"/>
    <mergeCell ref="AK104:AM104"/>
    <mergeCell ref="AN104:AP104"/>
    <mergeCell ref="AK103:AM103"/>
    <mergeCell ref="AN103:AP103"/>
    <mergeCell ref="A104:C104"/>
    <mergeCell ref="D104:F104"/>
    <mergeCell ref="G104:I104"/>
    <mergeCell ref="J104:L104"/>
    <mergeCell ref="M104:O104"/>
    <mergeCell ref="P104:R104"/>
    <mergeCell ref="S104:U104"/>
    <mergeCell ref="V104:X104"/>
    <mergeCell ref="S103:U103"/>
    <mergeCell ref="V103:X103"/>
    <mergeCell ref="Y103:AA103"/>
    <mergeCell ref="AB103:AD103"/>
    <mergeCell ref="AE103:AG103"/>
    <mergeCell ref="AH103:AJ103"/>
    <mergeCell ref="A103:C103"/>
    <mergeCell ref="D103:F103"/>
    <mergeCell ref="G103:I103"/>
    <mergeCell ref="J103:L103"/>
    <mergeCell ref="M103:O103"/>
    <mergeCell ref="P103:R103"/>
    <mergeCell ref="Y106:AA106"/>
    <mergeCell ref="AB106:AD106"/>
    <mergeCell ref="AE106:AG106"/>
    <mergeCell ref="AH106:AJ106"/>
    <mergeCell ref="AK106:AM106"/>
    <mergeCell ref="AN106:AP106"/>
    <mergeCell ref="AK105:AM105"/>
    <mergeCell ref="AN105:AP105"/>
    <mergeCell ref="A106:C106"/>
    <mergeCell ref="D106:F106"/>
    <mergeCell ref="G106:I106"/>
    <mergeCell ref="J106:L106"/>
    <mergeCell ref="M106:O106"/>
    <mergeCell ref="P106:R106"/>
    <mergeCell ref="S106:U106"/>
    <mergeCell ref="V106:X106"/>
    <mergeCell ref="S105:U105"/>
    <mergeCell ref="V105:X105"/>
    <mergeCell ref="Y105:AA105"/>
    <mergeCell ref="AB105:AD105"/>
    <mergeCell ref="AE105:AG105"/>
    <mergeCell ref="AH105:AJ105"/>
    <mergeCell ref="A105:C105"/>
    <mergeCell ref="D105:F105"/>
    <mergeCell ref="G105:I105"/>
    <mergeCell ref="J105:L105"/>
    <mergeCell ref="M105:O105"/>
    <mergeCell ref="P105:R105"/>
    <mergeCell ref="Y108:AA108"/>
    <mergeCell ref="AB108:AD108"/>
    <mergeCell ref="AE108:AG108"/>
    <mergeCell ref="AH108:AJ108"/>
    <mergeCell ref="AK108:AM108"/>
    <mergeCell ref="AN108:AP108"/>
    <mergeCell ref="AK107:AM107"/>
    <mergeCell ref="AN107:AP107"/>
    <mergeCell ref="A108:C108"/>
    <mergeCell ref="D108:F108"/>
    <mergeCell ref="G108:I108"/>
    <mergeCell ref="J108:L108"/>
    <mergeCell ref="M108:O108"/>
    <mergeCell ref="P108:R108"/>
    <mergeCell ref="S108:U108"/>
    <mergeCell ref="V108:X108"/>
    <mergeCell ref="S107:U107"/>
    <mergeCell ref="V107:X107"/>
    <mergeCell ref="Y107:AA107"/>
    <mergeCell ref="AB107:AD107"/>
    <mergeCell ref="AE107:AG107"/>
    <mergeCell ref="AH107:AJ107"/>
    <mergeCell ref="A107:C107"/>
    <mergeCell ref="D107:F107"/>
    <mergeCell ref="G107:I107"/>
    <mergeCell ref="J107:L107"/>
    <mergeCell ref="M107:O107"/>
    <mergeCell ref="P107:R107"/>
    <mergeCell ref="Y110:AA110"/>
    <mergeCell ref="AB110:AD110"/>
    <mergeCell ref="AE110:AG110"/>
    <mergeCell ref="AH110:AJ110"/>
    <mergeCell ref="AK110:AM110"/>
    <mergeCell ref="AN110:AP110"/>
    <mergeCell ref="AK109:AM109"/>
    <mergeCell ref="AN109:AP109"/>
    <mergeCell ref="A110:C110"/>
    <mergeCell ref="D110:F110"/>
    <mergeCell ref="G110:I110"/>
    <mergeCell ref="J110:L110"/>
    <mergeCell ref="M110:O110"/>
    <mergeCell ref="P110:R110"/>
    <mergeCell ref="S110:U110"/>
    <mergeCell ref="V110:X110"/>
    <mergeCell ref="S109:U109"/>
    <mergeCell ref="V109:X109"/>
    <mergeCell ref="Y109:AA109"/>
    <mergeCell ref="AB109:AD109"/>
    <mergeCell ref="AE109:AG109"/>
    <mergeCell ref="AH109:AJ109"/>
    <mergeCell ref="A109:C109"/>
    <mergeCell ref="D109:F109"/>
    <mergeCell ref="G109:I109"/>
    <mergeCell ref="J109:L109"/>
    <mergeCell ref="M109:O109"/>
    <mergeCell ref="P109:R109"/>
    <mergeCell ref="Y112:AA112"/>
    <mergeCell ref="AB112:AD112"/>
    <mergeCell ref="AE112:AG112"/>
    <mergeCell ref="AH112:AJ112"/>
    <mergeCell ref="AK112:AM112"/>
    <mergeCell ref="AN112:AP112"/>
    <mergeCell ref="AK111:AM111"/>
    <mergeCell ref="AN111:AP111"/>
    <mergeCell ref="A112:C112"/>
    <mergeCell ref="D112:F112"/>
    <mergeCell ref="G112:I112"/>
    <mergeCell ref="J112:L112"/>
    <mergeCell ref="M112:O112"/>
    <mergeCell ref="P112:R112"/>
    <mergeCell ref="S112:U112"/>
    <mergeCell ref="V112:X112"/>
    <mergeCell ref="S111:U111"/>
    <mergeCell ref="V111:X111"/>
    <mergeCell ref="Y111:AA111"/>
    <mergeCell ref="AB111:AD111"/>
    <mergeCell ref="AE111:AG111"/>
    <mergeCell ref="AH111:AJ111"/>
    <mergeCell ref="A111:C111"/>
    <mergeCell ref="D111:F111"/>
    <mergeCell ref="G111:I111"/>
    <mergeCell ref="J111:L111"/>
    <mergeCell ref="M111:O111"/>
    <mergeCell ref="P111:R111"/>
    <mergeCell ref="Y114:AA114"/>
    <mergeCell ref="AB114:AD114"/>
    <mergeCell ref="AE114:AG114"/>
    <mergeCell ref="AH114:AJ114"/>
    <mergeCell ref="AK114:AM114"/>
    <mergeCell ref="AN114:AP114"/>
    <mergeCell ref="AK113:AM113"/>
    <mergeCell ref="AN113:AP113"/>
    <mergeCell ref="A114:C114"/>
    <mergeCell ref="D114:F114"/>
    <mergeCell ref="G114:I114"/>
    <mergeCell ref="J114:L114"/>
    <mergeCell ref="M114:O114"/>
    <mergeCell ref="P114:R114"/>
    <mergeCell ref="S114:U114"/>
    <mergeCell ref="V114:X114"/>
    <mergeCell ref="S113:U113"/>
    <mergeCell ref="V113:X113"/>
    <mergeCell ref="Y113:AA113"/>
    <mergeCell ref="AB113:AD113"/>
    <mergeCell ref="AE113:AG113"/>
    <mergeCell ref="AH113:AJ113"/>
    <mergeCell ref="A113:C113"/>
    <mergeCell ref="D113:F113"/>
    <mergeCell ref="G113:I113"/>
    <mergeCell ref="J113:L113"/>
    <mergeCell ref="M113:O113"/>
    <mergeCell ref="P113:R113"/>
    <mergeCell ref="Y116:AA116"/>
    <mergeCell ref="AB116:AD116"/>
    <mergeCell ref="AE116:AG116"/>
    <mergeCell ref="AH116:AJ116"/>
    <mergeCell ref="AK116:AM116"/>
    <mergeCell ref="AN116:AP116"/>
    <mergeCell ref="AK115:AM115"/>
    <mergeCell ref="AN115:AP115"/>
    <mergeCell ref="A116:C116"/>
    <mergeCell ref="D116:F116"/>
    <mergeCell ref="G116:I116"/>
    <mergeCell ref="J116:L116"/>
    <mergeCell ref="M116:O116"/>
    <mergeCell ref="P116:R116"/>
    <mergeCell ref="S116:U116"/>
    <mergeCell ref="V116:X116"/>
    <mergeCell ref="S115:U115"/>
    <mergeCell ref="V115:X115"/>
    <mergeCell ref="Y115:AA115"/>
    <mergeCell ref="AB115:AD115"/>
    <mergeCell ref="AE115:AG115"/>
    <mergeCell ref="AH115:AJ115"/>
    <mergeCell ref="A115:C115"/>
    <mergeCell ref="D115:F115"/>
    <mergeCell ref="G115:I115"/>
    <mergeCell ref="J115:L115"/>
    <mergeCell ref="M115:O115"/>
    <mergeCell ref="P115:R115"/>
    <mergeCell ref="Y118:AA118"/>
    <mergeCell ref="AB118:AD118"/>
    <mergeCell ref="AE118:AG118"/>
    <mergeCell ref="AH118:AJ118"/>
    <mergeCell ref="AK118:AM118"/>
    <mergeCell ref="AN118:AP118"/>
    <mergeCell ref="AK117:AM117"/>
    <mergeCell ref="AN117:AP117"/>
    <mergeCell ref="A118:C118"/>
    <mergeCell ref="D118:F118"/>
    <mergeCell ref="G118:I118"/>
    <mergeCell ref="J118:L118"/>
    <mergeCell ref="M118:O118"/>
    <mergeCell ref="P118:R118"/>
    <mergeCell ref="S118:U118"/>
    <mergeCell ref="V118:X118"/>
    <mergeCell ref="S117:U117"/>
    <mergeCell ref="V117:X117"/>
    <mergeCell ref="Y117:AA117"/>
    <mergeCell ref="AB117:AD117"/>
    <mergeCell ref="AE117:AG117"/>
    <mergeCell ref="AH117:AJ117"/>
    <mergeCell ref="A117:C117"/>
    <mergeCell ref="D117:F117"/>
    <mergeCell ref="G117:I117"/>
    <mergeCell ref="J117:L117"/>
    <mergeCell ref="M117:O117"/>
    <mergeCell ref="P117:R117"/>
    <mergeCell ref="Y120:AA120"/>
    <mergeCell ref="AB120:AD120"/>
    <mergeCell ref="AE120:AG120"/>
    <mergeCell ref="AH120:AJ120"/>
    <mergeCell ref="AK120:AM120"/>
    <mergeCell ref="AN120:AP120"/>
    <mergeCell ref="AK119:AM119"/>
    <mergeCell ref="AN119:AP119"/>
    <mergeCell ref="A120:C120"/>
    <mergeCell ref="D120:F120"/>
    <mergeCell ref="G120:I120"/>
    <mergeCell ref="J120:L120"/>
    <mergeCell ref="M120:O120"/>
    <mergeCell ref="P120:R120"/>
    <mergeCell ref="S120:U120"/>
    <mergeCell ref="V120:X120"/>
    <mergeCell ref="S119:U119"/>
    <mergeCell ref="V119:X119"/>
    <mergeCell ref="Y119:AA119"/>
    <mergeCell ref="AB119:AD119"/>
    <mergeCell ref="AE119:AG119"/>
    <mergeCell ref="AH119:AJ119"/>
    <mergeCell ref="A119:C119"/>
    <mergeCell ref="D119:F119"/>
    <mergeCell ref="G119:I119"/>
    <mergeCell ref="J119:L119"/>
    <mergeCell ref="M119:O119"/>
    <mergeCell ref="P119:R119"/>
    <mergeCell ref="Y122:AA122"/>
    <mergeCell ref="AB122:AD122"/>
    <mergeCell ref="AE122:AG122"/>
    <mergeCell ref="AH122:AJ122"/>
    <mergeCell ref="AK122:AM122"/>
    <mergeCell ref="AN122:AP122"/>
    <mergeCell ref="AK121:AM121"/>
    <mergeCell ref="AN121:AP121"/>
    <mergeCell ref="A122:C122"/>
    <mergeCell ref="D122:F122"/>
    <mergeCell ref="G122:I122"/>
    <mergeCell ref="J122:L122"/>
    <mergeCell ref="M122:O122"/>
    <mergeCell ref="P122:R122"/>
    <mergeCell ref="S122:U122"/>
    <mergeCell ref="V122:X122"/>
    <mergeCell ref="S121:U121"/>
    <mergeCell ref="V121:X121"/>
    <mergeCell ref="Y121:AA121"/>
    <mergeCell ref="AB121:AD121"/>
    <mergeCell ref="AE121:AG121"/>
    <mergeCell ref="AH121:AJ121"/>
    <mergeCell ref="A121:C121"/>
    <mergeCell ref="D121:F121"/>
    <mergeCell ref="G121:I121"/>
    <mergeCell ref="J121:L121"/>
    <mergeCell ref="M121:O121"/>
    <mergeCell ref="P121:R121"/>
    <mergeCell ref="Y130:AA130"/>
    <mergeCell ref="AB130:AD130"/>
    <mergeCell ref="AE130:AG130"/>
    <mergeCell ref="AH130:AJ130"/>
    <mergeCell ref="AK130:AM130"/>
    <mergeCell ref="AN130:AP130"/>
    <mergeCell ref="G130:I130"/>
    <mergeCell ref="J130:L130"/>
    <mergeCell ref="M130:O130"/>
    <mergeCell ref="P130:R130"/>
    <mergeCell ref="S130:U130"/>
    <mergeCell ref="V130:X130"/>
    <mergeCell ref="K126:N126"/>
    <mergeCell ref="K127:N127"/>
    <mergeCell ref="G129:O129"/>
    <mergeCell ref="P129:X129"/>
    <mergeCell ref="Y129:AG129"/>
    <mergeCell ref="AH129:AP129"/>
    <mergeCell ref="Y132:AA132"/>
    <mergeCell ref="AB132:AD132"/>
    <mergeCell ref="AE132:AG132"/>
    <mergeCell ref="AH132:AJ132"/>
    <mergeCell ref="AK132:AM132"/>
    <mergeCell ref="AN132:AP132"/>
    <mergeCell ref="AK131:AM131"/>
    <mergeCell ref="AN131:AP131"/>
    <mergeCell ref="A132:C132"/>
    <mergeCell ref="D132:F132"/>
    <mergeCell ref="G132:I132"/>
    <mergeCell ref="J132:L132"/>
    <mergeCell ref="M132:O132"/>
    <mergeCell ref="P132:R132"/>
    <mergeCell ref="S132:U132"/>
    <mergeCell ref="V132:X132"/>
    <mergeCell ref="S131:U131"/>
    <mergeCell ref="V131:X131"/>
    <mergeCell ref="Y131:AA131"/>
    <mergeCell ref="AB131:AD131"/>
    <mergeCell ref="AE131:AG131"/>
    <mergeCell ref="AH131:AJ131"/>
    <mergeCell ref="A131:C131"/>
    <mergeCell ref="D131:F131"/>
    <mergeCell ref="G131:I131"/>
    <mergeCell ref="J131:L131"/>
    <mergeCell ref="M131:O131"/>
    <mergeCell ref="P131:R131"/>
    <mergeCell ref="Y134:AA134"/>
    <mergeCell ref="AB134:AD134"/>
    <mergeCell ref="AE134:AG134"/>
    <mergeCell ref="AH134:AJ134"/>
    <mergeCell ref="AK134:AM134"/>
    <mergeCell ref="AN134:AP134"/>
    <mergeCell ref="AK133:AM133"/>
    <mergeCell ref="AN133:AP133"/>
    <mergeCell ref="A134:C134"/>
    <mergeCell ref="D134:F134"/>
    <mergeCell ref="G134:I134"/>
    <mergeCell ref="J134:L134"/>
    <mergeCell ref="M134:O134"/>
    <mergeCell ref="P134:R134"/>
    <mergeCell ref="S134:U134"/>
    <mergeCell ref="V134:X134"/>
    <mergeCell ref="S133:U133"/>
    <mergeCell ref="V133:X133"/>
    <mergeCell ref="Y133:AA133"/>
    <mergeCell ref="AB133:AD133"/>
    <mergeCell ref="AE133:AG133"/>
    <mergeCell ref="AH133:AJ133"/>
    <mergeCell ref="A133:C133"/>
    <mergeCell ref="D133:F133"/>
    <mergeCell ref="G133:I133"/>
    <mergeCell ref="J133:L133"/>
    <mergeCell ref="M133:O133"/>
    <mergeCell ref="P133:R133"/>
    <mergeCell ref="Y136:AA136"/>
    <mergeCell ref="AB136:AD136"/>
    <mergeCell ref="AE136:AG136"/>
    <mergeCell ref="AH136:AJ136"/>
    <mergeCell ref="AK136:AM136"/>
    <mergeCell ref="AN136:AP136"/>
    <mergeCell ref="AK135:AM135"/>
    <mergeCell ref="AN135:AP135"/>
    <mergeCell ref="A136:C136"/>
    <mergeCell ref="D136:F136"/>
    <mergeCell ref="G136:I136"/>
    <mergeCell ref="J136:L136"/>
    <mergeCell ref="M136:O136"/>
    <mergeCell ref="P136:R136"/>
    <mergeCell ref="S136:U136"/>
    <mergeCell ref="V136:X136"/>
    <mergeCell ref="S135:U135"/>
    <mergeCell ref="V135:X135"/>
    <mergeCell ref="Y135:AA135"/>
    <mergeCell ref="AB135:AD135"/>
    <mergeCell ref="AE135:AG135"/>
    <mergeCell ref="AH135:AJ135"/>
    <mergeCell ref="A135:C135"/>
    <mergeCell ref="D135:F135"/>
    <mergeCell ref="G135:I135"/>
    <mergeCell ref="J135:L135"/>
    <mergeCell ref="M135:O135"/>
    <mergeCell ref="P135:R135"/>
    <mergeCell ref="Y138:AA138"/>
    <mergeCell ref="AB138:AD138"/>
    <mergeCell ref="AE138:AG138"/>
    <mergeCell ref="AH138:AJ138"/>
    <mergeCell ref="AK138:AM138"/>
    <mergeCell ref="AN138:AP138"/>
    <mergeCell ref="AK137:AM137"/>
    <mergeCell ref="AN137:AP137"/>
    <mergeCell ref="A138:C138"/>
    <mergeCell ref="D138:F138"/>
    <mergeCell ref="G138:I138"/>
    <mergeCell ref="J138:L138"/>
    <mergeCell ref="M138:O138"/>
    <mergeCell ref="P138:R138"/>
    <mergeCell ref="S138:U138"/>
    <mergeCell ref="V138:X138"/>
    <mergeCell ref="S137:U137"/>
    <mergeCell ref="V137:X137"/>
    <mergeCell ref="Y137:AA137"/>
    <mergeCell ref="AB137:AD137"/>
    <mergeCell ref="AE137:AG137"/>
    <mergeCell ref="AH137:AJ137"/>
    <mergeCell ref="A137:C137"/>
    <mergeCell ref="D137:F137"/>
    <mergeCell ref="G137:I137"/>
    <mergeCell ref="J137:L137"/>
    <mergeCell ref="M137:O137"/>
    <mergeCell ref="P137:R137"/>
    <mergeCell ref="Y140:AA140"/>
    <mergeCell ref="AB140:AD140"/>
    <mergeCell ref="AE140:AG140"/>
    <mergeCell ref="AH140:AJ140"/>
    <mergeCell ref="AK140:AM140"/>
    <mergeCell ref="AN140:AP140"/>
    <mergeCell ref="AK139:AM139"/>
    <mergeCell ref="AN139:AP139"/>
    <mergeCell ref="A140:C140"/>
    <mergeCell ref="D140:F140"/>
    <mergeCell ref="G140:I140"/>
    <mergeCell ref="J140:L140"/>
    <mergeCell ref="M140:O140"/>
    <mergeCell ref="P140:R140"/>
    <mergeCell ref="S140:U140"/>
    <mergeCell ref="V140:X140"/>
    <mergeCell ref="S139:U139"/>
    <mergeCell ref="V139:X139"/>
    <mergeCell ref="Y139:AA139"/>
    <mergeCell ref="AB139:AD139"/>
    <mergeCell ref="AE139:AG139"/>
    <mergeCell ref="AH139:AJ139"/>
    <mergeCell ref="A139:C139"/>
    <mergeCell ref="D139:F139"/>
    <mergeCell ref="G139:I139"/>
    <mergeCell ref="J139:L139"/>
    <mergeCell ref="M139:O139"/>
    <mergeCell ref="P139:R139"/>
    <mergeCell ref="Y142:AA142"/>
    <mergeCell ref="AB142:AD142"/>
    <mergeCell ref="AE142:AG142"/>
    <mergeCell ref="AH142:AJ142"/>
    <mergeCell ref="AK142:AM142"/>
    <mergeCell ref="AN142:AP142"/>
    <mergeCell ref="AK141:AM141"/>
    <mergeCell ref="AN141:AP141"/>
    <mergeCell ref="A142:C142"/>
    <mergeCell ref="D142:F142"/>
    <mergeCell ref="G142:I142"/>
    <mergeCell ref="J142:L142"/>
    <mergeCell ref="M142:O142"/>
    <mergeCell ref="P142:R142"/>
    <mergeCell ref="S142:U142"/>
    <mergeCell ref="V142:X142"/>
    <mergeCell ref="S141:U141"/>
    <mergeCell ref="V141:X141"/>
    <mergeCell ref="Y141:AA141"/>
    <mergeCell ref="AB141:AD141"/>
    <mergeCell ref="AE141:AG141"/>
    <mergeCell ref="AH141:AJ141"/>
    <mergeCell ref="A141:C141"/>
    <mergeCell ref="D141:F141"/>
    <mergeCell ref="G141:I141"/>
    <mergeCell ref="J141:L141"/>
    <mergeCell ref="M141:O141"/>
    <mergeCell ref="P141:R141"/>
    <mergeCell ref="Y144:AA144"/>
    <mergeCell ref="AB144:AD144"/>
    <mergeCell ref="AE144:AG144"/>
    <mergeCell ref="AH144:AJ144"/>
    <mergeCell ref="AK144:AM144"/>
    <mergeCell ref="AN144:AP144"/>
    <mergeCell ref="AK143:AM143"/>
    <mergeCell ref="AN143:AP143"/>
    <mergeCell ref="A144:C144"/>
    <mergeCell ref="D144:F144"/>
    <mergeCell ref="G144:I144"/>
    <mergeCell ref="J144:L144"/>
    <mergeCell ref="M144:O144"/>
    <mergeCell ref="P144:R144"/>
    <mergeCell ref="S144:U144"/>
    <mergeCell ref="V144:X144"/>
    <mergeCell ref="S143:U143"/>
    <mergeCell ref="V143:X143"/>
    <mergeCell ref="Y143:AA143"/>
    <mergeCell ref="AB143:AD143"/>
    <mergeCell ref="AE143:AG143"/>
    <mergeCell ref="AH143:AJ143"/>
    <mergeCell ref="A143:C143"/>
    <mergeCell ref="D143:F143"/>
    <mergeCell ref="G143:I143"/>
    <mergeCell ref="J143:L143"/>
    <mergeCell ref="M143:O143"/>
    <mergeCell ref="P143:R143"/>
    <mergeCell ref="Y146:AA146"/>
    <mergeCell ref="AB146:AD146"/>
    <mergeCell ref="AE146:AG146"/>
    <mergeCell ref="AH146:AJ146"/>
    <mergeCell ref="AK146:AM146"/>
    <mergeCell ref="AN146:AP146"/>
    <mergeCell ref="AK145:AM145"/>
    <mergeCell ref="AN145:AP145"/>
    <mergeCell ref="A146:C146"/>
    <mergeCell ref="D146:F146"/>
    <mergeCell ref="G146:I146"/>
    <mergeCell ref="J146:L146"/>
    <mergeCell ref="M146:O146"/>
    <mergeCell ref="P146:R146"/>
    <mergeCell ref="S146:U146"/>
    <mergeCell ref="V146:X146"/>
    <mergeCell ref="S145:U145"/>
    <mergeCell ref="V145:X145"/>
    <mergeCell ref="Y145:AA145"/>
    <mergeCell ref="AB145:AD145"/>
    <mergeCell ref="AE145:AG145"/>
    <mergeCell ref="AH145:AJ145"/>
    <mergeCell ref="A145:C145"/>
    <mergeCell ref="D145:F145"/>
    <mergeCell ref="G145:I145"/>
    <mergeCell ref="J145:L145"/>
    <mergeCell ref="M145:O145"/>
    <mergeCell ref="P145:R145"/>
    <mergeCell ref="Y148:AA148"/>
    <mergeCell ref="AB148:AD148"/>
    <mergeCell ref="AE148:AG148"/>
    <mergeCell ref="AH148:AJ148"/>
    <mergeCell ref="AK148:AM148"/>
    <mergeCell ref="AN148:AP148"/>
    <mergeCell ref="AK147:AM147"/>
    <mergeCell ref="AN147:AP147"/>
    <mergeCell ref="A148:C148"/>
    <mergeCell ref="D148:F148"/>
    <mergeCell ref="G148:I148"/>
    <mergeCell ref="J148:L148"/>
    <mergeCell ref="M148:O148"/>
    <mergeCell ref="P148:R148"/>
    <mergeCell ref="S148:U148"/>
    <mergeCell ref="V148:X148"/>
    <mergeCell ref="S147:U147"/>
    <mergeCell ref="V147:X147"/>
    <mergeCell ref="Y147:AA147"/>
    <mergeCell ref="AB147:AD147"/>
    <mergeCell ref="AE147:AG147"/>
    <mergeCell ref="AH147:AJ147"/>
    <mergeCell ref="A147:C147"/>
    <mergeCell ref="D147:F147"/>
    <mergeCell ref="G147:I147"/>
    <mergeCell ref="J147:L147"/>
    <mergeCell ref="M147:O147"/>
    <mergeCell ref="P147:R147"/>
    <mergeCell ref="Y150:AA150"/>
    <mergeCell ref="AB150:AD150"/>
    <mergeCell ref="AE150:AG150"/>
    <mergeCell ref="AH150:AJ150"/>
    <mergeCell ref="AK150:AM150"/>
    <mergeCell ref="AN150:AP150"/>
    <mergeCell ref="AK149:AM149"/>
    <mergeCell ref="AN149:AP149"/>
    <mergeCell ref="A150:C150"/>
    <mergeCell ref="D150:F150"/>
    <mergeCell ref="G150:I150"/>
    <mergeCell ref="J150:L150"/>
    <mergeCell ref="M150:O150"/>
    <mergeCell ref="P150:R150"/>
    <mergeCell ref="S150:U150"/>
    <mergeCell ref="V150:X150"/>
    <mergeCell ref="S149:U149"/>
    <mergeCell ref="V149:X149"/>
    <mergeCell ref="Y149:AA149"/>
    <mergeCell ref="AB149:AD149"/>
    <mergeCell ref="AE149:AG149"/>
    <mergeCell ref="AH149:AJ149"/>
    <mergeCell ref="A149:C149"/>
    <mergeCell ref="D149:F149"/>
    <mergeCell ref="G149:I149"/>
    <mergeCell ref="J149:L149"/>
    <mergeCell ref="M149:O149"/>
    <mergeCell ref="P149:R149"/>
    <mergeCell ref="Y152:AA152"/>
    <mergeCell ref="AB152:AD152"/>
    <mergeCell ref="AE152:AG152"/>
    <mergeCell ref="AH152:AJ152"/>
    <mergeCell ref="AK152:AM152"/>
    <mergeCell ref="AN152:AP152"/>
    <mergeCell ref="AK151:AM151"/>
    <mergeCell ref="AN151:AP151"/>
    <mergeCell ref="A152:C152"/>
    <mergeCell ref="D152:F152"/>
    <mergeCell ref="G152:I152"/>
    <mergeCell ref="J152:L152"/>
    <mergeCell ref="M152:O152"/>
    <mergeCell ref="P152:R152"/>
    <mergeCell ref="S152:U152"/>
    <mergeCell ref="V152:X152"/>
    <mergeCell ref="S151:U151"/>
    <mergeCell ref="V151:X151"/>
    <mergeCell ref="Y151:AA151"/>
    <mergeCell ref="AB151:AD151"/>
    <mergeCell ref="AE151:AG151"/>
    <mergeCell ref="AH151:AJ151"/>
    <mergeCell ref="A151:C151"/>
    <mergeCell ref="D151:F151"/>
    <mergeCell ref="G151:I151"/>
    <mergeCell ref="J151:L151"/>
    <mergeCell ref="M151:O151"/>
    <mergeCell ref="P151:R151"/>
    <mergeCell ref="Y154:AA154"/>
    <mergeCell ref="AB154:AD154"/>
    <mergeCell ref="AE154:AG154"/>
    <mergeCell ref="AH154:AJ154"/>
    <mergeCell ref="AK154:AM154"/>
    <mergeCell ref="AN154:AP154"/>
    <mergeCell ref="AK153:AM153"/>
    <mergeCell ref="AN153:AP153"/>
    <mergeCell ref="A154:C154"/>
    <mergeCell ref="D154:F154"/>
    <mergeCell ref="G154:I154"/>
    <mergeCell ref="J154:L154"/>
    <mergeCell ref="M154:O154"/>
    <mergeCell ref="P154:R154"/>
    <mergeCell ref="S154:U154"/>
    <mergeCell ref="V154:X154"/>
    <mergeCell ref="S153:U153"/>
    <mergeCell ref="V153:X153"/>
    <mergeCell ref="Y153:AA153"/>
    <mergeCell ref="AB153:AD153"/>
    <mergeCell ref="AE153:AG153"/>
    <mergeCell ref="AH153:AJ153"/>
    <mergeCell ref="A153:C153"/>
    <mergeCell ref="D153:F153"/>
    <mergeCell ref="G153:I153"/>
    <mergeCell ref="J153:L153"/>
    <mergeCell ref="M153:O153"/>
    <mergeCell ref="P153:R153"/>
    <mergeCell ref="Y156:AA156"/>
    <mergeCell ref="AB156:AD156"/>
    <mergeCell ref="AE156:AG156"/>
    <mergeCell ref="AH156:AJ156"/>
    <mergeCell ref="AK156:AM156"/>
    <mergeCell ref="AN156:AP156"/>
    <mergeCell ref="AK155:AM155"/>
    <mergeCell ref="AN155:AP155"/>
    <mergeCell ref="A156:C156"/>
    <mergeCell ref="D156:F156"/>
    <mergeCell ref="G156:I156"/>
    <mergeCell ref="J156:L156"/>
    <mergeCell ref="M156:O156"/>
    <mergeCell ref="P156:R156"/>
    <mergeCell ref="S156:U156"/>
    <mergeCell ref="V156:X156"/>
    <mergeCell ref="S155:U155"/>
    <mergeCell ref="V155:X155"/>
    <mergeCell ref="Y155:AA155"/>
    <mergeCell ref="AB155:AD155"/>
    <mergeCell ref="AE155:AG155"/>
    <mergeCell ref="AH155:AJ155"/>
    <mergeCell ref="A155:C155"/>
    <mergeCell ref="D155:F155"/>
    <mergeCell ref="G155:I155"/>
    <mergeCell ref="J155:L155"/>
    <mergeCell ref="M155:O155"/>
    <mergeCell ref="P155:R155"/>
  </mergeCells>
  <hyperlinks>
    <hyperlink ref="A2" location="TOC!A1" display="Return to TOC" xr:uid="{88A75463-38B9-47ED-9CA6-8860BF983EAC}"/>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9" tint="0.79998168889431442"/>
    <pageSetUpPr autoPageBreaks="0"/>
  </sheetPr>
  <dimension ref="A1:AF51"/>
  <sheetViews>
    <sheetView workbookViewId="0">
      <selection sqref="A1:AF1"/>
    </sheetView>
  </sheetViews>
  <sheetFormatPr defaultColWidth="2.7109375" defaultRowHeight="15" x14ac:dyDescent="0.25"/>
  <sheetData>
    <row r="1" spans="1:32" ht="19.5" thickBot="1" x14ac:dyDescent="0.3">
      <c r="A1" s="1272" t="s">
        <v>3338</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row>
    <row r="2" spans="1:32" ht="14.45" customHeight="1" x14ac:dyDescent="0.25">
      <c r="A2" s="376" t="s">
        <v>1702</v>
      </c>
    </row>
    <row r="3" spans="1:32"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5" customHeight="1" x14ac:dyDescent="0.25">
      <c r="A5" s="262"/>
      <c r="B5" s="1151" t="s">
        <v>3171</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ht="14.45" customHeight="1" x14ac:dyDescent="0.25">
      <c r="A6" s="376"/>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25">
      <c r="A9" s="1"/>
      <c r="B9" s="1475" t="s">
        <v>10</v>
      </c>
      <c r="C9" s="1475"/>
      <c r="D9" s="1475"/>
      <c r="E9" s="1475"/>
      <c r="F9" s="1475"/>
      <c r="G9" s="1475"/>
      <c r="H9" s="1475"/>
      <c r="I9" s="1475"/>
      <c r="J9" s="1"/>
      <c r="K9" s="1"/>
      <c r="L9" s="1"/>
      <c r="M9" s="1"/>
      <c r="N9" s="1"/>
      <c r="O9" s="1"/>
      <c r="P9" s="1"/>
      <c r="Q9" s="1"/>
      <c r="R9" s="1"/>
      <c r="S9" s="1"/>
      <c r="T9" s="1"/>
      <c r="U9" s="1"/>
      <c r="V9" s="1"/>
      <c r="W9" s="1"/>
      <c r="X9" s="1"/>
      <c r="Y9" s="1"/>
      <c r="Z9" s="1"/>
      <c r="AA9" s="1"/>
      <c r="AB9" s="1"/>
      <c r="AC9" s="1"/>
      <c r="AD9" s="1"/>
      <c r="AE9" s="1"/>
      <c r="AF9" s="1"/>
    </row>
    <row r="10" spans="1:32" ht="51.75" customHeight="1" x14ac:dyDescent="0.25">
      <c r="A10" s="4"/>
      <c r="B10" s="1151" t="s">
        <v>3339</v>
      </c>
      <c r="C10" s="1151"/>
      <c r="D10" s="1151"/>
      <c r="E10" s="1151"/>
      <c r="F10" s="1151"/>
      <c r="G10" s="1151"/>
      <c r="H10" s="1151"/>
      <c r="I10" s="1151"/>
      <c r="J10" s="1151"/>
      <c r="K10" s="1151"/>
      <c r="L10" s="1151"/>
      <c r="M10" s="1151"/>
      <c r="N10" s="1151"/>
      <c r="O10" s="1151"/>
      <c r="P10" s="1151"/>
      <c r="Q10" s="1151"/>
      <c r="R10" s="1151"/>
      <c r="S10" s="1151"/>
      <c r="T10" s="1151"/>
      <c r="U10" s="1151"/>
      <c r="V10" s="1151"/>
      <c r="W10" s="1151"/>
      <c r="X10" s="1151"/>
      <c r="Y10" s="1151"/>
      <c r="Z10" s="1151"/>
      <c r="AA10" s="1151"/>
      <c r="AB10" s="1151"/>
      <c r="AC10" s="1151"/>
      <c r="AD10" s="1151"/>
      <c r="AE10" s="1151"/>
      <c r="AF10" s="1151"/>
    </row>
    <row r="11" spans="1:32"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25">
      <c r="A12" s="1"/>
      <c r="B12" s="1475" t="s">
        <v>11</v>
      </c>
      <c r="C12" s="1475"/>
      <c r="D12" s="1475"/>
      <c r="E12" s="1475"/>
      <c r="F12" s="1475"/>
      <c r="G12" s="1475"/>
      <c r="H12" s="1475"/>
      <c r="I12" s="1475"/>
      <c r="J12" s="1"/>
      <c r="K12" s="1"/>
      <c r="L12" s="1"/>
      <c r="M12" s="1"/>
      <c r="N12" s="1"/>
      <c r="O12" s="1"/>
      <c r="P12" s="1"/>
      <c r="Q12" s="1"/>
      <c r="R12" s="1"/>
      <c r="S12" s="1"/>
      <c r="T12" s="1"/>
      <c r="U12" s="1"/>
      <c r="V12" s="1"/>
      <c r="W12" s="1"/>
      <c r="X12" s="1"/>
      <c r="Y12" s="1"/>
      <c r="Z12" s="1"/>
      <c r="AA12" s="1"/>
      <c r="AB12" s="1"/>
      <c r="AC12" s="1"/>
      <c r="AD12" s="1"/>
      <c r="AE12" s="1"/>
      <c r="AF12" s="1"/>
    </row>
    <row r="13" spans="1:32" x14ac:dyDescent="0.25">
      <c r="A13" s="1"/>
      <c r="B13" s="1473"/>
      <c r="C13" s="1473"/>
      <c r="D13" s="1473"/>
      <c r="E13" s="1473"/>
      <c r="F13" s="1473"/>
      <c r="G13" s="1473"/>
      <c r="H13" s="1473"/>
      <c r="I13" s="1473"/>
      <c r="J13" s="1473"/>
      <c r="K13" s="1473"/>
      <c r="L13" s="1473"/>
      <c r="M13" s="1473"/>
      <c r="N13" s="1473"/>
      <c r="O13" s="1473"/>
      <c r="P13" s="1473"/>
      <c r="Q13" s="1473"/>
      <c r="R13" s="1473"/>
      <c r="S13" s="1473"/>
      <c r="T13" s="1473"/>
      <c r="U13" s="1473"/>
      <c r="V13" s="1473"/>
      <c r="W13" s="1473"/>
      <c r="X13" s="1473"/>
      <c r="Y13" s="1473"/>
      <c r="Z13" s="1473"/>
      <c r="AA13" s="1473"/>
      <c r="AB13" s="1473"/>
      <c r="AC13" s="1473"/>
      <c r="AD13" s="1473"/>
      <c r="AE13" s="1473"/>
      <c r="AF13" s="1473"/>
    </row>
    <row r="14" spans="1:32"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25">
      <c r="A15" s="1"/>
      <c r="B15" s="1475" t="s">
        <v>12</v>
      </c>
      <c r="C15" s="1475"/>
      <c r="D15" s="1475"/>
      <c r="E15" s="1475"/>
      <c r="F15" s="1475"/>
      <c r="G15" s="1475"/>
      <c r="H15" s="1475"/>
      <c r="I15" s="1475"/>
      <c r="J15" s="1"/>
      <c r="K15" s="1"/>
      <c r="L15" s="1"/>
      <c r="M15" s="1"/>
      <c r="N15" s="1"/>
      <c r="O15" s="1"/>
      <c r="P15" s="1"/>
      <c r="Q15" s="1"/>
      <c r="R15" s="1"/>
      <c r="S15" s="1"/>
      <c r="T15" s="1"/>
      <c r="U15" s="1"/>
      <c r="V15" s="1"/>
      <c r="W15" s="1"/>
      <c r="X15" s="1"/>
      <c r="Y15" s="1"/>
      <c r="Z15" s="1"/>
      <c r="AA15" s="1"/>
      <c r="AB15" s="1"/>
      <c r="AC15" s="1"/>
      <c r="AD15" s="1"/>
      <c r="AE15" s="1"/>
      <c r="AF15" s="1"/>
    </row>
    <row r="16" spans="1:32" x14ac:dyDescent="0.25">
      <c r="A16" s="1"/>
      <c r="B16" s="1473" t="s">
        <v>3347</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row>
    <row r="17" spans="1:32"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25">
      <c r="A18" s="1"/>
      <c r="B18" s="1475" t="s">
        <v>13</v>
      </c>
      <c r="C18" s="1475"/>
      <c r="D18" s="1475"/>
      <c r="E18" s="1475"/>
      <c r="F18" s="1475"/>
      <c r="G18" s="1475"/>
      <c r="H18" s="1475"/>
      <c r="I18" s="1475"/>
      <c r="J18" s="1"/>
      <c r="K18" s="1"/>
      <c r="L18" s="1"/>
      <c r="M18" s="1"/>
      <c r="N18" s="1"/>
      <c r="O18" s="1"/>
      <c r="P18" s="1"/>
      <c r="Q18" s="1"/>
      <c r="R18" s="1"/>
      <c r="S18" s="1"/>
      <c r="T18" s="1"/>
      <c r="U18" s="1"/>
      <c r="V18" s="1"/>
      <c r="W18" s="1"/>
      <c r="X18" s="1"/>
      <c r="Y18" s="1"/>
      <c r="Z18" s="1"/>
      <c r="AA18" s="1"/>
      <c r="AB18" s="1"/>
      <c r="AC18" s="1"/>
      <c r="AD18" s="1"/>
      <c r="AE18" s="1"/>
      <c r="AF18" s="1"/>
    </row>
    <row r="19" spans="1:32" x14ac:dyDescent="0.25">
      <c r="A19" s="1"/>
      <c r="B19" s="1151" t="s">
        <v>3348</v>
      </c>
      <c r="C19" s="1473"/>
      <c r="D19" s="1473"/>
      <c r="E19" s="1473"/>
      <c r="F19" s="1473"/>
      <c r="G19" s="1473"/>
      <c r="H19" s="1473"/>
      <c r="I19" s="1473"/>
      <c r="J19" s="1473"/>
      <c r="K19" s="1473"/>
      <c r="L19" s="1473"/>
      <c r="M19" s="1473"/>
      <c r="N19" s="1473"/>
      <c r="O19" s="1473"/>
      <c r="P19" s="1473"/>
      <c r="Q19" s="1473"/>
      <c r="R19" s="1473"/>
      <c r="S19" s="1473"/>
      <c r="T19" s="1473"/>
      <c r="U19" s="1473"/>
      <c r="V19" s="1473"/>
      <c r="W19" s="1473"/>
      <c r="X19" s="1473"/>
      <c r="Y19" s="1473"/>
      <c r="Z19" s="1473"/>
      <c r="AA19" s="1473"/>
      <c r="AB19" s="1473"/>
      <c r="AC19" s="1473"/>
      <c r="AD19" s="1473"/>
      <c r="AE19" s="1473"/>
      <c r="AF19" s="1473"/>
    </row>
    <row r="20" spans="1:32"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25">
      <c r="A21" s="1"/>
      <c r="B21" s="171" t="s">
        <v>20</v>
      </c>
      <c r="C21" s="171"/>
      <c r="D21" s="171"/>
      <c r="E21" s="171"/>
      <c r="F21" s="171"/>
      <c r="G21" s="171"/>
      <c r="H21" s="171"/>
      <c r="I21" s="171"/>
      <c r="J21" s="1"/>
      <c r="K21" s="1"/>
      <c r="L21" s="1"/>
      <c r="M21" s="1"/>
      <c r="N21" s="1"/>
      <c r="O21" s="1"/>
      <c r="P21" s="1"/>
      <c r="Q21" s="1"/>
      <c r="R21" s="1"/>
      <c r="S21" s="1"/>
      <c r="T21" s="1"/>
      <c r="U21" s="1"/>
      <c r="V21" s="1"/>
      <c r="W21" s="1"/>
      <c r="X21" s="1"/>
      <c r="Y21" s="1"/>
      <c r="Z21" s="1"/>
      <c r="AA21" s="1"/>
      <c r="AB21" s="1"/>
      <c r="AC21" s="1"/>
      <c r="AD21" s="1"/>
      <c r="AE21" s="1"/>
      <c r="AF21" s="1"/>
    </row>
    <row r="22" spans="1:32" x14ac:dyDescent="0.25">
      <c r="A22" s="1"/>
      <c r="B22" s="1151" t="s">
        <v>3349</v>
      </c>
      <c r="C22" s="1473"/>
      <c r="D22" s="1473"/>
      <c r="E22" s="1473"/>
      <c r="F22" s="1473"/>
      <c r="G22" s="1473"/>
      <c r="H22" s="1473"/>
      <c r="I22" s="1473"/>
      <c r="J22" s="1473"/>
      <c r="K22" s="1473"/>
      <c r="L22" s="1473"/>
      <c r="M22" s="1473"/>
      <c r="N22" s="1473"/>
      <c r="O22" s="1473"/>
      <c r="P22" s="1473"/>
      <c r="Q22" s="1473"/>
      <c r="R22" s="1473"/>
      <c r="S22" s="1473"/>
      <c r="T22" s="1473"/>
      <c r="U22" s="1473"/>
      <c r="V22" s="1473"/>
      <c r="W22" s="1473"/>
      <c r="X22" s="1473"/>
      <c r="Y22" s="1473"/>
      <c r="Z22" s="1473"/>
      <c r="AA22" s="1473"/>
      <c r="AB22" s="1473"/>
      <c r="AC22" s="1473"/>
      <c r="AD22" s="1473"/>
      <c r="AE22" s="1473"/>
      <c r="AF22" s="1473"/>
    </row>
    <row r="23" spans="1:32"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x14ac:dyDescent="0.25">
      <c r="A25" s="1472" t="s">
        <v>14</v>
      </c>
      <c r="B25" s="1472"/>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row>
    <row r="26" spans="1:32"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2" ht="18" x14ac:dyDescent="0.35">
      <c r="A27" s="3159" t="s">
        <v>329</v>
      </c>
      <c r="B27" s="3159"/>
      <c r="C27" s="3159"/>
      <c r="D27" s="3159"/>
      <c r="E27" s="3159"/>
      <c r="F27" s="3159"/>
      <c r="G27" s="3159"/>
      <c r="H27" s="3159"/>
      <c r="I27" s="3159"/>
      <c r="J27" s="3159"/>
      <c r="K27" s="3160" t="s">
        <v>3340</v>
      </c>
      <c r="L27" s="3160"/>
      <c r="M27" s="3160"/>
      <c r="N27" s="3160"/>
      <c r="O27" s="3160"/>
      <c r="P27" s="3160"/>
      <c r="Q27" s="3160"/>
      <c r="R27" s="3160"/>
      <c r="S27" s="3160"/>
      <c r="T27" s="3160"/>
      <c r="U27" s="3160"/>
      <c r="V27" s="3160"/>
      <c r="W27" s="3160"/>
      <c r="X27" s="3160"/>
      <c r="Y27" s="3160"/>
      <c r="Z27" s="3160"/>
      <c r="AA27" s="3160"/>
      <c r="AB27" s="3160"/>
      <c r="AC27" s="3160"/>
      <c r="AD27" s="3160"/>
      <c r="AE27" s="3160"/>
      <c r="AF27" s="3160"/>
    </row>
    <row r="28" spans="1:32" ht="18" x14ac:dyDescent="0.35">
      <c r="A28" s="3159" t="s">
        <v>359</v>
      </c>
      <c r="B28" s="3159"/>
      <c r="C28" s="3159"/>
      <c r="D28" s="3159"/>
      <c r="E28" s="3159"/>
      <c r="F28" s="3159"/>
      <c r="G28" s="3159"/>
      <c r="H28" s="3159"/>
      <c r="I28" s="3159"/>
      <c r="J28" s="3159"/>
      <c r="K28" s="3160" t="s">
        <v>3341</v>
      </c>
      <c r="L28" s="3160"/>
      <c r="M28" s="3160"/>
      <c r="N28" s="3160"/>
      <c r="O28" s="3160"/>
      <c r="P28" s="3160"/>
      <c r="Q28" s="3160"/>
      <c r="R28" s="3160"/>
      <c r="S28" s="3160"/>
      <c r="T28" s="3160"/>
      <c r="U28" s="3160"/>
      <c r="V28" s="3160"/>
      <c r="W28" s="3160"/>
      <c r="X28" s="3160"/>
      <c r="Y28" s="3160"/>
      <c r="Z28" s="3160"/>
      <c r="AA28" s="3160"/>
      <c r="AB28" s="3160"/>
      <c r="AC28" s="3160"/>
      <c r="AD28" s="3160"/>
      <c r="AE28" s="3160"/>
      <c r="AF28" s="3160"/>
    </row>
    <row r="29" spans="1:32" ht="18" x14ac:dyDescent="0.35">
      <c r="A29" s="3159" t="s">
        <v>3350</v>
      </c>
      <c r="B29" s="3159"/>
      <c r="C29" s="3159"/>
      <c r="D29" s="3159"/>
      <c r="E29" s="3159"/>
      <c r="F29" s="3159"/>
      <c r="G29" s="3159"/>
      <c r="H29" s="3159"/>
      <c r="I29" s="3159"/>
      <c r="J29" s="3159"/>
      <c r="K29" s="3160" t="s">
        <v>3351</v>
      </c>
      <c r="L29" s="3160"/>
      <c r="M29" s="3160"/>
      <c r="N29" s="3160"/>
      <c r="O29" s="3160"/>
      <c r="P29" s="3160"/>
      <c r="Q29" s="3160"/>
      <c r="R29" s="3160"/>
      <c r="S29" s="3160"/>
      <c r="T29" s="3160"/>
      <c r="U29" s="3160"/>
      <c r="V29" s="3160"/>
      <c r="W29" s="3160"/>
      <c r="X29" s="3160"/>
      <c r="Y29" s="3160"/>
      <c r="Z29" s="3160"/>
      <c r="AA29" s="3160"/>
      <c r="AB29" s="3160"/>
      <c r="AC29" s="3160"/>
      <c r="AD29" s="3160"/>
      <c r="AE29" s="3160"/>
      <c r="AF29" s="3160"/>
    </row>
    <row r="30" spans="1:32"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spans="1:32" x14ac:dyDescent="0.25">
      <c r="A31" s="1472" t="s">
        <v>15</v>
      </c>
      <c r="B31" s="1472"/>
      <c r="C31" s="1472"/>
      <c r="D31" s="1472"/>
      <c r="E31" s="1472"/>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row>
    <row r="32" spans="1:32" x14ac:dyDescent="0.25">
      <c r="A32" s="1303" t="s">
        <v>16</v>
      </c>
      <c r="B32" s="1303"/>
      <c r="C32" s="1303"/>
      <c r="D32" s="1303"/>
      <c r="E32" s="1303" t="s">
        <v>10</v>
      </c>
      <c r="F32" s="1303"/>
      <c r="G32" s="1303"/>
      <c r="H32" s="1303"/>
      <c r="I32" s="1303"/>
      <c r="J32" s="1303"/>
      <c r="K32" s="1303"/>
      <c r="L32" s="1303"/>
      <c r="M32" s="1303"/>
      <c r="N32" s="1303"/>
      <c r="O32" s="1303"/>
      <c r="P32" s="1303" t="s">
        <v>17</v>
      </c>
      <c r="Q32" s="1303"/>
      <c r="R32" s="1303"/>
      <c r="S32" s="1303"/>
      <c r="T32" s="1303" t="s">
        <v>18</v>
      </c>
      <c r="U32" s="1303"/>
      <c r="V32" s="1303"/>
      <c r="W32" s="1303"/>
      <c r="X32" s="1303" t="s">
        <v>19</v>
      </c>
      <c r="Y32" s="1303"/>
      <c r="Z32" s="1303"/>
      <c r="AA32" s="1303"/>
      <c r="AB32" s="1303"/>
      <c r="AC32" s="1303"/>
      <c r="AD32" s="1303"/>
      <c r="AE32" s="1303"/>
      <c r="AF32" s="1303"/>
    </row>
    <row r="33" spans="1:32" ht="48" customHeight="1" x14ac:dyDescent="0.25">
      <c r="A33" s="1134" t="s">
        <v>3352</v>
      </c>
      <c r="B33" s="1134"/>
      <c r="C33" s="1134"/>
      <c r="D33" s="1134"/>
      <c r="E33" s="1135" t="s">
        <v>3342</v>
      </c>
      <c r="F33" s="1135"/>
      <c r="G33" s="1135"/>
      <c r="H33" s="1135"/>
      <c r="I33" s="1135"/>
      <c r="J33" s="1135"/>
      <c r="K33" s="1135"/>
      <c r="L33" s="1135"/>
      <c r="M33" s="1135"/>
      <c r="N33" s="1135"/>
      <c r="O33" s="1135"/>
      <c r="P33" s="2490">
        <v>3.0731065918653577</v>
      </c>
      <c r="Q33" s="2491"/>
      <c r="R33" s="2491"/>
      <c r="S33" s="2492"/>
      <c r="T33" s="1606" t="s">
        <v>291</v>
      </c>
      <c r="U33" s="1606"/>
      <c r="V33" s="1606"/>
      <c r="W33" s="1606"/>
      <c r="X33" s="1715" t="s">
        <v>3353</v>
      </c>
      <c r="Y33" s="3149"/>
      <c r="Z33" s="3149"/>
      <c r="AA33" s="3149"/>
      <c r="AB33" s="3149"/>
      <c r="AC33" s="3149"/>
      <c r="AD33" s="3149"/>
      <c r="AE33" s="3149"/>
      <c r="AF33" s="3149"/>
    </row>
    <row r="34" spans="1:32" ht="50.25" customHeight="1" x14ac:dyDescent="0.25">
      <c r="A34" s="1134" t="s">
        <v>3354</v>
      </c>
      <c r="B34" s="1134"/>
      <c r="C34" s="1134"/>
      <c r="D34" s="1134"/>
      <c r="E34" s="1135" t="s">
        <v>3343</v>
      </c>
      <c r="F34" s="1135"/>
      <c r="G34" s="1135"/>
      <c r="H34" s="1135"/>
      <c r="I34" s="1135"/>
      <c r="J34" s="1135"/>
      <c r="K34" s="1135"/>
      <c r="L34" s="1135"/>
      <c r="M34" s="1135"/>
      <c r="N34" s="1135"/>
      <c r="O34" s="1135"/>
      <c r="P34" s="2493">
        <v>26.850280504908852</v>
      </c>
      <c r="Q34" s="2494"/>
      <c r="R34" s="2494"/>
      <c r="S34" s="2495"/>
      <c r="T34" s="1606" t="s">
        <v>44</v>
      </c>
      <c r="U34" s="1606"/>
      <c r="V34" s="1606"/>
      <c r="W34" s="1606"/>
      <c r="X34" s="1715" t="s">
        <v>3353</v>
      </c>
      <c r="Y34" s="3149"/>
      <c r="Z34" s="3149"/>
      <c r="AA34" s="3149"/>
      <c r="AB34" s="3149"/>
      <c r="AC34" s="3149"/>
      <c r="AD34" s="3149"/>
      <c r="AE34" s="3149"/>
      <c r="AF34" s="3149"/>
    </row>
    <row r="35" spans="1:32" ht="29.1" customHeight="1" x14ac:dyDescent="0.25">
      <c r="A35" s="1134" t="s">
        <v>167</v>
      </c>
      <c r="B35" s="1134"/>
      <c r="C35" s="1134"/>
      <c r="D35" s="1134"/>
      <c r="E35" s="1135" t="s">
        <v>3344</v>
      </c>
      <c r="F35" s="1135"/>
      <c r="G35" s="1135"/>
      <c r="H35" s="1135"/>
      <c r="I35" s="1135"/>
      <c r="J35" s="1135"/>
      <c r="K35" s="1135"/>
      <c r="L35" s="1135"/>
      <c r="M35" s="1135"/>
      <c r="N35" s="1135"/>
      <c r="O35" s="1135"/>
      <c r="P35" s="2668">
        <v>1000</v>
      </c>
      <c r="Q35" s="3332"/>
      <c r="R35" s="3332"/>
      <c r="S35" s="3333"/>
      <c r="T35" s="1606" t="s">
        <v>293</v>
      </c>
      <c r="U35" s="1606"/>
      <c r="V35" s="1606"/>
      <c r="W35" s="1606"/>
      <c r="X35" s="1548"/>
      <c r="Y35" s="1548"/>
      <c r="Z35" s="1548"/>
      <c r="AA35" s="1548"/>
      <c r="AB35" s="1548"/>
      <c r="AC35" s="1548"/>
      <c r="AD35" s="1548"/>
      <c r="AE35" s="1548"/>
      <c r="AF35" s="1548"/>
    </row>
    <row r="36" spans="1:32" ht="78.75" customHeight="1" x14ac:dyDescent="0.25">
      <c r="A36" s="1134" t="s">
        <v>29</v>
      </c>
      <c r="B36" s="1134" t="s">
        <v>1005</v>
      </c>
      <c r="C36" s="1134" t="s">
        <v>1005</v>
      </c>
      <c r="D36" s="1134" t="s">
        <v>1005</v>
      </c>
      <c r="E36" s="1135" t="s">
        <v>104</v>
      </c>
      <c r="F36" s="1135"/>
      <c r="G36" s="1135"/>
      <c r="H36" s="1135"/>
      <c r="I36" s="1135"/>
      <c r="J36" s="1135"/>
      <c r="K36" s="1135"/>
      <c r="L36" s="1135"/>
      <c r="M36" s="1135"/>
      <c r="N36" s="1135"/>
      <c r="O36" s="1135"/>
      <c r="P36" s="3158">
        <v>0.82</v>
      </c>
      <c r="Q36" s="3158"/>
      <c r="R36" s="3158"/>
      <c r="S36" s="3158"/>
      <c r="T36" s="1606" t="s">
        <v>28</v>
      </c>
      <c r="U36" s="1606"/>
      <c r="V36" s="1606"/>
      <c r="W36" s="1606"/>
      <c r="X36" s="1517" t="s">
        <v>3356</v>
      </c>
      <c r="Y36" s="1517"/>
      <c r="Z36" s="1517"/>
      <c r="AA36" s="1517"/>
      <c r="AB36" s="1517"/>
      <c r="AC36" s="1517"/>
      <c r="AD36" s="1517"/>
      <c r="AE36" s="1517"/>
      <c r="AF36" s="1517"/>
    </row>
    <row r="37" spans="1:32" ht="35.25" customHeight="1" x14ac:dyDescent="0.25">
      <c r="A37" s="1134" t="s">
        <v>2724</v>
      </c>
      <c r="B37" s="1134" t="s">
        <v>1004</v>
      </c>
      <c r="C37" s="1134" t="s">
        <v>1004</v>
      </c>
      <c r="D37" s="1134" t="s">
        <v>1004</v>
      </c>
      <c r="E37" s="1135" t="s">
        <v>2217</v>
      </c>
      <c r="F37" s="1135"/>
      <c r="G37" s="1135"/>
      <c r="H37" s="1135"/>
      <c r="I37" s="1135"/>
      <c r="J37" s="1135"/>
      <c r="K37" s="1135"/>
      <c r="L37" s="1135"/>
      <c r="M37" s="1135"/>
      <c r="N37" s="1135"/>
      <c r="O37" s="1135"/>
      <c r="P37" s="1913">
        <f>'Master EUL'!X41</f>
        <v>5</v>
      </c>
      <c r="Q37" s="1913"/>
      <c r="R37" s="1913"/>
      <c r="S37" s="1913"/>
      <c r="T37" s="1606" t="s">
        <v>46</v>
      </c>
      <c r="U37" s="1606"/>
      <c r="V37" s="1606"/>
      <c r="W37" s="1606"/>
      <c r="X37" s="1517" t="s">
        <v>3355</v>
      </c>
      <c r="Y37" s="1517"/>
      <c r="Z37" s="1517"/>
      <c r="AA37" s="1517"/>
      <c r="AB37" s="1517"/>
      <c r="AC37" s="1517"/>
      <c r="AD37" s="1517"/>
      <c r="AE37" s="1517"/>
      <c r="AF37" s="1517"/>
    </row>
    <row r="38" spans="1:32" ht="42" customHeight="1" x14ac:dyDescent="0.25">
      <c r="A38" s="1417" t="s">
        <v>1048</v>
      </c>
      <c r="B38" s="1417"/>
      <c r="C38" s="1601" t="s">
        <v>3345</v>
      </c>
      <c r="D38" s="1601"/>
      <c r="E38" s="1601"/>
      <c r="F38" s="1601"/>
      <c r="G38" s="1601"/>
      <c r="H38" s="1601"/>
      <c r="I38" s="1601"/>
      <c r="J38" s="1601"/>
      <c r="K38" s="1601"/>
      <c r="L38" s="1601"/>
      <c r="M38" s="1601"/>
      <c r="N38" s="1601"/>
      <c r="O38" s="1601"/>
      <c r="P38" s="1601"/>
      <c r="Q38" s="1601"/>
      <c r="R38" s="1601"/>
      <c r="S38" s="1601"/>
      <c r="T38" s="1601"/>
      <c r="U38" s="1601"/>
      <c r="V38" s="1601"/>
      <c r="W38" s="1601"/>
      <c r="X38" s="1601"/>
      <c r="Y38" s="1601"/>
      <c r="Z38" s="1601"/>
      <c r="AA38" s="1601"/>
      <c r="AB38" s="1601"/>
      <c r="AC38" s="1601"/>
      <c r="AD38" s="1601"/>
      <c r="AE38" s="1601"/>
      <c r="AF38" s="1601"/>
    </row>
    <row r="41" spans="1:32" x14ac:dyDescent="0.25">
      <c r="A41" s="1472" t="s">
        <v>21</v>
      </c>
      <c r="B41" s="1472"/>
      <c r="C41" s="1472"/>
      <c r="D41" s="1472"/>
      <c r="E41" s="1472"/>
      <c r="F41" s="1472"/>
      <c r="G41" s="1472"/>
      <c r="H41" s="1472"/>
      <c r="I41" s="1472"/>
      <c r="J41" s="1472"/>
      <c r="K41" s="1472"/>
      <c r="L41" s="1472"/>
      <c r="M41" s="1472"/>
      <c r="N41" s="1472"/>
      <c r="O41" s="1472"/>
      <c r="P41" s="1472"/>
      <c r="Q41" s="1472"/>
      <c r="R41" s="1472"/>
      <c r="S41" s="1472"/>
      <c r="T41" s="1472"/>
      <c r="U41" s="1472"/>
      <c r="V41" s="1472"/>
      <c r="W41" s="1472"/>
      <c r="X41" s="1472"/>
      <c r="Y41" s="1472"/>
      <c r="Z41" s="1472"/>
      <c r="AA41" s="1472"/>
      <c r="AB41" s="1472"/>
      <c r="AC41" s="1472"/>
      <c r="AD41" s="1472"/>
      <c r="AE41" s="1472"/>
      <c r="AF41" s="1472"/>
    </row>
    <row r="42" spans="1:32" ht="15.75" thickBot="1" x14ac:dyDescent="0.3"/>
    <row r="43" spans="1:32" x14ac:dyDescent="0.25">
      <c r="A43" s="1583" t="s">
        <v>22</v>
      </c>
      <c r="B43" s="1584"/>
      <c r="C43" s="1584"/>
      <c r="D43" s="1584"/>
      <c r="E43" s="1584"/>
      <c r="F43" s="1584"/>
      <c r="G43" s="1584"/>
      <c r="H43" s="1584"/>
      <c r="I43" s="1584" t="s">
        <v>23</v>
      </c>
      <c r="J43" s="1584"/>
      <c r="K43" s="1584"/>
      <c r="L43" s="1584"/>
      <c r="M43" s="1584"/>
      <c r="N43" s="1584"/>
      <c r="O43" s="1584"/>
      <c r="P43" s="1584"/>
      <c r="Q43" s="1584" t="s">
        <v>24</v>
      </c>
      <c r="R43" s="1584"/>
      <c r="S43" s="1584"/>
      <c r="T43" s="1584"/>
      <c r="U43" s="1584"/>
      <c r="V43" s="1584"/>
      <c r="W43" s="1584"/>
      <c r="X43" s="1610"/>
      <c r="Y43" s="1584" t="s">
        <v>2012</v>
      </c>
      <c r="Z43" s="1584"/>
      <c r="AA43" s="1584"/>
      <c r="AB43" s="1584"/>
      <c r="AC43" s="1584"/>
      <c r="AD43" s="1584"/>
      <c r="AE43" s="1584"/>
      <c r="AF43" s="1585"/>
    </row>
    <row r="44" spans="1:32" ht="15.75" thickBot="1" x14ac:dyDescent="0.3">
      <c r="A44" s="1578" t="s">
        <v>3346</v>
      </c>
      <c r="B44" s="1579"/>
      <c r="C44" s="1579"/>
      <c r="D44" s="1579"/>
      <c r="E44" s="1579"/>
      <c r="F44" s="1579"/>
      <c r="G44" s="1579"/>
      <c r="H44" s="1579"/>
      <c r="I44" s="3153">
        <f>ROUND(($P$33*$P$36)/$P$35,3)</f>
        <v>3.0000000000000001E-3</v>
      </c>
      <c r="J44" s="3153"/>
      <c r="K44" s="3153"/>
      <c r="L44" s="3153"/>
      <c r="M44" s="3153"/>
      <c r="N44" s="3153"/>
      <c r="O44" s="3153"/>
      <c r="P44" s="3153"/>
      <c r="Q44" s="3154">
        <f>ROUND($P$34,2)</f>
        <v>26.85</v>
      </c>
      <c r="R44" s="3154"/>
      <c r="S44" s="3154"/>
      <c r="T44" s="3154"/>
      <c r="U44" s="3154"/>
      <c r="V44" s="3154"/>
      <c r="W44" s="3154"/>
      <c r="X44" s="3155"/>
      <c r="Y44" s="3156">
        <f>ROUND($Q$44*$P$37,2)</f>
        <v>134.25</v>
      </c>
      <c r="Z44" s="3156"/>
      <c r="AA44" s="3156"/>
      <c r="AB44" s="3156"/>
      <c r="AC44" s="3156"/>
      <c r="AD44" s="3156"/>
      <c r="AE44" s="3156"/>
      <c r="AF44" s="3157"/>
    </row>
    <row r="47" spans="1:32" x14ac:dyDescent="0.25">
      <c r="A47" s="1472" t="s">
        <v>1753</v>
      </c>
      <c r="B47" s="1472"/>
      <c r="C47" s="1472"/>
      <c r="D47" s="1472"/>
      <c r="E47" s="1472"/>
      <c r="F47" s="1472"/>
      <c r="G47" s="1472"/>
      <c r="H47" s="1472"/>
      <c r="I47" s="1472"/>
      <c r="J47" s="1472"/>
      <c r="K47" s="1472"/>
      <c r="L47" s="1472"/>
      <c r="M47" s="1472"/>
      <c r="N47" s="1472"/>
      <c r="O47" s="1472"/>
      <c r="P47" s="1472"/>
      <c r="Q47" s="1472"/>
      <c r="R47" s="1472"/>
      <c r="S47" s="1472"/>
      <c r="T47" s="1472"/>
      <c r="U47" s="1472"/>
      <c r="V47" s="1472"/>
      <c r="W47" s="1472"/>
      <c r="X47" s="1472"/>
      <c r="Y47" s="1472"/>
      <c r="Z47" s="1472"/>
      <c r="AA47" s="1472"/>
      <c r="AB47" s="1472"/>
      <c r="AC47" s="1472"/>
      <c r="AD47" s="1472"/>
      <c r="AE47" s="1472"/>
      <c r="AF47" s="1472"/>
    </row>
    <row r="49" spans="1:32" x14ac:dyDescent="0.25">
      <c r="A49" s="515" t="s">
        <v>1013</v>
      </c>
      <c r="B49" s="1247" t="s">
        <v>3187</v>
      </c>
      <c r="C49" s="1247"/>
      <c r="D49" s="1247"/>
      <c r="E49" s="1247"/>
      <c r="F49" s="1247"/>
      <c r="G49" s="1247"/>
      <c r="H49" s="1247"/>
      <c r="I49" s="1247"/>
      <c r="J49" s="1247"/>
      <c r="K49" s="1247"/>
      <c r="L49" s="1247"/>
      <c r="M49" s="1247"/>
      <c r="N49" s="1247"/>
      <c r="O49" s="1247"/>
      <c r="P49" s="1247"/>
      <c r="Q49" s="1247"/>
      <c r="R49" s="1247"/>
      <c r="S49" s="1247"/>
      <c r="T49" s="1247"/>
      <c r="U49" s="1247"/>
      <c r="V49" s="1247"/>
      <c r="W49" s="1247"/>
      <c r="X49" s="1247"/>
      <c r="Y49" s="1247"/>
      <c r="Z49" s="1247"/>
      <c r="AA49" s="1247"/>
      <c r="AB49" s="1247"/>
      <c r="AC49" s="1247"/>
      <c r="AD49" s="1247"/>
      <c r="AE49" s="1247"/>
      <c r="AF49" s="1247"/>
    </row>
    <row r="50" spans="1:32" ht="97.5" customHeight="1" x14ac:dyDescent="0.25">
      <c r="A50" s="515" t="s">
        <v>1013</v>
      </c>
      <c r="B50" s="1247" t="s">
        <v>3357</v>
      </c>
      <c r="C50" s="1247"/>
      <c r="D50" s="1247"/>
      <c r="E50" s="1247"/>
      <c r="F50" s="1247"/>
      <c r="G50" s="1247"/>
      <c r="H50" s="1247"/>
      <c r="I50" s="1247"/>
      <c r="J50" s="1247"/>
      <c r="K50" s="1247"/>
      <c r="L50" s="1247"/>
      <c r="M50" s="1247"/>
      <c r="N50" s="1247"/>
      <c r="O50" s="1247"/>
      <c r="P50" s="1247"/>
      <c r="Q50" s="1247"/>
      <c r="R50" s="1247"/>
      <c r="S50" s="1247"/>
      <c r="T50" s="1247"/>
      <c r="U50" s="1247"/>
      <c r="V50" s="1247"/>
      <c r="W50" s="1247"/>
      <c r="X50" s="1247"/>
      <c r="Y50" s="1247"/>
      <c r="Z50" s="1247"/>
      <c r="AA50" s="1247"/>
      <c r="AB50" s="1247"/>
      <c r="AC50" s="1247"/>
      <c r="AD50" s="1247"/>
      <c r="AE50" s="1247"/>
      <c r="AF50" s="1247"/>
    </row>
    <row r="51" spans="1:32" ht="32.25" customHeight="1" x14ac:dyDescent="0.25">
      <c r="A51" s="515" t="s">
        <v>1013</v>
      </c>
      <c r="B51" s="1247" t="s">
        <v>3317</v>
      </c>
      <c r="C51" s="1247"/>
      <c r="D51" s="1247"/>
      <c r="E51" s="1247"/>
      <c r="F51" s="1247"/>
      <c r="G51" s="1247"/>
      <c r="H51" s="1247"/>
      <c r="I51" s="1247"/>
      <c r="J51" s="1247"/>
      <c r="K51" s="1247"/>
      <c r="L51" s="1247"/>
      <c r="M51" s="1247"/>
      <c r="N51" s="1247"/>
      <c r="O51" s="1247"/>
      <c r="P51" s="1247"/>
      <c r="Q51" s="1247"/>
      <c r="R51" s="1247"/>
      <c r="S51" s="1247"/>
      <c r="T51" s="1247"/>
      <c r="U51" s="1247"/>
      <c r="V51" s="1247"/>
      <c r="W51" s="1247"/>
      <c r="X51" s="1247"/>
      <c r="Y51" s="1247"/>
      <c r="Z51" s="1247"/>
      <c r="AA51" s="1247"/>
      <c r="AB51" s="1247"/>
      <c r="AC51" s="1247"/>
      <c r="AD51" s="1247"/>
      <c r="AE51" s="1247"/>
      <c r="AF51" s="1247"/>
    </row>
  </sheetData>
  <sheetProtection algorithmName="SHA-512" hashValue="GBhe3gy3YIQvZHih4i9SZRTjsa7NKe5Sadj0D3m1NSGVNW+SkpMgM+jaNOPyUHUK0f5V4/qeCpUKXSYIyk4maA==" saltValue="2gaFu6C4urs/4lORW1PlbA==" spinCount="100000" sheet="1" objects="1" scenarios="1"/>
  <mergeCells count="66">
    <mergeCell ref="A25:AF25"/>
    <mergeCell ref="A1:AF1"/>
    <mergeCell ref="A7:AF7"/>
    <mergeCell ref="B9:I9"/>
    <mergeCell ref="B10:AF10"/>
    <mergeCell ref="B12:I12"/>
    <mergeCell ref="B13:AF13"/>
    <mergeCell ref="B15:I15"/>
    <mergeCell ref="B16:AF16"/>
    <mergeCell ref="B18:I18"/>
    <mergeCell ref="B19:AF19"/>
    <mergeCell ref="B22:AF22"/>
    <mergeCell ref="A32:D32"/>
    <mergeCell ref="E32:O32"/>
    <mergeCell ref="P32:S32"/>
    <mergeCell ref="T32:W32"/>
    <mergeCell ref="X32:AF32"/>
    <mergeCell ref="A27:J27"/>
    <mergeCell ref="K27:AF27"/>
    <mergeCell ref="A28:J28"/>
    <mergeCell ref="K28:AF28"/>
    <mergeCell ref="A31:AF31"/>
    <mergeCell ref="A34:D34"/>
    <mergeCell ref="E34:O34"/>
    <mergeCell ref="P34:S34"/>
    <mergeCell ref="T34:W34"/>
    <mergeCell ref="X34:AF34"/>
    <mergeCell ref="A33:D33"/>
    <mergeCell ref="E33:O33"/>
    <mergeCell ref="P33:S33"/>
    <mergeCell ref="T33:W33"/>
    <mergeCell ref="X33:AF33"/>
    <mergeCell ref="A36:D36"/>
    <mergeCell ref="E36:O36"/>
    <mergeCell ref="P36:S36"/>
    <mergeCell ref="T36:W36"/>
    <mergeCell ref="X36:AF36"/>
    <mergeCell ref="A35:D35"/>
    <mergeCell ref="E35:O35"/>
    <mergeCell ref="P35:S35"/>
    <mergeCell ref="T35:W35"/>
    <mergeCell ref="X35:AF35"/>
    <mergeCell ref="Y44:AF44"/>
    <mergeCell ref="A37:D37"/>
    <mergeCell ref="E37:O37"/>
    <mergeCell ref="P37:S37"/>
    <mergeCell ref="T37:W37"/>
    <mergeCell ref="X37:AF37"/>
    <mergeCell ref="A38:B38"/>
    <mergeCell ref="C38:AF38"/>
    <mergeCell ref="A47:AF47"/>
    <mergeCell ref="B49:AF49"/>
    <mergeCell ref="B50:AF50"/>
    <mergeCell ref="B51:AF51"/>
    <mergeCell ref="A3:AF3"/>
    <mergeCell ref="B5:AF5"/>
    <mergeCell ref="A29:J29"/>
    <mergeCell ref="K29:AF29"/>
    <mergeCell ref="A41:AF41"/>
    <mergeCell ref="A43:H43"/>
    <mergeCell ref="I43:P43"/>
    <mergeCell ref="Q43:X43"/>
    <mergeCell ref="A44:H44"/>
    <mergeCell ref="I44:P44"/>
    <mergeCell ref="Q44:X44"/>
    <mergeCell ref="Y43:AF43"/>
  </mergeCells>
  <hyperlinks>
    <hyperlink ref="A2" location="TOC!A1" display="Return to TOC" xr:uid="{00000000-0004-0000-5D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9" tint="0.79998168889431442"/>
    <pageSetUpPr autoPageBreaks="0" fitToPage="1"/>
  </sheetPr>
  <dimension ref="A1:J106"/>
  <sheetViews>
    <sheetView workbookViewId="0"/>
  </sheetViews>
  <sheetFormatPr defaultRowHeight="15" x14ac:dyDescent="0.25"/>
  <cols>
    <col min="1" max="1" width="17.28515625" style="1" bestFit="1" customWidth="1"/>
    <col min="2" max="2" width="41.5703125" style="1" customWidth="1"/>
    <col min="3" max="3" width="12.7109375" style="578" bestFit="1" customWidth="1"/>
    <col min="4" max="4" width="12.140625" style="579" bestFit="1" customWidth="1"/>
    <col min="5" max="5" width="17.28515625" style="580" bestFit="1" customWidth="1"/>
    <col min="6" max="6" width="12.28515625" style="582" bestFit="1" customWidth="1"/>
    <col min="7" max="7" width="8.85546875" style="1"/>
    <col min="8" max="8" width="16.140625" style="1" bestFit="1" customWidth="1"/>
    <col min="9" max="9" width="12" style="1" bestFit="1" customWidth="1"/>
    <col min="10" max="10" width="12.5703125" style="1" bestFit="1" customWidth="1"/>
  </cols>
  <sheetData>
    <row r="1" spans="1:6" x14ac:dyDescent="0.25">
      <c r="A1" s="376" t="s">
        <v>1702</v>
      </c>
      <c r="C1" s="575" t="s">
        <v>3216</v>
      </c>
      <c r="D1" s="576">
        <f>SUMPRODUCT($D$3:$D$103,$F$3:$F$103)</f>
        <v>3.0731065918653577</v>
      </c>
      <c r="E1" s="577">
        <f>SUMPRODUCT($E$3:$E$103,$F$3:$F$103)</f>
        <v>26.850280504908852</v>
      </c>
    </row>
    <row r="2" spans="1:6" ht="45" x14ac:dyDescent="0.25">
      <c r="A2" s="10" t="s">
        <v>3318</v>
      </c>
      <c r="B2" s="10" t="s">
        <v>3211</v>
      </c>
      <c r="C2" s="571" t="s">
        <v>3212</v>
      </c>
      <c r="D2" s="572" t="s">
        <v>3213</v>
      </c>
      <c r="E2" s="573" t="s">
        <v>3214</v>
      </c>
      <c r="F2" s="574" t="s">
        <v>3215</v>
      </c>
    </row>
    <row r="3" spans="1:6" x14ac:dyDescent="0.25">
      <c r="A3" s="1" t="s">
        <v>1325</v>
      </c>
      <c r="B3" s="1" t="s">
        <v>3217</v>
      </c>
      <c r="C3" s="578">
        <v>0.02</v>
      </c>
      <c r="D3" s="579">
        <v>1</v>
      </c>
      <c r="E3" s="580">
        <v>9</v>
      </c>
      <c r="F3" s="581">
        <f t="shared" ref="F3:F34" si="0">C3/SUM($C$3:$C$103)</f>
        <v>7.0126227208976166E-4</v>
      </c>
    </row>
    <row r="4" spans="1:6" x14ac:dyDescent="0.25">
      <c r="A4" s="1" t="s">
        <v>1325</v>
      </c>
      <c r="B4" s="1" t="s">
        <v>3218</v>
      </c>
      <c r="C4" s="578">
        <v>0.15</v>
      </c>
      <c r="D4" s="579">
        <v>1.5</v>
      </c>
      <c r="E4" s="580">
        <v>13</v>
      </c>
      <c r="F4" s="581">
        <f t="shared" si="0"/>
        <v>5.2594670406732125E-3</v>
      </c>
    </row>
    <row r="5" spans="1:6" x14ac:dyDescent="0.25">
      <c r="A5" s="1" t="s">
        <v>3319</v>
      </c>
      <c r="B5" s="1" t="s">
        <v>3219</v>
      </c>
      <c r="C5" s="578">
        <v>0.12</v>
      </c>
      <c r="D5" s="579">
        <v>6.8</v>
      </c>
      <c r="E5" s="580">
        <v>59</v>
      </c>
      <c r="F5" s="581">
        <f t="shared" si="0"/>
        <v>4.2075736325385702E-3</v>
      </c>
    </row>
    <row r="6" spans="1:6" x14ac:dyDescent="0.25">
      <c r="A6" s="1" t="s">
        <v>3319</v>
      </c>
      <c r="B6" s="1" t="s">
        <v>3220</v>
      </c>
      <c r="C6" s="578">
        <v>0.5</v>
      </c>
      <c r="D6" s="579">
        <v>8.6999999999999993</v>
      </c>
      <c r="E6" s="580">
        <v>76</v>
      </c>
      <c r="F6" s="581">
        <f t="shared" si="0"/>
        <v>1.7531556802244042E-2</v>
      </c>
    </row>
    <row r="7" spans="1:6" x14ac:dyDescent="0.25">
      <c r="A7" s="1" t="s">
        <v>3319</v>
      </c>
      <c r="B7" s="1" t="s">
        <v>3221</v>
      </c>
      <c r="C7" s="578">
        <v>0.75</v>
      </c>
      <c r="D7" s="579">
        <v>3.2</v>
      </c>
      <c r="E7" s="580">
        <v>28</v>
      </c>
      <c r="F7" s="581">
        <f t="shared" si="0"/>
        <v>2.6297335203366062E-2</v>
      </c>
    </row>
    <row r="8" spans="1:6" x14ac:dyDescent="0.25">
      <c r="A8" s="1" t="s">
        <v>3319</v>
      </c>
      <c r="B8" s="1" t="s">
        <v>3222</v>
      </c>
      <c r="C8" s="578">
        <v>0.25</v>
      </c>
      <c r="D8" s="579">
        <v>1.4</v>
      </c>
      <c r="E8" s="580">
        <v>12</v>
      </c>
      <c r="F8" s="581">
        <f t="shared" si="0"/>
        <v>8.7657784011220211E-3</v>
      </c>
    </row>
    <row r="9" spans="1:6" x14ac:dyDescent="0.25">
      <c r="A9" s="1" t="s">
        <v>3319</v>
      </c>
      <c r="B9" s="1" t="s">
        <v>3223</v>
      </c>
      <c r="C9" s="578">
        <v>0.34</v>
      </c>
      <c r="D9" s="579">
        <v>0.3</v>
      </c>
      <c r="E9" s="580">
        <v>2</v>
      </c>
      <c r="F9" s="581">
        <f t="shared" si="0"/>
        <v>1.192145862552595E-2</v>
      </c>
    </row>
    <row r="10" spans="1:6" x14ac:dyDescent="0.25">
      <c r="A10" s="1" t="s">
        <v>3319</v>
      </c>
      <c r="B10" s="1" t="s">
        <v>3224</v>
      </c>
      <c r="C10" s="578">
        <v>0.01</v>
      </c>
      <c r="D10" s="579">
        <v>1.6</v>
      </c>
      <c r="E10" s="580">
        <v>14</v>
      </c>
      <c r="F10" s="581">
        <f t="shared" si="0"/>
        <v>3.5063113604488083E-4</v>
      </c>
    </row>
    <row r="11" spans="1:6" x14ac:dyDescent="0.25">
      <c r="A11" s="1" t="s">
        <v>3319</v>
      </c>
      <c r="B11" s="1" t="s">
        <v>3225</v>
      </c>
      <c r="C11" s="578">
        <v>0.05</v>
      </c>
      <c r="D11" s="579">
        <v>4</v>
      </c>
      <c r="E11" s="580">
        <v>35</v>
      </c>
      <c r="F11" s="581">
        <f t="shared" si="0"/>
        <v>1.7531556802244043E-3</v>
      </c>
    </row>
    <row r="12" spans="1:6" x14ac:dyDescent="0.25">
      <c r="A12" s="1" t="s">
        <v>3319</v>
      </c>
      <c r="B12" s="1" t="s">
        <v>3226</v>
      </c>
      <c r="C12" s="578">
        <v>0.03</v>
      </c>
      <c r="D12" s="579">
        <v>1.1000000000000001</v>
      </c>
      <c r="E12" s="580">
        <v>10</v>
      </c>
      <c r="F12" s="581">
        <f t="shared" si="0"/>
        <v>1.0518934081346425E-3</v>
      </c>
    </row>
    <row r="13" spans="1:6" x14ac:dyDescent="0.25">
      <c r="A13" s="1" t="s">
        <v>3319</v>
      </c>
      <c r="B13" s="1" t="s">
        <v>3227</v>
      </c>
      <c r="C13" s="578">
        <v>0.2</v>
      </c>
      <c r="D13" s="579">
        <v>2.9</v>
      </c>
      <c r="E13" s="580">
        <v>25</v>
      </c>
      <c r="F13" s="581">
        <f t="shared" si="0"/>
        <v>7.0126227208976172E-3</v>
      </c>
    </row>
    <row r="14" spans="1:6" x14ac:dyDescent="0.25">
      <c r="A14" s="1" t="s">
        <v>3319</v>
      </c>
      <c r="B14" s="1" t="s">
        <v>3228</v>
      </c>
      <c r="C14" s="578">
        <v>0.23</v>
      </c>
      <c r="D14" s="579">
        <v>1.3</v>
      </c>
      <c r="E14" s="580">
        <v>11</v>
      </c>
      <c r="F14" s="581">
        <f t="shared" si="0"/>
        <v>8.0645161290322596E-3</v>
      </c>
    </row>
    <row r="15" spans="1:6" x14ac:dyDescent="0.25">
      <c r="A15" s="1" t="s">
        <v>3319</v>
      </c>
      <c r="B15" s="1" t="s">
        <v>3229</v>
      </c>
      <c r="C15" s="578">
        <v>0.35</v>
      </c>
      <c r="D15" s="579">
        <v>10.8</v>
      </c>
      <c r="E15" s="580">
        <v>94</v>
      </c>
      <c r="F15" s="581">
        <f t="shared" si="0"/>
        <v>1.2272089761570829E-2</v>
      </c>
    </row>
    <row r="16" spans="1:6" x14ac:dyDescent="0.25">
      <c r="A16" s="1" t="s">
        <v>3319</v>
      </c>
      <c r="B16" s="1" t="s">
        <v>3230</v>
      </c>
      <c r="C16" s="578">
        <v>0.05</v>
      </c>
      <c r="D16" s="579">
        <v>3.8</v>
      </c>
      <c r="E16" s="580">
        <v>33</v>
      </c>
      <c r="F16" s="581">
        <f t="shared" si="0"/>
        <v>1.7531556802244043E-3</v>
      </c>
    </row>
    <row r="17" spans="1:6" x14ac:dyDescent="0.25">
      <c r="A17" s="1" t="s">
        <v>3319</v>
      </c>
      <c r="B17" s="1" t="s">
        <v>3231</v>
      </c>
      <c r="C17" s="578">
        <v>0.03</v>
      </c>
      <c r="D17" s="579">
        <v>3.8</v>
      </c>
      <c r="E17" s="580">
        <v>33</v>
      </c>
      <c r="F17" s="581">
        <f t="shared" si="0"/>
        <v>1.0518934081346425E-3</v>
      </c>
    </row>
    <row r="18" spans="1:6" x14ac:dyDescent="0.25">
      <c r="A18" s="1" t="s">
        <v>3319</v>
      </c>
      <c r="B18" s="1" t="s">
        <v>3232</v>
      </c>
      <c r="C18" s="578">
        <v>0.03</v>
      </c>
      <c r="D18" s="579">
        <v>3.8</v>
      </c>
      <c r="E18" s="580">
        <v>33</v>
      </c>
      <c r="F18" s="581">
        <f t="shared" si="0"/>
        <v>1.0518934081346425E-3</v>
      </c>
    </row>
    <row r="19" spans="1:6" x14ac:dyDescent="0.25">
      <c r="A19" s="1" t="s">
        <v>3319</v>
      </c>
      <c r="B19" s="1" t="s">
        <v>3233</v>
      </c>
      <c r="C19" s="578">
        <v>0.48</v>
      </c>
      <c r="D19" s="579">
        <v>1.3</v>
      </c>
      <c r="E19" s="580">
        <v>12</v>
      </c>
      <c r="F19" s="581">
        <f t="shared" si="0"/>
        <v>1.6830294530154281E-2</v>
      </c>
    </row>
    <row r="20" spans="1:6" x14ac:dyDescent="0.25">
      <c r="A20" s="1" t="s">
        <v>3319</v>
      </c>
      <c r="B20" s="1" t="s">
        <v>3234</v>
      </c>
      <c r="C20" s="578">
        <v>0.22</v>
      </c>
      <c r="D20" s="579">
        <v>8.9</v>
      </c>
      <c r="E20" s="580">
        <v>78</v>
      </c>
      <c r="F20" s="581">
        <f t="shared" si="0"/>
        <v>7.7138849929873788E-3</v>
      </c>
    </row>
    <row r="21" spans="1:6" x14ac:dyDescent="0.25">
      <c r="A21" s="1" t="s">
        <v>3319</v>
      </c>
      <c r="B21" s="1" t="s">
        <v>3235</v>
      </c>
      <c r="C21" s="578">
        <v>0.14000000000000001</v>
      </c>
      <c r="D21" s="579">
        <v>1</v>
      </c>
      <c r="E21" s="580">
        <v>8</v>
      </c>
      <c r="F21" s="581">
        <f t="shared" si="0"/>
        <v>4.9088359046283317E-3</v>
      </c>
    </row>
    <row r="22" spans="1:6" x14ac:dyDescent="0.25">
      <c r="A22" s="1" t="s">
        <v>3319</v>
      </c>
      <c r="B22" s="1" t="s">
        <v>3236</v>
      </c>
      <c r="C22" s="578">
        <v>0.14000000000000001</v>
      </c>
      <c r="D22" s="579">
        <v>1</v>
      </c>
      <c r="E22" s="580">
        <v>9</v>
      </c>
      <c r="F22" s="581">
        <f t="shared" si="0"/>
        <v>4.9088359046283317E-3</v>
      </c>
    </row>
    <row r="23" spans="1:6" x14ac:dyDescent="0.25">
      <c r="A23" s="1" t="s">
        <v>3320</v>
      </c>
      <c r="B23" s="1" t="s">
        <v>3237</v>
      </c>
      <c r="C23" s="578">
        <v>0.95</v>
      </c>
      <c r="D23" s="579">
        <v>4.5</v>
      </c>
      <c r="E23" s="580">
        <v>39</v>
      </c>
      <c r="F23" s="581">
        <f t="shared" si="0"/>
        <v>3.3309957924263681E-2</v>
      </c>
    </row>
    <row r="24" spans="1:6" x14ac:dyDescent="0.25">
      <c r="A24" s="1" t="s">
        <v>3320</v>
      </c>
      <c r="B24" s="1" t="s">
        <v>3238</v>
      </c>
      <c r="C24" s="578">
        <v>0.02</v>
      </c>
      <c r="D24" s="579">
        <v>5.2</v>
      </c>
      <c r="E24" s="580">
        <v>45</v>
      </c>
      <c r="F24" s="581">
        <f t="shared" si="0"/>
        <v>7.0126227208976166E-4</v>
      </c>
    </row>
    <row r="25" spans="1:6" x14ac:dyDescent="0.25">
      <c r="A25" s="1" t="s">
        <v>3320</v>
      </c>
      <c r="B25" s="1" t="s">
        <v>3239</v>
      </c>
      <c r="C25" s="578">
        <v>0.41</v>
      </c>
      <c r="D25" s="579">
        <v>4</v>
      </c>
      <c r="E25" s="580">
        <v>35</v>
      </c>
      <c r="F25" s="581">
        <f t="shared" si="0"/>
        <v>1.4375876577840114E-2</v>
      </c>
    </row>
    <row r="26" spans="1:6" x14ac:dyDescent="0.25">
      <c r="A26" s="1" t="s">
        <v>3320</v>
      </c>
      <c r="B26" s="1" t="s">
        <v>3240</v>
      </c>
      <c r="C26" s="578">
        <v>0.02</v>
      </c>
      <c r="D26" s="579">
        <v>1</v>
      </c>
      <c r="E26" s="580">
        <v>9</v>
      </c>
      <c r="F26" s="581">
        <f t="shared" si="0"/>
        <v>7.0126227208976166E-4</v>
      </c>
    </row>
    <row r="27" spans="1:6" x14ac:dyDescent="0.25">
      <c r="A27" s="1" t="s">
        <v>3321</v>
      </c>
      <c r="B27" s="1" t="s">
        <v>3241</v>
      </c>
      <c r="C27" s="578">
        <v>0.53</v>
      </c>
      <c r="D27" s="579">
        <v>0.9</v>
      </c>
      <c r="E27" s="580">
        <v>8</v>
      </c>
      <c r="F27" s="581">
        <f t="shared" si="0"/>
        <v>1.8583450210378685E-2</v>
      </c>
    </row>
    <row r="28" spans="1:6" x14ac:dyDescent="0.25">
      <c r="A28" s="1" t="s">
        <v>3321</v>
      </c>
      <c r="B28" s="1" t="s">
        <v>3242</v>
      </c>
      <c r="C28" s="578">
        <v>0.01</v>
      </c>
      <c r="D28" s="579">
        <v>1.6</v>
      </c>
      <c r="E28" s="580">
        <v>14</v>
      </c>
      <c r="F28" s="581">
        <f t="shared" si="0"/>
        <v>3.5063113604488083E-4</v>
      </c>
    </row>
    <row r="29" spans="1:6" x14ac:dyDescent="0.25">
      <c r="A29" s="1" t="s">
        <v>3321</v>
      </c>
      <c r="B29" s="1" t="s">
        <v>3243</v>
      </c>
      <c r="C29" s="578">
        <v>2.0699999999999998</v>
      </c>
      <c r="D29" s="579">
        <v>1.5</v>
      </c>
      <c r="E29" s="580">
        <v>13</v>
      </c>
      <c r="F29" s="581">
        <f t="shared" si="0"/>
        <v>7.2580645161290328E-2</v>
      </c>
    </row>
    <row r="30" spans="1:6" x14ac:dyDescent="0.25">
      <c r="A30" s="1" t="s">
        <v>3321</v>
      </c>
      <c r="B30" s="1" t="s">
        <v>3244</v>
      </c>
      <c r="C30" s="578">
        <v>0.02</v>
      </c>
      <c r="D30" s="579">
        <v>1.9</v>
      </c>
      <c r="E30" s="580">
        <v>16</v>
      </c>
      <c r="F30" s="581">
        <f t="shared" si="0"/>
        <v>7.0126227208976166E-4</v>
      </c>
    </row>
    <row r="31" spans="1:6" x14ac:dyDescent="0.25">
      <c r="A31" s="1" t="s">
        <v>3321</v>
      </c>
      <c r="B31" s="1" t="s">
        <v>3245</v>
      </c>
      <c r="C31" s="578">
        <v>0.09</v>
      </c>
      <c r="D31" s="579">
        <v>2.4</v>
      </c>
      <c r="E31" s="580">
        <v>21</v>
      </c>
      <c r="F31" s="581">
        <f t="shared" si="0"/>
        <v>3.1556802244039274E-3</v>
      </c>
    </row>
    <row r="32" spans="1:6" x14ac:dyDescent="0.25">
      <c r="A32" s="1" t="s">
        <v>3322</v>
      </c>
      <c r="B32" s="1" t="s">
        <v>3246</v>
      </c>
      <c r="C32" s="578">
        <v>0.5</v>
      </c>
      <c r="D32" s="579">
        <v>1</v>
      </c>
      <c r="E32" s="580">
        <v>9</v>
      </c>
      <c r="F32" s="581">
        <f t="shared" si="0"/>
        <v>1.7531556802244042E-2</v>
      </c>
    </row>
    <row r="33" spans="1:6" x14ac:dyDescent="0.25">
      <c r="A33" s="1" t="s">
        <v>3322</v>
      </c>
      <c r="B33" s="1" t="s">
        <v>3247</v>
      </c>
      <c r="C33" s="578">
        <v>1.1299999999999999</v>
      </c>
      <c r="D33" s="579">
        <v>2.2000000000000002</v>
      </c>
      <c r="E33" s="580">
        <v>19</v>
      </c>
      <c r="F33" s="581">
        <f t="shared" si="0"/>
        <v>3.9621318373071528E-2</v>
      </c>
    </row>
    <row r="34" spans="1:6" x14ac:dyDescent="0.25">
      <c r="A34" s="1" t="s">
        <v>3322</v>
      </c>
      <c r="B34" s="1" t="s">
        <v>3248</v>
      </c>
      <c r="C34" s="578">
        <v>0.21</v>
      </c>
      <c r="D34" s="579">
        <v>1.1000000000000001</v>
      </c>
      <c r="E34" s="580">
        <v>9</v>
      </c>
      <c r="F34" s="581">
        <f t="shared" si="0"/>
        <v>7.3632538569424972E-3</v>
      </c>
    </row>
    <row r="35" spans="1:6" x14ac:dyDescent="0.25">
      <c r="A35" s="1" t="s">
        <v>3322</v>
      </c>
      <c r="B35" s="1" t="s">
        <v>3249</v>
      </c>
      <c r="C35" s="578">
        <v>1.01</v>
      </c>
      <c r="D35" s="579">
        <v>3</v>
      </c>
      <c r="E35" s="580">
        <v>26</v>
      </c>
      <c r="F35" s="581">
        <f t="shared" ref="F35:F66" si="1">C35/SUM($C$3:$C$103)</f>
        <v>3.5413744740532965E-2</v>
      </c>
    </row>
    <row r="36" spans="1:6" x14ac:dyDescent="0.25">
      <c r="A36" s="1" t="s">
        <v>3322</v>
      </c>
      <c r="B36" s="1" t="s">
        <v>3250</v>
      </c>
      <c r="C36" s="578">
        <v>0.06</v>
      </c>
      <c r="D36" s="579">
        <v>0.5</v>
      </c>
      <c r="E36" s="580">
        <v>4</v>
      </c>
      <c r="F36" s="581">
        <f t="shared" si="1"/>
        <v>2.1037868162692851E-3</v>
      </c>
    </row>
    <row r="37" spans="1:6" x14ac:dyDescent="0.25">
      <c r="A37" s="1" t="s">
        <v>3322</v>
      </c>
      <c r="B37" s="1" t="s">
        <v>3251</v>
      </c>
      <c r="C37" s="578">
        <v>0.02</v>
      </c>
      <c r="D37" s="579">
        <v>0.9</v>
      </c>
      <c r="E37" s="580">
        <v>8</v>
      </c>
      <c r="F37" s="581">
        <f t="shared" si="1"/>
        <v>7.0126227208976166E-4</v>
      </c>
    </row>
    <row r="38" spans="1:6" x14ac:dyDescent="0.25">
      <c r="A38" s="1" t="s">
        <v>3322</v>
      </c>
      <c r="B38" s="1" t="s">
        <v>3252</v>
      </c>
      <c r="C38" s="578">
        <v>0.12</v>
      </c>
      <c r="D38" s="579">
        <v>0.9</v>
      </c>
      <c r="E38" s="580">
        <v>8</v>
      </c>
      <c r="F38" s="581">
        <f t="shared" si="1"/>
        <v>4.2075736325385702E-3</v>
      </c>
    </row>
    <row r="39" spans="1:6" x14ac:dyDescent="0.25">
      <c r="A39" s="1" t="s">
        <v>3322</v>
      </c>
      <c r="B39" s="1" t="s">
        <v>3253</v>
      </c>
      <c r="C39" s="578">
        <v>7.0000000000000007E-2</v>
      </c>
      <c r="D39" s="579">
        <v>3</v>
      </c>
      <c r="E39" s="580">
        <v>26</v>
      </c>
      <c r="F39" s="581">
        <f t="shared" si="1"/>
        <v>2.4544179523141659E-3</v>
      </c>
    </row>
    <row r="40" spans="1:6" x14ac:dyDescent="0.25">
      <c r="A40" s="1" t="s">
        <v>3322</v>
      </c>
      <c r="B40" s="1" t="s">
        <v>3254</v>
      </c>
      <c r="C40" s="578">
        <v>0.16</v>
      </c>
      <c r="D40" s="579">
        <v>2.1</v>
      </c>
      <c r="E40" s="580">
        <v>19</v>
      </c>
      <c r="F40" s="581">
        <f t="shared" si="1"/>
        <v>5.6100981767180933E-3</v>
      </c>
    </row>
    <row r="41" spans="1:6" x14ac:dyDescent="0.25">
      <c r="A41" s="1" t="s">
        <v>3323</v>
      </c>
      <c r="B41" s="1" t="s">
        <v>3255</v>
      </c>
      <c r="C41" s="578">
        <v>0.05</v>
      </c>
      <c r="D41" s="579">
        <v>1.8</v>
      </c>
      <c r="E41" s="580">
        <v>15</v>
      </c>
      <c r="F41" s="581">
        <f t="shared" si="1"/>
        <v>1.7531556802244043E-3</v>
      </c>
    </row>
    <row r="42" spans="1:6" x14ac:dyDescent="0.25">
      <c r="A42" s="1" t="s">
        <v>3323</v>
      </c>
      <c r="B42" s="1" t="s">
        <v>3256</v>
      </c>
      <c r="C42" s="578">
        <v>0.02</v>
      </c>
      <c r="D42" s="579">
        <v>1.9</v>
      </c>
      <c r="E42" s="580">
        <v>17</v>
      </c>
      <c r="F42" s="581">
        <f t="shared" si="1"/>
        <v>7.0126227208976166E-4</v>
      </c>
    </row>
    <row r="43" spans="1:6" x14ac:dyDescent="0.25">
      <c r="A43" s="1" t="s">
        <v>3323</v>
      </c>
      <c r="B43" s="1" t="s">
        <v>3257</v>
      </c>
      <c r="C43" s="578">
        <v>7.0000000000000007E-2</v>
      </c>
      <c r="D43" s="579">
        <v>2.4</v>
      </c>
      <c r="E43" s="580">
        <v>21</v>
      </c>
      <c r="F43" s="581">
        <f t="shared" si="1"/>
        <v>2.4544179523141659E-3</v>
      </c>
    </row>
    <row r="44" spans="1:6" x14ac:dyDescent="0.25">
      <c r="A44" s="1" t="s">
        <v>209</v>
      </c>
      <c r="B44" s="1" t="s">
        <v>3258</v>
      </c>
      <c r="C44" s="578">
        <v>0.06</v>
      </c>
      <c r="D44" s="579">
        <v>0.2</v>
      </c>
      <c r="E44" s="580">
        <v>2</v>
      </c>
      <c r="F44" s="581">
        <f t="shared" si="1"/>
        <v>2.1037868162692851E-3</v>
      </c>
    </row>
    <row r="45" spans="1:6" x14ac:dyDescent="0.25">
      <c r="A45" s="1" t="s">
        <v>209</v>
      </c>
      <c r="B45" s="1" t="s">
        <v>3259</v>
      </c>
      <c r="C45" s="578">
        <v>0.03</v>
      </c>
      <c r="D45" s="579">
        <v>1.9</v>
      </c>
      <c r="E45" s="580">
        <v>17</v>
      </c>
      <c r="F45" s="581">
        <f t="shared" si="1"/>
        <v>1.0518934081346425E-3</v>
      </c>
    </row>
    <row r="46" spans="1:6" x14ac:dyDescent="0.25">
      <c r="A46" s="1" t="s">
        <v>209</v>
      </c>
      <c r="B46" s="1" t="s">
        <v>3260</v>
      </c>
      <c r="C46" s="578">
        <v>0.2</v>
      </c>
      <c r="D46" s="579">
        <v>0.7</v>
      </c>
      <c r="E46" s="580">
        <v>6</v>
      </c>
      <c r="F46" s="581">
        <f t="shared" si="1"/>
        <v>7.0126227208976172E-3</v>
      </c>
    </row>
    <row r="47" spans="1:6" x14ac:dyDescent="0.25">
      <c r="A47" s="1" t="s">
        <v>209</v>
      </c>
      <c r="B47" s="1" t="s">
        <v>3261</v>
      </c>
      <c r="C47" s="578">
        <v>0.03</v>
      </c>
      <c r="D47" s="579">
        <v>0.4</v>
      </c>
      <c r="E47" s="580">
        <v>3</v>
      </c>
      <c r="F47" s="581">
        <f t="shared" si="1"/>
        <v>1.0518934081346425E-3</v>
      </c>
    </row>
    <row r="48" spans="1:6" x14ac:dyDescent="0.25">
      <c r="A48" s="1" t="s">
        <v>3324</v>
      </c>
      <c r="B48" s="1" t="s">
        <v>3262</v>
      </c>
      <c r="C48" s="578">
        <v>7.0000000000000007E-2</v>
      </c>
      <c r="D48" s="579">
        <v>4.8</v>
      </c>
      <c r="E48" s="580">
        <v>42</v>
      </c>
      <c r="F48" s="581">
        <f t="shared" si="1"/>
        <v>2.4544179523141659E-3</v>
      </c>
    </row>
    <row r="49" spans="1:6" x14ac:dyDescent="0.25">
      <c r="A49" s="1" t="s">
        <v>3324</v>
      </c>
      <c r="B49" s="1" t="s">
        <v>3263</v>
      </c>
      <c r="C49" s="578">
        <v>0.13</v>
      </c>
      <c r="D49" s="579">
        <v>6</v>
      </c>
      <c r="E49" s="580">
        <v>52</v>
      </c>
      <c r="F49" s="581">
        <f t="shared" si="1"/>
        <v>4.558204768583451E-3</v>
      </c>
    </row>
    <row r="50" spans="1:6" x14ac:dyDescent="0.25">
      <c r="A50" s="1" t="s">
        <v>3324</v>
      </c>
      <c r="B50" s="1" t="s">
        <v>3264</v>
      </c>
      <c r="C50" s="578">
        <v>0.02</v>
      </c>
      <c r="D50" s="579">
        <v>4</v>
      </c>
      <c r="E50" s="580">
        <v>35</v>
      </c>
      <c r="F50" s="581">
        <f t="shared" si="1"/>
        <v>7.0126227208976166E-4</v>
      </c>
    </row>
    <row r="51" spans="1:6" x14ac:dyDescent="0.25">
      <c r="A51" s="1" t="s">
        <v>3324</v>
      </c>
      <c r="B51" s="1" t="s">
        <v>3265</v>
      </c>
      <c r="C51" s="578">
        <v>0.01</v>
      </c>
      <c r="D51" s="579">
        <v>5</v>
      </c>
      <c r="E51" s="580">
        <v>43</v>
      </c>
      <c r="F51" s="581">
        <f t="shared" si="1"/>
        <v>3.5063113604488083E-4</v>
      </c>
    </row>
    <row r="52" spans="1:6" x14ac:dyDescent="0.25">
      <c r="A52" s="1" t="s">
        <v>3324</v>
      </c>
      <c r="B52" s="1" t="s">
        <v>3266</v>
      </c>
      <c r="C52" s="578">
        <v>0.35</v>
      </c>
      <c r="D52" s="579">
        <v>7.9</v>
      </c>
      <c r="E52" s="580">
        <v>69</v>
      </c>
      <c r="F52" s="581">
        <f t="shared" si="1"/>
        <v>1.2272089761570829E-2</v>
      </c>
    </row>
    <row r="53" spans="1:6" x14ac:dyDescent="0.25">
      <c r="A53" s="1" t="s">
        <v>3324</v>
      </c>
      <c r="B53" s="1" t="s">
        <v>3267</v>
      </c>
      <c r="C53" s="578">
        <v>0.06</v>
      </c>
      <c r="D53" s="579">
        <v>5.8</v>
      </c>
      <c r="E53" s="580">
        <v>51</v>
      </c>
      <c r="F53" s="581">
        <f t="shared" si="1"/>
        <v>2.1037868162692851E-3</v>
      </c>
    </row>
    <row r="54" spans="1:6" x14ac:dyDescent="0.25">
      <c r="A54" s="1" t="s">
        <v>3324</v>
      </c>
      <c r="B54" s="1" t="s">
        <v>3268</v>
      </c>
      <c r="C54" s="578">
        <v>0.43</v>
      </c>
      <c r="D54" s="579">
        <v>5.4</v>
      </c>
      <c r="E54" s="580">
        <v>47</v>
      </c>
      <c r="F54" s="581">
        <f t="shared" si="1"/>
        <v>1.5077138849929875E-2</v>
      </c>
    </row>
    <row r="55" spans="1:6" x14ac:dyDescent="0.25">
      <c r="A55" s="1" t="s">
        <v>3324</v>
      </c>
      <c r="B55" s="1" t="s">
        <v>3269</v>
      </c>
      <c r="C55" s="578">
        <v>7.0000000000000007E-2</v>
      </c>
      <c r="D55" s="579">
        <v>5</v>
      </c>
      <c r="E55" s="580">
        <v>44</v>
      </c>
      <c r="F55" s="581">
        <f t="shared" si="1"/>
        <v>2.4544179523141659E-3</v>
      </c>
    </row>
    <row r="56" spans="1:6" x14ac:dyDescent="0.25">
      <c r="A56" s="1" t="s">
        <v>3324</v>
      </c>
      <c r="B56" s="1" t="s">
        <v>3270</v>
      </c>
      <c r="C56" s="578">
        <v>0.18</v>
      </c>
      <c r="D56" s="579">
        <v>1.4</v>
      </c>
      <c r="E56" s="580">
        <v>12</v>
      </c>
      <c r="F56" s="581">
        <f t="shared" si="1"/>
        <v>6.3113604488078548E-3</v>
      </c>
    </row>
    <row r="57" spans="1:6" x14ac:dyDescent="0.25">
      <c r="A57" s="1" t="s">
        <v>3324</v>
      </c>
      <c r="B57" s="1" t="s">
        <v>3271</v>
      </c>
      <c r="C57" s="578">
        <v>0.15</v>
      </c>
      <c r="D57" s="579">
        <v>3.5</v>
      </c>
      <c r="E57" s="580">
        <v>31</v>
      </c>
      <c r="F57" s="581">
        <f t="shared" si="1"/>
        <v>5.2594670406732125E-3</v>
      </c>
    </row>
    <row r="58" spans="1:6" x14ac:dyDescent="0.25">
      <c r="A58" s="1" t="s">
        <v>3325</v>
      </c>
      <c r="B58" s="1" t="s">
        <v>3272</v>
      </c>
      <c r="C58" s="578">
        <v>0.44</v>
      </c>
      <c r="D58" s="579">
        <v>4.9000000000000004</v>
      </c>
      <c r="E58" s="580">
        <v>43</v>
      </c>
      <c r="F58" s="581">
        <f t="shared" si="1"/>
        <v>1.5427769985974758E-2</v>
      </c>
    </row>
    <row r="59" spans="1:6" x14ac:dyDescent="0.25">
      <c r="A59" s="1" t="s">
        <v>267</v>
      </c>
      <c r="B59" s="1" t="s">
        <v>3273</v>
      </c>
      <c r="C59" s="578">
        <v>0.05</v>
      </c>
      <c r="D59" s="579">
        <v>0.8</v>
      </c>
      <c r="E59" s="580">
        <v>7</v>
      </c>
      <c r="F59" s="581">
        <f t="shared" si="1"/>
        <v>1.7531556802244043E-3</v>
      </c>
    </row>
    <row r="60" spans="1:6" x14ac:dyDescent="0.25">
      <c r="A60" s="1" t="s">
        <v>267</v>
      </c>
      <c r="B60" s="1" t="s">
        <v>3274</v>
      </c>
      <c r="C60" s="578">
        <v>1.2</v>
      </c>
      <c r="D60" s="579">
        <v>0.2</v>
      </c>
      <c r="E60" s="580">
        <v>2</v>
      </c>
      <c r="F60" s="581">
        <f t="shared" si="1"/>
        <v>4.20757363253857E-2</v>
      </c>
    </row>
    <row r="61" spans="1:6" x14ac:dyDescent="0.25">
      <c r="A61" s="1" t="s">
        <v>267</v>
      </c>
      <c r="B61" s="1" t="s">
        <v>3275</v>
      </c>
      <c r="C61" s="578">
        <v>0.13</v>
      </c>
      <c r="D61" s="579">
        <v>0.3</v>
      </c>
      <c r="E61" s="580">
        <v>2</v>
      </c>
      <c r="F61" s="581">
        <f t="shared" si="1"/>
        <v>4.558204768583451E-3</v>
      </c>
    </row>
    <row r="62" spans="1:6" x14ac:dyDescent="0.25">
      <c r="A62" s="1" t="s">
        <v>3326</v>
      </c>
      <c r="B62" s="1" t="s">
        <v>3276</v>
      </c>
      <c r="C62" s="578">
        <v>0.08</v>
      </c>
      <c r="D62" s="579">
        <v>3.8</v>
      </c>
      <c r="E62" s="580">
        <v>33</v>
      </c>
      <c r="F62" s="581">
        <f t="shared" si="1"/>
        <v>2.8050490883590466E-3</v>
      </c>
    </row>
    <row r="63" spans="1:6" x14ac:dyDescent="0.25">
      <c r="A63" s="1" t="s">
        <v>3326</v>
      </c>
      <c r="B63" s="1" t="s">
        <v>3277</v>
      </c>
      <c r="C63" s="578">
        <v>0.25</v>
      </c>
      <c r="D63" s="579">
        <v>1.3</v>
      </c>
      <c r="E63" s="580">
        <v>11</v>
      </c>
      <c r="F63" s="581">
        <f t="shared" si="1"/>
        <v>8.7657784011220211E-3</v>
      </c>
    </row>
    <row r="64" spans="1:6" x14ac:dyDescent="0.25">
      <c r="A64" s="1" t="s">
        <v>3326</v>
      </c>
      <c r="B64" s="1" t="s">
        <v>3278</v>
      </c>
      <c r="C64" s="578">
        <v>0.25</v>
      </c>
      <c r="D64" s="579">
        <v>8.3000000000000007</v>
      </c>
      <c r="E64" s="580">
        <v>73</v>
      </c>
      <c r="F64" s="581">
        <f t="shared" si="1"/>
        <v>8.7657784011220211E-3</v>
      </c>
    </row>
    <row r="65" spans="1:6" x14ac:dyDescent="0.25">
      <c r="A65" s="1" t="s">
        <v>3326</v>
      </c>
      <c r="B65" s="1" t="s">
        <v>3279</v>
      </c>
      <c r="C65" s="578">
        <v>0.3</v>
      </c>
      <c r="D65" s="579">
        <v>6</v>
      </c>
      <c r="E65" s="580">
        <v>52</v>
      </c>
      <c r="F65" s="581">
        <f t="shared" si="1"/>
        <v>1.0518934081346425E-2</v>
      </c>
    </row>
    <row r="66" spans="1:6" x14ac:dyDescent="0.25">
      <c r="A66" s="1" t="s">
        <v>3326</v>
      </c>
      <c r="B66" s="1" t="s">
        <v>3280</v>
      </c>
      <c r="C66" s="578">
        <v>0.17</v>
      </c>
      <c r="D66" s="579">
        <v>5.6</v>
      </c>
      <c r="E66" s="580">
        <v>49</v>
      </c>
      <c r="F66" s="581">
        <f t="shared" si="1"/>
        <v>5.9607293127629749E-3</v>
      </c>
    </row>
    <row r="67" spans="1:6" x14ac:dyDescent="0.25">
      <c r="A67" s="1" t="s">
        <v>3326</v>
      </c>
      <c r="B67" s="1" t="s">
        <v>3281</v>
      </c>
      <c r="C67" s="578">
        <v>0.02</v>
      </c>
      <c r="D67" s="579">
        <v>9.5</v>
      </c>
      <c r="E67" s="580">
        <v>83</v>
      </c>
      <c r="F67" s="581">
        <f t="shared" ref="F67:F103" si="2">C67/SUM($C$3:$C$103)</f>
        <v>7.0126227208976166E-4</v>
      </c>
    </row>
    <row r="68" spans="1:6" x14ac:dyDescent="0.25">
      <c r="A68" s="1" t="s">
        <v>3326</v>
      </c>
      <c r="B68" s="1" t="s">
        <v>3282</v>
      </c>
      <c r="C68" s="578">
        <v>0.22</v>
      </c>
      <c r="D68" s="579">
        <v>5.9</v>
      </c>
      <c r="E68" s="580">
        <v>52</v>
      </c>
      <c r="F68" s="581">
        <f t="shared" si="2"/>
        <v>7.7138849929873788E-3</v>
      </c>
    </row>
    <row r="69" spans="1:6" x14ac:dyDescent="0.25">
      <c r="A69" s="1" t="s">
        <v>3326</v>
      </c>
      <c r="B69" s="1" t="s">
        <v>3283</v>
      </c>
      <c r="C69" s="578">
        <v>0.23</v>
      </c>
      <c r="D69" s="579">
        <v>4.7</v>
      </c>
      <c r="E69" s="580">
        <v>41</v>
      </c>
      <c r="F69" s="581">
        <f t="shared" si="2"/>
        <v>8.0645161290322596E-3</v>
      </c>
    </row>
    <row r="70" spans="1:6" x14ac:dyDescent="0.25">
      <c r="A70" s="1" t="s">
        <v>3327</v>
      </c>
      <c r="B70" s="1" t="s">
        <v>3284</v>
      </c>
      <c r="C70" s="578">
        <v>0.04</v>
      </c>
      <c r="D70" s="579">
        <v>1</v>
      </c>
      <c r="E70" s="580">
        <v>9</v>
      </c>
      <c r="F70" s="581">
        <f t="shared" si="2"/>
        <v>1.4025245441795233E-3</v>
      </c>
    </row>
    <row r="71" spans="1:6" x14ac:dyDescent="0.25">
      <c r="A71" s="1" t="s">
        <v>3327</v>
      </c>
      <c r="B71" s="1" t="s">
        <v>3285</v>
      </c>
      <c r="C71" s="578">
        <v>0.08</v>
      </c>
      <c r="D71" s="579">
        <v>1.9</v>
      </c>
      <c r="E71" s="580">
        <v>17</v>
      </c>
      <c r="F71" s="581">
        <f t="shared" si="2"/>
        <v>2.8050490883590466E-3</v>
      </c>
    </row>
    <row r="72" spans="1:6" x14ac:dyDescent="0.25">
      <c r="A72" s="1" t="s">
        <v>3327</v>
      </c>
      <c r="B72" s="1" t="s">
        <v>3286</v>
      </c>
      <c r="C72" s="578">
        <v>0.06</v>
      </c>
      <c r="D72" s="579">
        <v>1.8</v>
      </c>
      <c r="E72" s="580">
        <v>16</v>
      </c>
      <c r="F72" s="581">
        <f t="shared" si="2"/>
        <v>2.1037868162692851E-3</v>
      </c>
    </row>
    <row r="73" spans="1:6" x14ac:dyDescent="0.25">
      <c r="A73" s="1" t="s">
        <v>3327</v>
      </c>
      <c r="B73" s="1" t="s">
        <v>3287</v>
      </c>
      <c r="C73" s="578">
        <v>0.24</v>
      </c>
      <c r="D73" s="579">
        <v>2.7</v>
      </c>
      <c r="E73" s="580">
        <v>24</v>
      </c>
      <c r="F73" s="581">
        <f t="shared" si="2"/>
        <v>8.4151472650771404E-3</v>
      </c>
    </row>
    <row r="74" spans="1:6" x14ac:dyDescent="0.25">
      <c r="A74" s="1" t="s">
        <v>3328</v>
      </c>
      <c r="B74" s="1" t="s">
        <v>3288</v>
      </c>
      <c r="C74" s="578">
        <v>0.13</v>
      </c>
      <c r="D74" s="579">
        <v>1.4</v>
      </c>
      <c r="E74" s="580">
        <v>12</v>
      </c>
      <c r="F74" s="581">
        <f t="shared" si="2"/>
        <v>4.558204768583451E-3</v>
      </c>
    </row>
    <row r="75" spans="1:6" x14ac:dyDescent="0.25">
      <c r="A75" s="1" t="s">
        <v>3328</v>
      </c>
      <c r="B75" s="1" t="s">
        <v>3289</v>
      </c>
      <c r="C75" s="578">
        <v>0.06</v>
      </c>
      <c r="D75" s="579">
        <v>1</v>
      </c>
      <c r="E75" s="580">
        <v>9</v>
      </c>
      <c r="F75" s="581">
        <f t="shared" si="2"/>
        <v>2.1037868162692851E-3</v>
      </c>
    </row>
    <row r="76" spans="1:6" x14ac:dyDescent="0.25">
      <c r="A76" s="1" t="s">
        <v>3328</v>
      </c>
      <c r="B76" s="1" t="s">
        <v>3290</v>
      </c>
      <c r="C76" s="578">
        <v>0.63</v>
      </c>
      <c r="D76" s="579">
        <v>2.6</v>
      </c>
      <c r="E76" s="580">
        <v>23</v>
      </c>
      <c r="F76" s="581">
        <f t="shared" si="2"/>
        <v>2.2089761570827492E-2</v>
      </c>
    </row>
    <row r="77" spans="1:6" x14ac:dyDescent="0.25">
      <c r="A77" s="1" t="s">
        <v>3329</v>
      </c>
      <c r="B77" s="1" t="s">
        <v>3291</v>
      </c>
      <c r="C77" s="578">
        <v>0.05</v>
      </c>
      <c r="D77" s="579">
        <v>1.7</v>
      </c>
      <c r="E77" s="580">
        <v>15</v>
      </c>
      <c r="F77" s="581">
        <f t="shared" si="2"/>
        <v>1.7531556802244043E-3</v>
      </c>
    </row>
    <row r="78" spans="1:6" x14ac:dyDescent="0.25">
      <c r="A78" s="1" t="s">
        <v>3329</v>
      </c>
      <c r="B78" s="1" t="s">
        <v>3292</v>
      </c>
      <c r="C78" s="578">
        <v>0.25</v>
      </c>
      <c r="D78" s="579">
        <v>0.1</v>
      </c>
      <c r="E78" s="580">
        <v>1</v>
      </c>
      <c r="F78" s="581">
        <f t="shared" si="2"/>
        <v>8.7657784011220211E-3</v>
      </c>
    </row>
    <row r="79" spans="1:6" x14ac:dyDescent="0.25">
      <c r="A79" s="1" t="s">
        <v>3329</v>
      </c>
      <c r="B79" s="1" t="s">
        <v>3293</v>
      </c>
      <c r="C79" s="578">
        <v>0.15</v>
      </c>
      <c r="D79" s="579">
        <v>0.1</v>
      </c>
      <c r="E79" s="580">
        <v>1</v>
      </c>
      <c r="F79" s="581">
        <f t="shared" si="2"/>
        <v>5.2594670406732125E-3</v>
      </c>
    </row>
    <row r="80" spans="1:6" x14ac:dyDescent="0.25">
      <c r="A80" s="1" t="s">
        <v>3329</v>
      </c>
      <c r="B80" s="1" t="s">
        <v>3294</v>
      </c>
      <c r="C80" s="578">
        <v>0.51</v>
      </c>
      <c r="D80" s="579">
        <v>1.6</v>
      </c>
      <c r="E80" s="580">
        <v>14</v>
      </c>
      <c r="F80" s="581">
        <f t="shared" si="2"/>
        <v>1.7882187938288923E-2</v>
      </c>
    </row>
    <row r="81" spans="1:6" x14ac:dyDescent="0.25">
      <c r="A81" s="1" t="s">
        <v>3330</v>
      </c>
      <c r="B81" s="1" t="s">
        <v>3337</v>
      </c>
      <c r="C81" s="578">
        <v>0.03</v>
      </c>
      <c r="D81" s="579">
        <v>4.5</v>
      </c>
      <c r="E81" s="580">
        <v>39</v>
      </c>
      <c r="F81" s="581">
        <f t="shared" si="2"/>
        <v>1.0518934081346425E-3</v>
      </c>
    </row>
    <row r="82" spans="1:6" x14ac:dyDescent="0.25">
      <c r="A82" s="1" t="s">
        <v>3331</v>
      </c>
      <c r="B82" s="1" t="s">
        <v>3295</v>
      </c>
      <c r="C82" s="578">
        <v>0.2</v>
      </c>
      <c r="D82" s="579">
        <v>4</v>
      </c>
      <c r="E82" s="580">
        <v>35</v>
      </c>
      <c r="F82" s="581">
        <f t="shared" si="2"/>
        <v>7.0126227208976172E-3</v>
      </c>
    </row>
    <row r="83" spans="1:6" x14ac:dyDescent="0.25">
      <c r="A83" s="1" t="s">
        <v>3332</v>
      </c>
      <c r="B83" s="1" t="s">
        <v>3296</v>
      </c>
      <c r="C83" s="578">
        <v>0.1</v>
      </c>
      <c r="D83" s="579">
        <v>8.6999999999999993</v>
      </c>
      <c r="E83" s="580">
        <v>76</v>
      </c>
      <c r="F83" s="581">
        <f t="shared" si="2"/>
        <v>3.5063113604488086E-3</v>
      </c>
    </row>
    <row r="84" spans="1:6" x14ac:dyDescent="0.25">
      <c r="A84" s="1" t="s">
        <v>3332</v>
      </c>
      <c r="B84" s="1" t="s">
        <v>3297</v>
      </c>
      <c r="C84" s="578">
        <v>0.3</v>
      </c>
      <c r="D84" s="579">
        <v>19.2</v>
      </c>
      <c r="E84" s="580">
        <v>168</v>
      </c>
      <c r="F84" s="581">
        <f t="shared" si="2"/>
        <v>1.0518934081346425E-2</v>
      </c>
    </row>
    <row r="85" spans="1:6" x14ac:dyDescent="0.25">
      <c r="A85" s="1" t="s">
        <v>3332</v>
      </c>
      <c r="B85" s="1" t="s">
        <v>3298</v>
      </c>
      <c r="C85" s="578">
        <v>0.05</v>
      </c>
      <c r="D85" s="579">
        <v>34.299999999999997</v>
      </c>
      <c r="E85" s="580">
        <v>301</v>
      </c>
      <c r="F85" s="581">
        <f t="shared" si="2"/>
        <v>1.7531556802244043E-3</v>
      </c>
    </row>
    <row r="86" spans="1:6" x14ac:dyDescent="0.25">
      <c r="A86" s="1" t="s">
        <v>3332</v>
      </c>
      <c r="B86" s="1" t="s">
        <v>3299</v>
      </c>
      <c r="C86" s="578">
        <v>0.04</v>
      </c>
      <c r="D86" s="579">
        <v>7.4</v>
      </c>
      <c r="E86" s="580">
        <v>64</v>
      </c>
      <c r="F86" s="581">
        <f t="shared" si="2"/>
        <v>1.4025245441795233E-3</v>
      </c>
    </row>
    <row r="87" spans="1:6" x14ac:dyDescent="0.25">
      <c r="A87" s="1" t="s">
        <v>3332</v>
      </c>
      <c r="B87" s="1" t="s">
        <v>3300</v>
      </c>
      <c r="C87" s="578">
        <v>0.06</v>
      </c>
      <c r="D87" s="579">
        <v>10.8</v>
      </c>
      <c r="E87" s="580">
        <v>94</v>
      </c>
      <c r="F87" s="581">
        <f t="shared" si="2"/>
        <v>2.1037868162692851E-3</v>
      </c>
    </row>
    <row r="88" spans="1:6" x14ac:dyDescent="0.25">
      <c r="A88" s="1" t="s">
        <v>3332</v>
      </c>
      <c r="B88" s="1" t="s">
        <v>3301</v>
      </c>
      <c r="C88" s="578">
        <v>0.48</v>
      </c>
      <c r="D88" s="579">
        <v>13.7</v>
      </c>
      <c r="E88" s="580">
        <v>120</v>
      </c>
      <c r="F88" s="581">
        <f t="shared" si="2"/>
        <v>1.6830294530154281E-2</v>
      </c>
    </row>
    <row r="89" spans="1:6" x14ac:dyDescent="0.25">
      <c r="A89" s="1" t="s">
        <v>3332</v>
      </c>
      <c r="B89" s="1" t="s">
        <v>3302</v>
      </c>
      <c r="C89" s="578">
        <v>0.04</v>
      </c>
      <c r="D89" s="579">
        <v>20.8</v>
      </c>
      <c r="E89" s="580">
        <v>182</v>
      </c>
      <c r="F89" s="581">
        <f t="shared" si="2"/>
        <v>1.4025245441795233E-3</v>
      </c>
    </row>
    <row r="90" spans="1:6" x14ac:dyDescent="0.25">
      <c r="A90" s="1" t="s">
        <v>3333</v>
      </c>
      <c r="B90" s="1" t="s">
        <v>3303</v>
      </c>
      <c r="C90" s="578">
        <v>0.05</v>
      </c>
      <c r="D90" s="579">
        <v>1.3</v>
      </c>
      <c r="E90" s="580">
        <v>11</v>
      </c>
      <c r="F90" s="581">
        <f t="shared" si="2"/>
        <v>1.7531556802244043E-3</v>
      </c>
    </row>
    <row r="91" spans="1:6" x14ac:dyDescent="0.25">
      <c r="A91" s="1" t="s">
        <v>3333</v>
      </c>
      <c r="B91" s="1" t="s">
        <v>3304</v>
      </c>
      <c r="C91" s="578">
        <v>0.28000000000000003</v>
      </c>
      <c r="D91" s="579">
        <v>1.6</v>
      </c>
      <c r="E91" s="580">
        <v>14</v>
      </c>
      <c r="F91" s="581">
        <f t="shared" si="2"/>
        <v>9.8176718092566635E-3</v>
      </c>
    </row>
    <row r="92" spans="1:6" x14ac:dyDescent="0.25">
      <c r="A92" s="1" t="s">
        <v>3333</v>
      </c>
      <c r="B92" s="1" t="s">
        <v>3305</v>
      </c>
      <c r="C92" s="578">
        <v>1.68</v>
      </c>
      <c r="D92" s="579">
        <v>0.4</v>
      </c>
      <c r="E92" s="580">
        <v>4</v>
      </c>
      <c r="F92" s="581">
        <f t="shared" si="2"/>
        <v>5.8906030855539977E-2</v>
      </c>
    </row>
    <row r="93" spans="1:6" x14ac:dyDescent="0.25">
      <c r="A93" s="1" t="s">
        <v>3333</v>
      </c>
      <c r="B93" s="1" t="s">
        <v>3306</v>
      </c>
      <c r="C93" s="578">
        <v>0.03</v>
      </c>
      <c r="D93" s="579">
        <v>2</v>
      </c>
      <c r="E93" s="580">
        <v>18</v>
      </c>
      <c r="F93" s="581">
        <f t="shared" si="2"/>
        <v>1.0518934081346425E-3</v>
      </c>
    </row>
    <row r="94" spans="1:6" x14ac:dyDescent="0.25">
      <c r="A94" s="1" t="s">
        <v>3333</v>
      </c>
      <c r="B94" s="1" t="s">
        <v>3307</v>
      </c>
      <c r="C94" s="578">
        <v>1.7</v>
      </c>
      <c r="D94" s="579">
        <v>2.2000000000000002</v>
      </c>
      <c r="E94" s="580">
        <v>19</v>
      </c>
      <c r="F94" s="581">
        <f t="shared" si="2"/>
        <v>5.9607293127629739E-2</v>
      </c>
    </row>
    <row r="95" spans="1:6" x14ac:dyDescent="0.25">
      <c r="A95" s="1" t="s">
        <v>3334</v>
      </c>
      <c r="B95" s="1" t="s">
        <v>3308</v>
      </c>
      <c r="C95" s="578">
        <v>0.02</v>
      </c>
      <c r="D95" s="579">
        <v>11</v>
      </c>
      <c r="E95" s="580">
        <v>96</v>
      </c>
      <c r="F95" s="581">
        <f t="shared" si="2"/>
        <v>7.0126227208976166E-4</v>
      </c>
    </row>
    <row r="96" spans="1:6" x14ac:dyDescent="0.25">
      <c r="A96" s="1" t="s">
        <v>3334</v>
      </c>
      <c r="B96" s="1" t="s">
        <v>3309</v>
      </c>
      <c r="C96" s="578">
        <v>0.02</v>
      </c>
      <c r="D96" s="579">
        <v>9.5</v>
      </c>
      <c r="E96" s="580">
        <v>83</v>
      </c>
      <c r="F96" s="581">
        <f t="shared" si="2"/>
        <v>7.0126227208976166E-4</v>
      </c>
    </row>
    <row r="97" spans="1:6" x14ac:dyDescent="0.25">
      <c r="A97" s="1" t="s">
        <v>3335</v>
      </c>
      <c r="B97" s="1" t="s">
        <v>3310</v>
      </c>
      <c r="C97" s="578">
        <v>0.26</v>
      </c>
      <c r="D97" s="579">
        <v>0.2</v>
      </c>
      <c r="E97" s="580">
        <v>2</v>
      </c>
      <c r="F97" s="581">
        <f t="shared" si="2"/>
        <v>9.1164095371669019E-3</v>
      </c>
    </row>
    <row r="98" spans="1:6" x14ac:dyDescent="0.25">
      <c r="A98" s="1" t="s">
        <v>3335</v>
      </c>
      <c r="B98" s="1" t="s">
        <v>3311</v>
      </c>
      <c r="C98" s="578">
        <v>1.72</v>
      </c>
      <c r="D98" s="579">
        <v>0.6</v>
      </c>
      <c r="E98" s="580">
        <v>5</v>
      </c>
      <c r="F98" s="581">
        <f t="shared" si="2"/>
        <v>6.03085553997195E-2</v>
      </c>
    </row>
    <row r="99" spans="1:6" x14ac:dyDescent="0.25">
      <c r="A99" s="1" t="s">
        <v>3336</v>
      </c>
      <c r="B99" s="1" t="s">
        <v>3312</v>
      </c>
      <c r="C99" s="578">
        <v>0.67</v>
      </c>
      <c r="D99" s="579">
        <v>0.1</v>
      </c>
      <c r="E99" s="580">
        <v>1</v>
      </c>
      <c r="F99" s="581">
        <f t="shared" si="2"/>
        <v>2.3492286115007019E-2</v>
      </c>
    </row>
    <row r="100" spans="1:6" x14ac:dyDescent="0.25">
      <c r="A100" s="1" t="s">
        <v>3336</v>
      </c>
      <c r="B100" s="1" t="s">
        <v>3313</v>
      </c>
      <c r="C100" s="578">
        <v>0.35</v>
      </c>
      <c r="D100" s="579">
        <v>0.1</v>
      </c>
      <c r="E100" s="580">
        <v>1</v>
      </c>
      <c r="F100" s="581">
        <f t="shared" si="2"/>
        <v>1.2272089761570829E-2</v>
      </c>
    </row>
    <row r="101" spans="1:6" x14ac:dyDescent="0.25">
      <c r="A101" s="1" t="s">
        <v>3336</v>
      </c>
      <c r="B101" s="1" t="s">
        <v>3314</v>
      </c>
      <c r="C101" s="578">
        <v>1</v>
      </c>
      <c r="D101" s="579">
        <v>2.2000000000000002</v>
      </c>
      <c r="E101" s="580">
        <v>19</v>
      </c>
      <c r="F101" s="581">
        <f t="shared" si="2"/>
        <v>3.5063113604488085E-2</v>
      </c>
    </row>
    <row r="102" spans="1:6" x14ac:dyDescent="0.25">
      <c r="A102" s="1" t="s">
        <v>3336</v>
      </c>
      <c r="B102" s="1" t="s">
        <v>3315</v>
      </c>
      <c r="C102" s="578">
        <v>0.28999999999999998</v>
      </c>
      <c r="D102" s="579">
        <v>3.5</v>
      </c>
      <c r="E102" s="580">
        <v>31</v>
      </c>
      <c r="F102" s="581">
        <f t="shared" si="2"/>
        <v>1.0168302945301544E-2</v>
      </c>
    </row>
    <row r="103" spans="1:6" x14ac:dyDescent="0.25">
      <c r="A103" s="1" t="s">
        <v>3336</v>
      </c>
      <c r="B103" s="1" t="s">
        <v>3316</v>
      </c>
      <c r="C103" s="578">
        <v>0.19</v>
      </c>
      <c r="D103" s="579">
        <v>22.8</v>
      </c>
      <c r="E103" s="580">
        <v>200</v>
      </c>
      <c r="F103" s="581">
        <f t="shared" si="2"/>
        <v>6.6619915848527356E-3</v>
      </c>
    </row>
    <row r="106" spans="1:6" x14ac:dyDescent="0.25">
      <c r="A106" s="583" t="s">
        <v>374</v>
      </c>
      <c r="B106" s="393" t="s">
        <v>3317</v>
      </c>
    </row>
  </sheetData>
  <sheetProtection algorithmName="SHA-512" hashValue="uCkW78t5lbpt21wuaQVVaRS8YJxobepj5b7hnRTrv/Gfthdqz3RyMeNyKWcFXtLXy4QdioEN/cl/eYfOcTR61w==" saltValue="oUaODxgfAvYlBIYKDAijxA==" spinCount="100000" sheet="1" objects="1" scenarios="1"/>
  <hyperlinks>
    <hyperlink ref="A1" location="TOC!A1" display="Return to TOC" xr:uid="{00000000-0004-0000-5E00-000000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15098-BB66-4ABB-96B8-C7E719045FEF}">
  <sheetPr>
    <tabColor theme="9" tint="0.79998168889431442"/>
  </sheetPr>
  <dimension ref="A1:AF106"/>
  <sheetViews>
    <sheetView zoomScaleNormal="100" workbookViewId="0">
      <selection sqref="A1:AF1"/>
    </sheetView>
  </sheetViews>
  <sheetFormatPr defaultColWidth="2.7109375" defaultRowHeight="15" x14ac:dyDescent="0.25"/>
  <sheetData>
    <row r="1" spans="1:32" ht="19.5" thickBot="1" x14ac:dyDescent="0.3">
      <c r="A1" s="1272" t="s">
        <v>6429</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row>
    <row r="2" spans="1:32" x14ac:dyDescent="0.25">
      <c r="A2" s="655" t="s">
        <v>1702</v>
      </c>
    </row>
    <row r="3" spans="1:32"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row>
    <row r="4" spans="1:32"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row>
    <row r="5" spans="1:32" x14ac:dyDescent="0.25">
      <c r="A5" s="262"/>
      <c r="B5" s="1589" t="s">
        <v>6349</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2" x14ac:dyDescent="0.25">
      <c r="A6" s="262"/>
      <c r="B6" s="262"/>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row>
    <row r="7" spans="1:32"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row>
    <row r="8" spans="1:32" x14ac:dyDescent="0.25">
      <c r="A8" s="262"/>
      <c r="B8" s="262"/>
      <c r="C8" s="262"/>
      <c r="D8" s="262"/>
      <c r="E8" s="262"/>
      <c r="F8" s="262"/>
      <c r="G8" s="262"/>
      <c r="H8" s="262"/>
      <c r="I8" s="262"/>
      <c r="J8" s="262"/>
      <c r="K8" s="262"/>
      <c r="L8" s="262"/>
      <c r="M8" s="262"/>
      <c r="N8" s="262"/>
      <c r="O8" s="262"/>
      <c r="P8" s="262"/>
      <c r="Q8" s="262"/>
      <c r="R8" s="262"/>
      <c r="S8" s="262"/>
      <c r="T8" s="262"/>
      <c r="U8" s="262"/>
      <c r="V8" s="262"/>
      <c r="W8" s="262"/>
      <c r="X8" s="262"/>
      <c r="Y8" s="262"/>
      <c r="Z8" s="262"/>
      <c r="AA8" s="262"/>
      <c r="AB8" s="262"/>
      <c r="AC8" s="262"/>
      <c r="AD8" s="262"/>
      <c r="AE8" s="262"/>
      <c r="AF8" s="262"/>
    </row>
    <row r="9" spans="1:32" x14ac:dyDescent="0.25">
      <c r="A9" s="227"/>
      <c r="B9" s="414" t="s">
        <v>10</v>
      </c>
      <c r="C9" s="262"/>
      <c r="D9" s="262"/>
      <c r="E9" s="262"/>
      <c r="F9" s="262"/>
      <c r="G9" s="262"/>
      <c r="H9" s="262"/>
      <c r="I9" s="262"/>
      <c r="J9" s="262"/>
      <c r="K9" s="262"/>
      <c r="L9" s="262"/>
      <c r="M9" s="262"/>
      <c r="N9" s="262"/>
      <c r="O9" s="262"/>
      <c r="P9" s="262"/>
      <c r="Q9" s="262"/>
      <c r="R9" s="262"/>
      <c r="S9" s="262"/>
      <c r="T9" s="262"/>
      <c r="U9" s="262"/>
      <c r="V9" s="262"/>
      <c r="W9" s="262"/>
      <c r="X9" s="262"/>
      <c r="Y9" s="262"/>
      <c r="Z9" s="262"/>
      <c r="AA9" s="262"/>
      <c r="AB9" s="262"/>
      <c r="AC9" s="262"/>
      <c r="AD9" s="262"/>
      <c r="AE9" s="262"/>
      <c r="AF9" s="262"/>
    </row>
    <row r="10" spans="1:32" ht="80.25" customHeight="1" x14ac:dyDescent="0.25">
      <c r="A10" s="227"/>
      <c r="B10" s="1173" t="s">
        <v>6430</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row>
    <row r="11" spans="1:32" x14ac:dyDescent="0.25">
      <c r="A11" s="227"/>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row>
    <row r="12" spans="1:32" x14ac:dyDescent="0.25">
      <c r="A12" s="227"/>
      <c r="B12" s="414" t="s">
        <v>11</v>
      </c>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row>
    <row r="13" spans="1:32" ht="30" customHeight="1" x14ac:dyDescent="0.25">
      <c r="A13" s="227"/>
      <c r="B13" s="1173" t="s">
        <v>6431</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row>
    <row r="14" spans="1:32" x14ac:dyDescent="0.25">
      <c r="A14" s="227"/>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row>
    <row r="15" spans="1:32" x14ac:dyDescent="0.25">
      <c r="A15" s="227"/>
      <c r="B15" s="414" t="s">
        <v>12</v>
      </c>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row>
    <row r="16" spans="1:32" x14ac:dyDescent="0.25">
      <c r="A16" s="227"/>
      <c r="B16" s="262" t="s">
        <v>6432</v>
      </c>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row>
    <row r="17" spans="1:32" x14ac:dyDescent="0.25">
      <c r="A17" s="227"/>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row>
    <row r="18" spans="1:32" x14ac:dyDescent="0.25">
      <c r="A18" s="227"/>
      <c r="B18" s="414" t="s">
        <v>13</v>
      </c>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row>
    <row r="19" spans="1:32" x14ac:dyDescent="0.25">
      <c r="A19" s="227"/>
      <c r="B19" s="1173" t="s">
        <v>6433</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row>
    <row r="20" spans="1:32" x14ac:dyDescent="0.25">
      <c r="A20" s="227"/>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row>
    <row r="21" spans="1:32" x14ac:dyDescent="0.25">
      <c r="A21" s="227"/>
      <c r="B21" s="414" t="s">
        <v>20</v>
      </c>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row>
    <row r="22" spans="1:32" x14ac:dyDescent="0.25">
      <c r="A22" s="227"/>
      <c r="B22" s="1173" t="s">
        <v>6434</v>
      </c>
      <c r="C22" s="1173"/>
      <c r="D22" s="1173"/>
      <c r="E22" s="1173"/>
      <c r="F22" s="1173"/>
      <c r="G22" s="1173"/>
      <c r="H22" s="1173"/>
      <c r="I22" s="1173"/>
      <c r="J22" s="1173"/>
      <c r="K22" s="1173"/>
      <c r="L22" s="1173"/>
      <c r="M22" s="1173"/>
      <c r="N22" s="1173"/>
      <c r="O22" s="1173"/>
      <c r="P22" s="1173"/>
      <c r="Q22" s="1173"/>
      <c r="R22" s="1173"/>
      <c r="S22" s="1173"/>
      <c r="T22" s="1173"/>
      <c r="U22" s="1173"/>
      <c r="V22" s="1173"/>
      <c r="W22" s="1173"/>
      <c r="X22" s="1173"/>
      <c r="Y22" s="1173"/>
      <c r="Z22" s="1173"/>
      <c r="AA22" s="1173"/>
      <c r="AB22" s="1173"/>
      <c r="AC22" s="1173"/>
      <c r="AD22" s="1173"/>
      <c r="AE22" s="1173"/>
      <c r="AF22" s="1173"/>
    </row>
    <row r="23" spans="1:32" x14ac:dyDescent="0.25">
      <c r="A23" s="262"/>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row>
    <row r="24" spans="1:32" x14ac:dyDescent="0.25">
      <c r="A24" s="262"/>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row>
    <row r="25" spans="1:32" x14ac:dyDescent="0.25">
      <c r="A25" s="1621" t="s">
        <v>14</v>
      </c>
      <c r="B25" s="1621"/>
      <c r="C25" s="1621"/>
      <c r="D25" s="1621"/>
      <c r="E25" s="1621"/>
      <c r="F25" s="1621"/>
      <c r="G25" s="1621"/>
      <c r="H25" s="1621"/>
      <c r="I25" s="1621"/>
      <c r="J25" s="1621"/>
      <c r="K25" s="1621"/>
      <c r="L25" s="1621"/>
      <c r="M25" s="1621"/>
      <c r="N25" s="1621"/>
      <c r="O25" s="1621"/>
      <c r="P25" s="1621"/>
      <c r="Q25" s="1621"/>
      <c r="R25" s="1621"/>
      <c r="S25" s="1621"/>
      <c r="T25" s="1621"/>
      <c r="U25" s="1621"/>
      <c r="V25" s="1621"/>
      <c r="W25" s="1621"/>
      <c r="X25" s="1621"/>
      <c r="Y25" s="1621"/>
      <c r="Z25" s="1621"/>
      <c r="AA25" s="1621"/>
      <c r="AB25" s="1621"/>
      <c r="AC25" s="1621"/>
      <c r="AD25" s="1621"/>
      <c r="AE25" s="1621"/>
      <c r="AF25" s="1621"/>
    </row>
    <row r="26" spans="1:32" x14ac:dyDescent="0.25">
      <c r="A26" s="262"/>
      <c r="B26" s="227"/>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c r="AA26" s="227"/>
      <c r="AB26" s="227"/>
      <c r="AC26" s="227"/>
      <c r="AD26" s="227"/>
      <c r="AE26" s="227"/>
      <c r="AF26" s="227"/>
    </row>
    <row r="27" spans="1:32" x14ac:dyDescent="0.25">
      <c r="A27" s="227"/>
      <c r="B27" s="519" t="s">
        <v>5322</v>
      </c>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row>
    <row r="28" spans="1:32" x14ac:dyDescent="0.25">
      <c r="A28" s="227"/>
      <c r="B28" s="190"/>
      <c r="C28" s="262"/>
      <c r="D28" s="338"/>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27"/>
    </row>
    <row r="29" spans="1:32" x14ac:dyDescent="0.25">
      <c r="A29" s="227"/>
      <c r="B29" s="190"/>
      <c r="C29" s="227"/>
      <c r="D29" s="338"/>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311"/>
      <c r="AE29" s="311"/>
      <c r="AF29" s="419" t="s">
        <v>1705</v>
      </c>
    </row>
    <row r="30" spans="1:32" x14ac:dyDescent="0.25">
      <c r="A30" s="227"/>
      <c r="B30" s="190"/>
      <c r="C30" s="227"/>
      <c r="D30" s="338"/>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c r="AE30" s="311"/>
      <c r="AF30" s="262"/>
    </row>
    <row r="31" spans="1:32" x14ac:dyDescent="0.25">
      <c r="A31" s="227"/>
      <c r="B31" s="262"/>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c r="AE31" s="311"/>
      <c r="AF31" s="311"/>
    </row>
    <row r="32" spans="1:32" x14ac:dyDescent="0.25">
      <c r="A32" s="227"/>
      <c r="B32" s="262"/>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311"/>
      <c r="AF32" s="311"/>
    </row>
    <row r="33" spans="1:32" x14ac:dyDescent="0.25">
      <c r="A33" s="227"/>
      <c r="B33" s="519" t="s">
        <v>6355</v>
      </c>
      <c r="C33" s="262"/>
      <c r="D33" s="262"/>
      <c r="E33" s="262"/>
      <c r="F33" s="262"/>
      <c r="G33" s="262"/>
      <c r="H33" s="262"/>
      <c r="I33" s="262"/>
      <c r="J33" s="262"/>
      <c r="K33" s="262"/>
      <c r="L33" s="262"/>
      <c r="M33" s="262"/>
      <c r="N33" s="311"/>
      <c r="O33" s="311"/>
      <c r="P33" s="311"/>
      <c r="Q33" s="311"/>
      <c r="R33" s="311"/>
      <c r="S33" s="311"/>
      <c r="T33" s="311"/>
      <c r="U33" s="311"/>
      <c r="V33" s="311"/>
      <c r="W33" s="311"/>
      <c r="X33" s="311"/>
      <c r="Y33" s="311"/>
      <c r="Z33" s="311"/>
      <c r="AA33" s="311"/>
      <c r="AB33" s="311"/>
      <c r="AC33" s="311"/>
      <c r="AD33" s="311"/>
      <c r="AE33" s="311"/>
      <c r="AF33" s="311"/>
    </row>
    <row r="34" spans="1:32" x14ac:dyDescent="0.25">
      <c r="A34" s="227"/>
      <c r="B34" s="262"/>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1"/>
      <c r="AD34" s="311"/>
      <c r="AE34" s="311"/>
      <c r="AF34" s="311"/>
    </row>
    <row r="35" spans="1:32" x14ac:dyDescent="0.25">
      <c r="A35" s="227"/>
      <c r="B35" s="262"/>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311"/>
      <c r="AF35" s="419" t="s">
        <v>1706</v>
      </c>
    </row>
    <row r="36" spans="1:32" x14ac:dyDescent="0.25">
      <c r="A36" s="227"/>
      <c r="B36" s="262"/>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311"/>
      <c r="AE36" s="311"/>
      <c r="AF36" s="311"/>
    </row>
    <row r="37" spans="1:32" x14ac:dyDescent="0.25">
      <c r="A37" s="227"/>
      <c r="B37" s="262"/>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311"/>
      <c r="AE37" s="311"/>
      <c r="AF37" s="311"/>
    </row>
    <row r="38" spans="1:32" x14ac:dyDescent="0.25">
      <c r="A38" s="227"/>
      <c r="B38" s="262"/>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row>
    <row r="39" spans="1:32" x14ac:dyDescent="0.25">
      <c r="A39" s="227"/>
      <c r="B39" s="414" t="s">
        <v>6435</v>
      </c>
      <c r="C39" s="945"/>
      <c r="D39" s="945"/>
      <c r="E39" s="945"/>
      <c r="F39" s="945"/>
      <c r="G39" s="945"/>
      <c r="H39" s="945"/>
      <c r="I39" s="945"/>
      <c r="J39" s="945"/>
      <c r="K39" s="945"/>
      <c r="L39" s="945"/>
      <c r="M39" s="945"/>
      <c r="N39" s="945"/>
      <c r="O39" s="945"/>
      <c r="P39" s="945"/>
      <c r="Q39" s="311"/>
      <c r="R39" s="311"/>
      <c r="S39" s="311"/>
      <c r="T39" s="311"/>
      <c r="U39" s="311"/>
      <c r="V39" s="311"/>
      <c r="W39" s="311"/>
      <c r="X39" s="311"/>
      <c r="Y39" s="311"/>
      <c r="Z39" s="311"/>
      <c r="AA39" s="311"/>
      <c r="AB39" s="311"/>
      <c r="AC39" s="311"/>
      <c r="AD39" s="311"/>
      <c r="AE39" s="311"/>
      <c r="AF39" s="311"/>
    </row>
    <row r="40" spans="1:32" x14ac:dyDescent="0.25">
      <c r="A40" s="227"/>
      <c r="B40" s="262"/>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311"/>
      <c r="AE40" s="311"/>
      <c r="AF40" s="311"/>
    </row>
    <row r="41" spans="1:32" x14ac:dyDescent="0.25">
      <c r="A41" s="227"/>
      <c r="B41" s="262"/>
      <c r="C41" s="946"/>
      <c r="D41" s="946"/>
      <c r="E41" s="946"/>
      <c r="F41" s="946"/>
      <c r="G41" s="946"/>
      <c r="H41" s="946"/>
      <c r="I41" s="311"/>
      <c r="J41" s="311"/>
      <c r="K41" s="311"/>
      <c r="L41" s="311"/>
      <c r="M41" s="311"/>
      <c r="N41" s="311"/>
      <c r="O41" s="311"/>
      <c r="P41" s="311"/>
      <c r="Q41" s="311"/>
      <c r="R41" s="311"/>
      <c r="S41" s="311"/>
      <c r="T41" s="311"/>
      <c r="U41" s="311"/>
      <c r="V41" s="311"/>
      <c r="W41" s="311"/>
      <c r="X41" s="311"/>
      <c r="Y41" s="311"/>
      <c r="Z41" s="311"/>
      <c r="AA41" s="311"/>
      <c r="AB41" s="311"/>
      <c r="AC41" s="311"/>
      <c r="AD41" s="311"/>
      <c r="AE41" s="311"/>
      <c r="AF41" s="419" t="s">
        <v>1707</v>
      </c>
    </row>
    <row r="42" spans="1:32" x14ac:dyDescent="0.25">
      <c r="A42" s="227"/>
      <c r="B42" s="262"/>
      <c r="C42" s="946"/>
      <c r="D42" s="946"/>
      <c r="E42" s="946"/>
      <c r="F42" s="946"/>
      <c r="G42" s="946"/>
      <c r="H42" s="946"/>
      <c r="I42" s="311"/>
      <c r="J42" s="311"/>
      <c r="K42" s="311"/>
      <c r="L42" s="311"/>
      <c r="M42" s="311"/>
      <c r="N42" s="311"/>
      <c r="O42" s="311"/>
      <c r="P42" s="311"/>
      <c r="Q42" s="311"/>
      <c r="R42" s="311"/>
      <c r="S42" s="311"/>
      <c r="T42" s="311"/>
      <c r="U42" s="311"/>
      <c r="V42" s="311"/>
      <c r="W42" s="311"/>
      <c r="X42" s="311"/>
      <c r="Y42" s="311"/>
      <c r="Z42" s="311"/>
      <c r="AA42" s="311"/>
      <c r="AB42" s="311"/>
      <c r="AC42" s="311"/>
      <c r="AD42" s="311"/>
      <c r="AE42" s="311"/>
      <c r="AF42" s="262"/>
    </row>
    <row r="43" spans="1:32" x14ac:dyDescent="0.25">
      <c r="A43" s="227"/>
      <c r="B43" s="262"/>
      <c r="C43" s="311"/>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1"/>
      <c r="AD43" s="311"/>
      <c r="AE43" s="311"/>
      <c r="AF43" s="311"/>
    </row>
    <row r="44" spans="1:32" x14ac:dyDescent="0.25">
      <c r="A44" s="227"/>
      <c r="B44" s="519" t="s">
        <v>2194</v>
      </c>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311"/>
      <c r="AF44" s="311"/>
    </row>
    <row r="45" spans="1:32" x14ac:dyDescent="0.25">
      <c r="A45" s="227"/>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c r="AF45" s="311"/>
    </row>
    <row r="46" spans="1:32" x14ac:dyDescent="0.25">
      <c r="A46" s="227"/>
      <c r="B46" s="311"/>
      <c r="C46" s="311"/>
      <c r="D46" s="526"/>
      <c r="E46" s="311"/>
      <c r="F46" s="311"/>
      <c r="G46" s="311"/>
      <c r="H46" s="311"/>
      <c r="I46" s="311"/>
      <c r="J46" s="311"/>
      <c r="K46" s="311"/>
      <c r="L46" s="311"/>
      <c r="M46" s="311"/>
      <c r="N46" s="311"/>
      <c r="O46" s="311"/>
      <c r="P46" s="311"/>
      <c r="Q46" s="311"/>
      <c r="R46" s="311"/>
      <c r="S46" s="311"/>
      <c r="T46" s="311"/>
      <c r="U46" s="311"/>
      <c r="V46" s="311"/>
      <c r="W46" s="311"/>
      <c r="X46" s="311"/>
      <c r="Y46" s="311"/>
      <c r="Z46" s="311"/>
      <c r="AA46" s="311"/>
      <c r="AB46" s="311"/>
      <c r="AC46" s="311"/>
      <c r="AD46" s="311"/>
      <c r="AE46" s="311"/>
      <c r="AF46" s="419" t="s">
        <v>1756</v>
      </c>
    </row>
    <row r="47" spans="1:32" x14ac:dyDescent="0.25">
      <c r="A47" s="227"/>
      <c r="B47" s="311"/>
      <c r="C47" s="311"/>
      <c r="D47" s="526"/>
      <c r="E47" s="311"/>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1"/>
      <c r="AE47" s="311"/>
      <c r="AF47" s="262"/>
    </row>
    <row r="48" spans="1:32" x14ac:dyDescent="0.25">
      <c r="A48" s="227"/>
      <c r="B48" s="311"/>
      <c r="C48" s="311"/>
      <c r="D48" s="526"/>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c r="AF48" s="262"/>
    </row>
    <row r="49" spans="1:32" x14ac:dyDescent="0.25">
      <c r="A49" s="227"/>
      <c r="B49" s="519" t="s">
        <v>6436</v>
      </c>
      <c r="C49" s="262"/>
      <c r="D49" s="526"/>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311"/>
      <c r="AE49" s="311"/>
      <c r="AF49" s="262"/>
    </row>
    <row r="50" spans="1:32" x14ac:dyDescent="0.25">
      <c r="A50" s="227"/>
      <c r="B50" s="519"/>
      <c r="C50" s="311"/>
      <c r="D50" s="526"/>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311"/>
      <c r="AE50" s="311"/>
      <c r="AF50" s="262"/>
    </row>
    <row r="51" spans="1:32" x14ac:dyDescent="0.25">
      <c r="A51" s="227"/>
      <c r="B51" s="519"/>
      <c r="C51" s="311"/>
      <c r="D51" s="526"/>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311"/>
      <c r="AE51" s="311"/>
      <c r="AF51" s="419" t="s">
        <v>1788</v>
      </c>
    </row>
    <row r="52" spans="1:32" x14ac:dyDescent="0.25">
      <c r="A52" s="227"/>
      <c r="B52" s="519"/>
      <c r="C52" s="311"/>
      <c r="D52" s="526"/>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311"/>
      <c r="AE52" s="311"/>
      <c r="AF52" s="262"/>
    </row>
    <row r="53" spans="1:32" x14ac:dyDescent="0.25">
      <c r="A53" s="227"/>
      <c r="B53" s="519"/>
      <c r="C53" s="311"/>
      <c r="D53" s="526"/>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c r="AF53" s="262"/>
    </row>
    <row r="54" spans="1:32" x14ac:dyDescent="0.25">
      <c r="A54" s="227"/>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311"/>
      <c r="AE54" s="311"/>
      <c r="AF54" s="311"/>
    </row>
    <row r="55" spans="1:32" x14ac:dyDescent="0.25">
      <c r="A55" s="227"/>
      <c r="B55" s="519" t="s">
        <v>2303</v>
      </c>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311"/>
      <c r="AE55" s="311"/>
      <c r="AF55" s="311"/>
    </row>
    <row r="56" spans="1:32" x14ac:dyDescent="0.25">
      <c r="A56" s="227"/>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row>
    <row r="57" spans="1:32" x14ac:dyDescent="0.25">
      <c r="A57" s="227"/>
      <c r="B57" s="311"/>
      <c r="C57" s="311"/>
      <c r="D57" s="338"/>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311"/>
      <c r="AE57" s="311"/>
      <c r="AF57" s="419" t="s">
        <v>1789</v>
      </c>
    </row>
    <row r="58" spans="1:32" x14ac:dyDescent="0.25">
      <c r="A58" s="227"/>
      <c r="B58" s="311"/>
      <c r="C58" s="311"/>
      <c r="D58" s="338"/>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262"/>
    </row>
    <row r="59" spans="1:32" x14ac:dyDescent="0.25">
      <c r="A59" s="227"/>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row>
    <row r="60" spans="1:32" x14ac:dyDescent="0.25">
      <c r="A60" s="227"/>
      <c r="B60" s="519" t="s">
        <v>1998</v>
      </c>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311"/>
      <c r="AE60" s="311"/>
      <c r="AF60" s="311"/>
    </row>
    <row r="61" spans="1:32" x14ac:dyDescent="0.25">
      <c r="A61" s="311"/>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311"/>
      <c r="AE61" s="311"/>
      <c r="AF61" s="311"/>
    </row>
    <row r="62" spans="1:32" x14ac:dyDescent="0.25">
      <c r="A62" s="311"/>
      <c r="B62" s="192"/>
      <c r="C62" s="311"/>
      <c r="D62" s="190"/>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311"/>
      <c r="AE62" s="311"/>
      <c r="AF62" s="419" t="s">
        <v>1826</v>
      </c>
    </row>
    <row r="63" spans="1:32" x14ac:dyDescent="0.25">
      <c r="A63" s="311"/>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311"/>
      <c r="AE63" s="311"/>
      <c r="AF63" s="311"/>
    </row>
    <row r="64" spans="1:32" x14ac:dyDescent="0.25">
      <c r="A64" s="311"/>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311"/>
      <c r="AE64" s="311"/>
      <c r="AF64" s="311"/>
    </row>
    <row r="65" spans="1:32" x14ac:dyDescent="0.25">
      <c r="A65" s="1621" t="s">
        <v>15</v>
      </c>
      <c r="B65" s="1621"/>
      <c r="C65" s="1621"/>
      <c r="D65" s="1621"/>
      <c r="E65" s="1621"/>
      <c r="F65" s="1621"/>
      <c r="G65" s="1621"/>
      <c r="H65" s="1621"/>
      <c r="I65" s="1621"/>
      <c r="J65" s="1621"/>
      <c r="K65" s="1621"/>
      <c r="L65" s="1621"/>
      <c r="M65" s="1621"/>
      <c r="N65" s="1621"/>
      <c r="O65" s="1621"/>
      <c r="P65" s="1621"/>
      <c r="Q65" s="1621"/>
      <c r="R65" s="1621"/>
      <c r="S65" s="1621"/>
      <c r="T65" s="1621"/>
      <c r="U65" s="1621"/>
      <c r="V65" s="1621"/>
      <c r="W65" s="1621"/>
      <c r="X65" s="1621"/>
      <c r="Y65" s="1621"/>
      <c r="Z65" s="1621"/>
      <c r="AA65" s="1621"/>
      <c r="AB65" s="1621"/>
      <c r="AC65" s="1621"/>
      <c r="AD65" s="1621"/>
      <c r="AE65" s="1621"/>
      <c r="AF65" s="1621"/>
    </row>
    <row r="66" spans="1:32" x14ac:dyDescent="0.25">
      <c r="A66" s="1735" t="s">
        <v>16</v>
      </c>
      <c r="B66" s="1735"/>
      <c r="C66" s="1735"/>
      <c r="D66" s="1735"/>
      <c r="E66" s="1735" t="s">
        <v>10</v>
      </c>
      <c r="F66" s="1735"/>
      <c r="G66" s="1735"/>
      <c r="H66" s="1735"/>
      <c r="I66" s="1735"/>
      <c r="J66" s="1735"/>
      <c r="K66" s="1735"/>
      <c r="L66" s="1735"/>
      <c r="M66" s="1735"/>
      <c r="N66" s="1735"/>
      <c r="O66" s="1735"/>
      <c r="P66" s="1735" t="s">
        <v>17</v>
      </c>
      <c r="Q66" s="1735"/>
      <c r="R66" s="1735"/>
      <c r="S66" s="1735"/>
      <c r="T66" s="1735" t="s">
        <v>18</v>
      </c>
      <c r="U66" s="1735"/>
      <c r="V66" s="1735"/>
      <c r="W66" s="1735"/>
      <c r="X66" s="1735" t="s">
        <v>1708</v>
      </c>
      <c r="Y66" s="1735"/>
      <c r="Z66" s="1735"/>
      <c r="AA66" s="1735"/>
      <c r="AB66" s="1735"/>
      <c r="AC66" s="1735"/>
      <c r="AD66" s="1735"/>
      <c r="AE66" s="1735"/>
      <c r="AF66" s="1735"/>
    </row>
    <row r="67" spans="1:32" ht="60.75" customHeight="1" x14ac:dyDescent="0.25">
      <c r="A67" s="1133" t="s">
        <v>6437</v>
      </c>
      <c r="B67" s="1133"/>
      <c r="C67" s="1133"/>
      <c r="D67" s="1133"/>
      <c r="E67" s="1133" t="s">
        <v>6438</v>
      </c>
      <c r="F67" s="1133"/>
      <c r="G67" s="1133"/>
      <c r="H67" s="1133"/>
      <c r="I67" s="1133"/>
      <c r="J67" s="1133"/>
      <c r="K67" s="1133"/>
      <c r="L67" s="1133"/>
      <c r="M67" s="1133"/>
      <c r="N67" s="1133"/>
      <c r="O67" s="1133"/>
      <c r="P67" s="1674" t="s">
        <v>6358</v>
      </c>
      <c r="Q67" s="1674"/>
      <c r="R67" s="1674"/>
      <c r="S67" s="1674"/>
      <c r="T67" s="2474" t="s">
        <v>44</v>
      </c>
      <c r="U67" s="1841"/>
      <c r="V67" s="1841"/>
      <c r="W67" s="1841"/>
      <c r="X67" s="3127" t="s">
        <v>6439</v>
      </c>
      <c r="Y67" s="3128"/>
      <c r="Z67" s="3128"/>
      <c r="AA67" s="3128"/>
      <c r="AB67" s="3128"/>
      <c r="AC67" s="3128"/>
      <c r="AD67" s="3128"/>
      <c r="AE67" s="3128"/>
      <c r="AF67" s="3129"/>
    </row>
    <row r="68" spans="1:32" ht="61.5" customHeight="1" x14ac:dyDescent="0.25">
      <c r="A68" s="1133" t="s">
        <v>6440</v>
      </c>
      <c r="B68" s="1133"/>
      <c r="C68" s="1133"/>
      <c r="D68" s="1133"/>
      <c r="E68" s="1133" t="s">
        <v>6441</v>
      </c>
      <c r="F68" s="1133"/>
      <c r="G68" s="1133"/>
      <c r="H68" s="1133"/>
      <c r="I68" s="1133"/>
      <c r="J68" s="1133"/>
      <c r="K68" s="1133"/>
      <c r="L68" s="1133"/>
      <c r="M68" s="1133"/>
      <c r="N68" s="1133"/>
      <c r="O68" s="1133"/>
      <c r="P68" s="1497" t="s">
        <v>6361</v>
      </c>
      <c r="Q68" s="1498"/>
      <c r="R68" s="1498"/>
      <c r="S68" s="1499"/>
      <c r="T68" s="1696" t="s">
        <v>44</v>
      </c>
      <c r="U68" s="1684"/>
      <c r="V68" s="1684"/>
      <c r="W68" s="1685"/>
      <c r="X68" s="3130"/>
      <c r="Y68" s="3131"/>
      <c r="Z68" s="3131"/>
      <c r="AA68" s="3131"/>
      <c r="AB68" s="3131"/>
      <c r="AC68" s="3131"/>
      <c r="AD68" s="3131"/>
      <c r="AE68" s="3131"/>
      <c r="AF68" s="3132"/>
    </row>
    <row r="69" spans="1:32" ht="60.75" customHeight="1" x14ac:dyDescent="0.25">
      <c r="A69" s="1133" t="s">
        <v>6442</v>
      </c>
      <c r="B69" s="1133"/>
      <c r="C69" s="1133"/>
      <c r="D69" s="1133"/>
      <c r="E69" s="1133" t="s">
        <v>6443</v>
      </c>
      <c r="F69" s="1133"/>
      <c r="G69" s="1133"/>
      <c r="H69" s="1133"/>
      <c r="I69" s="1133"/>
      <c r="J69" s="1133"/>
      <c r="K69" s="1133"/>
      <c r="L69" s="1133"/>
      <c r="M69" s="1133"/>
      <c r="N69" s="1133"/>
      <c r="O69" s="1133"/>
      <c r="P69" s="1497">
        <f>P71-P72</f>
        <v>3233</v>
      </c>
      <c r="Q69" s="1498"/>
      <c r="R69" s="1498"/>
      <c r="S69" s="1499"/>
      <c r="T69" s="1696" t="s">
        <v>33</v>
      </c>
      <c r="U69" s="1684"/>
      <c r="V69" s="1684"/>
      <c r="W69" s="1685"/>
      <c r="X69" s="1538" t="s">
        <v>6444</v>
      </c>
      <c r="Y69" s="1539"/>
      <c r="Z69" s="1539"/>
      <c r="AA69" s="1539"/>
      <c r="AB69" s="1539"/>
      <c r="AC69" s="1539"/>
      <c r="AD69" s="1539"/>
      <c r="AE69" s="1539"/>
      <c r="AF69" s="1540"/>
    </row>
    <row r="70" spans="1:32" ht="45.75" customHeight="1" x14ac:dyDescent="0.25">
      <c r="A70" s="1133" t="s">
        <v>6445</v>
      </c>
      <c r="B70" s="1133"/>
      <c r="C70" s="1133"/>
      <c r="D70" s="1133"/>
      <c r="E70" s="1133" t="s">
        <v>6446</v>
      </c>
      <c r="F70" s="1133"/>
      <c r="G70" s="1133"/>
      <c r="H70" s="1133"/>
      <c r="I70" s="1133"/>
      <c r="J70" s="1133"/>
      <c r="K70" s="1133"/>
      <c r="L70" s="1133"/>
      <c r="M70" s="1133"/>
      <c r="N70" s="1133"/>
      <c r="O70" s="1133"/>
      <c r="P70" s="1497">
        <v>5249</v>
      </c>
      <c r="Q70" s="1498"/>
      <c r="R70" s="1498"/>
      <c r="S70" s="1499"/>
      <c r="T70" s="1696" t="s">
        <v>33</v>
      </c>
      <c r="U70" s="1684"/>
      <c r="V70" s="1684"/>
      <c r="W70" s="1685"/>
      <c r="X70" s="1715" t="s">
        <v>6447</v>
      </c>
      <c r="Y70" s="1715"/>
      <c r="Z70" s="1715"/>
      <c r="AA70" s="1715"/>
      <c r="AB70" s="1715"/>
      <c r="AC70" s="1715"/>
      <c r="AD70" s="1715"/>
      <c r="AE70" s="1715"/>
      <c r="AF70" s="1715"/>
    </row>
    <row r="71" spans="1:32" ht="38.25" customHeight="1" x14ac:dyDescent="0.25">
      <c r="A71" s="1133" t="s">
        <v>6448</v>
      </c>
      <c r="B71" s="1133"/>
      <c r="C71" s="1133"/>
      <c r="D71" s="1133"/>
      <c r="E71" s="1133" t="s">
        <v>6449</v>
      </c>
      <c r="F71" s="1133"/>
      <c r="G71" s="1133"/>
      <c r="H71" s="1133"/>
      <c r="I71" s="1133"/>
      <c r="J71" s="1133"/>
      <c r="K71" s="1133"/>
      <c r="L71" s="1133"/>
      <c r="M71" s="1133"/>
      <c r="N71" s="1133"/>
      <c r="O71" s="1133"/>
      <c r="P71" s="1497">
        <v>3511</v>
      </c>
      <c r="Q71" s="1498"/>
      <c r="R71" s="1498"/>
      <c r="S71" s="1499"/>
      <c r="T71" s="1696" t="s">
        <v>33</v>
      </c>
      <c r="U71" s="1684"/>
      <c r="V71" s="1684"/>
      <c r="W71" s="1685"/>
      <c r="X71" s="3127" t="s">
        <v>6450</v>
      </c>
      <c r="Y71" s="3128"/>
      <c r="Z71" s="3128"/>
      <c r="AA71" s="3128"/>
      <c r="AB71" s="3128"/>
      <c r="AC71" s="3128"/>
      <c r="AD71" s="3128"/>
      <c r="AE71" s="3128"/>
      <c r="AF71" s="3129"/>
    </row>
    <row r="72" spans="1:32" ht="38.25" customHeight="1" x14ac:dyDescent="0.25">
      <c r="A72" s="1133" t="s">
        <v>6451</v>
      </c>
      <c r="B72" s="1133"/>
      <c r="C72" s="1133"/>
      <c r="D72" s="1133"/>
      <c r="E72" s="1133" t="s">
        <v>6452</v>
      </c>
      <c r="F72" s="1133"/>
      <c r="G72" s="1133"/>
      <c r="H72" s="1133"/>
      <c r="I72" s="1133"/>
      <c r="J72" s="1133"/>
      <c r="K72" s="1133"/>
      <c r="L72" s="1133"/>
      <c r="M72" s="1133"/>
      <c r="N72" s="1133"/>
      <c r="O72" s="1133"/>
      <c r="P72" s="1497">
        <v>278</v>
      </c>
      <c r="Q72" s="1498"/>
      <c r="R72" s="1498"/>
      <c r="S72" s="1499"/>
      <c r="T72" s="1696" t="s">
        <v>33</v>
      </c>
      <c r="U72" s="1684"/>
      <c r="V72" s="1684"/>
      <c r="W72" s="1685"/>
      <c r="X72" s="3130"/>
      <c r="Y72" s="3131"/>
      <c r="Z72" s="3131"/>
      <c r="AA72" s="3131"/>
      <c r="AB72" s="3131"/>
      <c r="AC72" s="3131"/>
      <c r="AD72" s="3131"/>
      <c r="AE72" s="3131"/>
      <c r="AF72" s="3132"/>
    </row>
    <row r="73" spans="1:32" ht="45" customHeight="1" x14ac:dyDescent="0.25">
      <c r="A73" s="1133" t="s">
        <v>3667</v>
      </c>
      <c r="B73" s="1133"/>
      <c r="C73" s="1133"/>
      <c r="D73" s="1133"/>
      <c r="E73" s="1133" t="s">
        <v>6453</v>
      </c>
      <c r="F73" s="1133"/>
      <c r="G73" s="1133"/>
      <c r="H73" s="1133"/>
      <c r="I73" s="1133"/>
      <c r="J73" s="1133"/>
      <c r="K73" s="1133"/>
      <c r="L73" s="1133"/>
      <c r="M73" s="1133"/>
      <c r="N73" s="1133"/>
      <c r="O73" s="1133"/>
      <c r="P73" s="1497" t="s">
        <v>626</v>
      </c>
      <c r="Q73" s="1498"/>
      <c r="R73" s="1498"/>
      <c r="S73" s="1499"/>
      <c r="T73" s="1696" t="s">
        <v>291</v>
      </c>
      <c r="U73" s="1684"/>
      <c r="V73" s="1684"/>
      <c r="W73" s="1685"/>
      <c r="X73" s="3632" t="s">
        <v>6454</v>
      </c>
      <c r="Y73" s="1715"/>
      <c r="Z73" s="1715"/>
      <c r="AA73" s="1715"/>
      <c r="AB73" s="1715"/>
      <c r="AC73" s="1715"/>
      <c r="AD73" s="1715"/>
      <c r="AE73" s="1715"/>
      <c r="AF73" s="1715"/>
    </row>
    <row r="74" spans="1:32" ht="45" customHeight="1" x14ac:dyDescent="0.25">
      <c r="A74" s="1133" t="s">
        <v>6455</v>
      </c>
      <c r="B74" s="1133"/>
      <c r="C74" s="1133"/>
      <c r="D74" s="1133"/>
      <c r="E74" s="1133" t="s">
        <v>6456</v>
      </c>
      <c r="F74" s="1133"/>
      <c r="G74" s="1133"/>
      <c r="H74" s="1133"/>
      <c r="I74" s="1133"/>
      <c r="J74" s="1133"/>
      <c r="K74" s="1133"/>
      <c r="L74" s="1133"/>
      <c r="M74" s="1133"/>
      <c r="N74" s="1133"/>
      <c r="O74" s="1133"/>
      <c r="P74" s="1497" t="s">
        <v>626</v>
      </c>
      <c r="Q74" s="1498"/>
      <c r="R74" s="1498"/>
      <c r="S74" s="1499"/>
      <c r="T74" s="1696" t="s">
        <v>291</v>
      </c>
      <c r="U74" s="1684"/>
      <c r="V74" s="1684"/>
      <c r="W74" s="1685"/>
      <c r="X74" s="3127" t="s">
        <v>6457</v>
      </c>
      <c r="Y74" s="3128"/>
      <c r="Z74" s="3128"/>
      <c r="AA74" s="3128"/>
      <c r="AB74" s="3128"/>
      <c r="AC74" s="3128"/>
      <c r="AD74" s="3128"/>
      <c r="AE74" s="3128"/>
      <c r="AF74" s="3129"/>
    </row>
    <row r="75" spans="1:32" ht="45" customHeight="1" x14ac:dyDescent="0.25">
      <c r="A75" s="1133" t="s">
        <v>6458</v>
      </c>
      <c r="B75" s="1133"/>
      <c r="C75" s="1133"/>
      <c r="D75" s="1133"/>
      <c r="E75" s="1133" t="s">
        <v>6459</v>
      </c>
      <c r="F75" s="1133"/>
      <c r="G75" s="1133"/>
      <c r="H75" s="1133"/>
      <c r="I75" s="1133"/>
      <c r="J75" s="1133"/>
      <c r="K75" s="1133"/>
      <c r="L75" s="1133"/>
      <c r="M75" s="1133"/>
      <c r="N75" s="1133"/>
      <c r="O75" s="1133"/>
      <c r="P75" s="1497" t="s">
        <v>626</v>
      </c>
      <c r="Q75" s="1498"/>
      <c r="R75" s="1498"/>
      <c r="S75" s="1499"/>
      <c r="T75" s="1696" t="s">
        <v>291</v>
      </c>
      <c r="U75" s="1684"/>
      <c r="V75" s="1684"/>
      <c r="W75" s="1685"/>
      <c r="X75" s="3130"/>
      <c r="Y75" s="3131"/>
      <c r="Z75" s="3131"/>
      <c r="AA75" s="3131"/>
      <c r="AB75" s="3131"/>
      <c r="AC75" s="3131"/>
      <c r="AD75" s="3131"/>
      <c r="AE75" s="3131"/>
      <c r="AF75" s="3132"/>
    </row>
    <row r="76" spans="1:32" ht="75.75" customHeight="1" x14ac:dyDescent="0.25">
      <c r="A76" s="1133" t="s">
        <v>1516</v>
      </c>
      <c r="B76" s="1133"/>
      <c r="C76" s="1133"/>
      <c r="D76" s="1133"/>
      <c r="E76" s="1133" t="s">
        <v>6460</v>
      </c>
      <c r="F76" s="1133"/>
      <c r="G76" s="1133"/>
      <c r="H76" s="1133"/>
      <c r="I76" s="1133"/>
      <c r="J76" s="1133"/>
      <c r="K76" s="1133"/>
      <c r="L76" s="1133"/>
      <c r="M76" s="1133"/>
      <c r="N76" s="1133"/>
      <c r="O76" s="1133"/>
      <c r="P76" s="3121" t="s">
        <v>6380</v>
      </c>
      <c r="Q76" s="3121"/>
      <c r="R76" s="3121"/>
      <c r="S76" s="3121"/>
      <c r="T76" s="2474" t="s">
        <v>44</v>
      </c>
      <c r="U76" s="1841"/>
      <c r="V76" s="1841"/>
      <c r="W76" s="1841"/>
      <c r="X76" s="1715" t="s">
        <v>6461</v>
      </c>
      <c r="Y76" s="1715"/>
      <c r="Z76" s="1715"/>
      <c r="AA76" s="1715"/>
      <c r="AB76" s="1715"/>
      <c r="AC76" s="1715"/>
      <c r="AD76" s="1715"/>
      <c r="AE76" s="1715"/>
      <c r="AF76" s="1715"/>
    </row>
    <row r="77" spans="1:32" ht="75" customHeight="1" x14ac:dyDescent="0.25">
      <c r="A77" s="1133" t="s">
        <v>6462</v>
      </c>
      <c r="B77" s="1133"/>
      <c r="C77" s="1133"/>
      <c r="D77" s="1133"/>
      <c r="E77" s="1133" t="s">
        <v>6463</v>
      </c>
      <c r="F77" s="1133"/>
      <c r="G77" s="1133"/>
      <c r="H77" s="1133"/>
      <c r="I77" s="1133"/>
      <c r="J77" s="1133"/>
      <c r="K77" s="1133"/>
      <c r="L77" s="1133"/>
      <c r="M77" s="1133"/>
      <c r="N77" s="1133"/>
      <c r="O77" s="1133"/>
      <c r="P77" s="1497" t="s">
        <v>6464</v>
      </c>
      <c r="Q77" s="1498"/>
      <c r="R77" s="1498"/>
      <c r="S77" s="1499"/>
      <c r="T77" s="1696" t="s">
        <v>26</v>
      </c>
      <c r="U77" s="1684"/>
      <c r="V77" s="1684"/>
      <c r="W77" s="1685"/>
      <c r="X77" s="1715" t="s">
        <v>6465</v>
      </c>
      <c r="Y77" s="1715"/>
      <c r="Z77" s="1715"/>
      <c r="AA77" s="1715"/>
      <c r="AB77" s="1715"/>
      <c r="AC77" s="1715"/>
      <c r="AD77" s="1715"/>
      <c r="AE77" s="1715"/>
      <c r="AF77" s="1715"/>
    </row>
    <row r="78" spans="1:32" ht="30" customHeight="1" x14ac:dyDescent="0.25">
      <c r="A78" s="1133" t="s">
        <v>1517</v>
      </c>
      <c r="B78" s="1133"/>
      <c r="C78" s="1133"/>
      <c r="D78" s="1133"/>
      <c r="E78" s="1133" t="s">
        <v>2773</v>
      </c>
      <c r="F78" s="1133"/>
      <c r="G78" s="1133"/>
      <c r="H78" s="1133"/>
      <c r="I78" s="1133"/>
      <c r="J78" s="1133"/>
      <c r="K78" s="1133"/>
      <c r="L78" s="1133"/>
      <c r="M78" s="1133"/>
      <c r="N78" s="1133"/>
      <c r="O78" s="1133"/>
      <c r="P78" s="3121" t="s">
        <v>6466</v>
      </c>
      <c r="Q78" s="3121"/>
      <c r="R78" s="3121"/>
      <c r="S78" s="3121"/>
      <c r="T78" s="2474" t="s">
        <v>26</v>
      </c>
      <c r="U78" s="1841"/>
      <c r="V78" s="1841"/>
      <c r="W78" s="1841"/>
      <c r="X78" s="1715"/>
      <c r="Y78" s="1715"/>
      <c r="Z78" s="1715"/>
      <c r="AA78" s="1715"/>
      <c r="AB78" s="1715"/>
      <c r="AC78" s="1715"/>
      <c r="AD78" s="1715"/>
      <c r="AE78" s="1715"/>
      <c r="AF78" s="1715"/>
    </row>
    <row r="79" spans="1:32" ht="176.25" customHeight="1" x14ac:dyDescent="0.25">
      <c r="A79" s="1132" t="s">
        <v>545</v>
      </c>
      <c r="B79" s="1132"/>
      <c r="C79" s="1132"/>
      <c r="D79" s="1132"/>
      <c r="E79" s="1494" t="s">
        <v>6467</v>
      </c>
      <c r="F79" s="1495"/>
      <c r="G79" s="1495"/>
      <c r="H79" s="1495"/>
      <c r="I79" s="1495"/>
      <c r="J79" s="1495"/>
      <c r="K79" s="1495"/>
      <c r="L79" s="1495"/>
      <c r="M79" s="1495"/>
      <c r="N79" s="1495"/>
      <c r="O79" s="1496"/>
      <c r="P79" s="1674">
        <v>1</v>
      </c>
      <c r="Q79" s="1674"/>
      <c r="R79" s="1674"/>
      <c r="S79" s="1674"/>
      <c r="T79" s="1841" t="s">
        <v>28</v>
      </c>
      <c r="U79" s="1841"/>
      <c r="V79" s="1841"/>
      <c r="W79" s="1841"/>
      <c r="X79" s="1715" t="s">
        <v>6468</v>
      </c>
      <c r="Y79" s="1715"/>
      <c r="Z79" s="1715"/>
      <c r="AA79" s="1715"/>
      <c r="AB79" s="1715"/>
      <c r="AC79" s="1715"/>
      <c r="AD79" s="1715"/>
      <c r="AE79" s="1715"/>
      <c r="AF79" s="1715"/>
    </row>
    <row r="80" spans="1:32" ht="30.75" customHeight="1" x14ac:dyDescent="0.25">
      <c r="A80" s="1133" t="s">
        <v>6469</v>
      </c>
      <c r="B80" s="1133"/>
      <c r="C80" s="1133"/>
      <c r="D80" s="1133"/>
      <c r="E80" s="1133" t="s">
        <v>6386</v>
      </c>
      <c r="F80" s="1133"/>
      <c r="G80" s="1133"/>
      <c r="H80" s="1133"/>
      <c r="I80" s="1133"/>
      <c r="J80" s="1133"/>
      <c r="K80" s="1133"/>
      <c r="L80" s="1133"/>
      <c r="M80" s="1133"/>
      <c r="N80" s="1133"/>
      <c r="O80" s="1133"/>
      <c r="P80" s="3121" t="s">
        <v>6470</v>
      </c>
      <c r="Q80" s="3121"/>
      <c r="R80" s="3121"/>
      <c r="S80" s="3121"/>
      <c r="T80" s="2474" t="s">
        <v>44</v>
      </c>
      <c r="U80" s="1841"/>
      <c r="V80" s="1841"/>
      <c r="W80" s="1841"/>
      <c r="X80" s="1715"/>
      <c r="Y80" s="1715"/>
      <c r="Z80" s="1715"/>
      <c r="AA80" s="1715"/>
      <c r="AB80" s="1715"/>
      <c r="AC80" s="1715"/>
      <c r="AD80" s="1715"/>
      <c r="AE80" s="1715"/>
      <c r="AF80" s="1715"/>
    </row>
    <row r="81" spans="1:32" ht="78" customHeight="1" x14ac:dyDescent="0.25">
      <c r="A81" s="1680" t="s">
        <v>6471</v>
      </c>
      <c r="B81" s="1681"/>
      <c r="C81" s="1681"/>
      <c r="D81" s="1682"/>
      <c r="E81" s="1133" t="s">
        <v>2217</v>
      </c>
      <c r="F81" s="1133"/>
      <c r="G81" s="1133"/>
      <c r="H81" s="1133"/>
      <c r="I81" s="1133"/>
      <c r="J81" s="1133"/>
      <c r="K81" s="1133"/>
      <c r="L81" s="1133"/>
      <c r="M81" s="1133"/>
      <c r="N81" s="1133"/>
      <c r="O81" s="1133"/>
      <c r="P81" s="1674">
        <f>'Master EUL'!X42</f>
        <v>10</v>
      </c>
      <c r="Q81" s="1674"/>
      <c r="R81" s="1674"/>
      <c r="S81" s="1674"/>
      <c r="T81" s="1841" t="s">
        <v>46</v>
      </c>
      <c r="U81" s="1841"/>
      <c r="V81" s="1841"/>
      <c r="W81" s="1841"/>
      <c r="X81" s="1715" t="s">
        <v>6472</v>
      </c>
      <c r="Y81" s="1715"/>
      <c r="Z81" s="1715"/>
      <c r="AA81" s="1715"/>
      <c r="AB81" s="1715"/>
      <c r="AC81" s="1715"/>
      <c r="AD81" s="1715"/>
      <c r="AE81" s="1715"/>
      <c r="AF81" s="1715"/>
    </row>
    <row r="82" spans="1:32" ht="28.5" customHeight="1" x14ac:dyDescent="0.25">
      <c r="A82" s="1686" t="s">
        <v>6473</v>
      </c>
      <c r="B82" s="1686"/>
      <c r="C82" s="1686"/>
      <c r="D82" s="1686"/>
      <c r="E82" s="1686"/>
      <c r="F82" s="1686"/>
      <c r="G82" s="1686"/>
      <c r="H82" s="1686"/>
      <c r="I82" s="1686"/>
      <c r="J82" s="1686"/>
      <c r="K82" s="1686"/>
      <c r="L82" s="1686"/>
      <c r="M82" s="1686"/>
      <c r="N82" s="1686"/>
      <c r="O82" s="1686"/>
      <c r="P82" s="1686"/>
      <c r="Q82" s="1686"/>
      <c r="R82" s="1686"/>
      <c r="S82" s="1686"/>
      <c r="T82" s="1686"/>
      <c r="U82" s="1686"/>
      <c r="V82" s="1686"/>
      <c r="W82" s="1686"/>
      <c r="X82" s="1686"/>
      <c r="Y82" s="1686"/>
      <c r="Z82" s="1686"/>
      <c r="AA82" s="1686"/>
      <c r="AB82" s="1686"/>
      <c r="AC82" s="1686"/>
      <c r="AD82" s="1686"/>
      <c r="AE82" s="1686"/>
      <c r="AF82" s="1686"/>
    </row>
    <row r="83" spans="1:32" x14ac:dyDescent="0.25">
      <c r="A83" s="1686" t="s">
        <v>6474</v>
      </c>
      <c r="B83" s="1686"/>
      <c r="C83" s="1686"/>
      <c r="D83" s="1686"/>
      <c r="E83" s="1686"/>
      <c r="F83" s="1686"/>
      <c r="G83" s="1686"/>
      <c r="H83" s="1686"/>
      <c r="I83" s="1686"/>
      <c r="J83" s="1686"/>
      <c r="K83" s="1686"/>
      <c r="L83" s="1686"/>
      <c r="M83" s="1686"/>
      <c r="N83" s="1686"/>
      <c r="O83" s="1686"/>
      <c r="P83" s="1686"/>
      <c r="Q83" s="1686"/>
      <c r="R83" s="1686"/>
      <c r="S83" s="1686"/>
      <c r="T83" s="1686"/>
      <c r="U83" s="1686"/>
      <c r="V83" s="1686"/>
      <c r="W83" s="1686"/>
      <c r="X83" s="1686"/>
      <c r="Y83" s="1686"/>
      <c r="Z83" s="1686"/>
      <c r="AA83" s="1686"/>
      <c r="AB83" s="1686"/>
      <c r="AC83" s="1686"/>
      <c r="AD83" s="1686"/>
      <c r="AE83" s="1686"/>
      <c r="AF83" s="1686"/>
    </row>
    <row r="84" spans="1:32" ht="27.75" customHeight="1" x14ac:dyDescent="0.25">
      <c r="A84" s="1686" t="s">
        <v>6475</v>
      </c>
      <c r="B84" s="1686"/>
      <c r="C84" s="1686"/>
      <c r="D84" s="1686"/>
      <c r="E84" s="1686"/>
      <c r="F84" s="1686"/>
      <c r="G84" s="1686"/>
      <c r="H84" s="1686"/>
      <c r="I84" s="1686"/>
      <c r="J84" s="1686"/>
      <c r="K84" s="1686"/>
      <c r="L84" s="1686"/>
      <c r="M84" s="1686"/>
      <c r="N84" s="1686"/>
      <c r="O84" s="1686"/>
      <c r="P84" s="1686"/>
      <c r="Q84" s="1686"/>
      <c r="R84" s="1686"/>
      <c r="S84" s="1686"/>
      <c r="T84" s="1686"/>
      <c r="U84" s="1686"/>
      <c r="V84" s="1686"/>
      <c r="W84" s="1686"/>
      <c r="X84" s="1686"/>
      <c r="Y84" s="1686"/>
      <c r="Z84" s="1686"/>
      <c r="AA84" s="1686"/>
      <c r="AB84" s="1686"/>
      <c r="AC84" s="1686"/>
      <c r="AD84" s="1686"/>
      <c r="AE84" s="1686"/>
      <c r="AF84" s="1686"/>
    </row>
    <row r="85" spans="1:32" ht="29.25" customHeight="1" x14ac:dyDescent="0.25">
      <c r="A85" s="1686" t="s">
        <v>6476</v>
      </c>
      <c r="B85" s="1686"/>
      <c r="C85" s="1686"/>
      <c r="D85" s="1686"/>
      <c r="E85" s="1686"/>
      <c r="F85" s="1686"/>
      <c r="G85" s="1686"/>
      <c r="H85" s="1686"/>
      <c r="I85" s="1686"/>
      <c r="J85" s="1686"/>
      <c r="K85" s="1686"/>
      <c r="L85" s="1686"/>
      <c r="M85" s="1686"/>
      <c r="N85" s="1686"/>
      <c r="O85" s="1686"/>
      <c r="P85" s="1686"/>
      <c r="Q85" s="1686"/>
      <c r="R85" s="1686"/>
      <c r="S85" s="1686"/>
      <c r="T85" s="1686"/>
      <c r="U85" s="1686"/>
      <c r="V85" s="1686"/>
      <c r="W85" s="1686"/>
      <c r="X85" s="1686"/>
      <c r="Y85" s="1686"/>
      <c r="Z85" s="1686"/>
      <c r="AA85" s="1686"/>
      <c r="AB85" s="1686"/>
      <c r="AC85" s="1686"/>
      <c r="AD85" s="1686"/>
      <c r="AE85" s="1686"/>
      <c r="AF85" s="1686"/>
    </row>
    <row r="86" spans="1:32" x14ac:dyDescent="0.25">
      <c r="A86" s="870"/>
      <c r="B86" s="870"/>
      <c r="C86" s="870"/>
      <c r="D86" s="870"/>
      <c r="E86" s="870"/>
      <c r="F86" s="870"/>
      <c r="G86" s="870"/>
      <c r="H86" s="870"/>
      <c r="I86" s="870"/>
      <c r="J86" s="870"/>
      <c r="K86" s="870"/>
      <c r="L86" s="870"/>
      <c r="M86" s="870"/>
      <c r="N86" s="870"/>
      <c r="O86" s="870"/>
      <c r="P86" s="870"/>
      <c r="Q86" s="870"/>
      <c r="R86" s="870"/>
      <c r="S86" s="870"/>
      <c r="T86" s="870"/>
      <c r="U86" s="870"/>
      <c r="V86" s="870"/>
      <c r="W86" s="870"/>
      <c r="X86" s="870"/>
      <c r="Y86" s="870"/>
      <c r="Z86" s="870"/>
      <c r="AA86" s="870"/>
      <c r="AB86" s="870"/>
      <c r="AC86" s="870"/>
      <c r="AD86" s="870"/>
      <c r="AE86" s="870"/>
      <c r="AF86" s="870"/>
    </row>
    <row r="87" spans="1:32" ht="15.75" thickBot="1" x14ac:dyDescent="0.3">
      <c r="A87" s="2753" t="s">
        <v>6477</v>
      </c>
      <c r="B87" s="2753"/>
      <c r="C87" s="2753"/>
      <c r="D87" s="2753"/>
      <c r="E87" s="2753"/>
      <c r="F87" s="2753"/>
      <c r="G87" s="2753"/>
      <c r="H87" s="2753"/>
      <c r="I87" s="2753"/>
      <c r="J87" s="2753"/>
      <c r="K87" s="2753"/>
      <c r="L87" s="2753"/>
      <c r="M87" s="2753"/>
      <c r="N87" s="2753"/>
      <c r="O87" s="2753"/>
      <c r="P87" s="2753"/>
      <c r="Q87" s="2753"/>
      <c r="R87" s="2753"/>
      <c r="S87" s="2753"/>
      <c r="T87" s="2753"/>
      <c r="U87" s="2753"/>
      <c r="V87" s="2753"/>
      <c r="W87" s="2753"/>
      <c r="X87" s="2753"/>
      <c r="Y87" s="2753"/>
      <c r="Z87" s="2753"/>
      <c r="AA87" s="2753"/>
      <c r="AB87" s="2753"/>
      <c r="AC87" s="2753"/>
      <c r="AD87" s="2753"/>
      <c r="AE87" s="2753"/>
      <c r="AF87" s="2753"/>
    </row>
    <row r="88" spans="1:32" ht="21.75" customHeight="1" x14ac:dyDescent="0.25">
      <c r="A88" s="1641" t="s">
        <v>6478</v>
      </c>
      <c r="B88" s="1642"/>
      <c r="C88" s="1642"/>
      <c r="D88" s="1642"/>
      <c r="E88" s="1642"/>
      <c r="F88" s="1642"/>
      <c r="G88" s="1642"/>
      <c r="H88" s="1642"/>
      <c r="I88" s="1642" t="s">
        <v>6479</v>
      </c>
      <c r="J88" s="1642"/>
      <c r="K88" s="1642"/>
      <c r="L88" s="1642"/>
      <c r="M88" s="1642"/>
      <c r="N88" s="1642"/>
      <c r="O88" s="1642" t="s">
        <v>6480</v>
      </c>
      <c r="P88" s="1642"/>
      <c r="Q88" s="1642"/>
      <c r="R88" s="1642"/>
      <c r="S88" s="1642"/>
      <c r="T88" s="1642"/>
      <c r="U88" s="1642" t="s">
        <v>6481</v>
      </c>
      <c r="V88" s="1642"/>
      <c r="W88" s="1642"/>
      <c r="X88" s="1642"/>
      <c r="Y88" s="1642"/>
      <c r="Z88" s="1642"/>
      <c r="AA88" s="1643" t="s">
        <v>6482</v>
      </c>
      <c r="AB88" s="1643"/>
      <c r="AC88" s="1643"/>
      <c r="AD88" s="1643"/>
      <c r="AE88" s="1643"/>
      <c r="AF88" s="1644"/>
    </row>
    <row r="89" spans="1:32" ht="30" customHeight="1" x14ac:dyDescent="0.25">
      <c r="A89" s="1795" t="s">
        <v>6483</v>
      </c>
      <c r="B89" s="1874"/>
      <c r="C89" s="1874"/>
      <c r="D89" s="1874"/>
      <c r="E89" s="1874"/>
      <c r="F89" s="1874"/>
      <c r="G89" s="1874"/>
      <c r="H89" s="1874"/>
      <c r="I89" s="1874">
        <v>9.9</v>
      </c>
      <c r="J89" s="1874"/>
      <c r="K89" s="1874"/>
      <c r="L89" s="1874"/>
      <c r="M89" s="1874"/>
      <c r="N89" s="1874"/>
      <c r="O89" s="3313">
        <v>5.0595263157894728</v>
      </c>
      <c r="P89" s="3313"/>
      <c r="Q89" s="3313"/>
      <c r="R89" s="3313"/>
      <c r="S89" s="3313"/>
      <c r="T89" s="3313"/>
      <c r="U89" s="3313">
        <v>3.4573947368421027</v>
      </c>
      <c r="V89" s="3313"/>
      <c r="W89" s="3313"/>
      <c r="X89" s="3313"/>
      <c r="Y89" s="3313"/>
      <c r="Z89" s="3313"/>
      <c r="AA89" s="1874">
        <f>ROUND((((I89-O89)*($P$71-$P$72)/8842)+((I89-U89)*$P$70/8842))/1000, 3)</f>
        <v>6.0000000000000001E-3</v>
      </c>
      <c r="AB89" s="1874"/>
      <c r="AC89" s="1874"/>
      <c r="AD89" s="1874"/>
      <c r="AE89" s="1874"/>
      <c r="AF89" s="3633"/>
    </row>
    <row r="90" spans="1:32" ht="30" customHeight="1" thickBot="1" x14ac:dyDescent="0.3">
      <c r="A90" s="1802" t="s">
        <v>6484</v>
      </c>
      <c r="B90" s="1887"/>
      <c r="C90" s="1887"/>
      <c r="D90" s="1887"/>
      <c r="E90" s="1887"/>
      <c r="F90" s="1887"/>
      <c r="G90" s="1887"/>
      <c r="H90" s="1887"/>
      <c r="I90" s="1887">
        <v>3.7</v>
      </c>
      <c r="J90" s="1887"/>
      <c r="K90" s="1887"/>
      <c r="L90" s="1887"/>
      <c r="M90" s="1887"/>
      <c r="N90" s="1887"/>
      <c r="O90" s="3634">
        <v>3.7460294117647055</v>
      </c>
      <c r="P90" s="3634"/>
      <c r="Q90" s="3634"/>
      <c r="R90" s="3634"/>
      <c r="S90" s="3634"/>
      <c r="T90" s="3634"/>
      <c r="U90" s="3634">
        <v>2.0961764705882362</v>
      </c>
      <c r="V90" s="3634"/>
      <c r="W90" s="3634"/>
      <c r="X90" s="3634"/>
      <c r="Y90" s="3634"/>
      <c r="Z90" s="3634"/>
      <c r="AA90" s="1887">
        <f>ROUND((((I90-O90)*($P$71-$P$72)/8842)+((I90-U90)*$P$70/8842))/1000, 3)</f>
        <v>1E-3</v>
      </c>
      <c r="AB90" s="1887"/>
      <c r="AC90" s="1887"/>
      <c r="AD90" s="1887"/>
      <c r="AE90" s="1887"/>
      <c r="AF90" s="3635"/>
    </row>
    <row r="91" spans="1:32" ht="63.75" customHeight="1" x14ac:dyDescent="0.25">
      <c r="A91" s="1686" t="s">
        <v>6485</v>
      </c>
      <c r="B91" s="1686"/>
      <c r="C91" s="1686"/>
      <c r="D91" s="1686"/>
      <c r="E91" s="1686"/>
      <c r="F91" s="1686"/>
      <c r="G91" s="1686"/>
      <c r="H91" s="1686"/>
      <c r="I91" s="1686"/>
      <c r="J91" s="1686"/>
      <c r="K91" s="1686"/>
      <c r="L91" s="1686"/>
      <c r="M91" s="1686"/>
      <c r="N91" s="1686"/>
      <c r="O91" s="1686"/>
      <c r="P91" s="1686"/>
      <c r="Q91" s="1686"/>
      <c r="R91" s="1686"/>
      <c r="S91" s="1686"/>
      <c r="T91" s="1686"/>
      <c r="U91" s="1686"/>
      <c r="V91" s="1686"/>
      <c r="W91" s="1686"/>
      <c r="X91" s="1686"/>
      <c r="Y91" s="1686"/>
      <c r="Z91" s="1686"/>
      <c r="AA91" s="1686"/>
      <c r="AB91" s="1686"/>
      <c r="AC91" s="1686"/>
      <c r="AD91" s="1686"/>
      <c r="AE91" s="1686"/>
      <c r="AF91" s="1686"/>
    </row>
    <row r="92" spans="1:32" ht="49.5" customHeight="1" x14ac:dyDescent="0.25">
      <c r="A92" s="1686" t="s">
        <v>6486</v>
      </c>
      <c r="B92" s="1686"/>
      <c r="C92" s="1686"/>
      <c r="D92" s="1686"/>
      <c r="E92" s="1686"/>
      <c r="F92" s="1686"/>
      <c r="G92" s="1686"/>
      <c r="H92" s="1686"/>
      <c r="I92" s="1686"/>
      <c r="J92" s="1686"/>
      <c r="K92" s="1686"/>
      <c r="L92" s="1686"/>
      <c r="M92" s="1686"/>
      <c r="N92" s="1686"/>
      <c r="O92" s="1686"/>
      <c r="P92" s="1686"/>
      <c r="Q92" s="1686"/>
      <c r="R92" s="1686"/>
      <c r="S92" s="1686"/>
      <c r="T92" s="1686"/>
      <c r="U92" s="1686"/>
      <c r="V92" s="1686"/>
      <c r="W92" s="1686"/>
      <c r="X92" s="1686"/>
      <c r="Y92" s="1686"/>
      <c r="Z92" s="1686"/>
      <c r="AA92" s="1686"/>
      <c r="AB92" s="1686"/>
      <c r="AC92" s="1686"/>
      <c r="AD92" s="1686"/>
      <c r="AE92" s="1686"/>
      <c r="AF92" s="1686"/>
    </row>
    <row r="93" spans="1:32" x14ac:dyDescent="0.25">
      <c r="A93" s="227"/>
      <c r="B93" s="227"/>
      <c r="C93" s="227"/>
      <c r="D93" s="227"/>
      <c r="E93" s="227"/>
      <c r="F93" s="227"/>
      <c r="G93" s="227"/>
      <c r="H93" s="227"/>
      <c r="I93" s="227"/>
      <c r="J93" s="227"/>
      <c r="K93" s="227"/>
      <c r="L93" s="227"/>
      <c r="M93" s="459"/>
      <c r="N93" s="459"/>
      <c r="O93" s="459"/>
      <c r="P93" s="459"/>
      <c r="Q93" s="459"/>
      <c r="R93" s="459"/>
      <c r="S93" s="459"/>
      <c r="T93" s="459"/>
      <c r="U93" s="459"/>
      <c r="V93" s="459"/>
      <c r="W93" s="459"/>
      <c r="X93" s="459"/>
      <c r="Y93" s="227"/>
      <c r="Z93" s="227"/>
      <c r="AA93" s="227"/>
      <c r="AB93" s="227"/>
      <c r="AC93" s="227"/>
      <c r="AD93" s="227"/>
      <c r="AE93" s="227"/>
      <c r="AF93" s="227"/>
    </row>
    <row r="94" spans="1:32" x14ac:dyDescent="0.25">
      <c r="A94" s="1621" t="s">
        <v>21</v>
      </c>
      <c r="B94" s="1621"/>
      <c r="C94" s="1621"/>
      <c r="D94" s="1621"/>
      <c r="E94" s="1621"/>
      <c r="F94" s="1621"/>
      <c r="G94" s="1621"/>
      <c r="H94" s="1621"/>
      <c r="I94" s="1621"/>
      <c r="J94" s="1621"/>
      <c r="K94" s="1621"/>
      <c r="L94" s="1621"/>
      <c r="M94" s="1621"/>
      <c r="N94" s="1621"/>
      <c r="O94" s="1621"/>
      <c r="P94" s="1621"/>
      <c r="Q94" s="1621"/>
      <c r="R94" s="1621"/>
      <c r="S94" s="1621"/>
      <c r="T94" s="1621"/>
      <c r="U94" s="1621"/>
      <c r="V94" s="1621"/>
      <c r="W94" s="1621"/>
      <c r="X94" s="1621"/>
      <c r="Y94" s="1621"/>
      <c r="Z94" s="1621"/>
      <c r="AA94" s="1621"/>
      <c r="AB94" s="1621"/>
      <c r="AC94" s="1621"/>
      <c r="AD94" s="1621"/>
      <c r="AE94" s="1621"/>
      <c r="AF94" s="1621"/>
    </row>
    <row r="95" spans="1:32" ht="15.75" thickBot="1" x14ac:dyDescent="0.3">
      <c r="A95" s="227"/>
      <c r="B95" s="227"/>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c r="AA95" s="227"/>
      <c r="AB95" s="227"/>
      <c r="AC95" s="227"/>
      <c r="AD95" s="227"/>
      <c r="AE95" s="227"/>
      <c r="AF95" s="227"/>
    </row>
    <row r="96" spans="1:32" ht="30" customHeight="1" x14ac:dyDescent="0.25">
      <c r="A96" s="1810" t="s">
        <v>22</v>
      </c>
      <c r="B96" s="1643"/>
      <c r="C96" s="1643"/>
      <c r="D96" s="1643"/>
      <c r="E96" s="1643"/>
      <c r="F96" s="1643"/>
      <c r="G96" s="1643"/>
      <c r="H96" s="1643"/>
      <c r="I96" s="1642" t="s">
        <v>2922</v>
      </c>
      <c r="J96" s="1643"/>
      <c r="K96" s="1643"/>
      <c r="L96" s="1643"/>
      <c r="M96" s="1643"/>
      <c r="N96" s="1643"/>
      <c r="O96" s="1643"/>
      <c r="P96" s="1643"/>
      <c r="Q96" s="1642" t="s">
        <v>2918</v>
      </c>
      <c r="R96" s="1643"/>
      <c r="S96" s="1643"/>
      <c r="T96" s="1643"/>
      <c r="U96" s="1643"/>
      <c r="V96" s="1643"/>
      <c r="W96" s="1643"/>
      <c r="X96" s="1643"/>
      <c r="Y96" s="1642" t="s">
        <v>1786</v>
      </c>
      <c r="Z96" s="1643"/>
      <c r="AA96" s="1643"/>
      <c r="AB96" s="1643"/>
      <c r="AC96" s="1643"/>
      <c r="AD96" s="1643"/>
      <c r="AE96" s="1643"/>
      <c r="AF96" s="1644"/>
    </row>
    <row r="97" spans="1:32" ht="30" customHeight="1" x14ac:dyDescent="0.25">
      <c r="A97" s="1795" t="s">
        <v>6483</v>
      </c>
      <c r="B97" s="1874"/>
      <c r="C97" s="1874"/>
      <c r="D97" s="1874"/>
      <c r="E97" s="1874"/>
      <c r="F97" s="1874"/>
      <c r="G97" s="1874"/>
      <c r="H97" s="1874"/>
      <c r="I97" s="3139">
        <f>AA89</f>
        <v>6.0000000000000001E-3</v>
      </c>
      <c r="J97" s="3139"/>
      <c r="K97" s="3139"/>
      <c r="L97" s="3139"/>
      <c r="M97" s="3139"/>
      <c r="N97" s="3139"/>
      <c r="O97" s="3139"/>
      <c r="P97" s="3139"/>
      <c r="Q97" s="3636">
        <f>ROUND(((I89*($P$70+$P$69))-(($P$69*O89)+($P$70*U89)))/1000,2)</f>
        <v>49.47</v>
      </c>
      <c r="R97" s="3636"/>
      <c r="S97" s="3636"/>
      <c r="T97" s="3636"/>
      <c r="U97" s="3636"/>
      <c r="V97" s="3636"/>
      <c r="W97" s="3636"/>
      <c r="X97" s="3636"/>
      <c r="Y97" s="3063">
        <f>ROUND(Q97*$P$81,2)</f>
        <v>494.7</v>
      </c>
      <c r="Z97" s="3063"/>
      <c r="AA97" s="3063"/>
      <c r="AB97" s="3063"/>
      <c r="AC97" s="3063"/>
      <c r="AD97" s="3063"/>
      <c r="AE97" s="3063"/>
      <c r="AF97" s="3064"/>
    </row>
    <row r="98" spans="1:32" ht="30" customHeight="1" thickBot="1" x14ac:dyDescent="0.3">
      <c r="A98" s="3637" t="s">
        <v>6487</v>
      </c>
      <c r="B98" s="3638"/>
      <c r="C98" s="3638"/>
      <c r="D98" s="3638"/>
      <c r="E98" s="3638"/>
      <c r="F98" s="3638"/>
      <c r="G98" s="3638"/>
      <c r="H98" s="3638"/>
      <c r="I98" s="3215">
        <f>AA90</f>
        <v>1E-3</v>
      </c>
      <c r="J98" s="3215"/>
      <c r="K98" s="3215"/>
      <c r="L98" s="3215"/>
      <c r="M98" s="3215"/>
      <c r="N98" s="3215"/>
      <c r="O98" s="3215"/>
      <c r="P98" s="3215"/>
      <c r="Q98" s="3639">
        <f>ROUND(((I90*($P$70+$P$69))-(($P$69*O90)+($P$70*U90)))/1000,2)</f>
        <v>8.27</v>
      </c>
      <c r="R98" s="3640"/>
      <c r="S98" s="3640"/>
      <c r="T98" s="3640"/>
      <c r="U98" s="3640"/>
      <c r="V98" s="3640"/>
      <c r="W98" s="3640"/>
      <c r="X98" s="3641"/>
      <c r="Y98" s="3642">
        <f>ROUND(Q98*$P$81,2)</f>
        <v>82.7</v>
      </c>
      <c r="Z98" s="3642"/>
      <c r="AA98" s="3642"/>
      <c r="AB98" s="3642"/>
      <c r="AC98" s="3642"/>
      <c r="AD98" s="3642"/>
      <c r="AE98" s="3642"/>
      <c r="AF98" s="3643"/>
    </row>
    <row r="99" spans="1:32" x14ac:dyDescent="0.25">
      <c r="A99" s="227"/>
      <c r="B99" s="227"/>
      <c r="C99" s="227"/>
      <c r="D99" s="227"/>
      <c r="E99" s="227"/>
      <c r="F99" s="227"/>
      <c r="G99" s="227"/>
      <c r="H99" s="227"/>
      <c r="I99" s="227"/>
      <c r="J99" s="227"/>
      <c r="K99" s="227"/>
      <c r="L99" s="227"/>
      <c r="M99" s="227"/>
      <c r="N99" s="227"/>
      <c r="O99" s="227"/>
      <c r="P99" s="227"/>
      <c r="Q99" s="227"/>
      <c r="R99" s="227"/>
      <c r="S99" s="227"/>
      <c r="T99" s="227"/>
      <c r="U99" s="227"/>
      <c r="V99" s="227"/>
      <c r="W99" s="227"/>
      <c r="X99" s="227"/>
      <c r="Y99" s="227"/>
      <c r="Z99" s="227"/>
      <c r="AA99" s="227"/>
      <c r="AB99" s="227"/>
      <c r="AC99" s="227"/>
      <c r="AD99" s="227"/>
      <c r="AE99" s="227"/>
      <c r="AF99" s="227"/>
    </row>
    <row r="100" spans="1:32" x14ac:dyDescent="0.25">
      <c r="A100" s="227"/>
      <c r="B100" s="635"/>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row>
    <row r="101" spans="1:32" x14ac:dyDescent="0.25">
      <c r="A101" s="1621" t="s">
        <v>1753</v>
      </c>
      <c r="B101" s="1621"/>
      <c r="C101" s="1621"/>
      <c r="D101" s="1621"/>
      <c r="E101" s="1621"/>
      <c r="F101" s="1621"/>
      <c r="G101" s="1621"/>
      <c r="H101" s="1621"/>
      <c r="I101" s="1621"/>
      <c r="J101" s="1621"/>
      <c r="K101" s="1621"/>
      <c r="L101" s="1621"/>
      <c r="M101" s="1621"/>
      <c r="N101" s="1621"/>
      <c r="O101" s="1621"/>
      <c r="P101" s="1621"/>
      <c r="Q101" s="1621"/>
      <c r="R101" s="1621"/>
      <c r="S101" s="1621"/>
      <c r="T101" s="1621"/>
      <c r="U101" s="1621"/>
      <c r="V101" s="1621"/>
      <c r="W101" s="1621"/>
      <c r="X101" s="1621"/>
      <c r="Y101" s="1621"/>
      <c r="Z101" s="1621"/>
      <c r="AA101" s="1621"/>
      <c r="AB101" s="1621"/>
      <c r="AC101" s="1621"/>
      <c r="AD101" s="1621"/>
      <c r="AE101" s="1621"/>
      <c r="AF101" s="1621"/>
    </row>
    <row r="102" spans="1:32" x14ac:dyDescent="0.25">
      <c r="A102" s="227"/>
      <c r="B102" s="227"/>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row>
    <row r="103" spans="1:32" ht="30" customHeight="1" x14ac:dyDescent="0.25">
      <c r="A103" s="517" t="s">
        <v>1013</v>
      </c>
      <c r="B103" s="1173" t="s">
        <v>6488</v>
      </c>
      <c r="C103" s="1173"/>
      <c r="D103" s="1173"/>
      <c r="E103" s="1173"/>
      <c r="F103" s="1173"/>
      <c r="G103" s="1173"/>
      <c r="H103" s="1173"/>
      <c r="I103" s="1173"/>
      <c r="J103" s="1173"/>
      <c r="K103" s="1173"/>
      <c r="L103" s="1173"/>
      <c r="M103" s="1173"/>
      <c r="N103" s="1173"/>
      <c r="O103" s="1173"/>
      <c r="P103" s="1173"/>
      <c r="Q103" s="1173"/>
      <c r="R103" s="1173"/>
      <c r="S103" s="1173"/>
      <c r="T103" s="1173"/>
      <c r="U103" s="1173"/>
      <c r="V103" s="1173"/>
      <c r="W103" s="1173"/>
      <c r="X103" s="1173"/>
      <c r="Y103" s="1173"/>
      <c r="Z103" s="1173"/>
      <c r="AA103" s="1173"/>
      <c r="AB103" s="1173"/>
      <c r="AC103" s="1173"/>
      <c r="AD103" s="1173"/>
      <c r="AE103" s="1173"/>
      <c r="AF103" s="1173"/>
    </row>
    <row r="104" spans="1:32" ht="45" customHeight="1" x14ac:dyDescent="0.25">
      <c r="A104" s="517" t="s">
        <v>1013</v>
      </c>
      <c r="B104" s="1173" t="s">
        <v>6489</v>
      </c>
      <c r="C104" s="1173"/>
      <c r="D104" s="1173"/>
      <c r="E104" s="1173"/>
      <c r="F104" s="1173"/>
      <c r="G104" s="1173"/>
      <c r="H104" s="1173"/>
      <c r="I104" s="1173"/>
      <c r="J104" s="1173"/>
      <c r="K104" s="1173"/>
      <c r="L104" s="1173"/>
      <c r="M104" s="1173"/>
      <c r="N104" s="1173"/>
      <c r="O104" s="1173"/>
      <c r="P104" s="1173"/>
      <c r="Q104" s="1173"/>
      <c r="R104" s="1173"/>
      <c r="S104" s="1173"/>
      <c r="T104" s="1173"/>
      <c r="U104" s="1173"/>
      <c r="V104" s="1173"/>
      <c r="W104" s="1173"/>
      <c r="X104" s="1173"/>
      <c r="Y104" s="1173"/>
      <c r="Z104" s="1173"/>
      <c r="AA104" s="1173"/>
      <c r="AB104" s="1173"/>
      <c r="AC104" s="1173"/>
      <c r="AD104" s="1173"/>
      <c r="AE104" s="1173"/>
      <c r="AF104" s="1173"/>
    </row>
    <row r="105" spans="1:32" ht="60.75" customHeight="1" x14ac:dyDescent="0.25">
      <c r="A105" s="517" t="s">
        <v>1013</v>
      </c>
      <c r="B105" s="1173" t="s">
        <v>6490</v>
      </c>
      <c r="C105" s="1173"/>
      <c r="D105" s="1173"/>
      <c r="E105" s="1173"/>
      <c r="F105" s="1173"/>
      <c r="G105" s="1173"/>
      <c r="H105" s="1173"/>
      <c r="I105" s="1173"/>
      <c r="J105" s="1173"/>
      <c r="K105" s="1173"/>
      <c r="L105" s="1173"/>
      <c r="M105" s="1173"/>
      <c r="N105" s="1173"/>
      <c r="O105" s="1173"/>
      <c r="P105" s="1173"/>
      <c r="Q105" s="1173"/>
      <c r="R105" s="1173"/>
      <c r="S105" s="1173"/>
      <c r="T105" s="1173"/>
      <c r="U105" s="1173"/>
      <c r="V105" s="1173"/>
      <c r="W105" s="1173"/>
      <c r="X105" s="1173"/>
      <c r="Y105" s="1173"/>
      <c r="Z105" s="1173"/>
      <c r="AA105" s="1173"/>
      <c r="AB105" s="1173"/>
      <c r="AC105" s="1173"/>
      <c r="AD105" s="1173"/>
      <c r="AE105" s="1173"/>
      <c r="AF105" s="1173"/>
    </row>
    <row r="106" spans="1:32" ht="30" customHeight="1" x14ac:dyDescent="0.25">
      <c r="A106" s="517" t="s">
        <v>1013</v>
      </c>
      <c r="B106" s="1173" t="s">
        <v>6491</v>
      </c>
      <c r="C106" s="3140"/>
      <c r="D106" s="3140"/>
      <c r="E106" s="3140"/>
      <c r="F106" s="3140"/>
      <c r="G106" s="3140"/>
      <c r="H106" s="3140"/>
      <c r="I106" s="3140"/>
      <c r="J106" s="3140"/>
      <c r="K106" s="3140"/>
      <c r="L106" s="3140"/>
      <c r="M106" s="3140"/>
      <c r="N106" s="3140"/>
      <c r="O106" s="3140"/>
      <c r="P106" s="3140"/>
      <c r="Q106" s="3140"/>
      <c r="R106" s="3140"/>
      <c r="S106" s="3140"/>
      <c r="T106" s="3140"/>
      <c r="U106" s="3140"/>
      <c r="V106" s="3140"/>
      <c r="W106" s="3140"/>
      <c r="X106" s="3140"/>
      <c r="Y106" s="3140"/>
      <c r="Z106" s="3140"/>
      <c r="AA106" s="3140"/>
      <c r="AB106" s="3140"/>
      <c r="AC106" s="3140"/>
      <c r="AD106" s="3140"/>
      <c r="AE106" s="3140"/>
      <c r="AF106" s="3140"/>
    </row>
  </sheetData>
  <sheetProtection algorithmName="SHA-512" hashValue="MWeL7Omf+nMlO90TBlX1tPGV2yLgzU26heVya3nj979QGHbF3+lB6LlIstDfqrMRxLBEPGWZzW7py/eWruo0Cg==" saltValue="Cqxnf7AscH4qb481DR21DA==" spinCount="100000" sheet="1" objects="1" scenarios="1"/>
  <mergeCells count="127">
    <mergeCell ref="A101:AF101"/>
    <mergeCell ref="B103:AF103"/>
    <mergeCell ref="B104:AF104"/>
    <mergeCell ref="B105:AF105"/>
    <mergeCell ref="B106:AF106"/>
    <mergeCell ref="A97:H97"/>
    <mergeCell ref="I97:P97"/>
    <mergeCell ref="Q97:X97"/>
    <mergeCell ref="Y97:AF97"/>
    <mergeCell ref="A98:H98"/>
    <mergeCell ref="I98:P98"/>
    <mergeCell ref="Q98:X98"/>
    <mergeCell ref="Y98:AF98"/>
    <mergeCell ref="A91:AF91"/>
    <mergeCell ref="A92:AF92"/>
    <mergeCell ref="A94:AF94"/>
    <mergeCell ref="A96:H96"/>
    <mergeCell ref="I96:P96"/>
    <mergeCell ref="Q96:X96"/>
    <mergeCell ref="Y96:AF96"/>
    <mergeCell ref="A89:H89"/>
    <mergeCell ref="I89:N89"/>
    <mergeCell ref="O89:T89"/>
    <mergeCell ref="U89:Z89"/>
    <mergeCell ref="AA89:AF89"/>
    <mergeCell ref="A90:H90"/>
    <mergeCell ref="I90:N90"/>
    <mergeCell ref="O90:T90"/>
    <mergeCell ref="U90:Z90"/>
    <mergeCell ref="AA90:AF90"/>
    <mergeCell ref="A82:AF82"/>
    <mergeCell ref="A83:AF83"/>
    <mergeCell ref="A84:AF84"/>
    <mergeCell ref="A85:AF85"/>
    <mergeCell ref="A87:AF87"/>
    <mergeCell ref="A88:H88"/>
    <mergeCell ref="I88:N88"/>
    <mergeCell ref="O88:T88"/>
    <mergeCell ref="U88:Z88"/>
    <mergeCell ref="AA88:AF88"/>
    <mergeCell ref="A80:D80"/>
    <mergeCell ref="E80:O80"/>
    <mergeCell ref="P80:S80"/>
    <mergeCell ref="T80:W80"/>
    <mergeCell ref="X80:AF80"/>
    <mergeCell ref="A81:D81"/>
    <mergeCell ref="E81:O81"/>
    <mergeCell ref="P81:S81"/>
    <mergeCell ref="T81:W81"/>
    <mergeCell ref="X81:AF81"/>
    <mergeCell ref="A78:D78"/>
    <mergeCell ref="E78:O78"/>
    <mergeCell ref="P78:S78"/>
    <mergeCell ref="T78:W78"/>
    <mergeCell ref="X78:AF78"/>
    <mergeCell ref="A79:D79"/>
    <mergeCell ref="E79:O79"/>
    <mergeCell ref="P79:S79"/>
    <mergeCell ref="T79:W79"/>
    <mergeCell ref="X79:AF79"/>
    <mergeCell ref="X76:AF76"/>
    <mergeCell ref="A77:D77"/>
    <mergeCell ref="E77:O77"/>
    <mergeCell ref="P77:S77"/>
    <mergeCell ref="T77:W77"/>
    <mergeCell ref="X77:AF77"/>
    <mergeCell ref="A75:D75"/>
    <mergeCell ref="E75:O75"/>
    <mergeCell ref="P75:S75"/>
    <mergeCell ref="T75:W75"/>
    <mergeCell ref="A76:D76"/>
    <mergeCell ref="E76:O76"/>
    <mergeCell ref="P76:S76"/>
    <mergeCell ref="T76:W76"/>
    <mergeCell ref="A73:D73"/>
    <mergeCell ref="E73:O73"/>
    <mergeCell ref="P73:S73"/>
    <mergeCell ref="T73:W73"/>
    <mergeCell ref="X73:AF73"/>
    <mergeCell ref="A74:D74"/>
    <mergeCell ref="E74:O74"/>
    <mergeCell ref="P74:S74"/>
    <mergeCell ref="T74:W74"/>
    <mergeCell ref="X74:AF75"/>
    <mergeCell ref="A71:D71"/>
    <mergeCell ref="E71:O71"/>
    <mergeCell ref="P71:S71"/>
    <mergeCell ref="T71:W71"/>
    <mergeCell ref="X71:AF72"/>
    <mergeCell ref="A72:D72"/>
    <mergeCell ref="E72:O72"/>
    <mergeCell ref="P72:S72"/>
    <mergeCell ref="T72:W72"/>
    <mergeCell ref="A69:D69"/>
    <mergeCell ref="E69:O69"/>
    <mergeCell ref="P69:S69"/>
    <mergeCell ref="T69:W69"/>
    <mergeCell ref="X69:AF69"/>
    <mergeCell ref="A70:D70"/>
    <mergeCell ref="E70:O70"/>
    <mergeCell ref="P70:S70"/>
    <mergeCell ref="T70:W70"/>
    <mergeCell ref="X70:AF70"/>
    <mergeCell ref="A65:AF65"/>
    <mergeCell ref="A66:D66"/>
    <mergeCell ref="E66:O66"/>
    <mergeCell ref="P66:S66"/>
    <mergeCell ref="T66:W66"/>
    <mergeCell ref="X66:AF66"/>
    <mergeCell ref="A67:D67"/>
    <mergeCell ref="E67:O67"/>
    <mergeCell ref="P67:S67"/>
    <mergeCell ref="T67:W67"/>
    <mergeCell ref="X67:AF68"/>
    <mergeCell ref="A68:D68"/>
    <mergeCell ref="E68:O68"/>
    <mergeCell ref="P68:S68"/>
    <mergeCell ref="T68:W68"/>
    <mergeCell ref="A1:AF1"/>
    <mergeCell ref="A3:AF3"/>
    <mergeCell ref="B5:AF5"/>
    <mergeCell ref="A7:AF7"/>
    <mergeCell ref="B10:AF10"/>
    <mergeCell ref="B13:AF13"/>
    <mergeCell ref="B19:AF19"/>
    <mergeCell ref="B22:AF22"/>
    <mergeCell ref="A25:AF25"/>
  </mergeCells>
  <hyperlinks>
    <hyperlink ref="A2" location="TOC!A1" display="Return to TOC" xr:uid="{96D0560D-B2C9-4926-BDCC-D7AB04C2C1A6}"/>
  </hyperlinks>
  <pageMargins left="0.7" right="0.7" top="0.75" bottom="0.75" header="0.3" footer="0.3"/>
  <ignoredErrors>
    <ignoredError sqref="AF29:AF62" numberStoredAsText="1"/>
  </ignoredErrors>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61">
    <tabColor theme="7" tint="0.79998168889431442"/>
    <pageSetUpPr autoPageBreaks="0"/>
  </sheetPr>
  <dimension ref="A1:AJ126"/>
  <sheetViews>
    <sheetView zoomScaleNormal="100" workbookViewId="0">
      <selection activeCell="A2" sqref="A2"/>
    </sheetView>
  </sheetViews>
  <sheetFormatPr defaultColWidth="2.7109375" defaultRowHeight="15" x14ac:dyDescent="0.25"/>
  <cols>
    <col min="1" max="31" width="2.7109375" style="1"/>
    <col min="32" max="32" width="3.28515625" style="1" customWidth="1"/>
    <col min="33" max="16384" width="2.7109375" style="1"/>
  </cols>
  <sheetData>
    <row r="1" spans="1:36" ht="19.5" thickBot="1" x14ac:dyDescent="0.3">
      <c r="A1" s="1272" t="s">
        <v>1170</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row>
    <row r="2" spans="1:36" customFormat="1" x14ac:dyDescent="0.25">
      <c r="A2" s="655" t="s">
        <v>1702</v>
      </c>
    </row>
    <row r="3" spans="1:36"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6"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6" customFormat="1" ht="46.5" customHeight="1" x14ac:dyDescent="0.25">
      <c r="A5" s="262"/>
      <c r="B5" s="1589" t="s">
        <v>7039</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I5" s="692"/>
      <c r="AJ5" s="692"/>
    </row>
    <row r="6" spans="1:36" customFormat="1" ht="14.45" customHeight="1" x14ac:dyDescent="0.25">
      <c r="A6" s="529"/>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6"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row>
    <row r="8" spans="1:36" x14ac:dyDescent="0.25">
      <c r="A8" s="19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row>
    <row r="9" spans="1:36"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row>
    <row r="10" spans="1:36" s="4" customFormat="1" ht="78" customHeight="1" x14ac:dyDescent="0.25">
      <c r="A10" s="263"/>
      <c r="B10" s="1173" t="s">
        <v>7184</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J10" s="683"/>
    </row>
    <row r="11" spans="1:36"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row>
    <row r="12" spans="1:36"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row>
    <row r="13" spans="1:36" ht="36" customHeight="1" x14ac:dyDescent="0.25">
      <c r="A13" s="262"/>
      <c r="B13" s="1704" t="s">
        <v>7185</v>
      </c>
      <c r="C13" s="1704"/>
      <c r="D13" s="1704"/>
      <c r="E13" s="1704"/>
      <c r="F13" s="1704"/>
      <c r="G13" s="1704"/>
      <c r="H13" s="1704"/>
      <c r="I13" s="1704"/>
      <c r="J13" s="1704"/>
      <c r="K13" s="1704"/>
      <c r="L13" s="1704"/>
      <c r="M13" s="1704"/>
      <c r="N13" s="1704"/>
      <c r="O13" s="1704"/>
      <c r="P13" s="1704"/>
      <c r="Q13" s="1704"/>
      <c r="R13" s="1704"/>
      <c r="S13" s="1704"/>
      <c r="T13" s="1704"/>
      <c r="U13" s="1704"/>
      <c r="V13" s="1704"/>
      <c r="W13" s="1704"/>
      <c r="X13" s="1704"/>
      <c r="Y13" s="1704"/>
      <c r="Z13" s="1704"/>
      <c r="AA13" s="1704"/>
      <c r="AB13" s="1704"/>
      <c r="AC13" s="1704"/>
      <c r="AD13" s="1704"/>
      <c r="AE13" s="1704"/>
      <c r="AF13" s="1704"/>
      <c r="AJ13" s="683"/>
    </row>
    <row r="14" spans="1:36" ht="61.5" customHeight="1" x14ac:dyDescent="0.25">
      <c r="A14" s="262"/>
      <c r="B14" s="1173" t="s">
        <v>7042</v>
      </c>
      <c r="C14" s="1173"/>
      <c r="D14" s="1173"/>
      <c r="E14" s="1173"/>
      <c r="F14" s="1173"/>
      <c r="G14" s="1173"/>
      <c r="H14" s="1173"/>
      <c r="I14" s="1173"/>
      <c r="J14" s="1173"/>
      <c r="K14" s="1173"/>
      <c r="L14" s="1173"/>
      <c r="M14" s="1173"/>
      <c r="N14" s="1173"/>
      <c r="O14" s="1173"/>
      <c r="P14" s="1173"/>
      <c r="Q14" s="1173"/>
      <c r="R14" s="1173"/>
      <c r="S14" s="1173"/>
      <c r="T14" s="1173"/>
      <c r="U14" s="1173"/>
      <c r="V14" s="1173"/>
      <c r="W14" s="1173"/>
      <c r="X14" s="1173"/>
      <c r="Y14" s="1173"/>
      <c r="Z14" s="1173"/>
      <c r="AA14" s="1173"/>
      <c r="AB14" s="1173"/>
      <c r="AC14" s="1173"/>
      <c r="AD14" s="1173"/>
      <c r="AE14" s="1173"/>
      <c r="AF14" s="1173"/>
      <c r="AJ14" s="656"/>
    </row>
    <row r="15" spans="1:36" ht="21" customHeight="1" x14ac:dyDescent="0.25">
      <c r="A15" s="262"/>
      <c r="B15" s="1173" t="s">
        <v>7186</v>
      </c>
      <c r="C15" s="1173"/>
      <c r="D15" s="1173"/>
      <c r="E15" s="1173"/>
      <c r="F15" s="1173"/>
      <c r="G15" s="1173"/>
      <c r="H15" s="1173"/>
      <c r="I15" s="1173"/>
      <c r="J15" s="1173"/>
      <c r="K15" s="1173"/>
      <c r="L15" s="1173"/>
      <c r="M15" s="1173"/>
      <c r="N15" s="1173"/>
      <c r="O15" s="1173"/>
      <c r="P15" s="1173"/>
      <c r="Q15" s="1173"/>
      <c r="R15" s="1173"/>
      <c r="S15" s="1173"/>
      <c r="T15" s="1173"/>
      <c r="U15" s="1173"/>
      <c r="V15" s="1173"/>
      <c r="W15" s="1173"/>
      <c r="X15" s="1173"/>
      <c r="Y15" s="1173"/>
      <c r="Z15" s="1173"/>
      <c r="AA15" s="1173"/>
      <c r="AB15" s="1173"/>
      <c r="AC15" s="1173"/>
      <c r="AD15" s="1173"/>
      <c r="AE15" s="1173"/>
      <c r="AF15" s="1173"/>
    </row>
    <row r="16" spans="1:36" x14ac:dyDescent="0.25">
      <c r="A16" s="262"/>
      <c r="B16" s="647"/>
      <c r="C16" s="647"/>
      <c r="D16" s="647"/>
      <c r="E16" s="647"/>
      <c r="F16" s="647"/>
      <c r="G16" s="647"/>
      <c r="H16" s="647"/>
      <c r="I16" s="647"/>
      <c r="J16" s="647"/>
      <c r="K16" s="647"/>
      <c r="L16" s="647"/>
      <c r="M16" s="647"/>
      <c r="N16" s="647"/>
      <c r="O16" s="647"/>
      <c r="P16" s="647"/>
      <c r="Q16" s="647"/>
      <c r="R16" s="647"/>
      <c r="S16" s="647"/>
      <c r="T16" s="647"/>
      <c r="U16" s="647"/>
      <c r="V16" s="647"/>
      <c r="W16" s="647"/>
      <c r="X16" s="647"/>
      <c r="Y16" s="647"/>
      <c r="Z16" s="647"/>
      <c r="AA16" s="647"/>
      <c r="AB16" s="647"/>
      <c r="AC16" s="647"/>
      <c r="AD16" s="647"/>
      <c r="AE16" s="647"/>
      <c r="AF16" s="647"/>
    </row>
    <row r="17" spans="1:36" x14ac:dyDescent="0.25">
      <c r="A17" s="262"/>
      <c r="B17" s="1845" t="s">
        <v>12</v>
      </c>
      <c r="C17" s="1845"/>
      <c r="D17" s="1845"/>
      <c r="E17" s="1845"/>
      <c r="F17" s="1845"/>
      <c r="G17" s="1845"/>
      <c r="H17" s="1845"/>
      <c r="I17" s="1845"/>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row>
    <row r="18" spans="1:36" x14ac:dyDescent="0.25">
      <c r="A18" s="262"/>
      <c r="B18" s="1703" t="s">
        <v>3395</v>
      </c>
      <c r="C18" s="1703"/>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3"/>
      <c r="Z18" s="1703"/>
      <c r="AA18" s="1703"/>
      <c r="AB18" s="1703"/>
      <c r="AC18" s="1703"/>
      <c r="AD18" s="1703"/>
      <c r="AE18" s="1703"/>
      <c r="AF18" s="1703"/>
    </row>
    <row r="19" spans="1:36" x14ac:dyDescent="0.25">
      <c r="A19" s="262"/>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6" x14ac:dyDescent="0.25">
      <c r="A20" s="262"/>
      <c r="B20" s="1845" t="s">
        <v>13</v>
      </c>
      <c r="C20" s="1845"/>
      <c r="D20" s="1845"/>
      <c r="E20" s="1845"/>
      <c r="F20" s="1845"/>
      <c r="G20" s="1845"/>
      <c r="H20" s="1845"/>
      <c r="I20" s="1845"/>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row>
    <row r="21" spans="1:36" s="4" customFormat="1" ht="33.75" customHeight="1" x14ac:dyDescent="0.25">
      <c r="A21" s="263"/>
      <c r="B21" s="1589" t="s">
        <v>7187</v>
      </c>
      <c r="C21" s="1589"/>
      <c r="D21" s="1589"/>
      <c r="E21" s="1589"/>
      <c r="F21" s="1589"/>
      <c r="G21" s="1589"/>
      <c r="H21" s="1589"/>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row>
    <row r="22" spans="1:36" x14ac:dyDescent="0.25">
      <c r="A22" s="262"/>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row>
    <row r="23" spans="1:36" x14ac:dyDescent="0.25">
      <c r="A23" s="262"/>
      <c r="B23" s="414" t="s">
        <v>20</v>
      </c>
      <c r="C23" s="414"/>
      <c r="D23" s="414"/>
      <c r="E23" s="414"/>
      <c r="F23" s="414"/>
      <c r="G23" s="414"/>
      <c r="H23" s="414"/>
      <c r="I23" s="414"/>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row>
    <row r="24" spans="1:36" ht="33" customHeight="1" x14ac:dyDescent="0.25">
      <c r="A24" s="262"/>
      <c r="B24" s="1589" t="s">
        <v>7044</v>
      </c>
      <c r="C24" s="1703"/>
      <c r="D24" s="1703"/>
      <c r="E24" s="1703"/>
      <c r="F24" s="1703"/>
      <c r="G24" s="1703"/>
      <c r="H24" s="1703"/>
      <c r="I24" s="1703"/>
      <c r="J24" s="1703"/>
      <c r="K24" s="1703"/>
      <c r="L24" s="1703"/>
      <c r="M24" s="1703"/>
      <c r="N24" s="1703"/>
      <c r="O24" s="1703"/>
      <c r="P24" s="1703"/>
      <c r="Q24" s="1703"/>
      <c r="R24" s="1703"/>
      <c r="S24" s="1703"/>
      <c r="T24" s="1703"/>
      <c r="U24" s="1703"/>
      <c r="V24" s="1703"/>
      <c r="W24" s="1703"/>
      <c r="X24" s="1703"/>
      <c r="Y24" s="1703"/>
      <c r="Z24" s="1703"/>
      <c r="AA24" s="1703"/>
      <c r="AB24" s="1703"/>
      <c r="AC24" s="1703"/>
      <c r="AD24" s="1703"/>
      <c r="AE24" s="1703"/>
      <c r="AF24" s="1703"/>
      <c r="AJ24" s="683"/>
    </row>
    <row r="25" spans="1:36" ht="30.75" customHeight="1" x14ac:dyDescent="0.25">
      <c r="A25" s="262"/>
      <c r="B25" s="1589" t="s">
        <v>7045</v>
      </c>
      <c r="C25" s="1589"/>
      <c r="D25" s="1589"/>
      <c r="E25" s="1589"/>
      <c r="F25" s="1589"/>
      <c r="G25" s="1589"/>
      <c r="H25" s="1589"/>
      <c r="I25" s="1589"/>
      <c r="J25" s="1589"/>
      <c r="K25" s="1589"/>
      <c r="L25" s="1589"/>
      <c r="M25" s="1589"/>
      <c r="N25" s="1589"/>
      <c r="O25" s="1589"/>
      <c r="P25" s="1589"/>
      <c r="Q25" s="1589"/>
      <c r="R25" s="1589"/>
      <c r="S25" s="1589"/>
      <c r="T25" s="1589"/>
      <c r="U25" s="1589"/>
      <c r="V25" s="1589"/>
      <c r="W25" s="1589"/>
      <c r="X25" s="1589"/>
      <c r="Y25" s="1589"/>
      <c r="Z25" s="1589"/>
      <c r="AA25" s="1589"/>
      <c r="AB25" s="1589"/>
      <c r="AC25" s="1589"/>
      <c r="AD25" s="1589"/>
      <c r="AE25" s="1589"/>
      <c r="AF25" s="1589"/>
    </row>
    <row r="26" spans="1:36" ht="31.5" customHeight="1" x14ac:dyDescent="0.25">
      <c r="A26" s="262"/>
      <c r="B26" s="1704" t="s">
        <v>7046</v>
      </c>
      <c r="C26" s="1704"/>
      <c r="D26" s="1704"/>
      <c r="E26" s="1704"/>
      <c r="F26" s="1704"/>
      <c r="G26" s="1704"/>
      <c r="H26" s="1704"/>
      <c r="I26" s="1704"/>
      <c r="J26" s="1704"/>
      <c r="K26" s="1704"/>
      <c r="L26" s="1704"/>
      <c r="M26" s="1704"/>
      <c r="N26" s="1704"/>
      <c r="O26" s="1704"/>
      <c r="P26" s="1704"/>
      <c r="Q26" s="1704"/>
      <c r="R26" s="1704"/>
      <c r="S26" s="1704"/>
      <c r="T26" s="1704"/>
      <c r="U26" s="1704"/>
      <c r="V26" s="1704"/>
      <c r="W26" s="1704"/>
      <c r="X26" s="1704"/>
      <c r="Y26" s="1704"/>
      <c r="Z26" s="1704"/>
      <c r="AA26" s="1704"/>
      <c r="AB26" s="1704"/>
      <c r="AC26" s="1704"/>
      <c r="AD26" s="1704"/>
      <c r="AE26" s="1704"/>
      <c r="AF26" s="1704"/>
    </row>
    <row r="27" spans="1:36" ht="13.5" customHeight="1" x14ac:dyDescent="0.25">
      <c r="A27" s="262"/>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row>
    <row r="29" spans="1:36" x14ac:dyDescent="0.25">
      <c r="A29" s="1472" t="s">
        <v>14</v>
      </c>
      <c r="B29" s="1472"/>
      <c r="C29" s="1472"/>
      <c r="D29" s="1472"/>
      <c r="E29" s="1472"/>
      <c r="F29" s="1472"/>
      <c r="G29" s="1472"/>
      <c r="H29" s="1472"/>
      <c r="I29" s="1472"/>
      <c r="J29" s="1472"/>
      <c r="K29" s="1472"/>
      <c r="L29" s="1472"/>
      <c r="M29" s="1472"/>
      <c r="N29" s="1472"/>
      <c r="O29" s="1472"/>
      <c r="P29" s="1472"/>
      <c r="Q29" s="1472"/>
      <c r="R29" s="1472"/>
      <c r="S29" s="1472"/>
      <c r="T29" s="1472"/>
      <c r="U29" s="1472"/>
      <c r="V29" s="1472"/>
      <c r="W29" s="1472"/>
      <c r="X29" s="1472"/>
      <c r="Y29" s="1472"/>
      <c r="Z29" s="1472"/>
      <c r="AA29" s="1472"/>
      <c r="AB29" s="1472"/>
      <c r="AC29" s="1472"/>
      <c r="AD29" s="1472"/>
      <c r="AE29" s="1472"/>
      <c r="AF29" s="1472"/>
    </row>
    <row r="31" spans="1:36" ht="14.45" customHeight="1" x14ac:dyDescent="0.25">
      <c r="A31" s="510"/>
      <c r="B31" s="379" t="s">
        <v>2194</v>
      </c>
      <c r="C31" s="511"/>
      <c r="D31" s="511"/>
      <c r="E31" s="511"/>
      <c r="F31" s="511"/>
      <c r="G31" s="511"/>
      <c r="H31" s="512"/>
      <c r="I31" s="513"/>
      <c r="J31" s="513"/>
      <c r="K31" s="513"/>
      <c r="L31" s="513"/>
      <c r="M31" s="513"/>
      <c r="N31" s="513"/>
      <c r="O31" s="513"/>
      <c r="P31" s="513"/>
      <c r="Q31" s="513"/>
      <c r="R31" s="513"/>
      <c r="S31" s="513"/>
      <c r="T31" s="513"/>
      <c r="U31" s="513"/>
      <c r="V31" s="513"/>
      <c r="W31" s="513"/>
      <c r="X31" s="513"/>
      <c r="Y31" s="513"/>
      <c r="Z31" s="513"/>
      <c r="AA31" s="513"/>
      <c r="AB31" s="513"/>
      <c r="AC31" s="513"/>
      <c r="AD31" s="513"/>
      <c r="AE31" s="513"/>
      <c r="AF31" s="513"/>
      <c r="AG31" s="171"/>
    </row>
    <row r="32" spans="1:36" x14ac:dyDescent="0.25">
      <c r="A32" s="413"/>
      <c r="B32" s="188"/>
      <c r="C32" s="188"/>
      <c r="D32" s="188"/>
      <c r="E32" s="188"/>
      <c r="F32" s="188"/>
      <c r="G32" s="188"/>
      <c r="H32" s="508"/>
      <c r="I32" s="2"/>
      <c r="J32" s="2"/>
      <c r="K32" s="2"/>
      <c r="L32" s="2"/>
      <c r="M32" s="2"/>
      <c r="N32" s="2"/>
      <c r="O32" s="2"/>
      <c r="P32" s="2"/>
      <c r="Q32" s="2"/>
      <c r="R32" s="2"/>
      <c r="S32" s="2"/>
      <c r="T32" s="2"/>
      <c r="U32" s="2"/>
      <c r="V32" s="2"/>
      <c r="W32" s="2"/>
      <c r="X32" s="2"/>
      <c r="Y32" s="2"/>
      <c r="Z32" s="2"/>
      <c r="AA32" s="2"/>
      <c r="AB32" s="2"/>
      <c r="AC32" s="2"/>
      <c r="AD32" s="2"/>
      <c r="AE32" s="2"/>
      <c r="AF32" s="2"/>
    </row>
    <row r="33" spans="1:33" ht="15" customHeight="1" x14ac:dyDescent="0.25">
      <c r="A33" s="413"/>
      <c r="B33" s="1343"/>
      <c r="C33" s="1343"/>
      <c r="D33" s="1343"/>
      <c r="E33" s="1343"/>
      <c r="F33" s="1343"/>
      <c r="G33" s="1343"/>
      <c r="H33" s="1343"/>
      <c r="I33" s="1343"/>
      <c r="J33" s="1343"/>
      <c r="K33" s="1343"/>
      <c r="L33" s="1343"/>
      <c r="M33" s="1343"/>
      <c r="N33" s="1343"/>
      <c r="O33" s="1343"/>
      <c r="P33" s="1343"/>
      <c r="Q33" s="1343"/>
      <c r="R33" s="1343"/>
      <c r="S33" s="1343"/>
      <c r="T33" s="1343"/>
      <c r="U33" s="1343"/>
      <c r="V33" s="1343"/>
      <c r="W33" s="1343"/>
      <c r="X33" s="1343"/>
      <c r="Y33" s="1343"/>
      <c r="Z33" s="1343"/>
      <c r="AA33" s="1343"/>
      <c r="AB33" s="1343"/>
      <c r="AC33" s="1343"/>
      <c r="AD33" s="1343"/>
      <c r="AE33" s="1343"/>
      <c r="AF33" s="508" t="s">
        <v>1705</v>
      </c>
    </row>
    <row r="34" spans="1:33" x14ac:dyDescent="0.25">
      <c r="A34" s="413"/>
      <c r="B34" s="188"/>
      <c r="C34" s="188"/>
      <c r="D34" s="188"/>
      <c r="E34" s="188"/>
      <c r="F34" s="188"/>
      <c r="G34" s="188"/>
      <c r="H34" s="508"/>
      <c r="I34" s="2"/>
      <c r="J34" s="2"/>
      <c r="K34" s="2"/>
      <c r="L34" s="2"/>
      <c r="M34" s="2"/>
      <c r="N34" s="2"/>
      <c r="O34" s="2"/>
      <c r="P34" s="2"/>
      <c r="Q34" s="2"/>
      <c r="R34" s="2"/>
      <c r="S34" s="2"/>
      <c r="T34" s="2"/>
      <c r="U34" s="2"/>
      <c r="V34" s="2"/>
      <c r="W34" s="2"/>
      <c r="X34" s="2"/>
      <c r="Y34" s="2"/>
      <c r="Z34" s="2"/>
      <c r="AA34" s="2"/>
      <c r="AB34" s="2"/>
      <c r="AC34" s="2"/>
      <c r="AD34" s="2"/>
      <c r="AE34" s="2"/>
      <c r="AF34" s="2"/>
    </row>
    <row r="35" spans="1:33" x14ac:dyDescent="0.25">
      <c r="A35" s="510"/>
      <c r="B35" s="379" t="s">
        <v>2303</v>
      </c>
      <c r="C35" s="511"/>
      <c r="D35" s="511"/>
      <c r="E35" s="511"/>
      <c r="F35" s="511"/>
      <c r="G35" s="511"/>
      <c r="H35" s="512"/>
      <c r="I35" s="513"/>
      <c r="J35" s="513"/>
      <c r="K35" s="513"/>
      <c r="L35" s="513"/>
      <c r="M35" s="513"/>
      <c r="N35" s="513"/>
      <c r="O35" s="513"/>
      <c r="P35" s="513"/>
      <c r="Q35" s="513"/>
      <c r="R35" s="513"/>
      <c r="S35" s="513"/>
      <c r="T35" s="513"/>
      <c r="U35" s="513"/>
      <c r="V35" s="513"/>
      <c r="W35" s="513"/>
      <c r="X35" s="513"/>
      <c r="Y35" s="513"/>
      <c r="Z35" s="513"/>
      <c r="AA35" s="513"/>
      <c r="AB35" s="513"/>
      <c r="AC35" s="513"/>
      <c r="AD35" s="513"/>
      <c r="AE35" s="513"/>
      <c r="AF35" s="513"/>
      <c r="AG35" s="171"/>
    </row>
    <row r="36" spans="1:33" x14ac:dyDescent="0.25">
      <c r="A36" s="413"/>
      <c r="B36" s="188"/>
      <c r="C36" s="188"/>
      <c r="D36" s="188"/>
      <c r="E36" s="188"/>
      <c r="F36" s="188"/>
      <c r="G36" s="188"/>
      <c r="H36" s="508"/>
      <c r="I36" s="2"/>
      <c r="J36" s="2"/>
      <c r="K36" s="2"/>
      <c r="L36" s="2"/>
      <c r="M36" s="2"/>
      <c r="N36" s="2"/>
      <c r="O36" s="2"/>
      <c r="P36" s="2"/>
      <c r="Q36" s="2"/>
      <c r="R36" s="2"/>
      <c r="S36" s="2"/>
      <c r="T36" s="2"/>
      <c r="U36" s="2"/>
      <c r="V36" s="2"/>
      <c r="W36" s="2"/>
      <c r="X36" s="2"/>
      <c r="Y36" s="2"/>
      <c r="Z36" s="2"/>
      <c r="AA36" s="2"/>
      <c r="AB36" s="2"/>
      <c r="AC36" s="2"/>
      <c r="AD36" s="2"/>
      <c r="AE36" s="2"/>
      <c r="AF36" s="2"/>
    </row>
    <row r="37" spans="1:33" ht="14.45" customHeight="1" x14ac:dyDescent="0.25">
      <c r="A37" s="413"/>
      <c r="B37" s="1343"/>
      <c r="C37" s="1343"/>
      <c r="D37" s="1343"/>
      <c r="E37" s="1343"/>
      <c r="F37" s="1343"/>
      <c r="G37" s="1343"/>
      <c r="H37" s="1343"/>
      <c r="I37" s="1343"/>
      <c r="J37" s="1343"/>
      <c r="K37" s="1343"/>
      <c r="L37" s="1343"/>
      <c r="M37" s="1343"/>
      <c r="N37" s="1343"/>
      <c r="O37" s="1343"/>
      <c r="P37" s="1343"/>
      <c r="Q37" s="1343"/>
      <c r="R37" s="1343"/>
      <c r="S37" s="1343"/>
      <c r="T37" s="1343"/>
      <c r="U37" s="1343"/>
      <c r="V37" s="1343"/>
      <c r="W37" s="1343"/>
      <c r="X37" s="1343"/>
      <c r="Y37" s="1343"/>
      <c r="Z37" s="1343"/>
      <c r="AA37" s="1343"/>
      <c r="AB37" s="1343"/>
      <c r="AC37" s="1343"/>
      <c r="AD37" s="1343"/>
      <c r="AE37" s="1343"/>
      <c r="AF37" s="2926" t="s">
        <v>1706</v>
      </c>
    </row>
    <row r="38" spans="1:33" ht="14.45" customHeight="1" x14ac:dyDescent="0.25">
      <c r="A38" s="413"/>
      <c r="B38" s="1343"/>
      <c r="C38" s="1343"/>
      <c r="D38" s="1343"/>
      <c r="E38" s="1343"/>
      <c r="F38" s="1343"/>
      <c r="G38" s="1343"/>
      <c r="H38" s="1343"/>
      <c r="I38" s="1343"/>
      <c r="J38" s="1343"/>
      <c r="K38" s="1343"/>
      <c r="L38" s="1343"/>
      <c r="M38" s="1343"/>
      <c r="N38" s="1343"/>
      <c r="O38" s="1343"/>
      <c r="P38" s="1343"/>
      <c r="Q38" s="1343"/>
      <c r="R38" s="1343"/>
      <c r="S38" s="1343"/>
      <c r="T38" s="1343"/>
      <c r="U38" s="1343"/>
      <c r="V38" s="1343"/>
      <c r="W38" s="1343"/>
      <c r="X38" s="1343"/>
      <c r="Y38" s="1343"/>
      <c r="Z38" s="1343"/>
      <c r="AA38" s="1343"/>
      <c r="AB38" s="1343"/>
      <c r="AC38" s="1343"/>
      <c r="AD38" s="1343"/>
      <c r="AE38" s="1343"/>
      <c r="AF38" s="2926"/>
    </row>
    <row r="39" spans="1:33" ht="14.45" customHeight="1" x14ac:dyDescent="0.25">
      <c r="A39" s="413"/>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509"/>
    </row>
    <row r="40" spans="1:33" ht="14.45" customHeight="1" x14ac:dyDescent="0.25">
      <c r="A40" s="413"/>
      <c r="B40" s="379" t="s">
        <v>1998</v>
      </c>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509"/>
    </row>
    <row r="41" spans="1:33" ht="14.45" customHeight="1" x14ac:dyDescent="0.25">
      <c r="A41" s="413"/>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509"/>
    </row>
    <row r="42" spans="1:33" ht="14.45" customHeight="1" x14ac:dyDescent="0.25">
      <c r="A42" s="413"/>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508" t="s">
        <v>1707</v>
      </c>
    </row>
    <row r="43" spans="1:33" ht="14.45" customHeight="1" x14ac:dyDescent="0.25"/>
    <row r="44" spans="1:33" ht="14.45" customHeight="1" x14ac:dyDescent="0.25">
      <c r="A44" s="1472" t="s">
        <v>15</v>
      </c>
      <c r="B44" s="1472"/>
      <c r="C44" s="1472"/>
      <c r="D44" s="1472"/>
      <c r="E44" s="1472"/>
      <c r="F44" s="1472"/>
      <c r="G44" s="1472"/>
      <c r="H44" s="1472"/>
      <c r="I44" s="1472"/>
      <c r="J44" s="1472"/>
      <c r="K44" s="1472"/>
      <c r="L44" s="1472"/>
      <c r="M44" s="1472"/>
      <c r="N44" s="1472"/>
      <c r="O44" s="1472"/>
      <c r="P44" s="1472"/>
      <c r="Q44" s="1472"/>
      <c r="R44" s="1472"/>
      <c r="S44" s="1472"/>
      <c r="T44" s="1472"/>
      <c r="U44" s="1472"/>
      <c r="V44" s="1472"/>
      <c r="W44" s="1472"/>
      <c r="X44" s="1472"/>
      <c r="Y44" s="1472"/>
      <c r="Z44" s="1472"/>
      <c r="AA44" s="1472"/>
      <c r="AB44" s="1472"/>
      <c r="AC44" s="1472"/>
      <c r="AD44" s="1472"/>
      <c r="AE44" s="1472"/>
      <c r="AF44" s="1472"/>
    </row>
    <row r="45" spans="1:33" x14ac:dyDescent="0.25">
      <c r="A45" s="1735" t="s">
        <v>16</v>
      </c>
      <c r="B45" s="1735"/>
      <c r="C45" s="1735"/>
      <c r="D45" s="1735"/>
      <c r="E45" s="1735" t="s">
        <v>10</v>
      </c>
      <c r="F45" s="1735"/>
      <c r="G45" s="1735"/>
      <c r="H45" s="1735"/>
      <c r="I45" s="1735"/>
      <c r="J45" s="1735"/>
      <c r="K45" s="1735"/>
      <c r="L45" s="1735"/>
      <c r="M45" s="1735"/>
      <c r="N45" s="1735"/>
      <c r="O45" s="1735"/>
      <c r="P45" s="1735"/>
      <c r="Q45" s="1735" t="s">
        <v>17</v>
      </c>
      <c r="R45" s="1735"/>
      <c r="S45" s="1735"/>
      <c r="T45" s="1735"/>
      <c r="U45" s="1697" t="s">
        <v>18</v>
      </c>
      <c r="V45" s="1698"/>
      <c r="W45" s="1699"/>
      <c r="X45" s="1697" t="s">
        <v>2772</v>
      </c>
      <c r="Y45" s="1698"/>
      <c r="Z45" s="1698"/>
      <c r="AA45" s="1698"/>
      <c r="AB45" s="1698"/>
      <c r="AC45" s="1698"/>
      <c r="AD45" s="1698"/>
      <c r="AE45" s="1698"/>
      <c r="AF45" s="1699"/>
    </row>
    <row r="46" spans="1:33" x14ac:dyDescent="0.25">
      <c r="A46" s="2267" t="s">
        <v>1516</v>
      </c>
      <c r="B46" s="2268"/>
      <c r="C46" s="2268"/>
      <c r="D46" s="2269"/>
      <c r="E46" s="2475" t="s">
        <v>1001</v>
      </c>
      <c r="F46" s="2476"/>
      <c r="G46" s="2476"/>
      <c r="H46" s="2476"/>
      <c r="I46" s="2476"/>
      <c r="J46" s="2476"/>
      <c r="K46" s="2476"/>
      <c r="L46" s="2476"/>
      <c r="M46" s="2476"/>
      <c r="N46" s="2476"/>
      <c r="O46" s="2476"/>
      <c r="P46" s="2477"/>
      <c r="Q46" s="2672" t="s">
        <v>43</v>
      </c>
      <c r="R46" s="2673"/>
      <c r="S46" s="2673"/>
      <c r="T46" s="2674"/>
      <c r="U46" s="2883" t="s">
        <v>49</v>
      </c>
      <c r="V46" s="2884"/>
      <c r="W46" s="2885"/>
      <c r="X46" s="1683"/>
      <c r="Y46" s="1684"/>
      <c r="Z46" s="1684"/>
      <c r="AA46" s="1684"/>
      <c r="AB46" s="1684"/>
      <c r="AC46" s="1684"/>
      <c r="AD46" s="1684"/>
      <c r="AE46" s="1684"/>
      <c r="AF46" s="1685"/>
    </row>
    <row r="47" spans="1:33" x14ac:dyDescent="0.25">
      <c r="A47" s="2267" t="s">
        <v>1517</v>
      </c>
      <c r="B47" s="2268"/>
      <c r="C47" s="2268"/>
      <c r="D47" s="2269"/>
      <c r="E47" s="1494" t="s">
        <v>2773</v>
      </c>
      <c r="F47" s="1495"/>
      <c r="G47" s="1495"/>
      <c r="H47" s="1495"/>
      <c r="I47" s="1495"/>
      <c r="J47" s="1495"/>
      <c r="K47" s="1495"/>
      <c r="L47" s="1495"/>
      <c r="M47" s="1495"/>
      <c r="N47" s="1495"/>
      <c r="O47" s="1495"/>
      <c r="P47" s="1496"/>
      <c r="Q47" s="1497" t="s">
        <v>43</v>
      </c>
      <c r="R47" s="1498"/>
      <c r="S47" s="1498"/>
      <c r="T47" s="1499"/>
      <c r="U47" s="1683" t="s">
        <v>26</v>
      </c>
      <c r="V47" s="1684"/>
      <c r="W47" s="1685"/>
      <c r="X47" s="1683"/>
      <c r="Y47" s="1684"/>
      <c r="Z47" s="1684"/>
      <c r="AA47" s="1684"/>
      <c r="AB47" s="1684"/>
      <c r="AC47" s="1684"/>
      <c r="AD47" s="1684"/>
      <c r="AE47" s="1684"/>
      <c r="AF47" s="1685"/>
    </row>
    <row r="48" spans="1:33" ht="36.75" customHeight="1" x14ac:dyDescent="0.25">
      <c r="A48" s="3647" t="s">
        <v>7191</v>
      </c>
      <c r="B48" s="3648"/>
      <c r="C48" s="3648"/>
      <c r="D48" s="3648"/>
      <c r="E48" s="2475" t="s">
        <v>2775</v>
      </c>
      <c r="F48" s="2476"/>
      <c r="G48" s="2476"/>
      <c r="H48" s="2476"/>
      <c r="I48" s="2476"/>
      <c r="J48" s="2476"/>
      <c r="K48" s="2476"/>
      <c r="L48" s="2476"/>
      <c r="M48" s="2476"/>
      <c r="N48" s="2476"/>
      <c r="O48" s="2476"/>
      <c r="P48" s="2476"/>
      <c r="Q48" s="2672"/>
      <c r="R48" s="2673"/>
      <c r="S48" s="2673"/>
      <c r="T48" s="2674"/>
      <c r="U48" s="2884"/>
      <c r="V48" s="2884"/>
      <c r="W48" s="2885"/>
      <c r="X48" s="2476" t="s">
        <v>7050</v>
      </c>
      <c r="Y48" s="2476"/>
      <c r="Z48" s="2476"/>
      <c r="AA48" s="2476"/>
      <c r="AB48" s="2476"/>
      <c r="AC48" s="2476"/>
      <c r="AD48" s="2476"/>
      <c r="AE48" s="2476"/>
      <c r="AF48" s="2477"/>
    </row>
    <row r="49" spans="1:36" x14ac:dyDescent="0.25">
      <c r="A49" s="3650"/>
      <c r="B49" s="2927"/>
      <c r="C49" s="2927"/>
      <c r="D49" s="2927"/>
      <c r="E49" s="3644" t="s">
        <v>2776</v>
      </c>
      <c r="F49" s="3645"/>
      <c r="G49" s="3645"/>
      <c r="H49" s="3645"/>
      <c r="I49" s="3645"/>
      <c r="J49" s="3645"/>
      <c r="K49" s="3645"/>
      <c r="L49" s="3645"/>
      <c r="M49" s="3645"/>
      <c r="N49" s="3645"/>
      <c r="O49" s="3645"/>
      <c r="P49" s="3645"/>
      <c r="Q49" s="2889"/>
      <c r="R49" s="2890"/>
      <c r="S49" s="2890"/>
      <c r="T49" s="2891"/>
      <c r="U49" s="2893"/>
      <c r="V49" s="2893"/>
      <c r="W49" s="2894"/>
      <c r="X49" s="2908"/>
      <c r="Y49" s="2908"/>
      <c r="Z49" s="2908"/>
      <c r="AA49" s="2908"/>
      <c r="AB49" s="2908"/>
      <c r="AC49" s="2908"/>
      <c r="AD49" s="2908"/>
      <c r="AE49" s="2908"/>
      <c r="AF49" s="2909"/>
    </row>
    <row r="50" spans="1:36" x14ac:dyDescent="0.25">
      <c r="A50" s="3650"/>
      <c r="B50" s="2927"/>
      <c r="C50" s="2927"/>
      <c r="D50" s="2927"/>
      <c r="E50" s="2889" t="s">
        <v>2777</v>
      </c>
      <c r="F50" s="2890"/>
      <c r="G50" s="2890"/>
      <c r="H50" s="2890"/>
      <c r="I50" s="2890"/>
      <c r="J50" s="2890"/>
      <c r="K50" s="2890"/>
      <c r="L50" s="2890"/>
      <c r="M50" s="2890"/>
      <c r="N50" s="2890"/>
      <c r="O50" s="2890"/>
      <c r="P50" s="2890"/>
      <c r="Q50" s="2913">
        <v>4.66028271486039</v>
      </c>
      <c r="R50" s="2914"/>
      <c r="S50" s="2914"/>
      <c r="T50" s="2915"/>
      <c r="U50" s="2893" t="s">
        <v>82</v>
      </c>
      <c r="V50" s="2893"/>
      <c r="W50" s="2894"/>
      <c r="X50" s="2908"/>
      <c r="Y50" s="2908"/>
      <c r="Z50" s="2908"/>
      <c r="AA50" s="2908"/>
      <c r="AB50" s="2908"/>
      <c r="AC50" s="2908"/>
      <c r="AD50" s="2908"/>
      <c r="AE50" s="2908"/>
      <c r="AF50" s="2909"/>
      <c r="AJ50" s="683"/>
    </row>
    <row r="51" spans="1:36" x14ac:dyDescent="0.25">
      <c r="A51" s="3650"/>
      <c r="B51" s="2927"/>
      <c r="C51" s="2927"/>
      <c r="D51" s="2927"/>
      <c r="E51" s="2889" t="s">
        <v>2778</v>
      </c>
      <c r="F51" s="2890"/>
      <c r="G51" s="2890"/>
      <c r="H51" s="2890"/>
      <c r="I51" s="2890"/>
      <c r="J51" s="2890"/>
      <c r="K51" s="2890"/>
      <c r="L51" s="2890"/>
      <c r="M51" s="2890"/>
      <c r="N51" s="2890"/>
      <c r="O51" s="2890"/>
      <c r="P51" s="2891"/>
      <c r="Q51" s="2913">
        <v>4.9693410725480502</v>
      </c>
      <c r="R51" s="2914"/>
      <c r="S51" s="2914"/>
      <c r="T51" s="2915"/>
      <c r="U51" s="2892" t="s">
        <v>82</v>
      </c>
      <c r="V51" s="2893"/>
      <c r="W51" s="2894"/>
      <c r="X51" s="2908"/>
      <c r="Y51" s="2908"/>
      <c r="Z51" s="2908"/>
      <c r="AA51" s="2908"/>
      <c r="AB51" s="2908"/>
      <c r="AC51" s="2908"/>
      <c r="AD51" s="2908"/>
      <c r="AE51" s="2908"/>
      <c r="AF51" s="2909"/>
      <c r="AJ51" s="683"/>
    </row>
    <row r="52" spans="1:36" x14ac:dyDescent="0.25">
      <c r="A52" s="3650"/>
      <c r="B52" s="2927"/>
      <c r="C52" s="2927"/>
      <c r="D52" s="2927"/>
      <c r="E52" s="2889" t="s">
        <v>2779</v>
      </c>
      <c r="F52" s="2890"/>
      <c r="G52" s="2890"/>
      <c r="H52" s="2890"/>
      <c r="I52" s="2890"/>
      <c r="J52" s="2890"/>
      <c r="K52" s="2890"/>
      <c r="L52" s="2890"/>
      <c r="M52" s="2890"/>
      <c r="N52" s="2890"/>
      <c r="O52" s="2890"/>
      <c r="P52" s="2891"/>
      <c r="Q52" s="2913">
        <v>6.4170257090891596</v>
      </c>
      <c r="R52" s="2914"/>
      <c r="S52" s="2914"/>
      <c r="T52" s="2915"/>
      <c r="U52" s="2892" t="s">
        <v>82</v>
      </c>
      <c r="V52" s="2893"/>
      <c r="W52" s="2894"/>
      <c r="X52" s="2908"/>
      <c r="Y52" s="2908"/>
      <c r="Z52" s="2908"/>
      <c r="AA52" s="2908"/>
      <c r="AB52" s="2908"/>
      <c r="AC52" s="2908"/>
      <c r="AD52" s="2908"/>
      <c r="AE52" s="2908"/>
      <c r="AF52" s="2909"/>
      <c r="AJ52" s="683"/>
    </row>
    <row r="53" spans="1:36" x14ac:dyDescent="0.25">
      <c r="A53" s="3650"/>
      <c r="B53" s="2927"/>
      <c r="C53" s="2927"/>
      <c r="D53" s="2927"/>
      <c r="E53" s="2889" t="s">
        <v>2780</v>
      </c>
      <c r="F53" s="2890"/>
      <c r="G53" s="2890"/>
      <c r="H53" s="2890"/>
      <c r="I53" s="2890"/>
      <c r="J53" s="2890"/>
      <c r="K53" s="2890"/>
      <c r="L53" s="2890"/>
      <c r="M53" s="2890"/>
      <c r="N53" s="2890"/>
      <c r="O53" s="2890"/>
      <c r="P53" s="2890"/>
      <c r="Q53" s="2913">
        <v>15.971691280190816</v>
      </c>
      <c r="R53" s="2914"/>
      <c r="S53" s="2914"/>
      <c r="T53" s="2915"/>
      <c r="U53" s="2893" t="s">
        <v>82</v>
      </c>
      <c r="V53" s="2893"/>
      <c r="W53" s="2894"/>
      <c r="X53" s="2908"/>
      <c r="Y53" s="2908"/>
      <c r="Z53" s="2908"/>
      <c r="AA53" s="2908"/>
      <c r="AB53" s="2908"/>
      <c r="AC53" s="2908"/>
      <c r="AD53" s="2908"/>
      <c r="AE53" s="2908"/>
      <c r="AF53" s="2909"/>
    </row>
    <row r="54" spans="1:36" x14ac:dyDescent="0.25">
      <c r="A54" s="3650"/>
      <c r="B54" s="2927"/>
      <c r="C54" s="2927"/>
      <c r="D54" s="2927"/>
      <c r="E54" s="3644" t="s">
        <v>2781</v>
      </c>
      <c r="F54" s="3645"/>
      <c r="G54" s="3645"/>
      <c r="H54" s="3645"/>
      <c r="I54" s="3645"/>
      <c r="J54" s="3645"/>
      <c r="K54" s="3645"/>
      <c r="L54" s="3645"/>
      <c r="M54" s="3645"/>
      <c r="N54" s="3645"/>
      <c r="O54" s="3645"/>
      <c r="P54" s="3645"/>
      <c r="Q54" s="2889"/>
      <c r="R54" s="2890"/>
      <c r="S54" s="2890"/>
      <c r="T54" s="2891"/>
      <c r="U54" s="2893"/>
      <c r="V54" s="2893"/>
      <c r="W54" s="2894"/>
      <c r="X54" s="2908"/>
      <c r="Y54" s="2908"/>
      <c r="Z54" s="2908"/>
      <c r="AA54" s="2908"/>
      <c r="AB54" s="2908"/>
      <c r="AC54" s="2908"/>
      <c r="AD54" s="2908"/>
      <c r="AE54" s="2908"/>
      <c r="AF54" s="2909"/>
    </row>
    <row r="55" spans="1:36" x14ac:dyDescent="0.25">
      <c r="A55" s="3650"/>
      <c r="B55" s="2927"/>
      <c r="C55" s="2927"/>
      <c r="D55" s="2927"/>
      <c r="E55" s="2889" t="s">
        <v>2777</v>
      </c>
      <c r="F55" s="2890"/>
      <c r="G55" s="2890"/>
      <c r="H55" s="2890"/>
      <c r="I55" s="2890"/>
      <c r="J55" s="2890"/>
      <c r="K55" s="2890"/>
      <c r="L55" s="2890"/>
      <c r="M55" s="2890"/>
      <c r="N55" s="2890"/>
      <c r="O55" s="2890"/>
      <c r="P55" s="2890"/>
      <c r="Q55" s="2913">
        <v>4.1258412238403244</v>
      </c>
      <c r="R55" s="2914"/>
      <c r="S55" s="2914"/>
      <c r="T55" s="2915"/>
      <c r="U55" s="2893" t="s">
        <v>82</v>
      </c>
      <c r="V55" s="2893"/>
      <c r="W55" s="2894"/>
      <c r="X55" s="2908"/>
      <c r="Y55" s="2908"/>
      <c r="Z55" s="2908"/>
      <c r="AA55" s="2908"/>
      <c r="AB55" s="2908"/>
      <c r="AC55" s="2908"/>
      <c r="AD55" s="2908"/>
      <c r="AE55" s="2908"/>
      <c r="AF55" s="2909"/>
    </row>
    <row r="56" spans="1:36" x14ac:dyDescent="0.25">
      <c r="A56" s="3650"/>
      <c r="B56" s="2927"/>
      <c r="C56" s="2927"/>
      <c r="D56" s="2927"/>
      <c r="E56" s="2889" t="s">
        <v>2778</v>
      </c>
      <c r="F56" s="2890"/>
      <c r="G56" s="2890"/>
      <c r="H56" s="2890"/>
      <c r="I56" s="2890"/>
      <c r="J56" s="2890"/>
      <c r="K56" s="2890"/>
      <c r="L56" s="2890"/>
      <c r="M56" s="2890"/>
      <c r="N56" s="2890"/>
      <c r="O56" s="2890"/>
      <c r="P56" s="2890"/>
      <c r="Q56" s="2913">
        <v>4.9693410725480502</v>
      </c>
      <c r="R56" s="2914"/>
      <c r="S56" s="2914"/>
      <c r="T56" s="2915"/>
      <c r="U56" s="2893" t="s">
        <v>82</v>
      </c>
      <c r="V56" s="2893"/>
      <c r="W56" s="2894"/>
      <c r="X56" s="2908"/>
      <c r="Y56" s="2908"/>
      <c r="Z56" s="2908"/>
      <c r="AA56" s="2908"/>
      <c r="AB56" s="2908"/>
      <c r="AC56" s="2908"/>
      <c r="AD56" s="2908"/>
      <c r="AE56" s="2908"/>
      <c r="AF56" s="2909"/>
      <c r="AJ56" s="683"/>
    </row>
    <row r="57" spans="1:36" x14ac:dyDescent="0.25">
      <c r="A57" s="3650"/>
      <c r="B57" s="2927"/>
      <c r="C57" s="2927"/>
      <c r="D57" s="2927"/>
      <c r="E57" s="2889" t="s">
        <v>2779</v>
      </c>
      <c r="F57" s="2890"/>
      <c r="G57" s="2890"/>
      <c r="H57" s="2890"/>
      <c r="I57" s="2890"/>
      <c r="J57" s="2890"/>
      <c r="K57" s="2890"/>
      <c r="L57" s="2890"/>
      <c r="M57" s="2890"/>
      <c r="N57" s="2890"/>
      <c r="O57" s="2890"/>
      <c r="P57" s="2890"/>
      <c r="Q57" s="2913">
        <v>6.4170257090891596</v>
      </c>
      <c r="R57" s="2914"/>
      <c r="S57" s="2914"/>
      <c r="T57" s="2915"/>
      <c r="U57" s="2893" t="s">
        <v>82</v>
      </c>
      <c r="V57" s="2893"/>
      <c r="W57" s="2894"/>
      <c r="X57" s="2908"/>
      <c r="Y57" s="2908"/>
      <c r="Z57" s="2908"/>
      <c r="AA57" s="2908"/>
      <c r="AB57" s="2908"/>
      <c r="AC57" s="2908"/>
      <c r="AD57" s="2908"/>
      <c r="AE57" s="2908"/>
      <c r="AF57" s="2909"/>
      <c r="AJ57" s="683"/>
    </row>
    <row r="58" spans="1:36" x14ac:dyDescent="0.25">
      <c r="A58" s="3652"/>
      <c r="B58" s="3653"/>
      <c r="C58" s="3653"/>
      <c r="D58" s="3653"/>
      <c r="E58" s="3655" t="s">
        <v>2780</v>
      </c>
      <c r="F58" s="3656"/>
      <c r="G58" s="3656"/>
      <c r="H58" s="3656"/>
      <c r="I58" s="3656"/>
      <c r="J58" s="3656"/>
      <c r="K58" s="3656"/>
      <c r="L58" s="3656"/>
      <c r="M58" s="3656"/>
      <c r="N58" s="3656"/>
      <c r="O58" s="3656"/>
      <c r="P58" s="3656"/>
      <c r="Q58" s="2913">
        <v>9.0526256118111572</v>
      </c>
      <c r="R58" s="2914"/>
      <c r="S58" s="2914"/>
      <c r="T58" s="2915"/>
      <c r="U58" s="2918" t="s">
        <v>82</v>
      </c>
      <c r="V58" s="2918"/>
      <c r="W58" s="2919"/>
      <c r="X58" s="2479"/>
      <c r="Y58" s="2479"/>
      <c r="Z58" s="2479"/>
      <c r="AA58" s="2479"/>
      <c r="AB58" s="2479"/>
      <c r="AC58" s="2479"/>
      <c r="AD58" s="2479"/>
      <c r="AE58" s="2479"/>
      <c r="AF58" s="2480"/>
    </row>
    <row r="59" spans="1:36" ht="48.75" customHeight="1" x14ac:dyDescent="0.25">
      <c r="A59" s="3647" t="s">
        <v>7192</v>
      </c>
      <c r="B59" s="3648"/>
      <c r="C59" s="3648"/>
      <c r="D59" s="3649"/>
      <c r="E59" s="2475" t="s">
        <v>2783</v>
      </c>
      <c r="F59" s="2476"/>
      <c r="G59" s="2476"/>
      <c r="H59" s="2476"/>
      <c r="I59" s="2476"/>
      <c r="J59" s="2476"/>
      <c r="K59" s="2476"/>
      <c r="L59" s="2476"/>
      <c r="M59" s="2476"/>
      <c r="N59" s="2476"/>
      <c r="O59" s="2476"/>
      <c r="P59" s="2476"/>
      <c r="Q59" s="2672"/>
      <c r="R59" s="2673"/>
      <c r="S59" s="2673"/>
      <c r="T59" s="2674"/>
      <c r="U59" s="2883"/>
      <c r="V59" s="2884"/>
      <c r="W59" s="2885"/>
      <c r="X59" s="2475" t="s">
        <v>7051</v>
      </c>
      <c r="Y59" s="2476"/>
      <c r="Z59" s="2476"/>
      <c r="AA59" s="2476"/>
      <c r="AB59" s="2476"/>
      <c r="AC59" s="2476"/>
      <c r="AD59" s="2476"/>
      <c r="AE59" s="2476"/>
      <c r="AF59" s="2477"/>
      <c r="AI59" s="584"/>
    </row>
    <row r="60" spans="1:36" x14ac:dyDescent="0.25">
      <c r="A60" s="3650"/>
      <c r="B60" s="2927"/>
      <c r="C60" s="2927"/>
      <c r="D60" s="3651"/>
      <c r="E60" s="3644" t="s">
        <v>2784</v>
      </c>
      <c r="F60" s="3645"/>
      <c r="G60" s="3645"/>
      <c r="H60" s="3645"/>
      <c r="I60" s="3645"/>
      <c r="J60" s="3645"/>
      <c r="K60" s="3645"/>
      <c r="L60" s="3645"/>
      <c r="M60" s="3645"/>
      <c r="N60" s="3645"/>
      <c r="O60" s="3645"/>
      <c r="P60" s="3645"/>
      <c r="Q60" s="2889"/>
      <c r="R60" s="2890"/>
      <c r="S60" s="2890"/>
      <c r="T60" s="2891"/>
      <c r="U60" s="2892"/>
      <c r="V60" s="2893"/>
      <c r="W60" s="2894"/>
      <c r="X60" s="2912"/>
      <c r="Y60" s="2908"/>
      <c r="Z60" s="2908"/>
      <c r="AA60" s="2908"/>
      <c r="AB60" s="2908"/>
      <c r="AC60" s="2908"/>
      <c r="AD60" s="2908"/>
      <c r="AE60" s="2908"/>
      <c r="AF60" s="2909"/>
    </row>
    <row r="61" spans="1:36" x14ac:dyDescent="0.25">
      <c r="A61" s="3650"/>
      <c r="B61" s="2927"/>
      <c r="C61" s="2927"/>
      <c r="D61" s="3651"/>
      <c r="E61" s="2889" t="s">
        <v>2777</v>
      </c>
      <c r="F61" s="2890"/>
      <c r="G61" s="2890"/>
      <c r="H61" s="2890"/>
      <c r="I61" s="2890"/>
      <c r="J61" s="2890"/>
      <c r="K61" s="2890"/>
      <c r="L61" s="2890"/>
      <c r="M61" s="2890"/>
      <c r="N61" s="2890"/>
      <c r="O61" s="2890"/>
      <c r="P61" s="2890"/>
      <c r="Q61" s="2913">
        <v>1.7499326852192354</v>
      </c>
      <c r="R61" s="2914"/>
      <c r="S61" s="2914"/>
      <c r="T61" s="2915"/>
      <c r="U61" s="2892" t="s">
        <v>82</v>
      </c>
      <c r="V61" s="2893"/>
      <c r="W61" s="2894"/>
      <c r="X61" s="2912"/>
      <c r="Y61" s="2908"/>
      <c r="Z61" s="2908"/>
      <c r="AA61" s="2908"/>
      <c r="AB61" s="2908"/>
      <c r="AC61" s="2908"/>
      <c r="AD61" s="2908"/>
      <c r="AE61" s="2908"/>
      <c r="AF61" s="2909"/>
    </row>
    <row r="62" spans="1:36" x14ac:dyDescent="0.25">
      <c r="A62" s="3650"/>
      <c r="B62" s="2927"/>
      <c r="C62" s="2927"/>
      <c r="D62" s="3651"/>
      <c r="E62" s="2889" t="s">
        <v>2778</v>
      </c>
      <c r="F62" s="2890"/>
      <c r="G62" s="2890"/>
      <c r="H62" s="2890"/>
      <c r="I62" s="2890"/>
      <c r="J62" s="2890"/>
      <c r="K62" s="2890"/>
      <c r="L62" s="2890"/>
      <c r="M62" s="2890"/>
      <c r="N62" s="2890"/>
      <c r="O62" s="2890"/>
      <c r="P62" s="2890"/>
      <c r="Q62" s="2913">
        <v>2.9220899095635033</v>
      </c>
      <c r="R62" s="2914"/>
      <c r="S62" s="2914"/>
      <c r="T62" s="2915"/>
      <c r="U62" s="2892" t="s">
        <v>82</v>
      </c>
      <c r="V62" s="2893"/>
      <c r="W62" s="2894"/>
      <c r="X62" s="2912"/>
      <c r="Y62" s="2908"/>
      <c r="Z62" s="2908"/>
      <c r="AA62" s="2908"/>
      <c r="AB62" s="2908"/>
      <c r="AC62" s="2908"/>
      <c r="AD62" s="2908"/>
      <c r="AE62" s="2908"/>
      <c r="AF62" s="2909"/>
    </row>
    <row r="63" spans="1:36" x14ac:dyDescent="0.25">
      <c r="A63" s="3650"/>
      <c r="B63" s="2927"/>
      <c r="C63" s="2927"/>
      <c r="D63" s="3651"/>
      <c r="E63" s="2889" t="s">
        <v>2779</v>
      </c>
      <c r="F63" s="2890"/>
      <c r="G63" s="2890"/>
      <c r="H63" s="2890"/>
      <c r="I63" s="2890"/>
      <c r="J63" s="2890"/>
      <c r="K63" s="2890"/>
      <c r="L63" s="2890"/>
      <c r="M63" s="2890"/>
      <c r="N63" s="2890"/>
      <c r="O63" s="2890"/>
      <c r="P63" s="2890"/>
      <c r="Q63" s="2913">
        <v>3.5123070520012698</v>
      </c>
      <c r="R63" s="2914"/>
      <c r="S63" s="2914"/>
      <c r="T63" s="2915"/>
      <c r="U63" s="2892" t="s">
        <v>82</v>
      </c>
      <c r="V63" s="2893"/>
      <c r="W63" s="2894"/>
      <c r="X63" s="2912"/>
      <c r="Y63" s="2908"/>
      <c r="Z63" s="2908"/>
      <c r="AA63" s="2908"/>
      <c r="AB63" s="2908"/>
      <c r="AC63" s="2908"/>
      <c r="AD63" s="2908"/>
      <c r="AE63" s="2908"/>
      <c r="AF63" s="2909"/>
      <c r="AJ63" s="683"/>
    </row>
    <row r="64" spans="1:36" ht="19.5" customHeight="1" x14ac:dyDescent="0.25">
      <c r="A64" s="3652"/>
      <c r="B64" s="3653"/>
      <c r="C64" s="3653"/>
      <c r="D64" s="3654"/>
      <c r="E64" s="2889" t="s">
        <v>2780</v>
      </c>
      <c r="F64" s="2890"/>
      <c r="G64" s="2890"/>
      <c r="H64" s="2890"/>
      <c r="I64" s="2890"/>
      <c r="J64" s="2890"/>
      <c r="K64" s="2890"/>
      <c r="L64" s="2890"/>
      <c r="M64" s="2890"/>
      <c r="N64" s="2890"/>
      <c r="O64" s="2890"/>
      <c r="P64" s="2890"/>
      <c r="Q64" s="2913">
        <v>4.3550973728533515</v>
      </c>
      <c r="R64" s="2914"/>
      <c r="S64" s="2914"/>
      <c r="T64" s="2915"/>
      <c r="U64" s="2917" t="s">
        <v>82</v>
      </c>
      <c r="V64" s="2918"/>
      <c r="W64" s="2919"/>
      <c r="X64" s="2478"/>
      <c r="Y64" s="2479"/>
      <c r="Z64" s="2479"/>
      <c r="AA64" s="2479"/>
      <c r="AB64" s="2479"/>
      <c r="AC64" s="2479"/>
      <c r="AD64" s="2479"/>
      <c r="AE64" s="2479"/>
      <c r="AF64" s="2480"/>
    </row>
    <row r="65" spans="1:36" ht="33" customHeight="1" x14ac:dyDescent="0.25">
      <c r="A65" s="2267" t="s">
        <v>2785</v>
      </c>
      <c r="B65" s="2268"/>
      <c r="C65" s="2268"/>
      <c r="D65" s="2269"/>
      <c r="E65" s="1494" t="s">
        <v>2786</v>
      </c>
      <c r="F65" s="1495"/>
      <c r="G65" s="1495"/>
      <c r="H65" s="1495"/>
      <c r="I65" s="1495"/>
      <c r="J65" s="1495"/>
      <c r="K65" s="1495"/>
      <c r="L65" s="1495"/>
      <c r="M65" s="1495"/>
      <c r="N65" s="1495"/>
      <c r="O65" s="1495"/>
      <c r="P65" s="1496"/>
      <c r="Q65" s="1497">
        <v>365</v>
      </c>
      <c r="R65" s="1498"/>
      <c r="S65" s="1498"/>
      <c r="T65" s="1499"/>
      <c r="U65" s="2917" t="s">
        <v>2787</v>
      </c>
      <c r="V65" s="2918"/>
      <c r="W65" s="2919"/>
      <c r="X65" s="1680" t="s">
        <v>2805</v>
      </c>
      <c r="Y65" s="1681"/>
      <c r="Z65" s="1681"/>
      <c r="AA65" s="1681"/>
      <c r="AB65" s="1681"/>
      <c r="AC65" s="1681"/>
      <c r="AD65" s="1681"/>
      <c r="AE65" s="1681"/>
      <c r="AF65" s="1682"/>
    </row>
    <row r="66" spans="1:36" ht="33" customHeight="1" x14ac:dyDescent="0.25">
      <c r="A66" s="3661" t="s">
        <v>7193</v>
      </c>
      <c r="B66" s="3648"/>
      <c r="C66" s="3648"/>
      <c r="D66" s="3648"/>
      <c r="E66" s="2475" t="s">
        <v>2789</v>
      </c>
      <c r="F66" s="2476"/>
      <c r="G66" s="2476"/>
      <c r="H66" s="2476"/>
      <c r="I66" s="2476"/>
      <c r="J66" s="2476"/>
      <c r="K66" s="2476"/>
      <c r="L66" s="2476"/>
      <c r="M66" s="2476"/>
      <c r="N66" s="2476"/>
      <c r="O66" s="2476"/>
      <c r="P66" s="2476"/>
      <c r="Q66" s="2672"/>
      <c r="R66" s="2673"/>
      <c r="S66" s="2673"/>
      <c r="T66" s="2674"/>
      <c r="U66" s="2884"/>
      <c r="V66" s="2884"/>
      <c r="W66" s="2885"/>
      <c r="X66" s="2476" t="s">
        <v>7052</v>
      </c>
      <c r="Y66" s="2476"/>
      <c r="Z66" s="2476"/>
      <c r="AA66" s="2476"/>
      <c r="AB66" s="2476"/>
      <c r="AC66" s="2476"/>
      <c r="AD66" s="2476"/>
      <c r="AE66" s="2476"/>
      <c r="AF66" s="2477"/>
      <c r="AI66" s="584"/>
    </row>
    <row r="67" spans="1:36" x14ac:dyDescent="0.25">
      <c r="A67" s="3650"/>
      <c r="B67" s="2927"/>
      <c r="C67" s="2927"/>
      <c r="D67" s="2927"/>
      <c r="E67" s="3644" t="s">
        <v>2776</v>
      </c>
      <c r="F67" s="3645"/>
      <c r="G67" s="3645"/>
      <c r="H67" s="3645"/>
      <c r="I67" s="3645"/>
      <c r="J67" s="3645"/>
      <c r="K67" s="3645"/>
      <c r="L67" s="3645"/>
      <c r="M67" s="3645"/>
      <c r="N67" s="3645"/>
      <c r="O67" s="3645"/>
      <c r="P67" s="3645"/>
      <c r="Q67" s="2889"/>
      <c r="R67" s="2890"/>
      <c r="S67" s="2890"/>
      <c r="T67" s="2891"/>
      <c r="U67" s="2893"/>
      <c r="V67" s="2893"/>
      <c r="W67" s="2894"/>
      <c r="X67" s="2908"/>
      <c r="Y67" s="2908"/>
      <c r="Z67" s="2908"/>
      <c r="AA67" s="2908"/>
      <c r="AB67" s="2908"/>
      <c r="AC67" s="2908"/>
      <c r="AD67" s="2908"/>
      <c r="AE67" s="2908"/>
      <c r="AF67" s="2909"/>
    </row>
    <row r="68" spans="1:36" x14ac:dyDescent="0.25">
      <c r="A68" s="3650"/>
      <c r="B68" s="2927"/>
      <c r="C68" s="2927"/>
      <c r="D68" s="2927"/>
      <c r="E68" s="2889" t="s">
        <v>2777</v>
      </c>
      <c r="F68" s="2890"/>
      <c r="G68" s="2890"/>
      <c r="H68" s="2890"/>
      <c r="I68" s="2890"/>
      <c r="J68" s="2890"/>
      <c r="K68" s="2890"/>
      <c r="L68" s="2890"/>
      <c r="M68" s="2890"/>
      <c r="N68" s="2890"/>
      <c r="O68" s="2890"/>
      <c r="P68" s="2890"/>
      <c r="Q68" s="2913">
        <v>5.6210885643846016</v>
      </c>
      <c r="R68" s="2914"/>
      <c r="S68" s="2914"/>
      <c r="T68" s="2915"/>
      <c r="U68" s="2892" t="s">
        <v>2790</v>
      </c>
      <c r="V68" s="2893"/>
      <c r="W68" s="2894"/>
      <c r="X68" s="2908"/>
      <c r="Y68" s="2908"/>
      <c r="Z68" s="2908"/>
      <c r="AA68" s="2908"/>
      <c r="AB68" s="2908"/>
      <c r="AC68" s="2908"/>
      <c r="AD68" s="2908"/>
      <c r="AE68" s="2908"/>
      <c r="AF68" s="2909"/>
    </row>
    <row r="69" spans="1:36" x14ac:dyDescent="0.25">
      <c r="A69" s="3650"/>
      <c r="B69" s="2927"/>
      <c r="C69" s="2927"/>
      <c r="D69" s="2927"/>
      <c r="E69" s="2889" t="s">
        <v>2778</v>
      </c>
      <c r="F69" s="2890"/>
      <c r="G69" s="2890"/>
      <c r="H69" s="2890"/>
      <c r="I69" s="2890"/>
      <c r="J69" s="2890"/>
      <c r="K69" s="2890"/>
      <c r="L69" s="2890"/>
      <c r="M69" s="2890"/>
      <c r="N69" s="2890"/>
      <c r="O69" s="2890"/>
      <c r="P69" s="2890"/>
      <c r="Q69" s="2913">
        <v>13.331069993775818</v>
      </c>
      <c r="R69" s="2914"/>
      <c r="S69" s="2914"/>
      <c r="T69" s="2915"/>
      <c r="U69" s="2892" t="s">
        <v>2790</v>
      </c>
      <c r="V69" s="2893"/>
      <c r="W69" s="2894"/>
      <c r="X69" s="2908"/>
      <c r="Y69" s="2908"/>
      <c r="Z69" s="2908"/>
      <c r="AA69" s="2908"/>
      <c r="AB69" s="2908"/>
      <c r="AC69" s="2908"/>
      <c r="AD69" s="2908"/>
      <c r="AE69" s="2908"/>
      <c r="AF69" s="2909"/>
      <c r="AJ69" s="683"/>
    </row>
    <row r="70" spans="1:36" x14ac:dyDescent="0.25">
      <c r="A70" s="3650"/>
      <c r="B70" s="2927"/>
      <c r="C70" s="2927"/>
      <c r="D70" s="2927"/>
      <c r="E70" s="2889" t="s">
        <v>2779</v>
      </c>
      <c r="F70" s="2890"/>
      <c r="G70" s="2890"/>
      <c r="H70" s="2890"/>
      <c r="I70" s="2890"/>
      <c r="J70" s="2890"/>
      <c r="K70" s="2890"/>
      <c r="L70" s="2890"/>
      <c r="M70" s="2890"/>
      <c r="N70" s="2890"/>
      <c r="O70" s="2890"/>
      <c r="P70" s="2890"/>
      <c r="Q70" s="2913">
        <v>12.065286091385657</v>
      </c>
      <c r="R70" s="2914"/>
      <c r="S70" s="2914"/>
      <c r="T70" s="2915"/>
      <c r="U70" s="2892" t="s">
        <v>2790</v>
      </c>
      <c r="V70" s="2893"/>
      <c r="W70" s="2894"/>
      <c r="X70" s="2908"/>
      <c r="Y70" s="2908"/>
      <c r="Z70" s="2908"/>
      <c r="AA70" s="2908"/>
      <c r="AB70" s="2908"/>
      <c r="AC70" s="2908"/>
      <c r="AD70" s="2908"/>
      <c r="AE70" s="2908"/>
      <c r="AF70" s="2909"/>
      <c r="AJ70" s="683"/>
    </row>
    <row r="71" spans="1:36" x14ac:dyDescent="0.25">
      <c r="A71" s="3650"/>
      <c r="B71" s="2927"/>
      <c r="C71" s="2927"/>
      <c r="D71" s="2927"/>
      <c r="E71" s="2889" t="s">
        <v>2780</v>
      </c>
      <c r="F71" s="2890"/>
      <c r="G71" s="2890"/>
      <c r="H71" s="2890"/>
      <c r="I71" s="2890"/>
      <c r="J71" s="2890"/>
      <c r="K71" s="2890"/>
      <c r="L71" s="2890"/>
      <c r="M71" s="2890"/>
      <c r="N71" s="2890"/>
      <c r="O71" s="2890"/>
      <c r="P71" s="2890"/>
      <c r="Q71" s="2913">
        <v>5.818315018315019</v>
      </c>
      <c r="R71" s="2914"/>
      <c r="S71" s="2914"/>
      <c r="T71" s="2915"/>
      <c r="U71" s="2892" t="s">
        <v>2790</v>
      </c>
      <c r="V71" s="2893"/>
      <c r="W71" s="2894"/>
      <c r="X71" s="2908"/>
      <c r="Y71" s="2908"/>
      <c r="Z71" s="2908"/>
      <c r="AA71" s="2908"/>
      <c r="AB71" s="2908"/>
      <c r="AC71" s="2908"/>
      <c r="AD71" s="2908"/>
      <c r="AE71" s="2908"/>
      <c r="AF71" s="2909"/>
    </row>
    <row r="72" spans="1:36" x14ac:dyDescent="0.25">
      <c r="A72" s="3650"/>
      <c r="B72" s="2927"/>
      <c r="C72" s="2927"/>
      <c r="D72" s="2927"/>
      <c r="E72" s="3644" t="s">
        <v>2781</v>
      </c>
      <c r="F72" s="3645"/>
      <c r="G72" s="3645"/>
      <c r="H72" s="3645"/>
      <c r="I72" s="3645"/>
      <c r="J72" s="3645"/>
      <c r="K72" s="3645"/>
      <c r="L72" s="3645"/>
      <c r="M72" s="3645"/>
      <c r="N72" s="3645"/>
      <c r="O72" s="3645"/>
      <c r="P72" s="3645"/>
      <c r="Q72" s="2889"/>
      <c r="R72" s="2890"/>
      <c r="S72" s="2890"/>
      <c r="T72" s="2891"/>
      <c r="U72" s="2893"/>
      <c r="V72" s="2893"/>
      <c r="W72" s="2894"/>
      <c r="X72" s="2908"/>
      <c r="Y72" s="2908"/>
      <c r="Z72" s="2908"/>
      <c r="AA72" s="2908"/>
      <c r="AB72" s="2908"/>
      <c r="AC72" s="2908"/>
      <c r="AD72" s="2908"/>
      <c r="AE72" s="2908"/>
      <c r="AF72" s="2909"/>
    </row>
    <row r="73" spans="1:36" x14ac:dyDescent="0.25">
      <c r="A73" s="3650"/>
      <c r="B73" s="2927"/>
      <c r="C73" s="2927"/>
      <c r="D73" s="2927"/>
      <c r="E73" s="2889" t="s">
        <v>2777</v>
      </c>
      <c r="F73" s="2890"/>
      <c r="G73" s="2890"/>
      <c r="H73" s="2890"/>
      <c r="I73" s="2890"/>
      <c r="J73" s="2890"/>
      <c r="K73" s="2890"/>
      <c r="L73" s="2890"/>
      <c r="M73" s="2890"/>
      <c r="N73" s="2890"/>
      <c r="O73" s="2890"/>
      <c r="P73" s="2890"/>
      <c r="Q73" s="2913">
        <v>10.977777777777778</v>
      </c>
      <c r="R73" s="2914"/>
      <c r="S73" s="2914"/>
      <c r="T73" s="2915"/>
      <c r="U73" s="2892" t="s">
        <v>2790</v>
      </c>
      <c r="V73" s="2893"/>
      <c r="W73" s="2894"/>
      <c r="X73" s="2908"/>
      <c r="Y73" s="2908"/>
      <c r="Z73" s="2908"/>
      <c r="AA73" s="2908"/>
      <c r="AB73" s="2908"/>
      <c r="AC73" s="2908"/>
      <c r="AD73" s="2908"/>
      <c r="AE73" s="2908"/>
      <c r="AF73" s="2909"/>
    </row>
    <row r="74" spans="1:36" x14ac:dyDescent="0.25">
      <c r="A74" s="3650"/>
      <c r="B74" s="2927"/>
      <c r="C74" s="2927"/>
      <c r="D74" s="2927"/>
      <c r="E74" s="2889" t="s">
        <v>2778</v>
      </c>
      <c r="F74" s="2890"/>
      <c r="G74" s="2890"/>
      <c r="H74" s="2890"/>
      <c r="I74" s="2890"/>
      <c r="J74" s="2890"/>
      <c r="K74" s="2890"/>
      <c r="L74" s="2890"/>
      <c r="M74" s="2890"/>
      <c r="N74" s="2890"/>
      <c r="O74" s="2890"/>
      <c r="P74" s="2890"/>
      <c r="Q74" s="2913">
        <v>13.331069993775818</v>
      </c>
      <c r="R74" s="2914"/>
      <c r="S74" s="2914"/>
      <c r="T74" s="2915"/>
      <c r="U74" s="2892" t="s">
        <v>2790</v>
      </c>
      <c r="V74" s="2893"/>
      <c r="W74" s="2894"/>
      <c r="X74" s="2908"/>
      <c r="Y74" s="2908"/>
      <c r="Z74" s="2908"/>
      <c r="AA74" s="2908"/>
      <c r="AB74" s="2908"/>
      <c r="AC74" s="2908"/>
      <c r="AD74" s="2908"/>
      <c r="AE74" s="2908"/>
      <c r="AF74" s="2909"/>
    </row>
    <row r="75" spans="1:36" x14ac:dyDescent="0.25">
      <c r="A75" s="3650"/>
      <c r="B75" s="2927"/>
      <c r="C75" s="2927"/>
      <c r="D75" s="2927"/>
      <c r="E75" s="2889" t="s">
        <v>2779</v>
      </c>
      <c r="F75" s="2890"/>
      <c r="G75" s="2890"/>
      <c r="H75" s="2890"/>
      <c r="I75" s="2890"/>
      <c r="J75" s="2890"/>
      <c r="K75" s="2890"/>
      <c r="L75" s="2890"/>
      <c r="M75" s="2890"/>
      <c r="N75" s="2890"/>
      <c r="O75" s="2890"/>
      <c r="P75" s="2890"/>
      <c r="Q75" s="2913">
        <v>12.065286091385657</v>
      </c>
      <c r="R75" s="2914"/>
      <c r="S75" s="2914"/>
      <c r="T75" s="2915"/>
      <c r="U75" s="2892" t="s">
        <v>2790</v>
      </c>
      <c r="V75" s="2893"/>
      <c r="W75" s="2894"/>
      <c r="X75" s="2908"/>
      <c r="Y75" s="2908"/>
      <c r="Z75" s="2908"/>
      <c r="AA75" s="2908"/>
      <c r="AB75" s="2908"/>
      <c r="AC75" s="2908"/>
      <c r="AD75" s="2908"/>
      <c r="AE75" s="2908"/>
      <c r="AF75" s="2909"/>
    </row>
    <row r="76" spans="1:36" x14ac:dyDescent="0.25">
      <c r="A76" s="3652"/>
      <c r="B76" s="3653"/>
      <c r="C76" s="3653"/>
      <c r="D76" s="3653"/>
      <c r="E76" s="3655" t="s">
        <v>2780</v>
      </c>
      <c r="F76" s="3656"/>
      <c r="G76" s="3656"/>
      <c r="H76" s="3656"/>
      <c r="I76" s="3656"/>
      <c r="J76" s="3656"/>
      <c r="K76" s="3656"/>
      <c r="L76" s="3656"/>
      <c r="M76" s="3656"/>
      <c r="N76" s="3656"/>
      <c r="O76" s="3656"/>
      <c r="P76" s="3656"/>
      <c r="Q76" s="3658">
        <v>11.921568627450981</v>
      </c>
      <c r="R76" s="3659"/>
      <c r="S76" s="3659"/>
      <c r="T76" s="3660"/>
      <c r="U76" s="2892" t="s">
        <v>2790</v>
      </c>
      <c r="V76" s="2893"/>
      <c r="W76" s="2894"/>
      <c r="X76" s="2479"/>
      <c r="Y76" s="2479"/>
      <c r="Z76" s="2479"/>
      <c r="AA76" s="2479"/>
      <c r="AB76" s="2479"/>
      <c r="AC76" s="2479"/>
      <c r="AD76" s="2479"/>
      <c r="AE76" s="2479"/>
      <c r="AF76" s="2480"/>
    </row>
    <row r="77" spans="1:36" ht="34.5" customHeight="1" x14ac:dyDescent="0.25">
      <c r="A77" s="3647" t="s">
        <v>7194</v>
      </c>
      <c r="B77" s="3648"/>
      <c r="C77" s="3648"/>
      <c r="D77" s="3649"/>
      <c r="E77" s="2475" t="s">
        <v>2792</v>
      </c>
      <c r="F77" s="2476"/>
      <c r="G77" s="2476"/>
      <c r="H77" s="2476"/>
      <c r="I77" s="2476"/>
      <c r="J77" s="2476"/>
      <c r="K77" s="2476"/>
      <c r="L77" s="2476"/>
      <c r="M77" s="2476"/>
      <c r="N77" s="2476"/>
      <c r="O77" s="2476"/>
      <c r="P77" s="2477"/>
      <c r="Q77" s="2672"/>
      <c r="R77" s="2673"/>
      <c r="S77" s="2673"/>
      <c r="T77" s="2674"/>
      <c r="U77" s="2883"/>
      <c r="V77" s="2884"/>
      <c r="W77" s="2885"/>
      <c r="X77" s="2475" t="s">
        <v>7051</v>
      </c>
      <c r="Y77" s="2476"/>
      <c r="Z77" s="2476"/>
      <c r="AA77" s="2476"/>
      <c r="AB77" s="2476"/>
      <c r="AC77" s="2476"/>
      <c r="AD77" s="2476"/>
      <c r="AE77" s="2476"/>
      <c r="AF77" s="2477"/>
      <c r="AI77" s="584"/>
    </row>
    <row r="78" spans="1:36" x14ac:dyDescent="0.25">
      <c r="A78" s="3650"/>
      <c r="B78" s="2927"/>
      <c r="C78" s="2927"/>
      <c r="D78" s="3651"/>
      <c r="E78" s="3644" t="s">
        <v>2784</v>
      </c>
      <c r="F78" s="3645"/>
      <c r="G78" s="3645"/>
      <c r="H78" s="3645"/>
      <c r="I78" s="3645"/>
      <c r="J78" s="3645"/>
      <c r="K78" s="3645"/>
      <c r="L78" s="3645"/>
      <c r="M78" s="3645"/>
      <c r="N78" s="3645"/>
      <c r="O78" s="3645"/>
      <c r="P78" s="3646"/>
      <c r="Q78" s="2889"/>
      <c r="R78" s="2890"/>
      <c r="S78" s="2890"/>
      <c r="T78" s="2891"/>
      <c r="U78" s="2892"/>
      <c r="V78" s="2893"/>
      <c r="W78" s="2894"/>
      <c r="X78" s="2912"/>
      <c r="Y78" s="2908"/>
      <c r="Z78" s="2908"/>
      <c r="AA78" s="2908"/>
      <c r="AB78" s="2908"/>
      <c r="AC78" s="2908"/>
      <c r="AD78" s="2908"/>
      <c r="AE78" s="2908"/>
      <c r="AF78" s="2909"/>
    </row>
    <row r="79" spans="1:36" x14ac:dyDescent="0.25">
      <c r="A79" s="3650"/>
      <c r="B79" s="2927"/>
      <c r="C79" s="2927"/>
      <c r="D79" s="3651"/>
      <c r="E79" s="2889" t="s">
        <v>2777</v>
      </c>
      <c r="F79" s="2890"/>
      <c r="G79" s="2890"/>
      <c r="H79" s="2890"/>
      <c r="I79" s="2890"/>
      <c r="J79" s="2890"/>
      <c r="K79" s="2890"/>
      <c r="L79" s="2890"/>
      <c r="M79" s="2890"/>
      <c r="N79" s="2890"/>
      <c r="O79" s="2890"/>
      <c r="P79" s="2891"/>
      <c r="Q79" s="2913">
        <v>13.333333333333334</v>
      </c>
      <c r="R79" s="2914"/>
      <c r="S79" s="2914"/>
      <c r="T79" s="2915"/>
      <c r="U79" s="2892" t="s">
        <v>2790</v>
      </c>
      <c r="V79" s="2893"/>
      <c r="W79" s="2894"/>
      <c r="X79" s="2912"/>
      <c r="Y79" s="2908"/>
      <c r="Z79" s="2908"/>
      <c r="AA79" s="2908"/>
      <c r="AB79" s="2908"/>
      <c r="AC79" s="2908"/>
      <c r="AD79" s="2908"/>
      <c r="AE79" s="2908"/>
      <c r="AF79" s="2909"/>
    </row>
    <row r="80" spans="1:36" x14ac:dyDescent="0.25">
      <c r="A80" s="3650"/>
      <c r="B80" s="2927"/>
      <c r="C80" s="2927"/>
      <c r="D80" s="3651"/>
      <c r="E80" s="2889" t="s">
        <v>2778</v>
      </c>
      <c r="F80" s="2890"/>
      <c r="G80" s="2890"/>
      <c r="H80" s="2890"/>
      <c r="I80" s="2890"/>
      <c r="J80" s="2890"/>
      <c r="K80" s="2890"/>
      <c r="L80" s="2890"/>
      <c r="M80" s="2890"/>
      <c r="N80" s="2890"/>
      <c r="O80" s="2890"/>
      <c r="P80" s="2891"/>
      <c r="Q80" s="2913">
        <v>16.281062553556129</v>
      </c>
      <c r="R80" s="2914"/>
      <c r="S80" s="2914"/>
      <c r="T80" s="2915"/>
      <c r="U80" s="2892" t="s">
        <v>2790</v>
      </c>
      <c r="V80" s="2893"/>
      <c r="W80" s="2894"/>
      <c r="X80" s="2912"/>
      <c r="Y80" s="2908"/>
      <c r="Z80" s="2908"/>
      <c r="AA80" s="2908"/>
      <c r="AB80" s="2908"/>
      <c r="AC80" s="2908"/>
      <c r="AD80" s="2908"/>
      <c r="AE80" s="2908"/>
      <c r="AF80" s="2909"/>
    </row>
    <row r="81" spans="1:36" x14ac:dyDescent="0.25">
      <c r="A81" s="3650"/>
      <c r="B81" s="2927"/>
      <c r="C81" s="2927"/>
      <c r="D81" s="3651"/>
      <c r="E81" s="2889" t="s">
        <v>2779</v>
      </c>
      <c r="F81" s="2890"/>
      <c r="G81" s="2890"/>
      <c r="H81" s="2890"/>
      <c r="I81" s="2890"/>
      <c r="J81" s="2890"/>
      <c r="K81" s="2890"/>
      <c r="L81" s="2890"/>
      <c r="M81" s="2890"/>
      <c r="N81" s="2890"/>
      <c r="O81" s="2890"/>
      <c r="P81" s="2891"/>
      <c r="Q81" s="2913">
        <v>17.095115681233935</v>
      </c>
      <c r="R81" s="2914"/>
      <c r="S81" s="2914"/>
      <c r="T81" s="2915"/>
      <c r="U81" s="2892" t="s">
        <v>2790</v>
      </c>
      <c r="V81" s="2893"/>
      <c r="W81" s="2894"/>
      <c r="X81" s="2912"/>
      <c r="Y81" s="2908"/>
      <c r="Z81" s="2908"/>
      <c r="AA81" s="2908"/>
      <c r="AB81" s="2908"/>
      <c r="AC81" s="2908"/>
      <c r="AD81" s="2908"/>
      <c r="AE81" s="2908"/>
      <c r="AF81" s="2909"/>
    </row>
    <row r="82" spans="1:36" ht="36" customHeight="1" x14ac:dyDescent="0.25">
      <c r="A82" s="3652"/>
      <c r="B82" s="3653"/>
      <c r="C82" s="3653"/>
      <c r="D82" s="3654"/>
      <c r="E82" s="3655" t="s">
        <v>2780</v>
      </c>
      <c r="F82" s="3656"/>
      <c r="G82" s="3656"/>
      <c r="H82" s="3656"/>
      <c r="I82" s="3656"/>
      <c r="J82" s="3656"/>
      <c r="K82" s="3656"/>
      <c r="L82" s="3656"/>
      <c r="M82" s="3656"/>
      <c r="N82" s="3656"/>
      <c r="O82" s="3656"/>
      <c r="P82" s="3657"/>
      <c r="Q82" s="3658">
        <v>17.90916880891174</v>
      </c>
      <c r="R82" s="3659"/>
      <c r="S82" s="3659"/>
      <c r="T82" s="3660"/>
      <c r="U82" s="2892" t="s">
        <v>2790</v>
      </c>
      <c r="V82" s="2893"/>
      <c r="W82" s="2894"/>
      <c r="X82" s="2478"/>
      <c r="Y82" s="2479"/>
      <c r="Z82" s="2479"/>
      <c r="AA82" s="2479"/>
      <c r="AB82" s="2479"/>
      <c r="AC82" s="2479"/>
      <c r="AD82" s="2479"/>
      <c r="AE82" s="2479"/>
      <c r="AF82" s="2480"/>
    </row>
    <row r="83" spans="1:36" ht="31.5" customHeight="1" x14ac:dyDescent="0.25">
      <c r="A83" s="3661" t="s">
        <v>7195</v>
      </c>
      <c r="B83" s="3648"/>
      <c r="C83" s="3648"/>
      <c r="D83" s="3648"/>
      <c r="E83" s="2475" t="s">
        <v>2794</v>
      </c>
      <c r="F83" s="2476"/>
      <c r="G83" s="2476"/>
      <c r="H83" s="2476"/>
      <c r="I83" s="2476"/>
      <c r="J83" s="2476"/>
      <c r="K83" s="2476"/>
      <c r="L83" s="2476"/>
      <c r="M83" s="2476"/>
      <c r="N83" s="2476"/>
      <c r="O83" s="2476"/>
      <c r="P83" s="2476"/>
      <c r="Q83" s="2672"/>
      <c r="R83" s="2673"/>
      <c r="S83" s="2673"/>
      <c r="T83" s="2674"/>
      <c r="U83" s="2884"/>
      <c r="V83" s="2884"/>
      <c r="W83" s="2885"/>
      <c r="X83" s="2476" t="s">
        <v>2806</v>
      </c>
      <c r="Y83" s="2476"/>
      <c r="Z83" s="2476"/>
      <c r="AA83" s="2476"/>
      <c r="AB83" s="2476"/>
      <c r="AC83" s="2476"/>
      <c r="AD83" s="2476"/>
      <c r="AE83" s="2476"/>
      <c r="AF83" s="2477"/>
    </row>
    <row r="84" spans="1:36" x14ac:dyDescent="0.25">
      <c r="A84" s="3650"/>
      <c r="B84" s="2927"/>
      <c r="C84" s="2927"/>
      <c r="D84" s="2927"/>
      <c r="E84" s="3644" t="s">
        <v>2776</v>
      </c>
      <c r="F84" s="3645"/>
      <c r="G84" s="3645"/>
      <c r="H84" s="3645"/>
      <c r="I84" s="3645"/>
      <c r="J84" s="3645"/>
      <c r="K84" s="3645"/>
      <c r="L84" s="3645"/>
      <c r="M84" s="3645"/>
      <c r="N84" s="3645"/>
      <c r="O84" s="3645"/>
      <c r="P84" s="3645"/>
      <c r="Q84" s="2889"/>
      <c r="R84" s="2890"/>
      <c r="S84" s="2890"/>
      <c r="T84" s="2891"/>
      <c r="U84" s="2893"/>
      <c r="V84" s="2893"/>
      <c r="W84" s="2894"/>
      <c r="X84" s="2908"/>
      <c r="Y84" s="2908"/>
      <c r="Z84" s="2908"/>
      <c r="AA84" s="2908"/>
      <c r="AB84" s="2908"/>
      <c r="AC84" s="2908"/>
      <c r="AD84" s="2908"/>
      <c r="AE84" s="2908"/>
      <c r="AF84" s="2909"/>
    </row>
    <row r="85" spans="1:36" x14ac:dyDescent="0.25">
      <c r="A85" s="3650"/>
      <c r="B85" s="2927"/>
      <c r="C85" s="2927"/>
      <c r="D85" s="2927"/>
      <c r="E85" s="2889" t="s">
        <v>2777</v>
      </c>
      <c r="F85" s="2890"/>
      <c r="G85" s="2890"/>
      <c r="H85" s="2890"/>
      <c r="I85" s="2890"/>
      <c r="J85" s="2890"/>
      <c r="K85" s="2890"/>
      <c r="L85" s="2890"/>
      <c r="M85" s="2890"/>
      <c r="N85" s="2890"/>
      <c r="O85" s="2890"/>
      <c r="P85" s="2890"/>
      <c r="Q85" s="2898">
        <f>Q68/24</f>
        <v>0.23421202351602508</v>
      </c>
      <c r="R85" s="2899"/>
      <c r="S85" s="2899"/>
      <c r="T85" s="2900"/>
      <c r="U85" s="2892"/>
      <c r="V85" s="2893"/>
      <c r="W85" s="2894"/>
      <c r="X85" s="2908"/>
      <c r="Y85" s="2908"/>
      <c r="Z85" s="2908"/>
      <c r="AA85" s="2908"/>
      <c r="AB85" s="2908"/>
      <c r="AC85" s="2908"/>
      <c r="AD85" s="2908"/>
      <c r="AE85" s="2908"/>
      <c r="AF85" s="2909"/>
    </row>
    <row r="86" spans="1:36" x14ac:dyDescent="0.25">
      <c r="A86" s="3650"/>
      <c r="B86" s="2927"/>
      <c r="C86" s="2927"/>
      <c r="D86" s="2927"/>
      <c r="E86" s="2889" t="s">
        <v>2778</v>
      </c>
      <c r="F86" s="2890"/>
      <c r="G86" s="2890"/>
      <c r="H86" s="2890"/>
      <c r="I86" s="2890"/>
      <c r="J86" s="2890"/>
      <c r="K86" s="2890"/>
      <c r="L86" s="2890"/>
      <c r="M86" s="2890"/>
      <c r="N86" s="2890"/>
      <c r="O86" s="2890"/>
      <c r="P86" s="2890"/>
      <c r="Q86" s="2898">
        <f>Q69/24</f>
        <v>0.55546124974065914</v>
      </c>
      <c r="R86" s="2899"/>
      <c r="S86" s="2899"/>
      <c r="T86" s="2900"/>
      <c r="U86" s="2892"/>
      <c r="V86" s="2893"/>
      <c r="W86" s="2894"/>
      <c r="X86" s="2908"/>
      <c r="Y86" s="2908"/>
      <c r="Z86" s="2908"/>
      <c r="AA86" s="2908"/>
      <c r="AB86" s="2908"/>
      <c r="AC86" s="2908"/>
      <c r="AD86" s="2908"/>
      <c r="AE86" s="2908"/>
      <c r="AF86" s="2909"/>
      <c r="AJ86" s="683"/>
    </row>
    <row r="87" spans="1:36" x14ac:dyDescent="0.25">
      <c r="A87" s="3650"/>
      <c r="B87" s="2927"/>
      <c r="C87" s="2927"/>
      <c r="D87" s="2927"/>
      <c r="E87" s="2889" t="s">
        <v>2779</v>
      </c>
      <c r="F87" s="2890"/>
      <c r="G87" s="2890"/>
      <c r="H87" s="2890"/>
      <c r="I87" s="2890"/>
      <c r="J87" s="2890"/>
      <c r="K87" s="2890"/>
      <c r="L87" s="2890"/>
      <c r="M87" s="2890"/>
      <c r="N87" s="2890"/>
      <c r="O87" s="2890"/>
      <c r="P87" s="2890"/>
      <c r="Q87" s="2898">
        <f t="shared" ref="Q87:Q88" si="0">Q70/24</f>
        <v>0.50272025380773566</v>
      </c>
      <c r="R87" s="2899"/>
      <c r="S87" s="2899"/>
      <c r="T87" s="2900"/>
      <c r="U87" s="2892"/>
      <c r="V87" s="2893"/>
      <c r="W87" s="2894"/>
      <c r="X87" s="2908"/>
      <c r="Y87" s="2908"/>
      <c r="Z87" s="2908"/>
      <c r="AA87" s="2908"/>
      <c r="AB87" s="2908"/>
      <c r="AC87" s="2908"/>
      <c r="AD87" s="2908"/>
      <c r="AE87" s="2908"/>
      <c r="AF87" s="2909"/>
      <c r="AJ87" s="683"/>
    </row>
    <row r="88" spans="1:36" x14ac:dyDescent="0.25">
      <c r="A88" s="3650"/>
      <c r="B88" s="2927"/>
      <c r="C88" s="2927"/>
      <c r="D88" s="2927"/>
      <c r="E88" s="2889" t="s">
        <v>2780</v>
      </c>
      <c r="F88" s="2890"/>
      <c r="G88" s="2890"/>
      <c r="H88" s="2890"/>
      <c r="I88" s="2890"/>
      <c r="J88" s="2890"/>
      <c r="K88" s="2890"/>
      <c r="L88" s="2890"/>
      <c r="M88" s="2890"/>
      <c r="N88" s="2890"/>
      <c r="O88" s="2890"/>
      <c r="P88" s="2890"/>
      <c r="Q88" s="2898">
        <f t="shared" si="0"/>
        <v>0.24242979242979246</v>
      </c>
      <c r="R88" s="2899"/>
      <c r="S88" s="2899"/>
      <c r="T88" s="2900"/>
      <c r="U88" s="2892"/>
      <c r="V88" s="2893"/>
      <c r="W88" s="2894"/>
      <c r="X88" s="2908"/>
      <c r="Y88" s="2908"/>
      <c r="Z88" s="2908"/>
      <c r="AA88" s="2908"/>
      <c r="AB88" s="2908"/>
      <c r="AC88" s="2908"/>
      <c r="AD88" s="2908"/>
      <c r="AE88" s="2908"/>
      <c r="AF88" s="2909"/>
    </row>
    <row r="89" spans="1:36" x14ac:dyDescent="0.25">
      <c r="A89" s="3650"/>
      <c r="B89" s="2927"/>
      <c r="C89" s="2927"/>
      <c r="D89" s="2927"/>
      <c r="E89" s="3644" t="s">
        <v>2781</v>
      </c>
      <c r="F89" s="3645"/>
      <c r="G89" s="3645"/>
      <c r="H89" s="3645"/>
      <c r="I89" s="3645"/>
      <c r="J89" s="3645"/>
      <c r="K89" s="3645"/>
      <c r="L89" s="3645"/>
      <c r="M89" s="3645"/>
      <c r="N89" s="3645"/>
      <c r="O89" s="3645"/>
      <c r="P89" s="3645"/>
      <c r="Q89" s="2898"/>
      <c r="R89" s="2899"/>
      <c r="S89" s="2899"/>
      <c r="T89" s="2900"/>
      <c r="U89" s="2893"/>
      <c r="V89" s="2893"/>
      <c r="W89" s="2894"/>
      <c r="X89" s="2908"/>
      <c r="Y89" s="2908"/>
      <c r="Z89" s="2908"/>
      <c r="AA89" s="2908"/>
      <c r="AB89" s="2908"/>
      <c r="AC89" s="2908"/>
      <c r="AD89" s="2908"/>
      <c r="AE89" s="2908"/>
      <c r="AF89" s="2909"/>
    </row>
    <row r="90" spans="1:36" x14ac:dyDescent="0.25">
      <c r="A90" s="3650"/>
      <c r="B90" s="2927"/>
      <c r="C90" s="2927"/>
      <c r="D90" s="2927"/>
      <c r="E90" s="2889" t="s">
        <v>2777</v>
      </c>
      <c r="F90" s="2890"/>
      <c r="G90" s="2890"/>
      <c r="H90" s="2890"/>
      <c r="I90" s="2890"/>
      <c r="J90" s="2890"/>
      <c r="K90" s="2890"/>
      <c r="L90" s="2890"/>
      <c r="M90" s="2890"/>
      <c r="N90" s="2890"/>
      <c r="O90" s="2890"/>
      <c r="P90" s="2890"/>
      <c r="Q90" s="2898">
        <f t="shared" ref="Q90:Q93" si="1">Q73/24</f>
        <v>0.45740740740740743</v>
      </c>
      <c r="R90" s="2899"/>
      <c r="S90" s="2899"/>
      <c r="T90" s="2900"/>
      <c r="U90" s="2892"/>
      <c r="V90" s="2893"/>
      <c r="W90" s="2894"/>
      <c r="X90" s="2908"/>
      <c r="Y90" s="2908"/>
      <c r="Z90" s="2908"/>
      <c r="AA90" s="2908"/>
      <c r="AB90" s="2908"/>
      <c r="AC90" s="2908"/>
      <c r="AD90" s="2908"/>
      <c r="AE90" s="2908"/>
      <c r="AF90" s="2909"/>
    </row>
    <row r="91" spans="1:36" x14ac:dyDescent="0.25">
      <c r="A91" s="3650"/>
      <c r="B91" s="2927"/>
      <c r="C91" s="2927"/>
      <c r="D91" s="2927"/>
      <c r="E91" s="2889" t="s">
        <v>2778</v>
      </c>
      <c r="F91" s="2890"/>
      <c r="G91" s="2890"/>
      <c r="H91" s="2890"/>
      <c r="I91" s="2890"/>
      <c r="J91" s="2890"/>
      <c r="K91" s="2890"/>
      <c r="L91" s="2890"/>
      <c r="M91" s="2890"/>
      <c r="N91" s="2890"/>
      <c r="O91" s="2890"/>
      <c r="P91" s="2890"/>
      <c r="Q91" s="2898">
        <f t="shared" si="1"/>
        <v>0.55546124974065914</v>
      </c>
      <c r="R91" s="2899"/>
      <c r="S91" s="2899"/>
      <c r="T91" s="2900"/>
      <c r="U91" s="2892"/>
      <c r="V91" s="2893"/>
      <c r="W91" s="2894"/>
      <c r="X91" s="2908"/>
      <c r="Y91" s="2908"/>
      <c r="Z91" s="2908"/>
      <c r="AA91" s="2908"/>
      <c r="AB91" s="2908"/>
      <c r="AC91" s="2908"/>
      <c r="AD91" s="2908"/>
      <c r="AE91" s="2908"/>
      <c r="AF91" s="2909"/>
      <c r="AI91" s="683"/>
    </row>
    <row r="92" spans="1:36" x14ac:dyDescent="0.25">
      <c r="A92" s="3650"/>
      <c r="B92" s="2927"/>
      <c r="C92" s="2927"/>
      <c r="D92" s="2927"/>
      <c r="E92" s="2889" t="s">
        <v>2779</v>
      </c>
      <c r="F92" s="2890"/>
      <c r="G92" s="2890"/>
      <c r="H92" s="2890"/>
      <c r="I92" s="2890"/>
      <c r="J92" s="2890"/>
      <c r="K92" s="2890"/>
      <c r="L92" s="2890"/>
      <c r="M92" s="2890"/>
      <c r="N92" s="2890"/>
      <c r="O92" s="2890"/>
      <c r="P92" s="2890"/>
      <c r="Q92" s="2898">
        <f t="shared" si="1"/>
        <v>0.50272025380773566</v>
      </c>
      <c r="R92" s="2899"/>
      <c r="S92" s="2899"/>
      <c r="T92" s="2900"/>
      <c r="U92" s="2892"/>
      <c r="V92" s="2893"/>
      <c r="W92" s="2894"/>
      <c r="X92" s="2908"/>
      <c r="Y92" s="2908"/>
      <c r="Z92" s="2908"/>
      <c r="AA92" s="2908"/>
      <c r="AB92" s="2908"/>
      <c r="AC92" s="2908"/>
      <c r="AD92" s="2908"/>
      <c r="AE92" s="2908"/>
      <c r="AF92" s="2909"/>
      <c r="AI92" s="683"/>
    </row>
    <row r="93" spans="1:36" x14ac:dyDescent="0.25">
      <c r="A93" s="3652"/>
      <c r="B93" s="3653"/>
      <c r="C93" s="3653"/>
      <c r="D93" s="3653"/>
      <c r="E93" s="3655" t="s">
        <v>2780</v>
      </c>
      <c r="F93" s="3656"/>
      <c r="G93" s="3656"/>
      <c r="H93" s="3656"/>
      <c r="I93" s="3656"/>
      <c r="J93" s="3656"/>
      <c r="K93" s="3656"/>
      <c r="L93" s="3656"/>
      <c r="M93" s="3656"/>
      <c r="N93" s="3656"/>
      <c r="O93" s="3656"/>
      <c r="P93" s="3656"/>
      <c r="Q93" s="2898">
        <f t="shared" si="1"/>
        <v>0.49673202614379086</v>
      </c>
      <c r="R93" s="2899"/>
      <c r="S93" s="2899"/>
      <c r="T93" s="2900"/>
      <c r="U93" s="2892"/>
      <c r="V93" s="2893"/>
      <c r="W93" s="2894"/>
      <c r="X93" s="2479"/>
      <c r="Y93" s="2479"/>
      <c r="Z93" s="2479"/>
      <c r="AA93" s="2479"/>
      <c r="AB93" s="2479"/>
      <c r="AC93" s="2479"/>
      <c r="AD93" s="2479"/>
      <c r="AE93" s="2479"/>
      <c r="AF93" s="2480"/>
    </row>
    <row r="94" spans="1:36" ht="32.25" customHeight="1" x14ac:dyDescent="0.25">
      <c r="A94" s="3647" t="s">
        <v>7196</v>
      </c>
      <c r="B94" s="3648"/>
      <c r="C94" s="3648"/>
      <c r="D94" s="3649"/>
      <c r="E94" s="2475" t="s">
        <v>2796</v>
      </c>
      <c r="F94" s="2476"/>
      <c r="G94" s="2476"/>
      <c r="H94" s="2476"/>
      <c r="I94" s="2476"/>
      <c r="J94" s="2476"/>
      <c r="K94" s="2476"/>
      <c r="L94" s="2476"/>
      <c r="M94" s="2476"/>
      <c r="N94" s="2476"/>
      <c r="O94" s="2476"/>
      <c r="P94" s="2477"/>
      <c r="Q94" s="2672"/>
      <c r="R94" s="2673"/>
      <c r="S94" s="2673"/>
      <c r="T94" s="2674"/>
      <c r="U94" s="2883"/>
      <c r="V94" s="2884"/>
      <c r="W94" s="2885"/>
      <c r="X94" s="2475" t="s">
        <v>2806</v>
      </c>
      <c r="Y94" s="2476"/>
      <c r="Z94" s="2476"/>
      <c r="AA94" s="2476"/>
      <c r="AB94" s="2476"/>
      <c r="AC94" s="2476"/>
      <c r="AD94" s="2476"/>
      <c r="AE94" s="2476"/>
      <c r="AF94" s="2477"/>
    </row>
    <row r="95" spans="1:36" x14ac:dyDescent="0.25">
      <c r="A95" s="3650"/>
      <c r="B95" s="2927"/>
      <c r="C95" s="2927"/>
      <c r="D95" s="3651"/>
      <c r="E95" s="3644" t="s">
        <v>2784</v>
      </c>
      <c r="F95" s="3645"/>
      <c r="G95" s="3645"/>
      <c r="H95" s="3645"/>
      <c r="I95" s="3645"/>
      <c r="J95" s="3645"/>
      <c r="K95" s="3645"/>
      <c r="L95" s="3645"/>
      <c r="M95" s="3645"/>
      <c r="N95" s="3645"/>
      <c r="O95" s="3645"/>
      <c r="P95" s="3646"/>
      <c r="Q95" s="2889"/>
      <c r="R95" s="2890"/>
      <c r="S95" s="2890"/>
      <c r="T95" s="2891"/>
      <c r="U95" s="2892"/>
      <c r="V95" s="2893"/>
      <c r="W95" s="2894"/>
      <c r="X95" s="2912"/>
      <c r="Y95" s="2908"/>
      <c r="Z95" s="2908"/>
      <c r="AA95" s="2908"/>
      <c r="AB95" s="2908"/>
      <c r="AC95" s="2908"/>
      <c r="AD95" s="2908"/>
      <c r="AE95" s="2908"/>
      <c r="AF95" s="2909"/>
    </row>
    <row r="96" spans="1:36" x14ac:dyDescent="0.25">
      <c r="A96" s="3650"/>
      <c r="B96" s="2927"/>
      <c r="C96" s="2927"/>
      <c r="D96" s="3651"/>
      <c r="E96" s="2889" t="s">
        <v>2777</v>
      </c>
      <c r="F96" s="2890"/>
      <c r="G96" s="2890"/>
      <c r="H96" s="2890"/>
      <c r="I96" s="2890"/>
      <c r="J96" s="2890"/>
      <c r="K96" s="2890"/>
      <c r="L96" s="2890"/>
      <c r="M96" s="2890"/>
      <c r="N96" s="2890"/>
      <c r="O96" s="2890"/>
      <c r="P96" s="2891"/>
      <c r="Q96" s="2898">
        <f>Q79/24</f>
        <v>0.55555555555555558</v>
      </c>
      <c r="R96" s="2899"/>
      <c r="S96" s="2899"/>
      <c r="T96" s="2900"/>
      <c r="U96" s="2892"/>
      <c r="V96" s="2893"/>
      <c r="W96" s="2894"/>
      <c r="X96" s="2912"/>
      <c r="Y96" s="2908"/>
      <c r="Z96" s="2908"/>
      <c r="AA96" s="2908"/>
      <c r="AB96" s="2908"/>
      <c r="AC96" s="2908"/>
      <c r="AD96" s="2908"/>
      <c r="AE96" s="2908"/>
      <c r="AF96" s="2909"/>
    </row>
    <row r="97" spans="1:36" x14ac:dyDescent="0.25">
      <c r="A97" s="3650"/>
      <c r="B97" s="2927"/>
      <c r="C97" s="2927"/>
      <c r="D97" s="3651"/>
      <c r="E97" s="2889" t="s">
        <v>2778</v>
      </c>
      <c r="F97" s="2890"/>
      <c r="G97" s="2890"/>
      <c r="H97" s="2890"/>
      <c r="I97" s="2890"/>
      <c r="J97" s="2890"/>
      <c r="K97" s="2890"/>
      <c r="L97" s="2890"/>
      <c r="M97" s="2890"/>
      <c r="N97" s="2890"/>
      <c r="O97" s="2890"/>
      <c r="P97" s="2891"/>
      <c r="Q97" s="2898">
        <f t="shared" ref="Q97:Q99" si="2">Q80/24</f>
        <v>0.67837760639817202</v>
      </c>
      <c r="R97" s="2899"/>
      <c r="S97" s="2899"/>
      <c r="T97" s="2900"/>
      <c r="U97" s="2892"/>
      <c r="V97" s="2893"/>
      <c r="W97" s="2894"/>
      <c r="X97" s="2912"/>
      <c r="Y97" s="2908"/>
      <c r="Z97" s="2908"/>
      <c r="AA97" s="2908"/>
      <c r="AB97" s="2908"/>
      <c r="AC97" s="2908"/>
      <c r="AD97" s="2908"/>
      <c r="AE97" s="2908"/>
      <c r="AF97" s="2909"/>
    </row>
    <row r="98" spans="1:36" x14ac:dyDescent="0.25">
      <c r="A98" s="3650"/>
      <c r="B98" s="2927"/>
      <c r="C98" s="2927"/>
      <c r="D98" s="3651"/>
      <c r="E98" s="2889" t="s">
        <v>2779</v>
      </c>
      <c r="F98" s="2890"/>
      <c r="G98" s="2890"/>
      <c r="H98" s="2890"/>
      <c r="I98" s="2890"/>
      <c r="J98" s="2890"/>
      <c r="K98" s="2890"/>
      <c r="L98" s="2890"/>
      <c r="M98" s="2890"/>
      <c r="N98" s="2890"/>
      <c r="O98" s="2890"/>
      <c r="P98" s="2891"/>
      <c r="Q98" s="2898">
        <f t="shared" si="2"/>
        <v>0.71229648671808066</v>
      </c>
      <c r="R98" s="2899"/>
      <c r="S98" s="2899"/>
      <c r="T98" s="2900"/>
      <c r="U98" s="2892"/>
      <c r="V98" s="2893"/>
      <c r="W98" s="2894"/>
      <c r="X98" s="2912"/>
      <c r="Y98" s="2908"/>
      <c r="Z98" s="2908"/>
      <c r="AA98" s="2908"/>
      <c r="AB98" s="2908"/>
      <c r="AC98" s="2908"/>
      <c r="AD98" s="2908"/>
      <c r="AE98" s="2908"/>
      <c r="AF98" s="2909"/>
    </row>
    <row r="99" spans="1:36" x14ac:dyDescent="0.25">
      <c r="A99" s="3652"/>
      <c r="B99" s="3653"/>
      <c r="C99" s="3653"/>
      <c r="D99" s="3654"/>
      <c r="E99" s="3655" t="s">
        <v>2780</v>
      </c>
      <c r="F99" s="3656"/>
      <c r="G99" s="3656"/>
      <c r="H99" s="3656"/>
      <c r="I99" s="3656"/>
      <c r="J99" s="3656"/>
      <c r="K99" s="3656"/>
      <c r="L99" s="3656"/>
      <c r="M99" s="3656"/>
      <c r="N99" s="3656"/>
      <c r="O99" s="3656"/>
      <c r="P99" s="3657"/>
      <c r="Q99" s="2898">
        <f t="shared" si="2"/>
        <v>0.74621536703798919</v>
      </c>
      <c r="R99" s="2899"/>
      <c r="S99" s="2899"/>
      <c r="T99" s="2900"/>
      <c r="U99" s="2892"/>
      <c r="V99" s="2893"/>
      <c r="W99" s="2894"/>
      <c r="X99" s="2478"/>
      <c r="Y99" s="2479"/>
      <c r="Z99" s="2479"/>
      <c r="AA99" s="2479"/>
      <c r="AB99" s="2479"/>
      <c r="AC99" s="2479"/>
      <c r="AD99" s="2479"/>
      <c r="AE99" s="2479"/>
      <c r="AF99" s="2480"/>
    </row>
    <row r="100" spans="1:36" ht="48" customHeight="1" x14ac:dyDescent="0.25">
      <c r="A100" s="2267" t="s">
        <v>2724</v>
      </c>
      <c r="B100" s="2268"/>
      <c r="C100" s="2268"/>
      <c r="D100" s="2269"/>
      <c r="E100" s="1494" t="s">
        <v>2217</v>
      </c>
      <c r="F100" s="1495"/>
      <c r="G100" s="1495"/>
      <c r="H100" s="1495"/>
      <c r="I100" s="1495"/>
      <c r="J100" s="1495"/>
      <c r="K100" s="1495"/>
      <c r="L100" s="1495"/>
      <c r="M100" s="1495"/>
      <c r="N100" s="1495"/>
      <c r="O100" s="1495"/>
      <c r="P100" s="1496"/>
      <c r="Q100" s="1497">
        <f>'Master EUL'!X40</f>
        <v>10</v>
      </c>
      <c r="R100" s="1498"/>
      <c r="S100" s="1498"/>
      <c r="T100" s="1499"/>
      <c r="U100" s="1683" t="s">
        <v>46</v>
      </c>
      <c r="V100" s="1684"/>
      <c r="W100" s="1685"/>
      <c r="X100" s="1494" t="s">
        <v>2811</v>
      </c>
      <c r="Y100" s="1495"/>
      <c r="Z100" s="1495"/>
      <c r="AA100" s="1495"/>
      <c r="AB100" s="1495"/>
      <c r="AC100" s="1495"/>
      <c r="AD100" s="1495"/>
      <c r="AE100" s="1495"/>
      <c r="AF100" s="1496"/>
    </row>
    <row r="101" spans="1:36" ht="18" customHeight="1" x14ac:dyDescent="0.25">
      <c r="A101" s="2927" t="s">
        <v>2672</v>
      </c>
      <c r="B101" s="2927"/>
      <c r="C101" s="2927"/>
      <c r="D101" s="2927"/>
      <c r="E101" s="2927"/>
      <c r="F101" s="2927"/>
      <c r="G101" s="2927"/>
      <c r="H101" s="2927"/>
      <c r="I101" s="2927"/>
      <c r="J101" s="2927"/>
      <c r="K101" s="2927"/>
      <c r="L101" s="2927"/>
      <c r="M101" s="2927"/>
      <c r="N101" s="2927"/>
      <c r="O101" s="2927"/>
      <c r="P101" s="2927"/>
      <c r="Q101" s="2927"/>
      <c r="R101" s="2927"/>
      <c r="S101" s="2927"/>
      <c r="T101" s="2927"/>
      <c r="U101" s="2927"/>
      <c r="V101" s="2927"/>
      <c r="W101" s="2927"/>
      <c r="X101" s="2927"/>
      <c r="Y101" s="2927"/>
      <c r="Z101" s="2927"/>
      <c r="AA101" s="2927"/>
      <c r="AB101" s="2927"/>
      <c r="AC101" s="2927"/>
      <c r="AD101" s="2927"/>
      <c r="AE101" s="2927"/>
      <c r="AF101" s="2927"/>
      <c r="AJ101" s="683"/>
    </row>
    <row r="102" spans="1:36" ht="30" customHeight="1" x14ac:dyDescent="0.25">
      <c r="A102" s="2928" t="s">
        <v>7053</v>
      </c>
      <c r="B102" s="2928"/>
      <c r="C102" s="2928"/>
      <c r="D102" s="2928"/>
      <c r="E102" s="2928"/>
      <c r="F102" s="2928"/>
      <c r="G102" s="2928"/>
      <c r="H102" s="2928"/>
      <c r="I102" s="2928"/>
      <c r="J102" s="2928"/>
      <c r="K102" s="2928"/>
      <c r="L102" s="2928"/>
      <c r="M102" s="2928"/>
      <c r="N102" s="2928"/>
      <c r="O102" s="2928"/>
      <c r="P102" s="2928"/>
      <c r="Q102" s="2928"/>
      <c r="R102" s="2928"/>
      <c r="S102" s="2928"/>
      <c r="T102" s="2928"/>
      <c r="U102" s="2928"/>
      <c r="V102" s="2928"/>
      <c r="W102" s="2928"/>
      <c r="X102" s="2928"/>
      <c r="Y102" s="2928"/>
      <c r="Z102" s="2928"/>
      <c r="AA102" s="2928"/>
      <c r="AB102" s="2928"/>
      <c r="AC102" s="2928"/>
      <c r="AD102" s="2928"/>
      <c r="AE102" s="2928"/>
      <c r="AF102" s="2928"/>
    </row>
    <row r="103" spans="1:36" ht="45.75" customHeight="1" x14ac:dyDescent="0.25">
      <c r="A103" s="2928" t="s">
        <v>7054</v>
      </c>
      <c r="B103" s="2928"/>
      <c r="C103" s="2928"/>
      <c r="D103" s="2928"/>
      <c r="E103" s="2928"/>
      <c r="F103" s="2928"/>
      <c r="G103" s="2928"/>
      <c r="H103" s="2928"/>
      <c r="I103" s="2928"/>
      <c r="J103" s="2928"/>
      <c r="K103" s="2928"/>
      <c r="L103" s="2928"/>
      <c r="M103" s="2928"/>
      <c r="N103" s="2928"/>
      <c r="O103" s="2928"/>
      <c r="P103" s="2928"/>
      <c r="Q103" s="2928"/>
      <c r="R103" s="2928"/>
      <c r="S103" s="2928"/>
      <c r="T103" s="2928"/>
      <c r="U103" s="2928"/>
      <c r="V103" s="2928"/>
      <c r="W103" s="2928"/>
      <c r="X103" s="2928"/>
      <c r="Y103" s="2928"/>
      <c r="Z103" s="2928"/>
      <c r="AA103" s="2928"/>
      <c r="AB103" s="2928"/>
      <c r="AC103" s="2928"/>
      <c r="AD103" s="2928"/>
      <c r="AE103" s="2928"/>
      <c r="AF103" s="2928"/>
    </row>
    <row r="104" spans="1:36" x14ac:dyDescent="0.2">
      <c r="A104" s="85"/>
    </row>
    <row r="105" spans="1:36" x14ac:dyDescent="0.2">
      <c r="A105" s="85"/>
    </row>
    <row r="106" spans="1:36" x14ac:dyDescent="0.25">
      <c r="A106" s="1148" t="s">
        <v>21</v>
      </c>
      <c r="B106" s="1149"/>
      <c r="C106" s="1149"/>
      <c r="D106" s="1149"/>
      <c r="E106" s="1149"/>
      <c r="F106" s="1149"/>
      <c r="G106" s="1149"/>
      <c r="H106" s="1149"/>
      <c r="I106" s="1149"/>
      <c r="J106" s="1149"/>
      <c r="K106" s="1149"/>
      <c r="L106" s="1149"/>
      <c r="M106" s="1149"/>
      <c r="N106" s="1149"/>
      <c r="O106" s="1149"/>
      <c r="P106" s="1149"/>
      <c r="Q106" s="1149"/>
      <c r="R106" s="1149"/>
      <c r="S106" s="1149"/>
      <c r="T106" s="1149"/>
      <c r="U106" s="1149"/>
      <c r="V106" s="1149"/>
      <c r="W106" s="1149"/>
      <c r="X106" s="1149"/>
      <c r="Y106" s="1149"/>
      <c r="Z106" s="1149"/>
      <c r="AA106" s="1149"/>
      <c r="AB106" s="1149"/>
      <c r="AC106" s="1149"/>
      <c r="AD106" s="1149"/>
      <c r="AE106" s="1149"/>
      <c r="AF106" s="1150"/>
    </row>
    <row r="107" spans="1:36" ht="15.75" thickBot="1" x14ac:dyDescent="0.3"/>
    <row r="108" spans="1:36" ht="15" customHeight="1" x14ac:dyDescent="0.25">
      <c r="A108" s="2804" t="s">
        <v>22</v>
      </c>
      <c r="B108" s="2805"/>
      <c r="C108" s="2805"/>
      <c r="D108" s="2805"/>
      <c r="E108" s="2805"/>
      <c r="F108" s="2805"/>
      <c r="G108" s="2805"/>
      <c r="H108" s="2806"/>
      <c r="I108" s="3662" t="s">
        <v>2922</v>
      </c>
      <c r="J108" s="1965"/>
      <c r="K108" s="1965"/>
      <c r="L108" s="1965"/>
      <c r="M108" s="1965"/>
      <c r="N108" s="1965"/>
      <c r="O108" s="1965"/>
      <c r="P108" s="1966"/>
      <c r="Q108" s="3662" t="s">
        <v>2923</v>
      </c>
      <c r="R108" s="3663"/>
      <c r="S108" s="3663"/>
      <c r="T108" s="3663"/>
      <c r="U108" s="3663"/>
      <c r="V108" s="3663"/>
      <c r="W108" s="3663"/>
      <c r="X108" s="3664"/>
      <c r="Y108" s="3662" t="s">
        <v>1786</v>
      </c>
      <c r="Z108" s="3663"/>
      <c r="AA108" s="3663"/>
      <c r="AB108" s="3663"/>
      <c r="AC108" s="3663"/>
      <c r="AD108" s="3663"/>
      <c r="AE108" s="3663"/>
      <c r="AF108" s="3668"/>
    </row>
    <row r="109" spans="1:36" x14ac:dyDescent="0.25">
      <c r="A109" s="3673" t="s">
        <v>1529</v>
      </c>
      <c r="B109" s="1427"/>
      <c r="C109" s="1427"/>
      <c r="D109" s="1427"/>
      <c r="E109" s="1427"/>
      <c r="F109" s="1427"/>
      <c r="G109" s="1427"/>
      <c r="H109" s="1428"/>
      <c r="I109" s="1308"/>
      <c r="J109" s="1309"/>
      <c r="K109" s="1309"/>
      <c r="L109" s="1309"/>
      <c r="M109" s="1309"/>
      <c r="N109" s="1309"/>
      <c r="O109" s="1309"/>
      <c r="P109" s="1310"/>
      <c r="Q109" s="3665"/>
      <c r="R109" s="3666"/>
      <c r="S109" s="3666"/>
      <c r="T109" s="3666"/>
      <c r="U109" s="3666"/>
      <c r="V109" s="3666"/>
      <c r="W109" s="3666"/>
      <c r="X109" s="3667"/>
      <c r="Y109" s="3665"/>
      <c r="Z109" s="3666"/>
      <c r="AA109" s="3666"/>
      <c r="AB109" s="3666"/>
      <c r="AC109" s="3666"/>
      <c r="AD109" s="3666"/>
      <c r="AE109" s="3666"/>
      <c r="AF109" s="3669"/>
    </row>
    <row r="110" spans="1:36" ht="48.95" customHeight="1" x14ac:dyDescent="0.25">
      <c r="A110" s="3670" t="s">
        <v>2797</v>
      </c>
      <c r="B110" s="3671"/>
      <c r="C110" s="3671"/>
      <c r="D110" s="3671"/>
      <c r="E110" s="3671"/>
      <c r="F110" s="3671"/>
      <c r="G110" s="3671"/>
      <c r="H110" s="3672"/>
      <c r="I110" s="1796">
        <f>ROUND((Q50*Q85/Q68)-(Q61*Q96/Q79),3)</f>
        <v>0.121</v>
      </c>
      <c r="J110" s="1797"/>
      <c r="K110" s="1797"/>
      <c r="L110" s="1797"/>
      <c r="M110" s="1797"/>
      <c r="N110" s="1797"/>
      <c r="O110" s="1797"/>
      <c r="P110" s="1798"/>
      <c r="Q110" s="2937">
        <f>ROUND((Q50-Q61)*$Q$65,2)</f>
        <v>1062.28</v>
      </c>
      <c r="R110" s="2938"/>
      <c r="S110" s="2938"/>
      <c r="T110" s="2938"/>
      <c r="U110" s="2938"/>
      <c r="V110" s="2938"/>
      <c r="W110" s="2938"/>
      <c r="X110" s="2939"/>
      <c r="Y110" s="2940">
        <f>ROUND(Q110*$Q$100,2)</f>
        <v>10622.8</v>
      </c>
      <c r="Z110" s="2941"/>
      <c r="AA110" s="2941"/>
      <c r="AB110" s="2941"/>
      <c r="AC110" s="2941"/>
      <c r="AD110" s="2941"/>
      <c r="AE110" s="2941"/>
      <c r="AF110" s="2942"/>
      <c r="AJ110" s="683"/>
    </row>
    <row r="111" spans="1:36" ht="48.95" customHeight="1" x14ac:dyDescent="0.25">
      <c r="A111" s="3670" t="s">
        <v>2798</v>
      </c>
      <c r="B111" s="3671"/>
      <c r="C111" s="3671"/>
      <c r="D111" s="3671"/>
      <c r="E111" s="3671"/>
      <c r="F111" s="3671"/>
      <c r="G111" s="3671"/>
      <c r="H111" s="3672"/>
      <c r="I111" s="1796">
        <f>ROUND((Q51*Q86/Q69)-(Q62*Q97/Q80),3)</f>
        <v>8.5000000000000006E-2</v>
      </c>
      <c r="J111" s="1797"/>
      <c r="K111" s="1797"/>
      <c r="L111" s="1797"/>
      <c r="M111" s="1797"/>
      <c r="N111" s="1797"/>
      <c r="O111" s="1797"/>
      <c r="P111" s="1798"/>
      <c r="Q111" s="2937">
        <f>ROUND((Q51-Q62)*$Q$65,2)</f>
        <v>747.25</v>
      </c>
      <c r="R111" s="2938"/>
      <c r="S111" s="2938"/>
      <c r="T111" s="2938"/>
      <c r="U111" s="2938"/>
      <c r="V111" s="2938"/>
      <c r="W111" s="2938"/>
      <c r="X111" s="2939"/>
      <c r="Y111" s="2940">
        <f t="shared" ref="Y111:Y117" si="3">ROUND(Q111*$Q$100,2)</f>
        <v>7472.5</v>
      </c>
      <c r="Z111" s="2941"/>
      <c r="AA111" s="2941"/>
      <c r="AB111" s="2941"/>
      <c r="AC111" s="2941"/>
      <c r="AD111" s="2941"/>
      <c r="AE111" s="2941"/>
      <c r="AF111" s="2942"/>
      <c r="AJ111" s="683"/>
    </row>
    <row r="112" spans="1:36" ht="48.95" customHeight="1" x14ac:dyDescent="0.25">
      <c r="A112" s="3670" t="s">
        <v>2799</v>
      </c>
      <c r="B112" s="3671"/>
      <c r="C112" s="3671"/>
      <c r="D112" s="3671"/>
      <c r="E112" s="3671"/>
      <c r="F112" s="3671"/>
      <c r="G112" s="3671"/>
      <c r="H112" s="3672"/>
      <c r="I112" s="1796">
        <f>ROUND((Q52*Q87/Q70)-(Q63*Q98/Q81),3)</f>
        <v>0.121</v>
      </c>
      <c r="J112" s="1797"/>
      <c r="K112" s="1797"/>
      <c r="L112" s="1797"/>
      <c r="M112" s="1797"/>
      <c r="N112" s="1797"/>
      <c r="O112" s="1797"/>
      <c r="P112" s="1798"/>
      <c r="Q112" s="2937">
        <f>ROUND((Q52-Q63)*$Q$65,2)</f>
        <v>1060.22</v>
      </c>
      <c r="R112" s="2938"/>
      <c r="S112" s="2938"/>
      <c r="T112" s="2938"/>
      <c r="U112" s="2938"/>
      <c r="V112" s="2938"/>
      <c r="W112" s="2938"/>
      <c r="X112" s="2939"/>
      <c r="Y112" s="2940">
        <f t="shared" si="3"/>
        <v>10602.2</v>
      </c>
      <c r="Z112" s="2941"/>
      <c r="AA112" s="2941"/>
      <c r="AB112" s="2941"/>
      <c r="AC112" s="2941"/>
      <c r="AD112" s="2941"/>
      <c r="AE112" s="2941"/>
      <c r="AF112" s="2942"/>
      <c r="AJ112" s="683"/>
    </row>
    <row r="113" spans="1:36" ht="48.95" customHeight="1" x14ac:dyDescent="0.25">
      <c r="A113" s="3670" t="s">
        <v>2800</v>
      </c>
      <c r="B113" s="3671"/>
      <c r="C113" s="3671"/>
      <c r="D113" s="3671"/>
      <c r="E113" s="3671"/>
      <c r="F113" s="3671"/>
      <c r="G113" s="3671"/>
      <c r="H113" s="3672"/>
      <c r="I113" s="1796">
        <f>ROUND((Q53*Q88/Q71)-(Q64*Q99/Q82),3)</f>
        <v>0.48399999999999999</v>
      </c>
      <c r="J113" s="1797"/>
      <c r="K113" s="1797"/>
      <c r="L113" s="1797"/>
      <c r="M113" s="1797"/>
      <c r="N113" s="1797"/>
      <c r="O113" s="1797"/>
      <c r="P113" s="1798"/>
      <c r="Q113" s="2937">
        <f>ROUND((Q53-Q64)*$Q$65,2)</f>
        <v>4240.0600000000004</v>
      </c>
      <c r="R113" s="2938"/>
      <c r="S113" s="2938"/>
      <c r="T113" s="2938"/>
      <c r="U113" s="2938"/>
      <c r="V113" s="2938"/>
      <c r="W113" s="2938"/>
      <c r="X113" s="2939"/>
      <c r="Y113" s="2940">
        <f t="shared" si="3"/>
        <v>42400.6</v>
      </c>
      <c r="Z113" s="2941"/>
      <c r="AA113" s="2941"/>
      <c r="AB113" s="2941"/>
      <c r="AC113" s="2941"/>
      <c r="AD113" s="2941"/>
      <c r="AE113" s="2941"/>
      <c r="AF113" s="2942"/>
    </row>
    <row r="114" spans="1:36" ht="48.95" customHeight="1" x14ac:dyDescent="0.25">
      <c r="A114" s="3670" t="s">
        <v>2801</v>
      </c>
      <c r="B114" s="3671"/>
      <c r="C114" s="3671"/>
      <c r="D114" s="3671"/>
      <c r="E114" s="3671"/>
      <c r="F114" s="3671"/>
      <c r="G114" s="3671"/>
      <c r="H114" s="3672"/>
      <c r="I114" s="1796">
        <f>ROUND((Q55*Q90/Q73)-(Q61*Q96/Q79),3)</f>
        <v>9.9000000000000005E-2</v>
      </c>
      <c r="J114" s="1797"/>
      <c r="K114" s="1797"/>
      <c r="L114" s="1797"/>
      <c r="M114" s="1797"/>
      <c r="N114" s="1797"/>
      <c r="O114" s="1797"/>
      <c r="P114" s="1798"/>
      <c r="Q114" s="2937">
        <f>ROUND((Q55-Q61)*$Q$65,2)</f>
        <v>867.21</v>
      </c>
      <c r="R114" s="2938"/>
      <c r="S114" s="2938"/>
      <c r="T114" s="2938"/>
      <c r="U114" s="2938"/>
      <c r="V114" s="2938"/>
      <c r="W114" s="2938"/>
      <c r="X114" s="2939"/>
      <c r="Y114" s="2940">
        <f t="shared" si="3"/>
        <v>8672.1</v>
      </c>
      <c r="Z114" s="2941"/>
      <c r="AA114" s="2941"/>
      <c r="AB114" s="2941"/>
      <c r="AC114" s="2941"/>
      <c r="AD114" s="2941"/>
      <c r="AE114" s="2941"/>
      <c r="AF114" s="2942"/>
    </row>
    <row r="115" spans="1:36" ht="48.95" customHeight="1" x14ac:dyDescent="0.25">
      <c r="A115" s="3670" t="s">
        <v>2802</v>
      </c>
      <c r="B115" s="3671"/>
      <c r="C115" s="3671"/>
      <c r="D115" s="3671"/>
      <c r="E115" s="3671"/>
      <c r="F115" s="3671"/>
      <c r="G115" s="3671"/>
      <c r="H115" s="3672"/>
      <c r="I115" s="1796">
        <f>ROUND((Q56*Q91/Q74)-(Q62*Q97/Q80),3)</f>
        <v>8.5000000000000006E-2</v>
      </c>
      <c r="J115" s="1797"/>
      <c r="K115" s="1797"/>
      <c r="L115" s="1797"/>
      <c r="M115" s="1797"/>
      <c r="N115" s="1797"/>
      <c r="O115" s="1797"/>
      <c r="P115" s="1798"/>
      <c r="Q115" s="2937">
        <f>ROUND((Q56-Q62)*$Q$65,2)</f>
        <v>747.25</v>
      </c>
      <c r="R115" s="2938"/>
      <c r="S115" s="2938"/>
      <c r="T115" s="2938"/>
      <c r="U115" s="2938"/>
      <c r="V115" s="2938"/>
      <c r="W115" s="2938"/>
      <c r="X115" s="2939"/>
      <c r="Y115" s="2940">
        <f t="shared" si="3"/>
        <v>7472.5</v>
      </c>
      <c r="Z115" s="2941"/>
      <c r="AA115" s="2941"/>
      <c r="AB115" s="2941"/>
      <c r="AC115" s="2941"/>
      <c r="AD115" s="2941"/>
      <c r="AE115" s="2941"/>
      <c r="AF115" s="2942"/>
      <c r="AJ115" s="683"/>
    </row>
    <row r="116" spans="1:36" ht="48.95" customHeight="1" x14ac:dyDescent="0.25">
      <c r="A116" s="3670" t="s">
        <v>2803</v>
      </c>
      <c r="B116" s="3671"/>
      <c r="C116" s="3671"/>
      <c r="D116" s="3671"/>
      <c r="E116" s="3671"/>
      <c r="F116" s="3671"/>
      <c r="G116" s="3671"/>
      <c r="H116" s="3672"/>
      <c r="I116" s="1796">
        <f>ROUND((Q57*Q92/Q75)-(Q63*Q98/Q81),3)</f>
        <v>0.121</v>
      </c>
      <c r="J116" s="1797"/>
      <c r="K116" s="1797"/>
      <c r="L116" s="1797"/>
      <c r="M116" s="1797"/>
      <c r="N116" s="1797"/>
      <c r="O116" s="1797"/>
      <c r="P116" s="1798"/>
      <c r="Q116" s="2937">
        <f>ROUND((Q57-Q63)*$Q$65,2)</f>
        <v>1060.22</v>
      </c>
      <c r="R116" s="2938"/>
      <c r="S116" s="2938"/>
      <c r="T116" s="2938"/>
      <c r="U116" s="2938"/>
      <c r="V116" s="2938"/>
      <c r="W116" s="2938"/>
      <c r="X116" s="2939"/>
      <c r="Y116" s="2940">
        <f t="shared" si="3"/>
        <v>10602.2</v>
      </c>
      <c r="Z116" s="2941"/>
      <c r="AA116" s="2941"/>
      <c r="AB116" s="2941"/>
      <c r="AC116" s="2941"/>
      <c r="AD116" s="2941"/>
      <c r="AE116" s="2941"/>
      <c r="AF116" s="2942"/>
      <c r="AJ116" s="683"/>
    </row>
    <row r="117" spans="1:36" ht="48.95" customHeight="1" thickBot="1" x14ac:dyDescent="0.3">
      <c r="A117" s="3674" t="s">
        <v>2804</v>
      </c>
      <c r="B117" s="3675"/>
      <c r="C117" s="3675"/>
      <c r="D117" s="3675"/>
      <c r="E117" s="3675"/>
      <c r="F117" s="3675"/>
      <c r="G117" s="3675"/>
      <c r="H117" s="3676"/>
      <c r="I117" s="1634">
        <f>ROUND((Q58*Q93/Q76)-(Q64*Q99/Q82),3)</f>
        <v>0.19600000000000001</v>
      </c>
      <c r="J117" s="1634"/>
      <c r="K117" s="1634"/>
      <c r="L117" s="1634"/>
      <c r="M117" s="1634"/>
      <c r="N117" s="1634"/>
      <c r="O117" s="1634"/>
      <c r="P117" s="1634"/>
      <c r="Q117" s="3677">
        <f>ROUND((Q58-Q64)*$Q$65,2)</f>
        <v>1714.6</v>
      </c>
      <c r="R117" s="3678"/>
      <c r="S117" s="3678"/>
      <c r="T117" s="3678"/>
      <c r="U117" s="3678"/>
      <c r="V117" s="3678"/>
      <c r="W117" s="3678"/>
      <c r="X117" s="3679"/>
      <c r="Y117" s="2946">
        <f t="shared" si="3"/>
        <v>17146</v>
      </c>
      <c r="Z117" s="2947"/>
      <c r="AA117" s="2947"/>
      <c r="AB117" s="2947"/>
      <c r="AC117" s="2947"/>
      <c r="AD117" s="2947"/>
      <c r="AE117" s="2947"/>
      <c r="AF117" s="2948"/>
    </row>
    <row r="119" spans="1:36" x14ac:dyDescent="0.25">
      <c r="A119" s="1148" t="s">
        <v>1753</v>
      </c>
      <c r="B119" s="1149"/>
      <c r="C119" s="1149"/>
      <c r="D119" s="1149"/>
      <c r="E119" s="1149"/>
      <c r="F119" s="1149"/>
      <c r="G119" s="1149"/>
      <c r="H119" s="1149"/>
      <c r="I119" s="1149"/>
      <c r="J119" s="1149"/>
      <c r="K119" s="1149"/>
      <c r="L119" s="1149"/>
      <c r="M119" s="1149"/>
      <c r="N119" s="1149"/>
      <c r="O119" s="1149"/>
      <c r="P119" s="1149"/>
      <c r="Q119" s="1149"/>
      <c r="R119" s="1149"/>
      <c r="S119" s="1149"/>
      <c r="T119" s="1149"/>
      <c r="U119" s="1149"/>
      <c r="V119" s="1149"/>
      <c r="W119" s="1149"/>
      <c r="X119" s="1149"/>
      <c r="Y119" s="1149"/>
      <c r="Z119" s="1149"/>
      <c r="AA119" s="1149"/>
      <c r="AB119" s="1149"/>
      <c r="AC119" s="1149"/>
      <c r="AD119" s="1149"/>
      <c r="AE119" s="1149"/>
      <c r="AF119" s="1150"/>
    </row>
    <row r="120" spans="1:36" ht="33.75" customHeight="1" x14ac:dyDescent="0.25">
      <c r="A120" s="515" t="s">
        <v>1013</v>
      </c>
      <c r="B120" s="1173" t="s">
        <v>7188</v>
      </c>
      <c r="C120" s="1173"/>
      <c r="D120" s="1173"/>
      <c r="E120" s="1173"/>
      <c r="F120" s="1173"/>
      <c r="G120" s="1173"/>
      <c r="H120" s="1173"/>
      <c r="I120" s="1173"/>
      <c r="J120" s="1173"/>
      <c r="K120" s="1173"/>
      <c r="L120" s="1173"/>
      <c r="M120" s="1173"/>
      <c r="N120" s="1173"/>
      <c r="O120" s="1173"/>
      <c r="P120" s="1173"/>
      <c r="Q120" s="1173"/>
      <c r="R120" s="1173"/>
      <c r="S120" s="1173"/>
      <c r="T120" s="1173"/>
      <c r="U120" s="1173"/>
      <c r="V120" s="1173"/>
      <c r="W120" s="1173"/>
      <c r="X120" s="1173"/>
      <c r="Y120" s="1173"/>
      <c r="Z120" s="1173"/>
      <c r="AA120" s="1173"/>
      <c r="AB120" s="1173"/>
      <c r="AC120" s="1173"/>
      <c r="AD120" s="1173"/>
      <c r="AE120" s="1173"/>
      <c r="AF120" s="1173"/>
      <c r="AJ120" s="683"/>
    </row>
    <row r="121" spans="1:36" ht="15" customHeight="1" x14ac:dyDescent="0.25">
      <c r="A121" s="515" t="s">
        <v>1013</v>
      </c>
      <c r="B121" s="1173" t="s">
        <v>2812</v>
      </c>
      <c r="C121" s="1173"/>
      <c r="D121" s="1173"/>
      <c r="E121" s="1173"/>
      <c r="F121" s="1173"/>
      <c r="G121" s="1173"/>
      <c r="H121" s="1173"/>
      <c r="I121" s="1173"/>
      <c r="J121" s="1173"/>
      <c r="K121" s="1173"/>
      <c r="L121" s="1173"/>
      <c r="M121" s="1173"/>
      <c r="N121" s="1173"/>
      <c r="O121" s="1173"/>
      <c r="P121" s="1173"/>
      <c r="Q121" s="1173"/>
      <c r="R121" s="1173"/>
      <c r="S121" s="1173"/>
      <c r="T121" s="1173"/>
      <c r="U121" s="1173"/>
      <c r="V121" s="1173"/>
      <c r="W121" s="1173"/>
      <c r="X121" s="1173"/>
      <c r="Y121" s="1173"/>
      <c r="Z121" s="1173"/>
      <c r="AA121" s="1173"/>
      <c r="AB121" s="1173"/>
      <c r="AC121" s="1173"/>
      <c r="AD121" s="1173"/>
      <c r="AE121" s="1173"/>
      <c r="AF121" s="1173"/>
      <c r="AJ121" s="683"/>
    </row>
    <row r="122" spans="1:36" ht="48" customHeight="1" x14ac:dyDescent="0.25">
      <c r="A122" s="515" t="s">
        <v>1013</v>
      </c>
      <c r="B122" s="1173" t="s">
        <v>7189</v>
      </c>
      <c r="C122" s="1173"/>
      <c r="D122" s="1173"/>
      <c r="E122" s="1173"/>
      <c r="F122" s="1173"/>
      <c r="G122" s="1173"/>
      <c r="H122" s="1173"/>
      <c r="I122" s="1173"/>
      <c r="J122" s="1173"/>
      <c r="K122" s="1173"/>
      <c r="L122" s="1173"/>
      <c r="M122" s="1173"/>
      <c r="N122" s="1173"/>
      <c r="O122" s="1173"/>
      <c r="P122" s="1173"/>
      <c r="Q122" s="1173"/>
      <c r="R122" s="1173"/>
      <c r="S122" s="1173"/>
      <c r="T122" s="1173"/>
      <c r="U122" s="1173"/>
      <c r="V122" s="1173"/>
      <c r="W122" s="1173"/>
      <c r="X122" s="1173"/>
      <c r="Y122" s="1173"/>
      <c r="Z122" s="1173"/>
      <c r="AA122" s="1173"/>
      <c r="AB122" s="1173"/>
      <c r="AC122" s="1173"/>
      <c r="AD122" s="1173"/>
      <c r="AE122" s="1173"/>
      <c r="AF122" s="1173"/>
      <c r="AJ122" s="683"/>
    </row>
    <row r="123" spans="1:36" ht="46.5" customHeight="1" x14ac:dyDescent="0.25">
      <c r="A123" s="515" t="s">
        <v>1013</v>
      </c>
      <c r="B123" s="1173" t="s">
        <v>7190</v>
      </c>
      <c r="C123" s="1173"/>
      <c r="D123" s="1173"/>
      <c r="E123" s="1173"/>
      <c r="F123" s="1173"/>
      <c r="G123" s="1173"/>
      <c r="H123" s="1173"/>
      <c r="I123" s="1173"/>
      <c r="J123" s="1173"/>
      <c r="K123" s="1173"/>
      <c r="L123" s="1173"/>
      <c r="M123" s="1173"/>
      <c r="N123" s="1173"/>
      <c r="O123" s="1173"/>
      <c r="P123" s="1173"/>
      <c r="Q123" s="1173"/>
      <c r="R123" s="1173"/>
      <c r="S123" s="1173"/>
      <c r="T123" s="1173"/>
      <c r="U123" s="1173"/>
      <c r="V123" s="1173"/>
      <c r="W123" s="1173"/>
      <c r="X123" s="1173"/>
      <c r="Y123" s="1173"/>
      <c r="Z123" s="1173"/>
      <c r="AA123" s="1173"/>
      <c r="AB123" s="1173"/>
      <c r="AC123" s="1173"/>
      <c r="AD123" s="1173"/>
      <c r="AE123" s="1173"/>
      <c r="AF123" s="1173"/>
      <c r="AJ123" s="683"/>
    </row>
    <row r="124" spans="1:36" ht="46.5" customHeight="1" x14ac:dyDescent="0.25">
      <c r="A124" s="515" t="s">
        <v>1013</v>
      </c>
      <c r="B124" s="1704" t="s">
        <v>2810</v>
      </c>
      <c r="C124" s="1704"/>
      <c r="D124" s="1704"/>
      <c r="E124" s="1704"/>
      <c r="F124" s="1704"/>
      <c r="G124" s="1704"/>
      <c r="H124" s="1704"/>
      <c r="I124" s="1704"/>
      <c r="J124" s="1704"/>
      <c r="K124" s="1704"/>
      <c r="L124" s="1704"/>
      <c r="M124" s="1704"/>
      <c r="N124" s="1704"/>
      <c r="O124" s="1704"/>
      <c r="P124" s="1704"/>
      <c r="Q124" s="1704"/>
      <c r="R124" s="1704"/>
      <c r="S124" s="1704"/>
      <c r="T124" s="1704"/>
      <c r="U124" s="1704"/>
      <c r="V124" s="1704"/>
      <c r="W124" s="1704"/>
      <c r="X124" s="1704"/>
      <c r="Y124" s="1704"/>
      <c r="Z124" s="1704"/>
      <c r="AA124" s="1704"/>
      <c r="AB124" s="1704"/>
      <c r="AC124" s="1704"/>
      <c r="AD124" s="1704"/>
      <c r="AE124" s="1704"/>
      <c r="AF124" s="1704"/>
    </row>
    <row r="125" spans="1:36" ht="48" customHeight="1" x14ac:dyDescent="0.25">
      <c r="A125" s="515" t="s">
        <v>1013</v>
      </c>
      <c r="B125" s="1168" t="s">
        <v>7197</v>
      </c>
      <c r="C125" s="1168"/>
      <c r="D125" s="1168"/>
      <c r="E125" s="1168"/>
      <c r="F125" s="1168"/>
      <c r="G125" s="1168"/>
      <c r="H125" s="1168"/>
      <c r="I125" s="1168"/>
      <c r="J125" s="1168"/>
      <c r="K125" s="1168"/>
      <c r="L125" s="1168"/>
      <c r="M125" s="1168"/>
      <c r="N125" s="1168"/>
      <c r="O125" s="1168"/>
      <c r="P125" s="1168"/>
      <c r="Q125" s="1168"/>
      <c r="R125" s="1168"/>
      <c r="S125" s="1168"/>
      <c r="T125" s="1168"/>
      <c r="U125" s="1168"/>
      <c r="V125" s="1168"/>
      <c r="W125" s="1168"/>
      <c r="X125" s="1168"/>
      <c r="Y125" s="1168"/>
      <c r="Z125" s="1168"/>
      <c r="AA125" s="1168"/>
      <c r="AB125" s="1168"/>
      <c r="AC125" s="1168"/>
      <c r="AD125" s="1168"/>
      <c r="AE125" s="1168"/>
      <c r="AF125" s="1168"/>
      <c r="AJ125" s="1045"/>
    </row>
    <row r="126" spans="1:36" ht="50.25" customHeight="1" x14ac:dyDescent="0.25">
      <c r="A126" s="515" t="s">
        <v>1013</v>
      </c>
      <c r="B126" s="1168" t="s">
        <v>2809</v>
      </c>
      <c r="C126" s="1168"/>
      <c r="D126" s="1168"/>
      <c r="E126" s="1168"/>
      <c r="F126" s="1168"/>
      <c r="G126" s="1168"/>
      <c r="H126" s="1168"/>
      <c r="I126" s="1168"/>
      <c r="J126" s="1168"/>
      <c r="K126" s="1168"/>
      <c r="L126" s="1168"/>
      <c r="M126" s="1168"/>
      <c r="N126" s="1168"/>
      <c r="O126" s="1168"/>
      <c r="P126" s="1168"/>
      <c r="Q126" s="1168"/>
      <c r="R126" s="1168"/>
      <c r="S126" s="1168"/>
      <c r="T126" s="1168"/>
      <c r="U126" s="1168"/>
      <c r="V126" s="1168"/>
      <c r="W126" s="1168"/>
      <c r="X126" s="1168"/>
      <c r="Y126" s="1168"/>
      <c r="Z126" s="1168"/>
      <c r="AA126" s="1168"/>
      <c r="AB126" s="1168"/>
      <c r="AC126" s="1168"/>
      <c r="AD126" s="1168"/>
      <c r="AE126" s="1168"/>
      <c r="AF126" s="1168"/>
    </row>
  </sheetData>
  <sheetProtection algorithmName="SHA-512" hashValue="qqdJWawOKkDHz998h4YX7fUykCWUU0rt0jgV6Wn9U+Lsl/dJVf2al8uNhcWk5Xwyydmu/NNJeh29YwTMsmXI6g==" saltValue="FaC45PAPhC+Q4t1Ce0olMQ==" spinCount="100000" sheet="1" objects="1" scenarios="1"/>
  <mergeCells count="261">
    <mergeCell ref="A119:AF119"/>
    <mergeCell ref="B120:AF120"/>
    <mergeCell ref="B121:AF121"/>
    <mergeCell ref="B122:AF122"/>
    <mergeCell ref="B123:AF123"/>
    <mergeCell ref="B124:AF124"/>
    <mergeCell ref="B125:AF125"/>
    <mergeCell ref="B126:AF126"/>
    <mergeCell ref="A115:H115"/>
    <mergeCell ref="I115:P115"/>
    <mergeCell ref="Q115:X115"/>
    <mergeCell ref="Y115:AF115"/>
    <mergeCell ref="A116:H116"/>
    <mergeCell ref="I116:P116"/>
    <mergeCell ref="Q116:X116"/>
    <mergeCell ref="Y116:AF116"/>
    <mergeCell ref="A117:H117"/>
    <mergeCell ref="I117:P117"/>
    <mergeCell ref="Q117:X117"/>
    <mergeCell ref="Y117:AF117"/>
    <mergeCell ref="A112:H112"/>
    <mergeCell ref="I112:P112"/>
    <mergeCell ref="Q112:X112"/>
    <mergeCell ref="Y112:AF112"/>
    <mergeCell ref="A113:H113"/>
    <mergeCell ref="I113:P113"/>
    <mergeCell ref="Q113:X113"/>
    <mergeCell ref="Y113:AF113"/>
    <mergeCell ref="A114:H114"/>
    <mergeCell ref="I114:P114"/>
    <mergeCell ref="Q114:X114"/>
    <mergeCell ref="Y114:AF114"/>
    <mergeCell ref="I108:P109"/>
    <mergeCell ref="Q108:X109"/>
    <mergeCell ref="Y108:AF109"/>
    <mergeCell ref="A110:H110"/>
    <mergeCell ref="I110:P110"/>
    <mergeCell ref="Q110:X110"/>
    <mergeCell ref="Y110:AF110"/>
    <mergeCell ref="A111:H111"/>
    <mergeCell ref="I111:P111"/>
    <mergeCell ref="Q111:X111"/>
    <mergeCell ref="Y111:AF111"/>
    <mergeCell ref="A109:H109"/>
    <mergeCell ref="A108:H108"/>
    <mergeCell ref="A100:D100"/>
    <mergeCell ref="E100:P100"/>
    <mergeCell ref="Q100:T100"/>
    <mergeCell ref="U100:W100"/>
    <mergeCell ref="X100:AF100"/>
    <mergeCell ref="A101:AF101"/>
    <mergeCell ref="A102:AF102"/>
    <mergeCell ref="A103:AF103"/>
    <mergeCell ref="A106:AF106"/>
    <mergeCell ref="X94:AF99"/>
    <mergeCell ref="E96:P96"/>
    <mergeCell ref="Q96:T96"/>
    <mergeCell ref="U96:W96"/>
    <mergeCell ref="E97:P97"/>
    <mergeCell ref="Q97:T97"/>
    <mergeCell ref="U97:W97"/>
    <mergeCell ref="E98:P98"/>
    <mergeCell ref="Q98:T98"/>
    <mergeCell ref="U98:W98"/>
    <mergeCell ref="E99:P99"/>
    <mergeCell ref="Q99:T99"/>
    <mergeCell ref="U99:W99"/>
    <mergeCell ref="X59:AF64"/>
    <mergeCell ref="A65:D65"/>
    <mergeCell ref="X65:AF65"/>
    <mergeCell ref="A66:D76"/>
    <mergeCell ref="X66:AF76"/>
    <mergeCell ref="A77:D82"/>
    <mergeCell ref="X77:AF82"/>
    <mergeCell ref="A83:D93"/>
    <mergeCell ref="X83:AF93"/>
    <mergeCell ref="Q62:T62"/>
    <mergeCell ref="U62:W62"/>
    <mergeCell ref="E63:P63"/>
    <mergeCell ref="Q63:T63"/>
    <mergeCell ref="U63:W63"/>
    <mergeCell ref="E64:P64"/>
    <mergeCell ref="Q64:T64"/>
    <mergeCell ref="U64:W64"/>
    <mergeCell ref="E65:P65"/>
    <mergeCell ref="E67:P67"/>
    <mergeCell ref="Q67:T67"/>
    <mergeCell ref="U67:W67"/>
    <mergeCell ref="E68:P68"/>
    <mergeCell ref="Q68:T68"/>
    <mergeCell ref="U68:W68"/>
    <mergeCell ref="A1:AF1"/>
    <mergeCell ref="A7:AF7"/>
    <mergeCell ref="B9:I9"/>
    <mergeCell ref="B10:AF10"/>
    <mergeCell ref="B12:I12"/>
    <mergeCell ref="B13:AF13"/>
    <mergeCell ref="B14:AF14"/>
    <mergeCell ref="B15:AF15"/>
    <mergeCell ref="B17:I17"/>
    <mergeCell ref="A3:AF3"/>
    <mergeCell ref="B5:AF5"/>
    <mergeCell ref="Q49:T49"/>
    <mergeCell ref="U49:W49"/>
    <mergeCell ref="B18:AF18"/>
    <mergeCell ref="B20:I20"/>
    <mergeCell ref="B21:AF21"/>
    <mergeCell ref="B24:AF24"/>
    <mergeCell ref="E45:P45"/>
    <mergeCell ref="Q45:T45"/>
    <mergeCell ref="U45:W45"/>
    <mergeCell ref="E46:P46"/>
    <mergeCell ref="Q46:T46"/>
    <mergeCell ref="U46:W46"/>
    <mergeCell ref="X46:AF46"/>
    <mergeCell ref="A46:D46"/>
    <mergeCell ref="B25:AF25"/>
    <mergeCell ref="B26:AF26"/>
    <mergeCell ref="A29:AF29"/>
    <mergeCell ref="B33:AE33"/>
    <mergeCell ref="B37:AE38"/>
    <mergeCell ref="AF37:AF38"/>
    <mergeCell ref="A44:AF44"/>
    <mergeCell ref="A45:D45"/>
    <mergeCell ref="X45:AF45"/>
    <mergeCell ref="Q59:T59"/>
    <mergeCell ref="E62:P62"/>
    <mergeCell ref="X47:AF47"/>
    <mergeCell ref="X48:AF58"/>
    <mergeCell ref="U59:W59"/>
    <mergeCell ref="E52:P52"/>
    <mergeCell ref="Q52:T52"/>
    <mergeCell ref="U52:W52"/>
    <mergeCell ref="E53:P53"/>
    <mergeCell ref="Q53:T53"/>
    <mergeCell ref="U53:W53"/>
    <mergeCell ref="E50:P50"/>
    <mergeCell ref="Q50:T50"/>
    <mergeCell ref="U50:W50"/>
    <mergeCell ref="E51:P51"/>
    <mergeCell ref="Q51:T51"/>
    <mergeCell ref="U51:W51"/>
    <mergeCell ref="E47:P47"/>
    <mergeCell ref="Q47:T47"/>
    <mergeCell ref="U47:W47"/>
    <mergeCell ref="E48:P48"/>
    <mergeCell ref="Q48:T48"/>
    <mergeCell ref="U48:W48"/>
    <mergeCell ref="E49:P49"/>
    <mergeCell ref="Q70:T70"/>
    <mergeCell ref="U70:W70"/>
    <mergeCell ref="A47:D47"/>
    <mergeCell ref="A48:D58"/>
    <mergeCell ref="A59:D64"/>
    <mergeCell ref="E60:P60"/>
    <mergeCell ref="Q60:T60"/>
    <mergeCell ref="U60:W60"/>
    <mergeCell ref="E54:P54"/>
    <mergeCell ref="Q54:T54"/>
    <mergeCell ref="U54:W54"/>
    <mergeCell ref="E55:P55"/>
    <mergeCell ref="Q55:T55"/>
    <mergeCell ref="U55:W55"/>
    <mergeCell ref="E56:P56"/>
    <mergeCell ref="Q56:T56"/>
    <mergeCell ref="U56:W56"/>
    <mergeCell ref="E57:P57"/>
    <mergeCell ref="Q57:T57"/>
    <mergeCell ref="U57:W57"/>
    <mergeCell ref="E58:P58"/>
    <mergeCell ref="Q58:T58"/>
    <mergeCell ref="U58:W58"/>
    <mergeCell ref="E59:P59"/>
    <mergeCell ref="E61:P61"/>
    <mergeCell ref="Q61:T61"/>
    <mergeCell ref="U61:W61"/>
    <mergeCell ref="E73:P73"/>
    <mergeCell ref="Q73:T73"/>
    <mergeCell ref="U73:W73"/>
    <mergeCell ref="E74:P74"/>
    <mergeCell ref="Q74:T74"/>
    <mergeCell ref="U74:W74"/>
    <mergeCell ref="Q65:T65"/>
    <mergeCell ref="U65:W65"/>
    <mergeCell ref="E66:P66"/>
    <mergeCell ref="Q66:T66"/>
    <mergeCell ref="U66:W66"/>
    <mergeCell ref="E71:P71"/>
    <mergeCell ref="Q71:T71"/>
    <mergeCell ref="U71:W71"/>
    <mergeCell ref="E72:P72"/>
    <mergeCell ref="Q72:T72"/>
    <mergeCell ref="U72:W72"/>
    <mergeCell ref="E69:P69"/>
    <mergeCell ref="Q69:T69"/>
    <mergeCell ref="U69:W69"/>
    <mergeCell ref="E70:P70"/>
    <mergeCell ref="E75:P75"/>
    <mergeCell ref="Q75:T75"/>
    <mergeCell ref="U75:W75"/>
    <mergeCell ref="E76:P76"/>
    <mergeCell ref="Q76:T76"/>
    <mergeCell ref="U76:W76"/>
    <mergeCell ref="E77:P77"/>
    <mergeCell ref="Q77:T77"/>
    <mergeCell ref="U77:W77"/>
    <mergeCell ref="E79:P79"/>
    <mergeCell ref="Q79:T79"/>
    <mergeCell ref="U79:W79"/>
    <mergeCell ref="E80:P80"/>
    <mergeCell ref="Q80:T80"/>
    <mergeCell ref="U80:W80"/>
    <mergeCell ref="E81:P81"/>
    <mergeCell ref="Q81:T81"/>
    <mergeCell ref="U81:W81"/>
    <mergeCell ref="E92:P92"/>
    <mergeCell ref="Q92:T92"/>
    <mergeCell ref="U92:W92"/>
    <mergeCell ref="E82:P82"/>
    <mergeCell ref="Q82:T82"/>
    <mergeCell ref="E85:P85"/>
    <mergeCell ref="Q85:T85"/>
    <mergeCell ref="U85:W85"/>
    <mergeCell ref="E86:P86"/>
    <mergeCell ref="Q86:T86"/>
    <mergeCell ref="U86:W86"/>
    <mergeCell ref="U82:W82"/>
    <mergeCell ref="E83:P83"/>
    <mergeCell ref="U88:W88"/>
    <mergeCell ref="Q83:T83"/>
    <mergeCell ref="U83:W83"/>
    <mergeCell ref="E84:P84"/>
    <mergeCell ref="Q84:T84"/>
    <mergeCell ref="U84:W84"/>
    <mergeCell ref="E91:P91"/>
    <mergeCell ref="Q91:T91"/>
    <mergeCell ref="U91:W91"/>
    <mergeCell ref="E78:P78"/>
    <mergeCell ref="Q78:T78"/>
    <mergeCell ref="U78:W78"/>
    <mergeCell ref="A94:D99"/>
    <mergeCell ref="U93:W93"/>
    <mergeCell ref="E94:P94"/>
    <mergeCell ref="Q94:T94"/>
    <mergeCell ref="U94:W94"/>
    <mergeCell ref="E95:P95"/>
    <mergeCell ref="Q95:T95"/>
    <mergeCell ref="U95:W95"/>
    <mergeCell ref="E89:P89"/>
    <mergeCell ref="Q89:T89"/>
    <mergeCell ref="U89:W89"/>
    <mergeCell ref="E90:P90"/>
    <mergeCell ref="Q90:T90"/>
    <mergeCell ref="U90:W90"/>
    <mergeCell ref="E93:P93"/>
    <mergeCell ref="Q93:T93"/>
    <mergeCell ref="E87:P87"/>
    <mergeCell ref="Q87:T87"/>
    <mergeCell ref="U87:W87"/>
    <mergeCell ref="E88:P88"/>
    <mergeCell ref="Q88:T88"/>
  </mergeCells>
  <hyperlinks>
    <hyperlink ref="A2" location="TOC!A1" display="Return to TOC" xr:uid="{8C8BA12A-7D22-49F7-A889-F28E4E3FACB9}"/>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3:AF42" numberStoredAsText="1"/>
  </ignoredError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52">
    <tabColor theme="5" tint="0.59999389629810485"/>
    <pageSetUpPr autoPageBreaks="0"/>
  </sheetPr>
  <dimension ref="A1:DM153"/>
  <sheetViews>
    <sheetView workbookViewId="0">
      <selection sqref="A1:AF1"/>
    </sheetView>
  </sheetViews>
  <sheetFormatPr defaultColWidth="2.7109375" defaultRowHeight="15" x14ac:dyDescent="0.25"/>
  <cols>
    <col min="33" max="16384" width="2.7109375" style="1"/>
  </cols>
  <sheetData>
    <row r="1" spans="1:38" ht="19.5" thickBot="1" x14ac:dyDescent="0.3">
      <c r="A1" s="1272" t="s">
        <v>1172</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row>
    <row r="2" spans="1:38" customFormat="1" ht="14.45" customHeight="1" x14ac:dyDescent="0.25">
      <c r="A2" s="376" t="s">
        <v>1702</v>
      </c>
    </row>
    <row r="3" spans="1:38"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8"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8" ht="66.75" customHeight="1" x14ac:dyDescent="0.25">
      <c r="A5" s="262"/>
      <c r="B5" s="1589" t="s">
        <v>7069</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J5" s="683"/>
      <c r="AL5" s="683"/>
    </row>
    <row r="6" spans="1:38" x14ac:dyDescent="0.25">
      <c r="A6" s="262"/>
      <c r="B6" s="262"/>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L6" s="683"/>
    </row>
    <row r="7" spans="1:38"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row>
    <row r="8" spans="1:38" x14ac:dyDescent="0.25">
      <c r="A8" s="262"/>
      <c r="B8" s="262"/>
      <c r="C8" s="262"/>
      <c r="D8" s="262"/>
      <c r="E8" s="262"/>
      <c r="F8" s="262"/>
      <c r="G8" s="262"/>
      <c r="H8" s="262"/>
      <c r="I8" s="262"/>
      <c r="J8" s="262"/>
      <c r="K8" s="262"/>
      <c r="L8" s="262"/>
      <c r="M8" s="262"/>
      <c r="N8" s="262"/>
      <c r="O8" s="262"/>
      <c r="P8" s="262"/>
      <c r="Q8" s="262"/>
      <c r="R8" s="262"/>
      <c r="S8" s="262"/>
      <c r="T8" s="262"/>
      <c r="U8" s="262"/>
      <c r="V8" s="262"/>
      <c r="W8" s="262"/>
      <c r="X8" s="262"/>
      <c r="Y8" s="262"/>
      <c r="Z8" s="262"/>
      <c r="AA8" s="262"/>
      <c r="AB8" s="262"/>
      <c r="AC8" s="262"/>
      <c r="AD8" s="262"/>
      <c r="AE8" s="262"/>
      <c r="AF8" s="262"/>
    </row>
    <row r="9" spans="1:38" x14ac:dyDescent="0.25">
      <c r="A9" s="227"/>
      <c r="B9" s="414" t="s">
        <v>10</v>
      </c>
      <c r="C9" s="262"/>
      <c r="D9" s="262"/>
      <c r="E9" s="262"/>
      <c r="F9" s="262"/>
      <c r="G9" s="262"/>
      <c r="H9" s="262"/>
      <c r="I9" s="262"/>
      <c r="J9" s="262"/>
      <c r="K9" s="262"/>
      <c r="L9" s="262"/>
      <c r="M9" s="262"/>
      <c r="N9" s="262"/>
      <c r="O9" s="262"/>
      <c r="P9" s="262"/>
      <c r="Q9" s="262"/>
      <c r="R9" s="262"/>
      <c r="S9" s="262"/>
      <c r="T9" s="262"/>
      <c r="U9" s="262"/>
      <c r="V9" s="262"/>
      <c r="W9" s="262"/>
      <c r="X9" s="262"/>
      <c r="Y9" s="262"/>
      <c r="Z9" s="262"/>
      <c r="AA9" s="262"/>
      <c r="AB9" s="262"/>
      <c r="AC9" s="262"/>
      <c r="AD9" s="262"/>
      <c r="AE9" s="262"/>
      <c r="AF9" s="262"/>
    </row>
    <row r="10" spans="1:38" ht="33.75" customHeight="1" x14ac:dyDescent="0.25">
      <c r="A10" s="227"/>
      <c r="B10" s="1173" t="s">
        <v>7070</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L10" s="683"/>
    </row>
    <row r="11" spans="1:38" x14ac:dyDescent="0.25">
      <c r="A11" s="227"/>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row>
    <row r="12" spans="1:38" x14ac:dyDescent="0.25">
      <c r="A12" s="227"/>
      <c r="B12" s="414" t="s">
        <v>11</v>
      </c>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row>
    <row r="13" spans="1:38" ht="61.5" customHeight="1" x14ac:dyDescent="0.25">
      <c r="A13" s="227"/>
      <c r="B13" s="1173" t="s">
        <v>7071</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L13" s="683"/>
    </row>
    <row r="14" spans="1:38" x14ac:dyDescent="0.25">
      <c r="A14" s="227"/>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row>
    <row r="15" spans="1:38" x14ac:dyDescent="0.25">
      <c r="A15" s="227"/>
      <c r="B15" s="414" t="s">
        <v>12</v>
      </c>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row>
    <row r="16" spans="1:38" x14ac:dyDescent="0.25">
      <c r="A16" s="227"/>
      <c r="B16" s="262" t="s">
        <v>5218</v>
      </c>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row>
    <row r="17" spans="1:38" x14ac:dyDescent="0.25">
      <c r="A17" s="227"/>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row>
    <row r="18" spans="1:38" x14ac:dyDescent="0.25">
      <c r="A18" s="227"/>
      <c r="B18" s="414" t="s">
        <v>13</v>
      </c>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row>
    <row r="19" spans="1:38" ht="30.75" customHeight="1" x14ac:dyDescent="0.25">
      <c r="A19" s="227"/>
      <c r="B19" s="1173" t="s">
        <v>7072</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L19" s="683"/>
    </row>
    <row r="20" spans="1:38" x14ac:dyDescent="0.25">
      <c r="A20" s="227"/>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row>
    <row r="21" spans="1:38" x14ac:dyDescent="0.25">
      <c r="A21" s="227"/>
      <c r="B21" s="414" t="s">
        <v>20</v>
      </c>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row>
    <row r="22" spans="1:38" ht="48.75" customHeight="1" x14ac:dyDescent="0.25">
      <c r="A22" s="227"/>
      <c r="B22" s="1173" t="s">
        <v>7073</v>
      </c>
      <c r="C22" s="1173"/>
      <c r="D22" s="1173"/>
      <c r="E22" s="1173"/>
      <c r="F22" s="1173"/>
      <c r="G22" s="1173"/>
      <c r="H22" s="1173"/>
      <c r="I22" s="1173"/>
      <c r="J22" s="1173"/>
      <c r="K22" s="1173"/>
      <c r="L22" s="1173"/>
      <c r="M22" s="1173"/>
      <c r="N22" s="1173"/>
      <c r="O22" s="1173"/>
      <c r="P22" s="1173"/>
      <c r="Q22" s="1173"/>
      <c r="R22" s="1173"/>
      <c r="S22" s="1173"/>
      <c r="T22" s="1173"/>
      <c r="U22" s="1173"/>
      <c r="V22" s="1173"/>
      <c r="W22" s="1173"/>
      <c r="X22" s="1173"/>
      <c r="Y22" s="1173"/>
      <c r="Z22" s="1173"/>
      <c r="AA22" s="1173"/>
      <c r="AB22" s="1173"/>
      <c r="AC22" s="1173"/>
      <c r="AD22" s="1173"/>
      <c r="AE22" s="1173"/>
      <c r="AF22" s="1173"/>
      <c r="AL22" s="683"/>
    </row>
    <row r="23" spans="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8" x14ac:dyDescent="0.25">
      <c r="A25" s="1472" t="s">
        <v>14</v>
      </c>
      <c r="B25" s="1472"/>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row>
    <row r="26" spans="1:38" x14ac:dyDescent="0.25">
      <c r="A26" s="1"/>
    </row>
    <row r="27" spans="1:38" ht="33.75" customHeight="1" x14ac:dyDescent="0.25">
      <c r="B27" s="171" t="s">
        <v>5319</v>
      </c>
      <c r="C27" s="838"/>
      <c r="D27" s="838"/>
      <c r="E27" s="838"/>
      <c r="F27" s="838"/>
      <c r="G27" s="838"/>
      <c r="H27" s="838"/>
      <c r="I27" s="838"/>
      <c r="J27" s="838"/>
      <c r="K27" s="838"/>
      <c r="L27" s="838"/>
      <c r="M27" s="838"/>
      <c r="N27" s="838"/>
      <c r="O27" s="838"/>
      <c r="P27" s="838"/>
      <c r="Q27" s="838"/>
      <c r="R27" s="838"/>
      <c r="S27" s="838"/>
      <c r="T27" s="838"/>
      <c r="U27" s="838"/>
      <c r="V27" s="838"/>
      <c r="W27" s="838"/>
      <c r="X27" s="838"/>
      <c r="Y27" s="838"/>
      <c r="Z27" s="838"/>
      <c r="AA27" s="838"/>
      <c r="AB27" s="838"/>
      <c r="AC27" s="838"/>
      <c r="AD27" s="838"/>
      <c r="AE27" s="838"/>
      <c r="AF27" s="838"/>
      <c r="AL27" s="656"/>
    </row>
    <row r="28" spans="1:38" x14ac:dyDescent="0.25">
      <c r="A28" s="3"/>
      <c r="B28" s="3"/>
      <c r="C28" s="640"/>
      <c r="D28" s="845"/>
      <c r="E28" s="3"/>
      <c r="F28" s="3"/>
      <c r="G28" s="3"/>
      <c r="H28" s="3"/>
      <c r="I28" s="3"/>
      <c r="J28" s="3"/>
      <c r="K28" s="3"/>
      <c r="L28" s="3"/>
      <c r="M28" s="3"/>
      <c r="N28" s="1"/>
      <c r="O28" s="1"/>
      <c r="P28" s="1"/>
      <c r="Q28" s="1"/>
      <c r="R28" s="1"/>
      <c r="S28" s="1"/>
      <c r="T28" s="1"/>
      <c r="U28" s="1"/>
      <c r="V28" s="1"/>
      <c r="W28" s="1"/>
      <c r="X28" s="1"/>
      <c r="Y28" s="1"/>
      <c r="Z28" s="1"/>
      <c r="AA28" s="1"/>
      <c r="AB28" s="1"/>
      <c r="AC28" s="1"/>
      <c r="AD28" s="1"/>
      <c r="AE28" s="1"/>
      <c r="AF28" s="1"/>
      <c r="AL28" s="683"/>
    </row>
    <row r="29" spans="1:38" x14ac:dyDescent="0.25">
      <c r="A29" s="3"/>
      <c r="B29" s="3"/>
      <c r="C29" s="3"/>
      <c r="D29" s="845"/>
      <c r="E29" s="3"/>
      <c r="F29" s="3"/>
      <c r="G29" s="3"/>
      <c r="H29" s="3"/>
      <c r="I29" s="3"/>
      <c r="J29" s="3"/>
      <c r="K29" s="3"/>
      <c r="L29" s="3"/>
      <c r="M29" s="3"/>
      <c r="N29" s="1"/>
      <c r="O29" s="1"/>
      <c r="P29" s="1"/>
      <c r="Q29" s="1"/>
      <c r="R29" s="1"/>
      <c r="S29" s="1"/>
      <c r="T29" s="1"/>
      <c r="U29" s="1"/>
      <c r="V29" s="1"/>
      <c r="W29" s="1"/>
      <c r="X29" s="1"/>
      <c r="Y29" s="1"/>
      <c r="Z29" s="1"/>
      <c r="AA29" s="1"/>
      <c r="AB29" s="1"/>
      <c r="AC29" s="1"/>
      <c r="AD29" s="1"/>
      <c r="AE29" s="1"/>
      <c r="AF29" s="204" t="s">
        <v>1705</v>
      </c>
    </row>
    <row r="30" spans="1:38" x14ac:dyDescent="0.25">
      <c r="A30" s="3"/>
      <c r="B30" s="3"/>
      <c r="C30" s="684"/>
      <c r="E30" s="3"/>
      <c r="F30" s="846" t="s">
        <v>5320</v>
      </c>
      <c r="G30" s="3"/>
      <c r="H30" s="3"/>
      <c r="I30" s="3"/>
      <c r="J30" s="3"/>
      <c r="K30" s="3"/>
      <c r="L30" s="3"/>
      <c r="M30" s="3"/>
      <c r="N30" s="1"/>
      <c r="O30" s="1"/>
      <c r="P30" s="1"/>
      <c r="Q30" s="1"/>
      <c r="R30" s="1"/>
      <c r="S30" s="1"/>
      <c r="T30" s="1"/>
      <c r="U30" s="1"/>
      <c r="V30" s="1"/>
      <c r="W30" s="1"/>
      <c r="X30" s="1"/>
      <c r="Y30" s="1"/>
      <c r="Z30" s="1"/>
      <c r="AA30" s="1"/>
      <c r="AB30" s="1"/>
      <c r="AC30" s="1"/>
      <c r="AD30" s="1"/>
      <c r="AE30" s="1"/>
      <c r="AF30" s="1"/>
    </row>
    <row r="31" spans="1:38" x14ac:dyDescent="0.25">
      <c r="A31" s="3"/>
      <c r="B31" s="3"/>
      <c r="C31" s="3"/>
      <c r="D31" s="3"/>
      <c r="E31" s="3"/>
      <c r="F31" s="3"/>
      <c r="G31" s="3"/>
      <c r="H31" s="3"/>
      <c r="I31" s="3"/>
      <c r="J31" s="3"/>
      <c r="K31" s="3"/>
      <c r="L31" s="3"/>
      <c r="M31" s="3"/>
      <c r="N31" s="1"/>
      <c r="O31" s="1"/>
      <c r="P31" s="1"/>
      <c r="Q31" s="1"/>
      <c r="R31" s="1"/>
      <c r="S31" s="1"/>
      <c r="T31" s="1"/>
      <c r="U31" s="1"/>
      <c r="V31" s="1"/>
      <c r="W31" s="1"/>
      <c r="X31" s="1"/>
      <c r="Y31" s="1"/>
      <c r="Z31" s="1"/>
      <c r="AA31" s="1"/>
      <c r="AB31" s="1"/>
      <c r="AC31" s="1"/>
      <c r="AD31" s="1"/>
      <c r="AE31" s="1"/>
      <c r="AF31" s="1"/>
    </row>
    <row r="32" spans="1:38" x14ac:dyDescent="0.25">
      <c r="B32" s="171" t="s">
        <v>5321</v>
      </c>
      <c r="C32" s="838"/>
      <c r="D32" s="838"/>
      <c r="E32" s="838"/>
      <c r="F32" s="838"/>
      <c r="G32" s="838"/>
      <c r="H32" s="838"/>
      <c r="I32" s="838"/>
      <c r="J32" s="838"/>
      <c r="K32" s="838"/>
      <c r="L32" s="838"/>
      <c r="M32" s="838"/>
      <c r="N32" s="838"/>
      <c r="O32" s="838"/>
      <c r="P32" s="838"/>
      <c r="Q32" s="838"/>
      <c r="R32" s="838"/>
      <c r="S32" s="838"/>
      <c r="T32" s="838"/>
      <c r="U32" s="838"/>
      <c r="V32" s="838"/>
      <c r="W32" s="838"/>
      <c r="X32" s="838"/>
      <c r="Y32" s="838"/>
      <c r="Z32" s="838"/>
      <c r="AA32" s="838"/>
      <c r="AB32" s="838"/>
      <c r="AC32" s="838"/>
      <c r="AD32" s="838"/>
      <c r="AE32" s="838"/>
      <c r="AF32" s="838"/>
      <c r="AL32" s="656"/>
    </row>
    <row r="33" spans="1:117" ht="15.75" customHeight="1" x14ac:dyDescent="0.25">
      <c r="A33" s="3"/>
      <c r="B33" s="3"/>
      <c r="C33" s="684"/>
      <c r="D33" s="845"/>
      <c r="E33" s="3"/>
      <c r="F33" s="3"/>
      <c r="G33" s="3"/>
      <c r="H33" s="3"/>
      <c r="I33" s="3"/>
      <c r="J33" s="3"/>
      <c r="K33" s="3"/>
      <c r="L33" s="3"/>
      <c r="M33" s="3"/>
      <c r="N33" s="1"/>
      <c r="O33" s="1"/>
      <c r="P33" s="1"/>
      <c r="Q33" s="1"/>
      <c r="R33" s="1"/>
      <c r="S33" s="1"/>
      <c r="T33" s="1"/>
      <c r="U33" s="1"/>
      <c r="V33" s="1"/>
      <c r="W33" s="1"/>
      <c r="X33" s="1"/>
      <c r="Y33" s="1"/>
      <c r="Z33" s="1"/>
      <c r="AA33" s="1"/>
      <c r="AB33" s="1"/>
      <c r="AC33" s="1"/>
      <c r="AD33" s="1"/>
      <c r="AE33" s="1"/>
      <c r="AF33" s="1"/>
      <c r="AL33" s="3702"/>
      <c r="AM33" s="3702"/>
      <c r="AN33" s="3702"/>
      <c r="AO33" s="3702"/>
      <c r="AP33" s="3702"/>
      <c r="AQ33" s="3702"/>
      <c r="AR33" s="3702"/>
      <c r="AS33" s="3702"/>
      <c r="AT33" s="3702"/>
      <c r="AU33" s="3702"/>
      <c r="AV33" s="3702"/>
      <c r="AW33" s="3702"/>
      <c r="AX33" s="3702"/>
      <c r="AY33" s="3702"/>
      <c r="AZ33" s="3702"/>
      <c r="BA33" s="3702"/>
      <c r="BB33" s="3702"/>
      <c r="BC33" s="3702"/>
      <c r="BD33" s="3702"/>
      <c r="BE33" s="3702"/>
      <c r="BF33" s="3702"/>
      <c r="BG33" s="3702"/>
      <c r="BH33" s="3702"/>
      <c r="BI33" s="3702"/>
      <c r="BJ33" s="3702"/>
      <c r="BK33" s="3702"/>
      <c r="BL33" s="3702"/>
      <c r="BM33" s="3702"/>
      <c r="BN33" s="3702"/>
      <c r="BO33" s="3702"/>
      <c r="BP33" s="3702"/>
      <c r="BQ33" s="3702"/>
      <c r="BR33" s="3702"/>
      <c r="BS33" s="3702"/>
      <c r="BT33" s="3702"/>
      <c r="BU33" s="3702"/>
      <c r="BV33" s="3702"/>
      <c r="BW33" s="3702"/>
      <c r="BX33" s="3702"/>
      <c r="BY33" s="3702"/>
      <c r="BZ33" s="3702"/>
      <c r="CA33" s="3702"/>
      <c r="CB33" s="3702"/>
      <c r="CC33" s="3702"/>
      <c r="CD33" s="3702"/>
      <c r="CE33" s="3702"/>
      <c r="CF33" s="3702"/>
      <c r="CG33" s="3702"/>
      <c r="CH33" s="3702"/>
      <c r="CI33" s="3702"/>
      <c r="CJ33" s="3702"/>
      <c r="CK33" s="3702"/>
      <c r="CL33" s="3702"/>
      <c r="CM33" s="3702"/>
      <c r="CN33" s="3702"/>
      <c r="CO33" s="3702"/>
      <c r="CP33" s="3702"/>
      <c r="CQ33" s="3702"/>
      <c r="CR33" s="3702"/>
      <c r="CS33" s="3702"/>
      <c r="CT33" s="3702"/>
      <c r="CU33" s="3702"/>
      <c r="CV33" s="3702"/>
      <c r="CW33" s="3702"/>
      <c r="CX33" s="3702"/>
      <c r="CY33" s="3702"/>
      <c r="CZ33" s="3702"/>
      <c r="DA33" s="3702"/>
      <c r="DB33" s="3702"/>
    </row>
    <row r="34" spans="1:117" x14ac:dyDescent="0.25">
      <c r="A34" s="3"/>
      <c r="B34" s="3"/>
      <c r="C34" s="640"/>
      <c r="D34" s="10"/>
      <c r="E34" s="3"/>
      <c r="F34" s="3"/>
      <c r="G34" s="3"/>
      <c r="H34" s="3"/>
      <c r="I34" s="3"/>
      <c r="J34" s="3"/>
      <c r="K34" s="3"/>
      <c r="L34" s="3"/>
      <c r="M34" s="3"/>
      <c r="N34" s="1"/>
      <c r="O34" s="1"/>
      <c r="P34" s="1"/>
      <c r="Q34" s="1"/>
      <c r="R34" s="1"/>
      <c r="S34" s="1"/>
      <c r="T34" s="1"/>
      <c r="U34" s="1"/>
      <c r="V34" s="1"/>
      <c r="W34" s="1"/>
      <c r="X34" s="1"/>
      <c r="Y34" s="1"/>
      <c r="Z34" s="1"/>
      <c r="AA34" s="1"/>
      <c r="AB34" s="1"/>
      <c r="AC34" s="1"/>
      <c r="AD34" s="1"/>
      <c r="AE34" s="1"/>
      <c r="AF34" s="204" t="s">
        <v>1706</v>
      </c>
      <c r="AL34" s="894"/>
    </row>
    <row r="35" spans="1:117" x14ac:dyDescent="0.25">
      <c r="A35" s="3"/>
      <c r="B35" s="3"/>
      <c r="C35" s="640"/>
      <c r="D35" s="10"/>
      <c r="E35" s="3"/>
      <c r="F35" s="846" t="s">
        <v>5320</v>
      </c>
      <c r="G35" s="3"/>
      <c r="H35" s="3"/>
      <c r="I35" s="3"/>
      <c r="J35" s="3"/>
      <c r="K35" s="3"/>
      <c r="L35" s="3"/>
      <c r="M35" s="3"/>
      <c r="N35" s="1"/>
      <c r="O35" s="1"/>
      <c r="P35" s="1"/>
      <c r="Q35" s="1"/>
      <c r="R35" s="1"/>
      <c r="S35" s="1"/>
      <c r="T35" s="1"/>
      <c r="U35" s="1"/>
      <c r="V35" s="1"/>
      <c r="W35" s="1"/>
      <c r="X35" s="1"/>
      <c r="Y35" s="1"/>
      <c r="Z35" s="1"/>
      <c r="AA35" s="1"/>
      <c r="AB35" s="1"/>
      <c r="AC35" s="1"/>
      <c r="AD35" s="1"/>
      <c r="AE35" s="1"/>
      <c r="AF35" s="204"/>
      <c r="AL35" s="894"/>
    </row>
    <row r="36" spans="1:117" x14ac:dyDescent="0.25">
      <c r="A36" s="3"/>
      <c r="B36" s="3"/>
      <c r="C36" s="3"/>
      <c r="D36" s="10"/>
      <c r="E36" s="3"/>
      <c r="F36" s="3"/>
      <c r="G36" s="3"/>
      <c r="H36" s="3"/>
      <c r="I36" s="3"/>
      <c r="J36" s="3"/>
      <c r="K36" s="3"/>
      <c r="L36" s="3"/>
      <c r="M36" s="3"/>
      <c r="N36" s="1"/>
      <c r="O36" s="1"/>
      <c r="P36" s="1"/>
      <c r="Q36" s="1"/>
      <c r="R36" s="1"/>
      <c r="S36" s="1"/>
      <c r="T36" s="1"/>
      <c r="U36" s="1"/>
      <c r="V36" s="1"/>
      <c r="W36" s="1"/>
      <c r="X36" s="1"/>
      <c r="Y36" s="1"/>
      <c r="Z36" s="1"/>
      <c r="AA36" s="1"/>
      <c r="AB36" s="1"/>
      <c r="AC36" s="1"/>
      <c r="AD36" s="1"/>
      <c r="AE36" s="1"/>
      <c r="AF36" s="1"/>
      <c r="AL36" s="894"/>
    </row>
    <row r="37" spans="1:117" x14ac:dyDescent="0.25">
      <c r="B37" s="379" t="s">
        <v>5322</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L37" s="894"/>
    </row>
    <row r="38" spans="1:117" ht="34.5" customHeight="1" x14ac:dyDescent="0.25">
      <c r="B38" s="3"/>
      <c r="C38" s="1"/>
      <c r="D38" s="845"/>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L38" s="3702"/>
      <c r="AM38" s="3702"/>
      <c r="AN38" s="3702"/>
      <c r="AO38" s="3702"/>
      <c r="AP38" s="3702"/>
      <c r="AQ38" s="3702"/>
      <c r="AR38" s="3702"/>
      <c r="AS38" s="3702"/>
      <c r="AT38" s="3702"/>
      <c r="AU38" s="3702"/>
      <c r="AV38" s="3702"/>
      <c r="AW38" s="3702"/>
      <c r="AX38" s="3702"/>
      <c r="AY38" s="3702"/>
      <c r="AZ38" s="3702"/>
      <c r="BA38" s="3702"/>
      <c r="BB38" s="3702"/>
      <c r="BC38" s="3702"/>
      <c r="BD38" s="3702"/>
      <c r="BE38" s="3702"/>
      <c r="BF38" s="3702"/>
      <c r="BG38" s="3702"/>
      <c r="BH38" s="3702"/>
      <c r="BI38" s="3702"/>
      <c r="BJ38" s="3702"/>
      <c r="BK38" s="3702"/>
      <c r="BL38" s="3702"/>
      <c r="BM38" s="3702"/>
      <c r="BN38" s="3702"/>
      <c r="BO38" s="3702"/>
      <c r="BP38" s="3702"/>
      <c r="BQ38" s="3702"/>
      <c r="BR38" s="3702"/>
      <c r="BS38" s="3702"/>
      <c r="BT38" s="3702"/>
      <c r="BU38" s="3702"/>
      <c r="BV38" s="3702"/>
      <c r="BW38" s="3702"/>
      <c r="BX38" s="3702"/>
      <c r="BY38" s="3702"/>
      <c r="BZ38" s="3702"/>
      <c r="CA38" s="3702"/>
      <c r="CB38" s="3702"/>
      <c r="CC38" s="3702"/>
      <c r="CD38" s="3702"/>
      <c r="CE38" s="3702"/>
      <c r="CF38" s="3702"/>
      <c r="CG38" s="3702"/>
      <c r="CH38" s="3702"/>
      <c r="CI38" s="3702"/>
      <c r="CJ38" s="3702"/>
      <c r="CK38" s="3702"/>
      <c r="CL38" s="3702"/>
      <c r="CM38" s="3702"/>
      <c r="CN38" s="3702"/>
      <c r="CO38" s="3702"/>
      <c r="CP38" s="3702"/>
      <c r="CQ38" s="3702"/>
      <c r="CR38" s="3702"/>
      <c r="CS38" s="3702"/>
      <c r="CT38" s="3702"/>
      <c r="CU38" s="3702"/>
      <c r="CV38" s="3702"/>
      <c r="CW38" s="3702"/>
      <c r="CX38" s="3702"/>
      <c r="CY38" s="3702"/>
      <c r="CZ38" s="3702"/>
      <c r="DA38" s="3702"/>
      <c r="DB38" s="3702"/>
      <c r="DC38" s="3702"/>
      <c r="DD38" s="3702"/>
      <c r="DE38" s="3702"/>
      <c r="DF38" s="3702"/>
      <c r="DG38" s="3702"/>
      <c r="DH38" s="3702"/>
      <c r="DI38" s="3702"/>
      <c r="DJ38" s="3702"/>
      <c r="DK38" s="3702"/>
      <c r="DL38" s="3702"/>
      <c r="DM38" s="3702"/>
    </row>
    <row r="39" spans="1:117" x14ac:dyDescent="0.25">
      <c r="B39" s="3"/>
      <c r="C39" s="1"/>
      <c r="D39" s="10"/>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L39" s="683"/>
    </row>
    <row r="40" spans="1:117" x14ac:dyDescent="0.25">
      <c r="B40" s="3"/>
      <c r="D40" s="10"/>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204" t="s">
        <v>1707</v>
      </c>
      <c r="AL40" s="683"/>
    </row>
    <row r="41" spans="1:117" x14ac:dyDescent="0.25">
      <c r="B41" s="3"/>
      <c r="D41" s="10"/>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204"/>
      <c r="AL41" s="683"/>
    </row>
    <row r="42" spans="1:117" x14ac:dyDescent="0.25">
      <c r="B42" s="3"/>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row>
    <row r="43" spans="1:117" x14ac:dyDescent="0.25">
      <c r="B43" s="379" t="s">
        <v>5323</v>
      </c>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L43" s="894"/>
    </row>
    <row r="44" spans="1:117" x14ac:dyDescent="0.25">
      <c r="B44" s="1"/>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L44" s="683"/>
    </row>
    <row r="45" spans="1:117" x14ac:dyDescent="0.25">
      <c r="B45" s="1"/>
      <c r="C45" s="148"/>
      <c r="D45" s="845"/>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L45" s="683"/>
    </row>
    <row r="46" spans="1:117" x14ac:dyDescent="0.25">
      <c r="B46" s="1"/>
      <c r="C46" s="148"/>
      <c r="D46" s="10"/>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204" t="s">
        <v>1756</v>
      </c>
    </row>
    <row r="47" spans="1:117" x14ac:dyDescent="0.25">
      <c r="B47" s="1"/>
      <c r="C47" s="148"/>
      <c r="D47" s="10"/>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row>
    <row r="48" spans="1:117" x14ac:dyDescent="0.25">
      <c r="B48" s="1"/>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row>
    <row r="49" spans="1:38" x14ac:dyDescent="0.25">
      <c r="B49" s="379" t="s">
        <v>2194</v>
      </c>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row>
    <row r="50" spans="1:38" x14ac:dyDescent="0.25">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row>
    <row r="51" spans="1:38" x14ac:dyDescent="0.25">
      <c r="B51" s="148"/>
      <c r="C51" s="148"/>
      <c r="D51" s="847"/>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204" t="s">
        <v>1788</v>
      </c>
    </row>
    <row r="52" spans="1:38" x14ac:dyDescent="0.25">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row>
    <row r="53" spans="1:38" x14ac:dyDescent="0.25">
      <c r="B53" s="379" t="s">
        <v>2303</v>
      </c>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row>
    <row r="54" spans="1:38" x14ac:dyDescent="0.25">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row>
    <row r="55" spans="1:38" x14ac:dyDescent="0.25">
      <c r="B55" s="148"/>
      <c r="C55" s="148"/>
      <c r="D55" s="845"/>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3214" t="s">
        <v>1789</v>
      </c>
    </row>
    <row r="56" spans="1:38" x14ac:dyDescent="0.25">
      <c r="B56" s="148"/>
      <c r="C56" s="148"/>
      <c r="D56" s="10"/>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3214"/>
    </row>
    <row r="57" spans="1:38" x14ac:dyDescent="0.25">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row>
    <row r="58" spans="1:38" x14ac:dyDescent="0.25">
      <c r="B58" s="379" t="s">
        <v>1998</v>
      </c>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row>
    <row r="59" spans="1:38" x14ac:dyDescent="0.25">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row>
    <row r="60" spans="1:38" x14ac:dyDescent="0.25">
      <c r="A60" s="148"/>
      <c r="B60" s="304"/>
      <c r="C60" s="148"/>
      <c r="D60" s="8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204" t="s">
        <v>1826</v>
      </c>
    </row>
    <row r="61" spans="1:38" x14ac:dyDescent="0.25">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row>
    <row r="62" spans="1:38" x14ac:dyDescent="0.25">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row>
    <row r="63" spans="1:38" x14ac:dyDescent="0.25">
      <c r="A63" s="1472" t="s">
        <v>15</v>
      </c>
      <c r="B63" s="1472"/>
      <c r="C63" s="1472"/>
      <c r="D63" s="1472"/>
      <c r="E63" s="1472"/>
      <c r="F63" s="1472"/>
      <c r="G63" s="1472"/>
      <c r="H63" s="1472"/>
      <c r="I63" s="1472"/>
      <c r="J63" s="1472"/>
      <c r="K63" s="1472"/>
      <c r="L63" s="1472"/>
      <c r="M63" s="1472"/>
      <c r="N63" s="1472"/>
      <c r="O63" s="1472"/>
      <c r="P63" s="1472"/>
      <c r="Q63" s="1472"/>
      <c r="R63" s="1472"/>
      <c r="S63" s="1472"/>
      <c r="T63" s="1472"/>
      <c r="U63" s="1472"/>
      <c r="V63" s="1472"/>
      <c r="W63" s="1472"/>
      <c r="X63" s="1472"/>
      <c r="Y63" s="1472"/>
      <c r="Z63" s="1472"/>
      <c r="AA63" s="1472"/>
      <c r="AB63" s="1472"/>
      <c r="AC63" s="1472"/>
      <c r="AD63" s="1472"/>
      <c r="AE63" s="1472"/>
      <c r="AF63" s="1472"/>
      <c r="AL63" s="683"/>
    </row>
    <row r="64" spans="1:38" x14ac:dyDescent="0.25">
      <c r="A64" s="1474" t="s">
        <v>16</v>
      </c>
      <c r="B64" s="1474"/>
      <c r="C64" s="1474"/>
      <c r="D64" s="1474"/>
      <c r="E64" s="1474" t="s">
        <v>10</v>
      </c>
      <c r="F64" s="1474"/>
      <c r="G64" s="1474"/>
      <c r="H64" s="1474"/>
      <c r="I64" s="1474"/>
      <c r="J64" s="1474"/>
      <c r="K64" s="1474"/>
      <c r="L64" s="1474"/>
      <c r="M64" s="1474"/>
      <c r="N64" s="1474"/>
      <c r="O64" s="1474"/>
      <c r="P64" s="1474" t="s">
        <v>17</v>
      </c>
      <c r="Q64" s="1474"/>
      <c r="R64" s="1474"/>
      <c r="S64" s="1474"/>
      <c r="T64" s="1474" t="s">
        <v>18</v>
      </c>
      <c r="U64" s="1474"/>
      <c r="V64" s="1474"/>
      <c r="W64" s="1474"/>
      <c r="X64" s="1474" t="s">
        <v>1708</v>
      </c>
      <c r="Y64" s="1474"/>
      <c r="Z64" s="1474"/>
      <c r="AA64" s="1474"/>
      <c r="AB64" s="1474"/>
      <c r="AC64" s="1474"/>
      <c r="AD64" s="1474"/>
      <c r="AE64" s="1474"/>
      <c r="AF64" s="1474"/>
    </row>
    <row r="65" spans="1:37" ht="96" customHeight="1" x14ac:dyDescent="0.25">
      <c r="A65" s="1133" t="s">
        <v>7095</v>
      </c>
      <c r="B65" s="1133"/>
      <c r="C65" s="1133"/>
      <c r="D65" s="1133"/>
      <c r="E65" s="1133" t="s">
        <v>7096</v>
      </c>
      <c r="F65" s="1133"/>
      <c r="G65" s="1133"/>
      <c r="H65" s="1133"/>
      <c r="I65" s="1133"/>
      <c r="J65" s="1133"/>
      <c r="K65" s="1133"/>
      <c r="L65" s="1133"/>
      <c r="M65" s="1133"/>
      <c r="N65" s="1133"/>
      <c r="O65" s="1133"/>
      <c r="P65" s="3121" t="s">
        <v>5324</v>
      </c>
      <c r="Q65" s="3121"/>
      <c r="R65" s="3121"/>
      <c r="S65" s="3121"/>
      <c r="T65" s="2474" t="s">
        <v>28</v>
      </c>
      <c r="U65" s="1841"/>
      <c r="V65" s="1841"/>
      <c r="W65" s="1841"/>
      <c r="X65" s="1715" t="s">
        <v>5325</v>
      </c>
      <c r="Y65" s="1715"/>
      <c r="Z65" s="1715"/>
      <c r="AA65" s="1715"/>
      <c r="AB65" s="1715"/>
      <c r="AC65" s="1715"/>
      <c r="AD65" s="1715"/>
      <c r="AE65" s="1715"/>
      <c r="AF65" s="1715"/>
    </row>
    <row r="66" spans="1:37" ht="157.5" customHeight="1" x14ac:dyDescent="0.2">
      <c r="A66" s="1133" t="s">
        <v>7097</v>
      </c>
      <c r="B66" s="1133"/>
      <c r="C66" s="1133"/>
      <c r="D66" s="1133"/>
      <c r="E66" s="1133" t="s">
        <v>7074</v>
      </c>
      <c r="F66" s="1133"/>
      <c r="G66" s="1133"/>
      <c r="H66" s="1133"/>
      <c r="I66" s="1133"/>
      <c r="J66" s="1133"/>
      <c r="K66" s="1133"/>
      <c r="L66" s="1133"/>
      <c r="M66" s="1133"/>
      <c r="N66" s="1133"/>
      <c r="O66" s="1133"/>
      <c r="P66" s="1674" t="s">
        <v>7075</v>
      </c>
      <c r="Q66" s="1674"/>
      <c r="R66" s="1674"/>
      <c r="S66" s="1674"/>
      <c r="T66" s="2474" t="s">
        <v>28</v>
      </c>
      <c r="U66" s="1841"/>
      <c r="V66" s="1841"/>
      <c r="W66" s="1841"/>
      <c r="X66" s="1715" t="s">
        <v>7076</v>
      </c>
      <c r="Y66" s="1715"/>
      <c r="Z66" s="1715"/>
      <c r="AA66" s="1715"/>
      <c r="AB66" s="1715"/>
      <c r="AC66" s="1715"/>
      <c r="AD66" s="1715"/>
      <c r="AE66" s="1715"/>
      <c r="AF66" s="1715"/>
      <c r="AK66" s="1044"/>
    </row>
    <row r="67" spans="1:37" ht="34.5" customHeight="1" x14ac:dyDescent="0.25">
      <c r="A67" s="1132" t="s">
        <v>7098</v>
      </c>
      <c r="B67" s="1132"/>
      <c r="C67" s="1132"/>
      <c r="D67" s="1132"/>
      <c r="E67" s="1133" t="s">
        <v>1710</v>
      </c>
      <c r="F67" s="1133"/>
      <c r="G67" s="1133"/>
      <c r="H67" s="1133"/>
      <c r="I67" s="1133"/>
      <c r="J67" s="1133"/>
      <c r="K67" s="1133"/>
      <c r="L67" s="1133"/>
      <c r="M67" s="1133"/>
      <c r="N67" s="1133"/>
      <c r="O67" s="1133"/>
      <c r="P67" s="1674">
        <v>15</v>
      </c>
      <c r="Q67" s="1674"/>
      <c r="R67" s="1674"/>
      <c r="S67" s="1674"/>
      <c r="T67" s="1674" t="s">
        <v>2865</v>
      </c>
      <c r="U67" s="1674"/>
      <c r="V67" s="1674"/>
      <c r="W67" s="1674"/>
      <c r="X67" s="1715" t="s">
        <v>5326</v>
      </c>
      <c r="Y67" s="1715"/>
      <c r="Z67" s="1715"/>
      <c r="AA67" s="1715"/>
      <c r="AB67" s="1715"/>
      <c r="AC67" s="1715"/>
      <c r="AD67" s="1715"/>
      <c r="AE67" s="1715"/>
      <c r="AF67" s="1715"/>
    </row>
    <row r="68" spans="1:37" ht="67.5" customHeight="1" x14ac:dyDescent="0.25">
      <c r="A68" s="1132" t="s">
        <v>1711</v>
      </c>
      <c r="B68" s="1132"/>
      <c r="C68" s="1132"/>
      <c r="D68" s="1132"/>
      <c r="E68" s="1133" t="s">
        <v>3959</v>
      </c>
      <c r="F68" s="1133"/>
      <c r="G68" s="1133"/>
      <c r="H68" s="1133"/>
      <c r="I68" s="1133"/>
      <c r="J68" s="1133"/>
      <c r="K68" s="1133"/>
      <c r="L68" s="1133"/>
      <c r="M68" s="1133"/>
      <c r="N68" s="1133"/>
      <c r="O68" s="1133"/>
      <c r="P68" s="3121" t="s">
        <v>7077</v>
      </c>
      <c r="Q68" s="3121"/>
      <c r="R68" s="3121"/>
      <c r="S68" s="3121"/>
      <c r="T68" s="2474" t="s">
        <v>2866</v>
      </c>
      <c r="U68" s="1841"/>
      <c r="V68" s="1841"/>
      <c r="W68" s="1841"/>
      <c r="X68" s="1715" t="s">
        <v>5327</v>
      </c>
      <c r="Y68" s="1715"/>
      <c r="Z68" s="1715"/>
      <c r="AA68" s="1715"/>
      <c r="AB68" s="1715"/>
      <c r="AC68" s="1715"/>
      <c r="AD68" s="1715"/>
      <c r="AE68" s="1715"/>
      <c r="AF68" s="1715"/>
    </row>
    <row r="69" spans="1:37" ht="30" customHeight="1" x14ac:dyDescent="0.25">
      <c r="A69" s="1867" t="s">
        <v>1713</v>
      </c>
      <c r="B69" s="1866"/>
      <c r="C69" s="1866"/>
      <c r="D69" s="1866"/>
      <c r="E69" s="1133" t="s">
        <v>1714</v>
      </c>
      <c r="F69" s="1133"/>
      <c r="G69" s="1133"/>
      <c r="H69" s="1133"/>
      <c r="I69" s="1133"/>
      <c r="J69" s="1133"/>
      <c r="K69" s="1133"/>
      <c r="L69" s="1133"/>
      <c r="M69" s="1133"/>
      <c r="N69" s="1133"/>
      <c r="O69" s="1133"/>
      <c r="P69" s="1674">
        <v>8.3000000000000007</v>
      </c>
      <c r="Q69" s="1674"/>
      <c r="R69" s="1674"/>
      <c r="S69" s="1674"/>
      <c r="T69" s="1841" t="s">
        <v>6173</v>
      </c>
      <c r="U69" s="1841"/>
      <c r="V69" s="1841"/>
      <c r="W69" s="1841"/>
      <c r="X69" s="1865" t="s">
        <v>28</v>
      </c>
      <c r="Y69" s="1674"/>
      <c r="Z69" s="1674"/>
      <c r="AA69" s="1674"/>
      <c r="AB69" s="1674"/>
      <c r="AC69" s="1674"/>
      <c r="AD69" s="1674"/>
      <c r="AE69" s="1674"/>
      <c r="AF69" s="1674"/>
    </row>
    <row r="70" spans="1:37" ht="30" customHeight="1" x14ac:dyDescent="0.25">
      <c r="A70" s="1866" t="s">
        <v>6174</v>
      </c>
      <c r="B70" s="1866"/>
      <c r="C70" s="1866"/>
      <c r="D70" s="1866"/>
      <c r="E70" s="1133" t="s">
        <v>1718</v>
      </c>
      <c r="F70" s="1133"/>
      <c r="G70" s="1133"/>
      <c r="H70" s="1133"/>
      <c r="I70" s="1133"/>
      <c r="J70" s="1133"/>
      <c r="K70" s="1133"/>
      <c r="L70" s="1133"/>
      <c r="M70" s="1133"/>
      <c r="N70" s="1133"/>
      <c r="O70" s="1133"/>
      <c r="P70" s="1674">
        <v>1</v>
      </c>
      <c r="Q70" s="1674"/>
      <c r="R70" s="1674"/>
      <c r="S70" s="1674"/>
      <c r="T70" s="1841" t="s">
        <v>7099</v>
      </c>
      <c r="U70" s="1841"/>
      <c r="V70" s="1841"/>
      <c r="W70" s="1841"/>
      <c r="X70" s="1865" t="s">
        <v>28</v>
      </c>
      <c r="Y70" s="1674"/>
      <c r="Z70" s="1674"/>
      <c r="AA70" s="1674"/>
      <c r="AB70" s="1674"/>
      <c r="AC70" s="1674"/>
      <c r="AD70" s="1674"/>
      <c r="AE70" s="1674"/>
      <c r="AF70" s="1674"/>
    </row>
    <row r="71" spans="1:37" ht="115.5" customHeight="1" x14ac:dyDescent="0.25">
      <c r="A71" s="1132" t="s">
        <v>7100</v>
      </c>
      <c r="B71" s="1132"/>
      <c r="C71" s="1132"/>
      <c r="D71" s="1132"/>
      <c r="E71" s="1133" t="s">
        <v>1721</v>
      </c>
      <c r="F71" s="1133"/>
      <c r="G71" s="1133"/>
      <c r="H71" s="1133"/>
      <c r="I71" s="1133"/>
      <c r="J71" s="1133"/>
      <c r="K71" s="1133"/>
      <c r="L71" s="1133"/>
      <c r="M71" s="1133"/>
      <c r="N71" s="1133"/>
      <c r="O71" s="1133"/>
      <c r="P71" s="1674">
        <v>125</v>
      </c>
      <c r="Q71" s="1674"/>
      <c r="R71" s="1674"/>
      <c r="S71" s="1674"/>
      <c r="T71" s="1841" t="s">
        <v>166</v>
      </c>
      <c r="U71" s="1841"/>
      <c r="V71" s="1841"/>
      <c r="W71" s="1841"/>
      <c r="X71" s="1715" t="s">
        <v>5328</v>
      </c>
      <c r="Y71" s="1715"/>
      <c r="Z71" s="1715"/>
      <c r="AA71" s="1715"/>
      <c r="AB71" s="1715"/>
      <c r="AC71" s="1715"/>
      <c r="AD71" s="1715"/>
      <c r="AE71" s="1715"/>
      <c r="AF71" s="1715"/>
    </row>
    <row r="72" spans="1:37" ht="49.5" customHeight="1" x14ac:dyDescent="0.25">
      <c r="A72" s="1132" t="s">
        <v>7101</v>
      </c>
      <c r="B72" s="1132"/>
      <c r="C72" s="1132"/>
      <c r="D72" s="1132"/>
      <c r="E72" s="1133" t="s">
        <v>1722</v>
      </c>
      <c r="F72" s="1133"/>
      <c r="G72" s="1133"/>
      <c r="H72" s="1133"/>
      <c r="I72" s="1133"/>
      <c r="J72" s="1133"/>
      <c r="K72" s="1133"/>
      <c r="L72" s="1133"/>
      <c r="M72" s="1133"/>
      <c r="N72" s="1133"/>
      <c r="O72" s="1133"/>
      <c r="P72" s="1675" t="s">
        <v>7078</v>
      </c>
      <c r="Q72" s="1675">
        <v>8760</v>
      </c>
      <c r="R72" s="1675">
        <v>8760</v>
      </c>
      <c r="S72" s="1675">
        <v>8760</v>
      </c>
      <c r="T72" s="1841" t="s">
        <v>1723</v>
      </c>
      <c r="U72" s="1841"/>
      <c r="V72" s="1841"/>
      <c r="W72" s="1841"/>
      <c r="X72" s="1715" t="s">
        <v>5330</v>
      </c>
      <c r="Y72" s="1715"/>
      <c r="Z72" s="1715"/>
      <c r="AA72" s="1715"/>
      <c r="AB72" s="1715"/>
      <c r="AC72" s="1715"/>
      <c r="AD72" s="1715"/>
      <c r="AE72" s="1715"/>
      <c r="AF72" s="1715"/>
    </row>
    <row r="73" spans="1:37" ht="67.5" customHeight="1" x14ac:dyDescent="0.25">
      <c r="A73" s="1132" t="s">
        <v>257</v>
      </c>
      <c r="B73" s="1132" t="s">
        <v>216</v>
      </c>
      <c r="C73" s="1132" t="s">
        <v>216</v>
      </c>
      <c r="D73" s="1132" t="s">
        <v>216</v>
      </c>
      <c r="E73" s="1133" t="s">
        <v>1772</v>
      </c>
      <c r="F73" s="1133" t="s">
        <v>643</v>
      </c>
      <c r="G73" s="1133" t="s">
        <v>643</v>
      </c>
      <c r="H73" s="1133" t="s">
        <v>643</v>
      </c>
      <c r="I73" s="1133" t="s">
        <v>643</v>
      </c>
      <c r="J73" s="1133" t="s">
        <v>643</v>
      </c>
      <c r="K73" s="1133" t="s">
        <v>643</v>
      </c>
      <c r="L73" s="1133" t="s">
        <v>643</v>
      </c>
      <c r="M73" s="1133" t="s">
        <v>643</v>
      </c>
      <c r="N73" s="1133" t="s">
        <v>643</v>
      </c>
      <c r="O73" s="1133" t="s">
        <v>643</v>
      </c>
      <c r="P73" s="3697" t="s">
        <v>7079</v>
      </c>
      <c r="Q73" s="3697"/>
      <c r="R73" s="3697"/>
      <c r="S73" s="3697"/>
      <c r="T73" s="1841" t="s">
        <v>45</v>
      </c>
      <c r="U73" s="1841"/>
      <c r="V73" s="1841"/>
      <c r="W73" s="1841"/>
      <c r="X73" s="1715" t="s">
        <v>5332</v>
      </c>
      <c r="Y73" s="1715"/>
      <c r="Z73" s="1715"/>
      <c r="AA73" s="1715"/>
      <c r="AB73" s="1715"/>
      <c r="AC73" s="1715"/>
      <c r="AD73" s="1715"/>
      <c r="AE73" s="1715"/>
      <c r="AF73" s="1715"/>
    </row>
    <row r="74" spans="1:37" ht="93" customHeight="1" x14ac:dyDescent="0.25">
      <c r="A74" s="1132" t="s">
        <v>545</v>
      </c>
      <c r="B74" s="1132" t="s">
        <v>545</v>
      </c>
      <c r="C74" s="1132" t="s">
        <v>545</v>
      </c>
      <c r="D74" s="1132" t="s">
        <v>545</v>
      </c>
      <c r="E74" s="1133" t="s">
        <v>1703</v>
      </c>
      <c r="F74" s="1133" t="s">
        <v>546</v>
      </c>
      <c r="G74" s="1133" t="s">
        <v>546</v>
      </c>
      <c r="H74" s="1133" t="s">
        <v>546</v>
      </c>
      <c r="I74" s="1133" t="s">
        <v>546</v>
      </c>
      <c r="J74" s="1133" t="s">
        <v>546</v>
      </c>
      <c r="K74" s="1133" t="s">
        <v>546</v>
      </c>
      <c r="L74" s="1133" t="s">
        <v>546</v>
      </c>
      <c r="M74" s="1133" t="s">
        <v>546</v>
      </c>
      <c r="N74" s="1133" t="s">
        <v>546</v>
      </c>
      <c r="O74" s="1133" t="s">
        <v>546</v>
      </c>
      <c r="P74" s="3697" t="s">
        <v>7080</v>
      </c>
      <c r="Q74" s="3697"/>
      <c r="R74" s="3697"/>
      <c r="S74" s="3697"/>
      <c r="T74" s="1841" t="s">
        <v>28</v>
      </c>
      <c r="U74" s="1841"/>
      <c r="V74" s="1841"/>
      <c r="W74" s="1841"/>
      <c r="X74" s="1715" t="s">
        <v>5334</v>
      </c>
      <c r="Y74" s="1715"/>
      <c r="Z74" s="1715"/>
      <c r="AA74" s="1715"/>
      <c r="AB74" s="1715"/>
      <c r="AC74" s="1715"/>
      <c r="AD74" s="1715"/>
      <c r="AE74" s="1715"/>
      <c r="AF74" s="1715"/>
    </row>
    <row r="75" spans="1:37" ht="30" customHeight="1" x14ac:dyDescent="0.25">
      <c r="A75" s="1680" t="s">
        <v>3935</v>
      </c>
      <c r="B75" s="1681" t="s">
        <v>34</v>
      </c>
      <c r="C75" s="1681" t="s">
        <v>34</v>
      </c>
      <c r="D75" s="1682" t="s">
        <v>34</v>
      </c>
      <c r="E75" s="1133" t="s">
        <v>2217</v>
      </c>
      <c r="F75" s="1133" t="s">
        <v>219</v>
      </c>
      <c r="G75" s="1133" t="s">
        <v>219</v>
      </c>
      <c r="H75" s="1133" t="s">
        <v>219</v>
      </c>
      <c r="I75" s="1133" t="s">
        <v>219</v>
      </c>
      <c r="J75" s="1133" t="s">
        <v>219</v>
      </c>
      <c r="K75" s="1133" t="s">
        <v>219</v>
      </c>
      <c r="L75" s="1133" t="s">
        <v>219</v>
      </c>
      <c r="M75" s="1133" t="s">
        <v>219</v>
      </c>
      <c r="N75" s="1133" t="s">
        <v>219</v>
      </c>
      <c r="O75" s="1133" t="s">
        <v>219</v>
      </c>
      <c r="P75" s="1674">
        <f>'Master EUL'!X13</f>
        <v>10</v>
      </c>
      <c r="Q75" s="1674"/>
      <c r="R75" s="1674"/>
      <c r="S75" s="1674"/>
      <c r="T75" s="1841" t="s">
        <v>46</v>
      </c>
      <c r="U75" s="1841"/>
      <c r="V75" s="1841"/>
      <c r="W75" s="1841"/>
      <c r="X75" s="1715" t="s">
        <v>3456</v>
      </c>
      <c r="Y75" s="1715"/>
      <c r="Z75" s="1715"/>
      <c r="AA75" s="1715"/>
      <c r="AB75" s="1715"/>
      <c r="AC75" s="1715"/>
      <c r="AD75" s="1715"/>
      <c r="AE75" s="1715"/>
      <c r="AF75" s="1715"/>
    </row>
    <row r="76" spans="1:37" ht="30" customHeight="1" x14ac:dyDescent="0.25">
      <c r="A76" s="1601" t="s">
        <v>5335</v>
      </c>
      <c r="B76" s="1601"/>
      <c r="C76" s="1601"/>
      <c r="D76" s="1601"/>
      <c r="E76" s="1601"/>
      <c r="F76" s="1601"/>
      <c r="G76" s="1601"/>
      <c r="H76" s="1601"/>
      <c r="I76" s="1601"/>
      <c r="J76" s="1601"/>
      <c r="K76" s="1601"/>
      <c r="L76" s="1601"/>
      <c r="M76" s="1601"/>
      <c r="N76" s="1601"/>
      <c r="O76" s="1601"/>
      <c r="P76" s="1601"/>
      <c r="Q76" s="1601"/>
      <c r="R76" s="1601"/>
      <c r="S76" s="1601"/>
      <c r="T76" s="1601"/>
      <c r="U76" s="1601"/>
      <c r="V76" s="1601"/>
      <c r="W76" s="1601"/>
      <c r="X76" s="1601"/>
      <c r="Y76" s="1601"/>
      <c r="Z76" s="1601"/>
      <c r="AA76" s="1601"/>
      <c r="AB76" s="1601"/>
      <c r="AC76" s="1601"/>
      <c r="AD76" s="1601"/>
      <c r="AE76" s="1601"/>
      <c r="AF76" s="1601"/>
    </row>
    <row r="77" spans="1:37" ht="39.75" customHeight="1" x14ac:dyDescent="0.25">
      <c r="A77" s="1415" t="s">
        <v>5336</v>
      </c>
      <c r="B77" s="1415"/>
      <c r="C77" s="1415"/>
      <c r="D77" s="1415"/>
      <c r="E77" s="1415"/>
      <c r="F77" s="1415"/>
      <c r="G77" s="1415"/>
      <c r="H77" s="1415"/>
      <c r="I77" s="1415"/>
      <c r="J77" s="1415"/>
      <c r="K77" s="1415"/>
      <c r="L77" s="1415"/>
      <c r="M77" s="1415"/>
      <c r="N77" s="1415"/>
      <c r="O77" s="1415"/>
      <c r="P77" s="1415"/>
      <c r="Q77" s="1415"/>
      <c r="R77" s="1415"/>
      <c r="S77" s="1415"/>
      <c r="T77" s="1415"/>
      <c r="U77" s="1415"/>
      <c r="V77" s="1415"/>
      <c r="W77" s="1415"/>
      <c r="X77" s="1415"/>
      <c r="Y77" s="1415"/>
      <c r="Z77" s="1415"/>
      <c r="AA77" s="1415"/>
      <c r="AB77" s="1415"/>
      <c r="AC77" s="1415"/>
      <c r="AD77" s="1415"/>
      <c r="AE77" s="1415"/>
      <c r="AF77" s="1415"/>
    </row>
    <row r="78" spans="1:37" ht="30" customHeight="1" x14ac:dyDescent="0.25">
      <c r="A78" s="1415" t="s">
        <v>5337</v>
      </c>
      <c r="B78" s="1415"/>
      <c r="C78" s="1415"/>
      <c r="D78" s="1415"/>
      <c r="E78" s="1415"/>
      <c r="F78" s="1415"/>
      <c r="G78" s="1415"/>
      <c r="H78" s="1415"/>
      <c r="I78" s="1415"/>
      <c r="J78" s="1415"/>
      <c r="K78" s="1415"/>
      <c r="L78" s="1415"/>
      <c r="M78" s="1415"/>
      <c r="N78" s="1415"/>
      <c r="O78" s="1415"/>
      <c r="P78" s="1415"/>
      <c r="Q78" s="1415"/>
      <c r="R78" s="1415"/>
      <c r="S78" s="1415"/>
      <c r="T78" s="1415"/>
      <c r="U78" s="1415"/>
      <c r="V78" s="1415"/>
      <c r="W78" s="1415"/>
      <c r="X78" s="1415"/>
      <c r="Y78" s="1415"/>
      <c r="Z78" s="1415"/>
      <c r="AA78" s="1415"/>
      <c r="AB78" s="1415"/>
      <c r="AC78" s="1415"/>
      <c r="AD78" s="1415"/>
      <c r="AE78" s="1415"/>
      <c r="AF78" s="1415"/>
    </row>
    <row r="79" spans="1:37" x14ac:dyDescent="0.25">
      <c r="A79" s="1415" t="s">
        <v>5338</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row>
    <row r="80" spans="1:37" ht="30" customHeight="1" x14ac:dyDescent="0.25">
      <c r="A80" s="8"/>
      <c r="B80" s="8"/>
      <c r="C80" s="8"/>
      <c r="D80" s="8"/>
      <c r="E80" s="2"/>
      <c r="F80" s="2"/>
      <c r="G80" s="2"/>
      <c r="H80" s="2"/>
      <c r="I80" s="2"/>
      <c r="J80" s="2"/>
      <c r="K80" s="2"/>
      <c r="L80" s="2"/>
      <c r="M80" s="2"/>
      <c r="N80" s="2"/>
      <c r="O80" s="2"/>
      <c r="P80" s="290"/>
      <c r="Q80" s="290"/>
      <c r="R80" s="290"/>
      <c r="S80" s="290"/>
      <c r="T80" s="7"/>
      <c r="U80" s="7"/>
      <c r="V80" s="7"/>
      <c r="W80" s="7"/>
      <c r="X80" s="7"/>
      <c r="Y80" s="7"/>
      <c r="Z80" s="7"/>
      <c r="AA80" s="7"/>
      <c r="AB80" s="7"/>
      <c r="AC80" s="7"/>
      <c r="AD80" s="7"/>
      <c r="AE80" s="7"/>
      <c r="AF80" s="7"/>
    </row>
    <row r="81" spans="1:38" x14ac:dyDescent="0.25">
      <c r="A81" s="687" t="s">
        <v>5248</v>
      </c>
      <c r="B81" s="8"/>
      <c r="C81" s="8"/>
      <c r="D81" s="687"/>
      <c r="E81" s="687"/>
      <c r="F81" s="687"/>
      <c r="G81" s="687"/>
      <c r="H81" s="687"/>
      <c r="I81" s="687"/>
      <c r="J81" s="687"/>
      <c r="K81" s="687"/>
      <c r="L81" s="687"/>
      <c r="M81" s="687"/>
      <c r="N81" s="687"/>
      <c r="O81" s="687"/>
      <c r="P81" s="687"/>
      <c r="Q81" s="687"/>
      <c r="R81" s="687"/>
      <c r="S81" s="290"/>
      <c r="T81" s="7"/>
      <c r="U81" s="7"/>
      <c r="V81" s="7"/>
      <c r="W81" s="7"/>
      <c r="X81" s="7"/>
      <c r="Y81" s="7"/>
      <c r="Z81" s="7"/>
      <c r="AA81" s="7"/>
      <c r="AB81" s="7"/>
      <c r="AC81" s="7"/>
      <c r="AD81" s="7"/>
      <c r="AE81" s="7"/>
      <c r="AF81" s="7"/>
      <c r="AL81" s="683"/>
    </row>
    <row r="82" spans="1:38" ht="30.75" customHeight="1" x14ac:dyDescent="0.25">
      <c r="A82" s="3696" t="s">
        <v>3960</v>
      </c>
      <c r="B82" s="3696"/>
      <c r="C82" s="3696"/>
      <c r="D82" s="3696"/>
      <c r="E82" s="3696"/>
      <c r="F82" s="3696"/>
      <c r="G82" s="3696"/>
      <c r="H82" s="3696"/>
      <c r="I82" s="3696"/>
      <c r="J82" s="3696"/>
      <c r="K82" s="3696"/>
      <c r="L82" s="3696"/>
      <c r="M82" s="3696"/>
      <c r="N82" s="3696"/>
      <c r="O82" s="3696"/>
      <c r="P82" s="3696"/>
      <c r="Q82" s="3696"/>
      <c r="R82" s="3696"/>
      <c r="S82" s="3696" t="s">
        <v>7081</v>
      </c>
      <c r="T82" s="3696"/>
      <c r="U82" s="3696"/>
      <c r="V82" s="3696"/>
      <c r="W82" s="3696"/>
      <c r="X82" s="3696"/>
      <c r="Y82" s="3696"/>
      <c r="Z82" s="3696"/>
      <c r="AA82" s="3696"/>
      <c r="AB82" s="3696"/>
      <c r="AC82" s="3696"/>
      <c r="AD82" s="3696"/>
      <c r="AE82" s="3696"/>
      <c r="AF82" s="7"/>
    </row>
    <row r="83" spans="1:38" x14ac:dyDescent="0.25">
      <c r="A83" s="2672" t="s">
        <v>3961</v>
      </c>
      <c r="B83" s="2673"/>
      <c r="C83" s="2673"/>
      <c r="D83" s="2673"/>
      <c r="E83" s="2673"/>
      <c r="F83" s="2673"/>
      <c r="G83" s="2673"/>
      <c r="H83" s="2674"/>
      <c r="I83" s="1497" t="s">
        <v>5250</v>
      </c>
      <c r="J83" s="1498"/>
      <c r="K83" s="1498"/>
      <c r="L83" s="1498"/>
      <c r="M83" s="1498"/>
      <c r="N83" s="1498"/>
      <c r="O83" s="1498"/>
      <c r="P83" s="1498"/>
      <c r="Q83" s="1498"/>
      <c r="R83" s="1499"/>
      <c r="S83" s="1871" t="s">
        <v>5251</v>
      </c>
      <c r="T83" s="1871"/>
      <c r="U83" s="1871"/>
      <c r="V83" s="1871"/>
      <c r="W83" s="1871"/>
      <c r="X83" s="1871"/>
      <c r="Y83" s="1871"/>
      <c r="Z83" s="1871"/>
      <c r="AA83" s="1871"/>
      <c r="AB83" s="1871"/>
      <c r="AC83" s="1871"/>
      <c r="AD83" s="1871"/>
      <c r="AE83" s="1871"/>
      <c r="AF83" s="7"/>
    </row>
    <row r="84" spans="1:38" ht="31.5" customHeight="1" x14ac:dyDescent="0.25">
      <c r="A84" s="2889"/>
      <c r="B84" s="2890"/>
      <c r="C84" s="2890"/>
      <c r="D84" s="2890"/>
      <c r="E84" s="2890"/>
      <c r="F84" s="2890"/>
      <c r="G84" s="2890"/>
      <c r="H84" s="2891"/>
      <c r="I84" s="1497" t="s">
        <v>5252</v>
      </c>
      <c r="J84" s="1498"/>
      <c r="K84" s="1498"/>
      <c r="L84" s="1498"/>
      <c r="M84" s="1498"/>
      <c r="N84" s="1498"/>
      <c r="O84" s="1498"/>
      <c r="P84" s="1498"/>
      <c r="Q84" s="1498"/>
      <c r="R84" s="1499"/>
      <c r="S84" s="1674" t="s">
        <v>5253</v>
      </c>
      <c r="T84" s="1674"/>
      <c r="U84" s="1674"/>
      <c r="V84" s="1674"/>
      <c r="W84" s="1674"/>
      <c r="X84" s="1674"/>
      <c r="Y84" s="1674"/>
      <c r="Z84" s="1674"/>
      <c r="AA84" s="1674"/>
      <c r="AB84" s="1674"/>
      <c r="AC84" s="1674"/>
      <c r="AD84" s="1674"/>
      <c r="AE84" s="1674"/>
      <c r="AF84" s="7"/>
    </row>
    <row r="85" spans="1:38" x14ac:dyDescent="0.25">
      <c r="A85" s="3655"/>
      <c r="B85" s="3656"/>
      <c r="C85" s="3656"/>
      <c r="D85" s="3656"/>
      <c r="E85" s="3656"/>
      <c r="F85" s="3656"/>
      <c r="G85" s="3656"/>
      <c r="H85" s="3657"/>
      <c r="I85" s="1497" t="s">
        <v>5254</v>
      </c>
      <c r="J85" s="1498"/>
      <c r="K85" s="1498"/>
      <c r="L85" s="1498"/>
      <c r="M85" s="1498"/>
      <c r="N85" s="1498"/>
      <c r="O85" s="1498"/>
      <c r="P85" s="1498"/>
      <c r="Q85" s="1498"/>
      <c r="R85" s="1499"/>
      <c r="S85" s="1871" t="s">
        <v>5253</v>
      </c>
      <c r="T85" s="1871"/>
      <c r="U85" s="1871"/>
      <c r="V85" s="1871"/>
      <c r="W85" s="1871"/>
      <c r="X85" s="1871"/>
      <c r="Y85" s="1871"/>
      <c r="Z85" s="1871"/>
      <c r="AA85" s="1871"/>
      <c r="AB85" s="1871"/>
      <c r="AC85" s="1871"/>
      <c r="AD85" s="1871"/>
      <c r="AE85" s="1871"/>
      <c r="AF85" s="7"/>
    </row>
    <row r="86" spans="1:38" x14ac:dyDescent="0.25">
      <c r="A86" s="1674" t="s">
        <v>3962</v>
      </c>
      <c r="B86" s="1674"/>
      <c r="C86" s="1674"/>
      <c r="D86" s="1674"/>
      <c r="E86" s="1674"/>
      <c r="F86" s="1674"/>
      <c r="G86" s="1674"/>
      <c r="H86" s="1674"/>
      <c r="I86" s="1674"/>
      <c r="J86" s="1674"/>
      <c r="K86" s="1674"/>
      <c r="L86" s="1674"/>
      <c r="M86" s="1674"/>
      <c r="N86" s="1674"/>
      <c r="O86" s="1674"/>
      <c r="P86" s="1674"/>
      <c r="Q86" s="1674"/>
      <c r="R86" s="1674"/>
      <c r="S86" s="1871" t="s">
        <v>3963</v>
      </c>
      <c r="T86" s="1871"/>
      <c r="U86" s="1871"/>
      <c r="V86" s="1871"/>
      <c r="W86" s="1871"/>
      <c r="X86" s="1871"/>
      <c r="Y86" s="1871"/>
      <c r="Z86" s="1871"/>
      <c r="AA86" s="1871"/>
      <c r="AB86" s="1871"/>
      <c r="AC86" s="1871"/>
      <c r="AD86" s="1871"/>
      <c r="AE86" s="1871"/>
      <c r="AF86" s="7"/>
    </row>
    <row r="87" spans="1:38" x14ac:dyDescent="0.25">
      <c r="A87" s="1674" t="s">
        <v>3964</v>
      </c>
      <c r="B87" s="1674"/>
      <c r="C87" s="1674"/>
      <c r="D87" s="1674"/>
      <c r="E87" s="1674"/>
      <c r="F87" s="1674"/>
      <c r="G87" s="1674"/>
      <c r="H87" s="1674"/>
      <c r="I87" s="1674"/>
      <c r="J87" s="1674"/>
      <c r="K87" s="1674"/>
      <c r="L87" s="1674"/>
      <c r="M87" s="1674"/>
      <c r="N87" s="1674"/>
      <c r="O87" s="1674"/>
      <c r="P87" s="1674"/>
      <c r="Q87" s="1674"/>
      <c r="R87" s="1674"/>
      <c r="S87" s="1871" t="s">
        <v>3965</v>
      </c>
      <c r="T87" s="1871"/>
      <c r="U87" s="1871"/>
      <c r="V87" s="1871"/>
      <c r="W87" s="1871"/>
      <c r="X87" s="1871"/>
      <c r="Y87" s="1871"/>
      <c r="Z87" s="1871"/>
      <c r="AA87" s="1871"/>
      <c r="AB87" s="1871"/>
      <c r="AC87" s="1871"/>
      <c r="AD87" s="1871"/>
      <c r="AE87" s="1871"/>
      <c r="AF87" s="7"/>
    </row>
    <row r="88" spans="1:38" x14ac:dyDescent="0.25">
      <c r="A88" s="1674" t="s">
        <v>3966</v>
      </c>
      <c r="B88" s="1674"/>
      <c r="C88" s="1674"/>
      <c r="D88" s="1674"/>
      <c r="E88" s="1674"/>
      <c r="F88" s="1674"/>
      <c r="G88" s="1674"/>
      <c r="H88" s="1674"/>
      <c r="I88" s="1674"/>
      <c r="J88" s="1674"/>
      <c r="K88" s="1674"/>
      <c r="L88" s="1674"/>
      <c r="M88" s="1674"/>
      <c r="N88" s="1674"/>
      <c r="O88" s="1674"/>
      <c r="P88" s="1674"/>
      <c r="Q88" s="1674"/>
      <c r="R88" s="1674"/>
      <c r="S88" s="1871" t="s">
        <v>7082</v>
      </c>
      <c r="T88" s="1871"/>
      <c r="U88" s="1871"/>
      <c r="V88" s="1871"/>
      <c r="W88" s="1871"/>
      <c r="X88" s="1871"/>
      <c r="Y88" s="1871"/>
      <c r="Z88" s="1871"/>
      <c r="AA88" s="1871"/>
      <c r="AB88" s="1871"/>
      <c r="AC88" s="1871"/>
      <c r="AD88" s="1871"/>
      <c r="AE88" s="1871"/>
      <c r="AF88" s="7"/>
    </row>
    <row r="89" spans="1:38" ht="59.25" customHeight="1" x14ac:dyDescent="0.25">
      <c r="A89" s="1674" t="s">
        <v>3968</v>
      </c>
      <c r="B89" s="1674"/>
      <c r="C89" s="1674"/>
      <c r="D89" s="1674"/>
      <c r="E89" s="1674"/>
      <c r="F89" s="1674"/>
      <c r="G89" s="1674"/>
      <c r="H89" s="1674"/>
      <c r="I89" s="1674"/>
      <c r="J89" s="1674"/>
      <c r="K89" s="1674"/>
      <c r="L89" s="1674"/>
      <c r="M89" s="1674"/>
      <c r="N89" s="1674"/>
      <c r="O89" s="1674"/>
      <c r="P89" s="1674"/>
      <c r="Q89" s="1674"/>
      <c r="R89" s="1674"/>
      <c r="S89" s="1871" t="s">
        <v>3969</v>
      </c>
      <c r="T89" s="1871"/>
      <c r="U89" s="1871"/>
      <c r="V89" s="1871"/>
      <c r="W89" s="1871"/>
      <c r="X89" s="1871"/>
      <c r="Y89" s="1871"/>
      <c r="Z89" s="1871"/>
      <c r="AA89" s="1871"/>
      <c r="AB89" s="1871"/>
      <c r="AC89" s="1871"/>
      <c r="AD89" s="1871"/>
      <c r="AE89" s="1871"/>
      <c r="AF89" s="7"/>
    </row>
    <row r="90" spans="1:38" ht="59.25" customHeight="1" x14ac:dyDescent="0.25">
      <c r="A90" s="1674" t="s">
        <v>7102</v>
      </c>
      <c r="B90" s="1674"/>
      <c r="C90" s="1674"/>
      <c r="D90" s="1674"/>
      <c r="E90" s="1674"/>
      <c r="F90" s="1674"/>
      <c r="G90" s="1674"/>
      <c r="H90" s="1674"/>
      <c r="I90" s="1674"/>
      <c r="J90" s="1674"/>
      <c r="K90" s="1674"/>
      <c r="L90" s="1674"/>
      <c r="M90" s="1674"/>
      <c r="N90" s="1674"/>
      <c r="O90" s="1674"/>
      <c r="P90" s="1674"/>
      <c r="Q90" s="1674"/>
      <c r="R90" s="1674"/>
      <c r="S90" s="1871" t="s">
        <v>7083</v>
      </c>
      <c r="T90" s="1871"/>
      <c r="U90" s="1871"/>
      <c r="V90" s="1871"/>
      <c r="W90" s="1871"/>
      <c r="X90" s="1871"/>
      <c r="Y90" s="1871"/>
      <c r="Z90" s="1871"/>
      <c r="AA90" s="1871"/>
      <c r="AB90" s="1871"/>
      <c r="AC90" s="1871"/>
      <c r="AD90" s="1871"/>
      <c r="AE90" s="1871"/>
      <c r="AF90" s="7"/>
      <c r="AL90" s="1045"/>
    </row>
    <row r="91" spans="1:38" ht="42" customHeight="1" x14ac:dyDescent="0.25">
      <c r="A91" s="1290" t="s">
        <v>7084</v>
      </c>
      <c r="B91" s="1290"/>
      <c r="C91" s="1290"/>
      <c r="D91" s="1290"/>
      <c r="E91" s="1290"/>
      <c r="F91" s="1290"/>
      <c r="G91" s="1290"/>
      <c r="H91" s="1290"/>
      <c r="I91" s="1290"/>
      <c r="J91" s="1290"/>
      <c r="K91" s="1290"/>
      <c r="L91" s="1290"/>
      <c r="M91" s="1290"/>
      <c r="N91" s="1290"/>
      <c r="O91" s="1290"/>
      <c r="P91" s="1290"/>
      <c r="Q91" s="1290"/>
      <c r="R91" s="1290"/>
      <c r="S91" s="1290"/>
      <c r="T91" s="1290"/>
      <c r="U91" s="1290"/>
      <c r="V91" s="1290"/>
      <c r="W91" s="1290"/>
      <c r="X91" s="1290"/>
      <c r="Y91" s="1290"/>
      <c r="Z91" s="1290"/>
      <c r="AA91" s="1290"/>
      <c r="AB91" s="1290"/>
      <c r="AC91" s="1290"/>
      <c r="AD91" s="1290"/>
      <c r="AE91" s="1290"/>
      <c r="AF91" s="7"/>
      <c r="AI91" s="683"/>
      <c r="AL91" s="1046"/>
    </row>
    <row r="92" spans="1:38" ht="19.5" customHeight="1" x14ac:dyDescent="0.25">
      <c r="A92" s="654"/>
      <c r="B92" s="654"/>
      <c r="C92" s="654"/>
      <c r="D92" s="654"/>
      <c r="E92" s="654"/>
      <c r="F92" s="654"/>
      <c r="G92" s="654"/>
      <c r="H92" s="654"/>
      <c r="I92" s="654"/>
      <c r="J92" s="654"/>
      <c r="K92" s="654"/>
      <c r="L92" s="654"/>
      <c r="M92" s="654"/>
      <c r="N92" s="654"/>
      <c r="O92" s="654"/>
      <c r="P92" s="654"/>
      <c r="Q92" s="654"/>
      <c r="R92" s="654"/>
      <c r="S92" s="654"/>
      <c r="T92" s="654"/>
      <c r="U92" s="654"/>
      <c r="V92" s="654"/>
      <c r="W92" s="654"/>
      <c r="X92" s="654"/>
      <c r="Y92" s="654"/>
      <c r="Z92" s="654"/>
      <c r="AA92" s="654"/>
      <c r="AB92" s="654"/>
      <c r="AC92" s="654"/>
      <c r="AD92" s="654"/>
      <c r="AE92" s="654"/>
      <c r="AF92" s="7"/>
      <c r="AI92" s="683"/>
    </row>
    <row r="93" spans="1:38" ht="24.75" customHeight="1" x14ac:dyDescent="0.25">
      <c r="A93" s="190" t="s">
        <v>7085</v>
      </c>
      <c r="B93" s="190"/>
      <c r="C93" s="192"/>
      <c r="D93" s="192"/>
      <c r="E93" s="460"/>
      <c r="F93" s="460"/>
      <c r="G93" s="460"/>
      <c r="H93" s="460"/>
      <c r="I93" s="460"/>
      <c r="J93" s="460"/>
      <c r="K93" s="460"/>
      <c r="L93" s="460"/>
      <c r="M93" s="460"/>
      <c r="N93" s="654"/>
      <c r="O93" s="654"/>
      <c r="P93" s="654"/>
      <c r="Q93" s="654"/>
      <c r="R93" s="654"/>
      <c r="S93" s="654"/>
      <c r="T93" s="654"/>
      <c r="U93" s="654"/>
      <c r="V93" s="654"/>
      <c r="W93" s="654"/>
      <c r="X93" s="654"/>
      <c r="Y93" s="654"/>
      <c r="Z93" s="654"/>
      <c r="AA93" s="654"/>
      <c r="AB93" s="654"/>
      <c r="AC93" s="654"/>
      <c r="AD93" s="654"/>
      <c r="AE93" s="654"/>
      <c r="AF93" s="7"/>
      <c r="AL93" s="683"/>
    </row>
    <row r="94" spans="1:38" ht="21" customHeight="1" x14ac:dyDescent="0.25">
      <c r="A94" s="3004" t="s">
        <v>7086</v>
      </c>
      <c r="B94" s="3004"/>
      <c r="C94" s="3004"/>
      <c r="D94" s="3004"/>
      <c r="E94" s="3004"/>
      <c r="F94" s="3004"/>
      <c r="G94" s="3004"/>
      <c r="H94" s="3004"/>
      <c r="I94" s="3004"/>
      <c r="J94" s="3004"/>
      <c r="K94" s="3004"/>
      <c r="L94" s="3004"/>
      <c r="M94" s="3004"/>
      <c r="N94" s="3004"/>
      <c r="O94" s="3004"/>
      <c r="P94" s="3004"/>
      <c r="Q94" s="3004"/>
      <c r="R94" s="3004"/>
      <c r="S94" s="3004" t="s">
        <v>6135</v>
      </c>
      <c r="T94" s="3004"/>
      <c r="U94" s="654"/>
      <c r="V94" s="654"/>
      <c r="W94" s="654"/>
      <c r="X94" s="654"/>
      <c r="Y94" s="654"/>
      <c r="Z94" s="654"/>
      <c r="AA94" s="654"/>
      <c r="AB94" s="654"/>
      <c r="AC94" s="654"/>
      <c r="AD94" s="654"/>
      <c r="AE94" s="654"/>
      <c r="AF94" s="7"/>
      <c r="AL94" s="683"/>
    </row>
    <row r="95" spans="1:38" ht="21" customHeight="1" x14ac:dyDescent="0.25">
      <c r="A95" s="3698" t="s">
        <v>7087</v>
      </c>
      <c r="B95" s="3698"/>
      <c r="C95" s="3698"/>
      <c r="D95" s="3698"/>
      <c r="E95" s="3698"/>
      <c r="F95" s="3698"/>
      <c r="G95" s="3698"/>
      <c r="H95" s="3698"/>
      <c r="I95" s="3698"/>
      <c r="J95" s="3698"/>
      <c r="K95" s="3698"/>
      <c r="L95" s="3698"/>
      <c r="M95" s="3698"/>
      <c r="N95" s="3698"/>
      <c r="O95" s="3698"/>
      <c r="P95" s="3698"/>
      <c r="Q95" s="3698"/>
      <c r="R95" s="3698"/>
      <c r="S95" s="3699">
        <v>3.6</v>
      </c>
      <c r="T95" s="3699"/>
      <c r="U95" s="654"/>
      <c r="V95" s="654"/>
      <c r="W95" s="654"/>
      <c r="X95" s="654"/>
      <c r="Y95" s="654"/>
      <c r="Z95" s="654"/>
      <c r="AA95" s="654"/>
      <c r="AB95" s="654"/>
      <c r="AC95" s="654"/>
      <c r="AD95" s="654"/>
      <c r="AE95" s="654"/>
      <c r="AF95" s="7"/>
      <c r="AL95" s="683"/>
    </row>
    <row r="96" spans="1:38" ht="20.25" customHeight="1" x14ac:dyDescent="0.25">
      <c r="A96" s="3698" t="s">
        <v>7088</v>
      </c>
      <c r="B96" s="3698"/>
      <c r="C96" s="3698"/>
      <c r="D96" s="3698"/>
      <c r="E96" s="3698"/>
      <c r="F96" s="3698"/>
      <c r="G96" s="3698"/>
      <c r="H96" s="3698"/>
      <c r="I96" s="3698"/>
      <c r="J96" s="3698"/>
      <c r="K96" s="3698"/>
      <c r="L96" s="3698"/>
      <c r="M96" s="3698"/>
      <c r="N96" s="3698"/>
      <c r="O96" s="3698"/>
      <c r="P96" s="3698"/>
      <c r="Q96" s="3698"/>
      <c r="R96" s="3698"/>
      <c r="S96" s="3700">
        <v>3.62</v>
      </c>
      <c r="T96" s="3700"/>
      <c r="U96" s="654"/>
      <c r="V96" s="654"/>
      <c r="W96" s="654"/>
      <c r="X96" s="654"/>
      <c r="Y96" s="654"/>
      <c r="Z96" s="654"/>
      <c r="AA96" s="654"/>
      <c r="AB96" s="654"/>
      <c r="AC96" s="654"/>
      <c r="AD96" s="654"/>
      <c r="AE96" s="654"/>
      <c r="AF96" s="7"/>
      <c r="AL96" s="683"/>
    </row>
    <row r="97" spans="1:38" ht="41.25" customHeight="1" x14ac:dyDescent="0.25">
      <c r="A97" s="2288" t="s">
        <v>7089</v>
      </c>
      <c r="B97" s="2288"/>
      <c r="C97" s="2288"/>
      <c r="D97" s="2288"/>
      <c r="E97" s="2288"/>
      <c r="F97" s="2288"/>
      <c r="G97" s="2288"/>
      <c r="H97" s="2288"/>
      <c r="I97" s="2288"/>
      <c r="J97" s="2288"/>
      <c r="K97" s="2288"/>
      <c r="L97" s="2288"/>
      <c r="M97" s="2288"/>
      <c r="N97" s="2288"/>
      <c r="O97" s="2288"/>
      <c r="P97" s="2288"/>
      <c r="Q97" s="2288"/>
      <c r="R97" s="2288"/>
      <c r="S97" s="2288"/>
      <c r="T97" s="2288"/>
      <c r="U97" s="654"/>
      <c r="V97" s="654"/>
      <c r="W97" s="654"/>
      <c r="X97" s="654"/>
      <c r="Y97" s="654"/>
      <c r="Z97" s="654"/>
      <c r="AA97" s="654"/>
      <c r="AB97" s="654"/>
      <c r="AC97" s="654"/>
      <c r="AD97" s="654"/>
      <c r="AE97" s="654"/>
      <c r="AF97" s="7"/>
      <c r="AL97" s="683"/>
    </row>
    <row r="98" spans="1:38" x14ac:dyDescent="0.25">
      <c r="A98" s="192"/>
      <c r="B98" s="192"/>
      <c r="C98" s="192"/>
      <c r="D98" s="192"/>
      <c r="E98" s="460"/>
      <c r="F98" s="460"/>
      <c r="G98" s="460"/>
      <c r="H98" s="460"/>
      <c r="I98" s="460"/>
      <c r="J98" s="460"/>
      <c r="K98" s="460"/>
      <c r="L98" s="460"/>
      <c r="M98" s="460"/>
      <c r="N98" s="460"/>
      <c r="O98" s="460"/>
      <c r="P98" s="194"/>
      <c r="Q98" s="194"/>
      <c r="R98" s="194"/>
      <c r="S98" s="194"/>
      <c r="T98" s="191"/>
      <c r="U98" s="191"/>
      <c r="V98" s="191"/>
      <c r="W98" s="191"/>
      <c r="X98" s="191"/>
      <c r="Y98" s="191"/>
      <c r="Z98" s="191"/>
      <c r="AA98" s="191"/>
      <c r="AB98" s="191"/>
      <c r="AC98" s="191"/>
      <c r="AD98" s="191"/>
      <c r="AE98" s="191"/>
      <c r="AF98" s="7"/>
    </row>
    <row r="99" spans="1:38" ht="18" x14ac:dyDescent="0.25">
      <c r="A99" s="190" t="s">
        <v>7090</v>
      </c>
      <c r="B99" s="190"/>
      <c r="C99" s="192"/>
      <c r="D99" s="192"/>
      <c r="E99" s="460"/>
      <c r="F99" s="460"/>
      <c r="G99" s="460"/>
      <c r="H99" s="460"/>
      <c r="I99" s="460"/>
      <c r="J99" s="460"/>
      <c r="K99" s="460"/>
      <c r="L99" s="460"/>
      <c r="M99" s="460"/>
      <c r="N99" s="460"/>
      <c r="O99" s="190" t="s">
        <v>7103</v>
      </c>
      <c r="P99" s="194"/>
      <c r="Q99" s="194"/>
      <c r="R99" s="194"/>
      <c r="S99" s="194"/>
      <c r="T99" s="191"/>
      <c r="U99" s="191"/>
      <c r="V99" s="191"/>
      <c r="W99" s="191"/>
      <c r="X99" s="191"/>
      <c r="Y99" s="191"/>
      <c r="Z99" s="191"/>
      <c r="AA99" s="191"/>
      <c r="AB99" s="191"/>
      <c r="AC99" s="191"/>
      <c r="AD99" s="191"/>
      <c r="AE99" s="191"/>
      <c r="AF99" s="7"/>
      <c r="AL99" s="683"/>
    </row>
    <row r="100" spans="1:38" ht="33.75" customHeight="1" x14ac:dyDescent="0.25">
      <c r="A100" s="1590" t="s">
        <v>1727</v>
      </c>
      <c r="B100" s="1591"/>
      <c r="C100" s="1591"/>
      <c r="D100" s="1591"/>
      <c r="E100" s="1591"/>
      <c r="F100" s="1591"/>
      <c r="G100" s="1751"/>
      <c r="H100" s="3701" t="s">
        <v>1725</v>
      </c>
      <c r="I100" s="3701"/>
      <c r="J100" s="3701"/>
      <c r="K100" s="3701"/>
      <c r="L100" s="373"/>
      <c r="M100" s="372"/>
      <c r="N100" s="372"/>
      <c r="O100" s="1474" t="s">
        <v>1734</v>
      </c>
      <c r="P100" s="1474"/>
      <c r="Q100" s="1474"/>
      <c r="R100" s="1474" t="s">
        <v>1735</v>
      </c>
      <c r="S100" s="1474"/>
      <c r="T100" s="1474"/>
      <c r="U100" s="1474"/>
      <c r="V100" s="1474"/>
      <c r="W100" s="1474"/>
      <c r="X100" s="1474"/>
      <c r="Y100" s="1474"/>
      <c r="Z100" s="1474"/>
      <c r="AA100" s="1474"/>
      <c r="AB100" s="1474"/>
      <c r="AC100" s="1474"/>
      <c r="AD100" s="1474"/>
      <c r="AE100" s="372"/>
      <c r="AF100" s="372"/>
    </row>
    <row r="101" spans="1:38" ht="21" customHeight="1" x14ac:dyDescent="0.25">
      <c r="A101" s="3686" t="s">
        <v>1726</v>
      </c>
      <c r="B101" s="3687"/>
      <c r="C101" s="3687"/>
      <c r="D101" s="3687"/>
      <c r="E101" s="3687"/>
      <c r="F101" s="3687"/>
      <c r="G101" s="3688"/>
      <c r="H101" s="3695">
        <v>3.16</v>
      </c>
      <c r="I101" s="3695"/>
      <c r="J101" s="3695"/>
      <c r="K101" s="3695"/>
      <c r="L101" s="373"/>
      <c r="M101" s="372"/>
      <c r="N101" s="372"/>
      <c r="O101" s="1474"/>
      <c r="P101" s="1474"/>
      <c r="Q101" s="1474"/>
      <c r="R101" s="1474" t="s">
        <v>3515</v>
      </c>
      <c r="S101" s="1474"/>
      <c r="T101" s="1474"/>
      <c r="U101" s="1474" t="s">
        <v>3091</v>
      </c>
      <c r="V101" s="1474"/>
      <c r="W101" s="1474"/>
      <c r="X101" s="1474" t="s">
        <v>878</v>
      </c>
      <c r="Y101" s="1474"/>
      <c r="Z101" s="1474"/>
      <c r="AA101" s="1474" t="s">
        <v>1726</v>
      </c>
      <c r="AB101" s="1474"/>
      <c r="AC101" s="1474"/>
      <c r="AD101" s="1474"/>
      <c r="AE101" s="372"/>
      <c r="AF101" s="372"/>
    </row>
    <row r="102" spans="1:38" ht="30" customHeight="1" x14ac:dyDescent="0.25">
      <c r="A102" s="3686" t="s">
        <v>2984</v>
      </c>
      <c r="B102" s="3687"/>
      <c r="C102" s="3687"/>
      <c r="D102" s="3687"/>
      <c r="E102" s="3687"/>
      <c r="F102" s="3687"/>
      <c r="G102" s="3688"/>
      <c r="H102" s="3695">
        <v>2.56</v>
      </c>
      <c r="I102" s="3695"/>
      <c r="J102" s="3695"/>
      <c r="K102" s="3695"/>
      <c r="L102" s="373"/>
      <c r="M102" s="372"/>
      <c r="N102" s="372"/>
      <c r="O102" s="1606" t="s">
        <v>257</v>
      </c>
      <c r="P102" s="1606"/>
      <c r="Q102" s="1606"/>
      <c r="R102" s="1600">
        <v>3569</v>
      </c>
      <c r="S102" s="1600"/>
      <c r="T102" s="1600"/>
      <c r="U102" s="1600">
        <v>3564</v>
      </c>
      <c r="V102" s="1600"/>
      <c r="W102" s="1600"/>
      <c r="X102" s="1600">
        <v>3567</v>
      </c>
      <c r="Y102" s="1600"/>
      <c r="Z102" s="1600"/>
      <c r="AA102" s="1600">
        <v>3564</v>
      </c>
      <c r="AB102" s="1600"/>
      <c r="AC102" s="1600"/>
      <c r="AD102" s="1600"/>
      <c r="AE102" s="372"/>
      <c r="AF102" s="372"/>
    </row>
    <row r="103" spans="1:38" ht="31.5" customHeight="1" x14ac:dyDescent="0.25">
      <c r="A103" s="3686" t="s">
        <v>3092</v>
      </c>
      <c r="B103" s="3687"/>
      <c r="C103" s="3687"/>
      <c r="D103" s="3687"/>
      <c r="E103" s="3687"/>
      <c r="F103" s="3687"/>
      <c r="G103" s="3688"/>
      <c r="H103" s="3695">
        <v>2.96</v>
      </c>
      <c r="I103" s="3695"/>
      <c r="J103" s="3695"/>
      <c r="K103" s="3695"/>
      <c r="L103" s="373"/>
      <c r="M103" s="372"/>
      <c r="N103" s="372"/>
      <c r="O103" s="1606" t="s">
        <v>29</v>
      </c>
      <c r="P103" s="1606"/>
      <c r="Q103" s="1606"/>
      <c r="R103" s="1606">
        <v>0.53</v>
      </c>
      <c r="S103" s="1606"/>
      <c r="T103" s="1606"/>
      <c r="U103" s="1574">
        <v>0.53</v>
      </c>
      <c r="V103" s="1575"/>
      <c r="W103" s="1576"/>
      <c r="X103" s="1574">
        <v>0.53</v>
      </c>
      <c r="Y103" s="1575"/>
      <c r="Z103" s="1576"/>
      <c r="AA103" s="1606">
        <v>0.53</v>
      </c>
      <c r="AB103" s="1606"/>
      <c r="AC103" s="1606"/>
      <c r="AD103" s="1606"/>
      <c r="AE103" s="372"/>
      <c r="AF103" s="372"/>
    </row>
    <row r="104" spans="1:38" ht="30" customHeight="1" x14ac:dyDescent="0.25">
      <c r="A104" s="3686" t="s">
        <v>1728</v>
      </c>
      <c r="B104" s="3687"/>
      <c r="C104" s="3687"/>
      <c r="D104" s="3687"/>
      <c r="E104" s="3687"/>
      <c r="F104" s="3687"/>
      <c r="G104" s="3688"/>
      <c r="H104" s="3695">
        <v>3.04</v>
      </c>
      <c r="I104" s="3695"/>
      <c r="J104" s="3695"/>
      <c r="K104" s="3695"/>
      <c r="L104" s="373"/>
      <c r="M104" s="372"/>
      <c r="N104" s="372"/>
      <c r="O104" s="1606" t="s">
        <v>5339</v>
      </c>
      <c r="P104" s="1606"/>
      <c r="Q104" s="1606"/>
      <c r="R104" s="1606">
        <v>75</v>
      </c>
      <c r="S104" s="1606"/>
      <c r="T104" s="1606"/>
      <c r="U104" s="1574">
        <v>75</v>
      </c>
      <c r="V104" s="1575"/>
      <c r="W104" s="1576"/>
      <c r="X104" s="1574">
        <v>71</v>
      </c>
      <c r="Y104" s="1575"/>
      <c r="Z104" s="1576"/>
      <c r="AA104" s="1606">
        <v>75</v>
      </c>
      <c r="AB104" s="1606"/>
      <c r="AC104" s="1606"/>
      <c r="AD104" s="1606"/>
      <c r="AE104" s="372"/>
      <c r="AF104" s="372"/>
    </row>
    <row r="105" spans="1:38" ht="31.5" customHeight="1" x14ac:dyDescent="0.25">
      <c r="A105" s="3686" t="s">
        <v>1730</v>
      </c>
      <c r="B105" s="3687"/>
      <c r="C105" s="3687"/>
      <c r="D105" s="3687"/>
      <c r="E105" s="3687"/>
      <c r="F105" s="3687"/>
      <c r="G105" s="3688"/>
      <c r="H105" s="3695">
        <v>3.16</v>
      </c>
      <c r="I105" s="3695"/>
      <c r="J105" s="3695"/>
      <c r="K105" s="3695"/>
      <c r="L105" s="373"/>
      <c r="M105" s="372"/>
      <c r="N105" s="372"/>
      <c r="O105" s="2"/>
      <c r="P105" s="290"/>
      <c r="Q105" s="290"/>
      <c r="R105" s="290"/>
      <c r="S105" s="290"/>
      <c r="T105" s="7"/>
      <c r="U105" s="7"/>
      <c r="V105" s="7"/>
      <c r="W105" s="7"/>
      <c r="X105" s="7"/>
      <c r="Y105" s="7"/>
      <c r="Z105" s="7"/>
      <c r="AA105" s="7"/>
      <c r="AB105" s="7"/>
      <c r="AC105" s="7"/>
      <c r="AD105" s="7"/>
      <c r="AE105" s="372"/>
      <c r="AF105" s="372"/>
    </row>
    <row r="106" spans="1:38" ht="31.5" customHeight="1" x14ac:dyDescent="0.25">
      <c r="A106" s="3686" t="s">
        <v>1731</v>
      </c>
      <c r="B106" s="3687"/>
      <c r="C106" s="3687"/>
      <c r="D106" s="3687"/>
      <c r="E106" s="3687"/>
      <c r="F106" s="3687"/>
      <c r="G106" s="3688"/>
      <c r="H106" s="3695">
        <v>2.34</v>
      </c>
      <c r="I106" s="3695"/>
      <c r="J106" s="3695"/>
      <c r="K106" s="3695"/>
      <c r="L106" s="373"/>
      <c r="M106" s="372"/>
      <c r="N106" s="372"/>
      <c r="O106" s="2"/>
      <c r="P106" s="290"/>
      <c r="Q106" s="290"/>
      <c r="R106" s="290"/>
      <c r="S106" s="290"/>
      <c r="T106" s="7"/>
      <c r="U106" s="7"/>
      <c r="V106" s="7"/>
      <c r="W106" s="7"/>
      <c r="X106" s="7"/>
      <c r="Y106" s="7"/>
      <c r="Z106" s="7"/>
      <c r="AA106" s="7"/>
      <c r="AB106" s="7"/>
      <c r="AC106" s="7"/>
      <c r="AD106" s="7"/>
      <c r="AE106" s="372"/>
      <c r="AF106" s="372"/>
    </row>
    <row r="107" spans="1:38" ht="30.75" customHeight="1" x14ac:dyDescent="0.25">
      <c r="A107" s="1482" t="s">
        <v>1729</v>
      </c>
      <c r="B107" s="1483"/>
      <c r="C107" s="1483"/>
      <c r="D107" s="1483"/>
      <c r="E107" s="1483"/>
      <c r="F107" s="1483"/>
      <c r="G107" s="1484"/>
      <c r="H107" s="3695">
        <v>3.82</v>
      </c>
      <c r="I107" s="3695"/>
      <c r="J107" s="3695"/>
      <c r="K107" s="3695"/>
      <c r="L107" s="373"/>
      <c r="M107" s="378"/>
      <c r="N107" s="378"/>
      <c r="O107" s="377"/>
      <c r="P107" s="377"/>
      <c r="Q107" s="377"/>
      <c r="R107" s="377"/>
      <c r="S107" s="377"/>
      <c r="T107" s="377"/>
      <c r="U107" s="377"/>
      <c r="V107" s="377"/>
      <c r="W107" s="377"/>
      <c r="X107" s="377"/>
      <c r="Y107" s="377"/>
      <c r="Z107" s="377"/>
      <c r="AA107" s="377"/>
      <c r="AB107" s="377"/>
      <c r="AC107" s="377"/>
      <c r="AD107" s="377"/>
      <c r="AE107" s="377"/>
      <c r="AF107" s="372"/>
    </row>
    <row r="108" spans="1:38" x14ac:dyDescent="0.25">
      <c r="A108" s="1497" t="s">
        <v>467</v>
      </c>
      <c r="B108" s="1498"/>
      <c r="C108" s="1498"/>
      <c r="D108" s="1498"/>
      <c r="E108" s="1498"/>
      <c r="F108" s="1498"/>
      <c r="G108" s="1499"/>
      <c r="H108" s="3695" t="s">
        <v>5682</v>
      </c>
      <c r="I108" s="3695"/>
      <c r="J108" s="3695"/>
      <c r="K108" s="3695"/>
      <c r="L108" s="373"/>
      <c r="M108" s="378"/>
      <c r="N108" s="378"/>
      <c r="O108" s="377"/>
      <c r="P108" s="377"/>
      <c r="Q108" s="377"/>
      <c r="R108" s="377"/>
      <c r="S108" s="377"/>
      <c r="T108" s="377"/>
      <c r="U108" s="377"/>
      <c r="V108" s="377"/>
      <c r="W108" s="377"/>
      <c r="X108" s="377"/>
      <c r="Y108" s="377"/>
      <c r="Z108" s="377"/>
      <c r="AA108" s="377"/>
      <c r="AB108" s="377"/>
      <c r="AC108" s="377"/>
      <c r="AD108" s="377"/>
      <c r="AE108" s="377"/>
      <c r="AF108" s="372"/>
    </row>
    <row r="109" spans="1:38" x14ac:dyDescent="0.25">
      <c r="A109" s="3703" t="s">
        <v>1732</v>
      </c>
      <c r="B109" s="3703"/>
      <c r="C109" s="3703"/>
      <c r="D109" s="3703"/>
      <c r="E109" s="3703"/>
      <c r="F109" s="3703"/>
      <c r="G109" s="3703"/>
      <c r="H109" s="3703"/>
      <c r="I109" s="3703"/>
      <c r="J109" s="3703"/>
      <c r="K109" s="3703"/>
      <c r="L109" s="2"/>
      <c r="M109" s="2"/>
      <c r="N109" s="2"/>
      <c r="O109" s="2"/>
      <c r="P109" s="290"/>
      <c r="Q109" s="290"/>
      <c r="R109" s="290"/>
      <c r="S109" s="290"/>
      <c r="T109" s="7"/>
      <c r="U109" s="7"/>
      <c r="V109" s="7"/>
      <c r="W109" s="7"/>
      <c r="X109" s="7"/>
      <c r="Y109" s="7"/>
      <c r="Z109" s="7"/>
      <c r="AA109" s="7"/>
      <c r="AB109" s="7"/>
      <c r="AC109" s="7"/>
      <c r="AD109" s="7"/>
      <c r="AE109" s="7"/>
      <c r="AF109" s="7"/>
    </row>
    <row r="110" spans="1:38" x14ac:dyDescent="0.25">
      <c r="A110" s="3704" t="s">
        <v>1733</v>
      </c>
      <c r="B110" s="3704"/>
      <c r="C110" s="3704"/>
      <c r="D110" s="3704"/>
      <c r="E110" s="3704"/>
      <c r="F110" s="3704"/>
      <c r="G110" s="3704"/>
      <c r="H110" s="3704"/>
      <c r="I110" s="3704"/>
      <c r="J110" s="3704"/>
      <c r="K110" s="3704"/>
      <c r="L110" s="2"/>
      <c r="M110" s="2"/>
      <c r="N110" s="2"/>
      <c r="O110" s="2"/>
      <c r="P110" s="290"/>
      <c r="Q110" s="290"/>
      <c r="R110" s="290"/>
      <c r="S110" s="290"/>
      <c r="T110" s="7"/>
      <c r="U110" s="7"/>
      <c r="V110" s="7"/>
      <c r="W110" s="7"/>
      <c r="X110" s="7"/>
      <c r="Y110" s="7"/>
      <c r="Z110" s="7"/>
      <c r="AA110" s="7"/>
      <c r="AB110" s="7"/>
      <c r="AC110" s="7"/>
      <c r="AD110" s="7"/>
      <c r="AE110" s="7"/>
      <c r="AF110" s="7"/>
    </row>
    <row r="111" spans="1:38" x14ac:dyDescent="0.25">
      <c r="A111" s="248"/>
      <c r="B111" s="8"/>
      <c r="C111" s="8"/>
      <c r="D111" s="8"/>
      <c r="E111" s="2"/>
      <c r="F111" s="2"/>
      <c r="G111" s="2"/>
      <c r="H111" s="2"/>
      <c r="I111" s="2"/>
      <c r="J111" s="2"/>
      <c r="K111" s="2"/>
      <c r="L111" s="2"/>
      <c r="M111" s="2"/>
      <c r="N111" s="2"/>
      <c r="O111" s="2"/>
      <c r="P111" s="290"/>
      <c r="Q111" s="686"/>
      <c r="R111" s="290"/>
      <c r="S111" s="290"/>
      <c r="T111" s="7"/>
      <c r="U111" s="7"/>
      <c r="V111" s="7"/>
      <c r="W111" s="7"/>
      <c r="X111" s="7"/>
      <c r="Y111" s="7"/>
      <c r="Z111" s="7"/>
      <c r="AA111" s="7"/>
      <c r="AB111" s="7"/>
      <c r="AC111" s="7"/>
      <c r="AD111" s="7"/>
      <c r="AE111" s="7"/>
      <c r="AF111" s="7"/>
    </row>
    <row r="112" spans="1:38" x14ac:dyDescent="0.25">
      <c r="M112" s="466"/>
      <c r="N112" s="466"/>
      <c r="O112" s="466"/>
      <c r="P112" s="466"/>
      <c r="Q112" s="466"/>
      <c r="R112" s="466"/>
      <c r="S112" s="466"/>
      <c r="T112" s="466"/>
      <c r="U112" s="466"/>
      <c r="V112" s="466"/>
      <c r="W112" s="466"/>
      <c r="X112" s="466"/>
    </row>
    <row r="113" spans="1:46" x14ac:dyDescent="0.25">
      <c r="A113" s="1472" t="s">
        <v>21</v>
      </c>
      <c r="B113" s="1472"/>
      <c r="C113" s="1472"/>
      <c r="D113" s="1472"/>
      <c r="E113" s="1472"/>
      <c r="F113" s="1472"/>
      <c r="G113" s="1472"/>
      <c r="H113" s="1472"/>
      <c r="I113" s="1472"/>
      <c r="J113" s="1472"/>
      <c r="K113" s="1472"/>
      <c r="L113" s="1472"/>
      <c r="M113" s="1472"/>
      <c r="N113" s="1472"/>
      <c r="O113" s="1472"/>
      <c r="P113" s="1472"/>
      <c r="Q113" s="1472"/>
      <c r="R113" s="1472"/>
      <c r="S113" s="1472"/>
      <c r="T113" s="1472"/>
      <c r="U113" s="1472"/>
      <c r="V113" s="1472"/>
      <c r="W113" s="1472"/>
      <c r="X113" s="1472"/>
      <c r="Y113" s="1472"/>
      <c r="Z113" s="1472"/>
      <c r="AA113" s="1472"/>
      <c r="AB113" s="1472"/>
      <c r="AC113" s="1472"/>
      <c r="AD113" s="1472"/>
      <c r="AE113" s="1472"/>
      <c r="AF113" s="1472"/>
    </row>
    <row r="115" spans="1:46" x14ac:dyDescent="0.25">
      <c r="B115" s="380" t="s">
        <v>1736</v>
      </c>
      <c r="S115" s="1"/>
    </row>
    <row r="116" spans="1:46" ht="16.5" thickBot="1" x14ac:dyDescent="0.3">
      <c r="A116" s="21"/>
      <c r="B116" s="21"/>
      <c r="C116" s="21"/>
      <c r="D116" s="21"/>
      <c r="E116" s="21"/>
      <c r="F116" s="21"/>
      <c r="G116" s="21"/>
      <c r="H116" s="21"/>
      <c r="I116" s="21"/>
    </row>
    <row r="117" spans="1:46" ht="32.25" customHeight="1" x14ac:dyDescent="0.25">
      <c r="A117" s="1583" t="s">
        <v>22</v>
      </c>
      <c r="B117" s="1584"/>
      <c r="C117" s="1584"/>
      <c r="D117" s="1584"/>
      <c r="E117" s="1584"/>
      <c r="F117" s="1584"/>
      <c r="G117" s="1584"/>
      <c r="H117" s="1584"/>
      <c r="I117" s="1609" t="s">
        <v>2922</v>
      </c>
      <c r="J117" s="1584"/>
      <c r="K117" s="1584"/>
      <c r="L117" s="1584"/>
      <c r="M117" s="1584"/>
      <c r="N117" s="1584"/>
      <c r="O117" s="1584"/>
      <c r="P117" s="1584"/>
      <c r="Q117" s="1609" t="s">
        <v>2918</v>
      </c>
      <c r="R117" s="1584"/>
      <c r="S117" s="1584"/>
      <c r="T117" s="1584"/>
      <c r="U117" s="1584"/>
      <c r="V117" s="1584"/>
      <c r="W117" s="1584"/>
      <c r="X117" s="1584"/>
      <c r="Y117" s="1609" t="s">
        <v>1786</v>
      </c>
      <c r="Z117" s="1584"/>
      <c r="AA117" s="1584"/>
      <c r="AB117" s="1584"/>
      <c r="AC117" s="1584"/>
      <c r="AD117" s="1584"/>
      <c r="AE117" s="1584"/>
      <c r="AF117" s="1585"/>
    </row>
    <row r="118" spans="1:46" ht="30.75" customHeight="1" x14ac:dyDescent="0.25">
      <c r="A118" s="1962" t="s">
        <v>5340</v>
      </c>
      <c r="B118" s="1920"/>
      <c r="C118" s="1920"/>
      <c r="D118" s="1920"/>
      <c r="E118" s="1920"/>
      <c r="F118" s="1920"/>
      <c r="G118" s="1920"/>
      <c r="H118" s="1920"/>
      <c r="I118" s="3139">
        <f>ROUND(Q118*$AA$103/$AA$102,3)</f>
        <v>0.25700000000000001</v>
      </c>
      <c r="J118" s="3139"/>
      <c r="K118" s="3139"/>
      <c r="L118" s="3139"/>
      <c r="M118" s="3139"/>
      <c r="N118" s="3139"/>
      <c r="O118" s="3139"/>
      <c r="P118" s="3139"/>
      <c r="Q118" s="3689">
        <f>ROUND(((1/(0.9254-0.0003*50))-(1/S95))*$P$67*$H$101*365.25*$P$69*$P$70*($P$71-$AA$104)/3412,2)</f>
        <v>1728.07</v>
      </c>
      <c r="R118" s="3690"/>
      <c r="S118" s="3690"/>
      <c r="T118" s="3690"/>
      <c r="U118" s="3690"/>
      <c r="V118" s="3690"/>
      <c r="W118" s="3690"/>
      <c r="X118" s="3691"/>
      <c r="Y118" s="3063">
        <f>ROUND(Q118*$P$75,2)</f>
        <v>17280.7</v>
      </c>
      <c r="Z118" s="3063"/>
      <c r="AA118" s="3063"/>
      <c r="AB118" s="3063"/>
      <c r="AC118" s="3063"/>
      <c r="AD118" s="3063"/>
      <c r="AE118" s="3063"/>
      <c r="AF118" s="3064"/>
      <c r="AL118" s="683"/>
    </row>
    <row r="119" spans="1:46" ht="31.5" customHeight="1" thickBot="1" x14ac:dyDescent="0.3">
      <c r="A119" s="3361" t="s">
        <v>5341</v>
      </c>
      <c r="B119" s="3362"/>
      <c r="C119" s="3362"/>
      <c r="D119" s="3362"/>
      <c r="E119" s="3362"/>
      <c r="F119" s="3362"/>
      <c r="G119" s="3362"/>
      <c r="H119" s="3362"/>
      <c r="I119" s="3215">
        <f>ROUND(Q119*$AA$103/$AA$102,3)</f>
        <v>7.1999999999999995E-2</v>
      </c>
      <c r="J119" s="3215"/>
      <c r="K119" s="3215"/>
      <c r="L119" s="3215"/>
      <c r="M119" s="3215"/>
      <c r="N119" s="3215"/>
      <c r="O119" s="3215"/>
      <c r="P119" s="3215"/>
      <c r="Q119" s="3692">
        <f>ROUND(((1/(2.044-0.0011*60))-(1/S96))*$P$67*$H$101*365.25*$P$69*$P$70*($P$71-$AA$104)/3412,2)</f>
        <v>482.89</v>
      </c>
      <c r="R119" s="3693"/>
      <c r="S119" s="3693"/>
      <c r="T119" s="3693"/>
      <c r="U119" s="3693"/>
      <c r="V119" s="3693"/>
      <c r="W119" s="3693"/>
      <c r="X119" s="3694"/>
      <c r="Y119" s="3071">
        <f>ROUND(Q119*$P$75,2)</f>
        <v>4828.8999999999996</v>
      </c>
      <c r="Z119" s="3071"/>
      <c r="AA119" s="3071"/>
      <c r="AB119" s="3071"/>
      <c r="AC119" s="3071"/>
      <c r="AD119" s="3071"/>
      <c r="AE119" s="3071"/>
      <c r="AF119" s="3072"/>
    </row>
    <row r="121" spans="1:46" x14ac:dyDescent="0.25">
      <c r="B121" s="380" t="s">
        <v>1737</v>
      </c>
    </row>
    <row r="122" spans="1:46" x14ac:dyDescent="0.25">
      <c r="B122" s="380"/>
    </row>
    <row r="123" spans="1:46" x14ac:dyDescent="0.25">
      <c r="B123" s="380"/>
      <c r="C123" s="227" t="s">
        <v>5683</v>
      </c>
    </row>
    <row r="124" spans="1:46" x14ac:dyDescent="0.25">
      <c r="B124" s="380"/>
      <c r="F124" s="3680" t="s">
        <v>1726</v>
      </c>
      <c r="G124" s="3681"/>
      <c r="H124" s="3681"/>
      <c r="I124" s="3681"/>
      <c r="J124" s="3681"/>
      <c r="K124" s="3681"/>
      <c r="L124" s="3681"/>
      <c r="M124" s="3682"/>
      <c r="N124" s="386"/>
      <c r="P124" s="227"/>
      <c r="Q124" s="227"/>
      <c r="R124" s="227"/>
      <c r="S124" s="227"/>
      <c r="T124" s="227"/>
      <c r="U124" s="227"/>
      <c r="V124" s="753" t="s">
        <v>5684</v>
      </c>
      <c r="W124" s="3079">
        <f>IF(F124="Custom","NA",INDEX($H$101:$H$107,MATCH($F$124,$A$101:$A$107,0)))</f>
        <v>3.16</v>
      </c>
      <c r="X124" s="3080"/>
      <c r="Y124" s="3081"/>
    </row>
    <row r="125" spans="1:46" x14ac:dyDescent="0.25">
      <c r="B125" s="380"/>
      <c r="F125" s="3683"/>
      <c r="G125" s="3684"/>
      <c r="H125" s="3684"/>
      <c r="I125" s="3684"/>
      <c r="J125" s="3684"/>
      <c r="K125" s="3684"/>
      <c r="L125" s="3684"/>
      <c r="M125" s="3685"/>
      <c r="P125" s="227"/>
      <c r="Q125" s="227"/>
      <c r="R125" s="227"/>
      <c r="S125" s="227"/>
      <c r="T125" s="227"/>
      <c r="U125" s="227"/>
      <c r="V125" s="753" t="s">
        <v>5685</v>
      </c>
      <c r="W125" s="3031">
        <v>4</v>
      </c>
      <c r="X125" s="3032"/>
      <c r="Y125" s="3033"/>
      <c r="AH125" s="683"/>
    </row>
    <row r="127" spans="1:46" ht="32.25" customHeight="1" x14ac:dyDescent="0.25">
      <c r="C127" s="1323" t="s">
        <v>7091</v>
      </c>
      <c r="D127" s="1323"/>
      <c r="E127" s="1323"/>
      <c r="F127" s="1323"/>
      <c r="G127" s="1323"/>
      <c r="H127" s="1323"/>
      <c r="I127" s="1323"/>
      <c r="J127" s="1323"/>
      <c r="K127" s="1323"/>
      <c r="L127" s="1323"/>
      <c r="M127" s="1323"/>
      <c r="N127" s="1323"/>
      <c r="O127" s="1323"/>
      <c r="P127" s="1323"/>
      <c r="Q127" s="1323"/>
      <c r="R127" s="1323"/>
      <c r="S127" s="1323"/>
      <c r="T127" s="1323"/>
      <c r="U127" s="1323"/>
      <c r="V127" s="1323"/>
      <c r="W127" s="1323"/>
      <c r="X127" s="1323"/>
      <c r="Y127" s="1323"/>
      <c r="Z127" s="1323"/>
      <c r="AA127" s="1323"/>
      <c r="AB127" s="1323"/>
      <c r="AC127" s="1323"/>
      <c r="AD127" s="1323"/>
      <c r="AE127" s="1323"/>
      <c r="AF127" s="1323"/>
      <c r="AG127" s="683"/>
      <c r="AO127" s="683"/>
      <c r="AT127" s="683"/>
    </row>
    <row r="128" spans="1:46" ht="18" x14ac:dyDescent="0.35">
      <c r="F128" s="2721">
        <v>60</v>
      </c>
      <c r="G128" s="2722"/>
      <c r="H128" s="2723"/>
      <c r="L128" t="s">
        <v>7092</v>
      </c>
      <c r="N128" s="1"/>
      <c r="O128" s="1358">
        <f>IF(F128&lt;=55,0.9254-0.0003*F128,2.044-0.0011*F128)</f>
        <v>1.978</v>
      </c>
      <c r="P128" s="1293"/>
      <c r="Q128" s="1359"/>
      <c r="R128" s="1"/>
      <c r="S128" s="1"/>
      <c r="T128" s="1"/>
    </row>
    <row r="129" spans="1:76" x14ac:dyDescent="0.25">
      <c r="AT129" s="683"/>
    </row>
    <row r="130" spans="1:76" ht="30" customHeight="1" x14ac:dyDescent="0.25">
      <c r="C130" s="1323" t="s">
        <v>7093</v>
      </c>
      <c r="D130" s="1323"/>
      <c r="E130" s="1323"/>
      <c r="F130" s="1323"/>
      <c r="G130" s="1323"/>
      <c r="H130" s="1323"/>
      <c r="I130" s="1323"/>
      <c r="J130" s="1323"/>
      <c r="K130" s="1323"/>
      <c r="L130" s="1323"/>
      <c r="M130" s="1323"/>
      <c r="N130" s="1323"/>
      <c r="O130" s="1323"/>
      <c r="P130" s="1323"/>
      <c r="Q130" s="1323"/>
      <c r="R130" s="1323"/>
      <c r="S130" s="1323"/>
      <c r="T130" s="1323"/>
      <c r="U130" s="1323"/>
      <c r="V130" s="1323"/>
      <c r="W130" s="1323"/>
      <c r="X130" s="1323"/>
      <c r="Y130" s="1323"/>
      <c r="Z130" s="1323"/>
      <c r="AA130" s="1323"/>
      <c r="AB130" s="1323"/>
      <c r="AC130" s="1323"/>
      <c r="AD130" s="1323"/>
      <c r="AE130" s="1323"/>
      <c r="AF130" s="1323"/>
      <c r="AO130" s="683"/>
    </row>
    <row r="131" spans="1:76" x14ac:dyDescent="0.25">
      <c r="F131" s="1616">
        <v>3.62</v>
      </c>
      <c r="G131" s="1617"/>
      <c r="H131" s="1618"/>
      <c r="N131" s="1"/>
      <c r="AH131" s="683"/>
      <c r="AT131" s="683"/>
    </row>
    <row r="132" spans="1:76" x14ac:dyDescent="0.25">
      <c r="F132" s="38"/>
      <c r="G132" s="38"/>
      <c r="H132" s="38"/>
    </row>
    <row r="133" spans="1:76" x14ac:dyDescent="0.25">
      <c r="C133" t="s">
        <v>3094</v>
      </c>
      <c r="F133" s="38"/>
      <c r="G133" s="38"/>
      <c r="H133" s="38"/>
    </row>
    <row r="134" spans="1:76" ht="18" x14ac:dyDescent="0.35">
      <c r="F134" s="1607" t="s">
        <v>1726</v>
      </c>
      <c r="G134" s="1607"/>
      <c r="H134" s="1607"/>
      <c r="I134" s="1607"/>
      <c r="J134" s="1607"/>
      <c r="L134" t="s">
        <v>1740</v>
      </c>
      <c r="O134" s="3025">
        <f>HLOOKUP(F134,R101:AD104,2,FALSE)</f>
        <v>3564</v>
      </c>
      <c r="P134" s="3026"/>
      <c r="Q134" s="3027"/>
      <c r="T134" t="s">
        <v>1741</v>
      </c>
      <c r="V134" s="3028">
        <f>HLOOKUP(F134,R101:AD104,3,FALSE)</f>
        <v>0.53</v>
      </c>
      <c r="W134" s="3029"/>
      <c r="X134" s="3030"/>
      <c r="AB134" t="s">
        <v>3095</v>
      </c>
      <c r="AD134" s="1245">
        <f>HLOOKUP(F134,R101:AD104,4,FALSE)</f>
        <v>75</v>
      </c>
      <c r="AE134" s="1245"/>
      <c r="AF134" s="1245"/>
    </row>
    <row r="135" spans="1:76" x14ac:dyDescent="0.25">
      <c r="F135" s="540"/>
      <c r="G135" s="540"/>
      <c r="H135" s="540"/>
      <c r="I135" s="540"/>
      <c r="J135" s="540"/>
      <c r="O135" s="540"/>
      <c r="P135" s="540"/>
      <c r="Q135" s="540"/>
      <c r="V135" s="125"/>
      <c r="W135" s="125"/>
      <c r="X135" s="125"/>
    </row>
    <row r="136" spans="1:76" ht="15.75" thickBot="1" x14ac:dyDescent="0.3"/>
    <row r="137" spans="1:76" ht="32.25" customHeight="1" x14ac:dyDescent="0.25">
      <c r="A137" s="1583" t="s">
        <v>22</v>
      </c>
      <c r="B137" s="1584"/>
      <c r="C137" s="1584"/>
      <c r="D137" s="1584"/>
      <c r="E137" s="1584"/>
      <c r="F137" s="1584"/>
      <c r="G137" s="1584"/>
      <c r="H137" s="1584"/>
      <c r="I137" s="1609" t="s">
        <v>2922</v>
      </c>
      <c r="J137" s="1584"/>
      <c r="K137" s="1584"/>
      <c r="L137" s="1584"/>
      <c r="M137" s="1584"/>
      <c r="N137" s="1584"/>
      <c r="O137" s="1584"/>
      <c r="P137" s="1584"/>
      <c r="Q137" s="1642" t="s">
        <v>2918</v>
      </c>
      <c r="R137" s="1643"/>
      <c r="S137" s="1643"/>
      <c r="T137" s="1643"/>
      <c r="U137" s="1643"/>
      <c r="V137" s="1643"/>
      <c r="W137" s="1643"/>
      <c r="X137" s="1643"/>
      <c r="Y137" s="1609" t="s">
        <v>1786</v>
      </c>
      <c r="Z137" s="1584"/>
      <c r="AA137" s="1584"/>
      <c r="AB137" s="1584"/>
      <c r="AC137" s="1584"/>
      <c r="AD137" s="1584"/>
      <c r="AE137" s="1584"/>
      <c r="AF137" s="1585"/>
    </row>
    <row r="138" spans="1:76" ht="48" customHeight="1" thickBot="1" x14ac:dyDescent="0.3">
      <c r="A138" s="1738" t="s">
        <v>3970</v>
      </c>
      <c r="B138" s="1739"/>
      <c r="C138" s="1739"/>
      <c r="D138" s="1739"/>
      <c r="E138" s="1739"/>
      <c r="F138" s="1739"/>
      <c r="G138" s="1739"/>
      <c r="H138" s="1739"/>
      <c r="I138" s="2950">
        <f>ROUND(Q138*V134/O134,3)</f>
        <v>7.1999999999999995E-2</v>
      </c>
      <c r="J138" s="2950"/>
      <c r="K138" s="2950"/>
      <c r="L138" s="2950"/>
      <c r="M138" s="2950"/>
      <c r="N138" s="2950"/>
      <c r="O138" s="2950"/>
      <c r="P138" s="2950"/>
      <c r="Q138" s="3076">
        <f>ROUND(((1/O128)-(1/F131))*P67*(IF(F124="Custom",W125,W124))*365.25*P69*P70*(P71-AD134)/3412,2)</f>
        <v>482.89</v>
      </c>
      <c r="R138" s="3077"/>
      <c r="S138" s="3077"/>
      <c r="T138" s="3077"/>
      <c r="U138" s="3077"/>
      <c r="V138" s="3077"/>
      <c r="W138" s="3077"/>
      <c r="X138" s="3078"/>
      <c r="Y138" s="2739">
        <f>ROUND(Q138*P75,2)</f>
        <v>4828.8999999999996</v>
      </c>
      <c r="Z138" s="2739"/>
      <c r="AA138" s="2739"/>
      <c r="AB138" s="2739"/>
      <c r="AC138" s="2739"/>
      <c r="AD138" s="2739"/>
      <c r="AE138" s="2739"/>
      <c r="AF138" s="2740"/>
    </row>
    <row r="139" spans="1:76" x14ac:dyDescent="0.25">
      <c r="B139" s="635" t="s">
        <v>7104</v>
      </c>
      <c r="AH139" s="683"/>
      <c r="AI139" s="683"/>
      <c r="AP139" s="1045"/>
    </row>
    <row r="140" spans="1:76" x14ac:dyDescent="0.25">
      <c r="B140" s="416"/>
      <c r="BX140" s="656"/>
    </row>
    <row r="141" spans="1:76" x14ac:dyDescent="0.25">
      <c r="A141" s="1472" t="s">
        <v>1753</v>
      </c>
      <c r="B141" s="1472"/>
      <c r="C141" s="1472"/>
      <c r="D141" s="1472"/>
      <c r="E141" s="1472"/>
      <c r="F141" s="1472"/>
      <c r="G141" s="1472"/>
      <c r="H141" s="1472"/>
      <c r="I141" s="1472"/>
      <c r="J141" s="1472"/>
      <c r="K141" s="1472"/>
      <c r="L141" s="1472"/>
      <c r="M141" s="1472"/>
      <c r="N141" s="1472"/>
      <c r="O141" s="1472"/>
      <c r="P141" s="1472"/>
      <c r="Q141" s="1472"/>
      <c r="R141" s="1472"/>
      <c r="S141" s="1472"/>
      <c r="T141" s="1472"/>
      <c r="U141" s="1472"/>
      <c r="V141" s="1472"/>
      <c r="W141" s="1472"/>
      <c r="X141" s="1472"/>
      <c r="Y141" s="1472"/>
      <c r="Z141" s="1472"/>
      <c r="AA141" s="1472"/>
      <c r="AB141" s="1472"/>
      <c r="AC141" s="1472"/>
      <c r="AD141" s="1472"/>
      <c r="AE141" s="1472"/>
      <c r="AF141" s="1472"/>
      <c r="BX141" s="683"/>
    </row>
    <row r="143" spans="1:76" ht="34.5" customHeight="1" x14ac:dyDescent="0.25">
      <c r="A143" s="986" t="s">
        <v>1013</v>
      </c>
      <c r="B143" s="1173" t="s">
        <v>7094</v>
      </c>
      <c r="C143" s="1173"/>
      <c r="D143" s="1173"/>
      <c r="E143" s="1173"/>
      <c r="F143" s="1173"/>
      <c r="G143" s="1173"/>
      <c r="H143" s="1173"/>
      <c r="I143" s="1173"/>
      <c r="J143" s="1173"/>
      <c r="K143" s="1173"/>
      <c r="L143" s="1173"/>
      <c r="M143" s="1173"/>
      <c r="N143" s="1173"/>
      <c r="O143" s="1173"/>
      <c r="P143" s="1173"/>
      <c r="Q143" s="1173"/>
      <c r="R143" s="1173"/>
      <c r="S143" s="1173"/>
      <c r="T143" s="1173"/>
      <c r="U143" s="1173"/>
      <c r="V143" s="1173"/>
      <c r="W143" s="1173"/>
      <c r="X143" s="1173"/>
      <c r="Y143" s="1173"/>
      <c r="Z143" s="1173"/>
      <c r="AA143" s="1173"/>
      <c r="AB143" s="1173"/>
      <c r="AC143" s="1173"/>
      <c r="AD143" s="1173"/>
      <c r="AE143" s="1173"/>
      <c r="AF143" s="1173"/>
      <c r="AI143" s="683"/>
    </row>
    <row r="144" spans="1:76" ht="30.75" customHeight="1" x14ac:dyDescent="0.25">
      <c r="A144" s="515" t="s">
        <v>1013</v>
      </c>
      <c r="B144" s="1173" t="s">
        <v>5686</v>
      </c>
      <c r="C144" s="1173"/>
      <c r="D144" s="1173"/>
      <c r="E144" s="1173"/>
      <c r="F144" s="1173"/>
      <c r="G144" s="1173"/>
      <c r="H144" s="1173"/>
      <c r="I144" s="1173"/>
      <c r="J144" s="1173"/>
      <c r="K144" s="1173"/>
      <c r="L144" s="1173"/>
      <c r="M144" s="1173"/>
      <c r="N144" s="1173"/>
      <c r="O144" s="1173"/>
      <c r="P144" s="1173"/>
      <c r="Q144" s="1173"/>
      <c r="R144" s="1173"/>
      <c r="S144" s="1173"/>
      <c r="T144" s="1173"/>
      <c r="U144" s="1173"/>
      <c r="V144" s="1173"/>
      <c r="W144" s="1173"/>
      <c r="X144" s="1173"/>
      <c r="Y144" s="1173"/>
      <c r="Z144" s="1173"/>
      <c r="AA144" s="1173"/>
      <c r="AB144" s="1173"/>
      <c r="AC144" s="1173"/>
      <c r="AD144" s="1173"/>
      <c r="AE144" s="1173"/>
      <c r="AF144" s="1173"/>
    </row>
    <row r="145" spans="1:42" x14ac:dyDescent="0.25">
      <c r="A145" s="515" t="s">
        <v>1013</v>
      </c>
      <c r="B145" s="1173" t="s">
        <v>5342</v>
      </c>
      <c r="C145" s="1173"/>
      <c r="D145" s="1173"/>
      <c r="E145" s="1173"/>
      <c r="F145" s="1173"/>
      <c r="G145" s="1173"/>
      <c r="H145" s="1173"/>
      <c r="I145" s="1173"/>
      <c r="J145" s="1173"/>
      <c r="K145" s="1173"/>
      <c r="L145" s="1173"/>
      <c r="M145" s="1173"/>
      <c r="N145" s="1173"/>
      <c r="O145" s="1173"/>
      <c r="P145" s="1173"/>
      <c r="Q145" s="1173"/>
      <c r="R145" s="1173"/>
      <c r="S145" s="1173"/>
      <c r="T145" s="1173"/>
      <c r="U145" s="1173"/>
      <c r="V145" s="1173"/>
      <c r="W145" s="1173"/>
      <c r="X145" s="1173"/>
      <c r="Y145" s="1173"/>
      <c r="Z145" s="1173"/>
      <c r="AA145" s="1173"/>
      <c r="AB145" s="1173"/>
      <c r="AC145" s="1173"/>
      <c r="AD145" s="1173"/>
      <c r="AE145" s="1173"/>
      <c r="AF145" s="1173"/>
    </row>
    <row r="146" spans="1:42" ht="81" customHeight="1" x14ac:dyDescent="0.25">
      <c r="A146" s="515" t="s">
        <v>1013</v>
      </c>
      <c r="B146" s="1173" t="s">
        <v>5343</v>
      </c>
      <c r="C146" s="1173"/>
      <c r="D146" s="1173"/>
      <c r="E146" s="1173"/>
      <c r="F146" s="1173"/>
      <c r="G146" s="1173"/>
      <c r="H146" s="1173"/>
      <c r="I146" s="1173"/>
      <c r="J146" s="1173"/>
      <c r="K146" s="1173"/>
      <c r="L146" s="1173"/>
      <c r="M146" s="1173"/>
      <c r="N146" s="1173"/>
      <c r="O146" s="1173"/>
      <c r="P146" s="1173"/>
      <c r="Q146" s="1173"/>
      <c r="R146" s="1173"/>
      <c r="S146" s="1173"/>
      <c r="T146" s="1173"/>
      <c r="U146" s="1173"/>
      <c r="V146" s="1173"/>
      <c r="W146" s="1173"/>
      <c r="X146" s="1173"/>
      <c r="Y146" s="1173"/>
      <c r="Z146" s="1173"/>
      <c r="AA146" s="1173"/>
      <c r="AB146" s="1173"/>
      <c r="AC146" s="1173"/>
      <c r="AD146" s="1173"/>
      <c r="AE146" s="1173"/>
      <c r="AF146" s="1173"/>
    </row>
    <row r="147" spans="1:42" ht="45.75" customHeight="1" x14ac:dyDescent="0.25">
      <c r="A147" s="515" t="s">
        <v>1013</v>
      </c>
      <c r="B147" s="1173" t="s">
        <v>5344</v>
      </c>
      <c r="C147" s="1173"/>
      <c r="D147" s="1173"/>
      <c r="E147" s="1173"/>
      <c r="F147" s="1173"/>
      <c r="G147" s="1173"/>
      <c r="H147" s="1173"/>
      <c r="I147" s="1173"/>
      <c r="J147" s="1173"/>
      <c r="K147" s="1173"/>
      <c r="L147" s="1173"/>
      <c r="M147" s="1173"/>
      <c r="N147" s="1173"/>
      <c r="O147" s="1173"/>
      <c r="P147" s="1173"/>
      <c r="Q147" s="1173"/>
      <c r="R147" s="1173"/>
      <c r="S147" s="1173"/>
      <c r="T147" s="1173"/>
      <c r="U147" s="1173"/>
      <c r="V147" s="1173"/>
      <c r="W147" s="1173"/>
      <c r="X147" s="1173"/>
      <c r="Y147" s="1173"/>
      <c r="Z147" s="1173"/>
      <c r="AA147" s="1173"/>
      <c r="AB147" s="1173"/>
      <c r="AC147" s="1173"/>
      <c r="AD147" s="1173"/>
      <c r="AE147" s="1173"/>
      <c r="AF147" s="1173"/>
    </row>
    <row r="148" spans="1:42" x14ac:dyDescent="0.25">
      <c r="A148" s="515" t="s">
        <v>1013</v>
      </c>
      <c r="B148" s="1173" t="s">
        <v>5273</v>
      </c>
      <c r="C148" s="1173"/>
      <c r="D148" s="1173"/>
      <c r="E148" s="1173"/>
      <c r="F148" s="1173"/>
      <c r="G148" s="1173"/>
      <c r="H148" s="1173"/>
      <c r="I148" s="1173"/>
      <c r="J148" s="1173"/>
      <c r="K148" s="1173"/>
      <c r="L148" s="1173"/>
      <c r="M148" s="1173"/>
      <c r="N148" s="1173"/>
      <c r="O148" s="1173"/>
      <c r="P148" s="1173"/>
      <c r="Q148" s="1173"/>
      <c r="R148" s="1173"/>
      <c r="S148" s="1173"/>
      <c r="T148" s="1173"/>
      <c r="U148" s="1173"/>
      <c r="V148" s="1173"/>
      <c r="W148" s="1173"/>
      <c r="X148" s="1173"/>
      <c r="Y148" s="1173"/>
      <c r="Z148" s="1173"/>
      <c r="AA148" s="1173"/>
      <c r="AB148" s="1173"/>
      <c r="AC148" s="1173"/>
      <c r="AD148" s="1173"/>
      <c r="AE148" s="1173"/>
      <c r="AF148" s="1173"/>
    </row>
    <row r="149" spans="1:42" ht="60.75" customHeight="1" x14ac:dyDescent="0.25">
      <c r="A149" s="515" t="s">
        <v>1013</v>
      </c>
      <c r="B149" s="1173" t="s">
        <v>5345</v>
      </c>
      <c r="C149" s="1173"/>
      <c r="D149" s="1173"/>
      <c r="E149" s="1173"/>
      <c r="F149" s="1173"/>
      <c r="G149" s="1173"/>
      <c r="H149" s="1173"/>
      <c r="I149" s="1173"/>
      <c r="J149" s="1173"/>
      <c r="K149" s="1173"/>
      <c r="L149" s="1173"/>
      <c r="M149" s="1173"/>
      <c r="N149" s="1173"/>
      <c r="O149" s="1173"/>
      <c r="P149" s="1173"/>
      <c r="Q149" s="1173"/>
      <c r="R149" s="1173"/>
      <c r="S149" s="1173"/>
      <c r="T149" s="1173"/>
      <c r="U149" s="1173"/>
      <c r="V149" s="1173"/>
      <c r="W149" s="1173"/>
      <c r="X149" s="1173"/>
      <c r="Y149" s="1173"/>
      <c r="Z149" s="1173"/>
      <c r="AA149" s="1173"/>
      <c r="AB149" s="1173"/>
      <c r="AC149" s="1173"/>
      <c r="AD149" s="1173"/>
      <c r="AE149" s="1173"/>
      <c r="AF149" s="1173"/>
    </row>
    <row r="150" spans="1:42" ht="32.25" customHeight="1" x14ac:dyDescent="0.25">
      <c r="A150" s="515" t="s">
        <v>1013</v>
      </c>
      <c r="B150" s="1173" t="s">
        <v>5275</v>
      </c>
      <c r="C150" s="1173"/>
      <c r="D150" s="1173"/>
      <c r="E150" s="1173"/>
      <c r="F150" s="1173"/>
      <c r="G150" s="1173"/>
      <c r="H150" s="1173"/>
      <c r="I150" s="1173"/>
      <c r="J150" s="1173"/>
      <c r="K150" s="1173"/>
      <c r="L150" s="1173"/>
      <c r="M150" s="1173"/>
      <c r="N150" s="1173"/>
      <c r="O150" s="1173"/>
      <c r="P150" s="1173"/>
      <c r="Q150" s="1173"/>
      <c r="R150" s="1173"/>
      <c r="S150" s="1173"/>
      <c r="T150" s="1173"/>
      <c r="U150" s="1173"/>
      <c r="V150" s="1173"/>
      <c r="W150" s="1173"/>
      <c r="X150" s="1173"/>
      <c r="Y150" s="1173"/>
      <c r="Z150" s="1173"/>
      <c r="AA150" s="1173"/>
      <c r="AB150" s="1173"/>
      <c r="AC150" s="1173"/>
      <c r="AD150" s="1173"/>
      <c r="AE150" s="1173"/>
      <c r="AF150" s="1173"/>
    </row>
    <row r="151" spans="1:42" ht="34.5" customHeight="1" x14ac:dyDescent="0.25">
      <c r="A151" s="515" t="s">
        <v>1013</v>
      </c>
      <c r="B151" s="1173" t="s">
        <v>5276</v>
      </c>
      <c r="C151" s="1173"/>
      <c r="D151" s="1173"/>
      <c r="E151" s="1173"/>
      <c r="F151" s="1173"/>
      <c r="G151" s="1173"/>
      <c r="H151" s="1173"/>
      <c r="I151" s="1173"/>
      <c r="J151" s="1173"/>
      <c r="K151" s="1173"/>
      <c r="L151" s="1173"/>
      <c r="M151" s="1173"/>
      <c r="N151" s="1173"/>
      <c r="O151" s="1173"/>
      <c r="P151" s="1173"/>
      <c r="Q151" s="1173"/>
      <c r="R151" s="1173"/>
      <c r="S151" s="1173"/>
      <c r="T151" s="1173"/>
      <c r="U151" s="1173"/>
      <c r="V151" s="1173"/>
      <c r="W151" s="1173"/>
      <c r="X151" s="1173"/>
      <c r="Y151" s="1173"/>
      <c r="Z151" s="1173"/>
      <c r="AA151" s="1173"/>
      <c r="AB151" s="1173"/>
      <c r="AC151" s="1173"/>
      <c r="AD151" s="1173"/>
      <c r="AE151" s="1173"/>
      <c r="AF151" s="1173"/>
    </row>
    <row r="152" spans="1:42" ht="64.5" customHeight="1" x14ac:dyDescent="0.25">
      <c r="A152" s="515" t="s">
        <v>1013</v>
      </c>
      <c r="B152" s="1173" t="s">
        <v>7105</v>
      </c>
      <c r="C152" s="1173"/>
      <c r="D152" s="1173"/>
      <c r="E152" s="1173"/>
      <c r="F152" s="1173"/>
      <c r="G152" s="1173"/>
      <c r="H152" s="1173"/>
      <c r="I152" s="1173"/>
      <c r="J152" s="1173"/>
      <c r="K152" s="1173"/>
      <c r="L152" s="1173"/>
      <c r="M152" s="1173"/>
      <c r="N152" s="1173"/>
      <c r="O152" s="1173"/>
      <c r="P152" s="1173"/>
      <c r="Q152" s="1173"/>
      <c r="R152" s="1173"/>
      <c r="S152" s="1173"/>
      <c r="T152" s="1173"/>
      <c r="U152" s="1173"/>
      <c r="V152" s="1173"/>
      <c r="W152" s="1173"/>
      <c r="X152" s="1173"/>
      <c r="Y152" s="1173"/>
      <c r="Z152" s="1173"/>
      <c r="AA152" s="1173"/>
      <c r="AB152" s="1173"/>
      <c r="AC152" s="1173"/>
      <c r="AD152" s="1173"/>
      <c r="AE152" s="1173"/>
      <c r="AF152" s="1173"/>
      <c r="AP152" s="1045"/>
    </row>
    <row r="153" spans="1:42" ht="64.5" customHeight="1" x14ac:dyDescent="0.25">
      <c r="A153" s="515" t="s">
        <v>1013</v>
      </c>
      <c r="B153" s="1173" t="s">
        <v>1751</v>
      </c>
      <c r="C153" s="1173"/>
      <c r="D153" s="1173"/>
      <c r="E153" s="1173"/>
      <c r="F153" s="1173"/>
      <c r="G153" s="1173"/>
      <c r="H153" s="1173"/>
      <c r="I153" s="1173"/>
      <c r="J153" s="1173"/>
      <c r="K153" s="1173"/>
      <c r="L153" s="1173"/>
      <c r="M153" s="1173"/>
      <c r="N153" s="1173"/>
      <c r="O153" s="1173"/>
      <c r="P153" s="1173"/>
      <c r="Q153" s="1173"/>
      <c r="R153" s="1173"/>
      <c r="S153" s="1173"/>
      <c r="T153" s="1173"/>
      <c r="U153" s="1173"/>
      <c r="V153" s="1173"/>
      <c r="W153" s="1173"/>
      <c r="X153" s="1173"/>
      <c r="Y153" s="1173"/>
      <c r="Z153" s="1173"/>
      <c r="AA153" s="1173"/>
      <c r="AB153" s="1173"/>
      <c r="AC153" s="1173"/>
      <c r="AD153" s="1173"/>
      <c r="AE153" s="1173"/>
      <c r="AF153" s="1173"/>
    </row>
  </sheetData>
  <sheetProtection algorithmName="SHA-512" hashValue="DBA0rOJ2ZfdO1uWIYbxLIC7yCmFJXGKIbMSHcxbXqxzgYS+cAK1GhrbaZZ+zPHY5iwT4zNHA/m6nBPe/MlSGVw==" saltValue="+XeyEUEogw4/H1KZTGC9YA==" spinCount="100000" sheet="1" objects="1" scenarios="1"/>
  <mergeCells count="190">
    <mergeCell ref="AL33:DB33"/>
    <mergeCell ref="AL38:DM38"/>
    <mergeCell ref="C130:AF130"/>
    <mergeCell ref="C127:AF127"/>
    <mergeCell ref="B145:AF145"/>
    <mergeCell ref="B146:AF146"/>
    <mergeCell ref="B147:AF147"/>
    <mergeCell ref="B148:AF148"/>
    <mergeCell ref="B149:AF149"/>
    <mergeCell ref="A107:G107"/>
    <mergeCell ref="H107:K107"/>
    <mergeCell ref="A108:G108"/>
    <mergeCell ref="H108:K108"/>
    <mergeCell ref="A109:K109"/>
    <mergeCell ref="A110:K110"/>
    <mergeCell ref="A113:AF113"/>
    <mergeCell ref="A117:H117"/>
    <mergeCell ref="I117:P117"/>
    <mergeCell ref="Q117:X117"/>
    <mergeCell ref="Y117:AF117"/>
    <mergeCell ref="H104:K104"/>
    <mergeCell ref="O104:Q104"/>
    <mergeCell ref="R104:T104"/>
    <mergeCell ref="U104:W104"/>
    <mergeCell ref="B150:AF150"/>
    <mergeCell ref="B151:AF151"/>
    <mergeCell ref="B152:AF152"/>
    <mergeCell ref="B153:AF153"/>
    <mergeCell ref="O128:Q128"/>
    <mergeCell ref="F131:H131"/>
    <mergeCell ref="F134:J134"/>
    <mergeCell ref="O134:Q134"/>
    <mergeCell ref="V134:X134"/>
    <mergeCell ref="AD134:AF134"/>
    <mergeCell ref="A137:H137"/>
    <mergeCell ref="I137:P137"/>
    <mergeCell ref="Q137:X137"/>
    <mergeCell ref="Y137:AF137"/>
    <mergeCell ref="B143:AF143"/>
    <mergeCell ref="B144:AF144"/>
    <mergeCell ref="A96:R96"/>
    <mergeCell ref="S96:T96"/>
    <mergeCell ref="A97:T97"/>
    <mergeCell ref="O100:Q101"/>
    <mergeCell ref="R100:AD100"/>
    <mergeCell ref="R101:T101"/>
    <mergeCell ref="U101:W101"/>
    <mergeCell ref="X101:Z101"/>
    <mergeCell ref="AA101:AD101"/>
    <mergeCell ref="A100:G100"/>
    <mergeCell ref="H100:K100"/>
    <mergeCell ref="A101:G101"/>
    <mergeCell ref="H101:K101"/>
    <mergeCell ref="A86:R86"/>
    <mergeCell ref="A94:R94"/>
    <mergeCell ref="S94:T94"/>
    <mergeCell ref="A95:R95"/>
    <mergeCell ref="S95:T95"/>
    <mergeCell ref="A87:R87"/>
    <mergeCell ref="A91:AE91"/>
    <mergeCell ref="S86:AE86"/>
    <mergeCell ref="S87:AE87"/>
    <mergeCell ref="A88:R88"/>
    <mergeCell ref="S88:AE88"/>
    <mergeCell ref="A89:R89"/>
    <mergeCell ref="S89:AE89"/>
    <mergeCell ref="A90:R90"/>
    <mergeCell ref="S90:AE90"/>
    <mergeCell ref="A3:AF3"/>
    <mergeCell ref="B5:AF5"/>
    <mergeCell ref="A7:AF7"/>
    <mergeCell ref="A1:AF1"/>
    <mergeCell ref="B10:AF10"/>
    <mergeCell ref="B13:AF13"/>
    <mergeCell ref="B19:AF19"/>
    <mergeCell ref="B22:AF22"/>
    <mergeCell ref="A63:AF63"/>
    <mergeCell ref="A25:AF25"/>
    <mergeCell ref="AF55:AF56"/>
    <mergeCell ref="A70:D70"/>
    <mergeCell ref="E70:O70"/>
    <mergeCell ref="P70:S70"/>
    <mergeCell ref="T70:W70"/>
    <mergeCell ref="X70:AF70"/>
    <mergeCell ref="A71:D71"/>
    <mergeCell ref="E71:O71"/>
    <mergeCell ref="A64:D64"/>
    <mergeCell ref="E64:O64"/>
    <mergeCell ref="P64:S64"/>
    <mergeCell ref="T64:W64"/>
    <mergeCell ref="X64:AF64"/>
    <mergeCell ref="A65:D65"/>
    <mergeCell ref="E65:O65"/>
    <mergeCell ref="P65:S65"/>
    <mergeCell ref="T65:W65"/>
    <mergeCell ref="X65:AF65"/>
    <mergeCell ref="A66:D66"/>
    <mergeCell ref="E66:O66"/>
    <mergeCell ref="P66:S66"/>
    <mergeCell ref="T66:W66"/>
    <mergeCell ref="X66:AF66"/>
    <mergeCell ref="A67:D67"/>
    <mergeCell ref="E67:O67"/>
    <mergeCell ref="P67:S67"/>
    <mergeCell ref="T67:W67"/>
    <mergeCell ref="X67:AF67"/>
    <mergeCell ref="A68:D68"/>
    <mergeCell ref="E68:O68"/>
    <mergeCell ref="P68:S68"/>
    <mergeCell ref="T68:W68"/>
    <mergeCell ref="X68:AF68"/>
    <mergeCell ref="A69:D69"/>
    <mergeCell ref="E69:O69"/>
    <mergeCell ref="P69:S69"/>
    <mergeCell ref="T69:W69"/>
    <mergeCell ref="X69:AF69"/>
    <mergeCell ref="P71:S71"/>
    <mergeCell ref="T71:W71"/>
    <mergeCell ref="X71:AF71"/>
    <mergeCell ref="A72:D72"/>
    <mergeCell ref="E72:O72"/>
    <mergeCell ref="P72:S72"/>
    <mergeCell ref="T72:W72"/>
    <mergeCell ref="X72:AF72"/>
    <mergeCell ref="A73:D73"/>
    <mergeCell ref="E73:O73"/>
    <mergeCell ref="P73:S73"/>
    <mergeCell ref="T73:W73"/>
    <mergeCell ref="X73:AF73"/>
    <mergeCell ref="A74:D74"/>
    <mergeCell ref="E74:O74"/>
    <mergeCell ref="P74:S74"/>
    <mergeCell ref="T74:W74"/>
    <mergeCell ref="X74:AF74"/>
    <mergeCell ref="A75:D75"/>
    <mergeCell ref="E75:O75"/>
    <mergeCell ref="P75:S75"/>
    <mergeCell ref="T75:W75"/>
    <mergeCell ref="X75:AF75"/>
    <mergeCell ref="A77:AF77"/>
    <mergeCell ref="A78:AF78"/>
    <mergeCell ref="A79:AF79"/>
    <mergeCell ref="A76:AF76"/>
    <mergeCell ref="S83:AE83"/>
    <mergeCell ref="I84:R84"/>
    <mergeCell ref="S84:AE84"/>
    <mergeCell ref="I85:R85"/>
    <mergeCell ref="S85:AE85"/>
    <mergeCell ref="A82:R82"/>
    <mergeCell ref="S82:AE82"/>
    <mergeCell ref="A83:H85"/>
    <mergeCell ref="I83:R83"/>
    <mergeCell ref="X102:Z102"/>
    <mergeCell ref="AA102:AD102"/>
    <mergeCell ref="A103:G103"/>
    <mergeCell ref="H103:K103"/>
    <mergeCell ref="O103:Q103"/>
    <mergeCell ref="R103:T103"/>
    <mergeCell ref="U103:W103"/>
    <mergeCell ref="X103:Z103"/>
    <mergeCell ref="AA103:AD103"/>
    <mergeCell ref="A102:G102"/>
    <mergeCell ref="H102:K102"/>
    <mergeCell ref="O102:Q102"/>
    <mergeCell ref="R102:T102"/>
    <mergeCell ref="U102:W102"/>
    <mergeCell ref="A104:G104"/>
    <mergeCell ref="A118:H118"/>
    <mergeCell ref="I118:P118"/>
    <mergeCell ref="Q118:X118"/>
    <mergeCell ref="Y118:AF118"/>
    <mergeCell ref="A119:H119"/>
    <mergeCell ref="I119:P119"/>
    <mergeCell ref="Q119:X119"/>
    <mergeCell ref="Y119:AF119"/>
    <mergeCell ref="X104:Z104"/>
    <mergeCell ref="AA104:AD104"/>
    <mergeCell ref="A105:G105"/>
    <mergeCell ref="H105:K105"/>
    <mergeCell ref="A106:G106"/>
    <mergeCell ref="H106:K106"/>
    <mergeCell ref="F124:M125"/>
    <mergeCell ref="W124:Y124"/>
    <mergeCell ref="W125:Y125"/>
    <mergeCell ref="F128:H128"/>
    <mergeCell ref="A138:H138"/>
    <mergeCell ref="I138:P138"/>
    <mergeCell ref="Q138:X138"/>
    <mergeCell ref="Y138:AF138"/>
    <mergeCell ref="A141:AF141"/>
  </mergeCells>
  <dataValidations count="2">
    <dataValidation type="list" allowBlank="1" showInputMessage="1" showErrorMessage="1" sqref="F124" xr:uid="{016054DA-A5C1-4090-87E3-4649A415BF89}">
      <formula1>$A$101:$A$108</formula1>
    </dataValidation>
    <dataValidation type="list" allowBlank="1" showInputMessage="1" showErrorMessage="1" sqref="F134:J134" xr:uid="{3A2D7333-91DD-48AA-BE5A-9C000714BF95}">
      <formula1>"Hawaii,Honolulu,Maui,Unspecified"</formula1>
    </dataValidation>
  </dataValidations>
  <hyperlinks>
    <hyperlink ref="A2" location="TOC!A1" display="Return to TOC" xr:uid="{1D9C5FCE-10B5-4212-8BBB-8B9804E9BF65}"/>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60" numberStoredAsText="1"/>
  </ignoredError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62">
    <tabColor theme="5" tint="0.59999389629810485"/>
    <pageSetUpPr autoPageBreaks="0"/>
  </sheetPr>
  <dimension ref="A1:BX167"/>
  <sheetViews>
    <sheetView workbookViewId="0">
      <selection sqref="A1:AF1"/>
    </sheetView>
  </sheetViews>
  <sheetFormatPr defaultColWidth="2.7109375" defaultRowHeight="15" customHeight="1" x14ac:dyDescent="0.25"/>
  <cols>
    <col min="11" max="11" width="2.7109375" customWidth="1"/>
    <col min="14" max="15" width="2.7109375" customWidth="1"/>
    <col min="20" max="20" width="2.7109375" customWidth="1"/>
    <col min="40" max="40" width="2.7109375" customWidth="1"/>
  </cols>
  <sheetData>
    <row r="1" spans="1:76" s="1" customFormat="1" ht="19.5" thickBot="1" x14ac:dyDescent="0.3">
      <c r="A1" s="1272" t="s">
        <v>1173</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row>
    <row r="2" spans="1:76" ht="14.45" customHeight="1" x14ac:dyDescent="0.25">
      <c r="A2" s="376" t="s">
        <v>1702</v>
      </c>
    </row>
    <row r="3" spans="1:76" s="10"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76" s="270"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76" s="268" customFormat="1" ht="67.5" customHeight="1" x14ac:dyDescent="0.25">
      <c r="A5" s="262"/>
      <c r="B5" s="1589" t="s">
        <v>7130</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J5" s="839"/>
    </row>
    <row r="6" spans="1:76" s="270" customFormat="1" ht="14.45" customHeight="1" x14ac:dyDescent="0.25">
      <c r="A6" s="262"/>
      <c r="B6" s="262"/>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row>
    <row r="7" spans="1:76" s="1" customFormat="1" x14ac:dyDescent="0.2">
      <c r="A7" s="1385" t="s">
        <v>9</v>
      </c>
      <c r="B7" s="1386"/>
      <c r="C7" s="1386"/>
      <c r="D7" s="1386"/>
      <c r="E7" s="1386"/>
      <c r="F7" s="1386"/>
      <c r="G7" s="1386"/>
      <c r="H7" s="1386"/>
      <c r="I7" s="1386"/>
      <c r="J7" s="1386"/>
      <c r="K7" s="1386"/>
      <c r="L7" s="1386"/>
      <c r="M7" s="1386"/>
      <c r="N7" s="1386"/>
      <c r="O7" s="1386"/>
      <c r="P7" s="1386"/>
      <c r="Q7" s="1386"/>
      <c r="R7" s="1386"/>
      <c r="S7" s="1386"/>
      <c r="T7" s="1386"/>
      <c r="U7" s="1386"/>
      <c r="V7" s="1386"/>
      <c r="W7" s="1386"/>
      <c r="X7" s="1386"/>
      <c r="Y7" s="1386"/>
      <c r="Z7" s="1386"/>
      <c r="AA7" s="1386"/>
      <c r="AB7" s="1386"/>
      <c r="AC7" s="1386"/>
      <c r="AD7" s="1386"/>
      <c r="AE7" s="1386"/>
      <c r="AF7" s="1387"/>
      <c r="AJ7" s="1044"/>
    </row>
    <row r="8" spans="1:76" s="1" customFormat="1" x14ac:dyDescent="0.25">
      <c r="A8" s="19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row>
    <row r="9" spans="1:76" s="1" customFormat="1" ht="14.45" customHeight="1"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row>
    <row r="10" spans="1:76" s="4" customFormat="1" ht="49.5" customHeight="1" x14ac:dyDescent="0.25">
      <c r="A10" s="263"/>
      <c r="B10" s="1173" t="s">
        <v>7131</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I10" s="683"/>
    </row>
    <row r="11" spans="1:76" s="1" customFormat="1"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row>
    <row r="12" spans="1:76" s="1" customFormat="1"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row>
    <row r="13" spans="1:76" s="1" customFormat="1" ht="50.45" customHeight="1" x14ac:dyDescent="0.25">
      <c r="A13" s="262"/>
      <c r="B13" s="1173" t="s">
        <v>7132</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I13" s="683"/>
      <c r="AN13" s="3722"/>
      <c r="AO13" s="3722"/>
      <c r="AP13" s="3722"/>
      <c r="AQ13" s="3722"/>
      <c r="AR13" s="3722"/>
      <c r="AS13" s="3722"/>
      <c r="AT13" s="3722"/>
      <c r="AU13" s="3722"/>
      <c r="AV13" s="3722"/>
      <c r="AW13" s="3722"/>
      <c r="AX13" s="3722"/>
      <c r="AY13" s="3722"/>
      <c r="AZ13" s="3722"/>
      <c r="BA13" s="3722"/>
      <c r="BB13" s="3722"/>
      <c r="BC13" s="3722"/>
      <c r="BD13" s="3722"/>
      <c r="BE13" s="3722"/>
      <c r="BF13" s="3722"/>
      <c r="BG13" s="3722"/>
      <c r="BH13" s="3722"/>
      <c r="BI13" s="3722"/>
      <c r="BJ13" s="3722"/>
      <c r="BK13" s="3722"/>
      <c r="BL13" s="3722"/>
      <c r="BM13" s="3722"/>
      <c r="BN13" s="3722"/>
      <c r="BO13" s="3722"/>
      <c r="BP13" s="3722"/>
      <c r="BQ13" s="3722"/>
      <c r="BR13" s="3722"/>
      <c r="BS13" s="3722"/>
      <c r="BT13" s="3722"/>
      <c r="BU13" s="3722"/>
      <c r="BV13" s="3722"/>
      <c r="BW13" s="3722"/>
      <c r="BX13" s="3722"/>
    </row>
    <row r="14" spans="1:76" s="1" customFormat="1" x14ac:dyDescent="0.2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O14" s="656"/>
    </row>
    <row r="15" spans="1:76" s="1" customFormat="1" ht="34.5" customHeight="1" x14ac:dyDescent="0.25">
      <c r="A15" s="262"/>
      <c r="B15" s="1173" t="s">
        <v>7155</v>
      </c>
      <c r="C15" s="1173"/>
      <c r="D15" s="1173"/>
      <c r="E15" s="1173"/>
      <c r="F15" s="1173"/>
      <c r="G15" s="1173"/>
      <c r="H15" s="1173"/>
      <c r="I15" s="1173"/>
      <c r="J15" s="1173"/>
      <c r="K15" s="1173"/>
      <c r="L15" s="1173"/>
      <c r="M15" s="1173"/>
      <c r="N15" s="1173"/>
      <c r="O15" s="1173"/>
      <c r="P15" s="1173"/>
      <c r="Q15" s="1173"/>
      <c r="R15" s="1173"/>
      <c r="S15" s="1173"/>
      <c r="T15" s="1173"/>
      <c r="U15" s="1173"/>
      <c r="V15" s="1173"/>
      <c r="W15" s="1173"/>
      <c r="X15" s="1173"/>
      <c r="Y15" s="1173"/>
      <c r="Z15" s="1173"/>
      <c r="AA15" s="1173"/>
      <c r="AB15" s="1173"/>
      <c r="AC15" s="1173"/>
      <c r="AD15" s="1173"/>
      <c r="AE15" s="1173"/>
      <c r="AF15" s="1173"/>
      <c r="AI15" s="683"/>
    </row>
    <row r="16" spans="1:76" s="1" customFormat="1" x14ac:dyDescent="0.25"/>
    <row r="17" spans="1:41" s="1" customFormat="1" x14ac:dyDescent="0.25">
      <c r="B17" s="1475" t="s">
        <v>12</v>
      </c>
      <c r="C17" s="1475"/>
      <c r="D17" s="1475"/>
      <c r="E17" s="1475"/>
      <c r="F17" s="1475"/>
      <c r="G17" s="1475"/>
      <c r="H17" s="1475"/>
      <c r="I17" s="1475"/>
    </row>
    <row r="18" spans="1:41" s="1" customFormat="1" x14ac:dyDescent="0.25">
      <c r="B18" s="1473" t="s">
        <v>3397</v>
      </c>
      <c r="C18" s="1473"/>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row>
    <row r="19" spans="1:41" s="1" customFormat="1" x14ac:dyDescent="0.25"/>
    <row r="20" spans="1:41" s="1" customFormat="1" x14ac:dyDescent="0.25">
      <c r="B20" s="1475" t="s">
        <v>13</v>
      </c>
      <c r="C20" s="1475"/>
      <c r="D20" s="1475"/>
      <c r="E20" s="1475"/>
      <c r="F20" s="1475"/>
      <c r="G20" s="1475"/>
      <c r="H20" s="1475"/>
      <c r="I20" s="1475"/>
    </row>
    <row r="21" spans="1:41" s="4" customFormat="1" ht="64.5" customHeight="1" x14ac:dyDescent="0.25">
      <c r="B21" s="1173" t="s">
        <v>7156</v>
      </c>
      <c r="C21" s="1173"/>
      <c r="D21" s="1173"/>
      <c r="E21" s="1173"/>
      <c r="F21" s="1173"/>
      <c r="G21" s="1173"/>
      <c r="H21" s="1173"/>
      <c r="I21" s="1173"/>
      <c r="J21" s="1173"/>
      <c r="K21" s="1173"/>
      <c r="L21" s="1173"/>
      <c r="M21" s="1173"/>
      <c r="N21" s="1173"/>
      <c r="O21" s="1173"/>
      <c r="P21" s="1173"/>
      <c r="Q21" s="1173"/>
      <c r="R21" s="1173"/>
      <c r="S21" s="1173"/>
      <c r="T21" s="1173"/>
      <c r="U21" s="1173"/>
      <c r="V21" s="1173"/>
      <c r="W21" s="1173"/>
      <c r="X21" s="1173"/>
      <c r="Y21" s="1173"/>
      <c r="Z21" s="1173"/>
      <c r="AA21" s="1173"/>
      <c r="AB21" s="1173"/>
      <c r="AC21" s="1173"/>
      <c r="AD21" s="1173"/>
      <c r="AE21" s="1173"/>
      <c r="AF21" s="1173"/>
      <c r="AI21" s="683"/>
    </row>
    <row r="22" spans="1:41" s="1" customFormat="1" x14ac:dyDescent="0.25"/>
    <row r="23" spans="1:41" s="1" customFormat="1" x14ac:dyDescent="0.25">
      <c r="B23" s="1475" t="s">
        <v>20</v>
      </c>
      <c r="C23" s="1475"/>
      <c r="D23" s="1475"/>
      <c r="E23" s="1475"/>
      <c r="F23" s="1475"/>
      <c r="G23" s="1475"/>
      <c r="H23" s="1475"/>
      <c r="I23" s="1475"/>
      <c r="J23" s="1475"/>
    </row>
    <row r="24" spans="1:41" s="1" customFormat="1" ht="94.5" customHeight="1" x14ac:dyDescent="0.25">
      <c r="B24" s="1173" t="s">
        <v>3077</v>
      </c>
      <c r="C24" s="1287"/>
      <c r="D24" s="1287"/>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row>
    <row r="25" spans="1:41" s="1" customFormat="1" x14ac:dyDescent="0.25"/>
    <row r="26" spans="1:41" ht="15" customHeight="1" x14ac:dyDescent="0.25">
      <c r="A26" s="1472" t="s">
        <v>14</v>
      </c>
      <c r="B26" s="1472"/>
      <c r="C26" s="1472"/>
      <c r="D26" s="1472"/>
      <c r="E26" s="1472"/>
      <c r="F26" s="1472"/>
      <c r="G26" s="1472"/>
      <c r="H26" s="1472"/>
      <c r="I26" s="1472"/>
      <c r="J26" s="1472"/>
      <c r="K26" s="1472"/>
      <c r="L26" s="1472"/>
      <c r="M26" s="1472"/>
      <c r="N26" s="1472"/>
      <c r="O26" s="1472"/>
      <c r="P26" s="1472"/>
      <c r="Q26" s="1472"/>
      <c r="R26" s="1472"/>
      <c r="S26" s="1472"/>
      <c r="T26" s="1472"/>
      <c r="U26" s="1472"/>
      <c r="V26" s="1472"/>
      <c r="W26" s="1472"/>
      <c r="X26" s="1472"/>
      <c r="Y26" s="1472"/>
      <c r="Z26" s="1472"/>
      <c r="AA26" s="1472"/>
      <c r="AB26" s="1472"/>
      <c r="AC26" s="1472"/>
      <c r="AD26" s="1472"/>
      <c r="AE26" s="1472"/>
      <c r="AF26" s="1472"/>
    </row>
    <row r="27" spans="1:41" ht="1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row>
    <row r="28" spans="1:41" ht="15" customHeight="1" x14ac:dyDescent="0.25">
      <c r="A28" s="190"/>
      <c r="B28" s="519" t="s">
        <v>7157</v>
      </c>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3"/>
      <c r="AI28" s="692"/>
    </row>
    <row r="29" spans="1:41" ht="15" customHeight="1" x14ac:dyDescent="0.25">
      <c r="A29" s="190"/>
      <c r="B29" s="190"/>
      <c r="C29" s="190"/>
      <c r="D29" s="190"/>
      <c r="E29" s="190"/>
      <c r="F29" s="190"/>
      <c r="G29" s="190"/>
      <c r="H29" s="190"/>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3"/>
      <c r="AJ29" s="584"/>
    </row>
    <row r="30" spans="1:41" ht="15" customHeight="1" x14ac:dyDescent="0.25">
      <c r="A30" s="190"/>
      <c r="B30" s="190"/>
      <c r="C30" s="190"/>
      <c r="D30" s="190"/>
      <c r="E30" s="190"/>
      <c r="F30" s="190"/>
      <c r="G30" s="190"/>
      <c r="H30" s="190"/>
      <c r="I30" s="190"/>
      <c r="J30" s="190"/>
      <c r="K30" s="190"/>
      <c r="L30" s="190"/>
      <c r="M30" s="190"/>
      <c r="N30" s="190"/>
      <c r="O30" s="190"/>
      <c r="P30" s="190"/>
      <c r="Q30" s="190"/>
      <c r="R30" s="190"/>
      <c r="S30" s="190"/>
      <c r="T30" s="190"/>
      <c r="U30" s="190"/>
      <c r="V30" s="190"/>
      <c r="W30" s="190"/>
      <c r="X30" s="190"/>
      <c r="Y30" s="190"/>
      <c r="Z30" s="190"/>
      <c r="AA30" s="227"/>
      <c r="AB30" s="190"/>
      <c r="AC30" s="190"/>
      <c r="AD30" s="190"/>
      <c r="AE30" s="190"/>
      <c r="AF30" s="339" t="s">
        <v>1705</v>
      </c>
      <c r="AI30" s="692"/>
      <c r="AK30" s="584"/>
      <c r="AO30" s="1052"/>
    </row>
    <row r="31" spans="1:41" ht="15" customHeight="1" x14ac:dyDescent="0.25">
      <c r="A31" s="190"/>
      <c r="B31" s="190"/>
      <c r="C31" s="190"/>
      <c r="D31" s="190"/>
      <c r="E31" s="190"/>
      <c r="F31" s="1055" t="s">
        <v>5320</v>
      </c>
      <c r="G31" s="190"/>
      <c r="H31" s="190"/>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I31" s="692"/>
    </row>
    <row r="32" spans="1:41" ht="15" customHeight="1" x14ac:dyDescent="0.25">
      <c r="A32" s="190"/>
      <c r="B32" s="190"/>
      <c r="C32" s="190"/>
      <c r="D32" s="190"/>
      <c r="E32" s="190"/>
      <c r="F32" s="1055"/>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I32" s="692"/>
    </row>
    <row r="33" spans="1:63" s="1" customFormat="1" x14ac:dyDescent="0.25">
      <c r="A33" s="227"/>
      <c r="B33" s="414" t="s">
        <v>7158</v>
      </c>
      <c r="C33" s="1054"/>
      <c r="D33" s="1054"/>
      <c r="E33" s="1054"/>
      <c r="F33" s="1054"/>
      <c r="G33" s="1054"/>
      <c r="H33" s="1054"/>
      <c r="I33" s="1054"/>
      <c r="J33" s="1054"/>
      <c r="K33" s="1054"/>
      <c r="L33" s="1054"/>
      <c r="M33" s="1054"/>
      <c r="N33" s="1054"/>
      <c r="O33" s="1054"/>
      <c r="P33" s="1054"/>
      <c r="Q33" s="1054"/>
      <c r="R33" s="1054"/>
      <c r="S33" s="1054"/>
      <c r="T33" s="1054"/>
      <c r="U33" s="1054"/>
      <c r="V33" s="1054"/>
      <c r="W33" s="1054"/>
      <c r="X33" s="1054"/>
      <c r="Y33" s="1054"/>
      <c r="Z33" s="1054"/>
      <c r="AA33" s="1054"/>
      <c r="AB33" s="1054"/>
      <c r="AC33" s="1054"/>
      <c r="AD33" s="1054"/>
      <c r="AE33" s="1054"/>
      <c r="AF33" s="1054"/>
      <c r="AI33" s="683"/>
      <c r="AK33" s="683"/>
      <c r="BK33" s="656"/>
    </row>
    <row r="34" spans="1:63" s="1" customFormat="1" x14ac:dyDescent="0.25">
      <c r="A34" s="190"/>
      <c r="B34" s="190"/>
      <c r="C34" s="190"/>
      <c r="D34" s="1056"/>
      <c r="E34" s="190"/>
      <c r="F34" s="190"/>
      <c r="G34" s="190"/>
      <c r="H34" s="190"/>
      <c r="I34" s="190"/>
      <c r="J34" s="190"/>
      <c r="K34" s="190"/>
      <c r="L34" s="190"/>
      <c r="M34" s="190"/>
      <c r="N34" s="262"/>
      <c r="O34" s="262"/>
      <c r="P34" s="262"/>
      <c r="Q34" s="262"/>
      <c r="R34" s="262"/>
      <c r="S34" s="262"/>
      <c r="T34" s="262"/>
      <c r="U34" s="262"/>
      <c r="V34" s="262"/>
      <c r="W34" s="262"/>
      <c r="X34" s="262"/>
      <c r="Y34" s="262"/>
      <c r="Z34" s="262"/>
      <c r="AA34" s="262"/>
      <c r="AB34" s="262"/>
      <c r="AC34" s="262"/>
      <c r="AD34" s="262"/>
      <c r="AE34" s="262"/>
      <c r="AF34" s="262"/>
    </row>
    <row r="35" spans="1:63" s="1" customFormat="1" x14ac:dyDescent="0.25">
      <c r="A35" s="190"/>
      <c r="B35" s="190"/>
      <c r="C35" s="262"/>
      <c r="D35" s="338"/>
      <c r="E35" s="190"/>
      <c r="F35" s="190"/>
      <c r="G35" s="190"/>
      <c r="H35" s="190"/>
      <c r="I35" s="190"/>
      <c r="J35" s="190"/>
      <c r="K35" s="190"/>
      <c r="L35" s="190"/>
      <c r="M35" s="190"/>
      <c r="N35" s="262"/>
      <c r="O35" s="262"/>
      <c r="P35" s="262"/>
      <c r="Q35" s="262"/>
      <c r="R35" s="262"/>
      <c r="S35" s="262"/>
      <c r="T35" s="262"/>
      <c r="U35" s="262"/>
      <c r="V35" s="262"/>
      <c r="W35" s="262"/>
      <c r="X35" s="262"/>
      <c r="Y35" s="262"/>
      <c r="Z35" s="262"/>
      <c r="AA35" s="262"/>
      <c r="AB35" s="262"/>
      <c r="AC35" s="262"/>
      <c r="AD35" s="262"/>
      <c r="AE35" s="262"/>
      <c r="AF35" s="419" t="s">
        <v>1706</v>
      </c>
    </row>
    <row r="36" spans="1:63" s="1" customFormat="1" x14ac:dyDescent="0.25">
      <c r="A36" s="190"/>
      <c r="B36" s="190"/>
      <c r="C36" s="262"/>
      <c r="D36" s="338"/>
      <c r="E36" s="190"/>
      <c r="F36" s="1055" t="s">
        <v>5320</v>
      </c>
      <c r="G36" s="190"/>
      <c r="H36" s="190"/>
      <c r="I36" s="190"/>
      <c r="J36" s="190"/>
      <c r="K36" s="190"/>
      <c r="L36" s="190"/>
      <c r="M36" s="190"/>
      <c r="N36" s="262"/>
      <c r="O36" s="262"/>
      <c r="P36" s="262"/>
      <c r="Q36" s="262"/>
      <c r="R36" s="262"/>
      <c r="S36" s="262"/>
      <c r="T36" s="262"/>
      <c r="U36" s="262"/>
      <c r="V36" s="262"/>
      <c r="W36" s="262"/>
      <c r="X36" s="262"/>
      <c r="Y36" s="262"/>
      <c r="Z36" s="262"/>
      <c r="AA36" s="262"/>
      <c r="AB36" s="262"/>
      <c r="AC36" s="262"/>
      <c r="AD36" s="262"/>
      <c r="AE36" s="262"/>
      <c r="AF36" s="419"/>
    </row>
    <row r="37" spans="1:63" ht="15" customHeight="1" x14ac:dyDescent="0.25">
      <c r="A37" s="190"/>
      <c r="B37" s="190"/>
      <c r="C37" s="190"/>
      <c r="D37" s="190"/>
      <c r="E37" s="190"/>
      <c r="F37" s="190"/>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I37" s="692"/>
    </row>
    <row r="38" spans="1:63" ht="15" customHeight="1" x14ac:dyDescent="0.25">
      <c r="A38" s="190"/>
      <c r="B38" s="190"/>
      <c r="C38" s="190"/>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I38" s="692"/>
    </row>
    <row r="39" spans="1:63" ht="15" customHeight="1" x14ac:dyDescent="0.25">
      <c r="A39" s="190"/>
      <c r="B39" s="519" t="s">
        <v>3078</v>
      </c>
      <c r="C39" s="190"/>
      <c r="D39" s="190"/>
      <c r="E39" s="190"/>
      <c r="F39" s="190"/>
      <c r="G39" s="190"/>
      <c r="H39" s="190"/>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row>
    <row r="40" spans="1:63" ht="15" customHeight="1" x14ac:dyDescent="0.25">
      <c r="A40" s="190"/>
      <c r="B40" s="190"/>
      <c r="C40" s="190"/>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339"/>
    </row>
    <row r="41" spans="1:63" ht="15" customHeight="1" x14ac:dyDescent="0.25">
      <c r="A41" s="190"/>
      <c r="B41" s="190"/>
      <c r="C41" s="190"/>
      <c r="D41" s="190"/>
      <c r="E41" s="190"/>
      <c r="F41" s="190"/>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339" t="s">
        <v>1707</v>
      </c>
      <c r="AI41" s="692"/>
      <c r="AJ41" s="692"/>
    </row>
    <row r="42" spans="1:63" ht="15" customHeight="1" x14ac:dyDescent="0.25">
      <c r="A42" s="190"/>
      <c r="B42" s="190"/>
      <c r="C42" s="190"/>
      <c r="D42" s="190"/>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I42" s="692"/>
      <c r="AJ42" s="692"/>
    </row>
    <row r="43" spans="1:63" ht="15" customHeight="1" x14ac:dyDescent="0.25">
      <c r="A43" s="190"/>
      <c r="B43" s="190"/>
      <c r="C43" s="190"/>
      <c r="D43" s="190"/>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I43" s="692"/>
      <c r="AJ43" s="692"/>
    </row>
    <row r="44" spans="1:63" ht="15" customHeight="1" x14ac:dyDescent="0.25">
      <c r="A44" s="190"/>
      <c r="B44" s="519" t="s">
        <v>3079</v>
      </c>
      <c r="C44" s="190"/>
      <c r="D44" s="190"/>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I44" s="692"/>
      <c r="AJ44" s="692"/>
    </row>
    <row r="45" spans="1:63" ht="15" customHeight="1" x14ac:dyDescent="0.25">
      <c r="A45" s="190"/>
      <c r="B45" s="190"/>
      <c r="C45" s="190"/>
      <c r="D45" s="190"/>
      <c r="E45" s="190"/>
      <c r="F45" s="190"/>
      <c r="G45" s="190"/>
      <c r="H45" s="190"/>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I45" s="692"/>
      <c r="AJ45" s="692"/>
    </row>
    <row r="46" spans="1:63" ht="15" customHeight="1" x14ac:dyDescent="0.25">
      <c r="A46" s="190"/>
      <c r="B46" s="190"/>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I46" s="692"/>
      <c r="AJ46" s="692"/>
    </row>
    <row r="47" spans="1:63" ht="15" customHeight="1" x14ac:dyDescent="0.25">
      <c r="A47" s="190"/>
      <c r="B47" s="190"/>
      <c r="C47" s="190"/>
      <c r="D47" s="190"/>
      <c r="E47" s="190"/>
      <c r="F47" s="190"/>
      <c r="G47" s="190"/>
      <c r="H47" s="190"/>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c r="AF47" s="339" t="s">
        <v>1756</v>
      </c>
      <c r="AI47" s="692"/>
      <c r="AJ47" s="692"/>
    </row>
    <row r="48" spans="1:63" ht="15" customHeight="1" x14ac:dyDescent="0.25">
      <c r="A48" s="190"/>
      <c r="B48" s="190"/>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row>
    <row r="49" spans="1:32" ht="15" customHeight="1" x14ac:dyDescent="0.25">
      <c r="A49" s="190"/>
      <c r="B49" s="190"/>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row>
    <row r="50" spans="1:32" ht="15" customHeight="1" x14ac:dyDescent="0.25">
      <c r="A50" s="190"/>
      <c r="B50" s="519" t="s">
        <v>2194</v>
      </c>
      <c r="C50" s="190"/>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row>
    <row r="51" spans="1:32" ht="15" customHeight="1" x14ac:dyDescent="0.25">
      <c r="A51" s="190"/>
      <c r="B51" s="190"/>
      <c r="C51" s="190"/>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row>
    <row r="52" spans="1:32" ht="15" customHeight="1" x14ac:dyDescent="0.25">
      <c r="A52" s="190"/>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227"/>
    </row>
    <row r="53" spans="1:32" ht="15" customHeight="1" x14ac:dyDescent="0.25">
      <c r="A53" s="190"/>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339" t="s">
        <v>1788</v>
      </c>
    </row>
    <row r="54" spans="1:32" ht="15" customHeight="1" x14ac:dyDescent="0.25">
      <c r="A54" s="190"/>
      <c r="B54" s="519" t="s">
        <v>2303</v>
      </c>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row>
    <row r="55" spans="1:32" ht="15" customHeight="1" x14ac:dyDescent="0.25">
      <c r="A55" s="190"/>
      <c r="B55" s="190"/>
      <c r="C55" s="190"/>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row>
    <row r="56" spans="1:32" ht="15" customHeight="1" x14ac:dyDescent="0.25">
      <c r="A56" s="190"/>
      <c r="B56" s="190"/>
      <c r="C56" s="190"/>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339" t="s">
        <v>1789</v>
      </c>
    </row>
    <row r="57" spans="1:32" ht="15" customHeight="1" x14ac:dyDescent="0.25">
      <c r="A57" s="190"/>
      <c r="B57" s="190"/>
      <c r="C57" s="190"/>
      <c r="D57" s="190"/>
      <c r="E57" s="190"/>
      <c r="F57" s="190"/>
      <c r="G57" s="190"/>
      <c r="H57" s="190"/>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row>
    <row r="58" spans="1:32" ht="15" customHeight="1" x14ac:dyDescent="0.25">
      <c r="A58" s="190"/>
      <c r="B58" s="190"/>
      <c r="C58" s="190"/>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row>
    <row r="59" spans="1:32" ht="15" customHeight="1" x14ac:dyDescent="0.25">
      <c r="A59" s="190"/>
      <c r="B59" s="519" t="s">
        <v>1998</v>
      </c>
      <c r="C59" s="190"/>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row>
    <row r="60" spans="1:32" ht="15" customHeight="1" x14ac:dyDescent="0.25">
      <c r="A60" s="190"/>
      <c r="B60" s="190"/>
      <c r="C60" s="190"/>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row>
    <row r="61" spans="1:32" ht="15" customHeight="1" x14ac:dyDescent="0.25">
      <c r="A61" s="190"/>
      <c r="B61" s="190"/>
      <c r="C61" s="190"/>
      <c r="D61" s="190"/>
      <c r="E61" s="190"/>
      <c r="F61" s="190"/>
      <c r="G61" s="190"/>
      <c r="H61" s="190"/>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339" t="s">
        <v>1826</v>
      </c>
    </row>
    <row r="62" spans="1:32" ht="15" customHeight="1" x14ac:dyDescent="0.25">
      <c r="A62" s="190"/>
      <c r="B62" s="190"/>
      <c r="C62" s="190"/>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3"/>
    </row>
    <row r="63" spans="1:32" ht="15" customHeight="1" x14ac:dyDescent="0.25">
      <c r="A63" s="18"/>
      <c r="B63" s="18"/>
      <c r="C63" s="18"/>
      <c r="D63" s="18"/>
      <c r="E63" s="18"/>
      <c r="F63" s="18"/>
      <c r="G63" s="18"/>
      <c r="H63" s="18"/>
      <c r="I63" s="18"/>
      <c r="Q63" s="20"/>
    </row>
    <row r="64" spans="1:32" s="1" customFormat="1" x14ac:dyDescent="0.25">
      <c r="A64" s="1472" t="s">
        <v>15</v>
      </c>
      <c r="B64" s="1472"/>
      <c r="C64" s="1472"/>
      <c r="D64" s="1472"/>
      <c r="E64" s="1472"/>
      <c r="F64" s="1472"/>
      <c r="G64" s="1472"/>
      <c r="H64" s="1472"/>
      <c r="I64" s="1472"/>
      <c r="J64" s="1472"/>
      <c r="K64" s="1472"/>
      <c r="L64" s="1472"/>
      <c r="M64" s="1472"/>
      <c r="N64" s="1472"/>
      <c r="O64" s="1472"/>
      <c r="P64" s="1472"/>
      <c r="Q64" s="1472"/>
      <c r="R64" s="1472"/>
      <c r="S64" s="1472"/>
      <c r="T64" s="1472"/>
      <c r="U64" s="1472"/>
      <c r="V64" s="1472"/>
      <c r="W64" s="1472"/>
      <c r="X64" s="1472"/>
      <c r="Y64" s="1472"/>
      <c r="Z64" s="1472"/>
      <c r="AA64" s="1472"/>
      <c r="AB64" s="1472"/>
      <c r="AC64" s="1472"/>
      <c r="AD64" s="1472"/>
      <c r="AE64" s="1472"/>
      <c r="AF64" s="1472"/>
    </row>
    <row r="65" spans="1:55" s="1" customFormat="1" x14ac:dyDescent="0.25">
      <c r="A65" s="1474" t="s">
        <v>16</v>
      </c>
      <c r="B65" s="1474"/>
      <c r="C65" s="1474"/>
      <c r="D65" s="1474"/>
      <c r="E65" s="1474" t="s">
        <v>10</v>
      </c>
      <c r="F65" s="1474"/>
      <c r="G65" s="1474"/>
      <c r="H65" s="1474"/>
      <c r="I65" s="1474"/>
      <c r="J65" s="1474"/>
      <c r="K65" s="1474"/>
      <c r="L65" s="1474"/>
      <c r="M65" s="1474"/>
      <c r="N65" s="1474"/>
      <c r="O65" s="1474"/>
      <c r="P65" s="1474" t="s">
        <v>17</v>
      </c>
      <c r="Q65" s="1474"/>
      <c r="R65" s="1474"/>
      <c r="S65" s="1474"/>
      <c r="T65" s="1474" t="s">
        <v>18</v>
      </c>
      <c r="U65" s="1474"/>
      <c r="V65" s="1474"/>
      <c r="W65" s="1474"/>
      <c r="X65" s="1474" t="s">
        <v>1708</v>
      </c>
      <c r="Y65" s="1474"/>
      <c r="Z65" s="1474"/>
      <c r="AA65" s="1474"/>
      <c r="AB65" s="1474"/>
      <c r="AC65" s="1474"/>
      <c r="AD65" s="1474"/>
      <c r="AE65" s="1474"/>
      <c r="AF65" s="1474"/>
    </row>
    <row r="66" spans="1:55" s="1" customFormat="1" ht="115.5" customHeight="1" x14ac:dyDescent="0.25">
      <c r="A66" s="1134" t="s">
        <v>3957</v>
      </c>
      <c r="B66" s="1134"/>
      <c r="C66" s="1134"/>
      <c r="D66" s="1134"/>
      <c r="E66" s="1133" t="s">
        <v>7159</v>
      </c>
      <c r="F66" s="1133"/>
      <c r="G66" s="1133"/>
      <c r="H66" s="1133"/>
      <c r="I66" s="1133"/>
      <c r="J66" s="1133"/>
      <c r="K66" s="1133"/>
      <c r="L66" s="1133"/>
      <c r="M66" s="1133"/>
      <c r="N66" s="1133"/>
      <c r="O66" s="1133"/>
      <c r="P66" s="3121" t="s">
        <v>7133</v>
      </c>
      <c r="Q66" s="3121"/>
      <c r="R66" s="3121"/>
      <c r="S66" s="3121"/>
      <c r="T66" s="2474" t="s">
        <v>28</v>
      </c>
      <c r="U66" s="1841"/>
      <c r="V66" s="1841"/>
      <c r="W66" s="1841"/>
      <c r="X66" s="1715" t="s">
        <v>7134</v>
      </c>
      <c r="Y66" s="1715"/>
      <c r="Z66" s="1715"/>
      <c r="AA66" s="1715"/>
      <c r="AB66" s="1715"/>
      <c r="AC66" s="1715"/>
      <c r="AD66" s="1715"/>
      <c r="AE66" s="1715"/>
      <c r="AF66" s="1715"/>
      <c r="AI66" s="683"/>
      <c r="AM66" s="1045"/>
    </row>
    <row r="67" spans="1:55" s="1" customFormat="1" ht="116.25" customHeight="1" x14ac:dyDescent="0.25">
      <c r="A67" s="3705" t="s">
        <v>7135</v>
      </c>
      <c r="B67" s="3705"/>
      <c r="C67" s="3705"/>
      <c r="D67" s="3705"/>
      <c r="E67" s="1133" t="s">
        <v>7136</v>
      </c>
      <c r="F67" s="1133"/>
      <c r="G67" s="1133"/>
      <c r="H67" s="1133"/>
      <c r="I67" s="1133"/>
      <c r="J67" s="1133"/>
      <c r="K67" s="1133"/>
      <c r="L67" s="1133"/>
      <c r="M67" s="1133"/>
      <c r="N67" s="1133"/>
      <c r="O67" s="1133"/>
      <c r="P67" s="3121" t="s">
        <v>626</v>
      </c>
      <c r="Q67" s="3121"/>
      <c r="R67" s="3121"/>
      <c r="S67" s="3121"/>
      <c r="T67" s="2474" t="s">
        <v>7137</v>
      </c>
      <c r="U67" s="1841"/>
      <c r="V67" s="1841"/>
      <c r="W67" s="1841"/>
      <c r="X67" s="1715" t="s">
        <v>7160</v>
      </c>
      <c r="Y67" s="3706"/>
      <c r="Z67" s="3706"/>
      <c r="AA67" s="3706"/>
      <c r="AB67" s="3706"/>
      <c r="AC67" s="3706"/>
      <c r="AD67" s="3706"/>
      <c r="AE67" s="3706"/>
      <c r="AF67" s="3706"/>
      <c r="AI67" s="683"/>
      <c r="AK67" s="656"/>
    </row>
    <row r="68" spans="1:55" s="1" customFormat="1" ht="31.5" customHeight="1" x14ac:dyDescent="0.25">
      <c r="A68" s="1134" t="s">
        <v>1709</v>
      </c>
      <c r="B68" s="1134"/>
      <c r="C68" s="1134"/>
      <c r="D68" s="1134"/>
      <c r="E68" s="1133" t="s">
        <v>1710</v>
      </c>
      <c r="F68" s="1133"/>
      <c r="G68" s="1133"/>
      <c r="H68" s="1133"/>
      <c r="I68" s="1133"/>
      <c r="J68" s="1133"/>
      <c r="K68" s="1133"/>
      <c r="L68" s="1133"/>
      <c r="M68" s="1133"/>
      <c r="N68" s="1133"/>
      <c r="O68" s="1133"/>
      <c r="P68" s="1674">
        <v>15</v>
      </c>
      <c r="Q68" s="1674"/>
      <c r="R68" s="1674"/>
      <c r="S68" s="1674"/>
      <c r="T68" s="1674" t="s">
        <v>2865</v>
      </c>
      <c r="U68" s="1674"/>
      <c r="V68" s="1674"/>
      <c r="W68" s="1674"/>
      <c r="X68" s="1715" t="s">
        <v>1757</v>
      </c>
      <c r="Y68" s="1715"/>
      <c r="Z68" s="1715"/>
      <c r="AA68" s="1715"/>
      <c r="AB68" s="1715"/>
      <c r="AC68" s="1715"/>
      <c r="AD68" s="1715"/>
      <c r="AE68" s="1715"/>
      <c r="AF68" s="1715"/>
    </row>
    <row r="69" spans="1:55" s="1" customFormat="1" ht="198" customHeight="1" x14ac:dyDescent="0.25">
      <c r="A69" s="1134" t="s">
        <v>1711</v>
      </c>
      <c r="B69" s="1134"/>
      <c r="C69" s="1134"/>
      <c r="D69" s="1134"/>
      <c r="E69" s="1133" t="s">
        <v>1712</v>
      </c>
      <c r="F69" s="1133"/>
      <c r="G69" s="1133"/>
      <c r="H69" s="1133"/>
      <c r="I69" s="1133"/>
      <c r="J69" s="1133"/>
      <c r="K69" s="1133"/>
      <c r="L69" s="1133"/>
      <c r="M69" s="1133"/>
      <c r="N69" s="1133"/>
      <c r="O69" s="1133"/>
      <c r="P69" s="3121" t="s">
        <v>7138</v>
      </c>
      <c r="Q69" s="3121"/>
      <c r="R69" s="3121"/>
      <c r="S69" s="3121"/>
      <c r="T69" s="2474" t="s">
        <v>2866</v>
      </c>
      <c r="U69" s="1841"/>
      <c r="V69" s="1841"/>
      <c r="W69" s="1841"/>
      <c r="X69" s="1715" t="s">
        <v>3952</v>
      </c>
      <c r="Y69" s="1715"/>
      <c r="Z69" s="1715"/>
      <c r="AA69" s="1715"/>
      <c r="AB69" s="1715"/>
      <c r="AC69" s="1715"/>
      <c r="AD69" s="1715"/>
      <c r="AE69" s="1715"/>
      <c r="AF69" s="1715"/>
      <c r="AI69" s="683"/>
      <c r="BC69" s="656"/>
    </row>
    <row r="70" spans="1:55" s="1" customFormat="1" ht="14.45" customHeight="1" x14ac:dyDescent="0.25">
      <c r="A70" s="3011" t="s">
        <v>1713</v>
      </c>
      <c r="B70" s="3012"/>
      <c r="C70" s="3012"/>
      <c r="D70" s="3012"/>
      <c r="E70" s="1133" t="s">
        <v>1714</v>
      </c>
      <c r="F70" s="1133"/>
      <c r="G70" s="1133"/>
      <c r="H70" s="1133"/>
      <c r="I70" s="1133"/>
      <c r="J70" s="1133"/>
      <c r="K70" s="1133"/>
      <c r="L70" s="1133"/>
      <c r="M70" s="1133"/>
      <c r="N70" s="1133"/>
      <c r="O70" s="1133"/>
      <c r="P70" s="1674">
        <v>8.3000000000000007</v>
      </c>
      <c r="Q70" s="1674"/>
      <c r="R70" s="1674"/>
      <c r="S70" s="1674"/>
      <c r="T70" s="1841" t="s">
        <v>6173</v>
      </c>
      <c r="U70" s="1841"/>
      <c r="V70" s="1841"/>
      <c r="W70" s="1841"/>
      <c r="X70" s="1865" t="s">
        <v>28</v>
      </c>
      <c r="Y70" s="1674"/>
      <c r="Z70" s="1674"/>
      <c r="AA70" s="1674"/>
      <c r="AB70" s="1674"/>
      <c r="AC70" s="1674"/>
      <c r="AD70" s="1674"/>
      <c r="AE70" s="1674"/>
      <c r="AF70" s="1674"/>
    </row>
    <row r="71" spans="1:55" s="1" customFormat="1" ht="14.45" customHeight="1" x14ac:dyDescent="0.25">
      <c r="A71" s="3012" t="s">
        <v>1717</v>
      </c>
      <c r="B71" s="3012"/>
      <c r="C71" s="3012"/>
      <c r="D71" s="3012"/>
      <c r="E71" s="1133" t="s">
        <v>1718</v>
      </c>
      <c r="F71" s="1133"/>
      <c r="G71" s="1133"/>
      <c r="H71" s="1133"/>
      <c r="I71" s="1133"/>
      <c r="J71" s="1133"/>
      <c r="K71" s="1133"/>
      <c r="L71" s="1133"/>
      <c r="M71" s="1133"/>
      <c r="N71" s="1133"/>
      <c r="O71" s="1133"/>
      <c r="P71" s="1674">
        <v>1</v>
      </c>
      <c r="Q71" s="1674"/>
      <c r="R71" s="1674"/>
      <c r="S71" s="1674"/>
      <c r="T71" s="1841" t="s">
        <v>7099</v>
      </c>
      <c r="U71" s="1841"/>
      <c r="V71" s="1841"/>
      <c r="W71" s="1841"/>
      <c r="X71" s="1865" t="s">
        <v>28</v>
      </c>
      <c r="Y71" s="1674"/>
      <c r="Z71" s="1674"/>
      <c r="AA71" s="1674"/>
      <c r="AB71" s="1674"/>
      <c r="AC71" s="1674"/>
      <c r="AD71" s="1674"/>
      <c r="AE71" s="1674"/>
      <c r="AF71" s="1674"/>
    </row>
    <row r="72" spans="1:55" s="1" customFormat="1" ht="117.75" customHeight="1" x14ac:dyDescent="0.25">
      <c r="A72" s="1134" t="s">
        <v>1719</v>
      </c>
      <c r="B72" s="1134"/>
      <c r="C72" s="1134"/>
      <c r="D72" s="1134"/>
      <c r="E72" s="1133" t="s">
        <v>1721</v>
      </c>
      <c r="F72" s="1133"/>
      <c r="G72" s="1133"/>
      <c r="H72" s="1133"/>
      <c r="I72" s="1133"/>
      <c r="J72" s="1133"/>
      <c r="K72" s="1133"/>
      <c r="L72" s="1133"/>
      <c r="M72" s="1133"/>
      <c r="N72" s="1133"/>
      <c r="O72" s="1133"/>
      <c r="P72" s="1674">
        <v>125</v>
      </c>
      <c r="Q72" s="1674"/>
      <c r="R72" s="1674"/>
      <c r="S72" s="1674"/>
      <c r="T72" s="1841" t="s">
        <v>166</v>
      </c>
      <c r="U72" s="1841"/>
      <c r="V72" s="1841"/>
      <c r="W72" s="1841"/>
      <c r="X72" s="1715" t="s">
        <v>7161</v>
      </c>
      <c r="Y72" s="1715"/>
      <c r="Z72" s="1715"/>
      <c r="AA72" s="1715"/>
      <c r="AB72" s="1715"/>
      <c r="AC72" s="1715"/>
      <c r="AD72" s="1715"/>
      <c r="AE72" s="1715"/>
      <c r="AF72" s="1715"/>
      <c r="AI72" s="839"/>
    </row>
    <row r="73" spans="1:55" s="1" customFormat="1" ht="45.75" customHeight="1" x14ac:dyDescent="0.25">
      <c r="A73" s="1134" t="s">
        <v>1720</v>
      </c>
      <c r="B73" s="1134"/>
      <c r="C73" s="1134"/>
      <c r="D73" s="1134"/>
      <c r="E73" s="1133" t="s">
        <v>1722</v>
      </c>
      <c r="F73" s="1133"/>
      <c r="G73" s="1133"/>
      <c r="H73" s="1133"/>
      <c r="I73" s="1133"/>
      <c r="J73" s="1133"/>
      <c r="K73" s="1133"/>
      <c r="L73" s="1133"/>
      <c r="M73" s="1133"/>
      <c r="N73" s="1133"/>
      <c r="O73" s="1133"/>
      <c r="P73" s="1675" t="s">
        <v>5329</v>
      </c>
      <c r="Q73" s="1675">
        <v>8760</v>
      </c>
      <c r="R73" s="1675">
        <v>8760</v>
      </c>
      <c r="S73" s="1675">
        <v>8760</v>
      </c>
      <c r="T73" s="1841" t="s">
        <v>1723</v>
      </c>
      <c r="U73" s="1841"/>
      <c r="V73" s="1841"/>
      <c r="W73" s="1841"/>
      <c r="X73" s="1715" t="s">
        <v>7162</v>
      </c>
      <c r="Y73" s="1715"/>
      <c r="Z73" s="1715"/>
      <c r="AA73" s="1715"/>
      <c r="AB73" s="1715"/>
      <c r="AC73" s="1715"/>
      <c r="AD73" s="1715"/>
      <c r="AE73" s="1715"/>
      <c r="AF73" s="1715"/>
      <c r="AI73" s="683"/>
    </row>
    <row r="74" spans="1:55" s="1" customFormat="1" ht="48" customHeight="1" x14ac:dyDescent="0.25">
      <c r="A74" s="1134" t="s">
        <v>3080</v>
      </c>
      <c r="B74" s="1134"/>
      <c r="C74" s="1134"/>
      <c r="D74" s="1134"/>
      <c r="E74" s="1133" t="s">
        <v>3081</v>
      </c>
      <c r="F74" s="1133"/>
      <c r="G74" s="1133"/>
      <c r="H74" s="1133"/>
      <c r="I74" s="1133"/>
      <c r="J74" s="1133"/>
      <c r="K74" s="1133"/>
      <c r="L74" s="1133"/>
      <c r="M74" s="1133"/>
      <c r="N74" s="1133"/>
      <c r="O74" s="1133"/>
      <c r="P74" s="1674" t="s">
        <v>3089</v>
      </c>
      <c r="Q74" s="1674"/>
      <c r="R74" s="1674"/>
      <c r="S74" s="1674"/>
      <c r="T74" s="3707" t="s">
        <v>28</v>
      </c>
      <c r="U74" s="3707"/>
      <c r="V74" s="3707"/>
      <c r="W74" s="3707"/>
      <c r="X74" s="1715" t="s">
        <v>3090</v>
      </c>
      <c r="Y74" s="1715"/>
      <c r="Z74" s="1715"/>
      <c r="AA74" s="1715"/>
      <c r="AB74" s="1715"/>
      <c r="AC74" s="1715"/>
      <c r="AD74" s="1715"/>
      <c r="AE74" s="1715"/>
      <c r="AF74" s="1715"/>
    </row>
    <row r="75" spans="1:55" s="1" customFormat="1" ht="78" customHeight="1" x14ac:dyDescent="0.25">
      <c r="A75" s="2521" t="s">
        <v>7139</v>
      </c>
      <c r="B75" s="1134"/>
      <c r="C75" s="1134"/>
      <c r="D75" s="1134"/>
      <c r="E75" s="1133" t="s">
        <v>3088</v>
      </c>
      <c r="F75" s="1133"/>
      <c r="G75" s="1133"/>
      <c r="H75" s="1133"/>
      <c r="I75" s="1133"/>
      <c r="J75" s="1133"/>
      <c r="K75" s="1133"/>
      <c r="L75" s="1133"/>
      <c r="M75" s="1133"/>
      <c r="N75" s="1133"/>
      <c r="O75" s="1133"/>
      <c r="P75" s="1674">
        <v>0.9</v>
      </c>
      <c r="Q75" s="1674"/>
      <c r="R75" s="1674"/>
      <c r="S75" s="1674"/>
      <c r="T75" s="3707" t="s">
        <v>28</v>
      </c>
      <c r="U75" s="3707"/>
      <c r="V75" s="3707"/>
      <c r="W75" s="3707"/>
      <c r="X75" s="1715" t="s">
        <v>3083</v>
      </c>
      <c r="Y75" s="1715"/>
      <c r="Z75" s="1715"/>
      <c r="AA75" s="1715"/>
      <c r="AB75" s="1715"/>
      <c r="AC75" s="1715"/>
      <c r="AD75" s="1715"/>
      <c r="AE75" s="1715"/>
      <c r="AF75" s="1715"/>
    </row>
    <row r="76" spans="1:55" s="1" customFormat="1" ht="36.75" customHeight="1" x14ac:dyDescent="0.25">
      <c r="A76" s="2521" t="s">
        <v>3084</v>
      </c>
      <c r="B76" s="1134"/>
      <c r="C76" s="1134"/>
      <c r="D76" s="1134"/>
      <c r="E76" s="1133" t="s">
        <v>3085</v>
      </c>
      <c r="F76" s="1133"/>
      <c r="G76" s="1133"/>
      <c r="H76" s="1133"/>
      <c r="I76" s="1133"/>
      <c r="J76" s="1133"/>
      <c r="K76" s="1133"/>
      <c r="L76" s="1133"/>
      <c r="M76" s="1133"/>
      <c r="N76" s="1133"/>
      <c r="O76" s="1133"/>
      <c r="P76" s="1674">
        <v>8.2000000000000003E-2</v>
      </c>
      <c r="Q76" s="1674"/>
      <c r="R76" s="1674"/>
      <c r="S76" s="1674"/>
      <c r="T76" s="1841" t="s">
        <v>26</v>
      </c>
      <c r="U76" s="1841"/>
      <c r="V76" s="1841"/>
      <c r="W76" s="1841"/>
      <c r="X76" s="1715" t="s">
        <v>7163</v>
      </c>
      <c r="Y76" s="1715"/>
      <c r="Z76" s="1715"/>
      <c r="AA76" s="1715"/>
      <c r="AB76" s="1715"/>
      <c r="AC76" s="1715"/>
      <c r="AD76" s="1715"/>
      <c r="AE76" s="1715"/>
      <c r="AF76" s="1715"/>
      <c r="AI76" s="683"/>
    </row>
    <row r="77" spans="1:55" s="1" customFormat="1" ht="37.5" customHeight="1" x14ac:dyDescent="0.25">
      <c r="A77" s="2521" t="s">
        <v>3086</v>
      </c>
      <c r="B77" s="1134"/>
      <c r="C77" s="1134"/>
      <c r="D77" s="1134"/>
      <c r="E77" s="1133" t="s">
        <v>3087</v>
      </c>
      <c r="F77" s="1133"/>
      <c r="G77" s="1133"/>
      <c r="H77" s="1133"/>
      <c r="I77" s="1133"/>
      <c r="J77" s="1133"/>
      <c r="K77" s="1133"/>
      <c r="L77" s="1133"/>
      <c r="M77" s="1133"/>
      <c r="N77" s="1133"/>
      <c r="O77" s="1133"/>
      <c r="P77" s="1675">
        <v>1292</v>
      </c>
      <c r="Q77" s="1675"/>
      <c r="R77" s="1675"/>
      <c r="S77" s="1675"/>
      <c r="T77" s="1841" t="s">
        <v>1818</v>
      </c>
      <c r="U77" s="1841"/>
      <c r="V77" s="1841"/>
      <c r="W77" s="1841"/>
      <c r="X77" s="1715" t="s">
        <v>7163</v>
      </c>
      <c r="Y77" s="1715"/>
      <c r="Z77" s="1715"/>
      <c r="AA77" s="1715"/>
      <c r="AB77" s="1715"/>
      <c r="AC77" s="1715"/>
      <c r="AD77" s="1715"/>
      <c r="AE77" s="1715"/>
      <c r="AF77" s="1715"/>
      <c r="AI77" s="683"/>
    </row>
    <row r="78" spans="1:55" s="1" customFormat="1" ht="60.75" customHeight="1" x14ac:dyDescent="0.25">
      <c r="A78" s="1134" t="s">
        <v>42</v>
      </c>
      <c r="B78" s="1134" t="s">
        <v>42</v>
      </c>
      <c r="C78" s="1134" t="s">
        <v>42</v>
      </c>
      <c r="D78" s="1134" t="s">
        <v>42</v>
      </c>
      <c r="E78" s="1133" t="s">
        <v>865</v>
      </c>
      <c r="F78" s="1133" t="s">
        <v>548</v>
      </c>
      <c r="G78" s="1133" t="s">
        <v>548</v>
      </c>
      <c r="H78" s="1133" t="s">
        <v>548</v>
      </c>
      <c r="I78" s="1133" t="s">
        <v>548</v>
      </c>
      <c r="J78" s="1133" t="s">
        <v>548</v>
      </c>
      <c r="K78" s="1133" t="s">
        <v>548</v>
      </c>
      <c r="L78" s="1133" t="s">
        <v>548</v>
      </c>
      <c r="M78" s="1133" t="s">
        <v>548</v>
      </c>
      <c r="N78" s="1133" t="s">
        <v>548</v>
      </c>
      <c r="O78" s="1133" t="s">
        <v>548</v>
      </c>
      <c r="P78" s="1674">
        <v>0.93</v>
      </c>
      <c r="Q78" s="1674">
        <v>0.93</v>
      </c>
      <c r="R78" s="1674">
        <v>0.93</v>
      </c>
      <c r="S78" s="1674">
        <v>0.93</v>
      </c>
      <c r="T78" s="1841" t="s">
        <v>28</v>
      </c>
      <c r="U78" s="1841"/>
      <c r="V78" s="1841"/>
      <c r="W78" s="1841"/>
      <c r="X78" s="1715" t="s">
        <v>7164</v>
      </c>
      <c r="Y78" s="1715"/>
      <c r="Z78" s="1715"/>
      <c r="AA78" s="1715"/>
      <c r="AB78" s="1715"/>
      <c r="AC78" s="1715"/>
      <c r="AD78" s="1715"/>
      <c r="AE78" s="1715"/>
      <c r="AF78" s="1715"/>
      <c r="AI78" s="683"/>
    </row>
    <row r="79" spans="1:55" s="1" customFormat="1" ht="61.5" customHeight="1" x14ac:dyDescent="0.25">
      <c r="A79" s="1134" t="s">
        <v>257</v>
      </c>
      <c r="B79" s="1134" t="s">
        <v>216</v>
      </c>
      <c r="C79" s="1134" t="s">
        <v>216</v>
      </c>
      <c r="D79" s="1134" t="s">
        <v>216</v>
      </c>
      <c r="E79" s="1133" t="s">
        <v>1772</v>
      </c>
      <c r="F79" s="1133" t="s">
        <v>643</v>
      </c>
      <c r="G79" s="1133" t="s">
        <v>643</v>
      </c>
      <c r="H79" s="1133" t="s">
        <v>643</v>
      </c>
      <c r="I79" s="1133" t="s">
        <v>643</v>
      </c>
      <c r="J79" s="1133" t="s">
        <v>643</v>
      </c>
      <c r="K79" s="1133" t="s">
        <v>643</v>
      </c>
      <c r="L79" s="1133" t="s">
        <v>643</v>
      </c>
      <c r="M79" s="1133" t="s">
        <v>643</v>
      </c>
      <c r="N79" s="1133" t="s">
        <v>643</v>
      </c>
      <c r="O79" s="1133" t="s">
        <v>643</v>
      </c>
      <c r="P79" s="1675" t="s">
        <v>5331</v>
      </c>
      <c r="Q79" s="1675">
        <v>8760</v>
      </c>
      <c r="R79" s="1675">
        <v>8760</v>
      </c>
      <c r="S79" s="1675">
        <v>8760</v>
      </c>
      <c r="T79" s="1841" t="s">
        <v>45</v>
      </c>
      <c r="U79" s="1841"/>
      <c r="V79" s="1841"/>
      <c r="W79" s="1841"/>
      <c r="X79" s="1715" t="s">
        <v>2982</v>
      </c>
      <c r="Y79" s="1715"/>
      <c r="Z79" s="1715"/>
      <c r="AA79" s="1715"/>
      <c r="AB79" s="1715"/>
      <c r="AC79" s="1715"/>
      <c r="AD79" s="1715"/>
      <c r="AE79" s="1715"/>
      <c r="AF79" s="1715"/>
      <c r="AI79" s="683"/>
    </row>
    <row r="80" spans="1:55" s="1" customFormat="1" ht="93.75" customHeight="1" x14ac:dyDescent="0.25">
      <c r="A80" s="1134" t="s">
        <v>545</v>
      </c>
      <c r="B80" s="1134" t="s">
        <v>545</v>
      </c>
      <c r="C80" s="1134" t="s">
        <v>545</v>
      </c>
      <c r="D80" s="1134" t="s">
        <v>545</v>
      </c>
      <c r="E80" s="1133" t="s">
        <v>1703</v>
      </c>
      <c r="F80" s="1133" t="s">
        <v>546</v>
      </c>
      <c r="G80" s="1133" t="s">
        <v>546</v>
      </c>
      <c r="H80" s="1133" t="s">
        <v>546</v>
      </c>
      <c r="I80" s="1133" t="s">
        <v>546</v>
      </c>
      <c r="J80" s="1133" t="s">
        <v>546</v>
      </c>
      <c r="K80" s="1133" t="s">
        <v>546</v>
      </c>
      <c r="L80" s="1133" t="s">
        <v>546</v>
      </c>
      <c r="M80" s="1133" t="s">
        <v>546</v>
      </c>
      <c r="N80" s="1133" t="s">
        <v>546</v>
      </c>
      <c r="O80" s="1133" t="s">
        <v>546</v>
      </c>
      <c r="P80" s="3697" t="s">
        <v>5333</v>
      </c>
      <c r="Q80" s="3697"/>
      <c r="R80" s="3697"/>
      <c r="S80" s="3697"/>
      <c r="T80" s="1841" t="s">
        <v>28</v>
      </c>
      <c r="U80" s="1841"/>
      <c r="V80" s="1841"/>
      <c r="W80" s="1841"/>
      <c r="X80" s="1715" t="s">
        <v>2983</v>
      </c>
      <c r="Y80" s="1715"/>
      <c r="Z80" s="1715"/>
      <c r="AA80" s="1715"/>
      <c r="AB80" s="1715"/>
      <c r="AC80" s="1715"/>
      <c r="AD80" s="1715"/>
      <c r="AE80" s="1715"/>
      <c r="AF80" s="1715"/>
      <c r="AI80" s="683"/>
    </row>
    <row r="81" spans="1:75" s="1" customFormat="1" ht="30" customHeight="1" x14ac:dyDescent="0.25">
      <c r="A81" s="1485" t="s">
        <v>2052</v>
      </c>
      <c r="B81" s="1486" t="s">
        <v>34</v>
      </c>
      <c r="C81" s="1486" t="s">
        <v>34</v>
      </c>
      <c r="D81" s="1487" t="s">
        <v>34</v>
      </c>
      <c r="E81" s="1133" t="s">
        <v>2217</v>
      </c>
      <c r="F81" s="1133" t="s">
        <v>219</v>
      </c>
      <c r="G81" s="1133" t="s">
        <v>219</v>
      </c>
      <c r="H81" s="1133" t="s">
        <v>219</v>
      </c>
      <c r="I81" s="1133" t="s">
        <v>219</v>
      </c>
      <c r="J81" s="1133" t="s">
        <v>219</v>
      </c>
      <c r="K81" s="1133" t="s">
        <v>219</v>
      </c>
      <c r="L81" s="1133" t="s">
        <v>219</v>
      </c>
      <c r="M81" s="1133" t="s">
        <v>219</v>
      </c>
      <c r="N81" s="1133" t="s">
        <v>219</v>
      </c>
      <c r="O81" s="1133" t="s">
        <v>219</v>
      </c>
      <c r="P81" s="1674">
        <f>'Master EUL'!X12</f>
        <v>18</v>
      </c>
      <c r="Q81" s="1674" t="s">
        <v>448</v>
      </c>
      <c r="R81" s="1674" t="s">
        <v>448</v>
      </c>
      <c r="S81" s="1674" t="s">
        <v>448</v>
      </c>
      <c r="T81" s="1841" t="s">
        <v>46</v>
      </c>
      <c r="U81" s="1841"/>
      <c r="V81" s="1841"/>
      <c r="W81" s="1841"/>
      <c r="X81" s="1715" t="s">
        <v>1757</v>
      </c>
      <c r="Y81" s="1715"/>
      <c r="Z81" s="1715"/>
      <c r="AA81" s="1715"/>
      <c r="AB81" s="1715"/>
      <c r="AC81" s="1715"/>
      <c r="AD81" s="1715"/>
      <c r="AE81" s="1715"/>
      <c r="AF81" s="1715"/>
    </row>
    <row r="82" spans="1:75" s="1" customFormat="1" ht="30.75" customHeight="1" x14ac:dyDescent="0.25">
      <c r="A82" s="1686" t="s">
        <v>7165</v>
      </c>
      <c r="B82" s="1686"/>
      <c r="C82" s="1686"/>
      <c r="D82" s="1686"/>
      <c r="E82" s="1686"/>
      <c r="F82" s="1686"/>
      <c r="G82" s="1686"/>
      <c r="H82" s="1686"/>
      <c r="I82" s="1686"/>
      <c r="J82" s="1686"/>
      <c r="K82" s="1686"/>
      <c r="L82" s="1686"/>
      <c r="M82" s="1686"/>
      <c r="N82" s="1686"/>
      <c r="O82" s="1686"/>
      <c r="P82" s="1686"/>
      <c r="Q82" s="1686"/>
      <c r="R82" s="1686"/>
      <c r="S82" s="1686"/>
      <c r="T82" s="1686"/>
      <c r="U82" s="1686"/>
      <c r="V82" s="1686"/>
      <c r="W82" s="1686"/>
      <c r="X82" s="1686"/>
      <c r="Y82" s="1686"/>
      <c r="Z82" s="1686"/>
      <c r="AA82" s="1686"/>
      <c r="AB82" s="1686"/>
      <c r="AC82" s="1686"/>
      <c r="AD82" s="1686"/>
      <c r="AE82" s="1686"/>
      <c r="AF82" s="1686"/>
      <c r="AI82" s="3723"/>
      <c r="AJ82" s="3723"/>
      <c r="AK82" s="3723"/>
      <c r="AL82" s="3723"/>
      <c r="AM82" s="3723"/>
      <c r="AN82" s="3723"/>
      <c r="AO82" s="3723"/>
      <c r="AP82" s="3723"/>
      <c r="AQ82" s="3723"/>
      <c r="AR82" s="3723"/>
      <c r="AS82" s="3723"/>
      <c r="AT82" s="3723"/>
      <c r="AU82" s="3723"/>
      <c r="AV82" s="3723"/>
      <c r="AW82" s="3723"/>
      <c r="AX82" s="3723"/>
      <c r="AY82" s="3723"/>
      <c r="AZ82" s="3723"/>
      <c r="BA82" s="3723"/>
      <c r="BB82" s="3723"/>
      <c r="BC82" s="3723"/>
      <c r="BD82" s="3723"/>
      <c r="BE82" s="3723"/>
      <c r="BF82" s="3723"/>
      <c r="BG82" s="3723"/>
      <c r="BH82" s="3723"/>
    </row>
    <row r="83" spans="1:75" s="1" customFormat="1" ht="30.75" customHeight="1" x14ac:dyDescent="0.25">
      <c r="A83" s="1686" t="s">
        <v>7166</v>
      </c>
      <c r="B83" s="1168"/>
      <c r="C83" s="1168"/>
      <c r="D83" s="1168"/>
      <c r="E83" s="1168"/>
      <c r="F83" s="1168"/>
      <c r="G83" s="1168"/>
      <c r="H83" s="1168"/>
      <c r="I83" s="1168"/>
      <c r="J83" s="1168"/>
      <c r="K83" s="1168"/>
      <c r="L83" s="1168"/>
      <c r="M83" s="1168"/>
      <c r="N83" s="1168"/>
      <c r="O83" s="1168"/>
      <c r="P83" s="1168"/>
      <c r="Q83" s="1168"/>
      <c r="R83" s="1168"/>
      <c r="S83" s="1168"/>
      <c r="T83" s="1168"/>
      <c r="U83" s="1168"/>
      <c r="V83" s="1168"/>
      <c r="W83" s="1168"/>
      <c r="X83" s="1168"/>
      <c r="Y83" s="1168"/>
      <c r="Z83" s="1168"/>
      <c r="AA83" s="1168"/>
      <c r="AB83" s="1168"/>
      <c r="AC83" s="1168"/>
      <c r="AD83" s="1168"/>
      <c r="AE83" s="1168"/>
      <c r="AF83" s="1168"/>
      <c r="AI83" s="683"/>
      <c r="AJ83" s="884"/>
      <c r="AK83" s="884"/>
      <c r="AL83" s="884"/>
      <c r="AM83" s="884"/>
      <c r="AN83" s="884"/>
      <c r="AO83" s="884"/>
      <c r="AP83" s="884"/>
      <c r="AQ83" s="884"/>
      <c r="AR83" s="884"/>
      <c r="AS83" s="884"/>
      <c r="AT83" s="884"/>
      <c r="AU83" s="884"/>
      <c r="AV83" s="884"/>
      <c r="AW83" s="884"/>
      <c r="AX83" s="884"/>
      <c r="AY83" s="884"/>
      <c r="AZ83" s="884"/>
      <c r="BA83" s="884"/>
      <c r="BB83" s="884"/>
      <c r="BC83" s="884"/>
      <c r="BD83" s="884"/>
      <c r="BE83" s="884"/>
      <c r="BF83" s="884"/>
      <c r="BG83" s="884"/>
      <c r="BH83" s="884"/>
    </row>
    <row r="84" spans="1:75" s="1" customFormat="1" ht="30.75" customHeight="1" x14ac:dyDescent="0.25">
      <c r="A84" s="1686" t="s">
        <v>7167</v>
      </c>
      <c r="B84" s="1168"/>
      <c r="C84" s="1168"/>
      <c r="D84" s="1168"/>
      <c r="E84" s="1168"/>
      <c r="F84" s="1168"/>
      <c r="G84" s="1168"/>
      <c r="H84" s="1168"/>
      <c r="I84" s="1168"/>
      <c r="J84" s="1168"/>
      <c r="K84" s="1168"/>
      <c r="L84" s="1168"/>
      <c r="M84" s="1168"/>
      <c r="N84" s="1168"/>
      <c r="O84" s="1168"/>
      <c r="P84" s="1168"/>
      <c r="Q84" s="1168"/>
      <c r="R84" s="1168"/>
      <c r="S84" s="1168"/>
      <c r="T84" s="1168"/>
      <c r="U84" s="1168"/>
      <c r="V84" s="1168"/>
      <c r="W84" s="1168"/>
      <c r="X84" s="1168"/>
      <c r="Y84" s="1168"/>
      <c r="Z84" s="1168"/>
      <c r="AA84" s="1168"/>
      <c r="AB84" s="1168"/>
      <c r="AC84" s="1168"/>
      <c r="AD84" s="1168"/>
      <c r="AE84" s="1168"/>
      <c r="AF84" s="1168"/>
      <c r="AI84" s="683"/>
      <c r="AJ84" s="884"/>
      <c r="AK84" s="884"/>
      <c r="AL84" s="884"/>
      <c r="AM84" s="884"/>
      <c r="AN84" s="884"/>
      <c r="AO84" s="884"/>
      <c r="AP84" s="884"/>
      <c r="AQ84" s="884"/>
      <c r="AR84" s="884"/>
      <c r="AS84" s="884"/>
      <c r="AT84" s="884"/>
      <c r="AU84" s="884"/>
      <c r="AV84" s="884"/>
      <c r="AW84" s="884"/>
      <c r="AX84" s="884"/>
      <c r="AY84" s="884"/>
      <c r="AZ84" s="884"/>
      <c r="BA84" s="884"/>
      <c r="BB84" s="884"/>
      <c r="BC84" s="884"/>
      <c r="BD84" s="884"/>
      <c r="BE84" s="884"/>
      <c r="BF84" s="884"/>
      <c r="BG84" s="884"/>
      <c r="BH84" s="884"/>
    </row>
    <row r="85" spans="1:75" s="1" customFormat="1" ht="30.75" customHeight="1" x14ac:dyDescent="0.25">
      <c r="A85" s="1686" t="s">
        <v>7168</v>
      </c>
      <c r="B85" s="1686"/>
      <c r="C85" s="1686"/>
      <c r="D85" s="1686"/>
      <c r="E85" s="1686"/>
      <c r="F85" s="1686"/>
      <c r="G85" s="1686"/>
      <c r="H85" s="1686"/>
      <c r="I85" s="1686"/>
      <c r="J85" s="1686"/>
      <c r="K85" s="1686"/>
      <c r="L85" s="1686"/>
      <c r="M85" s="1686"/>
      <c r="N85" s="1686"/>
      <c r="O85" s="1686"/>
      <c r="P85" s="1686"/>
      <c r="Q85" s="1686"/>
      <c r="R85" s="1686"/>
      <c r="S85" s="1686"/>
      <c r="T85" s="1686"/>
      <c r="U85" s="1686"/>
      <c r="V85" s="1686"/>
      <c r="W85" s="1686"/>
      <c r="X85" s="1686"/>
      <c r="Y85" s="1686"/>
      <c r="Z85" s="1686"/>
      <c r="AA85" s="1686"/>
      <c r="AB85" s="1686"/>
      <c r="AC85" s="1686"/>
      <c r="AD85" s="1686"/>
      <c r="AE85" s="1686"/>
      <c r="AF85" s="1686"/>
      <c r="AI85" s="683"/>
    </row>
    <row r="86" spans="1:75" s="1" customFormat="1" ht="33" customHeight="1" x14ac:dyDescent="0.25">
      <c r="A86" s="1686" t="s">
        <v>7169</v>
      </c>
      <c r="B86" s="1686"/>
      <c r="C86" s="1686"/>
      <c r="D86" s="1686"/>
      <c r="E86" s="1686"/>
      <c r="F86" s="1686"/>
      <c r="G86" s="1686"/>
      <c r="H86" s="1686"/>
      <c r="I86" s="1686"/>
      <c r="J86" s="1686"/>
      <c r="K86" s="1686"/>
      <c r="L86" s="1686"/>
      <c r="M86" s="1686"/>
      <c r="N86" s="1686"/>
      <c r="O86" s="1686"/>
      <c r="P86" s="1686"/>
      <c r="Q86" s="1686"/>
      <c r="R86" s="1686"/>
      <c r="S86" s="1686"/>
      <c r="T86" s="1686"/>
      <c r="U86" s="1686"/>
      <c r="V86" s="1686"/>
      <c r="W86" s="1686"/>
      <c r="X86" s="1686"/>
      <c r="Y86" s="1686"/>
      <c r="Z86" s="1686"/>
      <c r="AA86" s="1686"/>
      <c r="AB86" s="1686"/>
      <c r="AC86" s="1686"/>
      <c r="AD86" s="1686"/>
      <c r="AE86" s="1686"/>
      <c r="AF86" s="1686"/>
      <c r="AI86" s="683"/>
      <c r="AR86" s="463"/>
      <c r="AS86" s="463"/>
      <c r="AT86" s="463"/>
      <c r="AU86" s="463"/>
      <c r="AV86" s="463"/>
      <c r="AW86" s="463"/>
      <c r="AX86" s="463"/>
      <c r="AY86" s="463"/>
      <c r="AZ86" s="463"/>
      <c r="BA86" s="463"/>
      <c r="BB86" s="463"/>
      <c r="BC86" s="463"/>
      <c r="BD86" s="463"/>
      <c r="BE86" s="463"/>
      <c r="BF86" s="463"/>
      <c r="BG86" s="463"/>
      <c r="BH86" s="463"/>
      <c r="BI86" s="463"/>
      <c r="BJ86" s="463"/>
      <c r="BK86" s="463"/>
      <c r="BL86" s="463"/>
      <c r="BM86" s="463"/>
      <c r="BN86" s="463"/>
      <c r="BO86" s="463"/>
      <c r="BP86" s="463"/>
      <c r="BQ86" s="463"/>
      <c r="BR86" s="463"/>
      <c r="BS86" s="463"/>
      <c r="BT86" s="463"/>
      <c r="BU86" s="463"/>
      <c r="BV86" s="463"/>
      <c r="BW86" s="463"/>
    </row>
    <row r="87" spans="1:75" s="1" customFormat="1" ht="95.25" customHeight="1" x14ac:dyDescent="0.25">
      <c r="A87" s="1686" t="s">
        <v>7170</v>
      </c>
      <c r="B87" s="1686"/>
      <c r="C87" s="1686"/>
      <c r="D87" s="1686"/>
      <c r="E87" s="1686"/>
      <c r="F87" s="1686"/>
      <c r="G87" s="1686"/>
      <c r="H87" s="1686"/>
      <c r="I87" s="1686"/>
      <c r="J87" s="1686"/>
      <c r="K87" s="1686"/>
      <c r="L87" s="1686"/>
      <c r="M87" s="1686"/>
      <c r="N87" s="1686"/>
      <c r="O87" s="1686"/>
      <c r="P87" s="1686"/>
      <c r="Q87" s="1686"/>
      <c r="R87" s="1686"/>
      <c r="S87" s="1686"/>
      <c r="T87" s="1686"/>
      <c r="U87" s="1686"/>
      <c r="V87" s="1686"/>
      <c r="W87" s="1686"/>
      <c r="X87" s="1686"/>
      <c r="Y87" s="1686"/>
      <c r="Z87" s="1686"/>
      <c r="AA87" s="1686"/>
      <c r="AB87" s="1686"/>
      <c r="AC87" s="1686"/>
      <c r="AD87" s="1686"/>
      <c r="AE87" s="1686"/>
      <c r="AF87" s="1686"/>
      <c r="AI87" s="683"/>
      <c r="AR87" s="463"/>
      <c r="AS87" s="463"/>
      <c r="AT87" s="463"/>
      <c r="AU87" s="463"/>
      <c r="AV87" s="463"/>
      <c r="AW87" s="463"/>
      <c r="AX87" s="463"/>
      <c r="AY87" s="463"/>
      <c r="AZ87" s="463"/>
      <c r="BA87" s="463"/>
      <c r="BB87" s="463"/>
      <c r="BC87" s="463"/>
      <c r="BD87" s="463"/>
      <c r="BE87" s="463"/>
      <c r="BF87" s="463"/>
      <c r="BG87" s="463"/>
      <c r="BH87" s="463"/>
      <c r="BI87" s="463"/>
      <c r="BJ87" s="463"/>
      <c r="BK87" s="463"/>
      <c r="BL87" s="463"/>
      <c r="BM87" s="463"/>
      <c r="BN87" s="463"/>
      <c r="BO87" s="463"/>
      <c r="BP87" s="463"/>
      <c r="BQ87" s="463"/>
      <c r="BR87" s="463"/>
      <c r="BS87" s="463"/>
      <c r="BT87" s="463"/>
      <c r="BU87" s="463"/>
      <c r="BV87" s="463"/>
      <c r="BW87" s="463"/>
    </row>
    <row r="88" spans="1:75" s="1" customFormat="1" ht="60" customHeight="1" x14ac:dyDescent="0.25">
      <c r="A88" s="1686" t="s">
        <v>7171</v>
      </c>
      <c r="B88" s="1686"/>
      <c r="C88" s="1686"/>
      <c r="D88" s="1686"/>
      <c r="E88" s="1686"/>
      <c r="F88" s="1686"/>
      <c r="G88" s="1686"/>
      <c r="H88" s="1686"/>
      <c r="I88" s="1686"/>
      <c r="J88" s="1686"/>
      <c r="K88" s="1686"/>
      <c r="L88" s="1686"/>
      <c r="M88" s="1686"/>
      <c r="N88" s="1686"/>
      <c r="O88" s="1686"/>
      <c r="P88" s="1686"/>
      <c r="Q88" s="1686"/>
      <c r="R88" s="1686"/>
      <c r="S88" s="1686"/>
      <c r="T88" s="1686"/>
      <c r="U88" s="1686"/>
      <c r="V88" s="1686"/>
      <c r="W88" s="1686"/>
      <c r="X88" s="1686"/>
      <c r="Y88" s="1686"/>
      <c r="Z88" s="1686"/>
      <c r="AA88" s="1686"/>
      <c r="AB88" s="1686"/>
      <c r="AC88" s="1686"/>
      <c r="AD88" s="1686"/>
      <c r="AE88" s="1686"/>
      <c r="AF88" s="1686"/>
      <c r="AI88" s="683"/>
    </row>
    <row r="89" spans="1:75" s="1" customFormat="1" ht="139.5" customHeight="1" x14ac:dyDescent="0.25">
      <c r="A89" s="1686" t="s">
        <v>2297</v>
      </c>
      <c r="B89" s="1686"/>
      <c r="C89" s="1686"/>
      <c r="D89" s="1686"/>
      <c r="E89" s="1686"/>
      <c r="F89" s="1686"/>
      <c r="G89" s="1686"/>
      <c r="H89" s="1686"/>
      <c r="I89" s="1686"/>
      <c r="J89" s="1686"/>
      <c r="K89" s="1686"/>
      <c r="L89" s="1686"/>
      <c r="M89" s="1686"/>
      <c r="N89" s="1686"/>
      <c r="O89" s="1686"/>
      <c r="P89" s="1686"/>
      <c r="Q89" s="1686"/>
      <c r="R89" s="1686"/>
      <c r="S89" s="1686"/>
      <c r="T89" s="1686"/>
      <c r="U89" s="1686"/>
      <c r="V89" s="1686"/>
      <c r="W89" s="1686"/>
      <c r="X89" s="1686"/>
      <c r="Y89" s="1686"/>
      <c r="Z89" s="1686"/>
      <c r="AA89" s="1686"/>
      <c r="AB89" s="1686"/>
      <c r="AC89" s="1686"/>
      <c r="AD89" s="1686"/>
      <c r="AE89" s="1686"/>
      <c r="AF89" s="1686"/>
    </row>
    <row r="90" spans="1:75" s="1" customFormat="1" ht="18" customHeight="1" x14ac:dyDescent="0.25">
      <c r="A90" s="870"/>
      <c r="B90" s="870"/>
      <c r="C90" s="870"/>
      <c r="D90" s="870"/>
      <c r="E90" s="870"/>
      <c r="F90" s="870"/>
      <c r="G90" s="870"/>
      <c r="H90" s="870"/>
      <c r="I90" s="870"/>
      <c r="J90" s="870"/>
      <c r="K90" s="870"/>
      <c r="L90" s="870"/>
      <c r="M90" s="870"/>
      <c r="N90" s="870"/>
      <c r="O90" s="870"/>
      <c r="P90" s="870"/>
      <c r="Q90" s="870"/>
      <c r="R90" s="870"/>
      <c r="S90" s="870"/>
      <c r="T90" s="870"/>
      <c r="U90" s="870"/>
      <c r="V90" s="870"/>
      <c r="W90" s="870"/>
      <c r="X90" s="870"/>
      <c r="Y90" s="870"/>
      <c r="Z90" s="870"/>
      <c r="AA90" s="870"/>
      <c r="AB90" s="870"/>
      <c r="AC90" s="870"/>
      <c r="AD90" s="870"/>
      <c r="AE90" s="870"/>
      <c r="AF90" s="870"/>
    </row>
    <row r="91" spans="1:75" s="1" customFormat="1" ht="18" customHeight="1" x14ac:dyDescent="0.25">
      <c r="A91" s="190" t="s">
        <v>7140</v>
      </c>
      <c r="B91" s="190"/>
      <c r="C91" s="192"/>
      <c r="D91" s="192"/>
      <c r="E91" s="460"/>
      <c r="F91" s="460"/>
      <c r="G91" s="460"/>
      <c r="H91" s="460"/>
      <c r="I91" s="460"/>
      <c r="J91" s="460"/>
      <c r="K91" s="460"/>
      <c r="L91" s="870"/>
      <c r="M91" s="870"/>
      <c r="N91" s="870"/>
      <c r="O91" s="870"/>
      <c r="P91" s="870"/>
      <c r="Q91" s="870"/>
      <c r="R91" s="870"/>
      <c r="S91" s="870"/>
      <c r="T91" s="870"/>
      <c r="U91" s="870"/>
      <c r="V91" s="870"/>
      <c r="W91" s="870"/>
      <c r="X91" s="870"/>
      <c r="Y91" s="870"/>
      <c r="Z91" s="870"/>
      <c r="AA91" s="870"/>
      <c r="AB91" s="870"/>
      <c r="AC91" s="870"/>
      <c r="AD91" s="870"/>
      <c r="AE91" s="870"/>
      <c r="AF91" s="870"/>
      <c r="AI91" s="683"/>
    </row>
    <row r="92" spans="1:75" s="1" customFormat="1" ht="18" customHeight="1" x14ac:dyDescent="0.25">
      <c r="A92" s="1735" t="s">
        <v>1725</v>
      </c>
      <c r="B92" s="1735"/>
      <c r="C92" s="1735"/>
      <c r="D92" s="1735"/>
      <c r="E92" s="1735"/>
      <c r="F92" s="1735"/>
      <c r="G92" s="1735"/>
      <c r="H92" s="3708" t="s">
        <v>7172</v>
      </c>
      <c r="I92" s="3708"/>
      <c r="J92" s="3708"/>
      <c r="K92" s="3708"/>
      <c r="L92" s="3708"/>
      <c r="M92" s="3708"/>
      <c r="N92" s="3708"/>
      <c r="O92" s="3708"/>
      <c r="P92" s="3708"/>
      <c r="Q92" s="3708"/>
      <c r="R92" s="3708"/>
      <c r="S92" s="3708"/>
      <c r="T92" s="1057"/>
      <c r="U92" s="870"/>
      <c r="V92" s="870"/>
      <c r="W92" s="870"/>
      <c r="X92" s="870"/>
      <c r="Y92" s="870"/>
      <c r="Z92" s="870"/>
      <c r="AA92" s="870"/>
      <c r="AB92" s="870"/>
      <c r="AC92" s="691"/>
      <c r="AD92" s="870"/>
      <c r="AE92" s="870"/>
      <c r="AF92" s="870"/>
      <c r="AI92" s="656"/>
    </row>
    <row r="93" spans="1:75" s="1" customFormat="1" ht="15" customHeight="1" x14ac:dyDescent="0.25">
      <c r="A93" s="3709" t="s">
        <v>7141</v>
      </c>
      <c r="B93" s="1841"/>
      <c r="C93" s="1841"/>
      <c r="D93" s="1841"/>
      <c r="E93" s="1841"/>
      <c r="F93" s="1841"/>
      <c r="G93" s="1841"/>
      <c r="H93" s="2474">
        <v>35</v>
      </c>
      <c r="I93" s="2474"/>
      <c r="J93" s="2474"/>
      <c r="K93" s="2474"/>
      <c r="L93" s="2474"/>
      <c r="M93" s="2474"/>
      <c r="N93" s="2474"/>
      <c r="O93" s="2474"/>
      <c r="P93" s="2474"/>
      <c r="Q93" s="2474"/>
      <c r="R93" s="2474"/>
      <c r="S93" s="2474"/>
      <c r="T93" s="1057"/>
      <c r="U93" s="870"/>
      <c r="V93" s="679"/>
      <c r="W93" s="262"/>
      <c r="X93" s="1050"/>
      <c r="Y93" s="691"/>
      <c r="Z93" s="870"/>
      <c r="AA93" s="870"/>
      <c r="AB93" s="870"/>
      <c r="AC93" s="691"/>
      <c r="AD93" s="870"/>
      <c r="AE93" s="870"/>
      <c r="AF93" s="870"/>
      <c r="AJ93" s="656"/>
      <c r="AK93" s="1053"/>
    </row>
    <row r="94" spans="1:75" s="1" customFormat="1" ht="16.5" customHeight="1" x14ac:dyDescent="0.25">
      <c r="A94" s="3709" t="s">
        <v>7173</v>
      </c>
      <c r="B94" s="1841"/>
      <c r="C94" s="1841"/>
      <c r="D94" s="1841"/>
      <c r="E94" s="1841"/>
      <c r="F94" s="1841"/>
      <c r="G94" s="1841"/>
      <c r="H94" s="2474">
        <v>40</v>
      </c>
      <c r="I94" s="2474"/>
      <c r="J94" s="2474"/>
      <c r="K94" s="2474"/>
      <c r="L94" s="2474"/>
      <c r="M94" s="2474"/>
      <c r="N94" s="2474"/>
      <c r="O94" s="2474"/>
      <c r="P94" s="2474"/>
      <c r="Q94" s="2474"/>
      <c r="R94" s="2474"/>
      <c r="S94" s="2474"/>
      <c r="T94" s="870"/>
      <c r="U94" s="870"/>
      <c r="V94" s="1051"/>
      <c r="W94" s="870"/>
      <c r="X94" s="870"/>
      <c r="Y94" s="870"/>
      <c r="Z94" s="870"/>
      <c r="AA94" s="870"/>
      <c r="AB94" s="870"/>
      <c r="AC94" s="870"/>
      <c r="AD94" s="870"/>
      <c r="AE94" s="870"/>
      <c r="AF94" s="870"/>
      <c r="AJ94" s="656"/>
    </row>
    <row r="95" spans="1:75" s="1" customFormat="1" ht="13.5" customHeight="1" x14ac:dyDescent="0.25">
      <c r="A95" s="1865" t="s">
        <v>7142</v>
      </c>
      <c r="B95" s="1674"/>
      <c r="C95" s="1674"/>
      <c r="D95" s="1674"/>
      <c r="E95" s="1674"/>
      <c r="F95" s="1674"/>
      <c r="G95" s="1674"/>
      <c r="H95" s="2474">
        <v>50</v>
      </c>
      <c r="I95" s="2474"/>
      <c r="J95" s="2474"/>
      <c r="K95" s="2474"/>
      <c r="L95" s="2474"/>
      <c r="M95" s="2474"/>
      <c r="N95" s="2474"/>
      <c r="O95" s="2474"/>
      <c r="P95" s="2474"/>
      <c r="Q95" s="2474"/>
      <c r="R95" s="2474"/>
      <c r="S95" s="2474"/>
      <c r="T95" s="870"/>
      <c r="U95" s="870"/>
      <c r="V95" s="1051"/>
      <c r="W95" s="870"/>
      <c r="X95" s="870"/>
      <c r="Y95" s="870"/>
      <c r="Z95" s="870"/>
      <c r="AA95" s="870"/>
      <c r="AB95" s="870"/>
      <c r="AC95" s="870"/>
      <c r="AD95" s="870"/>
      <c r="AE95" s="870"/>
      <c r="AF95" s="870"/>
    </row>
    <row r="96" spans="1:75" s="1" customFormat="1" ht="13.5" customHeight="1" x14ac:dyDescent="0.25">
      <c r="A96" s="1865" t="s">
        <v>7143</v>
      </c>
      <c r="B96" s="1674"/>
      <c r="C96" s="1674"/>
      <c r="D96" s="1674"/>
      <c r="E96" s="1674"/>
      <c r="F96" s="1674"/>
      <c r="G96" s="1674"/>
      <c r="H96" s="2474">
        <v>55</v>
      </c>
      <c r="I96" s="2474"/>
      <c r="J96" s="2474"/>
      <c r="K96" s="2474"/>
      <c r="L96" s="2474"/>
      <c r="M96" s="2474"/>
      <c r="N96" s="2474"/>
      <c r="O96" s="2474"/>
      <c r="P96" s="2474"/>
      <c r="Q96" s="2474"/>
      <c r="R96" s="2474"/>
      <c r="S96" s="2474"/>
      <c r="T96" s="870"/>
      <c r="U96" s="870"/>
      <c r="V96" s="1051"/>
      <c r="W96" s="870"/>
      <c r="X96" s="870"/>
      <c r="Y96" s="870"/>
      <c r="Z96" s="870"/>
      <c r="AA96" s="870"/>
      <c r="AB96" s="870"/>
      <c r="AC96" s="870"/>
      <c r="AD96" s="870"/>
      <c r="AE96" s="870"/>
      <c r="AF96" s="870"/>
    </row>
    <row r="97" spans="1:35" s="1" customFormat="1" ht="13.5" customHeight="1" x14ac:dyDescent="0.25">
      <c r="A97" s="1865" t="s">
        <v>7144</v>
      </c>
      <c r="B97" s="1674"/>
      <c r="C97" s="1674"/>
      <c r="D97" s="1674"/>
      <c r="E97" s="1674"/>
      <c r="F97" s="1674"/>
      <c r="G97" s="1674"/>
      <c r="H97" s="2474">
        <v>60</v>
      </c>
      <c r="I97" s="2474"/>
      <c r="J97" s="2474"/>
      <c r="K97" s="2474"/>
      <c r="L97" s="2474"/>
      <c r="M97" s="2474"/>
      <c r="N97" s="2474"/>
      <c r="O97" s="2474"/>
      <c r="P97" s="2474"/>
      <c r="Q97" s="2474"/>
      <c r="R97" s="2474"/>
      <c r="S97" s="2474"/>
      <c r="T97" s="870"/>
      <c r="U97" s="870"/>
      <c r="V97" s="1051"/>
      <c r="W97" s="870"/>
      <c r="X97" s="870"/>
      <c r="Y97" s="870"/>
      <c r="Z97" s="870"/>
      <c r="AA97" s="870"/>
      <c r="AB97" s="870"/>
      <c r="AC97" s="870"/>
      <c r="AD97" s="870"/>
      <c r="AE97" s="870"/>
      <c r="AF97" s="870"/>
    </row>
    <row r="98" spans="1:35" s="1" customFormat="1" ht="13.5" customHeight="1" x14ac:dyDescent="0.25">
      <c r="A98" s="1674" t="s">
        <v>7145</v>
      </c>
      <c r="B98" s="1674"/>
      <c r="C98" s="1674"/>
      <c r="D98" s="1674"/>
      <c r="E98" s="1674"/>
      <c r="F98" s="1674"/>
      <c r="G98" s="1674"/>
      <c r="H98" s="2474">
        <v>80</v>
      </c>
      <c r="I98" s="2474"/>
      <c r="J98" s="2474"/>
      <c r="K98" s="2474"/>
      <c r="L98" s="2474"/>
      <c r="M98" s="2474"/>
      <c r="N98" s="2474"/>
      <c r="O98" s="2474"/>
      <c r="P98" s="2474"/>
      <c r="Q98" s="2474"/>
      <c r="R98" s="2474"/>
      <c r="S98" s="2474"/>
      <c r="T98" s="870"/>
      <c r="U98" s="870"/>
      <c r="V98" s="1051"/>
      <c r="W98" s="870"/>
      <c r="X98" s="870"/>
      <c r="Y98" s="870"/>
      <c r="Z98" s="870"/>
      <c r="AA98" s="870"/>
      <c r="AB98" s="870"/>
      <c r="AC98" s="870"/>
      <c r="AD98" s="870"/>
      <c r="AE98" s="870"/>
      <c r="AF98" s="870"/>
    </row>
    <row r="99" spans="1:35" s="1" customFormat="1" ht="31.5" customHeight="1" x14ac:dyDescent="0.25">
      <c r="A99" s="1686" t="s">
        <v>7174</v>
      </c>
      <c r="B99" s="1686"/>
      <c r="C99" s="1686"/>
      <c r="D99" s="1686"/>
      <c r="E99" s="1686"/>
      <c r="F99" s="1686"/>
      <c r="G99" s="1686"/>
      <c r="H99" s="1686"/>
      <c r="I99" s="1686"/>
      <c r="J99" s="1686"/>
      <c r="K99" s="1686"/>
      <c r="L99" s="1686"/>
      <c r="M99" s="1686"/>
      <c r="N99" s="1686"/>
      <c r="O99" s="1686"/>
      <c r="P99" s="1686"/>
      <c r="Q99" s="1686"/>
      <c r="R99" s="1686"/>
      <c r="S99" s="1686"/>
      <c r="T99" s="870"/>
      <c r="U99" s="870"/>
      <c r="V99" s="870"/>
      <c r="W99" s="870"/>
      <c r="X99" s="870"/>
      <c r="Y99" s="870"/>
      <c r="Z99" s="870"/>
      <c r="AA99" s="870"/>
      <c r="AB99" s="870"/>
      <c r="AC99" s="870"/>
      <c r="AD99" s="870"/>
      <c r="AE99" s="870"/>
      <c r="AF99" s="870"/>
    </row>
    <row r="100" spans="1:35" s="1" customFormat="1" ht="55.5" customHeight="1" x14ac:dyDescent="0.25">
      <c r="A100" s="1686" t="s">
        <v>7175</v>
      </c>
      <c r="B100" s="1686"/>
      <c r="C100" s="1686"/>
      <c r="D100" s="1686"/>
      <c r="E100" s="1686"/>
      <c r="F100" s="1686"/>
      <c r="G100" s="1686"/>
      <c r="H100" s="1686"/>
      <c r="I100" s="1686"/>
      <c r="J100" s="1686"/>
      <c r="K100" s="1686"/>
      <c r="L100" s="1686"/>
      <c r="M100" s="1686"/>
      <c r="N100" s="1686"/>
      <c r="O100" s="1686"/>
      <c r="P100" s="1686"/>
      <c r="Q100" s="1686"/>
      <c r="R100" s="1686"/>
      <c r="S100" s="1686"/>
      <c r="T100" s="870"/>
      <c r="U100" s="870"/>
      <c r="V100" s="870"/>
      <c r="W100" s="870"/>
      <c r="X100" s="870"/>
      <c r="Y100" s="870"/>
      <c r="Z100" s="870"/>
      <c r="AA100" s="870"/>
      <c r="AB100" s="870"/>
      <c r="AC100" s="870"/>
      <c r="AD100" s="870"/>
      <c r="AE100" s="870"/>
      <c r="AF100" s="870"/>
      <c r="AI100" s="683"/>
    </row>
    <row r="101" spans="1:35" s="1" customFormat="1" ht="14.45" customHeight="1" x14ac:dyDescent="0.25">
      <c r="A101" s="502"/>
      <c r="B101" s="502"/>
      <c r="C101" s="502"/>
      <c r="D101" s="502"/>
      <c r="E101" s="502"/>
      <c r="F101" s="502"/>
      <c r="G101" s="502"/>
      <c r="H101" s="1058"/>
      <c r="I101" s="1058"/>
      <c r="J101" s="1058"/>
      <c r="K101" s="1058"/>
      <c r="L101" s="460"/>
      <c r="M101" s="460"/>
      <c r="N101" s="460"/>
      <c r="O101" s="460"/>
      <c r="P101" s="194"/>
      <c r="Q101" s="194"/>
      <c r="R101" s="194"/>
      <c r="S101" s="194"/>
      <c r="T101" s="191"/>
      <c r="U101" s="191"/>
      <c r="V101" s="191"/>
      <c r="W101" s="191"/>
      <c r="X101" s="191"/>
      <c r="Y101" s="191"/>
      <c r="Z101" s="191"/>
      <c r="AA101" s="191"/>
      <c r="AB101" s="191"/>
      <c r="AC101" s="191"/>
      <c r="AD101" s="191"/>
      <c r="AE101" s="191"/>
      <c r="AF101" s="191"/>
    </row>
    <row r="102" spans="1:35" s="1" customFormat="1" ht="18" customHeight="1" x14ac:dyDescent="0.25">
      <c r="A102" s="190" t="s">
        <v>7146</v>
      </c>
      <c r="B102" s="190"/>
      <c r="C102" s="192"/>
      <c r="D102" s="192"/>
      <c r="E102" s="460"/>
      <c r="F102" s="460"/>
      <c r="G102" s="460"/>
      <c r="H102" s="460"/>
      <c r="I102" s="460"/>
      <c r="J102" s="460"/>
      <c r="K102" s="460"/>
      <c r="L102" s="460"/>
      <c r="M102" s="460"/>
      <c r="N102" s="460"/>
      <c r="O102" s="190" t="s">
        <v>7176</v>
      </c>
      <c r="P102" s="194"/>
      <c r="Q102" s="194"/>
      <c r="R102" s="194"/>
      <c r="S102" s="194"/>
      <c r="T102" s="191"/>
      <c r="U102" s="191"/>
      <c r="V102" s="191"/>
      <c r="W102" s="191"/>
      <c r="X102" s="191"/>
      <c r="Y102" s="191"/>
      <c r="Z102" s="191"/>
      <c r="AA102" s="191"/>
      <c r="AB102" s="191"/>
      <c r="AC102" s="191"/>
      <c r="AD102" s="191"/>
      <c r="AE102" s="191"/>
      <c r="AF102" s="191"/>
      <c r="AI102" s="683"/>
    </row>
    <row r="103" spans="1:35" s="1" customFormat="1" ht="29.45" customHeight="1" x14ac:dyDescent="0.25">
      <c r="A103" s="1697" t="s">
        <v>1727</v>
      </c>
      <c r="B103" s="1698"/>
      <c r="C103" s="1698"/>
      <c r="D103" s="1698"/>
      <c r="E103" s="1698"/>
      <c r="F103" s="1698"/>
      <c r="G103" s="1699"/>
      <c r="H103" s="3710" t="s">
        <v>1725</v>
      </c>
      <c r="I103" s="3710"/>
      <c r="J103" s="3710"/>
      <c r="K103" s="3710"/>
      <c r="L103" s="630"/>
      <c r="M103" s="679"/>
      <c r="N103" s="679"/>
      <c r="O103" s="1735" t="s">
        <v>1734</v>
      </c>
      <c r="P103" s="1735"/>
      <c r="Q103" s="1735"/>
      <c r="R103" s="1735" t="s">
        <v>1735</v>
      </c>
      <c r="S103" s="1735"/>
      <c r="T103" s="1735"/>
      <c r="U103" s="1735"/>
      <c r="V103" s="1735"/>
      <c r="W103" s="1735"/>
      <c r="X103" s="1735"/>
      <c r="Y103" s="1735"/>
      <c r="Z103" s="1735"/>
      <c r="AA103" s="1735"/>
      <c r="AB103" s="1735"/>
      <c r="AC103" s="1735"/>
      <c r="AD103" s="1735"/>
      <c r="AE103" s="679"/>
      <c r="AF103" s="679"/>
      <c r="AG103" s="372"/>
      <c r="AH103" s="372"/>
    </row>
    <row r="104" spans="1:35" s="1" customFormat="1" ht="43.5" customHeight="1" x14ac:dyDescent="0.25">
      <c r="A104" s="1538" t="s">
        <v>7177</v>
      </c>
      <c r="B104" s="1539"/>
      <c r="C104" s="1539"/>
      <c r="D104" s="1539"/>
      <c r="E104" s="1539"/>
      <c r="F104" s="1539"/>
      <c r="G104" s="1540"/>
      <c r="H104" s="2474">
        <v>3.16</v>
      </c>
      <c r="I104" s="2474"/>
      <c r="J104" s="2474"/>
      <c r="K104" s="2474"/>
      <c r="L104" s="630"/>
      <c r="M104" s="679"/>
      <c r="N104" s="679"/>
      <c r="O104" s="1735"/>
      <c r="P104" s="1735"/>
      <c r="Q104" s="1735"/>
      <c r="R104" s="1735" t="s">
        <v>2930</v>
      </c>
      <c r="S104" s="1735"/>
      <c r="T104" s="1735"/>
      <c r="U104" s="1735" t="s">
        <v>3091</v>
      </c>
      <c r="V104" s="1735"/>
      <c r="W104" s="1735"/>
      <c r="X104" s="1735" t="s">
        <v>878</v>
      </c>
      <c r="Y104" s="1735"/>
      <c r="Z104" s="1735"/>
      <c r="AA104" s="1735" t="s">
        <v>1726</v>
      </c>
      <c r="AB104" s="1735"/>
      <c r="AC104" s="1735"/>
      <c r="AD104" s="1735"/>
      <c r="AE104" s="679"/>
      <c r="AF104" s="679"/>
      <c r="AG104" s="372"/>
      <c r="AH104" s="372"/>
    </row>
    <row r="105" spans="1:35" s="1" customFormat="1" ht="43.5" customHeight="1" x14ac:dyDescent="0.25">
      <c r="A105" s="1538" t="s">
        <v>7147</v>
      </c>
      <c r="B105" s="1539"/>
      <c r="C105" s="1539"/>
      <c r="D105" s="1539"/>
      <c r="E105" s="1539"/>
      <c r="F105" s="1539"/>
      <c r="G105" s="1540"/>
      <c r="H105" s="1696">
        <v>6</v>
      </c>
      <c r="I105" s="3711"/>
      <c r="J105" s="3711"/>
      <c r="K105" s="2860"/>
      <c r="L105" s="630"/>
      <c r="M105" s="679"/>
      <c r="N105" s="679"/>
      <c r="O105" s="1841" t="s">
        <v>7178</v>
      </c>
      <c r="P105" s="1841"/>
      <c r="Q105" s="1841"/>
      <c r="R105" s="1864">
        <v>3569</v>
      </c>
      <c r="S105" s="1864"/>
      <c r="T105" s="1864"/>
      <c r="U105" s="1864">
        <v>3564</v>
      </c>
      <c r="V105" s="1864"/>
      <c r="W105" s="1864"/>
      <c r="X105" s="1864">
        <v>3567</v>
      </c>
      <c r="Y105" s="1864"/>
      <c r="Z105" s="1864"/>
      <c r="AA105" s="1864">
        <v>3564</v>
      </c>
      <c r="AB105" s="1864"/>
      <c r="AC105" s="1864"/>
      <c r="AD105" s="1864"/>
      <c r="AE105" s="679"/>
      <c r="AF105" s="679"/>
      <c r="AG105" s="372"/>
      <c r="AH105" s="372"/>
      <c r="AI105" s="683"/>
    </row>
    <row r="106" spans="1:35" s="1" customFormat="1" ht="30.6" customHeight="1" x14ac:dyDescent="0.25">
      <c r="A106" s="1538" t="s">
        <v>2984</v>
      </c>
      <c r="B106" s="1539"/>
      <c r="C106" s="1539"/>
      <c r="D106" s="1539"/>
      <c r="E106" s="1539"/>
      <c r="F106" s="1539"/>
      <c r="G106" s="1540"/>
      <c r="H106" s="2474">
        <v>2.56</v>
      </c>
      <c r="I106" s="2474"/>
      <c r="J106" s="2474"/>
      <c r="K106" s="2474"/>
      <c r="L106" s="630"/>
      <c r="M106" s="679"/>
      <c r="N106" s="679"/>
      <c r="O106" s="1841" t="s">
        <v>7179</v>
      </c>
      <c r="P106" s="1841"/>
      <c r="Q106" s="1841"/>
      <c r="R106" s="1841">
        <v>0.53</v>
      </c>
      <c r="S106" s="1841"/>
      <c r="T106" s="1841"/>
      <c r="U106" s="1683">
        <v>0.53</v>
      </c>
      <c r="V106" s="1684"/>
      <c r="W106" s="1685"/>
      <c r="X106" s="1683">
        <v>0.53</v>
      </c>
      <c r="Y106" s="1684"/>
      <c r="Z106" s="1685"/>
      <c r="AA106" s="1841">
        <v>0.53</v>
      </c>
      <c r="AB106" s="1841"/>
      <c r="AC106" s="1841"/>
      <c r="AD106" s="1841"/>
      <c r="AE106" s="679"/>
      <c r="AF106" s="679"/>
      <c r="AG106" s="372"/>
      <c r="AH106" s="372"/>
      <c r="AI106" s="656"/>
    </row>
    <row r="107" spans="1:35" s="1" customFormat="1" ht="29.1" customHeight="1" x14ac:dyDescent="0.25">
      <c r="A107" s="1538" t="s">
        <v>3092</v>
      </c>
      <c r="B107" s="1539"/>
      <c r="C107" s="1539"/>
      <c r="D107" s="1539"/>
      <c r="E107" s="1539"/>
      <c r="F107" s="1539"/>
      <c r="G107" s="1540"/>
      <c r="H107" s="1696">
        <v>2.96</v>
      </c>
      <c r="I107" s="3711"/>
      <c r="J107" s="3711"/>
      <c r="K107" s="2860"/>
      <c r="L107" s="630"/>
      <c r="M107" s="679"/>
      <c r="N107" s="679"/>
      <c r="O107" s="1841" t="s">
        <v>7180</v>
      </c>
      <c r="P107" s="1841"/>
      <c r="Q107" s="1841"/>
      <c r="R107" s="1841">
        <v>75</v>
      </c>
      <c r="S107" s="1841"/>
      <c r="T107" s="1841"/>
      <c r="U107" s="1683">
        <v>75</v>
      </c>
      <c r="V107" s="1684"/>
      <c r="W107" s="1685"/>
      <c r="X107" s="1683">
        <v>71</v>
      </c>
      <c r="Y107" s="1684"/>
      <c r="Z107" s="1685"/>
      <c r="AA107" s="1841">
        <v>75</v>
      </c>
      <c r="AB107" s="1841"/>
      <c r="AC107" s="1841"/>
      <c r="AD107" s="1841"/>
      <c r="AE107" s="679"/>
      <c r="AF107" s="679"/>
      <c r="AG107" s="372"/>
      <c r="AH107" s="372"/>
    </row>
    <row r="108" spans="1:35" s="1" customFormat="1" ht="38.25" customHeight="1" x14ac:dyDescent="0.25">
      <c r="A108" s="1538" t="s">
        <v>1728</v>
      </c>
      <c r="B108" s="1539"/>
      <c r="C108" s="1539"/>
      <c r="D108" s="1539"/>
      <c r="E108" s="1539"/>
      <c r="F108" s="1539"/>
      <c r="G108" s="1540"/>
      <c r="H108" s="1696">
        <v>3.04</v>
      </c>
      <c r="I108" s="3711"/>
      <c r="J108" s="3711"/>
      <c r="K108" s="2860"/>
      <c r="L108" s="630"/>
      <c r="M108" s="679"/>
      <c r="N108" s="679"/>
      <c r="O108" s="1736" t="s">
        <v>7181</v>
      </c>
      <c r="P108" s="1736"/>
      <c r="Q108" s="1736"/>
      <c r="R108" s="1736"/>
      <c r="S108" s="1736"/>
      <c r="T108" s="1736"/>
      <c r="U108" s="1736"/>
      <c r="V108" s="1736"/>
      <c r="W108" s="1736"/>
      <c r="X108" s="1736"/>
      <c r="Y108" s="1736"/>
      <c r="Z108" s="1736"/>
      <c r="AA108" s="1736"/>
      <c r="AB108" s="1736"/>
      <c r="AC108" s="1736"/>
      <c r="AD108" s="1736"/>
      <c r="AE108" s="679"/>
      <c r="AF108" s="679"/>
      <c r="AG108" s="372"/>
      <c r="AH108" s="372"/>
    </row>
    <row r="109" spans="1:35" s="1" customFormat="1" ht="44.25" customHeight="1" x14ac:dyDescent="0.25">
      <c r="A109" s="1538" t="s">
        <v>1730</v>
      </c>
      <c r="B109" s="1539"/>
      <c r="C109" s="1539"/>
      <c r="D109" s="1539"/>
      <c r="E109" s="1539"/>
      <c r="F109" s="1539"/>
      <c r="G109" s="1540"/>
      <c r="H109" s="1696">
        <v>3.16</v>
      </c>
      <c r="I109" s="3711"/>
      <c r="J109" s="3711"/>
      <c r="K109" s="2860"/>
      <c r="L109" s="630"/>
      <c r="M109" s="679"/>
      <c r="N109" s="679"/>
      <c r="O109" s="1290" t="s">
        <v>7182</v>
      </c>
      <c r="P109" s="1290"/>
      <c r="Q109" s="1290"/>
      <c r="R109" s="1290"/>
      <c r="S109" s="1290"/>
      <c r="T109" s="1290"/>
      <c r="U109" s="1290"/>
      <c r="V109" s="1290"/>
      <c r="W109" s="1290"/>
      <c r="X109" s="1290"/>
      <c r="Y109" s="1290"/>
      <c r="Z109" s="1290"/>
      <c r="AA109" s="1290"/>
      <c r="AB109" s="1290"/>
      <c r="AC109" s="1290"/>
      <c r="AD109" s="1290"/>
      <c r="AE109" s="679"/>
      <c r="AF109" s="679"/>
      <c r="AG109" s="372"/>
      <c r="AH109" s="372"/>
    </row>
    <row r="110" spans="1:35" s="1" customFormat="1" ht="30.95" customHeight="1" x14ac:dyDescent="0.25">
      <c r="A110" s="1538" t="s">
        <v>1731</v>
      </c>
      <c r="B110" s="1539"/>
      <c r="C110" s="1539"/>
      <c r="D110" s="1539"/>
      <c r="E110" s="1539"/>
      <c r="F110" s="1539"/>
      <c r="G110" s="1540"/>
      <c r="H110" s="3712">
        <v>2.34</v>
      </c>
      <c r="I110" s="3713"/>
      <c r="J110" s="3713"/>
      <c r="K110" s="3714"/>
      <c r="L110" s="630"/>
      <c r="M110" s="629"/>
      <c r="N110" s="629"/>
      <c r="O110" s="632"/>
      <c r="P110" s="632"/>
      <c r="Q110" s="632"/>
      <c r="R110" s="632"/>
      <c r="S110" s="632"/>
      <c r="T110" s="632"/>
      <c r="U110" s="632"/>
      <c r="V110" s="632"/>
      <c r="W110" s="632"/>
      <c r="X110" s="632"/>
      <c r="Y110" s="632"/>
      <c r="Z110" s="632"/>
      <c r="AA110" s="632"/>
      <c r="AB110" s="632"/>
      <c r="AC110" s="632"/>
      <c r="AD110" s="632"/>
      <c r="AE110" s="632"/>
      <c r="AF110" s="679"/>
      <c r="AG110" s="372"/>
      <c r="AH110" s="372"/>
    </row>
    <row r="111" spans="1:35" s="1" customFormat="1" ht="30.95" customHeight="1" x14ac:dyDescent="0.25">
      <c r="A111" s="1538" t="s">
        <v>1729</v>
      </c>
      <c r="B111" s="1539"/>
      <c r="C111" s="1539"/>
      <c r="D111" s="1539"/>
      <c r="E111" s="1539"/>
      <c r="F111" s="1539"/>
      <c r="G111" s="1540"/>
      <c r="H111" s="1696">
        <v>3.82</v>
      </c>
      <c r="I111" s="3711"/>
      <c r="J111" s="3711"/>
      <c r="K111" s="2860"/>
      <c r="L111" s="630"/>
      <c r="M111" s="629"/>
      <c r="N111" s="629"/>
      <c r="O111" s="632"/>
      <c r="P111" s="632"/>
      <c r="Q111" s="632"/>
      <c r="R111" s="632"/>
      <c r="S111" s="632"/>
      <c r="T111" s="632"/>
      <c r="U111" s="632"/>
      <c r="V111" s="632"/>
      <c r="W111" s="632"/>
      <c r="X111" s="632"/>
      <c r="Y111" s="632"/>
      <c r="Z111" s="632"/>
      <c r="AA111" s="632"/>
      <c r="AB111" s="632"/>
      <c r="AC111" s="632"/>
      <c r="AD111" s="632"/>
      <c r="AE111" s="632"/>
      <c r="AF111" s="679"/>
      <c r="AG111" s="372"/>
      <c r="AH111" s="372"/>
    </row>
    <row r="112" spans="1:35" s="1" customFormat="1" x14ac:dyDescent="0.25">
      <c r="A112" s="1494" t="s">
        <v>467</v>
      </c>
      <c r="B112" s="1495"/>
      <c r="C112" s="1495"/>
      <c r="D112" s="1495"/>
      <c r="E112" s="1495"/>
      <c r="F112" s="1495"/>
      <c r="G112" s="1496"/>
      <c r="H112" s="3695" t="s">
        <v>5682</v>
      </c>
      <c r="I112" s="3695"/>
      <c r="J112" s="3695"/>
      <c r="K112" s="3695"/>
      <c r="L112" s="630"/>
      <c r="M112" s="629"/>
      <c r="N112" s="629"/>
      <c r="O112" s="632"/>
      <c r="P112" s="632"/>
      <c r="Q112" s="632"/>
      <c r="R112" s="632"/>
      <c r="S112" s="632"/>
      <c r="T112" s="632"/>
      <c r="U112" s="632"/>
      <c r="V112" s="632"/>
      <c r="W112" s="632"/>
      <c r="X112" s="632"/>
      <c r="Y112" s="632"/>
      <c r="Z112" s="632"/>
      <c r="AA112" s="632"/>
      <c r="AB112" s="632"/>
      <c r="AC112" s="632"/>
      <c r="AD112" s="632"/>
      <c r="AE112" s="632"/>
      <c r="AF112" s="679"/>
      <c r="AG112" s="372"/>
      <c r="AH112" s="372"/>
      <c r="AI112" s="656"/>
    </row>
    <row r="113" spans="1:36" s="1" customFormat="1" ht="14.45" customHeight="1" x14ac:dyDescent="0.25">
      <c r="A113" s="628" t="s">
        <v>1732</v>
      </c>
      <c r="B113" s="192"/>
      <c r="C113" s="192"/>
      <c r="D113" s="192"/>
      <c r="E113" s="460"/>
      <c r="F113" s="460"/>
      <c r="G113" s="460"/>
      <c r="H113" s="460"/>
      <c r="I113" s="460"/>
      <c r="J113" s="460"/>
      <c r="K113" s="460"/>
      <c r="L113" s="460"/>
      <c r="M113" s="460"/>
      <c r="N113" s="460"/>
      <c r="O113" s="460"/>
      <c r="P113" s="194"/>
      <c r="Q113" s="194"/>
      <c r="R113" s="194"/>
      <c r="S113" s="194"/>
      <c r="T113" s="191"/>
      <c r="U113" s="191"/>
      <c r="V113" s="191"/>
      <c r="W113" s="191"/>
      <c r="X113" s="191"/>
      <c r="Y113" s="191"/>
      <c r="Z113" s="191"/>
      <c r="AA113" s="191"/>
      <c r="AB113" s="191"/>
      <c r="AC113" s="191"/>
      <c r="AD113" s="191"/>
      <c r="AE113" s="191"/>
      <c r="AF113" s="191"/>
    </row>
    <row r="114" spans="1:36" s="1" customFormat="1" ht="14.45" customHeight="1" x14ac:dyDescent="0.25">
      <c r="A114" s="628" t="s">
        <v>1733</v>
      </c>
      <c r="B114" s="192"/>
      <c r="C114" s="192"/>
      <c r="D114" s="192"/>
      <c r="E114" s="460"/>
      <c r="F114" s="460"/>
      <c r="G114" s="460"/>
      <c r="H114" s="460"/>
      <c r="I114" s="460"/>
      <c r="J114" s="460"/>
      <c r="K114" s="460"/>
      <c r="L114" s="460"/>
      <c r="M114" s="460"/>
      <c r="N114" s="460"/>
      <c r="O114" s="460"/>
      <c r="P114" s="194"/>
      <c r="Q114" s="194"/>
      <c r="R114" s="194"/>
      <c r="S114" s="194"/>
      <c r="T114" s="191"/>
      <c r="U114" s="191"/>
      <c r="V114" s="191"/>
      <c r="W114" s="191"/>
      <c r="X114" s="191"/>
      <c r="Y114" s="191"/>
      <c r="Z114" s="191"/>
      <c r="AA114" s="191"/>
      <c r="AB114" s="191"/>
      <c r="AC114" s="191"/>
      <c r="AD114" s="191"/>
      <c r="AE114" s="191"/>
      <c r="AF114" s="191"/>
    </row>
    <row r="115" spans="1:36" s="1" customFormat="1" ht="41.25" customHeight="1" x14ac:dyDescent="0.25">
      <c r="A115" s="2028" t="s">
        <v>3951</v>
      </c>
      <c r="B115" s="2028"/>
      <c r="C115" s="2028"/>
      <c r="D115" s="2028"/>
      <c r="E115" s="2028"/>
      <c r="F115" s="2028"/>
      <c r="G115" s="2028"/>
      <c r="H115" s="2028"/>
      <c r="I115" s="2028"/>
      <c r="J115" s="2028"/>
      <c r="K115" s="2028"/>
      <c r="L115" s="2028"/>
      <c r="M115" s="2028"/>
      <c r="N115" s="2028"/>
      <c r="O115" s="2028"/>
      <c r="P115" s="2028"/>
      <c r="Q115" s="2028"/>
      <c r="R115" s="2028"/>
      <c r="S115" s="2028"/>
      <c r="T115" s="2028"/>
      <c r="U115" s="2028"/>
      <c r="V115" s="2028"/>
      <c r="W115" s="2028"/>
      <c r="X115" s="2028"/>
      <c r="Y115" s="2028"/>
      <c r="Z115" s="2028"/>
      <c r="AA115" s="2028"/>
      <c r="AB115" s="2028"/>
      <c r="AC115" s="2028"/>
      <c r="AD115" s="2028"/>
      <c r="AE115" s="2028"/>
      <c r="AF115" s="2028"/>
    </row>
    <row r="116" spans="1:36" x14ac:dyDescent="0.25">
      <c r="M116" s="466">
        <v>1</v>
      </c>
      <c r="N116" s="466">
        <v>2</v>
      </c>
      <c r="O116" s="466">
        <v>3</v>
      </c>
      <c r="P116" s="466">
        <v>4</v>
      </c>
      <c r="Q116" s="466">
        <v>5</v>
      </c>
      <c r="R116" s="466">
        <v>6</v>
      </c>
      <c r="S116" s="466">
        <v>7</v>
      </c>
      <c r="T116" s="466">
        <v>8</v>
      </c>
      <c r="U116" s="466">
        <v>9</v>
      </c>
      <c r="V116" s="466">
        <v>10</v>
      </c>
      <c r="W116" s="466">
        <v>11</v>
      </c>
      <c r="X116" s="466">
        <v>12</v>
      </c>
    </row>
    <row r="117" spans="1:36" s="1" customFormat="1" x14ac:dyDescent="0.25">
      <c r="A117" s="1148" t="s">
        <v>21</v>
      </c>
      <c r="B117" s="1149"/>
      <c r="C117" s="1149"/>
      <c r="D117" s="1149"/>
      <c r="E117" s="1149"/>
      <c r="F117" s="1149"/>
      <c r="G117" s="1149"/>
      <c r="H117" s="1149"/>
      <c r="I117" s="1149"/>
      <c r="J117" s="1149"/>
      <c r="K117" s="1149"/>
      <c r="L117" s="1149"/>
      <c r="M117" s="1149"/>
      <c r="N117" s="1149"/>
      <c r="O117" s="1149"/>
      <c r="P117" s="1149"/>
      <c r="Q117" s="1149"/>
      <c r="R117" s="1149"/>
      <c r="S117" s="1149"/>
      <c r="T117" s="1149"/>
      <c r="U117" s="1149"/>
      <c r="V117" s="1149"/>
      <c r="W117" s="1149"/>
      <c r="X117" s="1149"/>
      <c r="Y117" s="1149"/>
      <c r="Z117" s="1149"/>
      <c r="AA117" s="1149"/>
      <c r="AB117" s="1149"/>
      <c r="AC117" s="1149"/>
      <c r="AD117" s="1149"/>
      <c r="AE117" s="1149"/>
      <c r="AF117" s="1150"/>
    </row>
    <row r="118" spans="1:36" s="1" customFormat="1"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6" s="1" customFormat="1" x14ac:dyDescent="0.25">
      <c r="A119"/>
      <c r="B119" s="380" t="s">
        <v>1736</v>
      </c>
      <c r="C119"/>
      <c r="D119"/>
      <c r="E119"/>
      <c r="F119"/>
      <c r="G119"/>
      <c r="H119"/>
      <c r="I119"/>
      <c r="J119"/>
      <c r="K119"/>
      <c r="L119"/>
      <c r="M119"/>
      <c r="N119"/>
      <c r="O119"/>
      <c r="P119"/>
      <c r="Q119"/>
      <c r="R119"/>
      <c r="S119"/>
      <c r="T119"/>
      <c r="U119"/>
      <c r="V119"/>
      <c r="W119"/>
      <c r="X119"/>
      <c r="Y119"/>
      <c r="Z119"/>
      <c r="AA119"/>
      <c r="AB119"/>
      <c r="AC119"/>
      <c r="AD119"/>
      <c r="AE119"/>
      <c r="AF119"/>
      <c r="AG119"/>
    </row>
    <row r="120" spans="1:36" ht="15" customHeight="1" thickBot="1" x14ac:dyDescent="0.3">
      <c r="A120" s="21"/>
      <c r="B120" s="21"/>
      <c r="C120" s="21"/>
      <c r="D120" s="21"/>
      <c r="E120" s="21"/>
      <c r="F120" s="21"/>
      <c r="G120" s="21"/>
      <c r="H120" s="21"/>
      <c r="I120" s="21"/>
    </row>
    <row r="121" spans="1:36" ht="31.5" customHeight="1" x14ac:dyDescent="0.25">
      <c r="A121" s="1583" t="s">
        <v>22</v>
      </c>
      <c r="B121" s="1584"/>
      <c r="C121" s="1584"/>
      <c r="D121" s="1584"/>
      <c r="E121" s="1584"/>
      <c r="F121" s="1584"/>
      <c r="G121" s="1584"/>
      <c r="H121" s="1584"/>
      <c r="I121" s="2484" t="s">
        <v>2922</v>
      </c>
      <c r="J121" s="2749"/>
      <c r="K121" s="2749"/>
      <c r="L121" s="2749"/>
      <c r="M121" s="2749"/>
      <c r="N121" s="2749"/>
      <c r="O121" s="2749"/>
      <c r="P121" s="2750"/>
      <c r="Q121" s="1609" t="s">
        <v>2918</v>
      </c>
      <c r="R121" s="1584"/>
      <c r="S121" s="1584"/>
      <c r="T121" s="1584"/>
      <c r="U121" s="1584"/>
      <c r="V121" s="1584"/>
      <c r="W121" s="1584"/>
      <c r="X121" s="1584"/>
      <c r="Y121" s="1609" t="s">
        <v>1786</v>
      </c>
      <c r="Z121" s="1584"/>
      <c r="AA121" s="1584"/>
      <c r="AB121" s="1584"/>
      <c r="AC121" s="1584"/>
      <c r="AD121" s="1584"/>
      <c r="AE121" s="1584"/>
      <c r="AF121" s="1585"/>
      <c r="AI121" s="692"/>
      <c r="AJ121" s="23"/>
    </row>
    <row r="122" spans="1:36" ht="54" customHeight="1" thickBot="1" x14ac:dyDescent="0.3">
      <c r="A122" s="1802" t="s">
        <v>7148</v>
      </c>
      <c r="B122" s="1887"/>
      <c r="C122" s="1887"/>
      <c r="D122" s="1887"/>
      <c r="E122" s="1887"/>
      <c r="F122" s="1887"/>
      <c r="G122" s="1887"/>
      <c r="H122" s="1887"/>
      <c r="I122" s="3715">
        <f>ROUND($Q$122*$AA$106/$AA$105,3)</f>
        <v>0.27300000000000002</v>
      </c>
      <c r="J122" s="3716"/>
      <c r="K122" s="3716"/>
      <c r="L122" s="3716"/>
      <c r="M122" s="3716"/>
      <c r="N122" s="3716"/>
      <c r="O122" s="3716"/>
      <c r="P122" s="3717"/>
      <c r="Q122" s="3718">
        <f>ROUND((((1/0.9104)-(1-0.9)/$P$75)*($P$68*$H$104*365*$P$70*$P$71*($P$72-$AA$107)/3412)-($P$76*$P$77))*$P$78,2)</f>
        <v>1833.64</v>
      </c>
      <c r="R122" s="3718"/>
      <c r="S122" s="3718"/>
      <c r="T122" s="3718"/>
      <c r="U122" s="3718"/>
      <c r="V122" s="3718"/>
      <c r="W122" s="3718"/>
      <c r="X122" s="3718"/>
      <c r="Y122" s="3071">
        <f>ROUND($Q$122*$P$81,2)</f>
        <v>33005.519999999997</v>
      </c>
      <c r="Z122" s="3071"/>
      <c r="AA122" s="3071"/>
      <c r="AB122" s="3071"/>
      <c r="AC122" s="3071"/>
      <c r="AD122" s="3071"/>
      <c r="AE122" s="3071"/>
      <c r="AF122" s="3072"/>
      <c r="AI122" s="584"/>
    </row>
    <row r="123" spans="1:36" ht="63" customHeight="1" thickBot="1" x14ac:dyDescent="0.3">
      <c r="A123" s="1802" t="s">
        <v>7149</v>
      </c>
      <c r="B123" s="1887"/>
      <c r="C123" s="1887"/>
      <c r="D123" s="1887"/>
      <c r="E123" s="1887"/>
      <c r="F123" s="1887"/>
      <c r="G123" s="1887"/>
      <c r="H123" s="1887"/>
      <c r="I123" s="3719">
        <f>ROUND($Q$123*$AA$106/$AA$105,3)</f>
        <v>0.20300000000000001</v>
      </c>
      <c r="J123" s="3720"/>
      <c r="K123" s="3720"/>
      <c r="L123" s="3720"/>
      <c r="M123" s="3720"/>
      <c r="N123" s="3720"/>
      <c r="O123" s="3720"/>
      <c r="P123" s="3721"/>
      <c r="Q123" s="3718">
        <f>ROUND((((1/1.978)-(1-0.9)/$P$75)*($P$68*$H$105*365*$P$70*$P$71*($P$72-$AA$107)/3412)-($P$76*$P$77))*$P$78,2)</f>
        <v>1367.19</v>
      </c>
      <c r="R123" s="3718"/>
      <c r="S123" s="3718"/>
      <c r="T123" s="3718"/>
      <c r="U123" s="3718"/>
      <c r="V123" s="3718"/>
      <c r="W123" s="3718"/>
      <c r="X123" s="3718"/>
      <c r="Y123" s="3071">
        <f>ROUND($Q$123*$P$81,2)</f>
        <v>24609.42</v>
      </c>
      <c r="Z123" s="3071"/>
      <c r="AA123" s="3071"/>
      <c r="AB123" s="3071"/>
      <c r="AC123" s="3071"/>
      <c r="AD123" s="3071"/>
      <c r="AE123" s="3071"/>
      <c r="AF123" s="3072"/>
    </row>
    <row r="125" spans="1:36" ht="15" customHeight="1" x14ac:dyDescent="0.25">
      <c r="B125" s="380" t="s">
        <v>1737</v>
      </c>
    </row>
    <row r="127" spans="1:36" ht="15" customHeight="1" x14ac:dyDescent="0.25">
      <c r="C127" t="s">
        <v>3950</v>
      </c>
    </row>
    <row r="128" spans="1:36" ht="15" customHeight="1" x14ac:dyDescent="0.35">
      <c r="F128" s="1616">
        <v>5</v>
      </c>
      <c r="G128" s="1617"/>
      <c r="H128" s="1617"/>
      <c r="I128" s="1617"/>
      <c r="J128" s="1618"/>
      <c r="N128" s="227" t="s">
        <v>7183</v>
      </c>
      <c r="O128" s="227"/>
      <c r="P128" s="227"/>
      <c r="Q128" s="2745">
        <f>IF(F128&lt;=2,H93,IF(F128&lt;=3,H94,IF(F128&lt;=4,H95,IF(F128&lt;=5,H96,IF(F128&lt;=6,H97,H98)))))</f>
        <v>55</v>
      </c>
      <c r="R128" s="1449"/>
      <c r="S128" s="1450"/>
      <c r="T128" s="227"/>
      <c r="U128" s="227"/>
      <c r="V128" s="227" t="s">
        <v>7150</v>
      </c>
      <c r="W128" s="227"/>
      <c r="X128" s="2745">
        <f>IF(Q128&lt;=55,0.9254-0.0003*$Q$128,2.044-(0.0011*$Q$128))</f>
        <v>0.90890000000000004</v>
      </c>
      <c r="Y128" s="1449"/>
      <c r="Z128" s="1450"/>
      <c r="AI128" s="692"/>
    </row>
    <row r="130" spans="1:40" ht="15" customHeight="1" x14ac:dyDescent="0.25">
      <c r="C130" t="s">
        <v>3093</v>
      </c>
    </row>
    <row r="131" spans="1:40" ht="15" customHeight="1" x14ac:dyDescent="0.25">
      <c r="F131" s="2721">
        <v>0.9</v>
      </c>
      <c r="G131" s="2722"/>
      <c r="H131" s="2723"/>
      <c r="M131" s="386" t="str">
        <f>IF(F131&lt;0.9, "MUST BE 0.9 OR GREATER TO QUALIFY FOR A REBATE", "")</f>
        <v/>
      </c>
      <c r="AI131" s="692"/>
    </row>
    <row r="132" spans="1:40" ht="15" customHeight="1" x14ac:dyDescent="0.25">
      <c r="F132" s="38"/>
      <c r="G132" s="38"/>
      <c r="H132" s="38"/>
      <c r="AK132" s="584"/>
    </row>
    <row r="133" spans="1:40" ht="15" customHeight="1" x14ac:dyDescent="0.25">
      <c r="C133" t="s">
        <v>3094</v>
      </c>
      <c r="F133" s="38"/>
      <c r="G133" s="38"/>
      <c r="H133" s="38"/>
      <c r="AN133" s="539"/>
    </row>
    <row r="134" spans="1:40" ht="15" customHeight="1" x14ac:dyDescent="0.35">
      <c r="F134" s="1607" t="s">
        <v>3091</v>
      </c>
      <c r="G134" s="1607"/>
      <c r="H134" s="1607"/>
      <c r="I134" s="1607"/>
      <c r="J134" s="1607"/>
      <c r="L134" t="s">
        <v>1740</v>
      </c>
      <c r="O134" s="3025">
        <f>HLOOKUP($F$134,$R$104:$AD$107,2,FALSE)</f>
        <v>3564</v>
      </c>
      <c r="P134" s="3026"/>
      <c r="Q134" s="3027"/>
      <c r="T134" t="s">
        <v>1741</v>
      </c>
      <c r="V134" s="3028">
        <f>HLOOKUP($F$134,$R$104:$AD$107,3,FALSE)</f>
        <v>0.53</v>
      </c>
      <c r="W134" s="3029"/>
      <c r="X134" s="3030"/>
      <c r="AB134" t="s">
        <v>3095</v>
      </c>
      <c r="AD134" s="1245">
        <f>HLOOKUP($F$134,$R$104:$AD$107,4,FALSE)</f>
        <v>75</v>
      </c>
      <c r="AE134" s="1245"/>
      <c r="AF134" s="1245"/>
      <c r="AH134" s="692"/>
      <c r="AI134" s="692"/>
      <c r="AN134" s="539"/>
    </row>
    <row r="135" spans="1:40" ht="15" customHeight="1" x14ac:dyDescent="0.25">
      <c r="F135" s="540"/>
      <c r="G135" s="540"/>
      <c r="H135" s="540"/>
      <c r="I135" s="540"/>
      <c r="J135" s="540"/>
      <c r="O135" s="540"/>
      <c r="P135" s="540"/>
      <c r="Q135" s="540"/>
      <c r="V135" s="125"/>
      <c r="W135" s="125"/>
      <c r="X135" s="125"/>
      <c r="AN135" s="539"/>
    </row>
    <row r="136" spans="1:40" ht="15" customHeight="1" thickBot="1" x14ac:dyDescent="0.3"/>
    <row r="137" spans="1:40" ht="32.25" customHeight="1" x14ac:dyDescent="0.25">
      <c r="A137" s="1583" t="s">
        <v>22</v>
      </c>
      <c r="B137" s="1584"/>
      <c r="C137" s="1584"/>
      <c r="D137" s="1584"/>
      <c r="E137" s="1584"/>
      <c r="F137" s="1584"/>
      <c r="G137" s="1584"/>
      <c r="H137" s="1584"/>
      <c r="I137" s="2484" t="s">
        <v>2922</v>
      </c>
      <c r="J137" s="2749"/>
      <c r="K137" s="2749"/>
      <c r="L137" s="2749"/>
      <c r="M137" s="2749"/>
      <c r="N137" s="2749"/>
      <c r="O137" s="2749"/>
      <c r="P137" s="2750"/>
      <c r="Q137" s="1609" t="s">
        <v>2918</v>
      </c>
      <c r="R137" s="1584"/>
      <c r="S137" s="1584"/>
      <c r="T137" s="1584"/>
      <c r="U137" s="1584"/>
      <c r="V137" s="1584"/>
      <c r="W137" s="1584"/>
      <c r="X137" s="1584"/>
      <c r="Y137" s="1609" t="s">
        <v>1786</v>
      </c>
      <c r="Z137" s="1584"/>
      <c r="AA137" s="1584"/>
      <c r="AB137" s="1584"/>
      <c r="AC137" s="1584"/>
      <c r="AD137" s="1584"/>
      <c r="AE137" s="1584"/>
      <c r="AF137" s="1585"/>
    </row>
    <row r="138" spans="1:40" ht="51.75" customHeight="1" thickBot="1" x14ac:dyDescent="0.3">
      <c r="A138" s="1738" t="s">
        <v>2387</v>
      </c>
      <c r="B138" s="1739"/>
      <c r="C138" s="1739"/>
      <c r="D138" s="1739"/>
      <c r="E138" s="1739"/>
      <c r="F138" s="1739"/>
      <c r="G138" s="1739"/>
      <c r="H138" s="1739"/>
      <c r="I138" s="2735">
        <f>ROUND($Q$138*$V$134/$O$134,3)</f>
        <v>0.441</v>
      </c>
      <c r="J138" s="2736"/>
      <c r="K138" s="2736"/>
      <c r="L138" s="2736"/>
      <c r="M138" s="2736"/>
      <c r="N138" s="2736"/>
      <c r="O138" s="2736"/>
      <c r="P138" s="2737"/>
      <c r="Q138" s="2738">
        <f>ROUND((((1/$X$128)-(1-$F$131)/$P$75)*($P$68*$F$128*365*$P$70*$P$71*($P$72-$AD$134)/3412)-($P$76*$P$77))*$P$78,2)</f>
        <v>2964.32</v>
      </c>
      <c r="R138" s="2738"/>
      <c r="S138" s="2738"/>
      <c r="T138" s="2738"/>
      <c r="U138" s="2738"/>
      <c r="V138" s="2738"/>
      <c r="W138" s="2738"/>
      <c r="X138" s="2738"/>
      <c r="Y138" s="2739">
        <f>ROUND($Q$138*$P$81,2)</f>
        <v>53357.760000000002</v>
      </c>
      <c r="Z138" s="2739"/>
      <c r="AA138" s="2739"/>
      <c r="AB138" s="2739"/>
      <c r="AC138" s="2739"/>
      <c r="AD138" s="2739"/>
      <c r="AE138" s="2739"/>
      <c r="AF138" s="2740"/>
    </row>
    <row r="139" spans="1:40" ht="15" customHeight="1" x14ac:dyDescent="0.25">
      <c r="B139" s="635" t="s">
        <v>7104</v>
      </c>
    </row>
    <row r="141" spans="1:40" ht="15" customHeight="1" x14ac:dyDescent="0.25">
      <c r="A141" s="1148" t="s">
        <v>1753</v>
      </c>
      <c r="B141" s="1149"/>
      <c r="C141" s="1149"/>
      <c r="D141" s="1149"/>
      <c r="E141" s="1149"/>
      <c r="F141" s="1149"/>
      <c r="G141" s="1149"/>
      <c r="H141" s="1149"/>
      <c r="I141" s="1149"/>
      <c r="J141" s="1149"/>
      <c r="K141" s="1149"/>
      <c r="L141" s="1149"/>
      <c r="M141" s="1149"/>
      <c r="N141" s="1149"/>
      <c r="O141" s="1149"/>
      <c r="P141" s="1149"/>
      <c r="Q141" s="1149"/>
      <c r="R141" s="1149"/>
      <c r="S141" s="1149"/>
      <c r="T141" s="1149"/>
      <c r="U141" s="1149"/>
      <c r="V141" s="1149"/>
      <c r="W141" s="1149"/>
      <c r="X141" s="1149"/>
      <c r="Y141" s="1149"/>
      <c r="Z141" s="1149"/>
      <c r="AA141" s="1149"/>
      <c r="AB141" s="1149"/>
      <c r="AC141" s="1149"/>
      <c r="AD141" s="1149"/>
      <c r="AE141" s="1149"/>
      <c r="AF141" s="1150"/>
    </row>
    <row r="142" spans="1:40" ht="19.5" customHeight="1" x14ac:dyDescent="0.25">
      <c r="A142" s="515" t="s">
        <v>1013</v>
      </c>
      <c r="B142" s="1173" t="s">
        <v>7151</v>
      </c>
      <c r="C142" s="1173"/>
      <c r="D142" s="1173"/>
      <c r="E142" s="1173"/>
      <c r="F142" s="1173"/>
      <c r="G142" s="1173"/>
      <c r="H142" s="1173"/>
      <c r="I142" s="1173"/>
      <c r="J142" s="1173"/>
      <c r="K142" s="1173"/>
      <c r="L142" s="1173"/>
      <c r="M142" s="1173"/>
      <c r="N142" s="1173"/>
      <c r="O142" s="1173"/>
      <c r="P142" s="1173"/>
      <c r="Q142" s="1173"/>
      <c r="R142" s="1173"/>
      <c r="S142" s="1173"/>
      <c r="T142" s="1173"/>
      <c r="U142" s="1173"/>
      <c r="V142" s="1173"/>
      <c r="W142" s="1173"/>
      <c r="X142" s="1173"/>
      <c r="Y142" s="1173"/>
      <c r="Z142" s="1173"/>
      <c r="AA142" s="1173"/>
      <c r="AB142" s="1173"/>
      <c r="AC142" s="1173"/>
      <c r="AD142" s="1173"/>
      <c r="AE142" s="1173"/>
      <c r="AF142" s="1173"/>
      <c r="AI142" s="692"/>
    </row>
    <row r="143" spans="1:40" ht="19.5" customHeight="1" x14ac:dyDescent="0.25">
      <c r="A143" s="515" t="s">
        <v>1013</v>
      </c>
      <c r="B143" s="1173" t="s">
        <v>7152</v>
      </c>
      <c r="C143" s="1173"/>
      <c r="D143" s="1173"/>
      <c r="E143" s="1173"/>
      <c r="F143" s="1173"/>
      <c r="G143" s="1173"/>
      <c r="H143" s="1173"/>
      <c r="I143" s="1173"/>
      <c r="J143" s="1173"/>
      <c r="K143" s="1173"/>
      <c r="L143" s="1173"/>
      <c r="M143" s="1173"/>
      <c r="N143" s="1173"/>
      <c r="O143" s="1173"/>
      <c r="P143" s="1173"/>
      <c r="Q143" s="1173"/>
      <c r="R143" s="1173"/>
      <c r="S143" s="1173"/>
      <c r="T143" s="1173"/>
      <c r="U143" s="1173"/>
      <c r="V143" s="1173"/>
      <c r="W143" s="1173"/>
      <c r="X143" s="1173"/>
      <c r="Y143" s="1173"/>
      <c r="Z143" s="1173"/>
      <c r="AA143" s="1173"/>
      <c r="AB143" s="1173"/>
      <c r="AC143" s="1173"/>
      <c r="AD143" s="1173"/>
      <c r="AE143" s="1173"/>
      <c r="AF143" s="1173"/>
      <c r="AI143" s="692"/>
    </row>
    <row r="144" spans="1:40" s="1" customFormat="1" ht="48" customHeight="1" x14ac:dyDescent="0.25">
      <c r="A144" s="515" t="s">
        <v>1013</v>
      </c>
      <c r="B144" s="1173" t="s">
        <v>3953</v>
      </c>
      <c r="C144" s="1173"/>
      <c r="D144" s="1173"/>
      <c r="E144" s="1173"/>
      <c r="F144" s="1173"/>
      <c r="G144" s="1173"/>
      <c r="H144" s="1173"/>
      <c r="I144" s="1173"/>
      <c r="J144" s="1173"/>
      <c r="K144" s="1173"/>
      <c r="L144" s="1173"/>
      <c r="M144" s="1173"/>
      <c r="N144" s="1173"/>
      <c r="O144" s="1173"/>
      <c r="P144" s="1173"/>
      <c r="Q144" s="1173"/>
      <c r="R144" s="1173"/>
      <c r="S144" s="1173"/>
      <c r="T144" s="1173"/>
      <c r="U144" s="1173"/>
      <c r="V144" s="1173"/>
      <c r="W144" s="1173"/>
      <c r="X144" s="1173"/>
      <c r="Y144" s="1173"/>
      <c r="Z144" s="1173"/>
      <c r="AA144" s="1173"/>
      <c r="AB144" s="1173"/>
      <c r="AC144" s="1173"/>
      <c r="AD144" s="1173"/>
      <c r="AE144" s="1173"/>
      <c r="AF144" s="1173"/>
    </row>
    <row r="145" spans="1:36" s="1" customFormat="1" ht="34.5" customHeight="1" x14ac:dyDescent="0.25">
      <c r="A145" s="515" t="s">
        <v>1013</v>
      </c>
      <c r="B145" s="1173" t="s">
        <v>3954</v>
      </c>
      <c r="C145" s="1173"/>
      <c r="D145" s="1173"/>
      <c r="E145" s="1173"/>
      <c r="F145" s="1173"/>
      <c r="G145" s="1173"/>
      <c r="H145" s="1173"/>
      <c r="I145" s="1173"/>
      <c r="J145" s="1173"/>
      <c r="K145" s="1173"/>
      <c r="L145" s="1173"/>
      <c r="M145" s="1173"/>
      <c r="N145" s="1173"/>
      <c r="O145" s="1173"/>
      <c r="P145" s="1173"/>
      <c r="Q145" s="1173"/>
      <c r="R145" s="1173"/>
      <c r="S145" s="1173"/>
      <c r="T145" s="1173"/>
      <c r="U145" s="1173"/>
      <c r="V145" s="1173"/>
      <c r="W145" s="1173"/>
      <c r="X145" s="1173"/>
      <c r="Y145" s="1173"/>
      <c r="Z145" s="1173"/>
      <c r="AA145" s="1173"/>
      <c r="AB145" s="1173"/>
      <c r="AC145" s="1173"/>
      <c r="AD145" s="1173"/>
      <c r="AE145" s="1173"/>
      <c r="AF145" s="1173"/>
    </row>
    <row r="146" spans="1:36" s="31" customFormat="1" ht="80.099999999999994" customHeight="1" x14ac:dyDescent="0.25">
      <c r="A146" s="515" t="s">
        <v>1013</v>
      </c>
      <c r="B146" s="1173" t="s">
        <v>2985</v>
      </c>
      <c r="C146" s="1173"/>
      <c r="D146" s="1173"/>
      <c r="E146" s="1173"/>
      <c r="F146" s="1173"/>
      <c r="G146" s="1173"/>
      <c r="H146" s="1173"/>
      <c r="I146" s="1173"/>
      <c r="J146" s="1173"/>
      <c r="K146" s="1173"/>
      <c r="L146" s="1173"/>
      <c r="M146" s="1173"/>
      <c r="N146" s="1173"/>
      <c r="O146" s="1173"/>
      <c r="P146" s="1173"/>
      <c r="Q146" s="1173"/>
      <c r="R146" s="1173"/>
      <c r="S146" s="1173"/>
      <c r="T146" s="1173"/>
      <c r="U146" s="1173"/>
      <c r="V146" s="1173"/>
      <c r="W146" s="1173"/>
      <c r="X146" s="1173"/>
      <c r="Y146" s="1173"/>
      <c r="Z146" s="1173"/>
      <c r="AA146" s="1173"/>
      <c r="AB146" s="1173"/>
      <c r="AC146" s="1173"/>
      <c r="AD146" s="1173"/>
      <c r="AE146" s="1173"/>
      <c r="AF146" s="1173"/>
    </row>
    <row r="147" spans="1:36" s="31" customFormat="1" ht="51.95" customHeight="1" x14ac:dyDescent="0.25">
      <c r="A147" s="515" t="s">
        <v>1013</v>
      </c>
      <c r="B147" s="1173" t="s">
        <v>3432</v>
      </c>
      <c r="C147" s="1173"/>
      <c r="D147" s="1173"/>
      <c r="E147" s="1173"/>
      <c r="F147" s="1173"/>
      <c r="G147" s="1173"/>
      <c r="H147" s="1173"/>
      <c r="I147" s="1173"/>
      <c r="J147" s="1173"/>
      <c r="K147" s="1173"/>
      <c r="L147" s="1173"/>
      <c r="M147" s="1173"/>
      <c r="N147" s="1173"/>
      <c r="O147" s="1173"/>
      <c r="P147" s="1173"/>
      <c r="Q147" s="1173"/>
      <c r="R147" s="1173"/>
      <c r="S147" s="1173"/>
      <c r="T147" s="1173"/>
      <c r="U147" s="1173"/>
      <c r="V147" s="1173"/>
      <c r="W147" s="1173"/>
      <c r="X147" s="1173"/>
      <c r="Y147" s="1173"/>
      <c r="Z147" s="1173"/>
      <c r="AA147" s="1173"/>
      <c r="AB147" s="1173"/>
      <c r="AC147" s="1173"/>
      <c r="AD147" s="1173"/>
      <c r="AE147" s="1173"/>
      <c r="AF147" s="1173"/>
    </row>
    <row r="148" spans="1:36" s="31" customFormat="1" ht="37.5" customHeight="1" x14ac:dyDescent="0.25">
      <c r="A148" s="515" t="s">
        <v>1013</v>
      </c>
      <c r="B148" s="1173" t="s">
        <v>1748</v>
      </c>
      <c r="C148" s="1173"/>
      <c r="D148" s="1173"/>
      <c r="E148" s="1173"/>
      <c r="F148" s="1173"/>
      <c r="G148" s="1173"/>
      <c r="H148" s="1173"/>
      <c r="I148" s="1173"/>
      <c r="J148" s="1173"/>
      <c r="K148" s="1173"/>
      <c r="L148" s="1173"/>
      <c r="M148" s="1173"/>
      <c r="N148" s="1173"/>
      <c r="O148" s="1173"/>
      <c r="P148" s="1173"/>
      <c r="Q148" s="1173"/>
      <c r="R148" s="1173"/>
      <c r="S148" s="1173"/>
      <c r="T148" s="1173"/>
      <c r="U148" s="1173"/>
      <c r="V148" s="1173"/>
      <c r="W148" s="1173"/>
      <c r="X148" s="1173"/>
      <c r="Y148" s="1173"/>
      <c r="Z148" s="1173"/>
      <c r="AA148" s="1173"/>
      <c r="AB148" s="1173"/>
      <c r="AC148" s="1173"/>
      <c r="AD148" s="1173"/>
      <c r="AE148" s="1173"/>
      <c r="AF148" s="1173"/>
    </row>
    <row r="149" spans="1:36" s="31" customFormat="1" ht="38.450000000000003" customHeight="1" x14ac:dyDescent="0.25">
      <c r="A149" s="515" t="s">
        <v>1013</v>
      </c>
      <c r="B149" s="1173" t="s">
        <v>1747</v>
      </c>
      <c r="C149" s="1173"/>
      <c r="D149" s="1173"/>
      <c r="E149" s="1173"/>
      <c r="F149" s="1173"/>
      <c r="G149" s="1173"/>
      <c r="H149" s="1173"/>
      <c r="I149" s="1173"/>
      <c r="J149" s="1173"/>
      <c r="K149" s="1173"/>
      <c r="L149" s="1173"/>
      <c r="M149" s="1173"/>
      <c r="N149" s="1173"/>
      <c r="O149" s="1173"/>
      <c r="P149" s="1173"/>
      <c r="Q149" s="1173"/>
      <c r="R149" s="1173"/>
      <c r="S149" s="1173"/>
      <c r="T149" s="1173"/>
      <c r="U149" s="1173"/>
      <c r="V149" s="1173"/>
      <c r="W149" s="1173"/>
      <c r="X149" s="1173"/>
      <c r="Y149" s="1173"/>
      <c r="Z149" s="1173"/>
      <c r="AA149" s="1173"/>
      <c r="AB149" s="1173"/>
      <c r="AC149" s="1173"/>
      <c r="AD149" s="1173"/>
      <c r="AE149" s="1173"/>
      <c r="AF149" s="1173"/>
    </row>
    <row r="150" spans="1:36" s="31" customFormat="1" ht="47.45" customHeight="1" x14ac:dyDescent="0.25">
      <c r="A150" s="515" t="s">
        <v>1013</v>
      </c>
      <c r="B150" s="1173" t="s">
        <v>1746</v>
      </c>
      <c r="C150" s="1173"/>
      <c r="D150" s="1173"/>
      <c r="E150" s="1173"/>
      <c r="F150" s="1173"/>
      <c r="G150" s="1173"/>
      <c r="H150" s="1173"/>
      <c r="I150" s="1173"/>
      <c r="J150" s="1173"/>
      <c r="K150" s="1173"/>
      <c r="L150" s="1173"/>
      <c r="M150" s="1173"/>
      <c r="N150" s="1173"/>
      <c r="O150" s="1173"/>
      <c r="P150" s="1173"/>
      <c r="Q150" s="1173"/>
      <c r="R150" s="1173"/>
      <c r="S150" s="1173"/>
      <c r="T150" s="1173"/>
      <c r="U150" s="1173"/>
      <c r="V150" s="1173"/>
      <c r="W150" s="1173"/>
      <c r="X150" s="1173"/>
      <c r="Y150" s="1173"/>
      <c r="Z150" s="1173"/>
      <c r="AA150" s="1173"/>
      <c r="AB150" s="1173"/>
      <c r="AC150" s="1173"/>
      <c r="AD150" s="1173"/>
      <c r="AE150" s="1173"/>
      <c r="AF150" s="1173"/>
    </row>
    <row r="151" spans="1:36" s="31" customFormat="1" ht="80.099999999999994" customHeight="1" x14ac:dyDescent="0.25">
      <c r="A151" s="515" t="s">
        <v>1013</v>
      </c>
      <c r="B151" s="1173" t="s">
        <v>1742</v>
      </c>
      <c r="C151" s="1173"/>
      <c r="D151" s="1173"/>
      <c r="E151" s="1173"/>
      <c r="F151" s="1173"/>
      <c r="G151" s="1173"/>
      <c r="H151" s="1173"/>
      <c r="I151" s="1173"/>
      <c r="J151" s="1173"/>
      <c r="K151" s="1173"/>
      <c r="L151" s="1173"/>
      <c r="M151" s="1173"/>
      <c r="N151" s="1173"/>
      <c r="O151" s="1173"/>
      <c r="P151" s="1173"/>
      <c r="Q151" s="1173"/>
      <c r="R151" s="1173"/>
      <c r="S151" s="1173"/>
      <c r="T151" s="1173"/>
      <c r="U151" s="1173"/>
      <c r="V151" s="1173"/>
      <c r="W151" s="1173"/>
      <c r="X151" s="1173"/>
      <c r="Y151" s="1173"/>
      <c r="Z151" s="1173"/>
      <c r="AA151" s="1173"/>
      <c r="AB151" s="1173"/>
      <c r="AC151" s="1173"/>
      <c r="AD151" s="1173"/>
      <c r="AE151" s="1173"/>
      <c r="AF151" s="1173"/>
    </row>
    <row r="152" spans="1:36" s="31" customFormat="1" ht="47.25" customHeight="1" x14ac:dyDescent="0.25">
      <c r="A152" s="515" t="s">
        <v>1013</v>
      </c>
      <c r="B152" s="1173" t="s">
        <v>2986</v>
      </c>
      <c r="C152" s="1173"/>
      <c r="D152" s="1173"/>
      <c r="E152" s="1173"/>
      <c r="F152" s="1173"/>
      <c r="G152" s="1173"/>
      <c r="H152" s="1173"/>
      <c r="I152" s="1173"/>
      <c r="J152" s="1173"/>
      <c r="K152" s="1173"/>
      <c r="L152" s="1173"/>
      <c r="M152" s="1173"/>
      <c r="N152" s="1173"/>
      <c r="O152" s="1173"/>
      <c r="P152" s="1173"/>
      <c r="Q152" s="1173"/>
      <c r="R152" s="1173"/>
      <c r="S152" s="1173"/>
      <c r="T152" s="1173"/>
      <c r="U152" s="1173"/>
      <c r="V152" s="1173"/>
      <c r="W152" s="1173"/>
      <c r="X152" s="1173"/>
      <c r="Y152" s="1173"/>
      <c r="Z152" s="1173"/>
      <c r="AA152" s="1173"/>
      <c r="AB152" s="1173"/>
      <c r="AC152" s="1173"/>
      <c r="AD152" s="1173"/>
      <c r="AE152" s="1173"/>
      <c r="AF152" s="1173"/>
    </row>
    <row r="153" spans="1:36" ht="63" customHeight="1" x14ac:dyDescent="0.25">
      <c r="A153" s="515" t="s">
        <v>1013</v>
      </c>
      <c r="B153" s="1173" t="s">
        <v>2864</v>
      </c>
      <c r="C153" s="1173"/>
      <c r="D153" s="1173"/>
      <c r="E153" s="1173"/>
      <c r="F153" s="1173"/>
      <c r="G153" s="1173"/>
      <c r="H153" s="1173"/>
      <c r="I153" s="1173"/>
      <c r="J153" s="1173"/>
      <c r="K153" s="1173"/>
      <c r="L153" s="1173"/>
      <c r="M153" s="1173"/>
      <c r="N153" s="1173"/>
      <c r="O153" s="1173"/>
      <c r="P153" s="1173"/>
      <c r="Q153" s="1173"/>
      <c r="R153" s="1173"/>
      <c r="S153" s="1173"/>
      <c r="T153" s="1173"/>
      <c r="U153" s="1173"/>
      <c r="V153" s="1173"/>
      <c r="W153" s="1173"/>
      <c r="X153" s="1173"/>
      <c r="Y153" s="1173"/>
      <c r="Z153" s="1173"/>
      <c r="AA153" s="1173"/>
      <c r="AB153" s="1173"/>
      <c r="AC153" s="1173"/>
      <c r="AD153" s="1173"/>
      <c r="AE153" s="1173"/>
      <c r="AF153" s="1173"/>
    </row>
    <row r="154" spans="1:36" ht="50.25" customHeight="1" x14ac:dyDescent="0.25">
      <c r="A154" s="515" t="s">
        <v>1013</v>
      </c>
      <c r="B154" s="1173" t="s">
        <v>3510</v>
      </c>
      <c r="C154" s="1173"/>
      <c r="D154" s="1173"/>
      <c r="E154" s="1173"/>
      <c r="F154" s="1173"/>
      <c r="G154" s="1173"/>
      <c r="H154" s="1173"/>
      <c r="I154" s="1173"/>
      <c r="J154" s="1173"/>
      <c r="K154" s="1173"/>
      <c r="L154" s="1173"/>
      <c r="M154" s="1173"/>
      <c r="N154" s="1173"/>
      <c r="O154" s="1173"/>
      <c r="P154" s="1173"/>
      <c r="Q154" s="1173"/>
      <c r="R154" s="1173"/>
      <c r="S154" s="1173"/>
      <c r="T154" s="1173"/>
      <c r="U154" s="1173"/>
      <c r="V154" s="1173"/>
      <c r="W154" s="1173"/>
      <c r="X154" s="1173"/>
      <c r="Y154" s="1173"/>
      <c r="Z154" s="1173"/>
      <c r="AA154" s="1173"/>
      <c r="AB154" s="1173"/>
      <c r="AC154" s="1173"/>
      <c r="AD154" s="1173"/>
      <c r="AE154" s="1173"/>
      <c r="AF154" s="1173"/>
    </row>
    <row r="155" spans="1:36" ht="36" customHeight="1" x14ac:dyDescent="0.25">
      <c r="A155" s="515" t="s">
        <v>1013</v>
      </c>
      <c r="B155" s="1173" t="s">
        <v>7153</v>
      </c>
      <c r="C155" s="1173"/>
      <c r="D155" s="1173"/>
      <c r="E155" s="1173"/>
      <c r="F155" s="1173"/>
      <c r="G155" s="1173"/>
      <c r="H155" s="1173"/>
      <c r="I155" s="1173"/>
      <c r="J155" s="1173"/>
      <c r="K155" s="1173"/>
      <c r="L155" s="1173"/>
      <c r="M155" s="1173"/>
      <c r="N155" s="1173"/>
      <c r="O155" s="1173"/>
      <c r="P155" s="1173"/>
      <c r="Q155" s="1173"/>
      <c r="R155" s="1173"/>
      <c r="S155" s="1173"/>
      <c r="T155" s="1173"/>
      <c r="U155" s="1173"/>
      <c r="V155" s="1173"/>
      <c r="W155" s="1173"/>
      <c r="X155" s="1173"/>
      <c r="Y155" s="1173"/>
      <c r="Z155" s="1173"/>
      <c r="AA155" s="1173"/>
      <c r="AB155" s="1173"/>
      <c r="AC155" s="1173"/>
      <c r="AD155" s="1173"/>
      <c r="AE155" s="1173"/>
      <c r="AF155" s="1173"/>
      <c r="AI155" s="692"/>
      <c r="AJ155" s="692"/>
    </row>
    <row r="156" spans="1:36" s="31" customFormat="1" ht="50.45" customHeight="1" x14ac:dyDescent="0.25">
      <c r="A156" s="515" t="s">
        <v>1013</v>
      </c>
      <c r="B156" s="1173" t="s">
        <v>1745</v>
      </c>
      <c r="C156" s="1173"/>
      <c r="D156" s="1173"/>
      <c r="E156" s="1173"/>
      <c r="F156" s="1173"/>
      <c r="G156" s="1173"/>
      <c r="H156" s="1173"/>
      <c r="I156" s="1173"/>
      <c r="J156" s="1173"/>
      <c r="K156" s="1173"/>
      <c r="L156" s="1173"/>
      <c r="M156" s="1173"/>
      <c r="N156" s="1173"/>
      <c r="O156" s="1173"/>
      <c r="P156" s="1173"/>
      <c r="Q156" s="1173"/>
      <c r="R156" s="1173"/>
      <c r="S156" s="1173"/>
      <c r="T156" s="1173"/>
      <c r="U156" s="1173"/>
      <c r="V156" s="1173"/>
      <c r="W156" s="1173"/>
      <c r="X156" s="1173"/>
      <c r="Y156" s="1173"/>
      <c r="Z156" s="1173"/>
      <c r="AA156" s="1173"/>
      <c r="AB156" s="1173"/>
      <c r="AC156" s="1173"/>
      <c r="AD156" s="1173"/>
      <c r="AE156" s="1173"/>
      <c r="AF156" s="1173"/>
    </row>
    <row r="157" spans="1:36" s="31" customFormat="1" ht="41.1" customHeight="1" x14ac:dyDescent="0.25">
      <c r="A157" s="515" t="s">
        <v>1013</v>
      </c>
      <c r="B157" s="1173" t="s">
        <v>2058</v>
      </c>
      <c r="C157" s="1173"/>
      <c r="D157" s="1173"/>
      <c r="E157" s="1173"/>
      <c r="F157" s="1173"/>
      <c r="G157" s="1173"/>
      <c r="H157" s="1173"/>
      <c r="I157" s="1173"/>
      <c r="J157" s="1173"/>
      <c r="K157" s="1173"/>
      <c r="L157" s="1173"/>
      <c r="M157" s="1173"/>
      <c r="N157" s="1173"/>
      <c r="O157" s="1173"/>
      <c r="P157" s="1173"/>
      <c r="Q157" s="1173"/>
      <c r="R157" s="1173"/>
      <c r="S157" s="1173"/>
      <c r="T157" s="1173"/>
      <c r="U157" s="1173"/>
      <c r="V157" s="1173"/>
      <c r="W157" s="1173"/>
      <c r="X157" s="1173"/>
      <c r="Y157" s="1173"/>
      <c r="Z157" s="1173"/>
      <c r="AA157" s="1173"/>
      <c r="AB157" s="1173"/>
      <c r="AC157" s="1173"/>
      <c r="AD157" s="1173"/>
      <c r="AE157" s="1173"/>
      <c r="AF157" s="1173"/>
    </row>
    <row r="158" spans="1:36" s="31" customFormat="1" ht="62.1" customHeight="1" x14ac:dyDescent="0.25">
      <c r="A158" s="515" t="s">
        <v>1013</v>
      </c>
      <c r="B158" s="1173" t="s">
        <v>1751</v>
      </c>
      <c r="C158" s="1173"/>
      <c r="D158" s="1173"/>
      <c r="E158" s="1173"/>
      <c r="F158" s="1173"/>
      <c r="G158" s="1173"/>
      <c r="H158" s="1173"/>
      <c r="I158" s="1173"/>
      <c r="J158" s="1173"/>
      <c r="K158" s="1173"/>
      <c r="L158" s="1173"/>
      <c r="M158" s="1173"/>
      <c r="N158" s="1173"/>
      <c r="O158" s="1173"/>
      <c r="P158" s="1173"/>
      <c r="Q158" s="1173"/>
      <c r="R158" s="1173"/>
      <c r="S158" s="1173"/>
      <c r="T158" s="1173"/>
      <c r="U158" s="1173"/>
      <c r="V158" s="1173"/>
      <c r="W158" s="1173"/>
      <c r="X158" s="1173"/>
      <c r="Y158" s="1173"/>
      <c r="Z158" s="1173"/>
      <c r="AA158" s="1173"/>
      <c r="AB158" s="1173"/>
      <c r="AC158" s="1173"/>
      <c r="AD158" s="1173"/>
      <c r="AE158" s="1173"/>
      <c r="AF158" s="1173"/>
    </row>
    <row r="159" spans="1:36" s="31" customFormat="1" ht="61.5" customHeight="1" x14ac:dyDescent="0.25">
      <c r="A159" s="515" t="s">
        <v>1013</v>
      </c>
      <c r="B159" s="1173" t="s">
        <v>3433</v>
      </c>
      <c r="C159" s="1173"/>
      <c r="D159" s="1173"/>
      <c r="E159" s="1173"/>
      <c r="F159" s="1173"/>
      <c r="G159" s="1173"/>
      <c r="H159" s="1173"/>
      <c r="I159" s="1173"/>
      <c r="J159" s="1173"/>
      <c r="K159" s="1173"/>
      <c r="L159" s="1173"/>
      <c r="M159" s="1173"/>
      <c r="N159" s="1173"/>
      <c r="O159" s="1173"/>
      <c r="P159" s="1173"/>
      <c r="Q159" s="1173"/>
      <c r="R159" s="1173"/>
      <c r="S159" s="1173"/>
      <c r="T159" s="1173"/>
      <c r="U159" s="1173"/>
      <c r="V159" s="1173"/>
      <c r="W159" s="1173"/>
      <c r="X159" s="1173"/>
      <c r="Y159" s="1173"/>
      <c r="Z159" s="1173"/>
      <c r="AA159" s="1173"/>
      <c r="AB159" s="1173"/>
      <c r="AC159" s="1173"/>
      <c r="AD159" s="1173"/>
      <c r="AE159" s="1173"/>
      <c r="AF159" s="1173"/>
    </row>
    <row r="160" spans="1:36" s="31" customFormat="1" ht="47.25" customHeight="1" x14ac:dyDescent="0.25">
      <c r="A160" s="515" t="s">
        <v>1013</v>
      </c>
      <c r="B160" s="1173" t="s">
        <v>2987</v>
      </c>
      <c r="C160" s="1173"/>
      <c r="D160" s="1173"/>
      <c r="E160" s="1173"/>
      <c r="F160" s="1173"/>
      <c r="G160" s="1173"/>
      <c r="H160" s="1173"/>
      <c r="I160" s="1173"/>
      <c r="J160" s="1173"/>
      <c r="K160" s="1173"/>
      <c r="L160" s="1173"/>
      <c r="M160" s="1173"/>
      <c r="N160" s="1173"/>
      <c r="O160" s="1173"/>
      <c r="P160" s="1173"/>
      <c r="Q160" s="1173"/>
      <c r="R160" s="1173"/>
      <c r="S160" s="1173"/>
      <c r="T160" s="1173"/>
      <c r="U160" s="1173"/>
      <c r="V160" s="1173"/>
      <c r="W160" s="1173"/>
      <c r="X160" s="1173"/>
      <c r="Y160" s="1173"/>
      <c r="Z160" s="1173"/>
      <c r="AA160" s="1173"/>
      <c r="AB160" s="1173"/>
      <c r="AC160" s="1173"/>
      <c r="AD160" s="1173"/>
      <c r="AE160" s="1173"/>
      <c r="AF160" s="1173"/>
    </row>
    <row r="161" spans="1:35" s="31" customFormat="1" ht="39.950000000000003" customHeight="1" x14ac:dyDescent="0.25">
      <c r="A161" s="515" t="s">
        <v>1013</v>
      </c>
      <c r="B161" s="1173" t="s">
        <v>1752</v>
      </c>
      <c r="C161" s="1173"/>
      <c r="D161" s="1173"/>
      <c r="E161" s="1173"/>
      <c r="F161" s="1173"/>
      <c r="G161" s="1173"/>
      <c r="H161" s="1173"/>
      <c r="I161" s="1173"/>
      <c r="J161" s="1173"/>
      <c r="K161" s="1173"/>
      <c r="L161" s="1173"/>
      <c r="M161" s="1173"/>
      <c r="N161" s="1173"/>
      <c r="O161" s="1173"/>
      <c r="P161" s="1173"/>
      <c r="Q161" s="1173"/>
      <c r="R161" s="1173"/>
      <c r="S161" s="1173"/>
      <c r="T161" s="1173"/>
      <c r="U161" s="1173"/>
      <c r="V161" s="1173"/>
      <c r="W161" s="1173"/>
      <c r="X161" s="1173"/>
      <c r="Y161" s="1173"/>
      <c r="Z161" s="1173"/>
      <c r="AA161" s="1173"/>
      <c r="AB161" s="1173"/>
      <c r="AC161" s="1173"/>
      <c r="AD161" s="1173"/>
      <c r="AE161" s="1173"/>
      <c r="AF161" s="1173"/>
    </row>
    <row r="162" spans="1:35" s="31" customFormat="1" ht="41.1" customHeight="1" x14ac:dyDescent="0.25">
      <c r="A162" s="515" t="s">
        <v>1013</v>
      </c>
      <c r="B162" s="1173" t="s">
        <v>1743</v>
      </c>
      <c r="C162" s="1173"/>
      <c r="D162" s="1173"/>
      <c r="E162" s="1173"/>
      <c r="F162" s="1173"/>
      <c r="G162" s="1173"/>
      <c r="H162" s="1173"/>
      <c r="I162" s="1173"/>
      <c r="J162" s="1173"/>
      <c r="K162" s="1173"/>
      <c r="L162" s="1173"/>
      <c r="M162" s="1173"/>
      <c r="N162" s="1173"/>
      <c r="O162" s="1173"/>
      <c r="P162" s="1173"/>
      <c r="Q162" s="1173"/>
      <c r="R162" s="1173"/>
      <c r="S162" s="1173"/>
      <c r="T162" s="1173"/>
      <c r="U162" s="1173"/>
      <c r="V162" s="1173"/>
      <c r="W162" s="1173"/>
      <c r="X162" s="1173"/>
      <c r="Y162" s="1173"/>
      <c r="Z162" s="1173"/>
      <c r="AA162" s="1173"/>
      <c r="AB162" s="1173"/>
      <c r="AC162" s="1173"/>
      <c r="AD162" s="1173"/>
      <c r="AE162" s="1173"/>
      <c r="AF162" s="1173"/>
    </row>
    <row r="163" spans="1:35" s="31" customFormat="1" ht="22.5" customHeight="1" x14ac:dyDescent="0.25">
      <c r="A163" s="515" t="s">
        <v>1013</v>
      </c>
      <c r="B163" s="1173" t="s">
        <v>1749</v>
      </c>
      <c r="C163" s="1173"/>
      <c r="D163" s="1173"/>
      <c r="E163" s="1173"/>
      <c r="F163" s="1173"/>
      <c r="G163" s="1173"/>
      <c r="H163" s="1173"/>
      <c r="I163" s="1173"/>
      <c r="J163" s="1173"/>
      <c r="K163" s="1173"/>
      <c r="L163" s="1173"/>
      <c r="M163" s="1173"/>
      <c r="N163" s="1173"/>
      <c r="O163" s="1173"/>
      <c r="P163" s="1173"/>
      <c r="Q163" s="1173"/>
      <c r="R163" s="1173"/>
      <c r="S163" s="1173"/>
      <c r="T163" s="1173"/>
      <c r="U163" s="1173"/>
      <c r="V163" s="1173"/>
      <c r="W163" s="1173"/>
      <c r="X163" s="1173"/>
      <c r="Y163" s="1173"/>
      <c r="Z163" s="1173"/>
      <c r="AA163" s="1173"/>
      <c r="AB163" s="1173"/>
      <c r="AC163" s="1173"/>
      <c r="AD163" s="1173"/>
      <c r="AE163" s="1173"/>
      <c r="AF163" s="1173"/>
    </row>
    <row r="164" spans="1:35" s="31" customFormat="1" ht="63" customHeight="1" x14ac:dyDescent="0.25">
      <c r="A164" s="515" t="s">
        <v>1013</v>
      </c>
      <c r="B164" s="1173" t="s">
        <v>1750</v>
      </c>
      <c r="C164" s="1173"/>
      <c r="D164" s="1173"/>
      <c r="E164" s="1173"/>
      <c r="F164" s="1173"/>
      <c r="G164" s="1173"/>
      <c r="H164" s="1173"/>
      <c r="I164" s="1173"/>
      <c r="J164" s="1173"/>
      <c r="K164" s="1173"/>
      <c r="L164" s="1173"/>
      <c r="M164" s="1173"/>
      <c r="N164" s="1173"/>
      <c r="O164" s="1173"/>
      <c r="P164" s="1173"/>
      <c r="Q164" s="1173"/>
      <c r="R164" s="1173"/>
      <c r="S164" s="1173"/>
      <c r="T164" s="1173"/>
      <c r="U164" s="1173"/>
      <c r="V164" s="1173"/>
      <c r="W164" s="1173"/>
      <c r="X164" s="1173"/>
      <c r="Y164" s="1173"/>
      <c r="Z164" s="1173"/>
      <c r="AA164" s="1173"/>
      <c r="AB164" s="1173"/>
      <c r="AC164" s="1173"/>
      <c r="AD164" s="1173"/>
      <c r="AE164" s="1173"/>
      <c r="AF164" s="1173"/>
    </row>
    <row r="165" spans="1:35" s="31" customFormat="1" ht="50.25" customHeight="1" x14ac:dyDescent="0.25">
      <c r="A165" s="515" t="s">
        <v>1013</v>
      </c>
      <c r="B165" s="1173" t="s">
        <v>1744</v>
      </c>
      <c r="C165" s="1173"/>
      <c r="D165" s="1173"/>
      <c r="E165" s="1173"/>
      <c r="F165" s="1173"/>
      <c r="G165" s="1173"/>
      <c r="H165" s="1173"/>
      <c r="I165" s="1173"/>
      <c r="J165" s="1173"/>
      <c r="K165" s="1173"/>
      <c r="L165" s="1173"/>
      <c r="M165" s="1173"/>
      <c r="N165" s="1173"/>
      <c r="O165" s="1173"/>
      <c r="P165" s="1173"/>
      <c r="Q165" s="1173"/>
      <c r="R165" s="1173"/>
      <c r="S165" s="1173"/>
      <c r="T165" s="1173"/>
      <c r="U165" s="1173"/>
      <c r="V165" s="1173"/>
      <c r="W165" s="1173"/>
      <c r="X165" s="1173"/>
      <c r="Y165" s="1173"/>
      <c r="Z165" s="1173"/>
      <c r="AA165" s="1173"/>
      <c r="AB165" s="1173"/>
      <c r="AC165" s="1173"/>
      <c r="AD165" s="1173"/>
      <c r="AE165" s="1173"/>
      <c r="AF165" s="1173"/>
    </row>
    <row r="166" spans="1:35" ht="69.75" customHeight="1" x14ac:dyDescent="0.25">
      <c r="A166" s="515" t="s">
        <v>1013</v>
      </c>
      <c r="B166" s="1173" t="s">
        <v>2701</v>
      </c>
      <c r="C166" s="1173"/>
      <c r="D166" s="1173"/>
      <c r="E166" s="1173"/>
      <c r="F166" s="1173"/>
      <c r="G166" s="1173"/>
      <c r="H166" s="1173"/>
      <c r="I166" s="1173"/>
      <c r="J166" s="1173"/>
      <c r="K166" s="1173"/>
      <c r="L166" s="1173"/>
      <c r="M166" s="1173"/>
      <c r="N166" s="1173"/>
      <c r="O166" s="1173"/>
      <c r="P166" s="1173"/>
      <c r="Q166" s="1173"/>
      <c r="R166" s="1173"/>
      <c r="S166" s="1173"/>
      <c r="T166" s="1173"/>
      <c r="U166" s="1173"/>
      <c r="V166" s="1173"/>
      <c r="W166" s="1173"/>
      <c r="X166" s="1173"/>
      <c r="Y166" s="1173"/>
      <c r="Z166" s="1173"/>
      <c r="AA166" s="1173"/>
      <c r="AB166" s="1173"/>
      <c r="AC166" s="1173"/>
      <c r="AD166" s="1173"/>
      <c r="AE166" s="1173"/>
      <c r="AF166" s="1173"/>
    </row>
    <row r="167" spans="1:35" ht="37.5" customHeight="1" x14ac:dyDescent="0.25">
      <c r="A167" s="515" t="s">
        <v>1013</v>
      </c>
      <c r="B167" s="1173" t="s">
        <v>7154</v>
      </c>
      <c r="C167" s="1173"/>
      <c r="D167" s="1173"/>
      <c r="E167" s="1173"/>
      <c r="F167" s="1173"/>
      <c r="G167" s="1173"/>
      <c r="H167" s="1173"/>
      <c r="I167" s="1173"/>
      <c r="J167" s="1173"/>
      <c r="K167" s="1173"/>
      <c r="L167" s="1173"/>
      <c r="M167" s="1173"/>
      <c r="N167" s="1173"/>
      <c r="O167" s="1173"/>
      <c r="P167" s="1173"/>
      <c r="Q167" s="1173"/>
      <c r="R167" s="1173"/>
      <c r="S167" s="1173"/>
      <c r="T167" s="1173"/>
      <c r="U167" s="1173"/>
      <c r="V167" s="1173"/>
      <c r="W167" s="1173"/>
      <c r="X167" s="1173"/>
      <c r="Y167" s="1173"/>
      <c r="Z167" s="1173"/>
      <c r="AA167" s="1173"/>
      <c r="AB167" s="1173"/>
      <c r="AC167" s="1173"/>
      <c r="AD167" s="1173"/>
      <c r="AE167" s="1173"/>
      <c r="AF167" s="1173"/>
      <c r="AI167" s="692"/>
    </row>
  </sheetData>
  <sheetProtection algorithmName="SHA-512" hashValue="RANZW7AvLF2mc/rCrGvXjNio6j1JXS86sNfe9yKc0KV8UcHP/nJk5kX5aCUHZDdZaNfpZmu5bx7P2PMHCCfhpA==" saltValue="lAk6fwQ4AU664vx5HqgeVg==" spinCount="100000" sheet="1" objects="1" scenarios="1"/>
  <mergeCells count="228">
    <mergeCell ref="B166:AF166"/>
    <mergeCell ref="B167:AF167"/>
    <mergeCell ref="AN13:BX13"/>
    <mergeCell ref="AI82:BH82"/>
    <mergeCell ref="B157:AF157"/>
    <mergeCell ref="B158:AF158"/>
    <mergeCell ref="B159:AF159"/>
    <mergeCell ref="B160:AF160"/>
    <mergeCell ref="B161:AF161"/>
    <mergeCell ref="B162:AF162"/>
    <mergeCell ref="B163:AF163"/>
    <mergeCell ref="B164:AF164"/>
    <mergeCell ref="B165:AF165"/>
    <mergeCell ref="B148:AF148"/>
    <mergeCell ref="B149:AF149"/>
    <mergeCell ref="B150:AF150"/>
    <mergeCell ref="B151:AF151"/>
    <mergeCell ref="B152:AF152"/>
    <mergeCell ref="B153:AF153"/>
    <mergeCell ref="B154:AF154"/>
    <mergeCell ref="B155:AF155"/>
    <mergeCell ref="B156:AF156"/>
    <mergeCell ref="Q138:X138"/>
    <mergeCell ref="Y138:AF138"/>
    <mergeCell ref="A141:AF141"/>
    <mergeCell ref="B142:AF142"/>
    <mergeCell ref="B143:AF143"/>
    <mergeCell ref="B144:AF144"/>
    <mergeCell ref="B145:AF145"/>
    <mergeCell ref="B146:AF146"/>
    <mergeCell ref="B147:AF147"/>
    <mergeCell ref="A123:H123"/>
    <mergeCell ref="I123:P123"/>
    <mergeCell ref="Q123:X123"/>
    <mergeCell ref="Y123:AF123"/>
    <mergeCell ref="F128:J128"/>
    <mergeCell ref="Q128:S128"/>
    <mergeCell ref="X128:Z128"/>
    <mergeCell ref="F131:H131"/>
    <mergeCell ref="F134:J134"/>
    <mergeCell ref="O134:Q134"/>
    <mergeCell ref="V134:X134"/>
    <mergeCell ref="AD134:AF134"/>
    <mergeCell ref="A137:H137"/>
    <mergeCell ref="I137:P137"/>
    <mergeCell ref="Q137:X137"/>
    <mergeCell ref="Y137:AF137"/>
    <mergeCell ref="A138:H138"/>
    <mergeCell ref="A115:AF115"/>
    <mergeCell ref="A117:AF117"/>
    <mergeCell ref="A121:H121"/>
    <mergeCell ref="I121:P121"/>
    <mergeCell ref="Q121:X121"/>
    <mergeCell ref="Y121:AF121"/>
    <mergeCell ref="A122:H122"/>
    <mergeCell ref="I122:P122"/>
    <mergeCell ref="Q122:X122"/>
    <mergeCell ref="Y122:AF122"/>
    <mergeCell ref="A109:G109"/>
    <mergeCell ref="H109:K109"/>
    <mergeCell ref="O109:AD109"/>
    <mergeCell ref="A110:G110"/>
    <mergeCell ref="H110:K110"/>
    <mergeCell ref="A111:G111"/>
    <mergeCell ref="H111:K111"/>
    <mergeCell ref="A112:G112"/>
    <mergeCell ref="H112:K112"/>
    <mergeCell ref="A107:G107"/>
    <mergeCell ref="H107:K107"/>
    <mergeCell ref="O107:Q107"/>
    <mergeCell ref="R107:T107"/>
    <mergeCell ref="U107:W107"/>
    <mergeCell ref="X107:Z107"/>
    <mergeCell ref="AA107:AD107"/>
    <mergeCell ref="A108:G108"/>
    <mergeCell ref="H108:K108"/>
    <mergeCell ref="O108:AD108"/>
    <mergeCell ref="A105:G105"/>
    <mergeCell ref="H105:K105"/>
    <mergeCell ref="O105:Q105"/>
    <mergeCell ref="R105:T105"/>
    <mergeCell ref="U105:W105"/>
    <mergeCell ref="X105:Z105"/>
    <mergeCell ref="AA105:AD105"/>
    <mergeCell ref="A106:G106"/>
    <mergeCell ref="H106:K106"/>
    <mergeCell ref="O106:Q106"/>
    <mergeCell ref="R106:T106"/>
    <mergeCell ref="U106:W106"/>
    <mergeCell ref="X106:Z106"/>
    <mergeCell ref="AA106:AD106"/>
    <mergeCell ref="A100:S100"/>
    <mergeCell ref="A103:G103"/>
    <mergeCell ref="H103:K103"/>
    <mergeCell ref="O103:Q104"/>
    <mergeCell ref="R103:AD103"/>
    <mergeCell ref="A104:G104"/>
    <mergeCell ref="H104:K104"/>
    <mergeCell ref="R104:T104"/>
    <mergeCell ref="U104:W104"/>
    <mergeCell ref="X104:Z104"/>
    <mergeCell ref="AA104:AD104"/>
    <mergeCell ref="A95:G95"/>
    <mergeCell ref="H95:S95"/>
    <mergeCell ref="A96:G96"/>
    <mergeCell ref="H96:S96"/>
    <mergeCell ref="A97:G97"/>
    <mergeCell ref="H97:S97"/>
    <mergeCell ref="A98:G98"/>
    <mergeCell ref="H98:S98"/>
    <mergeCell ref="A99:S99"/>
    <mergeCell ref="A86:AF86"/>
    <mergeCell ref="A87:AF87"/>
    <mergeCell ref="A88:AF88"/>
    <mergeCell ref="A89:AF89"/>
    <mergeCell ref="A92:G92"/>
    <mergeCell ref="H92:S92"/>
    <mergeCell ref="A93:G93"/>
    <mergeCell ref="H93:S93"/>
    <mergeCell ref="A94:G94"/>
    <mergeCell ref="H94:S94"/>
    <mergeCell ref="A81:D81"/>
    <mergeCell ref="E81:O81"/>
    <mergeCell ref="P81:S81"/>
    <mergeCell ref="T81:W81"/>
    <mergeCell ref="X81:AF81"/>
    <mergeCell ref="A82:AF82"/>
    <mergeCell ref="A83:AF83"/>
    <mergeCell ref="A84:AF84"/>
    <mergeCell ref="A85:AF85"/>
    <mergeCell ref="P78:S78"/>
    <mergeCell ref="T78:W78"/>
    <mergeCell ref="X78:AF78"/>
    <mergeCell ref="A79:D79"/>
    <mergeCell ref="E79:O79"/>
    <mergeCell ref="P79:S79"/>
    <mergeCell ref="T79:W79"/>
    <mergeCell ref="X79:AF79"/>
    <mergeCell ref="A80:D80"/>
    <mergeCell ref="E80:O80"/>
    <mergeCell ref="P80:S80"/>
    <mergeCell ref="T80:W80"/>
    <mergeCell ref="X80:AF80"/>
    <mergeCell ref="A78:D78"/>
    <mergeCell ref="E78:O78"/>
    <mergeCell ref="A64:AF64"/>
    <mergeCell ref="A74:D74"/>
    <mergeCell ref="E74:O74"/>
    <mergeCell ref="P74:S74"/>
    <mergeCell ref="T74:W74"/>
    <mergeCell ref="X74:AF74"/>
    <mergeCell ref="A75:D75"/>
    <mergeCell ref="E75:O75"/>
    <mergeCell ref="P75:S75"/>
    <mergeCell ref="T75:W75"/>
    <mergeCell ref="X75:AF75"/>
    <mergeCell ref="A69:D69"/>
    <mergeCell ref="E69:O69"/>
    <mergeCell ref="P69:S69"/>
    <mergeCell ref="T69:W69"/>
    <mergeCell ref="X69:AF69"/>
    <mergeCell ref="A70:D70"/>
    <mergeCell ref="E70:O70"/>
    <mergeCell ref="P70:S70"/>
    <mergeCell ref="T70:W70"/>
    <mergeCell ref="A73:D73"/>
    <mergeCell ref="E73:O73"/>
    <mergeCell ref="P73:S73"/>
    <mergeCell ref="T73:W73"/>
    <mergeCell ref="P68:S68"/>
    <mergeCell ref="T68:W68"/>
    <mergeCell ref="X68:AF68"/>
    <mergeCell ref="X72:AF72"/>
    <mergeCell ref="A71:D71"/>
    <mergeCell ref="E71:O71"/>
    <mergeCell ref="P71:S71"/>
    <mergeCell ref="T71:W71"/>
    <mergeCell ref="X70:AF70"/>
    <mergeCell ref="T72:W72"/>
    <mergeCell ref="P72:S72"/>
    <mergeCell ref="I138:P138"/>
    <mergeCell ref="X71:AF71"/>
    <mergeCell ref="A66:D66"/>
    <mergeCell ref="E66:O66"/>
    <mergeCell ref="A1:AF1"/>
    <mergeCell ref="A26:AF26"/>
    <mergeCell ref="A7:AF7"/>
    <mergeCell ref="B9:I9"/>
    <mergeCell ref="B10:AF10"/>
    <mergeCell ref="B12:I12"/>
    <mergeCell ref="B13:AF13"/>
    <mergeCell ref="B17:I17"/>
    <mergeCell ref="B18:AF18"/>
    <mergeCell ref="B20:I20"/>
    <mergeCell ref="B21:AF21"/>
    <mergeCell ref="B24:AF24"/>
    <mergeCell ref="A3:AF3"/>
    <mergeCell ref="B15:AF15"/>
    <mergeCell ref="B23:J23"/>
    <mergeCell ref="B5:AF5"/>
    <mergeCell ref="A65:D65"/>
    <mergeCell ref="E65:O65"/>
    <mergeCell ref="P65:S65"/>
    <mergeCell ref="T65:W65"/>
    <mergeCell ref="X65:AF65"/>
    <mergeCell ref="A76:D76"/>
    <mergeCell ref="E76:O76"/>
    <mergeCell ref="P76:S76"/>
    <mergeCell ref="T76:W76"/>
    <mergeCell ref="X76:AF76"/>
    <mergeCell ref="A77:D77"/>
    <mergeCell ref="E77:O77"/>
    <mergeCell ref="P77:S77"/>
    <mergeCell ref="T77:W77"/>
    <mergeCell ref="X77:AF77"/>
    <mergeCell ref="X73:AF73"/>
    <mergeCell ref="A72:D72"/>
    <mergeCell ref="E72:O72"/>
    <mergeCell ref="P66:S66"/>
    <mergeCell ref="T66:W66"/>
    <mergeCell ref="X66:AF66"/>
    <mergeCell ref="A67:D67"/>
    <mergeCell ref="E67:O67"/>
    <mergeCell ref="P67:S67"/>
    <mergeCell ref="T67:W67"/>
    <mergeCell ref="X67:AF67"/>
    <mergeCell ref="A68:D68"/>
    <mergeCell ref="E68:O68"/>
  </mergeCells>
  <dataValidations count="1">
    <dataValidation type="list" allowBlank="1" showInputMessage="1" showErrorMessage="1" sqref="F134:J134" xr:uid="{42389495-DD1E-493D-9E75-DF95B449F774}">
      <formula1>"Hawai‘i,Honolulu,Maui,Unspecified"</formula1>
    </dataValidation>
  </dataValidations>
  <hyperlinks>
    <hyperlink ref="A2" location="TOC!A1" display="Return to TOC" xr:uid="{5B511C1E-3A0F-4370-A781-1962039E4ED9}"/>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0:AF61" numberStoredAsText="1"/>
  </ignoredError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53">
    <tabColor theme="5" tint="0.59999389629810485"/>
    <pageSetUpPr autoPageBreaks="0"/>
  </sheetPr>
  <dimension ref="A1:AX60"/>
  <sheetViews>
    <sheetView workbookViewId="0">
      <selection sqref="A1:AF1"/>
    </sheetView>
  </sheetViews>
  <sheetFormatPr defaultColWidth="2.7109375" defaultRowHeight="15" x14ac:dyDescent="0.25"/>
  <cols>
    <col min="1" max="36" width="2.7109375" style="1"/>
    <col min="37" max="37" width="2.7109375" style="1" customWidth="1"/>
    <col min="38" max="48" width="2.7109375" style="1"/>
    <col min="49" max="49" width="5" style="1" bestFit="1" customWidth="1"/>
    <col min="50" max="16384" width="2.7109375" style="1"/>
  </cols>
  <sheetData>
    <row r="1" spans="1:32" ht="19.5" thickBot="1" x14ac:dyDescent="0.3">
      <c r="A1" s="1272" t="s">
        <v>1177</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row>
    <row r="2" spans="1:32" s="262" customFormat="1" ht="14.45" customHeight="1" x14ac:dyDescent="0.25">
      <c r="A2" s="376" t="s">
        <v>1702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row>
    <row r="3" spans="1:32" s="10"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s="270"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268" customFormat="1" ht="14.45" customHeight="1" x14ac:dyDescent="0.25">
      <c r="A5" s="262"/>
      <c r="B5" s="1151" t="s">
        <v>2713</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s="270" customFormat="1" ht="14.45"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25">
      <c r="B9" s="1475" t="s">
        <v>10</v>
      </c>
      <c r="C9" s="1475"/>
      <c r="D9" s="1475"/>
      <c r="E9" s="1475"/>
      <c r="F9" s="1475"/>
      <c r="G9" s="1475"/>
      <c r="H9" s="1475"/>
      <c r="I9" s="1475"/>
    </row>
    <row r="10" spans="1:32" s="4" customFormat="1" ht="14.45" customHeight="1" x14ac:dyDescent="0.25">
      <c r="B10" s="1151" t="s">
        <v>2332</v>
      </c>
      <c r="C10" s="1151"/>
      <c r="D10" s="1151"/>
      <c r="E10" s="1151"/>
      <c r="F10" s="1151"/>
      <c r="G10" s="1151"/>
      <c r="H10" s="1151"/>
      <c r="I10" s="1151"/>
      <c r="J10" s="1151"/>
      <c r="K10" s="1151"/>
      <c r="L10" s="1151"/>
      <c r="M10" s="1151"/>
      <c r="N10" s="1151"/>
      <c r="O10" s="1151"/>
      <c r="P10" s="1151"/>
      <c r="Q10" s="1151"/>
      <c r="R10" s="1151"/>
      <c r="S10" s="1151"/>
      <c r="T10" s="1151"/>
      <c r="U10" s="1151"/>
      <c r="V10" s="1151"/>
      <c r="W10" s="1151"/>
      <c r="X10" s="1151"/>
      <c r="Y10" s="1151"/>
      <c r="Z10" s="1151"/>
      <c r="AA10" s="1151"/>
      <c r="AB10" s="1151"/>
      <c r="AC10" s="1151"/>
      <c r="AD10" s="1151"/>
      <c r="AE10" s="1151"/>
      <c r="AF10" s="1151"/>
    </row>
    <row r="12" spans="1:32" x14ac:dyDescent="0.25">
      <c r="B12" s="1475" t="s">
        <v>11</v>
      </c>
      <c r="C12" s="1475"/>
      <c r="D12" s="1475"/>
      <c r="E12" s="1475"/>
      <c r="F12" s="1475"/>
      <c r="G12" s="1475"/>
      <c r="H12" s="1475"/>
      <c r="I12" s="1475"/>
    </row>
    <row r="13" spans="1:32" ht="30.75" customHeight="1" x14ac:dyDescent="0.25">
      <c r="B13" s="1151" t="s">
        <v>650</v>
      </c>
      <c r="C13" s="1151"/>
      <c r="D13" s="1151"/>
      <c r="E13" s="1151"/>
      <c r="F13" s="1151"/>
      <c r="G13" s="1151"/>
      <c r="H13" s="1151"/>
      <c r="I13" s="1151"/>
      <c r="J13" s="1151"/>
      <c r="K13" s="1151"/>
      <c r="L13" s="1151"/>
      <c r="M13" s="1151"/>
      <c r="N13" s="1151"/>
      <c r="O13" s="1151"/>
      <c r="P13" s="1151"/>
      <c r="Q13" s="1151"/>
      <c r="R13" s="1151"/>
      <c r="S13" s="1151"/>
      <c r="T13" s="1151"/>
      <c r="U13" s="1151"/>
      <c r="V13" s="1151"/>
      <c r="W13" s="1151"/>
      <c r="X13" s="1151"/>
      <c r="Y13" s="1151"/>
      <c r="Z13" s="1151"/>
      <c r="AA13" s="1151"/>
      <c r="AB13" s="1151"/>
      <c r="AC13" s="1151"/>
      <c r="AD13" s="1151"/>
      <c r="AE13" s="1151"/>
      <c r="AF13" s="1151"/>
    </row>
    <row r="15" spans="1:32" x14ac:dyDescent="0.25">
      <c r="B15" s="1475" t="s">
        <v>12</v>
      </c>
      <c r="C15" s="1475"/>
      <c r="D15" s="1475"/>
      <c r="E15" s="1475"/>
      <c r="F15" s="1475"/>
      <c r="G15" s="1475"/>
      <c r="H15" s="1475"/>
      <c r="I15" s="1475"/>
    </row>
    <row r="16" spans="1:32" x14ac:dyDescent="0.25">
      <c r="B16" s="1473" t="s">
        <v>3397</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row>
    <row r="18" spans="1:32" x14ac:dyDescent="0.25">
      <c r="B18" s="1475" t="s">
        <v>13</v>
      </c>
      <c r="C18" s="1475"/>
      <c r="D18" s="1475"/>
      <c r="E18" s="1475"/>
      <c r="F18" s="1475"/>
      <c r="G18" s="1475"/>
      <c r="H18" s="1475"/>
      <c r="I18" s="1475"/>
    </row>
    <row r="19" spans="1:32" s="4" customFormat="1" ht="81.75" customHeight="1" x14ac:dyDescent="0.25">
      <c r="B19" s="1247" t="s">
        <v>2333</v>
      </c>
      <c r="C19" s="1247"/>
      <c r="D19" s="1247"/>
      <c r="E19" s="1247"/>
      <c r="F19" s="1247"/>
      <c r="G19" s="1247"/>
      <c r="H19" s="1247"/>
      <c r="I19" s="1247"/>
      <c r="J19" s="1247"/>
      <c r="K19" s="1247"/>
      <c r="L19" s="1247"/>
      <c r="M19" s="1247"/>
      <c r="N19" s="1247"/>
      <c r="O19" s="1247"/>
      <c r="P19" s="1247"/>
      <c r="Q19" s="1247"/>
      <c r="R19" s="1247"/>
      <c r="S19" s="1247"/>
      <c r="T19" s="1247"/>
      <c r="U19" s="1247"/>
      <c r="V19" s="1247"/>
      <c r="W19" s="1247"/>
      <c r="X19" s="1247"/>
      <c r="Y19" s="1247"/>
      <c r="Z19" s="1247"/>
      <c r="AA19" s="1247"/>
      <c r="AB19" s="1247"/>
      <c r="AC19" s="1247"/>
      <c r="AD19" s="1247"/>
      <c r="AE19" s="1247"/>
      <c r="AF19" s="1247"/>
    </row>
    <row r="21" spans="1:32" x14ac:dyDescent="0.25">
      <c r="B21" s="171" t="s">
        <v>20</v>
      </c>
      <c r="C21" s="171"/>
      <c r="D21" s="171"/>
      <c r="E21" s="171"/>
      <c r="F21" s="171"/>
      <c r="G21" s="171"/>
      <c r="H21" s="171"/>
      <c r="I21" s="171"/>
    </row>
    <row r="22" spans="1:32" ht="51" customHeight="1" x14ac:dyDescent="0.25">
      <c r="B22" s="1247" t="s">
        <v>2334</v>
      </c>
      <c r="C22" s="1476"/>
      <c r="D22" s="1476"/>
      <c r="E22" s="1476"/>
      <c r="F22" s="1476"/>
      <c r="G22" s="1476"/>
      <c r="H22" s="1476"/>
      <c r="I22" s="1476"/>
      <c r="J22" s="1476"/>
      <c r="K22" s="1476"/>
      <c r="L22" s="1476"/>
      <c r="M22" s="1476"/>
      <c r="N22" s="1476"/>
      <c r="O22" s="1476"/>
      <c r="P22" s="1476"/>
      <c r="Q22" s="1476"/>
      <c r="R22" s="1476"/>
      <c r="S22" s="1476"/>
      <c r="T22" s="1476"/>
      <c r="U22" s="1476"/>
      <c r="V22" s="1476"/>
      <c r="W22" s="1476"/>
      <c r="X22" s="1476"/>
      <c r="Y22" s="1476"/>
      <c r="Z22" s="1476"/>
      <c r="AA22" s="1476"/>
      <c r="AB22" s="1476"/>
      <c r="AC22" s="1476"/>
      <c r="AD22" s="1476"/>
      <c r="AE22" s="1476"/>
      <c r="AF22" s="1476"/>
    </row>
    <row r="24" spans="1:32" x14ac:dyDescent="0.25">
      <c r="A24" s="1472" t="s">
        <v>14</v>
      </c>
      <c r="B24" s="1472"/>
      <c r="C24" s="1472"/>
      <c r="D24" s="1472"/>
      <c r="E24" s="1472"/>
      <c r="F24" s="1472"/>
      <c r="G24" s="1472"/>
      <c r="H24" s="1472"/>
      <c r="I24" s="1472"/>
      <c r="J24" s="1472"/>
      <c r="K24" s="1472"/>
      <c r="L24" s="1472"/>
      <c r="M24" s="1472"/>
      <c r="N24" s="1472"/>
      <c r="O24" s="1472"/>
      <c r="P24" s="1472"/>
      <c r="Q24" s="1472"/>
      <c r="R24" s="1472"/>
      <c r="S24" s="1472"/>
      <c r="T24" s="1472"/>
      <c r="U24" s="1472"/>
      <c r="V24" s="1472"/>
      <c r="W24" s="1472"/>
      <c r="X24" s="1472"/>
      <c r="Y24" s="1472"/>
      <c r="Z24" s="1472"/>
      <c r="AA24" s="1472"/>
      <c r="AB24" s="1472"/>
      <c r="AC24" s="1472"/>
      <c r="AD24" s="1472"/>
      <c r="AE24" s="1472"/>
      <c r="AF24" s="1472"/>
    </row>
    <row r="26" spans="1:32" x14ac:dyDescent="0.25">
      <c r="B26" s="379" t="s">
        <v>2303</v>
      </c>
    </row>
    <row r="28" spans="1:32" x14ac:dyDescent="0.25">
      <c r="AF28" s="304" t="s">
        <v>1705</v>
      </c>
    </row>
    <row r="30" spans="1:32" x14ac:dyDescent="0.25">
      <c r="B30" s="379" t="s">
        <v>2194</v>
      </c>
    </row>
    <row r="31" spans="1:32" ht="14.45" customHeight="1" x14ac:dyDescent="0.25">
      <c r="A31" s="243"/>
      <c r="H31" s="257"/>
      <c r="I31" s="4"/>
      <c r="J31" s="4"/>
      <c r="K31" s="4"/>
      <c r="L31" s="4"/>
      <c r="M31" s="4"/>
      <c r="N31" s="4"/>
      <c r="O31" s="4"/>
      <c r="P31" s="4"/>
      <c r="Q31" s="4"/>
      <c r="R31" s="4"/>
      <c r="S31" s="4"/>
      <c r="T31" s="4"/>
      <c r="U31" s="4"/>
      <c r="V31" s="4"/>
      <c r="W31" s="4"/>
      <c r="X31" s="4"/>
      <c r="Y31" s="4"/>
      <c r="Z31" s="4"/>
      <c r="AA31" s="4"/>
      <c r="AB31" s="4"/>
      <c r="AC31" s="4"/>
      <c r="AD31" s="4"/>
      <c r="AE31" s="4"/>
      <c r="AF31" s="4"/>
    </row>
    <row r="32" spans="1:32" x14ac:dyDescent="0.25">
      <c r="A32" s="243"/>
      <c r="H32" s="257"/>
      <c r="I32" s="4"/>
      <c r="J32" s="4"/>
      <c r="K32" s="4"/>
      <c r="L32" s="4"/>
      <c r="M32" s="4"/>
      <c r="N32" s="4"/>
      <c r="O32" s="4"/>
      <c r="P32" s="4"/>
      <c r="Q32" s="4"/>
      <c r="R32" s="4"/>
      <c r="S32" s="4"/>
      <c r="T32" s="4"/>
      <c r="U32" s="4"/>
      <c r="V32" s="4"/>
      <c r="W32" s="4"/>
      <c r="X32" s="4"/>
      <c r="Y32" s="4"/>
      <c r="Z32" s="4"/>
      <c r="AA32" s="4"/>
      <c r="AB32" s="4"/>
      <c r="AC32" s="4"/>
      <c r="AD32" s="4"/>
      <c r="AE32" s="4"/>
      <c r="AF32" s="304" t="s">
        <v>1706</v>
      </c>
    </row>
    <row r="33" spans="1:50" x14ac:dyDescent="0.25">
      <c r="A33" s="243"/>
      <c r="H33" s="257"/>
      <c r="I33" s="4"/>
      <c r="J33" s="4"/>
      <c r="K33" s="4"/>
      <c r="L33" s="4"/>
      <c r="M33" s="4"/>
      <c r="N33" s="4"/>
      <c r="O33" s="4"/>
      <c r="P33" s="4"/>
      <c r="Q33" s="4"/>
      <c r="R33" s="4"/>
      <c r="S33" s="4"/>
      <c r="T33" s="4"/>
      <c r="U33" s="4"/>
      <c r="V33" s="4"/>
      <c r="W33" s="4"/>
      <c r="X33" s="4"/>
      <c r="Y33" s="4"/>
      <c r="Z33" s="4"/>
      <c r="AA33" s="4"/>
      <c r="AB33" s="4"/>
      <c r="AC33" s="4"/>
      <c r="AD33" s="4"/>
      <c r="AE33" s="4"/>
      <c r="AF33" s="4"/>
    </row>
    <row r="34" spans="1:50" customFormat="1" ht="15" customHeight="1" x14ac:dyDescent="0.25">
      <c r="A34" s="3"/>
      <c r="B34" s="379" t="s">
        <v>1998</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row>
    <row r="35" spans="1:50" customFormat="1" ht="1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50" customFormat="1" ht="1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04" t="s">
        <v>1707</v>
      </c>
    </row>
    <row r="37" spans="1:50" customFormat="1" ht="1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50" x14ac:dyDescent="0.25">
      <c r="A38" s="1472" t="s">
        <v>15</v>
      </c>
      <c r="B38" s="1472"/>
      <c r="C38" s="1472"/>
      <c r="D38" s="1472"/>
      <c r="E38" s="1472"/>
      <c r="F38" s="1472"/>
      <c r="G38" s="1472"/>
      <c r="H38" s="1472"/>
      <c r="I38" s="1472"/>
      <c r="J38" s="1472"/>
      <c r="K38" s="1472"/>
      <c r="L38" s="1472"/>
      <c r="M38" s="1472"/>
      <c r="N38" s="1472"/>
      <c r="O38" s="1472"/>
      <c r="P38" s="1472"/>
      <c r="Q38" s="1472"/>
      <c r="R38" s="1472"/>
      <c r="S38" s="1472"/>
      <c r="T38" s="1472"/>
      <c r="U38" s="1472"/>
      <c r="V38" s="1472"/>
      <c r="W38" s="1472"/>
      <c r="X38" s="1472"/>
      <c r="Y38" s="1472"/>
      <c r="Z38" s="1472"/>
      <c r="AA38" s="1472"/>
      <c r="AB38" s="1472"/>
      <c r="AC38" s="1472"/>
      <c r="AD38" s="1472"/>
      <c r="AE38" s="1472"/>
      <c r="AF38" s="1472"/>
    </row>
    <row r="39" spans="1:50" x14ac:dyDescent="0.25">
      <c r="A39" s="1474" t="s">
        <v>16</v>
      </c>
      <c r="B39" s="1474"/>
      <c r="C39" s="1474"/>
      <c r="D39" s="1474"/>
      <c r="E39" s="1474" t="s">
        <v>10</v>
      </c>
      <c r="F39" s="1474"/>
      <c r="G39" s="1474"/>
      <c r="H39" s="1474"/>
      <c r="I39" s="1474"/>
      <c r="J39" s="1474"/>
      <c r="K39" s="1474"/>
      <c r="L39" s="1474"/>
      <c r="M39" s="1474"/>
      <c r="N39" s="1474"/>
      <c r="O39" s="1474"/>
      <c r="P39" s="1474"/>
      <c r="Q39" s="1474" t="s">
        <v>17</v>
      </c>
      <c r="R39" s="1474"/>
      <c r="S39" s="1474"/>
      <c r="T39" s="1474"/>
      <c r="U39" s="1590" t="s">
        <v>18</v>
      </c>
      <c r="V39" s="1591"/>
      <c r="W39" s="1751"/>
      <c r="X39" s="1590" t="s">
        <v>1708</v>
      </c>
      <c r="Y39" s="1591"/>
      <c r="Z39" s="1591"/>
      <c r="AA39" s="1591"/>
      <c r="AB39" s="1591"/>
      <c r="AC39" s="1591"/>
      <c r="AD39" s="1591"/>
      <c r="AE39" s="1591"/>
      <c r="AF39" s="1751"/>
    </row>
    <row r="40" spans="1:50" ht="14.45" customHeight="1" x14ac:dyDescent="0.25">
      <c r="A40" s="1485" t="s">
        <v>2337</v>
      </c>
      <c r="B40" s="1486"/>
      <c r="C40" s="1486"/>
      <c r="D40" s="1487"/>
      <c r="E40" s="1479" t="s">
        <v>1434</v>
      </c>
      <c r="F40" s="1480"/>
      <c r="G40" s="1480"/>
      <c r="H40" s="1480"/>
      <c r="I40" s="1480"/>
      <c r="J40" s="1480"/>
      <c r="K40" s="1480"/>
      <c r="L40" s="1480"/>
      <c r="M40" s="1480"/>
      <c r="N40" s="1480"/>
      <c r="O40" s="1480"/>
      <c r="P40" s="1481"/>
      <c r="Q40" s="3318">
        <v>7.9000000000000001E-2</v>
      </c>
      <c r="R40" s="3319"/>
      <c r="S40" s="3319"/>
      <c r="T40" s="3320"/>
      <c r="U40" s="1574" t="s">
        <v>26</v>
      </c>
      <c r="V40" s="1575"/>
      <c r="W40" s="1576"/>
      <c r="X40" s="1485" t="s">
        <v>2330</v>
      </c>
      <c r="Y40" s="1486"/>
      <c r="Z40" s="1486"/>
      <c r="AA40" s="1486"/>
      <c r="AB40" s="1486"/>
      <c r="AC40" s="1486"/>
      <c r="AD40" s="1486"/>
      <c r="AE40" s="1486"/>
      <c r="AF40" s="1487"/>
      <c r="AI40" s="262"/>
      <c r="AJ40" s="262"/>
      <c r="AK40" s="262"/>
      <c r="AL40" s="262"/>
      <c r="AM40" s="262"/>
      <c r="AN40" s="262"/>
      <c r="AO40" s="262"/>
      <c r="AP40" s="262"/>
      <c r="AQ40" s="262"/>
      <c r="AR40" s="262"/>
      <c r="AS40" s="262"/>
      <c r="AT40" s="262"/>
      <c r="AU40" s="262"/>
      <c r="AV40" s="262"/>
      <c r="AW40" s="262"/>
      <c r="AX40" s="262"/>
    </row>
    <row r="41" spans="1:50" ht="14.45" customHeight="1" x14ac:dyDescent="0.25">
      <c r="A41" s="1485" t="s">
        <v>2338</v>
      </c>
      <c r="B41" s="1486"/>
      <c r="C41" s="1486"/>
      <c r="D41" s="1487"/>
      <c r="E41" s="1479" t="s">
        <v>2331</v>
      </c>
      <c r="F41" s="1480"/>
      <c r="G41" s="1480"/>
      <c r="H41" s="1480"/>
      <c r="I41" s="1480"/>
      <c r="J41" s="1480"/>
      <c r="K41" s="1480"/>
      <c r="L41" s="1480"/>
      <c r="M41" s="1480"/>
      <c r="N41" s="1480"/>
      <c r="O41" s="1480"/>
      <c r="P41" s="1481"/>
      <c r="Q41" s="3318">
        <v>0.05</v>
      </c>
      <c r="R41" s="3319"/>
      <c r="S41" s="3319"/>
      <c r="T41" s="3320"/>
      <c r="U41" s="1574" t="s">
        <v>26</v>
      </c>
      <c r="V41" s="1575"/>
      <c r="W41" s="1576"/>
      <c r="X41" s="1485" t="s">
        <v>2329</v>
      </c>
      <c r="Y41" s="1486"/>
      <c r="Z41" s="1486"/>
      <c r="AA41" s="1486"/>
      <c r="AB41" s="1486"/>
      <c r="AC41" s="1486"/>
      <c r="AD41" s="1486"/>
      <c r="AE41" s="1486"/>
      <c r="AF41" s="1487"/>
      <c r="AI41" s="262"/>
      <c r="AJ41" s="262"/>
      <c r="AK41" s="262"/>
      <c r="AL41" s="262"/>
      <c r="AM41" s="262"/>
      <c r="AN41" s="262"/>
      <c r="AO41" s="262"/>
      <c r="AP41" s="262"/>
      <c r="AQ41" s="262"/>
      <c r="AR41" s="262"/>
      <c r="AS41" s="262"/>
      <c r="AT41" s="262"/>
      <c r="AU41" s="262"/>
      <c r="AV41" s="262"/>
    </row>
    <row r="42" spans="1:50" ht="14.45" customHeight="1" x14ac:dyDescent="0.25">
      <c r="A42" s="1485" t="s">
        <v>2339</v>
      </c>
      <c r="B42" s="1486"/>
      <c r="C42" s="1486"/>
      <c r="D42" s="1487"/>
      <c r="E42" s="1479" t="s">
        <v>1432</v>
      </c>
      <c r="F42" s="1480"/>
      <c r="G42" s="1480"/>
      <c r="H42" s="1480"/>
      <c r="I42" s="1480"/>
      <c r="J42" s="1480"/>
      <c r="K42" s="1480"/>
      <c r="L42" s="1480"/>
      <c r="M42" s="1480"/>
      <c r="N42" s="1480"/>
      <c r="O42" s="1480"/>
      <c r="P42" s="1481"/>
      <c r="Q42" s="3318">
        <v>577</v>
      </c>
      <c r="R42" s="3319"/>
      <c r="S42" s="3319"/>
      <c r="T42" s="3320"/>
      <c r="U42" s="1574" t="s">
        <v>44</v>
      </c>
      <c r="V42" s="1575"/>
      <c r="W42" s="1576"/>
      <c r="X42" s="1485" t="s">
        <v>2335</v>
      </c>
      <c r="Y42" s="1486"/>
      <c r="Z42" s="1486"/>
      <c r="AA42" s="1486"/>
      <c r="AB42" s="1486"/>
      <c r="AC42" s="1486"/>
      <c r="AD42" s="1486"/>
      <c r="AE42" s="1486"/>
      <c r="AF42" s="1487"/>
      <c r="AJ42" s="262"/>
      <c r="AK42" s="262"/>
      <c r="AL42" s="262"/>
      <c r="AM42" s="262"/>
      <c r="AN42" s="262"/>
      <c r="AO42" s="262"/>
      <c r="AP42" s="262"/>
      <c r="AQ42" s="262"/>
      <c r="AR42" s="262"/>
      <c r="AS42" s="262"/>
      <c r="AT42" s="262"/>
      <c r="AU42" s="262"/>
      <c r="AV42" s="262"/>
      <c r="AW42" s="262"/>
      <c r="AX42" s="262"/>
    </row>
    <row r="43" spans="1:50" ht="14.45" customHeight="1" x14ac:dyDescent="0.25">
      <c r="A43" s="1485" t="s">
        <v>2340</v>
      </c>
      <c r="B43" s="1486"/>
      <c r="C43" s="1486"/>
      <c r="D43" s="1487"/>
      <c r="E43" s="1479" t="s">
        <v>1433</v>
      </c>
      <c r="F43" s="1480"/>
      <c r="G43" s="1480"/>
      <c r="H43" s="1480"/>
      <c r="I43" s="1480"/>
      <c r="J43" s="1480"/>
      <c r="K43" s="1480"/>
      <c r="L43" s="1480"/>
      <c r="M43" s="1480"/>
      <c r="N43" s="1480"/>
      <c r="O43" s="1480"/>
      <c r="P43" s="1481"/>
      <c r="Q43" s="3318">
        <v>328</v>
      </c>
      <c r="R43" s="3319"/>
      <c r="S43" s="3319"/>
      <c r="T43" s="3320"/>
      <c r="U43" s="1574" t="s">
        <v>44</v>
      </c>
      <c r="V43" s="1575"/>
      <c r="W43" s="1576"/>
      <c r="X43" s="1485" t="s">
        <v>2329</v>
      </c>
      <c r="Y43" s="1486"/>
      <c r="Z43" s="1486"/>
      <c r="AA43" s="1486"/>
      <c r="AB43" s="1486"/>
      <c r="AC43" s="1486"/>
      <c r="AD43" s="1486"/>
      <c r="AE43" s="1486"/>
      <c r="AF43" s="1487"/>
      <c r="AJ43" s="262"/>
      <c r="AK43" s="262"/>
      <c r="AL43" s="262"/>
      <c r="AM43" s="262"/>
      <c r="AN43" s="262"/>
      <c r="AO43" s="262"/>
      <c r="AP43" s="262"/>
      <c r="AQ43" s="262"/>
      <c r="AR43" s="262"/>
      <c r="AS43" s="262"/>
      <c r="AT43" s="262"/>
      <c r="AU43" s="262"/>
      <c r="AV43" s="262"/>
      <c r="AW43" s="262"/>
      <c r="AX43" s="262"/>
    </row>
    <row r="44" spans="1:50" ht="78" customHeight="1" x14ac:dyDescent="0.25">
      <c r="A44" s="1485" t="s">
        <v>42</v>
      </c>
      <c r="B44" s="1486"/>
      <c r="C44" s="1486"/>
      <c r="D44" s="1487"/>
      <c r="E44" s="1479" t="s">
        <v>865</v>
      </c>
      <c r="F44" s="1480"/>
      <c r="G44" s="1480"/>
      <c r="H44" s="1480"/>
      <c r="I44" s="1480"/>
      <c r="J44" s="1480"/>
      <c r="K44" s="1480"/>
      <c r="L44" s="1480"/>
      <c r="M44" s="1480"/>
      <c r="N44" s="1480"/>
      <c r="O44" s="1480"/>
      <c r="P44" s="1481"/>
      <c r="Q44" s="3318">
        <v>0.5</v>
      </c>
      <c r="R44" s="3319"/>
      <c r="S44" s="3319"/>
      <c r="T44" s="3320"/>
      <c r="U44" s="1592" t="s">
        <v>28</v>
      </c>
      <c r="V44" s="1575"/>
      <c r="W44" s="1576"/>
      <c r="X44" s="1479" t="s">
        <v>2336</v>
      </c>
      <c r="Y44" s="1480"/>
      <c r="Z44" s="1480"/>
      <c r="AA44" s="1480"/>
      <c r="AB44" s="1480"/>
      <c r="AC44" s="1480"/>
      <c r="AD44" s="1480"/>
      <c r="AE44" s="1480"/>
      <c r="AF44" s="1481"/>
      <c r="AJ44" s="262"/>
      <c r="AK44" s="262"/>
      <c r="AL44" s="262"/>
      <c r="AM44" s="262"/>
      <c r="AN44" s="262"/>
      <c r="AO44" s="262"/>
      <c r="AP44" s="262"/>
      <c r="AQ44" s="262"/>
      <c r="AR44" s="262"/>
      <c r="AS44" s="262"/>
      <c r="AT44" s="262"/>
      <c r="AU44" s="262"/>
      <c r="AV44" s="262"/>
      <c r="AW44" s="262"/>
      <c r="AX44" s="262"/>
    </row>
    <row r="45" spans="1:50" ht="14.45" customHeight="1" x14ac:dyDescent="0.25">
      <c r="A45" s="1485" t="s">
        <v>2052</v>
      </c>
      <c r="B45" s="1486" t="s">
        <v>34</v>
      </c>
      <c r="C45" s="1486" t="s">
        <v>34</v>
      </c>
      <c r="D45" s="1487" t="s">
        <v>34</v>
      </c>
      <c r="E45" s="1479" t="s">
        <v>2217</v>
      </c>
      <c r="F45" s="1480"/>
      <c r="G45" s="1480"/>
      <c r="H45" s="1480"/>
      <c r="I45" s="1480"/>
      <c r="J45" s="1480"/>
      <c r="K45" s="1480"/>
      <c r="L45" s="1480"/>
      <c r="M45" s="1480"/>
      <c r="N45" s="1480"/>
      <c r="O45" s="1480"/>
      <c r="P45" s="1481"/>
      <c r="Q45" s="1482">
        <f>'Master EUL'!X50</f>
        <v>5</v>
      </c>
      <c r="R45" s="1483"/>
      <c r="S45" s="1483"/>
      <c r="T45" s="1484"/>
      <c r="U45" s="1574" t="s">
        <v>46</v>
      </c>
      <c r="V45" s="1575"/>
      <c r="W45" s="1576"/>
      <c r="X45" s="1574"/>
      <c r="Y45" s="1575"/>
      <c r="Z45" s="1575"/>
      <c r="AA45" s="1575"/>
      <c r="AB45" s="1575"/>
      <c r="AC45" s="1575"/>
      <c r="AD45" s="1575"/>
      <c r="AE45" s="1575"/>
      <c r="AF45" s="1576"/>
      <c r="AI45" s="262"/>
      <c r="AJ45" s="262"/>
      <c r="AK45" s="262"/>
      <c r="AL45" s="262"/>
      <c r="AM45" s="262"/>
      <c r="AN45" s="262"/>
      <c r="AO45" s="262"/>
      <c r="AP45" s="262"/>
      <c r="AQ45" s="262"/>
      <c r="AR45" s="262"/>
      <c r="AS45" s="262"/>
      <c r="AT45" s="262"/>
      <c r="AU45" s="262"/>
      <c r="AV45" s="262"/>
    </row>
    <row r="46" spans="1:50" ht="105" customHeight="1" x14ac:dyDescent="0.25">
      <c r="A46" s="1601" t="s">
        <v>3038</v>
      </c>
      <c r="B46" s="1601"/>
      <c r="C46" s="1601"/>
      <c r="D46" s="1601"/>
      <c r="E46" s="1601"/>
      <c r="F46" s="1601"/>
      <c r="G46" s="1601"/>
      <c r="H46" s="1601"/>
      <c r="I46" s="1601"/>
      <c r="J46" s="1601"/>
      <c r="K46" s="1601"/>
      <c r="L46" s="1601"/>
      <c r="M46" s="1601"/>
      <c r="N46" s="1601"/>
      <c r="O46" s="1601"/>
      <c r="P46" s="1601"/>
      <c r="Q46" s="1601"/>
      <c r="R46" s="1601"/>
      <c r="S46" s="1601"/>
      <c r="T46" s="1601"/>
      <c r="U46" s="1601"/>
      <c r="V46" s="1601"/>
      <c r="W46" s="1601"/>
      <c r="X46" s="1601"/>
      <c r="Y46" s="1601"/>
      <c r="Z46" s="1601"/>
      <c r="AA46" s="1601"/>
      <c r="AB46" s="1601"/>
      <c r="AC46" s="1601"/>
      <c r="AD46" s="1601"/>
      <c r="AE46" s="1601"/>
      <c r="AF46" s="1601"/>
    </row>
    <row r="47" spans="1:50" ht="139.5" customHeight="1" x14ac:dyDescent="0.25">
      <c r="A47" s="1415" t="s">
        <v>2341</v>
      </c>
      <c r="B47" s="1415"/>
      <c r="C47" s="1415"/>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c r="AE47" s="1415"/>
      <c r="AF47" s="1415"/>
    </row>
    <row r="49" spans="1:32" x14ac:dyDescent="0.25">
      <c r="A49" s="1472" t="s">
        <v>21</v>
      </c>
      <c r="B49" s="1472"/>
      <c r="C49" s="1472"/>
      <c r="D49" s="1472"/>
      <c r="E49" s="1472"/>
      <c r="F49" s="1472"/>
      <c r="G49" s="1472"/>
      <c r="H49" s="1472"/>
      <c r="I49" s="1472"/>
      <c r="J49" s="1472"/>
      <c r="K49" s="1472"/>
      <c r="L49" s="1472"/>
      <c r="M49" s="1472"/>
      <c r="N49" s="1472"/>
      <c r="O49" s="1472"/>
      <c r="P49" s="1472"/>
      <c r="Q49" s="1472"/>
      <c r="R49" s="1472"/>
      <c r="S49" s="1472"/>
      <c r="T49" s="1472"/>
      <c r="U49" s="1472"/>
      <c r="V49" s="1472"/>
      <c r="W49" s="1472"/>
      <c r="X49" s="1472"/>
      <c r="Y49" s="1472"/>
      <c r="Z49" s="1472"/>
      <c r="AA49" s="1472"/>
      <c r="AB49" s="1472"/>
      <c r="AC49" s="1472"/>
      <c r="AD49" s="1472"/>
      <c r="AE49" s="1472"/>
      <c r="AF49" s="1472"/>
    </row>
    <row r="50" spans="1:32" ht="15.75" thickBot="1" x14ac:dyDescent="0.3"/>
    <row r="51" spans="1:32" ht="30.75" customHeight="1" x14ac:dyDescent="0.25">
      <c r="A51" s="1583" t="s">
        <v>22</v>
      </c>
      <c r="B51" s="1584"/>
      <c r="C51" s="1584"/>
      <c r="D51" s="1584"/>
      <c r="E51" s="1584"/>
      <c r="F51" s="1584"/>
      <c r="G51" s="1584"/>
      <c r="H51" s="1584"/>
      <c r="I51" s="1609" t="s">
        <v>2922</v>
      </c>
      <c r="J51" s="1584"/>
      <c r="K51" s="1584"/>
      <c r="L51" s="1584"/>
      <c r="M51" s="1584"/>
      <c r="N51" s="1584"/>
      <c r="O51" s="1584"/>
      <c r="P51" s="1584"/>
      <c r="Q51" s="1609" t="s">
        <v>2918</v>
      </c>
      <c r="R51" s="1584"/>
      <c r="S51" s="1584"/>
      <c r="T51" s="1584"/>
      <c r="U51" s="1584"/>
      <c r="V51" s="1584"/>
      <c r="W51" s="1584"/>
      <c r="X51" s="1584"/>
      <c r="Y51" s="2750" t="s">
        <v>1786</v>
      </c>
      <c r="Z51" s="1584"/>
      <c r="AA51" s="1584"/>
      <c r="AB51" s="1584"/>
      <c r="AC51" s="1584"/>
      <c r="AD51" s="1584"/>
      <c r="AE51" s="1584"/>
      <c r="AF51" s="1585"/>
    </row>
    <row r="52" spans="1:32" ht="15.75" thickBot="1" x14ac:dyDescent="0.3">
      <c r="A52" s="3324" t="s">
        <v>651</v>
      </c>
      <c r="B52" s="3325"/>
      <c r="C52" s="3325"/>
      <c r="D52" s="3325"/>
      <c r="E52" s="3325"/>
      <c r="F52" s="3325"/>
      <c r="G52" s="3325"/>
      <c r="H52" s="3325"/>
      <c r="I52" s="1744">
        <f>ROUND((Q40-Q41)*$Q$44,3)</f>
        <v>1.4999999999999999E-2</v>
      </c>
      <c r="J52" s="1744"/>
      <c r="K52" s="1744"/>
      <c r="L52" s="1744"/>
      <c r="M52" s="1744"/>
      <c r="N52" s="1744"/>
      <c r="O52" s="1744"/>
      <c r="P52" s="1744"/>
      <c r="Q52" s="1745">
        <f>ROUND((Q42-Q43)*$Q$44,2)</f>
        <v>124.5</v>
      </c>
      <c r="R52" s="1745"/>
      <c r="S52" s="1745"/>
      <c r="T52" s="1745"/>
      <c r="U52" s="1745"/>
      <c r="V52" s="1745"/>
      <c r="W52" s="1745"/>
      <c r="X52" s="1745"/>
      <c r="Y52" s="3724">
        <f>ROUND($Q$52*$Q$45,2)</f>
        <v>622.5</v>
      </c>
      <c r="Z52" s="2640"/>
      <c r="AA52" s="2640"/>
      <c r="AB52" s="2640"/>
      <c r="AC52" s="2640"/>
      <c r="AD52" s="2640"/>
      <c r="AE52" s="2640"/>
      <c r="AF52" s="2641"/>
    </row>
    <row r="55" spans="1:32" x14ac:dyDescent="0.25">
      <c r="A55" s="1472" t="s">
        <v>1753</v>
      </c>
      <c r="B55" s="1472"/>
      <c r="C55" s="1472"/>
      <c r="D55" s="1472"/>
      <c r="E55" s="1472"/>
      <c r="F55" s="1472"/>
      <c r="G55" s="1472"/>
      <c r="H55" s="1472"/>
      <c r="I55" s="1472"/>
      <c r="J55" s="1472"/>
      <c r="K55" s="1472"/>
      <c r="L55" s="1472"/>
      <c r="M55" s="1472"/>
      <c r="N55" s="1472"/>
      <c r="O55" s="1472"/>
      <c r="P55" s="1472"/>
      <c r="Q55" s="1472"/>
      <c r="R55" s="1472"/>
      <c r="S55" s="1472"/>
      <c r="T55" s="1472"/>
      <c r="U55" s="1472"/>
      <c r="V55" s="1472"/>
      <c r="W55" s="1472"/>
      <c r="X55" s="1472"/>
      <c r="Y55" s="1472"/>
      <c r="Z55" s="1472"/>
      <c r="AA55" s="1472"/>
      <c r="AB55" s="1472"/>
      <c r="AC55" s="1472"/>
      <c r="AD55" s="1472"/>
      <c r="AE55" s="1472"/>
      <c r="AF55" s="1472"/>
    </row>
    <row r="57" spans="1:32" x14ac:dyDescent="0.25">
      <c r="A57" s="515" t="s">
        <v>1013</v>
      </c>
      <c r="B57" s="1247" t="s">
        <v>2666</v>
      </c>
      <c r="C57" s="1247"/>
      <c r="D57" s="1247"/>
      <c r="E57" s="1247"/>
      <c r="F57" s="1247"/>
      <c r="G57" s="1247"/>
      <c r="H57" s="1247"/>
      <c r="I57" s="1247"/>
      <c r="J57" s="1247"/>
      <c r="K57" s="1247"/>
      <c r="L57" s="1247"/>
      <c r="M57" s="1247"/>
      <c r="N57" s="1247"/>
      <c r="O57" s="1247"/>
      <c r="P57" s="1247"/>
      <c r="Q57" s="1247"/>
      <c r="R57" s="1247"/>
      <c r="S57" s="1247"/>
      <c r="T57" s="1247"/>
      <c r="U57" s="1247"/>
      <c r="V57" s="1247"/>
      <c r="W57" s="1247"/>
      <c r="X57" s="1247"/>
      <c r="Y57" s="1247"/>
      <c r="Z57" s="1247"/>
      <c r="AA57" s="1247"/>
      <c r="AB57" s="1247"/>
      <c r="AC57" s="1247"/>
      <c r="AD57" s="1247"/>
      <c r="AE57" s="1247"/>
      <c r="AF57" s="1247"/>
    </row>
    <row r="58" spans="1:32" ht="33.75" customHeight="1" x14ac:dyDescent="0.25">
      <c r="A58" s="515" t="s">
        <v>1013</v>
      </c>
      <c r="B58" s="1247" t="s">
        <v>2988</v>
      </c>
      <c r="C58" s="1247"/>
      <c r="D58" s="1247"/>
      <c r="E58" s="1247"/>
      <c r="F58" s="1247"/>
      <c r="G58" s="1247"/>
      <c r="H58" s="1247"/>
      <c r="I58" s="1247"/>
      <c r="J58" s="1247"/>
      <c r="K58" s="1247"/>
      <c r="L58" s="1247"/>
      <c r="M58" s="1247"/>
      <c r="N58" s="1247"/>
      <c r="O58" s="1247"/>
      <c r="P58" s="1247"/>
      <c r="Q58" s="1247"/>
      <c r="R58" s="1247"/>
      <c r="S58" s="1247"/>
      <c r="T58" s="1247"/>
      <c r="U58" s="1247"/>
      <c r="V58" s="1247"/>
      <c r="W58" s="1247"/>
      <c r="X58" s="1247"/>
      <c r="Y58" s="1247"/>
      <c r="Z58" s="1247"/>
      <c r="AA58" s="1247"/>
      <c r="AB58" s="1247"/>
      <c r="AC58" s="1247"/>
      <c r="AD58" s="1247"/>
      <c r="AE58" s="1247"/>
      <c r="AF58" s="1247"/>
    </row>
    <row r="59" spans="1:32" ht="50.25" customHeight="1" x14ac:dyDescent="0.25">
      <c r="A59" s="515" t="s">
        <v>1013</v>
      </c>
      <c r="B59" s="1247" t="s">
        <v>2342</v>
      </c>
      <c r="C59" s="1247"/>
      <c r="D59" s="1247"/>
      <c r="E59" s="1247"/>
      <c r="F59" s="1247"/>
      <c r="G59" s="1247"/>
      <c r="H59" s="1247"/>
      <c r="I59" s="1247"/>
      <c r="J59" s="1247"/>
      <c r="K59" s="1247"/>
      <c r="L59" s="1247"/>
      <c r="M59" s="1247"/>
      <c r="N59" s="1247"/>
      <c r="O59" s="1247"/>
      <c r="P59" s="1247"/>
      <c r="Q59" s="1247"/>
      <c r="R59" s="1247"/>
      <c r="S59" s="1247"/>
      <c r="T59" s="1247"/>
      <c r="U59" s="1247"/>
      <c r="V59" s="1247"/>
      <c r="W59" s="1247"/>
      <c r="X59" s="1247"/>
      <c r="Y59" s="1247"/>
      <c r="Z59" s="1247"/>
      <c r="AA59" s="1247"/>
      <c r="AB59" s="1247"/>
      <c r="AC59" s="1247"/>
      <c r="AD59" s="1247"/>
      <c r="AE59" s="1247"/>
      <c r="AF59" s="1247"/>
    </row>
    <row r="60" spans="1:32" ht="48.75" customHeight="1" x14ac:dyDescent="0.25">
      <c r="A60" s="515" t="s">
        <v>1013</v>
      </c>
      <c r="B60" s="1247" t="s">
        <v>2343</v>
      </c>
      <c r="C60" s="1247"/>
      <c r="D60" s="1247"/>
      <c r="E60" s="1247"/>
      <c r="F60" s="1247"/>
      <c r="G60" s="1247"/>
      <c r="H60" s="1247"/>
      <c r="I60" s="1247"/>
      <c r="J60" s="1247"/>
      <c r="K60" s="1247"/>
      <c r="L60" s="1247"/>
      <c r="M60" s="1247"/>
      <c r="N60" s="1247"/>
      <c r="O60" s="1247"/>
      <c r="P60" s="1247"/>
      <c r="Q60" s="1247"/>
      <c r="R60" s="1247"/>
      <c r="S60" s="1247"/>
      <c r="T60" s="1247"/>
      <c r="U60" s="1247"/>
      <c r="V60" s="1247"/>
      <c r="W60" s="1247"/>
      <c r="X60" s="1247"/>
      <c r="Y60" s="1247"/>
      <c r="Z60" s="1247"/>
      <c r="AA60" s="1247"/>
      <c r="AB60" s="1247"/>
      <c r="AC60" s="1247"/>
      <c r="AD60" s="1247"/>
      <c r="AE60" s="1247"/>
      <c r="AF60" s="1247"/>
    </row>
  </sheetData>
  <sheetProtection algorithmName="SHA-512" hashValue="A6uw8fbnbvkp0713VE7jQXSr+zW2HLhsaKw6p/mH64h0IVSnOlsuK54fzUw4O7X7h4+CUr1DPi+u6luZnlskQg==" saltValue="8OHV+oWK8FjfNwMQ3xOnRA==" spinCount="100000" sheet="1" objects="1" scenarios="1"/>
  <mergeCells count="66">
    <mergeCell ref="A55:AF55"/>
    <mergeCell ref="B58:AF58"/>
    <mergeCell ref="B59:AF59"/>
    <mergeCell ref="B60:AF60"/>
    <mergeCell ref="A46:AF46"/>
    <mergeCell ref="A47:AF47"/>
    <mergeCell ref="A49:AF49"/>
    <mergeCell ref="A51:H51"/>
    <mergeCell ref="I51:P51"/>
    <mergeCell ref="Q51:X51"/>
    <mergeCell ref="A52:H52"/>
    <mergeCell ref="I52:P52"/>
    <mergeCell ref="Q52:X52"/>
    <mergeCell ref="Y51:AF51"/>
    <mergeCell ref="Y52:AF52"/>
    <mergeCell ref="B57:AF57"/>
    <mergeCell ref="A40:D40"/>
    <mergeCell ref="E40:P40"/>
    <mergeCell ref="Q40:T40"/>
    <mergeCell ref="U40:W40"/>
    <mergeCell ref="X40:AF40"/>
    <mergeCell ref="A44:D44"/>
    <mergeCell ref="E44:P44"/>
    <mergeCell ref="Q44:T44"/>
    <mergeCell ref="U44:W44"/>
    <mergeCell ref="X44:AF44"/>
    <mergeCell ref="A45:D45"/>
    <mergeCell ref="E45:P45"/>
    <mergeCell ref="Q45:T45"/>
    <mergeCell ref="U45:W45"/>
    <mergeCell ref="X45:AF45"/>
    <mergeCell ref="X41:AF41"/>
    <mergeCell ref="A42:D42"/>
    <mergeCell ref="E42:P42"/>
    <mergeCell ref="Q42:T42"/>
    <mergeCell ref="U42:W42"/>
    <mergeCell ref="X42:AF42"/>
    <mergeCell ref="A41:D41"/>
    <mergeCell ref="E41:P41"/>
    <mergeCell ref="Q41:T41"/>
    <mergeCell ref="U41:W41"/>
    <mergeCell ref="A43:D43"/>
    <mergeCell ref="E43:P43"/>
    <mergeCell ref="Q43:T43"/>
    <mergeCell ref="U43:W43"/>
    <mergeCell ref="X43:AF43"/>
    <mergeCell ref="A38:AF38"/>
    <mergeCell ref="A39:D39"/>
    <mergeCell ref="E39:P39"/>
    <mergeCell ref="Q39:T39"/>
    <mergeCell ref="U39:W39"/>
    <mergeCell ref="X39:AF39"/>
    <mergeCell ref="A1:AF1"/>
    <mergeCell ref="A7:AF7"/>
    <mergeCell ref="B9:I9"/>
    <mergeCell ref="B10:AF10"/>
    <mergeCell ref="B12:I12"/>
    <mergeCell ref="A3:AF3"/>
    <mergeCell ref="B5:AF5"/>
    <mergeCell ref="B22:AF22"/>
    <mergeCell ref="A24:AF24"/>
    <mergeCell ref="B13:AF13"/>
    <mergeCell ref="B15:I15"/>
    <mergeCell ref="B16:AF16"/>
    <mergeCell ref="B18:I18"/>
    <mergeCell ref="B19:AF19"/>
  </mergeCells>
  <hyperlinks>
    <hyperlink ref="A2" location="TOC!A1" display="Return to TOC" xr:uid="{00000000-0004-0000-62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77">
    <tabColor theme="5" tint="0.59999389629810485"/>
    <pageSetUpPr autoPageBreaks="0"/>
  </sheetPr>
  <dimension ref="A1:AF168"/>
  <sheetViews>
    <sheetView zoomScaleNormal="100" workbookViewId="0">
      <selection sqref="A1:AF1"/>
    </sheetView>
  </sheetViews>
  <sheetFormatPr defaultColWidth="2.7109375" defaultRowHeight="15" x14ac:dyDescent="0.25"/>
  <sheetData>
    <row r="1" spans="1:32" ht="18.75" x14ac:dyDescent="0.25">
      <c r="A1" s="1464" t="s">
        <v>1425</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x14ac:dyDescent="0.25">
      <c r="A2" s="376" t="s">
        <v>1702</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1:32"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262"/>
      <c r="B5" s="1589" t="s">
        <v>4635</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2" x14ac:dyDescent="0.25">
      <c r="A6" s="262"/>
      <c r="B6" s="262"/>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row>
    <row r="7" spans="1:32"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row>
    <row r="8" spans="1:32" x14ac:dyDescent="0.25">
      <c r="A8" s="19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row>
    <row r="9" spans="1:32" x14ac:dyDescent="0.25">
      <c r="A9" s="262"/>
      <c r="B9" s="414" t="s">
        <v>10</v>
      </c>
      <c r="C9" s="414"/>
      <c r="D9" s="414"/>
      <c r="E9" s="414"/>
      <c r="F9" s="414"/>
      <c r="G9" s="414"/>
      <c r="H9" s="414"/>
      <c r="I9" s="414"/>
      <c r="J9" s="262"/>
      <c r="K9" s="262"/>
      <c r="L9" s="262"/>
      <c r="M9" s="262"/>
      <c r="N9" s="262"/>
      <c r="O9" s="262"/>
      <c r="P9" s="262"/>
      <c r="Q9" s="262"/>
      <c r="R9" s="262"/>
      <c r="S9" s="262"/>
      <c r="T9" s="262"/>
      <c r="U9" s="262"/>
      <c r="V9" s="262"/>
      <c r="W9" s="262"/>
      <c r="X9" s="262"/>
      <c r="Y9" s="262"/>
      <c r="Z9" s="262"/>
      <c r="AA9" s="262"/>
      <c r="AB9" s="262"/>
      <c r="AC9" s="262"/>
      <c r="AD9" s="262"/>
      <c r="AE9" s="262"/>
      <c r="AF9" s="262"/>
    </row>
    <row r="10" spans="1:32" x14ac:dyDescent="0.25">
      <c r="A10" s="262"/>
      <c r="B10" s="1703" t="s">
        <v>1426</v>
      </c>
      <c r="C10" s="1703"/>
      <c r="D10" s="1703"/>
      <c r="E10" s="1703"/>
      <c r="F10" s="1703"/>
      <c r="G10" s="1703"/>
      <c r="H10" s="1703"/>
      <c r="I10" s="1703"/>
      <c r="J10" s="1703"/>
      <c r="K10" s="1703"/>
      <c r="L10" s="1703"/>
      <c r="M10" s="1703"/>
      <c r="N10" s="1703"/>
      <c r="O10" s="1703"/>
      <c r="P10" s="1703"/>
      <c r="Q10" s="1703"/>
      <c r="R10" s="1703"/>
      <c r="S10" s="1703"/>
      <c r="T10" s="1703"/>
      <c r="U10" s="1703"/>
      <c r="V10" s="1703"/>
      <c r="W10" s="1703"/>
      <c r="X10" s="1703"/>
      <c r="Y10" s="1703"/>
      <c r="Z10" s="1703"/>
      <c r="AA10" s="1703"/>
      <c r="AB10" s="1703"/>
      <c r="AC10" s="1703"/>
      <c r="AD10" s="1703"/>
      <c r="AE10" s="1703"/>
      <c r="AF10" s="1703"/>
    </row>
    <row r="11" spans="1:32"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row>
    <row r="12" spans="1:32" x14ac:dyDescent="0.25">
      <c r="A12" s="262"/>
      <c r="B12" s="414" t="s">
        <v>11</v>
      </c>
      <c r="C12" s="414"/>
      <c r="D12" s="414"/>
      <c r="E12" s="414"/>
      <c r="F12" s="414"/>
      <c r="G12" s="414"/>
      <c r="H12" s="414"/>
      <c r="I12" s="414"/>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row>
    <row r="13" spans="1:32" ht="33.75" customHeight="1" x14ac:dyDescent="0.25">
      <c r="A13" s="262"/>
      <c r="B13" s="1173" t="s">
        <v>3747</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row>
    <row r="14" spans="1:32" x14ac:dyDescent="0.2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row>
    <row r="15" spans="1:32" x14ac:dyDescent="0.25">
      <c r="A15" s="262"/>
      <c r="B15" s="414" t="s">
        <v>12</v>
      </c>
      <c r="C15" s="414"/>
      <c r="D15" s="414"/>
      <c r="E15" s="414"/>
      <c r="F15" s="414"/>
      <c r="G15" s="414"/>
      <c r="H15" s="414"/>
      <c r="I15" s="414"/>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row>
    <row r="16" spans="1:32" x14ac:dyDescent="0.25">
      <c r="A16" s="262"/>
      <c r="B16" s="1703" t="s">
        <v>3596</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row>
    <row r="17" spans="1:32" x14ac:dyDescent="0.25">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row>
    <row r="18" spans="1:32" x14ac:dyDescent="0.25">
      <c r="A18" s="262"/>
      <c r="B18" s="414" t="s">
        <v>13</v>
      </c>
      <c r="C18" s="414"/>
      <c r="D18" s="414"/>
      <c r="E18" s="414"/>
      <c r="F18" s="414"/>
      <c r="G18" s="414"/>
      <c r="H18" s="414"/>
      <c r="I18" s="414"/>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row>
    <row r="19" spans="1:32" ht="91.5" customHeight="1" x14ac:dyDescent="0.25">
      <c r="A19" s="262"/>
      <c r="B19" s="1173" t="s">
        <v>4051</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row>
    <row r="20" spans="1:32" x14ac:dyDescent="0.25">
      <c r="A20" s="262"/>
      <c r="B20" s="647"/>
      <c r="C20" s="647"/>
      <c r="D20" s="647"/>
      <c r="E20" s="647"/>
      <c r="F20" s="647"/>
      <c r="G20" s="647"/>
      <c r="H20" s="647"/>
      <c r="I20" s="647"/>
      <c r="J20" s="647"/>
      <c r="K20" s="647"/>
      <c r="L20" s="647"/>
      <c r="M20" s="647"/>
      <c r="N20" s="647"/>
      <c r="O20" s="647"/>
      <c r="P20" s="647"/>
      <c r="Q20" s="647"/>
      <c r="R20" s="647"/>
      <c r="S20" s="647"/>
      <c r="T20" s="647"/>
      <c r="U20" s="647"/>
      <c r="V20" s="647"/>
      <c r="W20" s="647"/>
      <c r="X20" s="647"/>
      <c r="Y20" s="647"/>
      <c r="Z20" s="647"/>
      <c r="AA20" s="647"/>
      <c r="AB20" s="647"/>
      <c r="AC20" s="647"/>
      <c r="AD20" s="647"/>
      <c r="AE20" s="647"/>
      <c r="AF20" s="647"/>
    </row>
    <row r="21" spans="1:32" ht="81" customHeight="1" x14ac:dyDescent="0.25">
      <c r="A21" s="262"/>
      <c r="B21" s="1173" t="s">
        <v>4052</v>
      </c>
      <c r="C21" s="1173"/>
      <c r="D21" s="1173"/>
      <c r="E21" s="1173"/>
      <c r="F21" s="1173"/>
      <c r="G21" s="1173"/>
      <c r="H21" s="1173"/>
      <c r="I21" s="1173"/>
      <c r="J21" s="1173"/>
      <c r="K21" s="1173"/>
      <c r="L21" s="1173"/>
      <c r="M21" s="1173"/>
      <c r="N21" s="1173"/>
      <c r="O21" s="1173"/>
      <c r="P21" s="1173"/>
      <c r="Q21" s="1173"/>
      <c r="R21" s="1173"/>
      <c r="S21" s="1173"/>
      <c r="T21" s="1173"/>
      <c r="U21" s="1173"/>
      <c r="V21" s="1173"/>
      <c r="W21" s="1173"/>
      <c r="X21" s="1173"/>
      <c r="Y21" s="1173"/>
      <c r="Z21" s="1173"/>
      <c r="AA21" s="1173"/>
      <c r="AB21" s="1173"/>
      <c r="AC21" s="1173"/>
      <c r="AD21" s="1173"/>
      <c r="AE21" s="1173"/>
      <c r="AF21" s="1173"/>
    </row>
    <row r="22" spans="1:32" x14ac:dyDescent="0.25">
      <c r="A22" s="262"/>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row>
    <row r="23" spans="1:32" x14ac:dyDescent="0.25">
      <c r="A23" s="262"/>
      <c r="B23" s="414" t="s">
        <v>20</v>
      </c>
      <c r="C23" s="414"/>
      <c r="D23" s="414"/>
      <c r="E23" s="414"/>
      <c r="F23" s="414"/>
      <c r="G23" s="414"/>
      <c r="H23" s="414"/>
      <c r="I23" s="414"/>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row>
    <row r="24" spans="1:32" x14ac:dyDescent="0.25">
      <c r="A24" s="262"/>
      <c r="B24" s="1703" t="s">
        <v>4053</v>
      </c>
      <c r="C24" s="1703"/>
      <c r="D24" s="1703"/>
      <c r="E24" s="1703"/>
      <c r="F24" s="1703"/>
      <c r="G24" s="1703"/>
      <c r="H24" s="1703"/>
      <c r="I24" s="1703"/>
      <c r="J24" s="1703"/>
      <c r="K24" s="1703"/>
      <c r="L24" s="1703"/>
      <c r="M24" s="1703"/>
      <c r="N24" s="1703"/>
      <c r="O24" s="1703"/>
      <c r="P24" s="1703"/>
      <c r="Q24" s="1703"/>
      <c r="R24" s="1703"/>
      <c r="S24" s="1703"/>
      <c r="T24" s="1703"/>
      <c r="U24" s="1703"/>
      <c r="V24" s="1703"/>
      <c r="W24" s="1703"/>
      <c r="X24" s="1703"/>
      <c r="Y24" s="1703"/>
      <c r="Z24" s="1703"/>
      <c r="AA24" s="1703"/>
      <c r="AB24" s="1703"/>
      <c r="AC24" s="1703"/>
      <c r="AD24" s="1703"/>
      <c r="AE24" s="1703"/>
      <c r="AF24" s="1703"/>
    </row>
    <row r="25" spans="1:32" x14ac:dyDescent="0.25">
      <c r="A25" s="262"/>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row>
    <row r="26" spans="1:32" x14ac:dyDescent="0.25">
      <c r="A26" s="262"/>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row>
    <row r="27" spans="1:32" x14ac:dyDescent="0.25">
      <c r="A27" s="1621" t="s">
        <v>14</v>
      </c>
      <c r="B27" s="1621"/>
      <c r="C27" s="1621"/>
      <c r="D27" s="1621"/>
      <c r="E27" s="1621"/>
      <c r="F27" s="1621"/>
      <c r="G27" s="1621"/>
      <c r="H27" s="1621"/>
      <c r="I27" s="1621"/>
      <c r="J27" s="1621"/>
      <c r="K27" s="1621"/>
      <c r="L27" s="1621"/>
      <c r="M27" s="1621"/>
      <c r="N27" s="1621"/>
      <c r="O27" s="1621"/>
      <c r="P27" s="1621"/>
      <c r="Q27" s="1621"/>
      <c r="R27" s="1621"/>
      <c r="S27" s="1621"/>
      <c r="T27" s="1621"/>
      <c r="U27" s="1621"/>
      <c r="V27" s="1621"/>
      <c r="W27" s="1621"/>
      <c r="X27" s="1621"/>
      <c r="Y27" s="1621"/>
      <c r="Z27" s="1621"/>
      <c r="AA27" s="1621"/>
      <c r="AB27" s="1621"/>
      <c r="AC27" s="1621"/>
      <c r="AD27" s="1621"/>
      <c r="AE27" s="1621"/>
      <c r="AF27" s="1621"/>
    </row>
    <row r="28" spans="1:32" x14ac:dyDescent="0.25">
      <c r="A28" s="262"/>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row>
    <row r="29" spans="1:32" x14ac:dyDescent="0.25">
      <c r="A29" s="262"/>
      <c r="B29" s="519" t="s">
        <v>2301</v>
      </c>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row>
    <row r="30" spans="1:32" x14ac:dyDescent="0.25">
      <c r="A30" s="262"/>
      <c r="B30" s="519"/>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row>
    <row r="31" spans="1:32" x14ac:dyDescent="0.25">
      <c r="A31" s="262"/>
      <c r="B31" s="519"/>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419" t="s">
        <v>1705</v>
      </c>
    </row>
    <row r="32" spans="1:32" x14ac:dyDescent="0.25">
      <c r="A32" s="262"/>
      <c r="B32" s="519"/>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row>
    <row r="33" spans="1:32" x14ac:dyDescent="0.25">
      <c r="A33" s="262"/>
      <c r="B33" s="519" t="s">
        <v>2302</v>
      </c>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row>
    <row r="34" spans="1:32" x14ac:dyDescent="0.25">
      <c r="A34" s="262"/>
      <c r="B34" s="519"/>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row>
    <row r="35" spans="1:32" x14ac:dyDescent="0.25">
      <c r="A35" s="262"/>
      <c r="B35" s="519"/>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419" t="s">
        <v>1706</v>
      </c>
    </row>
    <row r="36" spans="1:32" x14ac:dyDescent="0.25">
      <c r="A36" s="262"/>
      <c r="B36" s="519"/>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row>
    <row r="37" spans="1:32" x14ac:dyDescent="0.25">
      <c r="A37" s="262"/>
      <c r="B37" s="519" t="s">
        <v>2192</v>
      </c>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row>
    <row r="38" spans="1:32" x14ac:dyDescent="0.25">
      <c r="A38" s="262"/>
      <c r="B38" s="519"/>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row>
    <row r="39" spans="1:32" x14ac:dyDescent="0.25">
      <c r="A39" s="262"/>
      <c r="B39" s="519"/>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row>
    <row r="40" spans="1:32" x14ac:dyDescent="0.25">
      <c r="A40" s="262"/>
      <c r="B40" s="519"/>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419" t="s">
        <v>1707</v>
      </c>
    </row>
    <row r="41" spans="1:32" x14ac:dyDescent="0.25">
      <c r="A41" s="262"/>
      <c r="B41" s="519"/>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row>
    <row r="42" spans="1:32" x14ac:dyDescent="0.25">
      <c r="A42" s="262"/>
      <c r="B42" s="519"/>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row>
    <row r="43" spans="1:32" x14ac:dyDescent="0.25">
      <c r="A43" s="262"/>
      <c r="B43" s="519" t="s">
        <v>2193</v>
      </c>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row>
    <row r="44" spans="1:32" x14ac:dyDescent="0.25">
      <c r="A44" s="262"/>
      <c r="B44" s="519"/>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row>
    <row r="45" spans="1:32" x14ac:dyDescent="0.25">
      <c r="A45" s="262"/>
      <c r="B45" s="519"/>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row>
    <row r="46" spans="1:32" x14ac:dyDescent="0.25">
      <c r="A46" s="262"/>
      <c r="B46" s="519"/>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419" t="s">
        <v>1756</v>
      </c>
    </row>
    <row r="47" spans="1:32" x14ac:dyDescent="0.25">
      <c r="A47" s="262"/>
      <c r="B47" s="519"/>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row>
    <row r="48" spans="1:32" x14ac:dyDescent="0.25">
      <c r="A48" s="262"/>
      <c r="B48" s="519"/>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row>
    <row r="49" spans="1:32" x14ac:dyDescent="0.25">
      <c r="A49" s="262"/>
      <c r="B49" s="414" t="s">
        <v>1998</v>
      </c>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419"/>
    </row>
    <row r="50" spans="1:32" x14ac:dyDescent="0.25">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419"/>
    </row>
    <row r="51" spans="1:32" x14ac:dyDescent="0.25">
      <c r="A51" s="262"/>
      <c r="B51" s="262"/>
      <c r="C51" s="650" t="s">
        <v>4054</v>
      </c>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419"/>
    </row>
    <row r="52" spans="1:32" x14ac:dyDescent="0.25">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419"/>
    </row>
    <row r="53" spans="1:32" x14ac:dyDescent="0.25">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419" t="s">
        <v>1788</v>
      </c>
    </row>
    <row r="54" spans="1:32" x14ac:dyDescent="0.25">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419"/>
    </row>
    <row r="55" spans="1:32" x14ac:dyDescent="0.25">
      <c r="A55" s="262"/>
      <c r="B55" s="262"/>
      <c r="C55" s="650" t="s">
        <v>4055</v>
      </c>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419"/>
    </row>
    <row r="56" spans="1:32" x14ac:dyDescent="0.25">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419"/>
    </row>
    <row r="57" spans="1:32" x14ac:dyDescent="0.25">
      <c r="A57" s="262"/>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419" t="s">
        <v>1789</v>
      </c>
    </row>
    <row r="58" spans="1:32" x14ac:dyDescent="0.25">
      <c r="A58" s="262"/>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62"/>
      <c r="AE58" s="262"/>
      <c r="AF58" s="419"/>
    </row>
    <row r="59" spans="1:32" x14ac:dyDescent="0.25">
      <c r="A59" s="262"/>
      <c r="B59" s="262"/>
      <c r="C59" s="650" t="s">
        <v>4056</v>
      </c>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419"/>
    </row>
    <row r="60" spans="1:32" x14ac:dyDescent="0.25">
      <c r="A60" s="262"/>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419"/>
    </row>
    <row r="61" spans="1:32" x14ac:dyDescent="0.25">
      <c r="A61" s="262"/>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419" t="s">
        <v>1826</v>
      </c>
    </row>
    <row r="62" spans="1:32" x14ac:dyDescent="0.25">
      <c r="A62" s="262"/>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row>
    <row r="63" spans="1:32" x14ac:dyDescent="0.25">
      <c r="A63" s="1621" t="s">
        <v>15</v>
      </c>
      <c r="B63" s="1621"/>
      <c r="C63" s="1621"/>
      <c r="D63" s="1621"/>
      <c r="E63" s="1621"/>
      <c r="F63" s="1621"/>
      <c r="G63" s="1621"/>
      <c r="H63" s="1621"/>
      <c r="I63" s="1621"/>
      <c r="J63" s="1621"/>
      <c r="K63" s="1621"/>
      <c r="L63" s="1621"/>
      <c r="M63" s="1621"/>
      <c r="N63" s="1621"/>
      <c r="O63" s="1621"/>
      <c r="P63" s="1621"/>
      <c r="Q63" s="1621"/>
      <c r="R63" s="1621"/>
      <c r="S63" s="1621"/>
      <c r="T63" s="1621"/>
      <c r="U63" s="1621"/>
      <c r="V63" s="1621"/>
      <c r="W63" s="1621"/>
      <c r="X63" s="1621"/>
      <c r="Y63" s="1621"/>
      <c r="Z63" s="1621"/>
      <c r="AA63" s="1621"/>
      <c r="AB63" s="1621"/>
      <c r="AC63" s="1621"/>
      <c r="AD63" s="1621"/>
      <c r="AE63" s="1621"/>
      <c r="AF63" s="1621"/>
    </row>
    <row r="64" spans="1:32" x14ac:dyDescent="0.25">
      <c r="A64" s="2287" t="s">
        <v>16</v>
      </c>
      <c r="B64" s="2287"/>
      <c r="C64" s="2287"/>
      <c r="D64" s="2287"/>
      <c r="E64" s="3828" t="s">
        <v>10</v>
      </c>
      <c r="F64" s="3828"/>
      <c r="G64" s="3828"/>
      <c r="H64" s="3828"/>
      <c r="I64" s="3828"/>
      <c r="J64" s="3828"/>
      <c r="K64" s="3828"/>
      <c r="L64" s="3828"/>
      <c r="M64" s="2287" t="s">
        <v>1427</v>
      </c>
      <c r="N64" s="2287"/>
      <c r="O64" s="2287"/>
      <c r="P64" s="2287" t="s">
        <v>1326</v>
      </c>
      <c r="Q64" s="2287"/>
      <c r="R64" s="2287"/>
      <c r="S64" s="2287" t="s">
        <v>18</v>
      </c>
      <c r="T64" s="2287"/>
      <c r="U64" s="2287"/>
      <c r="V64" s="2287" t="s">
        <v>2772</v>
      </c>
      <c r="W64" s="2287"/>
      <c r="X64" s="2287"/>
      <c r="Y64" s="2287"/>
      <c r="Z64" s="2287"/>
      <c r="AA64" s="2287"/>
      <c r="AB64" s="2287"/>
      <c r="AC64" s="2287"/>
      <c r="AD64" s="2287"/>
      <c r="AE64" s="2287"/>
      <c r="AF64" s="2287"/>
    </row>
    <row r="65" spans="1:32" ht="151.5" customHeight="1" x14ac:dyDescent="0.25">
      <c r="A65" s="1834" t="s">
        <v>4057</v>
      </c>
      <c r="B65" s="1834"/>
      <c r="C65" s="1834"/>
      <c r="D65" s="1834"/>
      <c r="E65" s="2271" t="s">
        <v>4058</v>
      </c>
      <c r="F65" s="2271"/>
      <c r="G65" s="2271"/>
      <c r="H65" s="2271"/>
      <c r="I65" s="2271"/>
      <c r="J65" s="2271"/>
      <c r="K65" s="2271"/>
      <c r="L65" s="2271"/>
      <c r="M65" s="1833">
        <v>2.0000000000000001E-4</v>
      </c>
      <c r="N65" s="1833"/>
      <c r="O65" s="1833"/>
      <c r="P65" s="1833"/>
      <c r="Q65" s="1833"/>
      <c r="R65" s="1833"/>
      <c r="S65" s="3827" t="s">
        <v>4059</v>
      </c>
      <c r="T65" s="1834"/>
      <c r="U65" s="1834"/>
      <c r="V65" s="2271" t="s">
        <v>4114</v>
      </c>
      <c r="W65" s="2271"/>
      <c r="X65" s="2271"/>
      <c r="Y65" s="2271"/>
      <c r="Z65" s="2271"/>
      <c r="AA65" s="2271"/>
      <c r="AB65" s="2271"/>
      <c r="AC65" s="2271"/>
      <c r="AD65" s="2271"/>
      <c r="AE65" s="2271"/>
      <c r="AF65" s="2271"/>
    </row>
    <row r="66" spans="1:32" x14ac:dyDescent="0.25">
      <c r="A66" s="1833" t="s">
        <v>4115</v>
      </c>
      <c r="B66" s="1833" t="s">
        <v>1181</v>
      </c>
      <c r="C66" s="1833" t="s">
        <v>1181</v>
      </c>
      <c r="D66" s="1833" t="s">
        <v>1181</v>
      </c>
      <c r="E66" s="2271" t="s">
        <v>4060</v>
      </c>
      <c r="F66" s="2271"/>
      <c r="G66" s="2271"/>
      <c r="H66" s="2271"/>
      <c r="I66" s="2271"/>
      <c r="J66" s="2271"/>
      <c r="K66" s="2271"/>
      <c r="L66" s="2271"/>
      <c r="M66" s="1833">
        <v>2.2000000000000002</v>
      </c>
      <c r="N66" s="1833"/>
      <c r="O66" s="1833"/>
      <c r="P66" s="1833"/>
      <c r="Q66" s="1833"/>
      <c r="R66" s="1833"/>
      <c r="S66" s="1834" t="s">
        <v>3597</v>
      </c>
      <c r="T66" s="1834"/>
      <c r="U66" s="1834"/>
      <c r="V66" s="2271" t="s">
        <v>4061</v>
      </c>
      <c r="W66" s="2271"/>
      <c r="X66" s="2271"/>
      <c r="Y66" s="2271"/>
      <c r="Z66" s="2271"/>
      <c r="AA66" s="2271"/>
      <c r="AB66" s="2271"/>
      <c r="AC66" s="2271"/>
      <c r="AD66" s="2271"/>
      <c r="AE66" s="2271"/>
      <c r="AF66" s="2271"/>
    </row>
    <row r="67" spans="1:32" ht="31.5" customHeight="1" x14ac:dyDescent="0.25">
      <c r="A67" s="1833" t="s">
        <v>4116</v>
      </c>
      <c r="B67" s="1833" t="s">
        <v>1181</v>
      </c>
      <c r="C67" s="1833" t="s">
        <v>1181</v>
      </c>
      <c r="D67" s="1833" t="s">
        <v>1181</v>
      </c>
      <c r="E67" s="2271" t="s">
        <v>4062</v>
      </c>
      <c r="F67" s="2271"/>
      <c r="G67" s="2271"/>
      <c r="H67" s="2271"/>
      <c r="I67" s="2271"/>
      <c r="J67" s="2271"/>
      <c r="K67" s="2271"/>
      <c r="L67" s="2271"/>
      <c r="M67" s="2435">
        <v>1.2</v>
      </c>
      <c r="N67" s="2436"/>
      <c r="O67" s="2437"/>
      <c r="P67" s="2435">
        <v>1.8</v>
      </c>
      <c r="Q67" s="2436"/>
      <c r="R67" s="2437"/>
      <c r="S67" s="1834" t="s">
        <v>3597</v>
      </c>
      <c r="T67" s="1834"/>
      <c r="U67" s="1834"/>
      <c r="V67" s="2271" t="s">
        <v>4063</v>
      </c>
      <c r="W67" s="2271"/>
      <c r="X67" s="2271"/>
      <c r="Y67" s="2271"/>
      <c r="Z67" s="2271"/>
      <c r="AA67" s="2271"/>
      <c r="AB67" s="2271"/>
      <c r="AC67" s="2271"/>
      <c r="AD67" s="2271"/>
      <c r="AE67" s="2271"/>
      <c r="AF67" s="2271"/>
    </row>
    <row r="68" spans="1:32" ht="33.75" customHeight="1" x14ac:dyDescent="0.25">
      <c r="A68" s="1833" t="s">
        <v>4117</v>
      </c>
      <c r="B68" s="1833" t="s">
        <v>1182</v>
      </c>
      <c r="C68" s="1833" t="s">
        <v>1182</v>
      </c>
      <c r="D68" s="1833" t="s">
        <v>1182</v>
      </c>
      <c r="E68" s="2271" t="s">
        <v>3598</v>
      </c>
      <c r="F68" s="2271" t="s">
        <v>1188</v>
      </c>
      <c r="G68" s="2271" t="s">
        <v>1188</v>
      </c>
      <c r="H68" s="2271" t="s">
        <v>1188</v>
      </c>
      <c r="I68" s="2271" t="s">
        <v>1188</v>
      </c>
      <c r="J68" s="2271" t="s">
        <v>1188</v>
      </c>
      <c r="K68" s="2271" t="s">
        <v>1188</v>
      </c>
      <c r="L68" s="2271" t="s">
        <v>1188</v>
      </c>
      <c r="M68" s="3824">
        <v>1</v>
      </c>
      <c r="N68" s="3825"/>
      <c r="O68" s="3826"/>
      <c r="P68" s="3824">
        <v>1.5</v>
      </c>
      <c r="Q68" s="3825"/>
      <c r="R68" s="3826"/>
      <c r="S68" s="1834" t="s">
        <v>3597</v>
      </c>
      <c r="T68" s="1834"/>
      <c r="U68" s="1834"/>
      <c r="V68" s="2271" t="s">
        <v>4064</v>
      </c>
      <c r="W68" s="2271"/>
      <c r="X68" s="2271"/>
      <c r="Y68" s="2271"/>
      <c r="Z68" s="2271"/>
      <c r="AA68" s="2271"/>
      <c r="AB68" s="2271"/>
      <c r="AC68" s="2271"/>
      <c r="AD68" s="2271"/>
      <c r="AE68" s="2271"/>
      <c r="AF68" s="2271"/>
    </row>
    <row r="69" spans="1:32" ht="70.5" customHeight="1" x14ac:dyDescent="0.25">
      <c r="A69" s="1833" t="s">
        <v>1206</v>
      </c>
      <c r="B69" s="1833" t="s">
        <v>1206</v>
      </c>
      <c r="C69" s="1833" t="s">
        <v>1206</v>
      </c>
      <c r="D69" s="1833" t="s">
        <v>1206</v>
      </c>
      <c r="E69" s="2271" t="s">
        <v>3599</v>
      </c>
      <c r="F69" s="2271" t="s">
        <v>1207</v>
      </c>
      <c r="G69" s="2271" t="s">
        <v>1207</v>
      </c>
      <c r="H69" s="2271" t="s">
        <v>1207</v>
      </c>
      <c r="I69" s="2271" t="s">
        <v>1207</v>
      </c>
      <c r="J69" s="2271" t="s">
        <v>1207</v>
      </c>
      <c r="K69" s="2271" t="s">
        <v>1207</v>
      </c>
      <c r="L69" s="2271" t="s">
        <v>1207</v>
      </c>
      <c r="M69" s="1833">
        <v>1.6</v>
      </c>
      <c r="N69" s="1833"/>
      <c r="O69" s="1833"/>
      <c r="P69" s="1833">
        <v>4.5</v>
      </c>
      <c r="Q69" s="1833"/>
      <c r="R69" s="1833"/>
      <c r="S69" s="1834" t="s">
        <v>4065</v>
      </c>
      <c r="T69" s="1834"/>
      <c r="U69" s="1834"/>
      <c r="V69" s="2271" t="s">
        <v>2169</v>
      </c>
      <c r="W69" s="2271"/>
      <c r="X69" s="2271"/>
      <c r="Y69" s="2271"/>
      <c r="Z69" s="2271"/>
      <c r="AA69" s="2271"/>
      <c r="AB69" s="2271"/>
      <c r="AC69" s="2271"/>
      <c r="AD69" s="2271"/>
      <c r="AE69" s="2271"/>
      <c r="AF69" s="2271"/>
    </row>
    <row r="70" spans="1:32" ht="35.25" customHeight="1" x14ac:dyDescent="0.25">
      <c r="A70" s="1833" t="s">
        <v>1189</v>
      </c>
      <c r="B70" s="1833"/>
      <c r="C70" s="1833"/>
      <c r="D70" s="1833"/>
      <c r="E70" s="2271" t="s">
        <v>3606</v>
      </c>
      <c r="F70" s="2271" t="s">
        <v>1216</v>
      </c>
      <c r="G70" s="2271" t="s">
        <v>1216</v>
      </c>
      <c r="H70" s="2271" t="s">
        <v>1216</v>
      </c>
      <c r="I70" s="2271" t="s">
        <v>1216</v>
      </c>
      <c r="J70" s="2271" t="s">
        <v>1216</v>
      </c>
      <c r="K70" s="2271" t="s">
        <v>1216</v>
      </c>
      <c r="L70" s="2271" t="s">
        <v>1216</v>
      </c>
      <c r="M70" s="1833">
        <v>2.34</v>
      </c>
      <c r="N70" s="1833"/>
      <c r="O70" s="1833"/>
      <c r="P70" s="1833"/>
      <c r="Q70" s="1833"/>
      <c r="R70" s="1833"/>
      <c r="S70" s="1834" t="s">
        <v>3744</v>
      </c>
      <c r="T70" s="1834"/>
      <c r="U70" s="1834"/>
      <c r="V70" s="2271" t="s">
        <v>4118</v>
      </c>
      <c r="W70" s="2271"/>
      <c r="X70" s="2271"/>
      <c r="Y70" s="2271"/>
      <c r="Z70" s="2271"/>
      <c r="AA70" s="2271"/>
      <c r="AB70" s="2271"/>
      <c r="AC70" s="2271"/>
      <c r="AD70" s="2271"/>
      <c r="AE70" s="2271"/>
      <c r="AF70" s="2271"/>
    </row>
    <row r="71" spans="1:32" ht="36.75" customHeight="1" x14ac:dyDescent="0.25">
      <c r="A71" s="1833"/>
      <c r="B71" s="1833"/>
      <c r="C71" s="1833"/>
      <c r="D71" s="1833"/>
      <c r="E71" s="2271" t="s">
        <v>3607</v>
      </c>
      <c r="F71" s="2271" t="s">
        <v>1217</v>
      </c>
      <c r="G71" s="2271" t="s">
        <v>1217</v>
      </c>
      <c r="H71" s="2271" t="s">
        <v>1217</v>
      </c>
      <c r="I71" s="2271" t="s">
        <v>1217</v>
      </c>
      <c r="J71" s="2271" t="s">
        <v>1217</v>
      </c>
      <c r="K71" s="2271" t="s">
        <v>1217</v>
      </c>
      <c r="L71" s="2271" t="s">
        <v>1217</v>
      </c>
      <c r="M71" s="1833">
        <v>3.16</v>
      </c>
      <c r="N71" s="1833"/>
      <c r="O71" s="1833"/>
      <c r="P71" s="1833"/>
      <c r="Q71" s="1833"/>
      <c r="R71" s="1833"/>
      <c r="S71" s="1834"/>
      <c r="T71" s="1834"/>
      <c r="U71" s="1834"/>
      <c r="V71" s="2271"/>
      <c r="W71" s="2271"/>
      <c r="X71" s="2271"/>
      <c r="Y71" s="2271"/>
      <c r="Z71" s="2271"/>
      <c r="AA71" s="2271"/>
      <c r="AB71" s="2271"/>
      <c r="AC71" s="2271"/>
      <c r="AD71" s="2271"/>
      <c r="AE71" s="2271"/>
      <c r="AF71" s="2271"/>
    </row>
    <row r="72" spans="1:32" ht="36" customHeight="1" x14ac:dyDescent="0.25">
      <c r="A72" s="1833" t="s">
        <v>1208</v>
      </c>
      <c r="B72" s="1833"/>
      <c r="C72" s="1833"/>
      <c r="D72" s="1833"/>
      <c r="E72" s="2271" t="s">
        <v>3608</v>
      </c>
      <c r="F72" s="2271" t="s">
        <v>1215</v>
      </c>
      <c r="G72" s="2271" t="s">
        <v>1215</v>
      </c>
      <c r="H72" s="2271" t="s">
        <v>1215</v>
      </c>
      <c r="I72" s="2271" t="s">
        <v>1215</v>
      </c>
      <c r="J72" s="2271" t="s">
        <v>1215</v>
      </c>
      <c r="K72" s="2271" t="s">
        <v>1215</v>
      </c>
      <c r="L72" s="2271" t="s">
        <v>1215</v>
      </c>
      <c r="M72" s="1833">
        <v>2.42</v>
      </c>
      <c r="N72" s="1833"/>
      <c r="O72" s="1833"/>
      <c r="P72" s="1833">
        <v>1.05</v>
      </c>
      <c r="Q72" s="1833"/>
      <c r="R72" s="1833"/>
      <c r="S72" s="1834" t="s">
        <v>3745</v>
      </c>
      <c r="T72" s="1834"/>
      <c r="U72" s="1834"/>
      <c r="V72" s="2271" t="s">
        <v>4119</v>
      </c>
      <c r="W72" s="2271"/>
      <c r="X72" s="2271"/>
      <c r="Y72" s="2271"/>
      <c r="Z72" s="2271"/>
      <c r="AA72" s="2271"/>
      <c r="AB72" s="2271"/>
      <c r="AC72" s="2271"/>
      <c r="AD72" s="2271"/>
      <c r="AE72" s="2271"/>
      <c r="AF72" s="2271"/>
    </row>
    <row r="73" spans="1:32" ht="31.5" customHeight="1" x14ac:dyDescent="0.25">
      <c r="A73" s="1833"/>
      <c r="B73" s="1833"/>
      <c r="C73" s="1833"/>
      <c r="D73" s="1833"/>
      <c r="E73" s="2271" t="s">
        <v>3609</v>
      </c>
      <c r="F73" s="2271" t="s">
        <v>1214</v>
      </c>
      <c r="G73" s="2271" t="s">
        <v>1214</v>
      </c>
      <c r="H73" s="2271" t="s">
        <v>1214</v>
      </c>
      <c r="I73" s="2271" t="s">
        <v>1214</v>
      </c>
      <c r="J73" s="2271" t="s">
        <v>1214</v>
      </c>
      <c r="K73" s="2271" t="s">
        <v>1214</v>
      </c>
      <c r="L73" s="2271" t="s">
        <v>1214</v>
      </c>
      <c r="M73" s="1833">
        <v>3.56</v>
      </c>
      <c r="N73" s="1833"/>
      <c r="O73" s="1833"/>
      <c r="P73" s="1833">
        <v>1.24</v>
      </c>
      <c r="Q73" s="1833"/>
      <c r="R73" s="1833"/>
      <c r="S73" s="1834"/>
      <c r="T73" s="1834"/>
      <c r="U73" s="1834"/>
      <c r="V73" s="2271"/>
      <c r="W73" s="2271"/>
      <c r="X73" s="2271"/>
      <c r="Y73" s="2271"/>
      <c r="Z73" s="2271"/>
      <c r="AA73" s="2271"/>
      <c r="AB73" s="2271"/>
      <c r="AC73" s="2271"/>
      <c r="AD73" s="2271"/>
      <c r="AE73" s="2271"/>
      <c r="AF73" s="2271"/>
    </row>
    <row r="74" spans="1:32" ht="30" customHeight="1" x14ac:dyDescent="0.25">
      <c r="A74" s="1833" t="s">
        <v>1192</v>
      </c>
      <c r="B74" s="1833" t="s">
        <v>1192</v>
      </c>
      <c r="C74" s="1833" t="s">
        <v>1192</v>
      </c>
      <c r="D74" s="1833" t="s">
        <v>1192</v>
      </c>
      <c r="E74" s="2271" t="s">
        <v>3600</v>
      </c>
      <c r="F74" s="2271" t="s">
        <v>1193</v>
      </c>
      <c r="G74" s="2271" t="s">
        <v>1193</v>
      </c>
      <c r="H74" s="2271" t="s">
        <v>1193</v>
      </c>
      <c r="I74" s="2271" t="s">
        <v>1193</v>
      </c>
      <c r="J74" s="2271" t="s">
        <v>1193</v>
      </c>
      <c r="K74" s="2271" t="s">
        <v>1193</v>
      </c>
      <c r="L74" s="2271" t="s">
        <v>1193</v>
      </c>
      <c r="M74" s="1833">
        <v>8.3000000000000007</v>
      </c>
      <c r="N74" s="1833"/>
      <c r="O74" s="1833"/>
      <c r="P74" s="1833"/>
      <c r="Q74" s="1833"/>
      <c r="R74" s="1833"/>
      <c r="S74" s="1834" t="s">
        <v>3605</v>
      </c>
      <c r="T74" s="1834"/>
      <c r="U74" s="1834"/>
      <c r="V74" s="2271" t="s">
        <v>3619</v>
      </c>
      <c r="W74" s="2271"/>
      <c r="X74" s="2271"/>
      <c r="Y74" s="2271"/>
      <c r="Z74" s="2271"/>
      <c r="AA74" s="2271"/>
      <c r="AB74" s="2271"/>
      <c r="AC74" s="2271"/>
      <c r="AD74" s="2271"/>
      <c r="AE74" s="2271"/>
      <c r="AF74" s="2271"/>
    </row>
    <row r="75" spans="1:32" ht="74.25" customHeight="1" x14ac:dyDescent="0.25">
      <c r="A75" s="1833" t="s">
        <v>4120</v>
      </c>
      <c r="B75" s="1833" t="s">
        <v>1194</v>
      </c>
      <c r="C75" s="1833" t="s">
        <v>1194</v>
      </c>
      <c r="D75" s="1833" t="s">
        <v>1194</v>
      </c>
      <c r="E75" s="2271" t="s">
        <v>3601</v>
      </c>
      <c r="F75" s="2271" t="s">
        <v>1209</v>
      </c>
      <c r="G75" s="2271" t="s">
        <v>1209</v>
      </c>
      <c r="H75" s="2271" t="s">
        <v>1209</v>
      </c>
      <c r="I75" s="2271" t="s">
        <v>1209</v>
      </c>
      <c r="J75" s="2271" t="s">
        <v>1209</v>
      </c>
      <c r="K75" s="2271" t="s">
        <v>1209</v>
      </c>
      <c r="L75" s="2271" t="s">
        <v>1209</v>
      </c>
      <c r="M75" s="1833">
        <v>86</v>
      </c>
      <c r="N75" s="1833"/>
      <c r="O75" s="1833"/>
      <c r="P75" s="1833">
        <v>93</v>
      </c>
      <c r="Q75" s="1833"/>
      <c r="R75" s="1833"/>
      <c r="S75" s="1834" t="s">
        <v>1431</v>
      </c>
      <c r="T75" s="1834"/>
      <c r="U75" s="1834"/>
      <c r="V75" s="2271" t="s">
        <v>2169</v>
      </c>
      <c r="W75" s="2271"/>
      <c r="X75" s="2271"/>
      <c r="Y75" s="2271"/>
      <c r="Z75" s="2271"/>
      <c r="AA75" s="2271"/>
      <c r="AB75" s="2271"/>
      <c r="AC75" s="2271"/>
      <c r="AD75" s="2271"/>
      <c r="AE75" s="2271"/>
      <c r="AF75" s="2271"/>
    </row>
    <row r="76" spans="1:32" ht="71.25" customHeight="1" x14ac:dyDescent="0.25">
      <c r="A76" s="1833" t="s">
        <v>4121</v>
      </c>
      <c r="B76" s="1833" t="s">
        <v>1195</v>
      </c>
      <c r="C76" s="1833" t="s">
        <v>1195</v>
      </c>
      <c r="D76" s="1833" t="s">
        <v>1195</v>
      </c>
      <c r="E76" s="2271" t="s">
        <v>3602</v>
      </c>
      <c r="F76" s="2271" t="s">
        <v>1210</v>
      </c>
      <c r="G76" s="2271" t="s">
        <v>1210</v>
      </c>
      <c r="H76" s="2271" t="s">
        <v>1210</v>
      </c>
      <c r="I76" s="2271" t="s">
        <v>1210</v>
      </c>
      <c r="J76" s="2271" t="s">
        <v>1210</v>
      </c>
      <c r="K76" s="2271" t="s">
        <v>1210</v>
      </c>
      <c r="L76" s="2271" t="s">
        <v>1210</v>
      </c>
      <c r="M76" s="1833">
        <v>75</v>
      </c>
      <c r="N76" s="1833"/>
      <c r="O76" s="1833"/>
      <c r="P76" s="1833"/>
      <c r="Q76" s="1833"/>
      <c r="R76" s="1833"/>
      <c r="S76" s="1834" t="s">
        <v>1431</v>
      </c>
      <c r="T76" s="1834"/>
      <c r="U76" s="1834"/>
      <c r="V76" s="2271" t="s">
        <v>4122</v>
      </c>
      <c r="W76" s="2271"/>
      <c r="X76" s="2271"/>
      <c r="Y76" s="2271"/>
      <c r="Z76" s="2271"/>
      <c r="AA76" s="2271"/>
      <c r="AB76" s="2271"/>
      <c r="AC76" s="2271"/>
      <c r="AD76" s="2271"/>
      <c r="AE76" s="2271"/>
      <c r="AF76" s="2271"/>
    </row>
    <row r="77" spans="1:32" ht="50.25" customHeight="1" x14ac:dyDescent="0.25">
      <c r="A77" s="1833" t="s">
        <v>4066</v>
      </c>
      <c r="B77" s="1833"/>
      <c r="C77" s="1833"/>
      <c r="D77" s="1833"/>
      <c r="E77" s="2271" t="s">
        <v>4067</v>
      </c>
      <c r="F77" s="2271" t="s">
        <v>1211</v>
      </c>
      <c r="G77" s="2271" t="s">
        <v>1211</v>
      </c>
      <c r="H77" s="2271" t="s">
        <v>1211</v>
      </c>
      <c r="I77" s="2271" t="s">
        <v>1211</v>
      </c>
      <c r="J77" s="2271" t="s">
        <v>1211</v>
      </c>
      <c r="K77" s="2271" t="s">
        <v>1211</v>
      </c>
      <c r="L77" s="2271" t="s">
        <v>1211</v>
      </c>
      <c r="M77" s="1833">
        <v>0.94499999999999995</v>
      </c>
      <c r="N77" s="1833"/>
      <c r="O77" s="1833"/>
      <c r="P77" s="1833"/>
      <c r="Q77" s="1833"/>
      <c r="R77" s="1833"/>
      <c r="S77" s="1834" t="s">
        <v>28</v>
      </c>
      <c r="T77" s="1834"/>
      <c r="U77" s="1834"/>
      <c r="V77" s="2271" t="s">
        <v>4068</v>
      </c>
      <c r="W77" s="2271"/>
      <c r="X77" s="2271"/>
      <c r="Y77" s="2271"/>
      <c r="Z77" s="2271"/>
      <c r="AA77" s="2271"/>
      <c r="AB77" s="2271"/>
      <c r="AC77" s="2271"/>
      <c r="AD77" s="2271"/>
      <c r="AE77" s="2271"/>
      <c r="AF77" s="2271"/>
    </row>
    <row r="78" spans="1:32" ht="49.5" customHeight="1" x14ac:dyDescent="0.25">
      <c r="A78" s="1833"/>
      <c r="B78" s="1833"/>
      <c r="C78" s="1833"/>
      <c r="D78" s="1833"/>
      <c r="E78" s="2271" t="s">
        <v>4069</v>
      </c>
      <c r="F78" s="2271" t="s">
        <v>1211</v>
      </c>
      <c r="G78" s="2271" t="s">
        <v>1211</v>
      </c>
      <c r="H78" s="2271" t="s">
        <v>1211</v>
      </c>
      <c r="I78" s="2271" t="s">
        <v>1211</v>
      </c>
      <c r="J78" s="2271" t="s">
        <v>1211</v>
      </c>
      <c r="K78" s="2271" t="s">
        <v>1211</v>
      </c>
      <c r="L78" s="2271" t="s">
        <v>1211</v>
      </c>
      <c r="M78" s="1833">
        <v>0.97499999999999998</v>
      </c>
      <c r="N78" s="1833"/>
      <c r="O78" s="1833"/>
      <c r="P78" s="1833"/>
      <c r="Q78" s="1833"/>
      <c r="R78" s="1833"/>
      <c r="S78" s="1834" t="s">
        <v>28</v>
      </c>
      <c r="T78" s="1834"/>
      <c r="U78" s="1834"/>
      <c r="V78" s="2271" t="s">
        <v>4070</v>
      </c>
      <c r="W78" s="2271"/>
      <c r="X78" s="2271"/>
      <c r="Y78" s="2271"/>
      <c r="Z78" s="2271"/>
      <c r="AA78" s="2271"/>
      <c r="AB78" s="2271"/>
      <c r="AC78" s="2271"/>
      <c r="AD78" s="2271"/>
      <c r="AE78" s="2271"/>
      <c r="AF78" s="2271"/>
    </row>
    <row r="79" spans="1:32" ht="69" customHeight="1" x14ac:dyDescent="0.25">
      <c r="A79" s="1833"/>
      <c r="B79" s="1833"/>
      <c r="C79" s="1833"/>
      <c r="D79" s="1833"/>
      <c r="E79" s="2271" t="s">
        <v>4071</v>
      </c>
      <c r="F79" s="2271" t="s">
        <v>1212</v>
      </c>
      <c r="G79" s="2271" t="s">
        <v>1212</v>
      </c>
      <c r="H79" s="2271" t="s">
        <v>1212</v>
      </c>
      <c r="I79" s="2271" t="s">
        <v>1212</v>
      </c>
      <c r="J79" s="2271" t="s">
        <v>1212</v>
      </c>
      <c r="K79" s="2271" t="s">
        <v>1212</v>
      </c>
      <c r="L79" s="2271" t="s">
        <v>1212</v>
      </c>
      <c r="M79" s="2435">
        <f>ROUND(AVERAGE(3.25,1.98),1)</f>
        <v>2.6</v>
      </c>
      <c r="N79" s="2436"/>
      <c r="O79" s="2436"/>
      <c r="P79" s="2436"/>
      <c r="Q79" s="2436"/>
      <c r="R79" s="2437"/>
      <c r="S79" s="1834" t="s">
        <v>28</v>
      </c>
      <c r="T79" s="1834"/>
      <c r="U79" s="1834"/>
      <c r="V79" s="2271" t="s">
        <v>4072</v>
      </c>
      <c r="W79" s="2271"/>
      <c r="X79" s="2271"/>
      <c r="Y79" s="2271"/>
      <c r="Z79" s="2271"/>
      <c r="AA79" s="2271"/>
      <c r="AB79" s="2271"/>
      <c r="AC79" s="2271"/>
      <c r="AD79" s="2271"/>
      <c r="AE79" s="2271"/>
      <c r="AF79" s="2271"/>
    </row>
    <row r="80" spans="1:32" ht="49.5" customHeight="1" x14ac:dyDescent="0.25">
      <c r="A80" s="1833"/>
      <c r="B80" s="1833"/>
      <c r="C80" s="1833"/>
      <c r="D80" s="1833"/>
      <c r="E80" s="2271" t="s">
        <v>4073</v>
      </c>
      <c r="F80" s="2271" t="s">
        <v>1213</v>
      </c>
      <c r="G80" s="2271" t="s">
        <v>1213</v>
      </c>
      <c r="H80" s="2271" t="s">
        <v>1213</v>
      </c>
      <c r="I80" s="2271" t="s">
        <v>1213</v>
      </c>
      <c r="J80" s="2271" t="s">
        <v>1213</v>
      </c>
      <c r="K80" s="2271" t="s">
        <v>1213</v>
      </c>
      <c r="L80" s="2271" t="s">
        <v>1213</v>
      </c>
      <c r="M80" s="1833">
        <v>6.5</v>
      </c>
      <c r="N80" s="1833"/>
      <c r="O80" s="1833"/>
      <c r="P80" s="1833"/>
      <c r="Q80" s="1833"/>
      <c r="R80" s="1833"/>
      <c r="S80" s="1834" t="s">
        <v>28</v>
      </c>
      <c r="T80" s="1834"/>
      <c r="U80" s="1834"/>
      <c r="V80" s="2271" t="s">
        <v>4074</v>
      </c>
      <c r="W80" s="2271"/>
      <c r="X80" s="2271"/>
      <c r="Y80" s="2271"/>
      <c r="Z80" s="2271"/>
      <c r="AA80" s="2271"/>
      <c r="AB80" s="2271"/>
      <c r="AC80" s="2271"/>
      <c r="AD80" s="2271"/>
      <c r="AE80" s="2271"/>
      <c r="AF80" s="2271"/>
    </row>
    <row r="81" spans="1:32" x14ac:dyDescent="0.25">
      <c r="A81" s="1833" t="s">
        <v>167</v>
      </c>
      <c r="B81" s="1833" t="s">
        <v>1197</v>
      </c>
      <c r="C81" s="1833" t="s">
        <v>1197</v>
      </c>
      <c r="D81" s="1833" t="s">
        <v>1197</v>
      </c>
      <c r="E81" s="2271" t="s">
        <v>3600</v>
      </c>
      <c r="F81" s="2271" t="s">
        <v>1205</v>
      </c>
      <c r="G81" s="2271" t="s">
        <v>1205</v>
      </c>
      <c r="H81" s="2271" t="s">
        <v>1205</v>
      </c>
      <c r="I81" s="2271" t="s">
        <v>1205</v>
      </c>
      <c r="J81" s="2271" t="s">
        <v>1205</v>
      </c>
      <c r="K81" s="2271" t="s">
        <v>1205</v>
      </c>
      <c r="L81" s="2271" t="s">
        <v>1205</v>
      </c>
      <c r="M81" s="1833">
        <v>365</v>
      </c>
      <c r="N81" s="1833"/>
      <c r="O81" s="1833"/>
      <c r="P81" s="1833"/>
      <c r="Q81" s="1833"/>
      <c r="R81" s="1833"/>
      <c r="S81" s="1834" t="s">
        <v>2787</v>
      </c>
      <c r="T81" s="1834"/>
      <c r="U81" s="1834"/>
      <c r="V81" s="2271"/>
      <c r="W81" s="2271"/>
      <c r="X81" s="2271"/>
      <c r="Y81" s="2271"/>
      <c r="Z81" s="2271"/>
      <c r="AA81" s="2271"/>
      <c r="AB81" s="2271"/>
      <c r="AC81" s="2271"/>
      <c r="AD81" s="2271"/>
      <c r="AE81" s="2271"/>
      <c r="AF81" s="2271"/>
    </row>
    <row r="82" spans="1:32" x14ac:dyDescent="0.25">
      <c r="A82" s="1833" t="s">
        <v>167</v>
      </c>
      <c r="B82" s="1833" t="s">
        <v>1197</v>
      </c>
      <c r="C82" s="1833" t="s">
        <v>1197</v>
      </c>
      <c r="D82" s="1833" t="s">
        <v>1197</v>
      </c>
      <c r="E82" s="2271" t="s">
        <v>3600</v>
      </c>
      <c r="F82" s="2271" t="s">
        <v>1205</v>
      </c>
      <c r="G82" s="2271" t="s">
        <v>1205</v>
      </c>
      <c r="H82" s="2271" t="s">
        <v>1205</v>
      </c>
      <c r="I82" s="2271" t="s">
        <v>1205</v>
      </c>
      <c r="J82" s="2271" t="s">
        <v>1205</v>
      </c>
      <c r="K82" s="2271" t="s">
        <v>1205</v>
      </c>
      <c r="L82" s="2271" t="s">
        <v>1205</v>
      </c>
      <c r="M82" s="1833">
        <v>3412</v>
      </c>
      <c r="N82" s="1833"/>
      <c r="O82" s="1833"/>
      <c r="P82" s="1833"/>
      <c r="Q82" s="1833"/>
      <c r="R82" s="1833"/>
      <c r="S82" s="1834" t="s">
        <v>1201</v>
      </c>
      <c r="T82" s="1834"/>
      <c r="U82" s="1834"/>
      <c r="V82" s="2271" t="s">
        <v>3619</v>
      </c>
      <c r="W82" s="2271"/>
      <c r="X82" s="2271"/>
      <c r="Y82" s="2271"/>
      <c r="Z82" s="2271"/>
      <c r="AA82" s="2271"/>
      <c r="AB82" s="2271"/>
      <c r="AC82" s="2271"/>
      <c r="AD82" s="2271"/>
      <c r="AE82" s="2271"/>
      <c r="AF82" s="2271"/>
    </row>
    <row r="83" spans="1:32" ht="30.75" customHeight="1" x14ac:dyDescent="0.25">
      <c r="A83" s="1833" t="s">
        <v>1760</v>
      </c>
      <c r="B83" s="1833"/>
      <c r="C83" s="1833"/>
      <c r="D83" s="1833"/>
      <c r="E83" s="2271" t="s">
        <v>4075</v>
      </c>
      <c r="F83" s="2271"/>
      <c r="G83" s="2271"/>
      <c r="H83" s="2271"/>
      <c r="I83" s="2271"/>
      <c r="J83" s="2271"/>
      <c r="K83" s="2271"/>
      <c r="L83" s="2271"/>
      <c r="M83" s="2435">
        <v>0.93</v>
      </c>
      <c r="N83" s="2436"/>
      <c r="O83" s="2437"/>
      <c r="P83" s="2435">
        <v>0.94</v>
      </c>
      <c r="Q83" s="2436"/>
      <c r="R83" s="2437"/>
      <c r="S83" s="1834" t="s">
        <v>28</v>
      </c>
      <c r="T83" s="1834"/>
      <c r="U83" s="1834"/>
      <c r="V83" s="2271" t="s">
        <v>4123</v>
      </c>
      <c r="W83" s="2271"/>
      <c r="X83" s="2271"/>
      <c r="Y83" s="2271"/>
      <c r="Z83" s="2271"/>
      <c r="AA83" s="2271"/>
      <c r="AB83" s="2271"/>
      <c r="AC83" s="2271"/>
      <c r="AD83" s="2271"/>
      <c r="AE83" s="2271"/>
      <c r="AF83" s="2271"/>
    </row>
    <row r="84" spans="1:32" ht="62.25" customHeight="1" x14ac:dyDescent="0.25">
      <c r="A84" s="1833"/>
      <c r="B84" s="1833"/>
      <c r="C84" s="1833"/>
      <c r="D84" s="1833"/>
      <c r="E84" s="2271" t="s">
        <v>4076</v>
      </c>
      <c r="F84" s="2271"/>
      <c r="G84" s="2271"/>
      <c r="H84" s="2271"/>
      <c r="I84" s="2271"/>
      <c r="J84" s="2271"/>
      <c r="K84" s="2271"/>
      <c r="L84" s="2271"/>
      <c r="M84" s="3823">
        <v>1</v>
      </c>
      <c r="N84" s="3823"/>
      <c r="O84" s="3823"/>
      <c r="P84" s="3823"/>
      <c r="Q84" s="3823"/>
      <c r="R84" s="3823"/>
      <c r="S84" s="1834" t="s">
        <v>28</v>
      </c>
      <c r="T84" s="1834"/>
      <c r="U84" s="1834"/>
      <c r="V84" s="2271" t="s">
        <v>4077</v>
      </c>
      <c r="W84" s="2271"/>
      <c r="X84" s="2271"/>
      <c r="Y84" s="2271"/>
      <c r="Z84" s="2271"/>
      <c r="AA84" s="2271"/>
      <c r="AB84" s="2271"/>
      <c r="AC84" s="2271"/>
      <c r="AD84" s="2271"/>
      <c r="AE84" s="2271"/>
      <c r="AF84" s="2271"/>
    </row>
    <row r="85" spans="1:32" ht="37.5" customHeight="1" x14ac:dyDescent="0.25">
      <c r="A85" s="1833" t="s">
        <v>1828</v>
      </c>
      <c r="B85" s="1833" t="s">
        <v>34</v>
      </c>
      <c r="C85" s="1833" t="s">
        <v>34</v>
      </c>
      <c r="D85" s="1833" t="s">
        <v>34</v>
      </c>
      <c r="E85" s="2271" t="s">
        <v>3458</v>
      </c>
      <c r="F85" s="2271"/>
      <c r="G85" s="2271"/>
      <c r="H85" s="2271"/>
      <c r="I85" s="2271"/>
      <c r="J85" s="2271"/>
      <c r="K85" s="2271"/>
      <c r="L85" s="2271"/>
      <c r="M85" s="1833">
        <f>ROUND(M86/3,0)</f>
        <v>3</v>
      </c>
      <c r="N85" s="1833"/>
      <c r="O85" s="1833"/>
      <c r="P85" s="1833"/>
      <c r="Q85" s="1833"/>
      <c r="R85" s="1833"/>
      <c r="S85" s="1834" t="s">
        <v>46</v>
      </c>
      <c r="T85" s="1834"/>
      <c r="U85" s="1834"/>
      <c r="V85" s="2270" t="s">
        <v>4078</v>
      </c>
      <c r="W85" s="2271"/>
      <c r="X85" s="2271"/>
      <c r="Y85" s="2271"/>
      <c r="Z85" s="2271"/>
      <c r="AA85" s="2271"/>
      <c r="AB85" s="2271"/>
      <c r="AC85" s="2271"/>
      <c r="AD85" s="2271"/>
      <c r="AE85" s="2271"/>
      <c r="AF85" s="2271"/>
    </row>
    <row r="86" spans="1:32" ht="33" customHeight="1" x14ac:dyDescent="0.25">
      <c r="A86" s="1833" t="s">
        <v>2724</v>
      </c>
      <c r="B86" s="1833" t="s">
        <v>34</v>
      </c>
      <c r="C86" s="1833" t="s">
        <v>34</v>
      </c>
      <c r="D86" s="1833" t="s">
        <v>34</v>
      </c>
      <c r="E86" s="2271" t="s">
        <v>2217</v>
      </c>
      <c r="F86" s="2271"/>
      <c r="G86" s="2271"/>
      <c r="H86" s="2271"/>
      <c r="I86" s="2271"/>
      <c r="J86" s="2271"/>
      <c r="K86" s="2271"/>
      <c r="L86" s="2271"/>
      <c r="M86" s="1833">
        <f>'Master EUL'!X58</f>
        <v>10</v>
      </c>
      <c r="N86" s="1833"/>
      <c r="O86" s="1833"/>
      <c r="P86" s="1833"/>
      <c r="Q86" s="1833"/>
      <c r="R86" s="1833"/>
      <c r="S86" s="1834" t="s">
        <v>46</v>
      </c>
      <c r="T86" s="1834"/>
      <c r="U86" s="1834"/>
      <c r="V86" s="2271" t="s">
        <v>4124</v>
      </c>
      <c r="W86" s="2271"/>
      <c r="X86" s="2271"/>
      <c r="Y86" s="2271"/>
      <c r="Z86" s="2271"/>
      <c r="AA86" s="2271"/>
      <c r="AB86" s="2271"/>
      <c r="AC86" s="2271"/>
      <c r="AD86" s="2271"/>
      <c r="AE86" s="2271"/>
      <c r="AF86" s="2271"/>
    </row>
    <row r="87" spans="1:32" ht="30" customHeight="1" x14ac:dyDescent="0.25">
      <c r="A87" s="1736" t="s">
        <v>4125</v>
      </c>
      <c r="B87" s="1736"/>
      <c r="C87" s="1736"/>
      <c r="D87" s="1736"/>
      <c r="E87" s="1736"/>
      <c r="F87" s="1736"/>
      <c r="G87" s="1736"/>
      <c r="H87" s="1736"/>
      <c r="I87" s="1736"/>
      <c r="J87" s="1736"/>
      <c r="K87" s="1736"/>
      <c r="L87" s="1736"/>
      <c r="M87" s="1736"/>
      <c r="N87" s="1736"/>
      <c r="O87" s="1736"/>
      <c r="P87" s="1736"/>
      <c r="Q87" s="1736"/>
      <c r="R87" s="1736"/>
      <c r="S87" s="1736"/>
      <c r="T87" s="1736"/>
      <c r="U87" s="1736"/>
      <c r="V87" s="1736"/>
      <c r="W87" s="1736"/>
      <c r="X87" s="1736"/>
      <c r="Y87" s="1736"/>
      <c r="Z87" s="1736"/>
      <c r="AA87" s="1736"/>
      <c r="AB87" s="1736"/>
      <c r="AC87" s="1736"/>
      <c r="AD87" s="1736"/>
      <c r="AE87" s="1736"/>
      <c r="AF87" s="1736"/>
    </row>
    <row r="88" spans="1:32" ht="44.25" customHeight="1" x14ac:dyDescent="0.25">
      <c r="A88" s="1290" t="s">
        <v>4135</v>
      </c>
      <c r="B88" s="1290"/>
      <c r="C88" s="1290"/>
      <c r="D88" s="1290"/>
      <c r="E88" s="1290"/>
      <c r="F88" s="1290"/>
      <c r="G88" s="1290"/>
      <c r="H88" s="1290"/>
      <c r="I88" s="1290"/>
      <c r="J88" s="1290"/>
      <c r="K88" s="1290"/>
      <c r="L88" s="1290"/>
      <c r="M88" s="1290"/>
      <c r="N88" s="1290"/>
      <c r="O88" s="1290"/>
      <c r="P88" s="1290"/>
      <c r="Q88" s="1290"/>
      <c r="R88" s="1290"/>
      <c r="S88" s="1290"/>
      <c r="T88" s="1290"/>
      <c r="U88" s="1290"/>
      <c r="V88" s="1290"/>
      <c r="W88" s="1290"/>
      <c r="X88" s="1290"/>
      <c r="Y88" s="1290"/>
      <c r="Z88" s="1290"/>
      <c r="AA88" s="1290"/>
      <c r="AB88" s="1290"/>
      <c r="AC88" s="1290"/>
      <c r="AD88" s="1290"/>
      <c r="AE88" s="1290"/>
      <c r="AF88" s="1290"/>
    </row>
    <row r="89" spans="1:32" ht="36" customHeight="1" x14ac:dyDescent="0.25">
      <c r="A89" s="1290" t="s">
        <v>4126</v>
      </c>
      <c r="B89" s="1290"/>
      <c r="C89" s="1290"/>
      <c r="D89" s="1290"/>
      <c r="E89" s="1290"/>
      <c r="F89" s="1290"/>
      <c r="G89" s="1290"/>
      <c r="H89" s="1290"/>
      <c r="I89" s="1290"/>
      <c r="J89" s="1290"/>
      <c r="K89" s="1290"/>
      <c r="L89" s="1290"/>
      <c r="M89" s="1290"/>
      <c r="N89" s="1290"/>
      <c r="O89" s="1290"/>
      <c r="P89" s="1290"/>
      <c r="Q89" s="1290"/>
      <c r="R89" s="1290"/>
      <c r="S89" s="1290"/>
      <c r="T89" s="1290"/>
      <c r="U89" s="1290"/>
      <c r="V89" s="1290"/>
      <c r="W89" s="1290"/>
      <c r="X89" s="1290"/>
      <c r="Y89" s="1290"/>
      <c r="Z89" s="1290"/>
      <c r="AA89" s="1290"/>
      <c r="AB89" s="1290"/>
      <c r="AC89" s="1290"/>
      <c r="AD89" s="1290"/>
      <c r="AE89" s="1290"/>
      <c r="AF89" s="1290"/>
    </row>
    <row r="90" spans="1:32" x14ac:dyDescent="0.25">
      <c r="A90" s="1290" t="s">
        <v>4127</v>
      </c>
      <c r="B90" s="1290"/>
      <c r="C90" s="1290"/>
      <c r="D90" s="1290"/>
      <c r="E90" s="1290"/>
      <c r="F90" s="1290"/>
      <c r="G90" s="1290"/>
      <c r="H90" s="1290"/>
      <c r="I90" s="1290"/>
      <c r="J90" s="1290"/>
      <c r="K90" s="1290"/>
      <c r="L90" s="1290"/>
      <c r="M90" s="1290"/>
      <c r="N90" s="1290"/>
      <c r="O90" s="1290"/>
      <c r="P90" s="1290"/>
      <c r="Q90" s="1290"/>
      <c r="R90" s="1290"/>
      <c r="S90" s="1290"/>
      <c r="T90" s="1290"/>
      <c r="U90" s="1290"/>
      <c r="V90" s="1290"/>
      <c r="W90" s="1290"/>
      <c r="X90" s="1290"/>
      <c r="Y90" s="1290"/>
      <c r="Z90" s="1290"/>
      <c r="AA90" s="1290"/>
      <c r="AB90" s="1290"/>
      <c r="AC90" s="1290"/>
      <c r="AD90" s="1290"/>
      <c r="AE90" s="1290"/>
      <c r="AF90" s="1290"/>
    </row>
    <row r="91" spans="1:32" x14ac:dyDescent="0.25">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262"/>
    </row>
    <row r="92" spans="1:32" x14ac:dyDescent="0.25">
      <c r="A92" s="338" t="s">
        <v>4079</v>
      </c>
      <c r="B92" s="197"/>
      <c r="C92" s="197"/>
      <c r="D92" s="197"/>
      <c r="E92" s="197"/>
      <c r="F92" s="197"/>
      <c r="G92" s="197"/>
      <c r="H92" s="262"/>
      <c r="I92" s="262"/>
      <c r="J92" s="262"/>
      <c r="K92" s="262"/>
      <c r="L92" s="262"/>
      <c r="M92" s="262"/>
      <c r="N92" s="262"/>
      <c r="O92" s="262"/>
      <c r="P92" s="262"/>
      <c r="Q92" s="262"/>
      <c r="R92" s="262"/>
      <c r="S92" s="262"/>
      <c r="T92" s="262"/>
      <c r="U92" s="262"/>
      <c r="V92" s="262"/>
      <c r="W92" s="262"/>
      <c r="X92" s="262"/>
      <c r="Y92" s="262"/>
      <c r="Z92" s="262"/>
      <c r="AA92" s="262"/>
      <c r="AB92" s="262"/>
      <c r="AC92" s="262"/>
      <c r="AD92" s="262"/>
      <c r="AE92" s="262"/>
      <c r="AF92" s="262"/>
    </row>
    <row r="93" spans="1:32" ht="33.75" customHeight="1" x14ac:dyDescent="0.25">
      <c r="A93" s="1320" t="s">
        <v>4080</v>
      </c>
      <c r="B93" s="1320"/>
      <c r="C93" s="1320"/>
      <c r="D93" s="1320"/>
      <c r="E93" s="1320"/>
      <c r="F93" s="1320"/>
      <c r="G93" s="1320"/>
      <c r="H93" s="1320"/>
      <c r="I93" s="1320"/>
      <c r="J93" s="1320"/>
      <c r="K93" s="3820" t="s">
        <v>4081</v>
      </c>
      <c r="L93" s="3821"/>
      <c r="M93" s="3821"/>
      <c r="N93" s="3822"/>
      <c r="O93" s="3820" t="s">
        <v>4082</v>
      </c>
      <c r="P93" s="3821"/>
      <c r="Q93" s="3821"/>
      <c r="R93" s="3822"/>
      <c r="S93" s="3820" t="s">
        <v>4083</v>
      </c>
      <c r="T93" s="3821"/>
      <c r="U93" s="3821"/>
      <c r="V93" s="3822"/>
      <c r="W93" s="262"/>
      <c r="X93" s="262"/>
      <c r="Y93" s="262"/>
      <c r="Z93" s="262"/>
      <c r="AA93" s="262"/>
      <c r="AB93" s="262"/>
      <c r="AC93" s="262"/>
      <c r="AD93" s="262"/>
      <c r="AE93" s="262"/>
      <c r="AF93" s="262"/>
    </row>
    <row r="94" spans="1:32" x14ac:dyDescent="0.25">
      <c r="A94" s="1283" t="s">
        <v>4084</v>
      </c>
      <c r="B94" s="1283"/>
      <c r="C94" s="1283"/>
      <c r="D94" s="1283"/>
      <c r="E94" s="1283"/>
      <c r="F94" s="1283"/>
      <c r="G94" s="1283"/>
      <c r="H94" s="1283"/>
      <c r="I94" s="1283"/>
      <c r="J94" s="1283"/>
      <c r="K94" s="3807">
        <v>0.43697284075573561</v>
      </c>
      <c r="L94" s="3808"/>
      <c r="M94" s="3808"/>
      <c r="N94" s="3809"/>
      <c r="O94" s="3807">
        <v>0.32106782106782106</v>
      </c>
      <c r="P94" s="3808"/>
      <c r="Q94" s="3808"/>
      <c r="R94" s="3809"/>
      <c r="S94" s="3807">
        <v>0.63745354525794196</v>
      </c>
      <c r="T94" s="3808"/>
      <c r="U94" s="3808"/>
      <c r="V94" s="3809"/>
      <c r="W94" s="262"/>
      <c r="X94" s="262"/>
      <c r="Y94" s="262"/>
      <c r="Z94" s="262"/>
      <c r="AA94" s="262"/>
      <c r="AB94" s="262"/>
      <c r="AC94" s="262"/>
      <c r="AD94" s="262"/>
      <c r="AE94" s="262"/>
      <c r="AF94" s="262"/>
    </row>
    <row r="95" spans="1:32" x14ac:dyDescent="0.25">
      <c r="A95" s="1283" t="s">
        <v>4085</v>
      </c>
      <c r="B95" s="1283"/>
      <c r="C95" s="1283"/>
      <c r="D95" s="1283"/>
      <c r="E95" s="1283"/>
      <c r="F95" s="1283"/>
      <c r="G95" s="1283"/>
      <c r="H95" s="1283"/>
      <c r="I95" s="1283"/>
      <c r="J95" s="1283"/>
      <c r="K95" s="3807">
        <v>4.2193825910931175E-2</v>
      </c>
      <c r="L95" s="3808"/>
      <c r="M95" s="3808"/>
      <c r="N95" s="3809"/>
      <c r="O95" s="3807">
        <v>3.6075036075036072E-2</v>
      </c>
      <c r="P95" s="3808"/>
      <c r="Q95" s="3808"/>
      <c r="R95" s="3809"/>
      <c r="S95" s="3807">
        <v>4.2958825876078695E-2</v>
      </c>
      <c r="T95" s="3808"/>
      <c r="U95" s="3808"/>
      <c r="V95" s="3809"/>
      <c r="W95" s="262"/>
      <c r="X95" s="262"/>
      <c r="Y95" s="262"/>
      <c r="Z95" s="262"/>
      <c r="AA95" s="262"/>
      <c r="AB95" s="262"/>
      <c r="AC95" s="262"/>
      <c r="AD95" s="262"/>
      <c r="AE95" s="262"/>
      <c r="AF95" s="262"/>
    </row>
    <row r="96" spans="1:32" x14ac:dyDescent="0.25">
      <c r="A96" s="1283" t="s">
        <v>647</v>
      </c>
      <c r="B96" s="1283"/>
      <c r="C96" s="1283"/>
      <c r="D96" s="1283"/>
      <c r="E96" s="1283"/>
      <c r="F96" s="1283"/>
      <c r="G96" s="1283"/>
      <c r="H96" s="1283"/>
      <c r="I96" s="1283"/>
      <c r="J96" s="1283"/>
      <c r="K96" s="3807">
        <v>6.25E-2</v>
      </c>
      <c r="L96" s="3808"/>
      <c r="M96" s="3808"/>
      <c r="N96" s="3809"/>
      <c r="O96" s="3807">
        <v>7.1428571428571438E-2</v>
      </c>
      <c r="P96" s="3808"/>
      <c r="Q96" s="3808"/>
      <c r="R96" s="3809"/>
      <c r="S96" s="3807">
        <v>5.1546391752577317E-2</v>
      </c>
      <c r="T96" s="3808"/>
      <c r="U96" s="3808"/>
      <c r="V96" s="3809"/>
      <c r="W96" s="262"/>
      <c r="X96" s="262"/>
      <c r="Y96" s="262"/>
      <c r="Z96" s="262"/>
      <c r="AA96" s="262"/>
      <c r="AB96" s="262"/>
      <c r="AC96" s="262"/>
      <c r="AD96" s="262"/>
      <c r="AE96" s="262"/>
      <c r="AF96" s="262"/>
    </row>
    <row r="97" spans="1:32" x14ac:dyDescent="0.25">
      <c r="A97" s="1283" t="s">
        <v>3603</v>
      </c>
      <c r="B97" s="1283"/>
      <c r="C97" s="1283"/>
      <c r="D97" s="1283"/>
      <c r="E97" s="1283"/>
      <c r="F97" s="1283"/>
      <c r="G97" s="1283"/>
      <c r="H97" s="1283"/>
      <c r="I97" s="1283"/>
      <c r="J97" s="1283"/>
      <c r="K97" s="3807">
        <v>0.27083333333333337</v>
      </c>
      <c r="L97" s="3808"/>
      <c r="M97" s="3808"/>
      <c r="N97" s="3809"/>
      <c r="O97" s="3807">
        <v>0.36734693877551022</v>
      </c>
      <c r="P97" s="3808"/>
      <c r="Q97" s="3808"/>
      <c r="R97" s="3809"/>
      <c r="S97" s="3807">
        <v>9.2783505154639165E-2</v>
      </c>
      <c r="T97" s="3808"/>
      <c r="U97" s="3808"/>
      <c r="V97" s="3809"/>
      <c r="W97" s="262"/>
      <c r="X97" s="262"/>
      <c r="Y97" s="262"/>
      <c r="Z97" s="262"/>
      <c r="AA97" s="262"/>
      <c r="AB97" s="262"/>
      <c r="AC97" s="262"/>
      <c r="AD97" s="262"/>
      <c r="AE97" s="262"/>
      <c r="AF97" s="262"/>
    </row>
    <row r="98" spans="1:32" x14ac:dyDescent="0.25">
      <c r="A98" s="1283" t="s">
        <v>4086</v>
      </c>
      <c r="B98" s="1283"/>
      <c r="C98" s="1283"/>
      <c r="D98" s="1283"/>
      <c r="E98" s="1283"/>
      <c r="F98" s="1283"/>
      <c r="G98" s="1283"/>
      <c r="H98" s="1283"/>
      <c r="I98" s="1283"/>
      <c r="J98" s="1283"/>
      <c r="K98" s="3807">
        <v>0.10416666666666667</v>
      </c>
      <c r="L98" s="3808"/>
      <c r="M98" s="3808"/>
      <c r="N98" s="3809"/>
      <c r="O98" s="3807">
        <v>0.14285714285714288</v>
      </c>
      <c r="P98" s="3808"/>
      <c r="Q98" s="3808"/>
      <c r="R98" s="3809"/>
      <c r="S98" s="3807">
        <v>3.0927835051546389E-2</v>
      </c>
      <c r="T98" s="3808"/>
      <c r="U98" s="3808"/>
      <c r="V98" s="3809"/>
      <c r="W98" s="262"/>
      <c r="X98" s="262"/>
      <c r="Y98" s="262"/>
      <c r="Z98" s="262"/>
      <c r="AA98" s="262"/>
      <c r="AB98" s="262"/>
      <c r="AC98" s="262"/>
      <c r="AD98" s="262"/>
      <c r="AE98" s="262"/>
      <c r="AF98" s="262"/>
    </row>
    <row r="99" spans="1:32" x14ac:dyDescent="0.25">
      <c r="A99" s="1283" t="s">
        <v>56</v>
      </c>
      <c r="B99" s="1283"/>
      <c r="C99" s="1283"/>
      <c r="D99" s="1283"/>
      <c r="E99" s="1283"/>
      <c r="F99" s="1283"/>
      <c r="G99" s="1283"/>
      <c r="H99" s="1283"/>
      <c r="I99" s="1283"/>
      <c r="J99" s="1283"/>
      <c r="K99" s="3807">
        <v>8.3333333333333343E-2</v>
      </c>
      <c r="L99" s="3808"/>
      <c r="M99" s="3808"/>
      <c r="N99" s="3809"/>
      <c r="O99" s="3807">
        <v>6.1224489795918366E-2</v>
      </c>
      <c r="P99" s="3808"/>
      <c r="Q99" s="3808"/>
      <c r="R99" s="3809"/>
      <c r="S99" s="3807">
        <v>0.14432989690721651</v>
      </c>
      <c r="T99" s="3808"/>
      <c r="U99" s="3808"/>
      <c r="V99" s="3809"/>
      <c r="W99" s="673"/>
      <c r="X99" s="673"/>
      <c r="Y99" s="673"/>
      <c r="Z99" s="673"/>
      <c r="AA99" s="673"/>
      <c r="AB99" s="673"/>
      <c r="AC99" s="673"/>
      <c r="AD99" s="673"/>
      <c r="AE99" s="673"/>
      <c r="AF99" s="673"/>
    </row>
    <row r="100" spans="1:32" ht="47.25" customHeight="1" x14ac:dyDescent="0.25">
      <c r="A100" s="1290" t="s">
        <v>4136</v>
      </c>
      <c r="B100" s="1290"/>
      <c r="C100" s="1290"/>
      <c r="D100" s="1290"/>
      <c r="E100" s="1290"/>
      <c r="F100" s="1290"/>
      <c r="G100" s="1290"/>
      <c r="H100" s="1290"/>
      <c r="I100" s="1290"/>
      <c r="J100" s="1290"/>
      <c r="K100" s="1290"/>
      <c r="L100" s="1290"/>
      <c r="M100" s="1290"/>
      <c r="N100" s="1290"/>
      <c r="O100" s="1290"/>
      <c r="P100" s="1290"/>
      <c r="Q100" s="1290"/>
      <c r="R100" s="1290"/>
      <c r="S100" s="1290"/>
      <c r="T100" s="1290"/>
      <c r="U100" s="1290"/>
      <c r="V100" s="1290"/>
      <c r="W100" s="1290"/>
      <c r="X100" s="1290"/>
      <c r="Y100" s="1290"/>
      <c r="Z100" s="1290"/>
      <c r="AA100" s="1290"/>
      <c r="AB100" s="1290"/>
      <c r="AC100" s="1290"/>
      <c r="AD100" s="1290"/>
      <c r="AE100" s="1290"/>
      <c r="AF100" s="1290"/>
    </row>
    <row r="101" spans="1:32" x14ac:dyDescent="0.25">
      <c r="A101" s="262"/>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F101" s="262"/>
    </row>
    <row r="102" spans="1:32" x14ac:dyDescent="0.25">
      <c r="A102" s="338" t="s">
        <v>4087</v>
      </c>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62"/>
      <c r="AE102" s="262"/>
      <c r="AF102" s="262"/>
    </row>
    <row r="103" spans="1:32" x14ac:dyDescent="0.25">
      <c r="A103" s="1283" t="s">
        <v>4088</v>
      </c>
      <c r="B103" s="1283"/>
      <c r="C103" s="1283"/>
      <c r="D103" s="1283"/>
      <c r="E103" s="1283"/>
      <c r="F103" s="1283"/>
      <c r="G103" s="1283"/>
      <c r="H103" s="1283"/>
      <c r="I103" s="1283"/>
      <c r="J103" s="1283"/>
      <c r="K103" s="3807">
        <v>0.38</v>
      </c>
      <c r="L103" s="3808"/>
      <c r="M103" s="3808"/>
      <c r="N103" s="3809"/>
      <c r="O103" s="262"/>
      <c r="P103" s="262"/>
      <c r="Q103" s="262"/>
      <c r="R103" s="262"/>
      <c r="S103" s="262"/>
      <c r="T103" s="262"/>
      <c r="U103" s="262"/>
      <c r="V103" s="262"/>
      <c r="W103" s="262"/>
      <c r="X103" s="262"/>
      <c r="Y103" s="262"/>
      <c r="Z103" s="262"/>
      <c r="AA103" s="262"/>
      <c r="AB103" s="262"/>
      <c r="AC103" s="262"/>
      <c r="AD103" s="262"/>
      <c r="AE103" s="262"/>
      <c r="AF103" s="262"/>
    </row>
    <row r="104" spans="1:32" x14ac:dyDescent="0.25">
      <c r="A104" s="1283" t="s">
        <v>4082</v>
      </c>
      <c r="B104" s="1283"/>
      <c r="C104" s="1283"/>
      <c r="D104" s="1283"/>
      <c r="E104" s="1283"/>
      <c r="F104" s="1283"/>
      <c r="G104" s="1283"/>
      <c r="H104" s="1283"/>
      <c r="I104" s="1283"/>
      <c r="J104" s="1283"/>
      <c r="K104" s="3807">
        <v>0.62</v>
      </c>
      <c r="L104" s="3808"/>
      <c r="M104" s="3808"/>
      <c r="N104" s="3809"/>
      <c r="O104" s="262"/>
      <c r="P104" s="262"/>
      <c r="Q104" s="262"/>
      <c r="R104" s="262"/>
      <c r="S104" s="262"/>
      <c r="T104" s="262"/>
      <c r="U104" s="262"/>
      <c r="V104" s="262"/>
      <c r="W104" s="262"/>
      <c r="X104" s="262"/>
      <c r="Y104" s="262"/>
      <c r="Z104" s="262"/>
      <c r="AA104" s="262"/>
      <c r="AB104" s="262"/>
      <c r="AC104" s="262"/>
      <c r="AD104" s="262"/>
      <c r="AE104" s="262"/>
      <c r="AF104" s="262"/>
    </row>
    <row r="105" spans="1:32" ht="41.25" customHeight="1" x14ac:dyDescent="0.25">
      <c r="A105" s="1290" t="s">
        <v>4089</v>
      </c>
      <c r="B105" s="1290"/>
      <c r="C105" s="1290"/>
      <c r="D105" s="1290"/>
      <c r="E105" s="1290"/>
      <c r="F105" s="1290"/>
      <c r="G105" s="1290"/>
      <c r="H105" s="1290"/>
      <c r="I105" s="1290"/>
      <c r="J105" s="1290"/>
      <c r="K105" s="1290"/>
      <c r="L105" s="1290"/>
      <c r="M105" s="1290"/>
      <c r="N105" s="1290"/>
      <c r="O105" s="1290"/>
      <c r="P105" s="1290"/>
      <c r="Q105" s="1290"/>
      <c r="R105" s="1290"/>
      <c r="S105" s="1290"/>
      <c r="T105" s="1290"/>
      <c r="U105" s="1290"/>
      <c r="V105" s="1290"/>
      <c r="W105" s="1290"/>
      <c r="X105" s="1290"/>
      <c r="Y105" s="1290"/>
      <c r="Z105" s="1290"/>
      <c r="AA105" s="1290"/>
      <c r="AB105" s="1290"/>
      <c r="AC105" s="1290"/>
      <c r="AD105" s="1290"/>
      <c r="AE105" s="1290"/>
      <c r="AF105" s="1290"/>
    </row>
    <row r="106" spans="1:32" x14ac:dyDescent="0.25">
      <c r="A106" s="262"/>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62"/>
      <c r="AE106" s="262"/>
      <c r="AF106" s="262"/>
    </row>
    <row r="107" spans="1:32" x14ac:dyDescent="0.25">
      <c r="A107" s="262"/>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62"/>
      <c r="AE107" s="262"/>
      <c r="AF107" s="262"/>
    </row>
    <row r="108" spans="1:32" x14ac:dyDescent="0.25">
      <c r="A108" s="1385" t="s">
        <v>21</v>
      </c>
      <c r="B108" s="1386"/>
      <c r="C108" s="1386"/>
      <c r="D108" s="1386"/>
      <c r="E108" s="1386"/>
      <c r="F108" s="1386"/>
      <c r="G108" s="1386"/>
      <c r="H108" s="1386"/>
      <c r="I108" s="1386"/>
      <c r="J108" s="1386"/>
      <c r="K108" s="1386"/>
      <c r="L108" s="1386"/>
      <c r="M108" s="1386"/>
      <c r="N108" s="1386"/>
      <c r="O108" s="1386"/>
      <c r="P108" s="1386"/>
      <c r="Q108" s="1386"/>
      <c r="R108" s="1386"/>
      <c r="S108" s="1386"/>
      <c r="T108" s="1386"/>
      <c r="U108" s="1386"/>
      <c r="V108" s="1386"/>
      <c r="W108" s="1386"/>
      <c r="X108" s="1386"/>
      <c r="Y108" s="1386"/>
      <c r="Z108" s="1386"/>
      <c r="AA108" s="1386"/>
      <c r="AB108" s="1386"/>
      <c r="AC108" s="1386"/>
      <c r="AD108" s="1386"/>
      <c r="AE108" s="1386"/>
      <c r="AF108" s="1387"/>
    </row>
    <row r="109" spans="1:32" x14ac:dyDescent="0.25">
      <c r="A109" s="423"/>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62"/>
      <c r="AE109" s="262"/>
      <c r="AF109" s="262"/>
    </row>
    <row r="110" spans="1:32" x14ac:dyDescent="0.25">
      <c r="A110" s="423"/>
      <c r="B110" s="414" t="s">
        <v>4090</v>
      </c>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62"/>
      <c r="AE110" s="262"/>
      <c r="AF110" s="262"/>
    </row>
    <row r="111" spans="1:32" x14ac:dyDescent="0.25">
      <c r="A111" s="423"/>
      <c r="B111" s="414"/>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262"/>
      <c r="AF111" s="262"/>
    </row>
    <row r="112" spans="1:32" ht="15.75" thickBot="1" x14ac:dyDescent="0.3">
      <c r="A112" s="3810" t="s">
        <v>4091</v>
      </c>
      <c r="B112" s="3810"/>
      <c r="C112" s="3810"/>
      <c r="D112" s="3810"/>
      <c r="E112" s="3810"/>
      <c r="F112" s="3810"/>
      <c r="G112" s="3810"/>
      <c r="H112" s="3810"/>
      <c r="I112" s="3810"/>
      <c r="J112" s="3810"/>
      <c r="K112" s="3810"/>
      <c r="L112" s="3810"/>
      <c r="M112" s="3810"/>
      <c r="N112" s="3810"/>
      <c r="O112" s="3810"/>
      <c r="P112" s="262"/>
      <c r="Q112" s="262"/>
      <c r="R112" s="262"/>
      <c r="S112" s="262"/>
      <c r="T112" s="262"/>
      <c r="U112" s="262"/>
      <c r="V112" s="262"/>
      <c r="W112" s="262"/>
      <c r="X112" s="262"/>
      <c r="Y112" s="262"/>
      <c r="Z112" s="262"/>
      <c r="AA112" s="262"/>
      <c r="AB112" s="262"/>
      <c r="AC112" s="262"/>
      <c r="AD112" s="262"/>
      <c r="AE112" s="262"/>
      <c r="AF112" s="262"/>
    </row>
    <row r="113" spans="1:32" x14ac:dyDescent="0.25">
      <c r="A113" s="3478" t="s">
        <v>241</v>
      </c>
      <c r="B113" s="2930"/>
      <c r="C113" s="2930"/>
      <c r="D113" s="2930"/>
      <c r="E113" s="2930"/>
      <c r="F113" s="2930"/>
      <c r="G113" s="2930"/>
      <c r="H113" s="2930"/>
      <c r="I113" s="2930"/>
      <c r="J113" s="2930"/>
      <c r="K113" s="2930"/>
      <c r="L113" s="2930"/>
      <c r="M113" s="2807" t="s">
        <v>4092</v>
      </c>
      <c r="N113" s="2808"/>
      <c r="O113" s="2808"/>
      <c r="P113" s="2808"/>
      <c r="Q113" s="2808"/>
      <c r="R113" s="2808"/>
      <c r="S113" s="2808"/>
      <c r="T113" s="3250"/>
      <c r="U113" s="1879" t="s">
        <v>4093</v>
      </c>
      <c r="V113" s="2808"/>
      <c r="W113" s="2808"/>
      <c r="X113" s="2808"/>
      <c r="Y113" s="2808"/>
      <c r="Z113" s="2808"/>
      <c r="AA113" s="2808"/>
      <c r="AB113" s="3250"/>
      <c r="AC113" s="2807" t="s">
        <v>2583</v>
      </c>
      <c r="AD113" s="2808"/>
      <c r="AE113" s="2808"/>
      <c r="AF113" s="3250"/>
    </row>
    <row r="114" spans="1:32" ht="18.75" thickBot="1" x14ac:dyDescent="0.4">
      <c r="A114" s="3811"/>
      <c r="B114" s="3812"/>
      <c r="C114" s="3812"/>
      <c r="D114" s="3812"/>
      <c r="E114" s="3812"/>
      <c r="F114" s="3812"/>
      <c r="G114" s="3812"/>
      <c r="H114" s="3812"/>
      <c r="I114" s="3812"/>
      <c r="J114" s="3812"/>
      <c r="K114" s="3812"/>
      <c r="L114" s="3812"/>
      <c r="M114" s="3813" t="s">
        <v>4128</v>
      </c>
      <c r="N114" s="3584"/>
      <c r="O114" s="3584"/>
      <c r="P114" s="3814"/>
      <c r="Q114" s="3815" t="s">
        <v>4129</v>
      </c>
      <c r="R114" s="3584"/>
      <c r="S114" s="3584"/>
      <c r="T114" s="3816"/>
      <c r="U114" s="3815" t="s">
        <v>4130</v>
      </c>
      <c r="V114" s="3584"/>
      <c r="W114" s="3584"/>
      <c r="X114" s="3814"/>
      <c r="Y114" s="3815" t="s">
        <v>4131</v>
      </c>
      <c r="Z114" s="3584"/>
      <c r="AA114" s="3584"/>
      <c r="AB114" s="3816"/>
      <c r="AC114" s="3817" t="s">
        <v>4132</v>
      </c>
      <c r="AD114" s="3818"/>
      <c r="AE114" s="3818"/>
      <c r="AF114" s="3819"/>
    </row>
    <row r="115" spans="1:32" x14ac:dyDescent="0.25">
      <c r="A115" s="3777" t="s">
        <v>1202</v>
      </c>
      <c r="B115" s="3778"/>
      <c r="C115" s="3779"/>
      <c r="D115" s="3785" t="s">
        <v>1530</v>
      </c>
      <c r="E115" s="3778"/>
      <c r="F115" s="3778"/>
      <c r="G115" s="3778"/>
      <c r="H115" s="3779"/>
      <c r="I115" s="3789" t="s">
        <v>1427</v>
      </c>
      <c r="J115" s="3790"/>
      <c r="K115" s="3790"/>
      <c r="L115" s="3790"/>
      <c r="M115" s="3791">
        <f>ROUND(Q115*$M$65,3)</f>
        <v>4.0000000000000001E-3</v>
      </c>
      <c r="N115" s="3759"/>
      <c r="O115" s="3759"/>
      <c r="P115" s="3760"/>
      <c r="Q115" s="3761">
        <f>ROUND(($M$66-$M$68)*$M$69*($M$70/$M$72)*$M$74*($M$75-$M$76)*$M$81*$M$83/$M$77/$M$82,2)</f>
        <v>17.84</v>
      </c>
      <c r="R115" s="3762"/>
      <c r="S115" s="3762"/>
      <c r="T115" s="3763"/>
      <c r="U115" s="3758">
        <f>ROUND(Y115*$M$65,3)</f>
        <v>1E-3</v>
      </c>
      <c r="V115" s="3759"/>
      <c r="W115" s="3759"/>
      <c r="X115" s="3760"/>
      <c r="Y115" s="3761">
        <f>ROUND(($M$67-$M$68)*$M$69*($M$70/$M$72)*$M$74*($M$75-$M$76)*$M$81*$M$83/$M$77/$M$82,2)</f>
        <v>2.97</v>
      </c>
      <c r="Z115" s="3762"/>
      <c r="AA115" s="3762"/>
      <c r="AB115" s="3763"/>
      <c r="AC115" s="3764">
        <f t="shared" ref="AC115:AC130" si="0">ROUND(Q115*$M$85+Y115*($M$86-$M$85),2)</f>
        <v>74.31</v>
      </c>
      <c r="AD115" s="3765"/>
      <c r="AE115" s="3765"/>
      <c r="AF115" s="3766"/>
    </row>
    <row r="116" spans="1:32" x14ac:dyDescent="0.25">
      <c r="A116" s="3780"/>
      <c r="B116" s="3036"/>
      <c r="C116" s="3781"/>
      <c r="D116" s="3786"/>
      <c r="E116" s="3787"/>
      <c r="F116" s="3787"/>
      <c r="G116" s="3787"/>
      <c r="H116" s="3788"/>
      <c r="I116" s="2745" t="s">
        <v>1326</v>
      </c>
      <c r="J116" s="1449"/>
      <c r="K116" s="1449"/>
      <c r="L116" s="1449"/>
      <c r="M116" s="3767">
        <f t="shared" ref="M116:M130" si="1">ROUND(Q116*$M$65,3)</f>
        <v>2.1999999999999999E-2</v>
      </c>
      <c r="N116" s="3768"/>
      <c r="O116" s="3768"/>
      <c r="P116" s="3769"/>
      <c r="Q116" s="3770">
        <f>ROUND(($M$66-$P$68)*$P$69*($M$70/$P$72)*$M$74*($P$75-$M$76)*$M$81*$P$83/$M$77/$M$82,2)</f>
        <v>111.6</v>
      </c>
      <c r="R116" s="3771"/>
      <c r="S116" s="3771"/>
      <c r="T116" s="3772"/>
      <c r="U116" s="3773">
        <f t="shared" ref="U116:U130" si="2">ROUND(Y116*$M$65,3)</f>
        <v>0.01</v>
      </c>
      <c r="V116" s="3768"/>
      <c r="W116" s="3768"/>
      <c r="X116" s="3769"/>
      <c r="Y116" s="3770">
        <f>ROUND(($P$67-$P$68)*$P$69*($M$70/$P$72)*$M$74*($P$75-$M$76)*$M$81*$P$83/$M$77/$M$82,2)</f>
        <v>47.83</v>
      </c>
      <c r="Z116" s="3771"/>
      <c r="AA116" s="3771"/>
      <c r="AB116" s="3772"/>
      <c r="AC116" s="3774">
        <f t="shared" si="0"/>
        <v>669.61</v>
      </c>
      <c r="AD116" s="3775"/>
      <c r="AE116" s="3775"/>
      <c r="AF116" s="3776"/>
    </row>
    <row r="117" spans="1:32" x14ac:dyDescent="0.25">
      <c r="A117" s="3780"/>
      <c r="B117" s="3036"/>
      <c r="C117" s="3781"/>
      <c r="D117" s="3792" t="s">
        <v>3604</v>
      </c>
      <c r="E117" s="3793"/>
      <c r="F117" s="3793"/>
      <c r="G117" s="3793"/>
      <c r="H117" s="3794"/>
      <c r="I117" s="2745" t="s">
        <v>1427</v>
      </c>
      <c r="J117" s="1449"/>
      <c r="K117" s="1449"/>
      <c r="L117" s="1449"/>
      <c r="M117" s="3767">
        <f t="shared" si="1"/>
        <v>3.0000000000000001E-3</v>
      </c>
      <c r="N117" s="3768"/>
      <c r="O117" s="3768"/>
      <c r="P117" s="3769"/>
      <c r="Q117" s="3770">
        <f>ROUND(($M$66-$M$68)*$M$69*($M$71/$M$73)*$M$74*($M$75-$M$76)*$M$81*$M$83/$M$77/$M$82,2)</f>
        <v>16.38</v>
      </c>
      <c r="R117" s="3771"/>
      <c r="S117" s="3771"/>
      <c r="T117" s="3772"/>
      <c r="U117" s="3773">
        <f t="shared" si="2"/>
        <v>1E-3</v>
      </c>
      <c r="V117" s="3768"/>
      <c r="W117" s="3768"/>
      <c r="X117" s="3769"/>
      <c r="Y117" s="3770">
        <f>ROUND(($M$67-$M$68)*$M$69*($M$71/$M$73)*$M$74*($M$75-$M$76)*$M$81*$M$83/$M$77/$M$82,2)</f>
        <v>2.73</v>
      </c>
      <c r="Z117" s="3771"/>
      <c r="AA117" s="3771"/>
      <c r="AB117" s="3772"/>
      <c r="AC117" s="3774">
        <f t="shared" si="0"/>
        <v>68.25</v>
      </c>
      <c r="AD117" s="3775"/>
      <c r="AE117" s="3775"/>
      <c r="AF117" s="3776"/>
    </row>
    <row r="118" spans="1:32" ht="15.75" thickBot="1" x14ac:dyDescent="0.3">
      <c r="A118" s="3782"/>
      <c r="B118" s="3783"/>
      <c r="C118" s="3784"/>
      <c r="D118" s="3795"/>
      <c r="E118" s="3783"/>
      <c r="F118" s="3783"/>
      <c r="G118" s="3783"/>
      <c r="H118" s="3784"/>
      <c r="I118" s="3739" t="s">
        <v>1326</v>
      </c>
      <c r="J118" s="3796"/>
      <c r="K118" s="3796"/>
      <c r="L118" s="3796"/>
      <c r="M118" s="3797">
        <f t="shared" si="1"/>
        <v>2.5999999999999999E-2</v>
      </c>
      <c r="N118" s="3798"/>
      <c r="O118" s="3798"/>
      <c r="P118" s="3799"/>
      <c r="Q118" s="3800">
        <f>ROUND(($M$66-$P$68)*$P$69*($M$71/$P$73)*$M$74*($P$75-$M$76)*$M$81*$P$83/$M$77/$M$82,2)</f>
        <v>127.62</v>
      </c>
      <c r="R118" s="3801"/>
      <c r="S118" s="3801"/>
      <c r="T118" s="3802"/>
      <c r="U118" s="3803">
        <f t="shared" si="2"/>
        <v>1.0999999999999999E-2</v>
      </c>
      <c r="V118" s="3798"/>
      <c r="W118" s="3798"/>
      <c r="X118" s="3799"/>
      <c r="Y118" s="3800">
        <f>ROUND(($P$67-$P$68)*$P$69*($M$71/$P$73)*$M$74*($P$75-$M$76)*$M$81*$P$83/$M$77/$M$82,2)</f>
        <v>54.69</v>
      </c>
      <c r="Z118" s="3801"/>
      <c r="AA118" s="3801"/>
      <c r="AB118" s="3802"/>
      <c r="AC118" s="3804">
        <f>ROUND(Q118*$M$85+Y118*($M$86-$M$85),2)</f>
        <v>765.69</v>
      </c>
      <c r="AD118" s="3805"/>
      <c r="AE118" s="3805"/>
      <c r="AF118" s="3806"/>
    </row>
    <row r="119" spans="1:32" x14ac:dyDescent="0.25">
      <c r="A119" s="3777" t="s">
        <v>4094</v>
      </c>
      <c r="B119" s="3778"/>
      <c r="C119" s="3779"/>
      <c r="D119" s="3785" t="s">
        <v>1530</v>
      </c>
      <c r="E119" s="3778"/>
      <c r="F119" s="3778"/>
      <c r="G119" s="3778"/>
      <c r="H119" s="3779"/>
      <c r="I119" s="3789" t="s">
        <v>1427</v>
      </c>
      <c r="J119" s="3790"/>
      <c r="K119" s="3790"/>
      <c r="L119" s="3790"/>
      <c r="M119" s="3791">
        <f t="shared" si="1"/>
        <v>3.0000000000000001E-3</v>
      </c>
      <c r="N119" s="3759"/>
      <c r="O119" s="3759"/>
      <c r="P119" s="3760"/>
      <c r="Q119" s="3761">
        <f>ROUND(($M$66-$M$68)*$M$69*($M$70/$M$72)*$M$74*($M$75-$M$76)*$M$81*$M$83/$M$78/$M$82,2)</f>
        <v>17.3</v>
      </c>
      <c r="R119" s="3762"/>
      <c r="S119" s="3762"/>
      <c r="T119" s="3763"/>
      <c r="U119" s="3758">
        <f t="shared" si="2"/>
        <v>1E-3</v>
      </c>
      <c r="V119" s="3759"/>
      <c r="W119" s="3759"/>
      <c r="X119" s="3760"/>
      <c r="Y119" s="3761">
        <f>ROUND(($M$67-$M$68)*$M$69*($M$70/$M$72)*$M$74*($M$75-$M$76)*$M$81*$M$83/$M$78/$M$82,2)</f>
        <v>2.88</v>
      </c>
      <c r="Z119" s="3762"/>
      <c r="AA119" s="3762"/>
      <c r="AB119" s="3763"/>
      <c r="AC119" s="3764">
        <f t="shared" si="0"/>
        <v>72.06</v>
      </c>
      <c r="AD119" s="3765"/>
      <c r="AE119" s="3765"/>
      <c r="AF119" s="3766"/>
    </row>
    <row r="120" spans="1:32" x14ac:dyDescent="0.25">
      <c r="A120" s="3780"/>
      <c r="B120" s="3036"/>
      <c r="C120" s="3781"/>
      <c r="D120" s="3786"/>
      <c r="E120" s="3787"/>
      <c r="F120" s="3787"/>
      <c r="G120" s="3787"/>
      <c r="H120" s="3788"/>
      <c r="I120" s="2745" t="s">
        <v>1326</v>
      </c>
      <c r="J120" s="1449"/>
      <c r="K120" s="1449"/>
      <c r="L120" s="1449"/>
      <c r="M120" s="3767">
        <f t="shared" si="1"/>
        <v>2.1999999999999999E-2</v>
      </c>
      <c r="N120" s="3768"/>
      <c r="O120" s="3768"/>
      <c r="P120" s="3769"/>
      <c r="Q120" s="3770">
        <f>ROUND(($M$66-$P$68)*$P$69*($M$70/$P$72)*$M$74*($P$75-$M$76)*$M$81*$P$83/$M$78/$M$82,2)</f>
        <v>108.17</v>
      </c>
      <c r="R120" s="3771"/>
      <c r="S120" s="3771"/>
      <c r="T120" s="3772"/>
      <c r="U120" s="3773">
        <f t="shared" si="2"/>
        <v>8.9999999999999993E-3</v>
      </c>
      <c r="V120" s="3768"/>
      <c r="W120" s="3768"/>
      <c r="X120" s="3769"/>
      <c r="Y120" s="3770">
        <f>ROUND(($P$67-$P$68)*$P$69*($M$70/$P$72)*$M$74*($P$75-$M$76)*$M$81*$P$83/$M$78/$M$82,2)</f>
        <v>46.36</v>
      </c>
      <c r="Z120" s="3771"/>
      <c r="AA120" s="3771"/>
      <c r="AB120" s="3772"/>
      <c r="AC120" s="3774">
        <f t="shared" si="0"/>
        <v>649.03</v>
      </c>
      <c r="AD120" s="3775"/>
      <c r="AE120" s="3775"/>
      <c r="AF120" s="3776"/>
    </row>
    <row r="121" spans="1:32" x14ac:dyDescent="0.25">
      <c r="A121" s="3780"/>
      <c r="B121" s="3036"/>
      <c r="C121" s="3781"/>
      <c r="D121" s="3792" t="s">
        <v>3604</v>
      </c>
      <c r="E121" s="3793"/>
      <c r="F121" s="3793"/>
      <c r="G121" s="3793"/>
      <c r="H121" s="3794"/>
      <c r="I121" s="2745" t="s">
        <v>1427</v>
      </c>
      <c r="J121" s="1449"/>
      <c r="K121" s="1449"/>
      <c r="L121" s="1449"/>
      <c r="M121" s="3767">
        <f t="shared" si="1"/>
        <v>3.0000000000000001E-3</v>
      </c>
      <c r="N121" s="3768"/>
      <c r="O121" s="3768"/>
      <c r="P121" s="3769"/>
      <c r="Q121" s="3770">
        <f>ROUND(($M$66-$M$68)*$M$69*($M$71/$M$73)*$M$74*($M$75-$M$76)*$M$81*$M$83/$M$78/$M$82,2)</f>
        <v>15.88</v>
      </c>
      <c r="R121" s="3771"/>
      <c r="S121" s="3771"/>
      <c r="T121" s="3772"/>
      <c r="U121" s="3773">
        <f t="shared" si="2"/>
        <v>1E-3</v>
      </c>
      <c r="V121" s="3768"/>
      <c r="W121" s="3768"/>
      <c r="X121" s="3769"/>
      <c r="Y121" s="3770">
        <f>ROUND(($M$67-$M$68)*$M$69*($M$71/$M$73)*$M$74*($M$75-$M$76)*$M$81*$M$83/$M$78/$M$82,2)</f>
        <v>2.65</v>
      </c>
      <c r="Z121" s="3771"/>
      <c r="AA121" s="3771"/>
      <c r="AB121" s="3772"/>
      <c r="AC121" s="3774">
        <f t="shared" si="0"/>
        <v>66.19</v>
      </c>
      <c r="AD121" s="3775"/>
      <c r="AE121" s="3775"/>
      <c r="AF121" s="3776"/>
    </row>
    <row r="122" spans="1:32" ht="15.75" thickBot="1" x14ac:dyDescent="0.3">
      <c r="A122" s="3782"/>
      <c r="B122" s="3783"/>
      <c r="C122" s="3784"/>
      <c r="D122" s="3795"/>
      <c r="E122" s="3783"/>
      <c r="F122" s="3783"/>
      <c r="G122" s="3783"/>
      <c r="H122" s="3784"/>
      <c r="I122" s="3739" t="s">
        <v>1326</v>
      </c>
      <c r="J122" s="3796"/>
      <c r="K122" s="3796"/>
      <c r="L122" s="3796"/>
      <c r="M122" s="3797">
        <f t="shared" si="1"/>
        <v>2.5000000000000001E-2</v>
      </c>
      <c r="N122" s="3798"/>
      <c r="O122" s="3798"/>
      <c r="P122" s="3799"/>
      <c r="Q122" s="3800">
        <f>ROUND(($M$66-$P$68)*$P$69*($M$71/$P$73)*$M$74*($P$75-$M$76)*$M$81*$P$83/$M$78/$M$82,2)</f>
        <v>123.69</v>
      </c>
      <c r="R122" s="3801"/>
      <c r="S122" s="3801"/>
      <c r="T122" s="3802"/>
      <c r="U122" s="3803">
        <f t="shared" si="2"/>
        <v>1.0999999999999999E-2</v>
      </c>
      <c r="V122" s="3798"/>
      <c r="W122" s="3798"/>
      <c r="X122" s="3799"/>
      <c r="Y122" s="3800">
        <f>ROUND(($P$67-$P$68)*$P$69*($M$71/$P$73)*$M$74*($P$75-$M$76)*$M$81*$P$83/$M$78/$M$82,2)</f>
        <v>53.01</v>
      </c>
      <c r="Z122" s="3801"/>
      <c r="AA122" s="3801"/>
      <c r="AB122" s="3802"/>
      <c r="AC122" s="3804">
        <f t="shared" si="0"/>
        <v>742.14</v>
      </c>
      <c r="AD122" s="3805"/>
      <c r="AE122" s="3805"/>
      <c r="AF122" s="3806"/>
    </row>
    <row r="123" spans="1:32" x14ac:dyDescent="0.25">
      <c r="A123" s="3777" t="s">
        <v>1203</v>
      </c>
      <c r="B123" s="3778"/>
      <c r="C123" s="3779"/>
      <c r="D123" s="3785" t="s">
        <v>1530</v>
      </c>
      <c r="E123" s="3778"/>
      <c r="F123" s="3778"/>
      <c r="G123" s="3778"/>
      <c r="H123" s="3779"/>
      <c r="I123" s="3789" t="s">
        <v>1427</v>
      </c>
      <c r="J123" s="3790"/>
      <c r="K123" s="3790"/>
      <c r="L123" s="3790"/>
      <c r="M123" s="3791">
        <f t="shared" si="1"/>
        <v>1E-3</v>
      </c>
      <c r="N123" s="3759"/>
      <c r="O123" s="3759"/>
      <c r="P123" s="3760"/>
      <c r="Q123" s="3761">
        <f>ROUND(($M$66-$M$68)*$M$69*($M$70/$M$72)*$M$74*($M$75-$M$76)*$M$81*$M$83/$M$79/$M$82,2)</f>
        <v>6.49</v>
      </c>
      <c r="R123" s="3762"/>
      <c r="S123" s="3762"/>
      <c r="T123" s="3763"/>
      <c r="U123" s="3758">
        <f t="shared" si="2"/>
        <v>0</v>
      </c>
      <c r="V123" s="3759"/>
      <c r="W123" s="3759"/>
      <c r="X123" s="3760"/>
      <c r="Y123" s="3761">
        <f>ROUND(($M$67-$M$68)*$M$69*($M$70/$M$72)*$M$74*($M$75-$M$76)*$M$81*$M$83/$M$79/$M$82,2)</f>
        <v>1.08</v>
      </c>
      <c r="Z123" s="3762"/>
      <c r="AA123" s="3762"/>
      <c r="AB123" s="3763"/>
      <c r="AC123" s="3764">
        <f t="shared" si="0"/>
        <v>27.03</v>
      </c>
      <c r="AD123" s="3765"/>
      <c r="AE123" s="3765"/>
      <c r="AF123" s="3766"/>
    </row>
    <row r="124" spans="1:32" x14ac:dyDescent="0.25">
      <c r="A124" s="3780"/>
      <c r="B124" s="3036"/>
      <c r="C124" s="3781"/>
      <c r="D124" s="3786"/>
      <c r="E124" s="3787"/>
      <c r="F124" s="3787"/>
      <c r="G124" s="3787"/>
      <c r="H124" s="3788"/>
      <c r="I124" s="2745" t="s">
        <v>1326</v>
      </c>
      <c r="J124" s="1449"/>
      <c r="K124" s="1449"/>
      <c r="L124" s="1449"/>
      <c r="M124" s="3767">
        <f t="shared" si="1"/>
        <v>8.0000000000000002E-3</v>
      </c>
      <c r="N124" s="3768"/>
      <c r="O124" s="3768"/>
      <c r="P124" s="3769"/>
      <c r="Q124" s="3770">
        <f>ROUND(($M$66-$P$68)*$P$69*($M$70/$P$72)*$M$74*($P$75-$M$76)*$M$81*$P$83/$M$79/$M$82,2)</f>
        <v>40.56</v>
      </c>
      <c r="R124" s="3771"/>
      <c r="S124" s="3771"/>
      <c r="T124" s="3772"/>
      <c r="U124" s="3773">
        <f t="shared" si="2"/>
        <v>3.0000000000000001E-3</v>
      </c>
      <c r="V124" s="3768"/>
      <c r="W124" s="3768"/>
      <c r="X124" s="3769"/>
      <c r="Y124" s="3770">
        <f>ROUND(($P$67-$P$68)*$P$69*($M$70/$P$72)*$M$74*($P$75-$M$76)*$M$81*$P$83/$M$79/$M$82,2)</f>
        <v>17.38</v>
      </c>
      <c r="Z124" s="3771"/>
      <c r="AA124" s="3771"/>
      <c r="AB124" s="3772"/>
      <c r="AC124" s="3774">
        <f t="shared" si="0"/>
        <v>243.34</v>
      </c>
      <c r="AD124" s="3775"/>
      <c r="AE124" s="3775"/>
      <c r="AF124" s="3776"/>
    </row>
    <row r="125" spans="1:32" x14ac:dyDescent="0.25">
      <c r="A125" s="3780"/>
      <c r="B125" s="3036"/>
      <c r="C125" s="3781"/>
      <c r="D125" s="3792" t="s">
        <v>3604</v>
      </c>
      <c r="E125" s="3793"/>
      <c r="F125" s="3793"/>
      <c r="G125" s="3793"/>
      <c r="H125" s="3794"/>
      <c r="I125" s="2745" t="s">
        <v>1427</v>
      </c>
      <c r="J125" s="1449"/>
      <c r="K125" s="1449"/>
      <c r="L125" s="1449"/>
      <c r="M125" s="3767">
        <f t="shared" si="1"/>
        <v>1E-3</v>
      </c>
      <c r="N125" s="3768"/>
      <c r="O125" s="3768"/>
      <c r="P125" s="3769"/>
      <c r="Q125" s="3770">
        <f>ROUND(($M$66-$M$68)*$M$69*($M$71/$M$73)*$M$74*($M$75-$M$76)*$M$81*$M$83/$M$79/$M$82,2)</f>
        <v>5.95</v>
      </c>
      <c r="R125" s="3771"/>
      <c r="S125" s="3771"/>
      <c r="T125" s="3772"/>
      <c r="U125" s="3773">
        <f t="shared" si="2"/>
        <v>0</v>
      </c>
      <c r="V125" s="3768"/>
      <c r="W125" s="3768"/>
      <c r="X125" s="3769"/>
      <c r="Y125" s="3770">
        <f>ROUND(($M$67-$M$68)*$M$69*($M$71/$M$73)*$M$74*($M$75-$M$76)*$M$81*$M$83/$M$79/$M$82,2)</f>
        <v>0.99</v>
      </c>
      <c r="Z125" s="3771"/>
      <c r="AA125" s="3771"/>
      <c r="AB125" s="3772"/>
      <c r="AC125" s="3774">
        <f t="shared" si="0"/>
        <v>24.78</v>
      </c>
      <c r="AD125" s="3775"/>
      <c r="AE125" s="3775"/>
      <c r="AF125" s="3776"/>
    </row>
    <row r="126" spans="1:32" ht="15.75" thickBot="1" x14ac:dyDescent="0.3">
      <c r="A126" s="3782"/>
      <c r="B126" s="3783"/>
      <c r="C126" s="3784"/>
      <c r="D126" s="3795"/>
      <c r="E126" s="3783"/>
      <c r="F126" s="3783"/>
      <c r="G126" s="3783"/>
      <c r="H126" s="3784"/>
      <c r="I126" s="3739" t="s">
        <v>1326</v>
      </c>
      <c r="J126" s="3796"/>
      <c r="K126" s="3796"/>
      <c r="L126" s="3796"/>
      <c r="M126" s="3797">
        <f t="shared" si="1"/>
        <v>8.9999999999999993E-3</v>
      </c>
      <c r="N126" s="3798"/>
      <c r="O126" s="3798"/>
      <c r="P126" s="3799"/>
      <c r="Q126" s="3800">
        <f>ROUND(($M$66-$P$68)*$P$69*($M$71/$P$73)*$M$74*($P$75-$M$76)*$M$81*$P$83/$M$79/$M$82,2)</f>
        <v>46.38</v>
      </c>
      <c r="R126" s="3801"/>
      <c r="S126" s="3801"/>
      <c r="T126" s="3802"/>
      <c r="U126" s="3803">
        <f t="shared" si="2"/>
        <v>4.0000000000000001E-3</v>
      </c>
      <c r="V126" s="3798"/>
      <c r="W126" s="3798"/>
      <c r="X126" s="3799"/>
      <c r="Y126" s="3800">
        <f>ROUND(($P$67-$P$68)*$P$69*($M$71/$P$73)*$M$74*($P$75-$M$76)*$M$81*$P$83/$M$79/$M$82,2)</f>
        <v>19.88</v>
      </c>
      <c r="Z126" s="3801"/>
      <c r="AA126" s="3801"/>
      <c r="AB126" s="3802"/>
      <c r="AC126" s="3804">
        <f t="shared" si="0"/>
        <v>278.3</v>
      </c>
      <c r="AD126" s="3805"/>
      <c r="AE126" s="3805"/>
      <c r="AF126" s="3806"/>
    </row>
    <row r="127" spans="1:32" x14ac:dyDescent="0.25">
      <c r="A127" s="3777" t="s">
        <v>1204</v>
      </c>
      <c r="B127" s="3778"/>
      <c r="C127" s="3779"/>
      <c r="D127" s="3785" t="s">
        <v>1530</v>
      </c>
      <c r="E127" s="3778"/>
      <c r="F127" s="3778"/>
      <c r="G127" s="3778"/>
      <c r="H127" s="3779"/>
      <c r="I127" s="3789" t="s">
        <v>1427</v>
      </c>
      <c r="J127" s="3790"/>
      <c r="K127" s="3790"/>
      <c r="L127" s="3790"/>
      <c r="M127" s="3791">
        <f t="shared" si="1"/>
        <v>1E-3</v>
      </c>
      <c r="N127" s="3759"/>
      <c r="O127" s="3759"/>
      <c r="P127" s="3760"/>
      <c r="Q127" s="3761">
        <f>ROUND(($M$66-$M$68)*$M$69*($M$70/$M$72)*$M$74*($M$75-$M$76)*$M$81*$M$83/$M$80/$M$82,2)</f>
        <v>2.59</v>
      </c>
      <c r="R127" s="3762"/>
      <c r="S127" s="3762"/>
      <c r="T127" s="3763"/>
      <c r="U127" s="3758">
        <f t="shared" si="2"/>
        <v>0</v>
      </c>
      <c r="V127" s="3759"/>
      <c r="W127" s="3759"/>
      <c r="X127" s="3760"/>
      <c r="Y127" s="3761">
        <f>ROUND(($M$67-$M$68)*$M$69*($M$70/$M$72)*$M$74*($M$75-$M$76)*$M$81*$M$83/$M$80/$M$82,2)</f>
        <v>0.43</v>
      </c>
      <c r="Z127" s="3762"/>
      <c r="AA127" s="3762"/>
      <c r="AB127" s="3763"/>
      <c r="AC127" s="3764">
        <f t="shared" si="0"/>
        <v>10.78</v>
      </c>
      <c r="AD127" s="3765"/>
      <c r="AE127" s="3765"/>
      <c r="AF127" s="3766"/>
    </row>
    <row r="128" spans="1:32" x14ac:dyDescent="0.25">
      <c r="A128" s="3780"/>
      <c r="B128" s="3036"/>
      <c r="C128" s="3781"/>
      <c r="D128" s="3786"/>
      <c r="E128" s="3787"/>
      <c r="F128" s="3787"/>
      <c r="G128" s="3787"/>
      <c r="H128" s="3788"/>
      <c r="I128" s="2745" t="s">
        <v>1326</v>
      </c>
      <c r="J128" s="1449"/>
      <c r="K128" s="1449"/>
      <c r="L128" s="1449"/>
      <c r="M128" s="3767">
        <f t="shared" si="1"/>
        <v>3.0000000000000001E-3</v>
      </c>
      <c r="N128" s="3768"/>
      <c r="O128" s="3768"/>
      <c r="P128" s="3769"/>
      <c r="Q128" s="3770">
        <f>ROUND(($M$66-$P$68)*$P$69*($M$70/$P$72)*$M$74*($P$75-$M$76)*$M$81*$P$83/$M$80/$M$82,2)</f>
        <v>16.23</v>
      </c>
      <c r="R128" s="3771"/>
      <c r="S128" s="3771"/>
      <c r="T128" s="3772"/>
      <c r="U128" s="3773">
        <f t="shared" si="2"/>
        <v>1E-3</v>
      </c>
      <c r="V128" s="3768"/>
      <c r="W128" s="3768"/>
      <c r="X128" s="3769"/>
      <c r="Y128" s="3770">
        <f>ROUND(($P$67-$P$68)*$P$69*($M$70/$P$72)*$M$74*($P$75-$M$76)*$M$81*$P$83/$M$80/$M$82,2)</f>
        <v>6.95</v>
      </c>
      <c r="Z128" s="3771"/>
      <c r="AA128" s="3771"/>
      <c r="AB128" s="3772"/>
      <c r="AC128" s="3774">
        <f t="shared" si="0"/>
        <v>97.34</v>
      </c>
      <c r="AD128" s="3775"/>
      <c r="AE128" s="3775"/>
      <c r="AF128" s="3776"/>
    </row>
    <row r="129" spans="1:32" x14ac:dyDescent="0.25">
      <c r="A129" s="3780"/>
      <c r="B129" s="3036"/>
      <c r="C129" s="3781"/>
      <c r="D129" s="3792" t="s">
        <v>3604</v>
      </c>
      <c r="E129" s="3793"/>
      <c r="F129" s="3793"/>
      <c r="G129" s="3793"/>
      <c r="H129" s="3794"/>
      <c r="I129" s="2745" t="s">
        <v>1427</v>
      </c>
      <c r="J129" s="1449"/>
      <c r="K129" s="1449"/>
      <c r="L129" s="1449"/>
      <c r="M129" s="3767">
        <f t="shared" si="1"/>
        <v>0</v>
      </c>
      <c r="N129" s="3768"/>
      <c r="O129" s="3768"/>
      <c r="P129" s="3769"/>
      <c r="Q129" s="3770">
        <f>ROUND(($M$66-$M$68)*$M$69*($M$71/$M$73)*$M$74*($M$75-$M$76)*$M$81*$M$83/$M$80/$M$82,2)</f>
        <v>2.38</v>
      </c>
      <c r="R129" s="3771"/>
      <c r="S129" s="3771"/>
      <c r="T129" s="3772"/>
      <c r="U129" s="3773">
        <f t="shared" si="2"/>
        <v>0</v>
      </c>
      <c r="V129" s="3768"/>
      <c r="W129" s="3768"/>
      <c r="X129" s="3769"/>
      <c r="Y129" s="3770">
        <f>ROUND(($M$67-$M$68)*$M$69*($M$71/$M$73)*$M$74*($M$75-$M$76)*$M$81*$M$83/$M$80/$M$82,2)</f>
        <v>0.4</v>
      </c>
      <c r="Z129" s="3771"/>
      <c r="AA129" s="3771"/>
      <c r="AB129" s="3772"/>
      <c r="AC129" s="3774">
        <f t="shared" si="0"/>
        <v>9.94</v>
      </c>
      <c r="AD129" s="3775"/>
      <c r="AE129" s="3775"/>
      <c r="AF129" s="3776"/>
    </row>
    <row r="130" spans="1:32" ht="15.75" thickBot="1" x14ac:dyDescent="0.3">
      <c r="A130" s="3782"/>
      <c r="B130" s="3783"/>
      <c r="C130" s="3784"/>
      <c r="D130" s="3795"/>
      <c r="E130" s="3783"/>
      <c r="F130" s="3783"/>
      <c r="G130" s="3783"/>
      <c r="H130" s="3784"/>
      <c r="I130" s="3739" t="s">
        <v>1326</v>
      </c>
      <c r="J130" s="3796"/>
      <c r="K130" s="3796"/>
      <c r="L130" s="3796"/>
      <c r="M130" s="3797">
        <f t="shared" si="1"/>
        <v>4.0000000000000001E-3</v>
      </c>
      <c r="N130" s="3798"/>
      <c r="O130" s="3798"/>
      <c r="P130" s="3799"/>
      <c r="Q130" s="3800">
        <f>ROUND(($M$66-$P$68)*$P$69*($M$71/$P$73)*$M$74*($P$75-$M$76)*$M$81*$P$83/$M$80/$M$82,2)</f>
        <v>18.55</v>
      </c>
      <c r="R130" s="3801"/>
      <c r="S130" s="3801"/>
      <c r="T130" s="3802"/>
      <c r="U130" s="3803">
        <f t="shared" si="2"/>
        <v>2E-3</v>
      </c>
      <c r="V130" s="3798"/>
      <c r="W130" s="3798"/>
      <c r="X130" s="3799"/>
      <c r="Y130" s="3800">
        <f>ROUND(($P$67-$P$68)*$P$69*($M$71/$P$73)*$M$74*($P$75-$M$76)*$M$81*$P$83/$M$80/$M$82,2)</f>
        <v>7.95</v>
      </c>
      <c r="Z130" s="3801"/>
      <c r="AA130" s="3801"/>
      <c r="AB130" s="3802"/>
      <c r="AC130" s="3804">
        <f t="shared" si="0"/>
        <v>111.3</v>
      </c>
      <c r="AD130" s="3805"/>
      <c r="AE130" s="3805"/>
      <c r="AF130" s="3806"/>
    </row>
    <row r="131" spans="1:32" x14ac:dyDescent="0.25">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c r="AA131" s="227"/>
      <c r="AB131" s="227"/>
      <c r="AC131" s="227"/>
      <c r="AD131" s="227"/>
      <c r="AE131" s="227"/>
      <c r="AF131" s="227"/>
    </row>
    <row r="132" spans="1:32" x14ac:dyDescent="0.25">
      <c r="A132" s="227"/>
      <c r="B132" s="642" t="s">
        <v>4095</v>
      </c>
      <c r="C132" s="227"/>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c r="AA132" s="227"/>
      <c r="AB132" s="227"/>
      <c r="AC132" s="227"/>
      <c r="AD132" s="227"/>
      <c r="AE132" s="227"/>
      <c r="AF132" s="227"/>
    </row>
    <row r="133" spans="1:32" x14ac:dyDescent="0.25">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c r="AA133" s="227"/>
      <c r="AB133" s="227"/>
      <c r="AC133" s="227"/>
      <c r="AD133" s="227"/>
      <c r="AE133" s="227"/>
      <c r="AF133" s="227"/>
    </row>
    <row r="134" spans="1:32" ht="15.75" thickBot="1" x14ac:dyDescent="0.3">
      <c r="A134" s="423" t="s">
        <v>4096</v>
      </c>
      <c r="B134" s="227"/>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c r="AA134" s="227"/>
      <c r="AB134" s="227"/>
      <c r="AC134" s="227"/>
      <c r="AD134" s="227"/>
      <c r="AE134" s="227"/>
      <c r="AF134" s="227"/>
    </row>
    <row r="135" spans="1:32" x14ac:dyDescent="0.25">
      <c r="A135" s="3753" t="s">
        <v>241</v>
      </c>
      <c r="B135" s="3753"/>
      <c r="C135" s="3753"/>
      <c r="D135" s="3753"/>
      <c r="E135" s="3753"/>
      <c r="F135" s="3755" t="s">
        <v>1964</v>
      </c>
      <c r="G135" s="3755"/>
      <c r="H135" s="3755"/>
      <c r="I135" s="3755"/>
      <c r="J135" s="3755"/>
      <c r="K135" s="3755"/>
      <c r="L135" s="3755"/>
      <c r="M135" s="3755"/>
      <c r="N135" s="3755" t="s">
        <v>1965</v>
      </c>
      <c r="O135" s="3755"/>
      <c r="P135" s="3755"/>
      <c r="Q135" s="3755"/>
      <c r="R135" s="3755"/>
      <c r="S135" s="3755"/>
      <c r="T135" s="227"/>
      <c r="U135" s="227"/>
      <c r="V135" s="227"/>
      <c r="W135" s="227"/>
      <c r="X135" s="227"/>
      <c r="Y135" s="227"/>
      <c r="Z135" s="227"/>
      <c r="AA135" s="227"/>
      <c r="AB135" s="227"/>
      <c r="AC135" s="227"/>
      <c r="AD135" s="227"/>
      <c r="AE135" s="227"/>
      <c r="AF135" s="227"/>
    </row>
    <row r="136" spans="1:32" ht="18.75" thickBot="1" x14ac:dyDescent="0.4">
      <c r="A136" s="3754"/>
      <c r="B136" s="3754"/>
      <c r="C136" s="3754"/>
      <c r="D136" s="3754"/>
      <c r="E136" s="3754"/>
      <c r="F136" s="3756" t="s">
        <v>4128</v>
      </c>
      <c r="G136" s="3756"/>
      <c r="H136" s="3756"/>
      <c r="I136" s="3756"/>
      <c r="J136" s="3756" t="s">
        <v>4129</v>
      </c>
      <c r="K136" s="3756"/>
      <c r="L136" s="3756"/>
      <c r="M136" s="3756"/>
      <c r="N136" s="3757" t="s">
        <v>4133</v>
      </c>
      <c r="O136" s="3757"/>
      <c r="P136" s="3757"/>
      <c r="Q136" s="3757"/>
      <c r="R136" s="3757"/>
      <c r="S136" s="3757"/>
      <c r="T136" s="227"/>
      <c r="U136" s="227"/>
      <c r="V136" s="227"/>
      <c r="W136" s="227"/>
      <c r="X136" s="227"/>
      <c r="Y136" s="227"/>
      <c r="Z136" s="227"/>
      <c r="AA136" s="227"/>
      <c r="AB136" s="227"/>
      <c r="AC136" s="227"/>
      <c r="AD136" s="227"/>
      <c r="AE136" s="227"/>
      <c r="AF136" s="227"/>
    </row>
    <row r="137" spans="1:32" x14ac:dyDescent="0.25">
      <c r="A137" s="3747" t="s">
        <v>1427</v>
      </c>
      <c r="B137" s="3747"/>
      <c r="C137" s="3747"/>
      <c r="D137" s="3747"/>
      <c r="E137" s="3747"/>
      <c r="F137" s="3748">
        <f>ROUND(J137*$M$65,3)</f>
        <v>2E-3</v>
      </c>
      <c r="G137" s="3748"/>
      <c r="H137" s="3748"/>
      <c r="I137" s="3748"/>
      <c r="J137" s="3749">
        <f>ROUND((Q115*$K$94+Q119*$K$95+Q123*$K$96+Q127*$K$97)*$K$103+(Q117*$K$94+Q121*$K$95+Q125*$K$96+Q129*$K$97)*$K$104,2)</f>
        <v>9.14</v>
      </c>
      <c r="K137" s="3749"/>
      <c r="L137" s="3749"/>
      <c r="M137" s="3749"/>
      <c r="N137" s="3734">
        <f>ROUND(J137*$M$86,2)</f>
        <v>91.4</v>
      </c>
      <c r="O137" s="3735"/>
      <c r="P137" s="3735"/>
      <c r="Q137" s="3735"/>
      <c r="R137" s="3735"/>
      <c r="S137" s="3736"/>
      <c r="T137" s="227"/>
      <c r="U137" s="227"/>
      <c r="V137" s="227"/>
      <c r="W137" s="227"/>
      <c r="X137" s="227"/>
      <c r="Y137" s="227"/>
      <c r="Z137" s="227"/>
      <c r="AA137" s="227"/>
      <c r="AB137" s="227"/>
      <c r="AC137" s="227"/>
      <c r="AD137" s="227"/>
      <c r="AE137" s="227"/>
      <c r="AF137" s="227"/>
    </row>
    <row r="138" spans="1:32" ht="15.75" thickBot="1" x14ac:dyDescent="0.3">
      <c r="A138" s="3750" t="s">
        <v>1326</v>
      </c>
      <c r="B138" s="3750"/>
      <c r="C138" s="3750"/>
      <c r="D138" s="3750"/>
      <c r="E138" s="3750"/>
      <c r="F138" s="3751">
        <f>ROUND(J138*$M$65,3)</f>
        <v>1.2999999999999999E-2</v>
      </c>
      <c r="G138" s="3751"/>
      <c r="H138" s="3751"/>
      <c r="I138" s="3751"/>
      <c r="J138" s="3752">
        <f>ROUND((Q116*$K$94+Q120*$K$95+Q124*$K$96+Q128*$K$97)*$K$103+(Q118*$K$94+Q122*$K$95+Q126*$K$96+Q130*$K$97)*$K$104,2)</f>
        <v>65.62</v>
      </c>
      <c r="K138" s="3752"/>
      <c r="L138" s="3752"/>
      <c r="M138" s="3752"/>
      <c r="N138" s="3746">
        <f>ROUND(J138*$M$86,2)</f>
        <v>656.2</v>
      </c>
      <c r="O138" s="3746"/>
      <c r="P138" s="3746"/>
      <c r="Q138" s="3746"/>
      <c r="R138" s="3746"/>
      <c r="S138" s="3746"/>
      <c r="T138" s="227"/>
      <c r="U138" s="227"/>
      <c r="V138" s="227"/>
      <c r="W138" s="227"/>
      <c r="X138" s="227"/>
      <c r="Y138" s="227"/>
      <c r="Z138" s="227"/>
      <c r="AA138" s="227"/>
      <c r="AB138" s="227"/>
      <c r="AC138" s="227"/>
      <c r="AD138" s="227"/>
      <c r="AE138" s="227"/>
      <c r="AF138" s="227"/>
    </row>
    <row r="139" spans="1:32" x14ac:dyDescent="0.25">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c r="AA139" s="227"/>
      <c r="AB139" s="227"/>
      <c r="AC139" s="227"/>
      <c r="AD139" s="227"/>
      <c r="AE139" s="227"/>
      <c r="AF139" s="227"/>
    </row>
    <row r="140" spans="1:32" x14ac:dyDescent="0.25">
      <c r="A140" s="227"/>
      <c r="B140" s="642" t="s">
        <v>4097</v>
      </c>
      <c r="C140" s="227"/>
      <c r="D140" s="227"/>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c r="AA140" s="227"/>
      <c r="AB140" s="227"/>
      <c r="AC140" s="227"/>
      <c r="AD140" s="227"/>
      <c r="AE140" s="227"/>
      <c r="AF140" s="227"/>
    </row>
    <row r="141" spans="1:32" x14ac:dyDescent="0.25">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c r="AA141" s="227"/>
      <c r="AB141" s="227"/>
      <c r="AC141" s="227"/>
      <c r="AD141" s="227"/>
      <c r="AE141" s="227"/>
      <c r="AF141" s="227"/>
    </row>
    <row r="142" spans="1:32" ht="15.75" thickBot="1" x14ac:dyDescent="0.3">
      <c r="A142" s="423" t="s">
        <v>4098</v>
      </c>
      <c r="B142" s="227"/>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c r="AA142" s="227"/>
      <c r="AB142" s="227"/>
      <c r="AC142" s="227"/>
      <c r="AD142" s="227"/>
      <c r="AE142" s="227"/>
      <c r="AF142" s="227"/>
    </row>
    <row r="143" spans="1:32" x14ac:dyDescent="0.25">
      <c r="A143" s="3753" t="s">
        <v>241</v>
      </c>
      <c r="B143" s="3753"/>
      <c r="C143" s="3753"/>
      <c r="D143" s="3753"/>
      <c r="E143" s="3753"/>
      <c r="F143" s="3755" t="s">
        <v>1964</v>
      </c>
      <c r="G143" s="3755"/>
      <c r="H143" s="3755"/>
      <c r="I143" s="3755"/>
      <c r="J143" s="3755"/>
      <c r="K143" s="3755"/>
      <c r="L143" s="3755"/>
      <c r="M143" s="3755"/>
      <c r="N143" s="3755" t="s">
        <v>1965</v>
      </c>
      <c r="O143" s="3755"/>
      <c r="P143" s="3755"/>
      <c r="Q143" s="3755"/>
      <c r="R143" s="3755"/>
      <c r="S143" s="3755"/>
      <c r="T143" s="227"/>
      <c r="U143" s="227"/>
      <c r="V143" s="227"/>
      <c r="W143" s="227"/>
      <c r="X143" s="227"/>
      <c r="Y143" s="227"/>
      <c r="Z143" s="227"/>
      <c r="AA143" s="227"/>
      <c r="AB143" s="227"/>
      <c r="AC143" s="227"/>
      <c r="AD143" s="227"/>
      <c r="AE143" s="227"/>
      <c r="AF143" s="227"/>
    </row>
    <row r="144" spans="1:32" ht="18.75" thickBot="1" x14ac:dyDescent="0.4">
      <c r="A144" s="3754"/>
      <c r="B144" s="3754"/>
      <c r="C144" s="3754"/>
      <c r="D144" s="3754"/>
      <c r="E144" s="3754"/>
      <c r="F144" s="3756" t="s">
        <v>4130</v>
      </c>
      <c r="G144" s="3756"/>
      <c r="H144" s="3756"/>
      <c r="I144" s="3756"/>
      <c r="J144" s="3756" t="s">
        <v>4131</v>
      </c>
      <c r="K144" s="3756"/>
      <c r="L144" s="3756"/>
      <c r="M144" s="3756"/>
      <c r="N144" s="3757" t="s">
        <v>4134</v>
      </c>
      <c r="O144" s="3757"/>
      <c r="P144" s="3757"/>
      <c r="Q144" s="3757"/>
      <c r="R144" s="3757"/>
      <c r="S144" s="3757"/>
      <c r="T144" s="227"/>
      <c r="U144" s="227"/>
      <c r="V144" s="227"/>
      <c r="W144" s="227"/>
      <c r="X144" s="227"/>
      <c r="Y144" s="227"/>
      <c r="Z144" s="227"/>
      <c r="AA144" s="227"/>
      <c r="AB144" s="227"/>
      <c r="AC144" s="227"/>
      <c r="AD144" s="227"/>
      <c r="AE144" s="227"/>
      <c r="AF144" s="227"/>
    </row>
    <row r="145" spans="1:32" x14ac:dyDescent="0.25">
      <c r="A145" s="3725" t="s">
        <v>1427</v>
      </c>
      <c r="B145" s="3726"/>
      <c r="C145" s="3726"/>
      <c r="D145" s="3726"/>
      <c r="E145" s="3727"/>
      <c r="F145" s="3728">
        <f>ROUND(J145*$M$65,3)</f>
        <v>0</v>
      </c>
      <c r="G145" s="3729"/>
      <c r="H145" s="3729"/>
      <c r="I145" s="3730"/>
      <c r="J145" s="3731">
        <f>ROUND((Y115*$K$94+Y119*$K$95+Y123*$K$96+Y127*$K$97)*$K$103+(Y117*$K$94+Y121*$K$95+Y125*$K$96+Y129*$K$97)*$K$104,2)</f>
        <v>1.52</v>
      </c>
      <c r="K145" s="3732"/>
      <c r="L145" s="3732"/>
      <c r="M145" s="3733"/>
      <c r="N145" s="3734">
        <f>ROUND(J145*$M$86,2)</f>
        <v>15.2</v>
      </c>
      <c r="O145" s="3735"/>
      <c r="P145" s="3735"/>
      <c r="Q145" s="3735"/>
      <c r="R145" s="3735"/>
      <c r="S145" s="3736"/>
      <c r="T145" s="227"/>
      <c r="U145" s="227"/>
      <c r="V145" s="227"/>
      <c r="W145" s="227"/>
      <c r="X145" s="227"/>
      <c r="Y145" s="227"/>
      <c r="Z145" s="227"/>
      <c r="AA145" s="227"/>
      <c r="AB145" s="227"/>
      <c r="AC145" s="227"/>
      <c r="AD145" s="227"/>
      <c r="AE145" s="227"/>
      <c r="AF145" s="227"/>
    </row>
    <row r="146" spans="1:32" ht="15.75" thickBot="1" x14ac:dyDescent="0.3">
      <c r="A146" s="3737" t="s">
        <v>1326</v>
      </c>
      <c r="B146" s="3738"/>
      <c r="C146" s="3738"/>
      <c r="D146" s="3738"/>
      <c r="E146" s="3739"/>
      <c r="F146" s="3740">
        <f>ROUND(J146*$M$65,3)</f>
        <v>6.0000000000000001E-3</v>
      </c>
      <c r="G146" s="3741"/>
      <c r="H146" s="3741"/>
      <c r="I146" s="3742"/>
      <c r="J146" s="3743">
        <f>ROUND((Y116*$K$94+Y120*$K$95+Y124*$K$96+Y128*$K$97)*$K$103+(Y118*$K$94+Y122*$K$95+Y126*$K$96+Y130*$K$97)*$K$104,2)</f>
        <v>28.12</v>
      </c>
      <c r="K146" s="3744"/>
      <c r="L146" s="3744"/>
      <c r="M146" s="3745"/>
      <c r="N146" s="3746">
        <f>ROUND(J146*$M$86,2)</f>
        <v>281.2</v>
      </c>
      <c r="O146" s="3746"/>
      <c r="P146" s="3746"/>
      <c r="Q146" s="3746"/>
      <c r="R146" s="3746"/>
      <c r="S146" s="3746"/>
      <c r="T146" s="227"/>
      <c r="U146" s="227"/>
      <c r="V146" s="227"/>
      <c r="W146" s="227"/>
      <c r="X146" s="227"/>
      <c r="Y146" s="227"/>
      <c r="Z146" s="227"/>
      <c r="AA146" s="227"/>
      <c r="AB146" s="227"/>
      <c r="AC146" s="227"/>
      <c r="AD146" s="227"/>
      <c r="AE146" s="227"/>
      <c r="AF146" s="227"/>
    </row>
    <row r="147" spans="1:32" ht="29.25" customHeight="1" x14ac:dyDescent="0.25">
      <c r="A147" s="2028" t="s">
        <v>4099</v>
      </c>
      <c r="B147" s="2028"/>
      <c r="C147" s="2028"/>
      <c r="D147" s="2028"/>
      <c r="E147" s="2028"/>
      <c r="F147" s="2028"/>
      <c r="G147" s="2028"/>
      <c r="H147" s="2028"/>
      <c r="I147" s="2028"/>
      <c r="J147" s="2028"/>
      <c r="K147" s="2028"/>
      <c r="L147" s="2028"/>
      <c r="M147" s="2028"/>
      <c r="N147" s="2028"/>
      <c r="O147" s="2028"/>
      <c r="P147" s="2028"/>
      <c r="Q147" s="2028"/>
      <c r="R147" s="2028"/>
      <c r="S147" s="2028"/>
      <c r="T147" s="2028"/>
      <c r="U147" s="2028"/>
      <c r="V147" s="2028"/>
      <c r="W147" s="2028"/>
      <c r="X147" s="2028"/>
      <c r="Y147" s="2028"/>
      <c r="Z147" s="2028"/>
      <c r="AA147" s="2028"/>
      <c r="AB147" s="2028"/>
      <c r="AC147" s="2028"/>
      <c r="AD147" s="2028"/>
      <c r="AE147" s="2028"/>
      <c r="AF147" s="2028"/>
    </row>
    <row r="148" spans="1:32" x14ac:dyDescent="0.25">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c r="AC148" s="227"/>
      <c r="AD148" s="227"/>
      <c r="AE148" s="227"/>
      <c r="AF148" s="227"/>
    </row>
    <row r="149" spans="1:32" x14ac:dyDescent="0.25">
      <c r="A149" s="1621" t="s">
        <v>1753</v>
      </c>
      <c r="B149" s="1621"/>
      <c r="C149" s="1621"/>
      <c r="D149" s="1621"/>
      <c r="E149" s="1621"/>
      <c r="F149" s="1621"/>
      <c r="G149" s="1621"/>
      <c r="H149" s="1621"/>
      <c r="I149" s="1621"/>
      <c r="J149" s="1621"/>
      <c r="K149" s="1621"/>
      <c r="L149" s="1621"/>
      <c r="M149" s="1621"/>
      <c r="N149" s="1621"/>
      <c r="O149" s="1621"/>
      <c r="P149" s="1621"/>
      <c r="Q149" s="1621"/>
      <c r="R149" s="1621"/>
      <c r="S149" s="1621"/>
      <c r="T149" s="1621"/>
      <c r="U149" s="1621"/>
      <c r="V149" s="1621"/>
      <c r="W149" s="1621"/>
      <c r="X149" s="1621"/>
      <c r="Y149" s="1621"/>
      <c r="Z149" s="1621"/>
      <c r="AA149" s="1621"/>
      <c r="AB149" s="1621"/>
      <c r="AC149" s="1621"/>
      <c r="AD149" s="1621"/>
      <c r="AE149" s="1621"/>
      <c r="AF149" s="1621"/>
    </row>
    <row r="150" spans="1:32" x14ac:dyDescent="0.25">
      <c r="A150" s="227"/>
      <c r="B150" s="1173"/>
      <c r="C150" s="1173"/>
      <c r="D150" s="1173"/>
      <c r="E150" s="1173"/>
      <c r="F150" s="1173"/>
      <c r="G150" s="1173"/>
      <c r="H150" s="1173"/>
      <c r="I150" s="1173"/>
      <c r="J150" s="1173"/>
      <c r="K150" s="1173"/>
      <c r="L150" s="1173"/>
      <c r="M150" s="1173"/>
      <c r="N150" s="1173"/>
      <c r="O150" s="1173"/>
      <c r="P150" s="1173"/>
      <c r="Q150" s="1173"/>
      <c r="R150" s="1173"/>
      <c r="S150" s="1173"/>
      <c r="T150" s="1173"/>
      <c r="U150" s="1173"/>
      <c r="V150" s="1173"/>
      <c r="W150" s="1173"/>
      <c r="X150" s="1173"/>
      <c r="Y150" s="1173"/>
      <c r="Z150" s="1173"/>
      <c r="AA150" s="1173"/>
      <c r="AB150" s="1173"/>
      <c r="AC150" s="1173"/>
      <c r="AD150" s="1173"/>
      <c r="AE150" s="1173"/>
      <c r="AF150" s="1173"/>
    </row>
    <row r="151" spans="1:32" ht="33" customHeight="1" x14ac:dyDescent="0.25">
      <c r="A151" s="517" t="s">
        <v>1013</v>
      </c>
      <c r="B151" s="1173" t="s">
        <v>4050</v>
      </c>
      <c r="C151" s="1173"/>
      <c r="D151" s="1173"/>
      <c r="E151" s="1173"/>
      <c r="F151" s="1173"/>
      <c r="G151" s="1173"/>
      <c r="H151" s="1173"/>
      <c r="I151" s="1173"/>
      <c r="J151" s="1173"/>
      <c r="K151" s="1173"/>
      <c r="L151" s="1173"/>
      <c r="M151" s="1173"/>
      <c r="N151" s="1173"/>
      <c r="O151" s="1173"/>
      <c r="P151" s="1173"/>
      <c r="Q151" s="1173"/>
      <c r="R151" s="1173"/>
      <c r="S151" s="1173"/>
      <c r="T151" s="1173"/>
      <c r="U151" s="1173"/>
      <c r="V151" s="1173"/>
      <c r="W151" s="1173"/>
      <c r="X151" s="1173"/>
      <c r="Y151" s="1173"/>
      <c r="Z151" s="1173"/>
      <c r="AA151" s="1173"/>
      <c r="AB151" s="1173"/>
      <c r="AC151" s="1173"/>
      <c r="AD151" s="1173"/>
      <c r="AE151" s="1173"/>
      <c r="AF151" s="1173"/>
    </row>
    <row r="152" spans="1:32" ht="33.75" customHeight="1" x14ac:dyDescent="0.25">
      <c r="A152" s="517" t="s">
        <v>1013</v>
      </c>
      <c r="B152" s="1173" t="s">
        <v>4100</v>
      </c>
      <c r="C152" s="1173"/>
      <c r="D152" s="1173"/>
      <c r="E152" s="1173"/>
      <c r="F152" s="1173"/>
      <c r="G152" s="1173"/>
      <c r="H152" s="1173"/>
      <c r="I152" s="1173"/>
      <c r="J152" s="1173"/>
      <c r="K152" s="1173"/>
      <c r="L152" s="1173"/>
      <c r="M152" s="1173"/>
      <c r="N152" s="1173"/>
      <c r="O152" s="1173"/>
      <c r="P152" s="1173"/>
      <c r="Q152" s="1173"/>
      <c r="R152" s="1173"/>
      <c r="S152" s="1173"/>
      <c r="T152" s="1173"/>
      <c r="U152" s="1173"/>
      <c r="V152" s="1173"/>
      <c r="W152" s="1173"/>
      <c r="X152" s="1173"/>
      <c r="Y152" s="1173"/>
      <c r="Z152" s="1173"/>
      <c r="AA152" s="1173"/>
      <c r="AB152" s="1173"/>
      <c r="AC152" s="1173"/>
      <c r="AD152" s="1173"/>
      <c r="AE152" s="1173"/>
      <c r="AF152" s="1173"/>
    </row>
    <row r="153" spans="1:32" ht="33.75" customHeight="1" x14ac:dyDescent="0.25">
      <c r="A153" s="517" t="s">
        <v>1013</v>
      </c>
      <c r="B153" s="1173" t="s">
        <v>4101</v>
      </c>
      <c r="C153" s="1173"/>
      <c r="D153" s="1173"/>
      <c r="E153" s="1173"/>
      <c r="F153" s="1173"/>
      <c r="G153" s="1173"/>
      <c r="H153" s="1173"/>
      <c r="I153" s="1173"/>
      <c r="J153" s="1173"/>
      <c r="K153" s="1173"/>
      <c r="L153" s="1173"/>
      <c r="M153" s="1173"/>
      <c r="N153" s="1173"/>
      <c r="O153" s="1173"/>
      <c r="P153" s="1173"/>
      <c r="Q153" s="1173"/>
      <c r="R153" s="1173"/>
      <c r="S153" s="1173"/>
      <c r="T153" s="1173"/>
      <c r="U153" s="1173"/>
      <c r="V153" s="1173"/>
      <c r="W153" s="1173"/>
      <c r="X153" s="1173"/>
      <c r="Y153" s="1173"/>
      <c r="Z153" s="1173"/>
      <c r="AA153" s="1173"/>
      <c r="AB153" s="1173"/>
      <c r="AC153" s="1173"/>
      <c r="AD153" s="1173"/>
      <c r="AE153" s="1173"/>
      <c r="AF153" s="1173"/>
    </row>
    <row r="154" spans="1:32" ht="30.75" customHeight="1" x14ac:dyDescent="0.25">
      <c r="A154" s="517" t="s">
        <v>1013</v>
      </c>
      <c r="B154" s="1173" t="s">
        <v>4102</v>
      </c>
      <c r="C154" s="1173"/>
      <c r="D154" s="1173"/>
      <c r="E154" s="1173"/>
      <c r="F154" s="1173"/>
      <c r="G154" s="1173"/>
      <c r="H154" s="1173"/>
      <c r="I154" s="1173"/>
      <c r="J154" s="1173"/>
      <c r="K154" s="1173"/>
      <c r="L154" s="1173"/>
      <c r="M154" s="1173"/>
      <c r="N154" s="1173"/>
      <c r="O154" s="1173"/>
      <c r="P154" s="1173"/>
      <c r="Q154" s="1173"/>
      <c r="R154" s="1173"/>
      <c r="S154" s="1173"/>
      <c r="T154" s="1173"/>
      <c r="U154" s="1173"/>
      <c r="V154" s="1173"/>
      <c r="W154" s="1173"/>
      <c r="X154" s="1173"/>
      <c r="Y154" s="1173"/>
      <c r="Z154" s="1173"/>
      <c r="AA154" s="1173"/>
      <c r="AB154" s="1173"/>
      <c r="AC154" s="1173"/>
      <c r="AD154" s="1173"/>
      <c r="AE154" s="1173"/>
      <c r="AF154" s="1173"/>
    </row>
    <row r="155" spans="1:32" ht="17.25" customHeight="1" x14ac:dyDescent="0.25">
      <c r="A155" s="517" t="s">
        <v>1013</v>
      </c>
      <c r="B155" s="1173" t="s">
        <v>4103</v>
      </c>
      <c r="C155" s="1173"/>
      <c r="D155" s="1173"/>
      <c r="E155" s="1173"/>
      <c r="F155" s="1173"/>
      <c r="G155" s="1173"/>
      <c r="H155" s="1173"/>
      <c r="I155" s="1173"/>
      <c r="J155" s="1173"/>
      <c r="K155" s="1173"/>
      <c r="L155" s="1173"/>
      <c r="M155" s="1173"/>
      <c r="N155" s="1173"/>
      <c r="O155" s="1173"/>
      <c r="P155" s="1173"/>
      <c r="Q155" s="1173"/>
      <c r="R155" s="1173"/>
      <c r="S155" s="1173"/>
      <c r="T155" s="1173"/>
      <c r="U155" s="1173"/>
      <c r="V155" s="1173"/>
      <c r="W155" s="1173"/>
      <c r="X155" s="1173"/>
      <c r="Y155" s="1173"/>
      <c r="Z155" s="1173"/>
      <c r="AA155" s="1173"/>
      <c r="AB155" s="1173"/>
      <c r="AC155" s="1173"/>
      <c r="AD155" s="1173"/>
      <c r="AE155" s="1173"/>
      <c r="AF155" s="1173"/>
    </row>
    <row r="156" spans="1:32" ht="32.25" customHeight="1" x14ac:dyDescent="0.25">
      <c r="A156" s="517" t="s">
        <v>1013</v>
      </c>
      <c r="B156" s="1173" t="s">
        <v>2169</v>
      </c>
      <c r="C156" s="1173"/>
      <c r="D156" s="1173"/>
      <c r="E156" s="1173"/>
      <c r="F156" s="1173"/>
      <c r="G156" s="1173"/>
      <c r="H156" s="1173"/>
      <c r="I156" s="1173"/>
      <c r="J156" s="1173"/>
      <c r="K156" s="1173"/>
      <c r="L156" s="1173"/>
      <c r="M156" s="1173"/>
      <c r="N156" s="1173"/>
      <c r="O156" s="1173"/>
      <c r="P156" s="1173"/>
      <c r="Q156" s="1173"/>
      <c r="R156" s="1173"/>
      <c r="S156" s="1173"/>
      <c r="T156" s="1173"/>
      <c r="U156" s="1173"/>
      <c r="V156" s="1173"/>
      <c r="W156" s="1173"/>
      <c r="X156" s="1173"/>
      <c r="Y156" s="1173"/>
      <c r="Z156" s="1173"/>
      <c r="AA156" s="1173"/>
      <c r="AB156" s="1173"/>
      <c r="AC156" s="1173"/>
      <c r="AD156" s="1173"/>
      <c r="AE156" s="1173"/>
      <c r="AF156" s="1173"/>
    </row>
    <row r="157" spans="1:32" ht="60" customHeight="1" x14ac:dyDescent="0.25">
      <c r="A157" s="517" t="s">
        <v>1013</v>
      </c>
      <c r="B157" s="1173" t="s">
        <v>4104</v>
      </c>
      <c r="C157" s="1173"/>
      <c r="D157" s="1173"/>
      <c r="E157" s="1173"/>
      <c r="F157" s="1173"/>
      <c r="G157" s="1173"/>
      <c r="H157" s="1173"/>
      <c r="I157" s="1173"/>
      <c r="J157" s="1173"/>
      <c r="K157" s="1173"/>
      <c r="L157" s="1173"/>
      <c r="M157" s="1173"/>
      <c r="N157" s="1173"/>
      <c r="O157" s="1173"/>
      <c r="P157" s="1173"/>
      <c r="Q157" s="1173"/>
      <c r="R157" s="1173"/>
      <c r="S157" s="1173"/>
      <c r="T157" s="1173"/>
      <c r="U157" s="1173"/>
      <c r="V157" s="1173"/>
      <c r="W157" s="1173"/>
      <c r="X157" s="1173"/>
      <c r="Y157" s="1173"/>
      <c r="Z157" s="1173"/>
      <c r="AA157" s="1173"/>
      <c r="AB157" s="1173"/>
      <c r="AC157" s="1173"/>
      <c r="AD157" s="1173"/>
      <c r="AE157" s="1173"/>
      <c r="AF157" s="1173"/>
    </row>
    <row r="158" spans="1:32" ht="60" customHeight="1" x14ac:dyDescent="0.25">
      <c r="A158" s="517" t="s">
        <v>1013</v>
      </c>
      <c r="B158" s="1173" t="s">
        <v>4105</v>
      </c>
      <c r="C158" s="1173"/>
      <c r="D158" s="1173"/>
      <c r="E158" s="1173"/>
      <c r="F158" s="1173"/>
      <c r="G158" s="1173"/>
      <c r="H158" s="1173"/>
      <c r="I158" s="1173"/>
      <c r="J158" s="1173"/>
      <c r="K158" s="1173"/>
      <c r="L158" s="1173"/>
      <c r="M158" s="1173"/>
      <c r="N158" s="1173"/>
      <c r="O158" s="1173"/>
      <c r="P158" s="1173"/>
      <c r="Q158" s="1173"/>
      <c r="R158" s="1173"/>
      <c r="S158" s="1173"/>
      <c r="T158" s="1173"/>
      <c r="U158" s="1173"/>
      <c r="V158" s="1173"/>
      <c r="W158" s="1173"/>
      <c r="X158" s="1173"/>
      <c r="Y158" s="1173"/>
      <c r="Z158" s="1173"/>
      <c r="AA158" s="1173"/>
      <c r="AB158" s="1173"/>
      <c r="AC158" s="1173"/>
      <c r="AD158" s="1173"/>
      <c r="AE158" s="1173"/>
      <c r="AF158" s="1173"/>
    </row>
    <row r="159" spans="1:32" ht="49.5" customHeight="1" x14ac:dyDescent="0.25">
      <c r="A159" s="517" t="s">
        <v>1013</v>
      </c>
      <c r="B159" s="1173" t="s">
        <v>4106</v>
      </c>
      <c r="C159" s="1173"/>
      <c r="D159" s="1173"/>
      <c r="E159" s="1173"/>
      <c r="F159" s="1173"/>
      <c r="G159" s="1173"/>
      <c r="H159" s="1173"/>
      <c r="I159" s="1173"/>
      <c r="J159" s="1173"/>
      <c r="K159" s="1173"/>
      <c r="L159" s="1173"/>
      <c r="M159" s="1173"/>
      <c r="N159" s="1173"/>
      <c r="O159" s="1173"/>
      <c r="P159" s="1173"/>
      <c r="Q159" s="1173"/>
      <c r="R159" s="1173"/>
      <c r="S159" s="1173"/>
      <c r="T159" s="1173"/>
      <c r="U159" s="1173"/>
      <c r="V159" s="1173"/>
      <c r="W159" s="1173"/>
      <c r="X159" s="1173"/>
      <c r="Y159" s="1173"/>
      <c r="Z159" s="1173"/>
      <c r="AA159" s="1173"/>
      <c r="AB159" s="1173"/>
      <c r="AC159" s="1173"/>
      <c r="AD159" s="1173"/>
      <c r="AE159" s="1173"/>
      <c r="AF159" s="1173"/>
    </row>
    <row r="160" spans="1:32" ht="48" customHeight="1" x14ac:dyDescent="0.25">
      <c r="A160" s="517" t="s">
        <v>1013</v>
      </c>
      <c r="B160" s="1173" t="s">
        <v>4107</v>
      </c>
      <c r="C160" s="1173"/>
      <c r="D160" s="1173"/>
      <c r="E160" s="1173"/>
      <c r="F160" s="1173"/>
      <c r="G160" s="1173"/>
      <c r="H160" s="1173"/>
      <c r="I160" s="1173"/>
      <c r="J160" s="1173"/>
      <c r="K160" s="1173"/>
      <c r="L160" s="1173"/>
      <c r="M160" s="1173"/>
      <c r="N160" s="1173"/>
      <c r="O160" s="1173"/>
      <c r="P160" s="1173"/>
      <c r="Q160" s="1173"/>
      <c r="R160" s="1173"/>
      <c r="S160" s="1173"/>
      <c r="T160" s="1173"/>
      <c r="U160" s="1173"/>
      <c r="V160" s="1173"/>
      <c r="W160" s="1173"/>
      <c r="X160" s="1173"/>
      <c r="Y160" s="1173"/>
      <c r="Z160" s="1173"/>
      <c r="AA160" s="1173"/>
      <c r="AB160" s="1173"/>
      <c r="AC160" s="1173"/>
      <c r="AD160" s="1173"/>
      <c r="AE160" s="1173"/>
      <c r="AF160" s="1173"/>
    </row>
    <row r="161" spans="1:32" ht="60" customHeight="1" x14ac:dyDescent="0.25">
      <c r="A161" s="517" t="s">
        <v>1013</v>
      </c>
      <c r="B161" s="1173" t="s">
        <v>4108</v>
      </c>
      <c r="C161" s="1173"/>
      <c r="D161" s="1173"/>
      <c r="E161" s="1173"/>
      <c r="F161" s="1173"/>
      <c r="G161" s="1173"/>
      <c r="H161" s="1173"/>
      <c r="I161" s="1173"/>
      <c r="J161" s="1173"/>
      <c r="K161" s="1173"/>
      <c r="L161" s="1173"/>
      <c r="M161" s="1173"/>
      <c r="N161" s="1173"/>
      <c r="O161" s="1173"/>
      <c r="P161" s="1173"/>
      <c r="Q161" s="1173"/>
      <c r="R161" s="1173"/>
      <c r="S161" s="1173"/>
      <c r="T161" s="1173"/>
      <c r="U161" s="1173"/>
      <c r="V161" s="1173"/>
      <c r="W161" s="1173"/>
      <c r="X161" s="1173"/>
      <c r="Y161" s="1173"/>
      <c r="Z161" s="1173"/>
      <c r="AA161" s="1173"/>
      <c r="AB161" s="1173"/>
      <c r="AC161" s="1173"/>
      <c r="AD161" s="1173"/>
      <c r="AE161" s="1173"/>
      <c r="AF161" s="1173"/>
    </row>
    <row r="162" spans="1:32" ht="31.5" customHeight="1" x14ac:dyDescent="0.25">
      <c r="A162" s="517" t="s">
        <v>1013</v>
      </c>
      <c r="B162" s="1173" t="s">
        <v>4109</v>
      </c>
      <c r="C162" s="1173"/>
      <c r="D162" s="1173"/>
      <c r="E162" s="1173"/>
      <c r="F162" s="1173"/>
      <c r="G162" s="1173"/>
      <c r="H162" s="1173"/>
      <c r="I162" s="1173"/>
      <c r="J162" s="1173"/>
      <c r="K162" s="1173"/>
      <c r="L162" s="1173"/>
      <c r="M162" s="1173"/>
      <c r="N162" s="1173"/>
      <c r="O162" s="1173"/>
      <c r="P162" s="1173"/>
      <c r="Q162" s="1173"/>
      <c r="R162" s="1173"/>
      <c r="S162" s="1173"/>
      <c r="T162" s="1173"/>
      <c r="U162" s="1173"/>
      <c r="V162" s="1173"/>
      <c r="W162" s="1173"/>
      <c r="X162" s="1173"/>
      <c r="Y162" s="1173"/>
      <c r="Z162" s="1173"/>
      <c r="AA162" s="1173"/>
      <c r="AB162" s="1173"/>
      <c r="AC162" s="1173"/>
      <c r="AD162" s="1173"/>
      <c r="AE162" s="1173"/>
      <c r="AF162" s="1173"/>
    </row>
    <row r="163" spans="1:32" ht="48" customHeight="1" x14ac:dyDescent="0.25">
      <c r="A163" s="517" t="s">
        <v>1013</v>
      </c>
      <c r="B163" s="1173" t="s">
        <v>4110</v>
      </c>
      <c r="C163" s="1173"/>
      <c r="D163" s="1173"/>
      <c r="E163" s="1173"/>
      <c r="F163" s="1173"/>
      <c r="G163" s="1173"/>
      <c r="H163" s="1173"/>
      <c r="I163" s="1173"/>
      <c r="J163" s="1173"/>
      <c r="K163" s="1173"/>
      <c r="L163" s="1173"/>
      <c r="M163" s="1173"/>
      <c r="N163" s="1173"/>
      <c r="O163" s="1173"/>
      <c r="P163" s="1173"/>
      <c r="Q163" s="1173"/>
      <c r="R163" s="1173"/>
      <c r="S163" s="1173"/>
      <c r="T163" s="1173"/>
      <c r="U163" s="1173"/>
      <c r="V163" s="1173"/>
      <c r="W163" s="1173"/>
      <c r="X163" s="1173"/>
      <c r="Y163" s="1173"/>
      <c r="Z163" s="1173"/>
      <c r="AA163" s="1173"/>
      <c r="AB163" s="1173"/>
      <c r="AC163" s="1173"/>
      <c r="AD163" s="1173"/>
      <c r="AE163" s="1173"/>
      <c r="AF163" s="1173"/>
    </row>
    <row r="164" spans="1:32" ht="48" customHeight="1" x14ac:dyDescent="0.25">
      <c r="A164" s="517" t="s">
        <v>1013</v>
      </c>
      <c r="B164" s="1173" t="s">
        <v>4111</v>
      </c>
      <c r="C164" s="1173"/>
      <c r="D164" s="1173"/>
      <c r="E164" s="1173"/>
      <c r="F164" s="1173"/>
      <c r="G164" s="1173"/>
      <c r="H164" s="1173"/>
      <c r="I164" s="1173"/>
      <c r="J164" s="1173"/>
      <c r="K164" s="1173"/>
      <c r="L164" s="1173"/>
      <c r="M164" s="1173"/>
      <c r="N164" s="1173"/>
      <c r="O164" s="1173"/>
      <c r="P164" s="1173"/>
      <c r="Q164" s="1173"/>
      <c r="R164" s="1173"/>
      <c r="S164" s="1173"/>
      <c r="T164" s="1173"/>
      <c r="U164" s="1173"/>
      <c r="V164" s="1173"/>
      <c r="W164" s="1173"/>
      <c r="X164" s="1173"/>
      <c r="Y164" s="1173"/>
      <c r="Z164" s="1173"/>
      <c r="AA164" s="1173"/>
      <c r="AB164" s="1173"/>
      <c r="AC164" s="1173"/>
      <c r="AD164" s="1173"/>
      <c r="AE164" s="1173"/>
      <c r="AF164" s="1173"/>
    </row>
    <row r="165" spans="1:32" x14ac:dyDescent="0.25">
      <c r="A165" s="517" t="s">
        <v>1013</v>
      </c>
      <c r="B165" s="1173" t="s">
        <v>4112</v>
      </c>
      <c r="C165" s="1173"/>
      <c r="D165" s="1173"/>
      <c r="E165" s="1173"/>
      <c r="F165" s="1173"/>
      <c r="G165" s="1173"/>
      <c r="H165" s="1173"/>
      <c r="I165" s="1173"/>
      <c r="J165" s="1173"/>
      <c r="K165" s="1173"/>
      <c r="L165" s="1173"/>
      <c r="M165" s="1173"/>
      <c r="N165" s="1173"/>
      <c r="O165" s="1173"/>
      <c r="P165" s="1173"/>
      <c r="Q165" s="1173"/>
      <c r="R165" s="1173"/>
      <c r="S165" s="1173"/>
      <c r="T165" s="1173"/>
      <c r="U165" s="1173"/>
      <c r="V165" s="1173"/>
      <c r="W165" s="1173"/>
      <c r="X165" s="1173"/>
      <c r="Y165" s="1173"/>
      <c r="Z165" s="1173"/>
      <c r="AA165" s="1173"/>
      <c r="AB165" s="1173"/>
      <c r="AC165" s="1173"/>
      <c r="AD165" s="1173"/>
      <c r="AE165" s="1173"/>
      <c r="AF165" s="1173"/>
    </row>
    <row r="166" spans="1:32" ht="60" customHeight="1" x14ac:dyDescent="0.25">
      <c r="A166" s="517" t="s">
        <v>1013</v>
      </c>
      <c r="B166" s="1173" t="s">
        <v>4113</v>
      </c>
      <c r="C166" s="1173"/>
      <c r="D166" s="1173"/>
      <c r="E166" s="1173"/>
      <c r="F166" s="1173"/>
      <c r="G166" s="1173"/>
      <c r="H166" s="1173"/>
      <c r="I166" s="1173"/>
      <c r="J166" s="1173"/>
      <c r="K166" s="1173"/>
      <c r="L166" s="1173"/>
      <c r="M166" s="1173"/>
      <c r="N166" s="1173"/>
      <c r="O166" s="1173"/>
      <c r="P166" s="1173"/>
      <c r="Q166" s="1173"/>
      <c r="R166" s="1173"/>
      <c r="S166" s="1173"/>
      <c r="T166" s="1173"/>
      <c r="U166" s="1173"/>
      <c r="V166" s="1173"/>
      <c r="W166" s="1173"/>
      <c r="X166" s="1173"/>
      <c r="Y166" s="1173"/>
      <c r="Z166" s="1173"/>
      <c r="AA166" s="1173"/>
      <c r="AB166" s="1173"/>
      <c r="AC166" s="1173"/>
      <c r="AD166" s="1173"/>
      <c r="AE166" s="1173"/>
      <c r="AF166" s="1173"/>
    </row>
    <row r="167" spans="1:32" x14ac:dyDescent="0.25">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c r="AC167" s="227"/>
      <c r="AD167" s="227"/>
      <c r="AE167" s="227"/>
      <c r="AF167" s="227"/>
    </row>
    <row r="168" spans="1:32" x14ac:dyDescent="0.25">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27"/>
      <c r="AC168" s="227"/>
      <c r="AD168" s="227"/>
      <c r="AE168" s="227"/>
      <c r="AF168" s="227"/>
    </row>
  </sheetData>
  <sheetProtection algorithmName="SHA-512" hashValue="sIRsLJ4KR+qtKiNxTe0pmc9VhiefWkLvq5/moVFKLP6ALS05B9H59NtP5Z/ikn8d7zKgD1c1cM1dJuu0+nZ3LA==" saltValue="n8SYZ0gQgmtNlsT8A9Y1Fg==" spinCount="100000" sheet="1" objects="1" scenarios="1"/>
  <mergeCells count="329">
    <mergeCell ref="V72:AF73"/>
    <mergeCell ref="E73:L73"/>
    <mergeCell ref="M73:O73"/>
    <mergeCell ref="P73:R73"/>
    <mergeCell ref="E74:L74"/>
    <mergeCell ref="M74:R74"/>
    <mergeCell ref="S74:U74"/>
    <mergeCell ref="V74:AF74"/>
    <mergeCell ref="B24:AF24"/>
    <mergeCell ref="A27:AF27"/>
    <mergeCell ref="A66:D66"/>
    <mergeCell ref="E66:L66"/>
    <mergeCell ref="M66:R66"/>
    <mergeCell ref="S66:U66"/>
    <mergeCell ref="V66:AF66"/>
    <mergeCell ref="A67:D67"/>
    <mergeCell ref="E67:L67"/>
    <mergeCell ref="A63:AF63"/>
    <mergeCell ref="A64:D64"/>
    <mergeCell ref="E64:L64"/>
    <mergeCell ref="M64:O64"/>
    <mergeCell ref="P64:R64"/>
    <mergeCell ref="S64:U64"/>
    <mergeCell ref="V64:AF64"/>
    <mergeCell ref="A65:D65"/>
    <mergeCell ref="E65:L65"/>
    <mergeCell ref="M65:R65"/>
    <mergeCell ref="S65:U65"/>
    <mergeCell ref="V65:AF65"/>
    <mergeCell ref="M67:O67"/>
    <mergeCell ref="P67:R67"/>
    <mergeCell ref="S67:U67"/>
    <mergeCell ref="A1:AF1"/>
    <mergeCell ref="A7:AF7"/>
    <mergeCell ref="B10:AF10"/>
    <mergeCell ref="B13:AF13"/>
    <mergeCell ref="B16:AF16"/>
    <mergeCell ref="A3:AF3"/>
    <mergeCell ref="B5:AF5"/>
    <mergeCell ref="B19:AF19"/>
    <mergeCell ref="B21:AF21"/>
    <mergeCell ref="V67:AF67"/>
    <mergeCell ref="A68:D68"/>
    <mergeCell ref="E68:L68"/>
    <mergeCell ref="M68:O68"/>
    <mergeCell ref="P68:R68"/>
    <mergeCell ref="S68:U68"/>
    <mergeCell ref="V68:AF68"/>
    <mergeCell ref="A69:D69"/>
    <mergeCell ref="E69:L69"/>
    <mergeCell ref="M69:O69"/>
    <mergeCell ref="P69:R69"/>
    <mergeCell ref="S69:U69"/>
    <mergeCell ref="V69:AF69"/>
    <mergeCell ref="A70:D71"/>
    <mergeCell ref="E70:L70"/>
    <mergeCell ref="M70:R70"/>
    <mergeCell ref="S70:U71"/>
    <mergeCell ref="V70:AF71"/>
    <mergeCell ref="E71:L71"/>
    <mergeCell ref="M71:R71"/>
    <mergeCell ref="S76:U76"/>
    <mergeCell ref="V76:AF76"/>
    <mergeCell ref="E75:L75"/>
    <mergeCell ref="M75:O75"/>
    <mergeCell ref="P75:R75"/>
    <mergeCell ref="S75:U75"/>
    <mergeCell ref="V75:AF75"/>
    <mergeCell ref="E76:L76"/>
    <mergeCell ref="A72:D73"/>
    <mergeCell ref="A74:D74"/>
    <mergeCell ref="A75:D75"/>
    <mergeCell ref="A76:D76"/>
    <mergeCell ref="M76:R76"/>
    <mergeCell ref="E72:L72"/>
    <mergeCell ref="M72:O72"/>
    <mergeCell ref="P72:R72"/>
    <mergeCell ref="S72:U73"/>
    <mergeCell ref="A77:D80"/>
    <mergeCell ref="E77:L77"/>
    <mergeCell ref="M77:R77"/>
    <mergeCell ref="S77:U77"/>
    <mergeCell ref="V77:AF77"/>
    <mergeCell ref="E78:L78"/>
    <mergeCell ref="M78:R78"/>
    <mergeCell ref="S78:U78"/>
    <mergeCell ref="V78:AF78"/>
    <mergeCell ref="E79:L79"/>
    <mergeCell ref="M79:R79"/>
    <mergeCell ref="S79:U79"/>
    <mergeCell ref="V79:AF79"/>
    <mergeCell ref="E80:L80"/>
    <mergeCell ref="M80:R80"/>
    <mergeCell ref="S80:U80"/>
    <mergeCell ref="V80:AF80"/>
    <mergeCell ref="S81:U81"/>
    <mergeCell ref="V81:AF81"/>
    <mergeCell ref="A82:D82"/>
    <mergeCell ref="E82:L82"/>
    <mergeCell ref="M82:R82"/>
    <mergeCell ref="S82:U82"/>
    <mergeCell ref="V82:AF82"/>
    <mergeCell ref="A83:D84"/>
    <mergeCell ref="E83:L83"/>
    <mergeCell ref="M83:O83"/>
    <mergeCell ref="P83:R83"/>
    <mergeCell ref="S83:U83"/>
    <mergeCell ref="V83:AF83"/>
    <mergeCell ref="E84:L84"/>
    <mergeCell ref="M84:R84"/>
    <mergeCell ref="S84:U84"/>
    <mergeCell ref="V84:AF84"/>
    <mergeCell ref="A81:D81"/>
    <mergeCell ref="E81:L81"/>
    <mergeCell ref="M81:R81"/>
    <mergeCell ref="A85:D85"/>
    <mergeCell ref="E85:L85"/>
    <mergeCell ref="M85:R85"/>
    <mergeCell ref="S85:U85"/>
    <mergeCell ref="V85:AF85"/>
    <mergeCell ref="A86:D86"/>
    <mergeCell ref="E86:L86"/>
    <mergeCell ref="M86:R86"/>
    <mergeCell ref="S86:U86"/>
    <mergeCell ref="V86:AF86"/>
    <mergeCell ref="A87:AF87"/>
    <mergeCell ref="A88:AF88"/>
    <mergeCell ref="A89:AF89"/>
    <mergeCell ref="A90:AF90"/>
    <mergeCell ref="A93:J93"/>
    <mergeCell ref="K93:N93"/>
    <mergeCell ref="O93:R93"/>
    <mergeCell ref="S93:V93"/>
    <mergeCell ref="A94:J94"/>
    <mergeCell ref="K94:N94"/>
    <mergeCell ref="O94:R94"/>
    <mergeCell ref="S94:V94"/>
    <mergeCell ref="A95:J95"/>
    <mergeCell ref="K95:N95"/>
    <mergeCell ref="O95:R95"/>
    <mergeCell ref="S95:V95"/>
    <mergeCell ref="A96:J96"/>
    <mergeCell ref="K96:N96"/>
    <mergeCell ref="O96:R96"/>
    <mergeCell ref="S96:V96"/>
    <mergeCell ref="A97:J97"/>
    <mergeCell ref="K97:N97"/>
    <mergeCell ref="O97:R97"/>
    <mergeCell ref="S97:V97"/>
    <mergeCell ref="A98:J98"/>
    <mergeCell ref="K98:N98"/>
    <mergeCell ref="O98:R98"/>
    <mergeCell ref="S98:V98"/>
    <mergeCell ref="A99:J99"/>
    <mergeCell ref="K99:N99"/>
    <mergeCell ref="O99:R99"/>
    <mergeCell ref="S99:V99"/>
    <mergeCell ref="A100:AF100"/>
    <mergeCell ref="A103:J103"/>
    <mergeCell ref="K103:N103"/>
    <mergeCell ref="A104:J104"/>
    <mergeCell ref="K104:N104"/>
    <mergeCell ref="A105:AF105"/>
    <mergeCell ref="A108:AF108"/>
    <mergeCell ref="A112:O112"/>
    <mergeCell ref="A113:L114"/>
    <mergeCell ref="M113:T113"/>
    <mergeCell ref="U113:AB113"/>
    <mergeCell ref="AC113:AF113"/>
    <mergeCell ref="M114:P114"/>
    <mergeCell ref="Q114:T114"/>
    <mergeCell ref="U114:X114"/>
    <mergeCell ref="Y114:AB114"/>
    <mergeCell ref="AC114:AF114"/>
    <mergeCell ref="A115:C118"/>
    <mergeCell ref="D115:H116"/>
    <mergeCell ref="I115:L115"/>
    <mergeCell ref="M115:P115"/>
    <mergeCell ref="Q115:T115"/>
    <mergeCell ref="U115:X115"/>
    <mergeCell ref="Y115:AB115"/>
    <mergeCell ref="AC115:AF115"/>
    <mergeCell ref="I116:L116"/>
    <mergeCell ref="M116:P116"/>
    <mergeCell ref="Q116:T116"/>
    <mergeCell ref="U116:X116"/>
    <mergeCell ref="Y116:AB116"/>
    <mergeCell ref="AC116:AF116"/>
    <mergeCell ref="D117:H118"/>
    <mergeCell ref="I117:L117"/>
    <mergeCell ref="M117:P117"/>
    <mergeCell ref="Q117:T117"/>
    <mergeCell ref="U117:X117"/>
    <mergeCell ref="Y117:AB117"/>
    <mergeCell ref="AC117:AF117"/>
    <mergeCell ref="I118:L118"/>
    <mergeCell ref="M118:P118"/>
    <mergeCell ref="Q118:T118"/>
    <mergeCell ref="U118:X118"/>
    <mergeCell ref="Y118:AB118"/>
    <mergeCell ref="AC118:AF118"/>
    <mergeCell ref="A119:C122"/>
    <mergeCell ref="D119:H120"/>
    <mergeCell ref="I119:L119"/>
    <mergeCell ref="M119:P119"/>
    <mergeCell ref="Q119:T119"/>
    <mergeCell ref="U119:X119"/>
    <mergeCell ref="Y119:AB119"/>
    <mergeCell ref="AC119:AF119"/>
    <mergeCell ref="I120:L120"/>
    <mergeCell ref="M120:P120"/>
    <mergeCell ref="Q120:T120"/>
    <mergeCell ref="U120:X120"/>
    <mergeCell ref="Y120:AB120"/>
    <mergeCell ref="AC120:AF120"/>
    <mergeCell ref="D121:H122"/>
    <mergeCell ref="I121:L121"/>
    <mergeCell ref="M121:P121"/>
    <mergeCell ref="Q121:T121"/>
    <mergeCell ref="U121:X121"/>
    <mergeCell ref="Y121:AB121"/>
    <mergeCell ref="AC121:AF121"/>
    <mergeCell ref="I122:L122"/>
    <mergeCell ref="M122:P122"/>
    <mergeCell ref="Q122:T122"/>
    <mergeCell ref="U122:X122"/>
    <mergeCell ref="Y122:AB122"/>
    <mergeCell ref="AC122:AF122"/>
    <mergeCell ref="A123:C126"/>
    <mergeCell ref="D123:H124"/>
    <mergeCell ref="I123:L123"/>
    <mergeCell ref="M123:P123"/>
    <mergeCell ref="Q123:T123"/>
    <mergeCell ref="U123:X123"/>
    <mergeCell ref="Y123:AB123"/>
    <mergeCell ref="AC123:AF123"/>
    <mergeCell ref="I124:L124"/>
    <mergeCell ref="M124:P124"/>
    <mergeCell ref="Q124:T124"/>
    <mergeCell ref="U124:X124"/>
    <mergeCell ref="Y124:AB124"/>
    <mergeCell ref="AC124:AF124"/>
    <mergeCell ref="D125:H126"/>
    <mergeCell ref="I125:L125"/>
    <mergeCell ref="M125:P125"/>
    <mergeCell ref="Q125:T125"/>
    <mergeCell ref="U125:X125"/>
    <mergeCell ref="Y125:AB125"/>
    <mergeCell ref="AC125:AF125"/>
    <mergeCell ref="I126:L126"/>
    <mergeCell ref="M126:P126"/>
    <mergeCell ref="Q126:T126"/>
    <mergeCell ref="U126:X126"/>
    <mergeCell ref="Y126:AB126"/>
    <mergeCell ref="AC126:AF126"/>
    <mergeCell ref="U129:X129"/>
    <mergeCell ref="Y129:AB129"/>
    <mergeCell ref="AC129:AF129"/>
    <mergeCell ref="I130:L130"/>
    <mergeCell ref="M130:P130"/>
    <mergeCell ref="Q130:T130"/>
    <mergeCell ref="U130:X130"/>
    <mergeCell ref="Y130:AB130"/>
    <mergeCell ref="AC130:AF130"/>
    <mergeCell ref="A135:E136"/>
    <mergeCell ref="F135:M135"/>
    <mergeCell ref="N135:S135"/>
    <mergeCell ref="F136:I136"/>
    <mergeCell ref="J136:M136"/>
    <mergeCell ref="N136:S136"/>
    <mergeCell ref="A127:C130"/>
    <mergeCell ref="D127:H128"/>
    <mergeCell ref="I127:L127"/>
    <mergeCell ref="M127:P127"/>
    <mergeCell ref="Q127:T127"/>
    <mergeCell ref="D129:H130"/>
    <mergeCell ref="I129:L129"/>
    <mergeCell ref="M129:P129"/>
    <mergeCell ref="Q129:T129"/>
    <mergeCell ref="U127:X127"/>
    <mergeCell ref="Y127:AB127"/>
    <mergeCell ref="AC127:AF127"/>
    <mergeCell ref="I128:L128"/>
    <mergeCell ref="M128:P128"/>
    <mergeCell ref="Q128:T128"/>
    <mergeCell ref="U128:X128"/>
    <mergeCell ref="Y128:AB128"/>
    <mergeCell ref="AC128:AF128"/>
    <mergeCell ref="A137:E137"/>
    <mergeCell ref="F137:I137"/>
    <mergeCell ref="J137:M137"/>
    <mergeCell ref="N137:S137"/>
    <mergeCell ref="A138:E138"/>
    <mergeCell ref="F138:I138"/>
    <mergeCell ref="J138:M138"/>
    <mergeCell ref="N138:S138"/>
    <mergeCell ref="A143:E144"/>
    <mergeCell ref="F143:M143"/>
    <mergeCell ref="N143:S143"/>
    <mergeCell ref="F144:I144"/>
    <mergeCell ref="J144:M144"/>
    <mergeCell ref="N144:S144"/>
    <mergeCell ref="A149:AF149"/>
    <mergeCell ref="B150:AF150"/>
    <mergeCell ref="B151:AF151"/>
    <mergeCell ref="B152:AF152"/>
    <mergeCell ref="B153:AF153"/>
    <mergeCell ref="B154:AF154"/>
    <mergeCell ref="B155:AF155"/>
    <mergeCell ref="B156:AF156"/>
    <mergeCell ref="A145:E145"/>
    <mergeCell ref="F145:I145"/>
    <mergeCell ref="J145:M145"/>
    <mergeCell ref="N145:S145"/>
    <mergeCell ref="A146:E146"/>
    <mergeCell ref="F146:I146"/>
    <mergeCell ref="J146:M146"/>
    <mergeCell ref="N146:S146"/>
    <mergeCell ref="A147:AF147"/>
    <mergeCell ref="B166:AF166"/>
    <mergeCell ref="B157:AF157"/>
    <mergeCell ref="B158:AF158"/>
    <mergeCell ref="B159:AF159"/>
    <mergeCell ref="B160:AF160"/>
    <mergeCell ref="B161:AF161"/>
    <mergeCell ref="B162:AF162"/>
    <mergeCell ref="B163:AF163"/>
    <mergeCell ref="B164:AF164"/>
    <mergeCell ref="B165:AF165"/>
  </mergeCells>
  <hyperlinks>
    <hyperlink ref="A2" location="TOC!A1" display="Return to TOC" xr:uid="{00000000-0004-0000-6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Q115:T130" formula="1"/>
    <ignoredError sqref="AF31:AF61" numberStoredAsText="1"/>
  </ignoredError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73">
    <tabColor theme="5" tint="0.59999389629810485"/>
    <pageSetUpPr autoPageBreaks="0"/>
  </sheetPr>
  <dimension ref="A1:AF172"/>
  <sheetViews>
    <sheetView zoomScaleNormal="100" workbookViewId="0">
      <selection activeCell="A2" sqref="A2"/>
    </sheetView>
  </sheetViews>
  <sheetFormatPr defaultColWidth="2.7109375" defaultRowHeight="15" x14ac:dyDescent="0.25"/>
  <sheetData>
    <row r="1" spans="1:32" ht="18.75" x14ac:dyDescent="0.25">
      <c r="A1" s="1464" t="s">
        <v>1429</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x14ac:dyDescent="0.25">
      <c r="A2" s="376" t="s">
        <v>1702</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1:32"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row>
    <row r="4" spans="1:32"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row>
    <row r="5" spans="1:32" x14ac:dyDescent="0.25">
      <c r="A5" s="262"/>
      <c r="B5" s="1589" t="s">
        <v>4635</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2" x14ac:dyDescent="0.25">
      <c r="A6" s="190"/>
      <c r="B6" s="190"/>
      <c r="C6" s="190"/>
      <c r="D6" s="190"/>
      <c r="E6" s="190"/>
      <c r="F6" s="190"/>
      <c r="G6" s="190"/>
      <c r="H6" s="190"/>
      <c r="I6" s="190"/>
      <c r="J6" s="190"/>
      <c r="K6" s="190"/>
      <c r="L6" s="190"/>
      <c r="M6" s="190"/>
      <c r="N6" s="190"/>
      <c r="O6" s="190"/>
      <c r="P6" s="190"/>
      <c r="Q6" s="190"/>
      <c r="R6" s="190"/>
      <c r="S6" s="190"/>
      <c r="T6" s="190"/>
      <c r="U6" s="190"/>
      <c r="V6" s="190"/>
      <c r="W6" s="190"/>
      <c r="X6" s="190"/>
      <c r="Y6" s="190"/>
      <c r="Z6" s="190"/>
      <c r="AA6" s="190"/>
      <c r="AB6" s="190"/>
      <c r="AC6" s="190"/>
      <c r="AD6" s="190"/>
      <c r="AE6" s="190"/>
      <c r="AF6" s="190"/>
    </row>
    <row r="7" spans="1:32"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row>
    <row r="8" spans="1:32" x14ac:dyDescent="0.25">
      <c r="A8" s="19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row>
    <row r="9" spans="1:32" x14ac:dyDescent="0.25">
      <c r="A9" s="262"/>
      <c r="B9" s="414" t="s">
        <v>10</v>
      </c>
      <c r="C9" s="414"/>
      <c r="D9" s="414"/>
      <c r="E9" s="414"/>
      <c r="F9" s="414"/>
      <c r="G9" s="414"/>
      <c r="H9" s="414"/>
      <c r="I9" s="414"/>
      <c r="J9" s="262"/>
      <c r="K9" s="262"/>
      <c r="L9" s="262"/>
      <c r="M9" s="262"/>
      <c r="N9" s="262"/>
      <c r="O9" s="262"/>
      <c r="P9" s="262"/>
      <c r="Q9" s="262"/>
      <c r="R9" s="262"/>
      <c r="S9" s="262"/>
      <c r="T9" s="262"/>
      <c r="U9" s="262"/>
      <c r="V9" s="262"/>
      <c r="W9" s="262"/>
      <c r="X9" s="262"/>
      <c r="Y9" s="262"/>
      <c r="Z9" s="262"/>
      <c r="AA9" s="262"/>
      <c r="AB9" s="262"/>
      <c r="AC9" s="262"/>
      <c r="AD9" s="262"/>
      <c r="AE9" s="262"/>
      <c r="AF9" s="262"/>
    </row>
    <row r="10" spans="1:32" x14ac:dyDescent="0.25">
      <c r="A10" s="262"/>
      <c r="B10" s="1703" t="s">
        <v>3615</v>
      </c>
      <c r="C10" s="1703"/>
      <c r="D10" s="1703"/>
      <c r="E10" s="1703"/>
      <c r="F10" s="1703"/>
      <c r="G10" s="1703"/>
      <c r="H10" s="1703"/>
      <c r="I10" s="1703"/>
      <c r="J10" s="1703"/>
      <c r="K10" s="1703"/>
      <c r="L10" s="1703"/>
      <c r="M10" s="1703"/>
      <c r="N10" s="1703"/>
      <c r="O10" s="1703"/>
      <c r="P10" s="1703"/>
      <c r="Q10" s="1703"/>
      <c r="R10" s="1703"/>
      <c r="S10" s="1703"/>
      <c r="T10" s="1703"/>
      <c r="U10" s="1703"/>
      <c r="V10" s="1703"/>
      <c r="W10" s="1703"/>
      <c r="X10" s="1703"/>
      <c r="Y10" s="1703"/>
      <c r="Z10" s="1703"/>
      <c r="AA10" s="1703"/>
      <c r="AB10" s="1703"/>
      <c r="AC10" s="1703"/>
      <c r="AD10" s="1703"/>
      <c r="AE10" s="1703"/>
      <c r="AF10" s="1703"/>
    </row>
    <row r="11" spans="1:32"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row>
    <row r="12" spans="1:32" x14ac:dyDescent="0.25">
      <c r="A12" s="262"/>
      <c r="B12" s="414" t="s">
        <v>11</v>
      </c>
      <c r="C12" s="414"/>
      <c r="D12" s="414"/>
      <c r="E12" s="414"/>
      <c r="F12" s="414"/>
      <c r="G12" s="414"/>
      <c r="H12" s="414"/>
      <c r="I12" s="414"/>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row>
    <row r="13" spans="1:32" ht="32.25" customHeight="1" x14ac:dyDescent="0.25">
      <c r="A13" s="262"/>
      <c r="B13" s="1589" t="s">
        <v>1573</v>
      </c>
      <c r="C13" s="1589"/>
      <c r="D13" s="1589"/>
      <c r="E13" s="1589"/>
      <c r="F13" s="1589"/>
      <c r="G13" s="1589"/>
      <c r="H13" s="1589"/>
      <c r="I13" s="1589"/>
      <c r="J13" s="1589"/>
      <c r="K13" s="1589"/>
      <c r="L13" s="1589"/>
      <c r="M13" s="1589"/>
      <c r="N13" s="1589"/>
      <c r="O13" s="1589"/>
      <c r="P13" s="1589"/>
      <c r="Q13" s="1589"/>
      <c r="R13" s="1589"/>
      <c r="S13" s="1589"/>
      <c r="T13" s="1589"/>
      <c r="U13" s="1589"/>
      <c r="V13" s="1589"/>
      <c r="W13" s="1589"/>
      <c r="X13" s="1589"/>
      <c r="Y13" s="1589"/>
      <c r="Z13" s="1589"/>
      <c r="AA13" s="1589"/>
      <c r="AB13" s="1589"/>
      <c r="AC13" s="1589"/>
      <c r="AD13" s="1589"/>
      <c r="AE13" s="1589"/>
      <c r="AF13" s="1589"/>
    </row>
    <row r="14" spans="1:32" x14ac:dyDescent="0.2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row>
    <row r="15" spans="1:32" x14ac:dyDescent="0.25">
      <c r="A15" s="262"/>
      <c r="B15" s="414" t="s">
        <v>12</v>
      </c>
      <c r="C15" s="414"/>
      <c r="D15" s="414"/>
      <c r="E15" s="414"/>
      <c r="F15" s="414"/>
      <c r="G15" s="414"/>
      <c r="H15" s="414"/>
      <c r="I15" s="414"/>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row>
    <row r="16" spans="1:32" x14ac:dyDescent="0.25">
      <c r="A16" s="262"/>
      <c r="B16" s="1703" t="s">
        <v>3616</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row>
    <row r="17" spans="1:32" x14ac:dyDescent="0.25">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row>
    <row r="18" spans="1:32" x14ac:dyDescent="0.25">
      <c r="A18" s="262"/>
      <c r="B18" s="414" t="s">
        <v>13</v>
      </c>
      <c r="C18" s="414"/>
      <c r="D18" s="414"/>
      <c r="E18" s="414"/>
      <c r="F18" s="414"/>
      <c r="G18" s="414"/>
      <c r="H18" s="414"/>
      <c r="I18" s="414"/>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row>
    <row r="19" spans="1:32" ht="78" customHeight="1" x14ac:dyDescent="0.25">
      <c r="A19" s="262"/>
      <c r="B19" s="1173" t="s">
        <v>4137</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row>
    <row r="20" spans="1:32" x14ac:dyDescent="0.25">
      <c r="A20" s="262"/>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row>
    <row r="21" spans="1:32" ht="65.25" customHeight="1" x14ac:dyDescent="0.25">
      <c r="A21" s="262"/>
      <c r="B21" s="1173" t="s">
        <v>4138</v>
      </c>
      <c r="C21" s="1173"/>
      <c r="D21" s="1173"/>
      <c r="E21" s="1173"/>
      <c r="F21" s="1173"/>
      <c r="G21" s="1173"/>
      <c r="H21" s="1173"/>
      <c r="I21" s="1173"/>
      <c r="J21" s="1173"/>
      <c r="K21" s="1173"/>
      <c r="L21" s="1173"/>
      <c r="M21" s="1173"/>
      <c r="N21" s="1173"/>
      <c r="O21" s="1173"/>
      <c r="P21" s="1173"/>
      <c r="Q21" s="1173"/>
      <c r="R21" s="1173"/>
      <c r="S21" s="1173"/>
      <c r="T21" s="1173"/>
      <c r="U21" s="1173"/>
      <c r="V21" s="1173"/>
      <c r="W21" s="1173"/>
      <c r="X21" s="1173"/>
      <c r="Y21" s="1173"/>
      <c r="Z21" s="1173"/>
      <c r="AA21" s="1173"/>
      <c r="AB21" s="1173"/>
      <c r="AC21" s="1173"/>
      <c r="AD21" s="1173"/>
      <c r="AE21" s="1173"/>
      <c r="AF21" s="1173"/>
    </row>
    <row r="22" spans="1:32" x14ac:dyDescent="0.25">
      <c r="A22" s="262"/>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row>
    <row r="23" spans="1:32" x14ac:dyDescent="0.25">
      <c r="A23" s="262"/>
      <c r="B23" s="414" t="s">
        <v>20</v>
      </c>
      <c r="C23" s="414"/>
      <c r="D23" s="414"/>
      <c r="E23" s="414"/>
      <c r="F23" s="414"/>
      <c r="G23" s="414"/>
      <c r="H23" s="414"/>
      <c r="I23" s="414"/>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row>
    <row r="24" spans="1:32" x14ac:dyDescent="0.25">
      <c r="A24" s="262"/>
      <c r="B24" s="1703" t="s">
        <v>4152</v>
      </c>
      <c r="C24" s="1703"/>
      <c r="D24" s="1703"/>
      <c r="E24" s="1703"/>
      <c r="F24" s="1703"/>
      <c r="G24" s="1703"/>
      <c r="H24" s="1703"/>
      <c r="I24" s="1703"/>
      <c r="J24" s="1703"/>
      <c r="K24" s="1703"/>
      <c r="L24" s="1703"/>
      <c r="M24" s="1703"/>
      <c r="N24" s="1703"/>
      <c r="O24" s="1703"/>
      <c r="P24" s="1703"/>
      <c r="Q24" s="1703"/>
      <c r="R24" s="1703"/>
      <c r="S24" s="1703"/>
      <c r="T24" s="1703"/>
      <c r="U24" s="1703"/>
      <c r="V24" s="1703"/>
      <c r="W24" s="1703"/>
      <c r="X24" s="1703"/>
      <c r="Y24" s="1703"/>
      <c r="Z24" s="1703"/>
      <c r="AA24" s="1703"/>
      <c r="AB24" s="1703"/>
      <c r="AC24" s="1703"/>
      <c r="AD24" s="1703"/>
      <c r="AE24" s="1703"/>
      <c r="AF24" s="1703"/>
    </row>
    <row r="25" spans="1:32" x14ac:dyDescent="0.25">
      <c r="A25" s="262"/>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row>
    <row r="26" spans="1:32" x14ac:dyDescent="0.25">
      <c r="A26" s="262"/>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row>
    <row r="27" spans="1:32" x14ac:dyDescent="0.25">
      <c r="A27" s="1621" t="s">
        <v>14</v>
      </c>
      <c r="B27" s="1621"/>
      <c r="C27" s="1621"/>
      <c r="D27" s="1621"/>
      <c r="E27" s="1621"/>
      <c r="F27" s="1621"/>
      <c r="G27" s="1621"/>
      <c r="H27" s="1621"/>
      <c r="I27" s="1621"/>
      <c r="J27" s="1621"/>
      <c r="K27" s="1621"/>
      <c r="L27" s="1621"/>
      <c r="M27" s="1621"/>
      <c r="N27" s="1621"/>
      <c r="O27" s="1621"/>
      <c r="P27" s="1621"/>
      <c r="Q27" s="1621"/>
      <c r="R27" s="1621"/>
      <c r="S27" s="1621"/>
      <c r="T27" s="1621"/>
      <c r="U27" s="1621"/>
      <c r="V27" s="1621"/>
      <c r="W27" s="1621"/>
      <c r="X27" s="1621"/>
      <c r="Y27" s="1621"/>
      <c r="Z27" s="1621"/>
      <c r="AA27" s="1621"/>
      <c r="AB27" s="1621"/>
      <c r="AC27" s="1621"/>
      <c r="AD27" s="1621"/>
      <c r="AE27" s="1621"/>
      <c r="AF27" s="1621"/>
    </row>
    <row r="28" spans="1:32" x14ac:dyDescent="0.25">
      <c r="A28" s="262"/>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row>
    <row r="29" spans="1:32" x14ac:dyDescent="0.25">
      <c r="A29" s="262"/>
      <c r="B29" s="519" t="s">
        <v>2301</v>
      </c>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row>
    <row r="30" spans="1:32" x14ac:dyDescent="0.25">
      <c r="A30" s="262"/>
      <c r="B30" s="519"/>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row>
    <row r="31" spans="1:32" x14ac:dyDescent="0.25">
      <c r="A31" s="262"/>
      <c r="B31" s="519"/>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419" t="s">
        <v>1705</v>
      </c>
    </row>
    <row r="32" spans="1:32" x14ac:dyDescent="0.25">
      <c r="A32" s="262"/>
      <c r="B32" s="519"/>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row>
    <row r="33" spans="1:32" x14ac:dyDescent="0.25">
      <c r="A33" s="262"/>
      <c r="B33" s="519" t="s">
        <v>2302</v>
      </c>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row>
    <row r="34" spans="1:32" x14ac:dyDescent="0.25">
      <c r="A34" s="262"/>
      <c r="B34" s="519"/>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row>
    <row r="35" spans="1:32" x14ac:dyDescent="0.25">
      <c r="A35" s="262"/>
      <c r="B35" s="519"/>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419" t="s">
        <v>1706</v>
      </c>
    </row>
    <row r="36" spans="1:32" x14ac:dyDescent="0.25">
      <c r="A36" s="262"/>
      <c r="B36" s="519"/>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row>
    <row r="37" spans="1:32" x14ac:dyDescent="0.25">
      <c r="A37" s="262"/>
      <c r="B37" s="519" t="s">
        <v>2192</v>
      </c>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row>
    <row r="38" spans="1:32" x14ac:dyDescent="0.25">
      <c r="A38" s="262"/>
      <c r="B38" s="519"/>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row>
    <row r="39" spans="1:32" x14ac:dyDescent="0.25">
      <c r="A39" s="262"/>
      <c r="B39" s="519"/>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row>
    <row r="40" spans="1:32" x14ac:dyDescent="0.25">
      <c r="A40" s="262"/>
      <c r="B40" s="519"/>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419" t="s">
        <v>1707</v>
      </c>
    </row>
    <row r="41" spans="1:32" x14ac:dyDescent="0.25">
      <c r="A41" s="262"/>
      <c r="B41" s="519"/>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row>
    <row r="42" spans="1:32" x14ac:dyDescent="0.25">
      <c r="A42" s="262"/>
      <c r="B42" s="519"/>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row>
    <row r="43" spans="1:32" x14ac:dyDescent="0.25">
      <c r="A43" s="262"/>
      <c r="B43" s="519" t="s">
        <v>2193</v>
      </c>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row>
    <row r="44" spans="1:32" x14ac:dyDescent="0.25">
      <c r="A44" s="262"/>
      <c r="B44" s="519"/>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row>
    <row r="45" spans="1:32" x14ac:dyDescent="0.25">
      <c r="A45" s="262"/>
      <c r="B45" s="519"/>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row>
    <row r="46" spans="1:32" x14ac:dyDescent="0.25">
      <c r="A46" s="262"/>
      <c r="B46" s="519"/>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419" t="s">
        <v>1756</v>
      </c>
    </row>
    <row r="47" spans="1:32" x14ac:dyDescent="0.25">
      <c r="A47" s="262"/>
      <c r="B47" s="519"/>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row>
    <row r="48" spans="1:32" x14ac:dyDescent="0.25">
      <c r="A48" s="262"/>
      <c r="B48" s="519"/>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row>
    <row r="49" spans="1:32" x14ac:dyDescent="0.25">
      <c r="A49" s="262"/>
      <c r="B49" s="414" t="s">
        <v>1998</v>
      </c>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419"/>
    </row>
    <row r="50" spans="1:32" x14ac:dyDescent="0.25">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419"/>
    </row>
    <row r="51" spans="1:32" x14ac:dyDescent="0.25">
      <c r="A51" s="262"/>
      <c r="B51" s="262"/>
      <c r="C51" s="650" t="s">
        <v>4054</v>
      </c>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419"/>
    </row>
    <row r="52" spans="1:32" x14ac:dyDescent="0.25">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419"/>
    </row>
    <row r="53" spans="1:32" x14ac:dyDescent="0.25">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419" t="s">
        <v>1788</v>
      </c>
    </row>
    <row r="54" spans="1:32" x14ac:dyDescent="0.25">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419"/>
    </row>
    <row r="55" spans="1:32" x14ac:dyDescent="0.25">
      <c r="A55" s="262"/>
      <c r="B55" s="262"/>
      <c r="C55" s="650" t="s">
        <v>4055</v>
      </c>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419"/>
    </row>
    <row r="56" spans="1:32" x14ac:dyDescent="0.25">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419"/>
    </row>
    <row r="57" spans="1:32" x14ac:dyDescent="0.25">
      <c r="A57" s="262"/>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419" t="s">
        <v>1789</v>
      </c>
    </row>
    <row r="58" spans="1:32" x14ac:dyDescent="0.25">
      <c r="A58" s="262"/>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62"/>
      <c r="AE58" s="262"/>
      <c r="AF58" s="419"/>
    </row>
    <row r="59" spans="1:32" x14ac:dyDescent="0.25">
      <c r="A59" s="262"/>
      <c r="B59" s="262"/>
      <c r="C59" s="650" t="s">
        <v>4056</v>
      </c>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419"/>
    </row>
    <row r="60" spans="1:32" x14ac:dyDescent="0.25">
      <c r="A60" s="262"/>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419"/>
    </row>
    <row r="61" spans="1:32" x14ac:dyDescent="0.25">
      <c r="A61" s="262"/>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419" t="s">
        <v>1826</v>
      </c>
    </row>
    <row r="62" spans="1:32" x14ac:dyDescent="0.25">
      <c r="A62" s="262"/>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row>
    <row r="63" spans="1:32" x14ac:dyDescent="0.25">
      <c r="A63" s="1621" t="s">
        <v>15</v>
      </c>
      <c r="B63" s="1621"/>
      <c r="C63" s="1621"/>
      <c r="D63" s="1621"/>
      <c r="E63" s="1621"/>
      <c r="F63" s="1621"/>
      <c r="G63" s="1621"/>
      <c r="H63" s="1621"/>
      <c r="I63" s="1621"/>
      <c r="J63" s="1621"/>
      <c r="K63" s="1621"/>
      <c r="L63" s="1621"/>
      <c r="M63" s="1621"/>
      <c r="N63" s="1621"/>
      <c r="O63" s="1621"/>
      <c r="P63" s="1621"/>
      <c r="Q63" s="1621"/>
      <c r="R63" s="1621"/>
      <c r="S63" s="1621"/>
      <c r="T63" s="1621"/>
      <c r="U63" s="1621"/>
      <c r="V63" s="1621"/>
      <c r="W63" s="1621"/>
      <c r="X63" s="1621"/>
      <c r="Y63" s="1621"/>
      <c r="Z63" s="1621"/>
      <c r="AA63" s="1621"/>
      <c r="AB63" s="1621"/>
      <c r="AC63" s="1621"/>
      <c r="AD63" s="1621"/>
      <c r="AE63" s="1621"/>
      <c r="AF63" s="1621"/>
    </row>
    <row r="64" spans="1:32" x14ac:dyDescent="0.25">
      <c r="A64" s="1320" t="s">
        <v>16</v>
      </c>
      <c r="B64" s="1320"/>
      <c r="C64" s="1320"/>
      <c r="D64" s="1320"/>
      <c r="E64" s="1759" t="s">
        <v>10</v>
      </c>
      <c r="F64" s="1759"/>
      <c r="G64" s="1759"/>
      <c r="H64" s="1759"/>
      <c r="I64" s="1759"/>
      <c r="J64" s="1759"/>
      <c r="K64" s="1759"/>
      <c r="L64" s="1759"/>
      <c r="M64" s="1759"/>
      <c r="N64" s="1759"/>
      <c r="O64" s="1759"/>
      <c r="P64" s="1759"/>
      <c r="Q64" s="1320" t="s">
        <v>17</v>
      </c>
      <c r="R64" s="1320"/>
      <c r="S64" s="1320"/>
      <c r="T64" s="1320"/>
      <c r="U64" s="1320" t="s">
        <v>18</v>
      </c>
      <c r="V64" s="1320"/>
      <c r="W64" s="1320"/>
      <c r="X64" s="1320" t="s">
        <v>1708</v>
      </c>
      <c r="Y64" s="1320"/>
      <c r="Z64" s="1320"/>
      <c r="AA64" s="1320"/>
      <c r="AB64" s="1320"/>
      <c r="AC64" s="1320"/>
      <c r="AD64" s="1320"/>
      <c r="AE64" s="1320"/>
      <c r="AF64" s="1320"/>
    </row>
    <row r="65" spans="1:32" ht="187.5" customHeight="1" x14ac:dyDescent="0.25">
      <c r="A65" s="1834" t="s">
        <v>4057</v>
      </c>
      <c r="B65" s="1834"/>
      <c r="C65" s="1834"/>
      <c r="D65" s="1834"/>
      <c r="E65" s="3869" t="s">
        <v>4058</v>
      </c>
      <c r="F65" s="3870"/>
      <c r="G65" s="3870"/>
      <c r="H65" s="3870"/>
      <c r="I65" s="3870"/>
      <c r="J65" s="3870"/>
      <c r="K65" s="3870"/>
      <c r="L65" s="3870"/>
      <c r="M65" s="3870"/>
      <c r="N65" s="3870"/>
      <c r="O65" s="3870"/>
      <c r="P65" s="3871"/>
      <c r="Q65" s="1833">
        <v>2.0000000000000001E-4</v>
      </c>
      <c r="R65" s="1833">
        <v>2.7799999999999998E-2</v>
      </c>
      <c r="S65" s="1833">
        <v>2.7799999999999998E-2</v>
      </c>
      <c r="T65" s="1833">
        <v>2.7799999999999998E-2</v>
      </c>
      <c r="U65" s="3866" t="s">
        <v>4059</v>
      </c>
      <c r="V65" s="3867"/>
      <c r="W65" s="3868"/>
      <c r="X65" s="3869" t="s">
        <v>4114</v>
      </c>
      <c r="Y65" s="3870"/>
      <c r="Z65" s="3870"/>
      <c r="AA65" s="3870"/>
      <c r="AB65" s="3870"/>
      <c r="AC65" s="3870"/>
      <c r="AD65" s="3870"/>
      <c r="AE65" s="3870"/>
      <c r="AF65" s="3871"/>
    </row>
    <row r="66" spans="1:32" ht="34.5" customHeight="1" x14ac:dyDescent="0.25">
      <c r="A66" s="1833" t="s">
        <v>4115</v>
      </c>
      <c r="B66" s="1833" t="s">
        <v>1181</v>
      </c>
      <c r="C66" s="1833" t="s">
        <v>1181</v>
      </c>
      <c r="D66" s="1833" t="s">
        <v>1181</v>
      </c>
      <c r="E66" s="2283" t="s">
        <v>4060</v>
      </c>
      <c r="F66" s="2283" t="s">
        <v>1187</v>
      </c>
      <c r="G66" s="2283" t="s">
        <v>1187</v>
      </c>
      <c r="H66" s="2283" t="s">
        <v>1187</v>
      </c>
      <c r="I66" s="2283" t="s">
        <v>1187</v>
      </c>
      <c r="J66" s="2283" t="s">
        <v>1187</v>
      </c>
      <c r="K66" s="2283" t="s">
        <v>1187</v>
      </c>
      <c r="L66" s="2283" t="s">
        <v>1187</v>
      </c>
      <c r="M66" s="2283" t="s">
        <v>1187</v>
      </c>
      <c r="N66" s="2283" t="s">
        <v>1187</v>
      </c>
      <c r="O66" s="2283" t="s">
        <v>1187</v>
      </c>
      <c r="P66" s="2283" t="s">
        <v>1187</v>
      </c>
      <c r="Q66" s="1833">
        <v>2.5</v>
      </c>
      <c r="R66" s="1833">
        <v>2.5</v>
      </c>
      <c r="S66" s="1833">
        <v>2.5</v>
      </c>
      <c r="T66" s="1833">
        <v>2.5</v>
      </c>
      <c r="U66" s="1834" t="s">
        <v>3597</v>
      </c>
      <c r="V66" s="1834"/>
      <c r="W66" s="1834"/>
      <c r="X66" s="2271" t="s">
        <v>4061</v>
      </c>
      <c r="Y66" s="2271"/>
      <c r="Z66" s="2271"/>
      <c r="AA66" s="2271"/>
      <c r="AB66" s="2271"/>
      <c r="AC66" s="2271"/>
      <c r="AD66" s="2271"/>
      <c r="AE66" s="2271"/>
      <c r="AF66" s="2271"/>
    </row>
    <row r="67" spans="1:32" ht="37.5" customHeight="1" x14ac:dyDescent="0.25">
      <c r="A67" s="1833" t="s">
        <v>4116</v>
      </c>
      <c r="B67" s="1833" t="s">
        <v>1181</v>
      </c>
      <c r="C67" s="1833" t="s">
        <v>1181</v>
      </c>
      <c r="D67" s="1833" t="s">
        <v>1181</v>
      </c>
      <c r="E67" s="2283" t="s">
        <v>4062</v>
      </c>
      <c r="F67" s="2283" t="s">
        <v>1187</v>
      </c>
      <c r="G67" s="2283" t="s">
        <v>1187</v>
      </c>
      <c r="H67" s="2283" t="s">
        <v>1187</v>
      </c>
      <c r="I67" s="2283" t="s">
        <v>1187</v>
      </c>
      <c r="J67" s="2283" t="s">
        <v>1187</v>
      </c>
      <c r="K67" s="2283" t="s">
        <v>1187</v>
      </c>
      <c r="L67" s="2283" t="s">
        <v>1187</v>
      </c>
      <c r="M67" s="2283" t="s">
        <v>1187</v>
      </c>
      <c r="N67" s="2283" t="s">
        <v>1187</v>
      </c>
      <c r="O67" s="2283" t="s">
        <v>1187</v>
      </c>
      <c r="P67" s="2283" t="s">
        <v>1187</v>
      </c>
      <c r="Q67" s="3823">
        <v>1.8</v>
      </c>
      <c r="R67" s="3823">
        <v>2.5</v>
      </c>
      <c r="S67" s="3823">
        <v>2.5</v>
      </c>
      <c r="T67" s="3823">
        <v>2.5</v>
      </c>
      <c r="U67" s="3863" t="s">
        <v>3597</v>
      </c>
      <c r="V67" s="3864"/>
      <c r="W67" s="3865"/>
      <c r="X67" s="2271" t="s">
        <v>4063</v>
      </c>
      <c r="Y67" s="2271"/>
      <c r="Z67" s="2271"/>
      <c r="AA67" s="2271"/>
      <c r="AB67" s="2271"/>
      <c r="AC67" s="2271"/>
      <c r="AD67" s="2271"/>
      <c r="AE67" s="2271"/>
      <c r="AF67" s="2271"/>
    </row>
    <row r="68" spans="1:32" ht="40.5" customHeight="1" x14ac:dyDescent="0.25">
      <c r="A68" s="1833" t="s">
        <v>4117</v>
      </c>
      <c r="B68" s="1833" t="s">
        <v>1182</v>
      </c>
      <c r="C68" s="1833" t="s">
        <v>1182</v>
      </c>
      <c r="D68" s="1833" t="s">
        <v>1182</v>
      </c>
      <c r="E68" s="2283" t="s">
        <v>3598</v>
      </c>
      <c r="F68" s="2283" t="s">
        <v>1188</v>
      </c>
      <c r="G68" s="2283" t="s">
        <v>1188</v>
      </c>
      <c r="H68" s="2283" t="s">
        <v>1188</v>
      </c>
      <c r="I68" s="2283" t="s">
        <v>1188</v>
      </c>
      <c r="J68" s="2283" t="s">
        <v>1188</v>
      </c>
      <c r="K68" s="2283" t="s">
        <v>1188</v>
      </c>
      <c r="L68" s="2283" t="s">
        <v>1188</v>
      </c>
      <c r="M68" s="2283" t="s">
        <v>1188</v>
      </c>
      <c r="N68" s="2283" t="s">
        <v>1188</v>
      </c>
      <c r="O68" s="2283" t="s">
        <v>1188</v>
      </c>
      <c r="P68" s="2283" t="s">
        <v>1188</v>
      </c>
      <c r="Q68" s="1833">
        <v>1.5</v>
      </c>
      <c r="R68" s="1833">
        <v>1.5</v>
      </c>
      <c r="S68" s="1833">
        <v>1.5</v>
      </c>
      <c r="T68" s="1833">
        <v>1.5</v>
      </c>
      <c r="U68" s="3863" t="s">
        <v>3597</v>
      </c>
      <c r="V68" s="3864"/>
      <c r="W68" s="3865"/>
      <c r="X68" s="2271" t="s">
        <v>4064</v>
      </c>
      <c r="Y68" s="2271"/>
      <c r="Z68" s="2271"/>
      <c r="AA68" s="2271"/>
      <c r="AB68" s="2271"/>
      <c r="AC68" s="2271"/>
      <c r="AD68" s="2271"/>
      <c r="AE68" s="2271"/>
      <c r="AF68" s="2271"/>
    </row>
    <row r="69" spans="1:32" ht="72.75" customHeight="1" x14ac:dyDescent="0.25">
      <c r="A69" s="1833" t="s">
        <v>3610</v>
      </c>
      <c r="B69" s="1833" t="s">
        <v>1183</v>
      </c>
      <c r="C69" s="1833" t="s">
        <v>1183</v>
      </c>
      <c r="D69" s="1833" t="s">
        <v>1183</v>
      </c>
      <c r="E69" s="2283" t="s">
        <v>3611</v>
      </c>
      <c r="F69" s="2283" t="s">
        <v>1185</v>
      </c>
      <c r="G69" s="2283" t="s">
        <v>1185</v>
      </c>
      <c r="H69" s="2283" t="s">
        <v>1185</v>
      </c>
      <c r="I69" s="2283" t="s">
        <v>1185</v>
      </c>
      <c r="J69" s="2283" t="s">
        <v>1185</v>
      </c>
      <c r="K69" s="2283" t="s">
        <v>1185</v>
      </c>
      <c r="L69" s="2283" t="s">
        <v>1185</v>
      </c>
      <c r="M69" s="2283" t="s">
        <v>1185</v>
      </c>
      <c r="N69" s="2283" t="s">
        <v>1185</v>
      </c>
      <c r="O69" s="2283" t="s">
        <v>1185</v>
      </c>
      <c r="P69" s="2283" t="s">
        <v>1185</v>
      </c>
      <c r="Q69" s="1833">
        <v>7.8</v>
      </c>
      <c r="R69" s="1833">
        <v>7.8</v>
      </c>
      <c r="S69" s="1833">
        <v>7.8</v>
      </c>
      <c r="T69" s="1833">
        <v>7.8</v>
      </c>
      <c r="U69" s="1834" t="s">
        <v>4139</v>
      </c>
      <c r="V69" s="1834"/>
      <c r="W69" s="1834"/>
      <c r="X69" s="2271" t="s">
        <v>4140</v>
      </c>
      <c r="Y69" s="2271" t="s">
        <v>1198</v>
      </c>
      <c r="Z69" s="2271" t="s">
        <v>1198</v>
      </c>
      <c r="AA69" s="2271" t="s">
        <v>1198</v>
      </c>
      <c r="AB69" s="2271" t="s">
        <v>1198</v>
      </c>
      <c r="AC69" s="2271" t="s">
        <v>1198</v>
      </c>
      <c r="AD69" s="2271" t="s">
        <v>1198</v>
      </c>
      <c r="AE69" s="2271" t="s">
        <v>1198</v>
      </c>
      <c r="AF69" s="2271" t="s">
        <v>1198</v>
      </c>
    </row>
    <row r="70" spans="1:32" ht="93.75" customHeight="1" x14ac:dyDescent="0.25">
      <c r="A70" s="1833" t="s">
        <v>1184</v>
      </c>
      <c r="B70" s="1833" t="s">
        <v>1184</v>
      </c>
      <c r="C70" s="1833" t="s">
        <v>1184</v>
      </c>
      <c r="D70" s="1833" t="s">
        <v>1184</v>
      </c>
      <c r="E70" s="2283" t="s">
        <v>3612</v>
      </c>
      <c r="F70" s="2283" t="s">
        <v>1186</v>
      </c>
      <c r="G70" s="2283" t="s">
        <v>1186</v>
      </c>
      <c r="H70" s="2283" t="s">
        <v>1186</v>
      </c>
      <c r="I70" s="2283" t="s">
        <v>1186</v>
      </c>
      <c r="J70" s="2283" t="s">
        <v>1186</v>
      </c>
      <c r="K70" s="2283" t="s">
        <v>1186</v>
      </c>
      <c r="L70" s="2283" t="s">
        <v>1186</v>
      </c>
      <c r="M70" s="2283" t="s">
        <v>1186</v>
      </c>
      <c r="N70" s="2283" t="s">
        <v>1186</v>
      </c>
      <c r="O70" s="2283" t="s">
        <v>1186</v>
      </c>
      <c r="P70" s="2283" t="s">
        <v>1186</v>
      </c>
      <c r="Q70" s="1833">
        <v>0.69</v>
      </c>
      <c r="R70" s="1833">
        <v>0.6</v>
      </c>
      <c r="S70" s="1833">
        <v>0.6</v>
      </c>
      <c r="T70" s="1833">
        <v>0.6</v>
      </c>
      <c r="U70" s="1834" t="s">
        <v>4141</v>
      </c>
      <c r="V70" s="1834"/>
      <c r="W70" s="1834"/>
      <c r="X70" s="2271" t="s">
        <v>4142</v>
      </c>
      <c r="Y70" s="2271"/>
      <c r="Z70" s="2271"/>
      <c r="AA70" s="2271"/>
      <c r="AB70" s="2271"/>
      <c r="AC70" s="2271"/>
      <c r="AD70" s="2271"/>
      <c r="AE70" s="2271"/>
      <c r="AF70" s="2271"/>
    </row>
    <row r="71" spans="1:32" ht="29.25" customHeight="1" x14ac:dyDescent="0.25">
      <c r="A71" s="1833" t="s">
        <v>1189</v>
      </c>
      <c r="B71" s="1833"/>
      <c r="C71" s="1833"/>
      <c r="D71" s="1833"/>
      <c r="E71" s="2283" t="s">
        <v>3606</v>
      </c>
      <c r="F71" s="2283" t="s">
        <v>1190</v>
      </c>
      <c r="G71" s="2283" t="s">
        <v>1190</v>
      </c>
      <c r="H71" s="2283" t="s">
        <v>1190</v>
      </c>
      <c r="I71" s="2283" t="s">
        <v>1190</v>
      </c>
      <c r="J71" s="2283" t="s">
        <v>1190</v>
      </c>
      <c r="K71" s="2283" t="s">
        <v>1190</v>
      </c>
      <c r="L71" s="2283" t="s">
        <v>1190</v>
      </c>
      <c r="M71" s="2283" t="s">
        <v>1190</v>
      </c>
      <c r="N71" s="2283" t="s">
        <v>1190</v>
      </c>
      <c r="O71" s="2283" t="s">
        <v>1190</v>
      </c>
      <c r="P71" s="2283" t="s">
        <v>1190</v>
      </c>
      <c r="Q71" s="2508">
        <v>2.34</v>
      </c>
      <c r="R71" s="2508">
        <v>2.6</v>
      </c>
      <c r="S71" s="2508">
        <v>2.6</v>
      </c>
      <c r="T71" s="2508">
        <v>2.6</v>
      </c>
      <c r="U71" s="1834" t="s">
        <v>3744</v>
      </c>
      <c r="V71" s="1834"/>
      <c r="W71" s="1834"/>
      <c r="X71" s="2271" t="s">
        <v>4118</v>
      </c>
      <c r="Y71" s="2271"/>
      <c r="Z71" s="2271"/>
      <c r="AA71" s="2271"/>
      <c r="AB71" s="2271"/>
      <c r="AC71" s="2271"/>
      <c r="AD71" s="2271"/>
      <c r="AE71" s="2271"/>
      <c r="AF71" s="2271"/>
    </row>
    <row r="72" spans="1:32" ht="38.25" customHeight="1" x14ac:dyDescent="0.25">
      <c r="A72" s="1833"/>
      <c r="B72" s="1833"/>
      <c r="C72" s="1833"/>
      <c r="D72" s="1833"/>
      <c r="E72" s="2283" t="s">
        <v>3607</v>
      </c>
      <c r="F72" s="2283" t="s">
        <v>1190</v>
      </c>
      <c r="G72" s="2283" t="s">
        <v>1190</v>
      </c>
      <c r="H72" s="2283" t="s">
        <v>1190</v>
      </c>
      <c r="I72" s="2283" t="s">
        <v>1190</v>
      </c>
      <c r="J72" s="2283" t="s">
        <v>1190</v>
      </c>
      <c r="K72" s="2283" t="s">
        <v>1190</v>
      </c>
      <c r="L72" s="2283" t="s">
        <v>1190</v>
      </c>
      <c r="M72" s="2283" t="s">
        <v>1190</v>
      </c>
      <c r="N72" s="2283" t="s">
        <v>1190</v>
      </c>
      <c r="O72" s="2283" t="s">
        <v>1190</v>
      </c>
      <c r="P72" s="2283" t="s">
        <v>1190</v>
      </c>
      <c r="Q72" s="2508">
        <v>3.16</v>
      </c>
      <c r="R72" s="2508">
        <v>3.24</v>
      </c>
      <c r="S72" s="2508">
        <v>3.24</v>
      </c>
      <c r="T72" s="2508">
        <v>3.24</v>
      </c>
      <c r="U72" s="1834"/>
      <c r="V72" s="1834"/>
      <c r="W72" s="1834"/>
      <c r="X72" s="2271"/>
      <c r="Y72" s="2271"/>
      <c r="Z72" s="2271"/>
      <c r="AA72" s="2271"/>
      <c r="AB72" s="2271"/>
      <c r="AC72" s="2271"/>
      <c r="AD72" s="2271"/>
      <c r="AE72" s="2271"/>
      <c r="AF72" s="2271"/>
    </row>
    <row r="73" spans="1:32" ht="35.25" customHeight="1" x14ac:dyDescent="0.25">
      <c r="A73" s="1833" t="s">
        <v>3613</v>
      </c>
      <c r="B73" s="1833"/>
      <c r="C73" s="1833"/>
      <c r="D73" s="1833"/>
      <c r="E73" s="2271" t="s">
        <v>3617</v>
      </c>
      <c r="F73" s="2271" t="s">
        <v>1191</v>
      </c>
      <c r="G73" s="2271" t="s">
        <v>1191</v>
      </c>
      <c r="H73" s="2271" t="s">
        <v>1191</v>
      </c>
      <c r="I73" s="2271" t="s">
        <v>1191</v>
      </c>
      <c r="J73" s="2271" t="s">
        <v>1191</v>
      </c>
      <c r="K73" s="2271" t="s">
        <v>1191</v>
      </c>
      <c r="L73" s="2271" t="s">
        <v>1191</v>
      </c>
      <c r="M73" s="2271" t="s">
        <v>1191</v>
      </c>
      <c r="N73" s="2271" t="s">
        <v>1191</v>
      </c>
      <c r="O73" s="2271" t="s">
        <v>1191</v>
      </c>
      <c r="P73" s="2271" t="s">
        <v>1191</v>
      </c>
      <c r="Q73" s="3823">
        <v>1.6</v>
      </c>
      <c r="R73" s="3823">
        <v>1.66</v>
      </c>
      <c r="S73" s="3823">
        <v>1.66</v>
      </c>
      <c r="T73" s="3823">
        <v>1.66</v>
      </c>
      <c r="U73" s="1834" t="s">
        <v>3745</v>
      </c>
      <c r="V73" s="1834"/>
      <c r="W73" s="1834"/>
      <c r="X73" s="2271" t="s">
        <v>4119</v>
      </c>
      <c r="Y73" s="2271"/>
      <c r="Z73" s="2271"/>
      <c r="AA73" s="2271"/>
      <c r="AB73" s="2271"/>
      <c r="AC73" s="2271"/>
      <c r="AD73" s="2271"/>
      <c r="AE73" s="2271"/>
      <c r="AF73" s="2271"/>
    </row>
    <row r="74" spans="1:32" ht="44.25" customHeight="1" x14ac:dyDescent="0.25">
      <c r="A74" s="1833"/>
      <c r="B74" s="1833"/>
      <c r="C74" s="1833"/>
      <c r="D74" s="1833"/>
      <c r="E74" s="2271" t="s">
        <v>3618</v>
      </c>
      <c r="F74" s="2271" t="s">
        <v>1191</v>
      </c>
      <c r="G74" s="2271" t="s">
        <v>1191</v>
      </c>
      <c r="H74" s="2271" t="s">
        <v>1191</v>
      </c>
      <c r="I74" s="2271" t="s">
        <v>1191</v>
      </c>
      <c r="J74" s="2271" t="s">
        <v>1191</v>
      </c>
      <c r="K74" s="2271" t="s">
        <v>1191</v>
      </c>
      <c r="L74" s="2271" t="s">
        <v>1191</v>
      </c>
      <c r="M74" s="2271" t="s">
        <v>1191</v>
      </c>
      <c r="N74" s="2271" t="s">
        <v>1191</v>
      </c>
      <c r="O74" s="2271" t="s">
        <v>1191</v>
      </c>
      <c r="P74" s="2271" t="s">
        <v>1191</v>
      </c>
      <c r="Q74" s="3823">
        <v>2.2000000000000002</v>
      </c>
      <c r="R74" s="3823">
        <v>2.13</v>
      </c>
      <c r="S74" s="3823">
        <v>2.13</v>
      </c>
      <c r="T74" s="3823">
        <v>2.13</v>
      </c>
      <c r="U74" s="1834"/>
      <c r="V74" s="1834"/>
      <c r="W74" s="1834"/>
      <c r="X74" s="2271"/>
      <c r="Y74" s="2271"/>
      <c r="Z74" s="2271"/>
      <c r="AA74" s="2271"/>
      <c r="AB74" s="2271"/>
      <c r="AC74" s="2271"/>
      <c r="AD74" s="2271"/>
      <c r="AE74" s="2271"/>
      <c r="AF74" s="2271"/>
    </row>
    <row r="75" spans="1:32" ht="35.25" customHeight="1" x14ac:dyDescent="0.25">
      <c r="A75" s="1833" t="s">
        <v>1192</v>
      </c>
      <c r="B75" s="1833" t="s">
        <v>1192</v>
      </c>
      <c r="C75" s="1833" t="s">
        <v>1192</v>
      </c>
      <c r="D75" s="1833" t="s">
        <v>1192</v>
      </c>
      <c r="E75" s="2283" t="s">
        <v>3600</v>
      </c>
      <c r="F75" s="2283" t="s">
        <v>1193</v>
      </c>
      <c r="G75" s="2283" t="s">
        <v>1193</v>
      </c>
      <c r="H75" s="2283" t="s">
        <v>1193</v>
      </c>
      <c r="I75" s="2283" t="s">
        <v>1193</v>
      </c>
      <c r="J75" s="2283" t="s">
        <v>1193</v>
      </c>
      <c r="K75" s="2283" t="s">
        <v>1193</v>
      </c>
      <c r="L75" s="2283" t="s">
        <v>1193</v>
      </c>
      <c r="M75" s="2283" t="s">
        <v>1193</v>
      </c>
      <c r="N75" s="2283" t="s">
        <v>1193</v>
      </c>
      <c r="O75" s="2283" t="s">
        <v>1193</v>
      </c>
      <c r="P75" s="2283" t="s">
        <v>1193</v>
      </c>
      <c r="Q75" s="1833">
        <v>8.3000000000000007</v>
      </c>
      <c r="R75" s="1833">
        <v>8.3000000000000007</v>
      </c>
      <c r="S75" s="1833">
        <v>8.3000000000000007</v>
      </c>
      <c r="T75" s="1833">
        <v>8.3000000000000007</v>
      </c>
      <c r="U75" s="1834" t="s">
        <v>3605</v>
      </c>
      <c r="V75" s="1834"/>
      <c r="W75" s="1834"/>
      <c r="X75" s="2271" t="s">
        <v>3619</v>
      </c>
      <c r="Y75" s="2271" t="s">
        <v>1199</v>
      </c>
      <c r="Z75" s="2271" t="s">
        <v>1199</v>
      </c>
      <c r="AA75" s="2271" t="s">
        <v>1199</v>
      </c>
      <c r="AB75" s="2271" t="s">
        <v>1199</v>
      </c>
      <c r="AC75" s="2271" t="s">
        <v>1199</v>
      </c>
      <c r="AD75" s="2271" t="s">
        <v>1199</v>
      </c>
      <c r="AE75" s="2271" t="s">
        <v>1199</v>
      </c>
      <c r="AF75" s="2271" t="s">
        <v>1199</v>
      </c>
    </row>
    <row r="76" spans="1:32" ht="86.25" customHeight="1" x14ac:dyDescent="0.25">
      <c r="A76" s="1833" t="s">
        <v>4153</v>
      </c>
      <c r="B76" s="1833" t="s">
        <v>1194</v>
      </c>
      <c r="C76" s="1833" t="s">
        <v>1194</v>
      </c>
      <c r="D76" s="1833" t="s">
        <v>1194</v>
      </c>
      <c r="E76" s="2283" t="s">
        <v>3601</v>
      </c>
      <c r="F76" s="2283" t="s">
        <v>1209</v>
      </c>
      <c r="G76" s="2283" t="s">
        <v>1209</v>
      </c>
      <c r="H76" s="2283" t="s">
        <v>1209</v>
      </c>
      <c r="I76" s="2283" t="s">
        <v>1209</v>
      </c>
      <c r="J76" s="2283" t="s">
        <v>1209</v>
      </c>
      <c r="K76" s="2283" t="s">
        <v>1209</v>
      </c>
      <c r="L76" s="2283" t="s">
        <v>1209</v>
      </c>
      <c r="M76" s="2283" t="s">
        <v>1209</v>
      </c>
      <c r="N76" s="2283" t="s">
        <v>1209</v>
      </c>
      <c r="O76" s="2283" t="s">
        <v>1209</v>
      </c>
      <c r="P76" s="2283" t="s">
        <v>1209</v>
      </c>
      <c r="Q76" s="1833">
        <v>101</v>
      </c>
      <c r="R76" s="1833">
        <v>101</v>
      </c>
      <c r="S76" s="1833">
        <v>101</v>
      </c>
      <c r="T76" s="1833">
        <v>101</v>
      </c>
      <c r="U76" s="1834" t="s">
        <v>1431</v>
      </c>
      <c r="V76" s="1834"/>
      <c r="W76" s="1834"/>
      <c r="X76" s="2271" t="s">
        <v>2169</v>
      </c>
      <c r="Y76" s="2271" t="s">
        <v>1198</v>
      </c>
      <c r="Z76" s="2271" t="s">
        <v>1198</v>
      </c>
      <c r="AA76" s="2271" t="s">
        <v>1198</v>
      </c>
      <c r="AB76" s="2271" t="s">
        <v>1198</v>
      </c>
      <c r="AC76" s="2271" t="s">
        <v>1198</v>
      </c>
      <c r="AD76" s="2271" t="s">
        <v>1198</v>
      </c>
      <c r="AE76" s="2271" t="s">
        <v>1198</v>
      </c>
      <c r="AF76" s="2271" t="s">
        <v>1198</v>
      </c>
    </row>
    <row r="77" spans="1:32" ht="83.25" customHeight="1" x14ac:dyDescent="0.25">
      <c r="A77" s="1833" t="s">
        <v>4154</v>
      </c>
      <c r="B77" s="1833" t="s">
        <v>1195</v>
      </c>
      <c r="C77" s="1833" t="s">
        <v>1195</v>
      </c>
      <c r="D77" s="1833" t="s">
        <v>1195</v>
      </c>
      <c r="E77" s="2283" t="s">
        <v>3602</v>
      </c>
      <c r="F77" s="2283" t="s">
        <v>1210</v>
      </c>
      <c r="G77" s="2283" t="s">
        <v>1210</v>
      </c>
      <c r="H77" s="2283" t="s">
        <v>1210</v>
      </c>
      <c r="I77" s="2283" t="s">
        <v>1210</v>
      </c>
      <c r="J77" s="2283" t="s">
        <v>1210</v>
      </c>
      <c r="K77" s="2283" t="s">
        <v>1210</v>
      </c>
      <c r="L77" s="2283" t="s">
        <v>1210</v>
      </c>
      <c r="M77" s="2283" t="s">
        <v>1210</v>
      </c>
      <c r="N77" s="2283" t="s">
        <v>1210</v>
      </c>
      <c r="O77" s="2283" t="s">
        <v>1210</v>
      </c>
      <c r="P77" s="2283" t="s">
        <v>1210</v>
      </c>
      <c r="Q77" s="3862">
        <v>75</v>
      </c>
      <c r="R77" s="3862">
        <v>75</v>
      </c>
      <c r="S77" s="3862">
        <v>75</v>
      </c>
      <c r="T77" s="3862">
        <v>75</v>
      </c>
      <c r="U77" s="1834" t="s">
        <v>1431</v>
      </c>
      <c r="V77" s="1834"/>
      <c r="W77" s="1834"/>
      <c r="X77" s="2271" t="s">
        <v>4143</v>
      </c>
      <c r="Y77" s="2271" t="s">
        <v>1200</v>
      </c>
      <c r="Z77" s="2271" t="s">
        <v>1200</v>
      </c>
      <c r="AA77" s="2271" t="s">
        <v>1200</v>
      </c>
      <c r="AB77" s="2271" t="s">
        <v>1200</v>
      </c>
      <c r="AC77" s="2271" t="s">
        <v>1200</v>
      </c>
      <c r="AD77" s="2271" t="s">
        <v>1200</v>
      </c>
      <c r="AE77" s="2271" t="s">
        <v>1200</v>
      </c>
      <c r="AF77" s="2271" t="s">
        <v>1200</v>
      </c>
    </row>
    <row r="78" spans="1:32" ht="60" customHeight="1" x14ac:dyDescent="0.25">
      <c r="A78" s="1833" t="s">
        <v>4066</v>
      </c>
      <c r="B78" s="1833"/>
      <c r="C78" s="1833"/>
      <c r="D78" s="1833"/>
      <c r="E78" s="2271" t="s">
        <v>4144</v>
      </c>
      <c r="F78" s="2271" t="s">
        <v>1196</v>
      </c>
      <c r="G78" s="2271" t="s">
        <v>1196</v>
      </c>
      <c r="H78" s="2271" t="s">
        <v>1196</v>
      </c>
      <c r="I78" s="2271" t="s">
        <v>1196</v>
      </c>
      <c r="J78" s="2271" t="s">
        <v>1196</v>
      </c>
      <c r="K78" s="2271" t="s">
        <v>1196</v>
      </c>
      <c r="L78" s="2271" t="s">
        <v>1196</v>
      </c>
      <c r="M78" s="2271" t="s">
        <v>1196</v>
      </c>
      <c r="N78" s="2271" t="s">
        <v>1196</v>
      </c>
      <c r="O78" s="2271" t="s">
        <v>1196</v>
      </c>
      <c r="P78" s="2271" t="s">
        <v>1196</v>
      </c>
      <c r="Q78" s="1833">
        <v>0.94499999999999995</v>
      </c>
      <c r="R78" s="1833">
        <v>0.98</v>
      </c>
      <c r="S78" s="1833">
        <v>0.98</v>
      </c>
      <c r="T78" s="1833">
        <v>0.98</v>
      </c>
      <c r="U78" s="1834" t="s">
        <v>28</v>
      </c>
      <c r="V78" s="1834"/>
      <c r="W78" s="1834"/>
      <c r="X78" s="2271" t="s">
        <v>4068</v>
      </c>
      <c r="Y78" s="2271" t="s">
        <v>1430</v>
      </c>
      <c r="Z78" s="2271" t="s">
        <v>1430</v>
      </c>
      <c r="AA78" s="2271" t="s">
        <v>1430</v>
      </c>
      <c r="AB78" s="2271" t="s">
        <v>1430</v>
      </c>
      <c r="AC78" s="2271" t="s">
        <v>1430</v>
      </c>
      <c r="AD78" s="2271" t="s">
        <v>1430</v>
      </c>
      <c r="AE78" s="2271" t="s">
        <v>1430</v>
      </c>
      <c r="AF78" s="2271" t="s">
        <v>1430</v>
      </c>
    </row>
    <row r="79" spans="1:32" ht="60" customHeight="1" x14ac:dyDescent="0.25">
      <c r="A79" s="1833"/>
      <c r="B79" s="1833"/>
      <c r="C79" s="1833"/>
      <c r="D79" s="1833"/>
      <c r="E79" s="2271" t="s">
        <v>4145</v>
      </c>
      <c r="F79" s="2271"/>
      <c r="G79" s="2271"/>
      <c r="H79" s="2271"/>
      <c r="I79" s="2271"/>
      <c r="J79" s="2271"/>
      <c r="K79" s="2271"/>
      <c r="L79" s="2271"/>
      <c r="M79" s="2271"/>
      <c r="N79" s="2271"/>
      <c r="O79" s="2271"/>
      <c r="P79" s="2271"/>
      <c r="Q79" s="1833">
        <v>0.97499999999999998</v>
      </c>
      <c r="R79" s="1833"/>
      <c r="S79" s="1833"/>
      <c r="T79" s="1833"/>
      <c r="U79" s="1834" t="s">
        <v>28</v>
      </c>
      <c r="V79" s="1834"/>
      <c r="W79" s="1834"/>
      <c r="X79" s="2271" t="s">
        <v>4070</v>
      </c>
      <c r="Y79" s="2271"/>
      <c r="Z79" s="2271"/>
      <c r="AA79" s="2271"/>
      <c r="AB79" s="2271"/>
      <c r="AC79" s="2271"/>
      <c r="AD79" s="2271"/>
      <c r="AE79" s="2271"/>
      <c r="AF79" s="2271"/>
    </row>
    <row r="80" spans="1:32" ht="82.5" customHeight="1" x14ac:dyDescent="0.25">
      <c r="A80" s="1833"/>
      <c r="B80" s="1833"/>
      <c r="C80" s="1833"/>
      <c r="D80" s="1833"/>
      <c r="E80" s="2271" t="s">
        <v>4071</v>
      </c>
      <c r="F80" s="2271"/>
      <c r="G80" s="2271"/>
      <c r="H80" s="2271"/>
      <c r="I80" s="2271"/>
      <c r="J80" s="2271"/>
      <c r="K80" s="2271"/>
      <c r="L80" s="2271"/>
      <c r="M80" s="2271"/>
      <c r="N80" s="2271"/>
      <c r="O80" s="2271"/>
      <c r="P80" s="2271"/>
      <c r="Q80" s="2435">
        <f>ROUND(AVERAGE(3.25,1.98),1)</f>
        <v>2.6</v>
      </c>
      <c r="R80" s="2436"/>
      <c r="S80" s="2436"/>
      <c r="T80" s="2437"/>
      <c r="U80" s="1834" t="s">
        <v>28</v>
      </c>
      <c r="V80" s="1834"/>
      <c r="W80" s="1834"/>
      <c r="X80" s="2279" t="s">
        <v>4072</v>
      </c>
      <c r="Y80" s="2280"/>
      <c r="Z80" s="2280"/>
      <c r="AA80" s="2280"/>
      <c r="AB80" s="2280"/>
      <c r="AC80" s="2280"/>
      <c r="AD80" s="2280"/>
      <c r="AE80" s="2280"/>
      <c r="AF80" s="2281"/>
    </row>
    <row r="81" spans="1:32" ht="60" customHeight="1" x14ac:dyDescent="0.25">
      <c r="A81" s="1833"/>
      <c r="B81" s="1833"/>
      <c r="C81" s="1833"/>
      <c r="D81" s="1833"/>
      <c r="E81" s="2271" t="s">
        <v>4073</v>
      </c>
      <c r="F81" s="2271"/>
      <c r="G81" s="2271"/>
      <c r="H81" s="2271"/>
      <c r="I81" s="2271"/>
      <c r="J81" s="2271"/>
      <c r="K81" s="2271"/>
      <c r="L81" s="2271"/>
      <c r="M81" s="2271"/>
      <c r="N81" s="2271"/>
      <c r="O81" s="2271"/>
      <c r="P81" s="2271"/>
      <c r="Q81" s="1833">
        <v>6.5</v>
      </c>
      <c r="R81" s="1833">
        <v>1.8</v>
      </c>
      <c r="S81" s="1833">
        <v>1.8</v>
      </c>
      <c r="T81" s="1833">
        <v>1.8</v>
      </c>
      <c r="U81" s="1834" t="s">
        <v>28</v>
      </c>
      <c r="V81" s="1834"/>
      <c r="W81" s="1834"/>
      <c r="X81" s="2271" t="s">
        <v>4074</v>
      </c>
      <c r="Y81" s="2271"/>
      <c r="Z81" s="2271"/>
      <c r="AA81" s="2271"/>
      <c r="AB81" s="2271"/>
      <c r="AC81" s="2271"/>
      <c r="AD81" s="2271"/>
      <c r="AE81" s="2271"/>
      <c r="AF81" s="2271"/>
    </row>
    <row r="82" spans="1:32" ht="29.25" customHeight="1" x14ac:dyDescent="0.25">
      <c r="A82" s="1833" t="s">
        <v>167</v>
      </c>
      <c r="B82" s="1833" t="s">
        <v>1197</v>
      </c>
      <c r="C82" s="1833" t="s">
        <v>1197</v>
      </c>
      <c r="D82" s="1833" t="s">
        <v>1197</v>
      </c>
      <c r="E82" s="2283" t="s">
        <v>3600</v>
      </c>
      <c r="F82" s="2283" t="s">
        <v>1205</v>
      </c>
      <c r="G82" s="2283" t="s">
        <v>1205</v>
      </c>
      <c r="H82" s="2283" t="s">
        <v>1205</v>
      </c>
      <c r="I82" s="2283" t="s">
        <v>1205</v>
      </c>
      <c r="J82" s="2283" t="s">
        <v>1205</v>
      </c>
      <c r="K82" s="2283" t="s">
        <v>1205</v>
      </c>
      <c r="L82" s="2283" t="s">
        <v>1205</v>
      </c>
      <c r="M82" s="2283" t="s">
        <v>1205</v>
      </c>
      <c r="N82" s="2283" t="s">
        <v>1205</v>
      </c>
      <c r="O82" s="2283" t="s">
        <v>1205</v>
      </c>
      <c r="P82" s="2283" t="s">
        <v>1205</v>
      </c>
      <c r="Q82" s="1833">
        <v>365</v>
      </c>
      <c r="R82" s="1833">
        <v>3412</v>
      </c>
      <c r="S82" s="1833">
        <v>3412</v>
      </c>
      <c r="T82" s="1833">
        <v>3412</v>
      </c>
      <c r="U82" s="1834" t="s">
        <v>2787</v>
      </c>
      <c r="V82" s="1834"/>
      <c r="W82" s="1834"/>
      <c r="X82" s="2271"/>
      <c r="Y82" s="2271"/>
      <c r="Z82" s="2271"/>
      <c r="AA82" s="2271"/>
      <c r="AB82" s="2271"/>
      <c r="AC82" s="2271"/>
      <c r="AD82" s="2271"/>
      <c r="AE82" s="2271"/>
      <c r="AF82" s="2271"/>
    </row>
    <row r="83" spans="1:32" ht="33.75" customHeight="1" x14ac:dyDescent="0.25">
      <c r="A83" s="1833" t="s">
        <v>167</v>
      </c>
      <c r="B83" s="1833" t="s">
        <v>1197</v>
      </c>
      <c r="C83" s="1833" t="s">
        <v>1197</v>
      </c>
      <c r="D83" s="1833" t="s">
        <v>1197</v>
      </c>
      <c r="E83" s="2283" t="s">
        <v>3600</v>
      </c>
      <c r="F83" s="2283" t="s">
        <v>1205</v>
      </c>
      <c r="G83" s="2283" t="s">
        <v>1205</v>
      </c>
      <c r="H83" s="2283" t="s">
        <v>1205</v>
      </c>
      <c r="I83" s="2283" t="s">
        <v>1205</v>
      </c>
      <c r="J83" s="2283" t="s">
        <v>1205</v>
      </c>
      <c r="K83" s="2283" t="s">
        <v>1205</v>
      </c>
      <c r="L83" s="2283" t="s">
        <v>1205</v>
      </c>
      <c r="M83" s="2283" t="s">
        <v>1205</v>
      </c>
      <c r="N83" s="2283" t="s">
        <v>1205</v>
      </c>
      <c r="O83" s="2283" t="s">
        <v>1205</v>
      </c>
      <c r="P83" s="2283" t="s">
        <v>1205</v>
      </c>
      <c r="Q83" s="1833">
        <v>3412</v>
      </c>
      <c r="R83" s="1833">
        <v>3412</v>
      </c>
      <c r="S83" s="1833">
        <v>3412</v>
      </c>
      <c r="T83" s="1833">
        <v>3412</v>
      </c>
      <c r="U83" s="1834" t="s">
        <v>1201</v>
      </c>
      <c r="V83" s="1834"/>
      <c r="W83" s="1834"/>
      <c r="X83" s="2271" t="s">
        <v>3619</v>
      </c>
      <c r="Y83" s="2271"/>
      <c r="Z83" s="2271"/>
      <c r="AA83" s="2271"/>
      <c r="AB83" s="2271"/>
      <c r="AC83" s="2271"/>
      <c r="AD83" s="2271"/>
      <c r="AE83" s="2271"/>
      <c r="AF83" s="2271"/>
    </row>
    <row r="84" spans="1:32" ht="45" customHeight="1" x14ac:dyDescent="0.25">
      <c r="A84" s="1833" t="s">
        <v>1760</v>
      </c>
      <c r="B84" s="1833"/>
      <c r="C84" s="1833"/>
      <c r="D84" s="1833"/>
      <c r="E84" s="2271" t="s">
        <v>4075</v>
      </c>
      <c r="F84" s="2271"/>
      <c r="G84" s="2271"/>
      <c r="H84" s="2271"/>
      <c r="I84" s="2271"/>
      <c r="J84" s="2271"/>
      <c r="K84" s="2271"/>
      <c r="L84" s="2271"/>
      <c r="M84" s="2271"/>
      <c r="N84" s="2271"/>
      <c r="O84" s="2271"/>
      <c r="P84" s="2271"/>
      <c r="Q84" s="1833">
        <v>0.93</v>
      </c>
      <c r="R84" s="1833"/>
      <c r="S84" s="1833"/>
      <c r="T84" s="1833"/>
      <c r="U84" s="1874" t="s">
        <v>28</v>
      </c>
      <c r="V84" s="1874"/>
      <c r="W84" s="1874"/>
      <c r="X84" s="2271" t="s">
        <v>4123</v>
      </c>
      <c r="Y84" s="2271"/>
      <c r="Z84" s="2271"/>
      <c r="AA84" s="2271"/>
      <c r="AB84" s="2271"/>
      <c r="AC84" s="2271"/>
      <c r="AD84" s="2271"/>
      <c r="AE84" s="2271"/>
      <c r="AF84" s="2271"/>
    </row>
    <row r="85" spans="1:32" ht="67.5" customHeight="1" x14ac:dyDescent="0.25">
      <c r="A85" s="1833"/>
      <c r="B85" s="1833"/>
      <c r="C85" s="1833"/>
      <c r="D85" s="1833"/>
      <c r="E85" s="2271" t="s">
        <v>4076</v>
      </c>
      <c r="F85" s="2271"/>
      <c r="G85" s="2271"/>
      <c r="H85" s="2271"/>
      <c r="I85" s="2271"/>
      <c r="J85" s="2271"/>
      <c r="K85" s="2271"/>
      <c r="L85" s="2271"/>
      <c r="M85" s="2271"/>
      <c r="N85" s="2271"/>
      <c r="O85" s="2271"/>
      <c r="P85" s="2271"/>
      <c r="Q85" s="3823">
        <v>1</v>
      </c>
      <c r="R85" s="3823"/>
      <c r="S85" s="3823"/>
      <c r="T85" s="3823"/>
      <c r="U85" s="1874" t="s">
        <v>28</v>
      </c>
      <c r="V85" s="1874"/>
      <c r="W85" s="1874"/>
      <c r="X85" s="2271" t="s">
        <v>4077</v>
      </c>
      <c r="Y85" s="2271"/>
      <c r="Z85" s="2271"/>
      <c r="AA85" s="2271"/>
      <c r="AB85" s="2271"/>
      <c r="AC85" s="2271"/>
      <c r="AD85" s="2271"/>
      <c r="AE85" s="2271"/>
      <c r="AF85" s="2271"/>
    </row>
    <row r="86" spans="1:32" ht="39" customHeight="1" x14ac:dyDescent="0.25">
      <c r="A86" s="1833" t="s">
        <v>1828</v>
      </c>
      <c r="B86" s="1833"/>
      <c r="C86" s="1833"/>
      <c r="D86" s="1833"/>
      <c r="E86" s="2283" t="s">
        <v>3458</v>
      </c>
      <c r="F86" s="2283"/>
      <c r="G86" s="2283"/>
      <c r="H86" s="2283"/>
      <c r="I86" s="2283"/>
      <c r="J86" s="2283"/>
      <c r="K86" s="2283"/>
      <c r="L86" s="2283"/>
      <c r="M86" s="2283"/>
      <c r="N86" s="2283"/>
      <c r="O86" s="2283"/>
      <c r="P86" s="2283"/>
      <c r="Q86" s="1814">
        <f>ROUND(Q87/3,0)</f>
        <v>3</v>
      </c>
      <c r="R86" s="1812"/>
      <c r="S86" s="1812"/>
      <c r="T86" s="1813"/>
      <c r="U86" s="1834" t="s">
        <v>46</v>
      </c>
      <c r="V86" s="1834"/>
      <c r="W86" s="1834"/>
      <c r="X86" s="2270" t="s">
        <v>4078</v>
      </c>
      <c r="Y86" s="2271"/>
      <c r="Z86" s="2271"/>
      <c r="AA86" s="2271"/>
      <c r="AB86" s="2271"/>
      <c r="AC86" s="2271"/>
      <c r="AD86" s="2271"/>
      <c r="AE86" s="2271"/>
      <c r="AF86" s="2271"/>
    </row>
    <row r="87" spans="1:32" ht="29.25" customHeight="1" x14ac:dyDescent="0.25">
      <c r="A87" s="1833" t="s">
        <v>2724</v>
      </c>
      <c r="B87" s="1833" t="s">
        <v>34</v>
      </c>
      <c r="C87" s="1833" t="s">
        <v>34</v>
      </c>
      <c r="D87" s="1833" t="s">
        <v>34</v>
      </c>
      <c r="E87" s="2283" t="s">
        <v>2217</v>
      </c>
      <c r="F87" s="2283"/>
      <c r="G87" s="2283"/>
      <c r="H87" s="2283"/>
      <c r="I87" s="2283"/>
      <c r="J87" s="2283"/>
      <c r="K87" s="2283"/>
      <c r="L87" s="2283"/>
      <c r="M87" s="2283"/>
      <c r="N87" s="2283"/>
      <c r="O87" s="2283"/>
      <c r="P87" s="2283"/>
      <c r="Q87" s="1833">
        <v>10</v>
      </c>
      <c r="R87" s="1833">
        <v>5</v>
      </c>
      <c r="S87" s="1833">
        <v>5</v>
      </c>
      <c r="T87" s="1833">
        <v>5</v>
      </c>
      <c r="U87" s="1834" t="s">
        <v>46</v>
      </c>
      <c r="V87" s="1834"/>
      <c r="W87" s="1834"/>
      <c r="X87" s="2271" t="s">
        <v>3456</v>
      </c>
      <c r="Y87" s="2271"/>
      <c r="Z87" s="2271"/>
      <c r="AA87" s="2271"/>
      <c r="AB87" s="2271"/>
      <c r="AC87" s="2271"/>
      <c r="AD87" s="2271"/>
      <c r="AE87" s="2271"/>
      <c r="AF87" s="2271"/>
    </row>
    <row r="88" spans="1:32" ht="30.75" customHeight="1" x14ac:dyDescent="0.25">
      <c r="A88" s="1736" t="s">
        <v>4125</v>
      </c>
      <c r="B88" s="1736"/>
      <c r="C88" s="1736"/>
      <c r="D88" s="1736"/>
      <c r="E88" s="1736"/>
      <c r="F88" s="1736"/>
      <c r="G88" s="1736"/>
      <c r="H88" s="1736"/>
      <c r="I88" s="1736"/>
      <c r="J88" s="1736"/>
      <c r="K88" s="1736"/>
      <c r="L88" s="1736"/>
      <c r="M88" s="1736"/>
      <c r="N88" s="1736"/>
      <c r="O88" s="1736"/>
      <c r="P88" s="1736"/>
      <c r="Q88" s="1736"/>
      <c r="R88" s="1736"/>
      <c r="S88" s="1736"/>
      <c r="T88" s="1736"/>
      <c r="U88" s="1736"/>
      <c r="V88" s="1736"/>
      <c r="W88" s="1736"/>
      <c r="X88" s="1736"/>
      <c r="Y88" s="1736"/>
      <c r="Z88" s="1736"/>
      <c r="AA88" s="1736"/>
      <c r="AB88" s="1736"/>
      <c r="AC88" s="1736"/>
      <c r="AD88" s="1736"/>
      <c r="AE88" s="1736"/>
      <c r="AF88" s="1736"/>
    </row>
    <row r="89" spans="1:32" ht="40.5" customHeight="1" x14ac:dyDescent="0.25">
      <c r="A89" s="1290" t="s">
        <v>4135</v>
      </c>
      <c r="B89" s="1290"/>
      <c r="C89" s="1290"/>
      <c r="D89" s="1290"/>
      <c r="E89" s="1290"/>
      <c r="F89" s="1290"/>
      <c r="G89" s="1290"/>
      <c r="H89" s="1290"/>
      <c r="I89" s="1290"/>
      <c r="J89" s="1290"/>
      <c r="K89" s="1290"/>
      <c r="L89" s="1290"/>
      <c r="M89" s="1290"/>
      <c r="N89" s="1290"/>
      <c r="O89" s="1290"/>
      <c r="P89" s="1290"/>
      <c r="Q89" s="1290"/>
      <c r="R89" s="1290"/>
      <c r="S89" s="1290"/>
      <c r="T89" s="1290"/>
      <c r="U89" s="1290"/>
      <c r="V89" s="1290"/>
      <c r="W89" s="1290"/>
      <c r="X89" s="1290"/>
      <c r="Y89" s="1290"/>
      <c r="Z89" s="1290"/>
      <c r="AA89" s="1290"/>
      <c r="AB89" s="1290"/>
      <c r="AC89" s="1290"/>
      <c r="AD89" s="1290"/>
      <c r="AE89" s="1290"/>
      <c r="AF89" s="1290"/>
    </row>
    <row r="90" spans="1:32" ht="30.75" customHeight="1" x14ac:dyDescent="0.25">
      <c r="A90" s="1290" t="s">
        <v>4155</v>
      </c>
      <c r="B90" s="1290"/>
      <c r="C90" s="1290"/>
      <c r="D90" s="1290"/>
      <c r="E90" s="1290"/>
      <c r="F90" s="1290"/>
      <c r="G90" s="1290"/>
      <c r="H90" s="1290"/>
      <c r="I90" s="1290"/>
      <c r="J90" s="1290"/>
      <c r="K90" s="1290"/>
      <c r="L90" s="1290"/>
      <c r="M90" s="1290"/>
      <c r="N90" s="1290"/>
      <c r="O90" s="1290"/>
      <c r="P90" s="1290"/>
      <c r="Q90" s="1290"/>
      <c r="R90" s="1290"/>
      <c r="S90" s="1290"/>
      <c r="T90" s="1290"/>
      <c r="U90" s="1290"/>
      <c r="V90" s="1290"/>
      <c r="W90" s="1290"/>
      <c r="X90" s="1290"/>
      <c r="Y90" s="1290"/>
      <c r="Z90" s="1290"/>
      <c r="AA90" s="1290"/>
      <c r="AB90" s="1290"/>
      <c r="AC90" s="1290"/>
      <c r="AD90" s="1290"/>
      <c r="AE90" s="1290"/>
      <c r="AF90" s="1290"/>
    </row>
    <row r="91" spans="1:32" x14ac:dyDescent="0.25">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262"/>
    </row>
    <row r="92" spans="1:32" x14ac:dyDescent="0.25">
      <c r="A92" s="338" t="s">
        <v>4079</v>
      </c>
      <c r="B92" s="197"/>
      <c r="C92" s="197"/>
      <c r="D92" s="197"/>
      <c r="E92" s="197"/>
      <c r="F92" s="197"/>
      <c r="G92" s="197"/>
      <c r="H92" s="262"/>
      <c r="I92" s="262"/>
      <c r="J92" s="262"/>
      <c r="K92" s="262"/>
      <c r="L92" s="262"/>
      <c r="M92" s="262"/>
      <c r="N92" s="262"/>
      <c r="O92" s="262"/>
      <c r="P92" s="262"/>
      <c r="Q92" s="262"/>
      <c r="R92" s="262"/>
      <c r="S92" s="262"/>
      <c r="T92" s="262"/>
      <c r="U92" s="262"/>
      <c r="V92" s="262"/>
      <c r="W92" s="262"/>
      <c r="X92" s="262"/>
      <c r="Y92" s="262"/>
      <c r="Z92" s="262"/>
      <c r="AA92" s="262"/>
      <c r="AB92" s="262"/>
      <c r="AC92" s="262"/>
      <c r="AD92" s="262"/>
      <c r="AE92" s="262"/>
      <c r="AF92" s="262"/>
    </row>
    <row r="93" spans="1:32" ht="32.25" customHeight="1" x14ac:dyDescent="0.25">
      <c r="A93" s="1320" t="s">
        <v>4080</v>
      </c>
      <c r="B93" s="1320"/>
      <c r="C93" s="1320"/>
      <c r="D93" s="1320"/>
      <c r="E93" s="1320"/>
      <c r="F93" s="1320"/>
      <c r="G93" s="1320"/>
      <c r="H93" s="1320"/>
      <c r="I93" s="1320"/>
      <c r="J93" s="1320"/>
      <c r="K93" s="3820" t="s">
        <v>4081</v>
      </c>
      <c r="L93" s="3821"/>
      <c r="M93" s="3821"/>
      <c r="N93" s="3822"/>
      <c r="O93" s="3820" t="s">
        <v>4082</v>
      </c>
      <c r="P93" s="3821"/>
      <c r="Q93" s="3821"/>
      <c r="R93" s="3822"/>
      <c r="S93" s="3820" t="s">
        <v>4083</v>
      </c>
      <c r="T93" s="3821"/>
      <c r="U93" s="3821"/>
      <c r="V93" s="3822"/>
      <c r="W93" s="262"/>
      <c r="X93" s="262"/>
      <c r="Y93" s="262"/>
      <c r="Z93" s="262"/>
      <c r="AA93" s="262"/>
      <c r="AB93" s="262"/>
      <c r="AC93" s="262"/>
      <c r="AD93" s="262"/>
      <c r="AE93" s="262"/>
      <c r="AF93" s="262"/>
    </row>
    <row r="94" spans="1:32" x14ac:dyDescent="0.25">
      <c r="A94" s="1283" t="s">
        <v>4084</v>
      </c>
      <c r="B94" s="1283"/>
      <c r="C94" s="1283"/>
      <c r="D94" s="1283"/>
      <c r="E94" s="1283"/>
      <c r="F94" s="1283"/>
      <c r="G94" s="1283"/>
      <c r="H94" s="1283"/>
      <c r="I94" s="1283"/>
      <c r="J94" s="1283"/>
      <c r="K94" s="3807">
        <v>0.43697284075573561</v>
      </c>
      <c r="L94" s="3808"/>
      <c r="M94" s="3808"/>
      <c r="N94" s="3809"/>
      <c r="O94" s="3807">
        <v>0.32106782106782106</v>
      </c>
      <c r="P94" s="3808"/>
      <c r="Q94" s="3808"/>
      <c r="R94" s="3809"/>
      <c r="S94" s="3807">
        <v>0.63745354525794196</v>
      </c>
      <c r="T94" s="3808"/>
      <c r="U94" s="3808"/>
      <c r="V94" s="3809"/>
      <c r="W94" s="262"/>
      <c r="X94" s="262"/>
      <c r="Y94" s="262"/>
      <c r="Z94" s="262"/>
      <c r="AA94" s="262"/>
      <c r="AB94" s="262"/>
      <c r="AC94" s="262"/>
      <c r="AD94" s="262"/>
      <c r="AE94" s="262"/>
      <c r="AF94" s="262"/>
    </row>
    <row r="95" spans="1:32" x14ac:dyDescent="0.25">
      <c r="A95" s="1283" t="s">
        <v>4085</v>
      </c>
      <c r="B95" s="1283"/>
      <c r="C95" s="1283"/>
      <c r="D95" s="1283"/>
      <c r="E95" s="1283"/>
      <c r="F95" s="1283"/>
      <c r="G95" s="1283"/>
      <c r="H95" s="1283"/>
      <c r="I95" s="1283"/>
      <c r="J95" s="1283"/>
      <c r="K95" s="3807">
        <v>4.2193825910931175E-2</v>
      </c>
      <c r="L95" s="3808"/>
      <c r="M95" s="3808"/>
      <c r="N95" s="3809"/>
      <c r="O95" s="3807">
        <v>3.6075036075036072E-2</v>
      </c>
      <c r="P95" s="3808"/>
      <c r="Q95" s="3808"/>
      <c r="R95" s="3809"/>
      <c r="S95" s="3807">
        <v>4.2958825876078695E-2</v>
      </c>
      <c r="T95" s="3808"/>
      <c r="U95" s="3808"/>
      <c r="V95" s="3809"/>
      <c r="W95" s="262"/>
      <c r="X95" s="262"/>
      <c r="Y95" s="262"/>
      <c r="Z95" s="262"/>
      <c r="AA95" s="262"/>
      <c r="AB95" s="262"/>
      <c r="AC95" s="262"/>
      <c r="AD95" s="262"/>
      <c r="AE95" s="262"/>
      <c r="AF95" s="262"/>
    </row>
    <row r="96" spans="1:32" x14ac:dyDescent="0.25">
      <c r="A96" s="1283" t="s">
        <v>647</v>
      </c>
      <c r="B96" s="1283"/>
      <c r="C96" s="1283"/>
      <c r="D96" s="1283"/>
      <c r="E96" s="1283"/>
      <c r="F96" s="1283"/>
      <c r="G96" s="1283"/>
      <c r="H96" s="1283"/>
      <c r="I96" s="1283"/>
      <c r="J96" s="1283"/>
      <c r="K96" s="3807">
        <v>6.25E-2</v>
      </c>
      <c r="L96" s="3808"/>
      <c r="M96" s="3808"/>
      <c r="N96" s="3809"/>
      <c r="O96" s="3807">
        <v>7.1428571428571438E-2</v>
      </c>
      <c r="P96" s="3808"/>
      <c r="Q96" s="3808"/>
      <c r="R96" s="3809"/>
      <c r="S96" s="3807">
        <v>5.1546391752577317E-2</v>
      </c>
      <c r="T96" s="3808"/>
      <c r="U96" s="3808"/>
      <c r="V96" s="3809"/>
      <c r="W96" s="262"/>
      <c r="X96" s="262"/>
      <c r="Y96" s="262"/>
      <c r="Z96" s="262"/>
      <c r="AA96" s="262"/>
      <c r="AB96" s="262"/>
      <c r="AC96" s="262"/>
      <c r="AD96" s="262"/>
      <c r="AE96" s="262"/>
      <c r="AF96" s="262"/>
    </row>
    <row r="97" spans="1:32" x14ac:dyDescent="0.25">
      <c r="A97" s="1283" t="s">
        <v>3603</v>
      </c>
      <c r="B97" s="1283"/>
      <c r="C97" s="1283"/>
      <c r="D97" s="1283"/>
      <c r="E97" s="1283"/>
      <c r="F97" s="1283"/>
      <c r="G97" s="1283"/>
      <c r="H97" s="1283"/>
      <c r="I97" s="1283"/>
      <c r="J97" s="1283"/>
      <c r="K97" s="3807">
        <v>0.27083333333333337</v>
      </c>
      <c r="L97" s="3808"/>
      <c r="M97" s="3808"/>
      <c r="N97" s="3809"/>
      <c r="O97" s="3807">
        <v>0.36734693877551022</v>
      </c>
      <c r="P97" s="3808"/>
      <c r="Q97" s="3808"/>
      <c r="R97" s="3809"/>
      <c r="S97" s="3807">
        <v>9.2783505154639165E-2</v>
      </c>
      <c r="T97" s="3808"/>
      <c r="U97" s="3808"/>
      <c r="V97" s="3809"/>
      <c r="W97" s="262"/>
      <c r="X97" s="262"/>
      <c r="Y97" s="262"/>
      <c r="Z97" s="262"/>
      <c r="AA97" s="262"/>
      <c r="AB97" s="262"/>
      <c r="AC97" s="262"/>
      <c r="AD97" s="262"/>
      <c r="AE97" s="262"/>
      <c r="AF97" s="262"/>
    </row>
    <row r="98" spans="1:32" x14ac:dyDescent="0.25">
      <c r="A98" s="1283" t="s">
        <v>4086</v>
      </c>
      <c r="B98" s="1283"/>
      <c r="C98" s="1283"/>
      <c r="D98" s="1283"/>
      <c r="E98" s="1283"/>
      <c r="F98" s="1283"/>
      <c r="G98" s="1283"/>
      <c r="H98" s="1283"/>
      <c r="I98" s="1283"/>
      <c r="J98" s="1283"/>
      <c r="K98" s="3807">
        <v>0.10416666666666667</v>
      </c>
      <c r="L98" s="3808"/>
      <c r="M98" s="3808"/>
      <c r="N98" s="3809"/>
      <c r="O98" s="3807">
        <v>0.14285714285714288</v>
      </c>
      <c r="P98" s="3808"/>
      <c r="Q98" s="3808"/>
      <c r="R98" s="3809"/>
      <c r="S98" s="3807">
        <v>3.0927835051546389E-2</v>
      </c>
      <c r="T98" s="3808"/>
      <c r="U98" s="3808"/>
      <c r="V98" s="3809"/>
      <c r="W98" s="262"/>
      <c r="X98" s="262"/>
      <c r="Y98" s="262"/>
      <c r="Z98" s="262"/>
      <c r="AA98" s="262"/>
      <c r="AB98" s="262"/>
      <c r="AC98" s="262"/>
      <c r="AD98" s="262"/>
      <c r="AE98" s="262"/>
      <c r="AF98" s="262"/>
    </row>
    <row r="99" spans="1:32" x14ac:dyDescent="0.25">
      <c r="A99" s="1283" t="s">
        <v>56</v>
      </c>
      <c r="B99" s="1283"/>
      <c r="C99" s="1283"/>
      <c r="D99" s="1283"/>
      <c r="E99" s="1283"/>
      <c r="F99" s="1283"/>
      <c r="G99" s="1283"/>
      <c r="H99" s="1283"/>
      <c r="I99" s="1283"/>
      <c r="J99" s="1283"/>
      <c r="K99" s="3807">
        <v>8.3333333333333343E-2</v>
      </c>
      <c r="L99" s="3808"/>
      <c r="M99" s="3808"/>
      <c r="N99" s="3809"/>
      <c r="O99" s="3807">
        <v>6.1224489795918366E-2</v>
      </c>
      <c r="P99" s="3808"/>
      <c r="Q99" s="3808"/>
      <c r="R99" s="3809"/>
      <c r="S99" s="3807">
        <v>0.14432989690721651</v>
      </c>
      <c r="T99" s="3808"/>
      <c r="U99" s="3808"/>
      <c r="V99" s="3809"/>
      <c r="W99" s="673"/>
      <c r="X99" s="673"/>
      <c r="Y99" s="673"/>
      <c r="Z99" s="673"/>
      <c r="AA99" s="673"/>
      <c r="AB99" s="673"/>
      <c r="AC99" s="673"/>
      <c r="AD99" s="673"/>
      <c r="AE99" s="673"/>
      <c r="AF99" s="673"/>
    </row>
    <row r="100" spans="1:32" ht="45" customHeight="1" x14ac:dyDescent="0.25">
      <c r="A100" s="1290" t="s">
        <v>4136</v>
      </c>
      <c r="B100" s="1290"/>
      <c r="C100" s="1290"/>
      <c r="D100" s="1290"/>
      <c r="E100" s="1290"/>
      <c r="F100" s="1290"/>
      <c r="G100" s="1290"/>
      <c r="H100" s="1290"/>
      <c r="I100" s="1290"/>
      <c r="J100" s="1290"/>
      <c r="K100" s="1290"/>
      <c r="L100" s="1290"/>
      <c r="M100" s="1290"/>
      <c r="N100" s="1290"/>
      <c r="O100" s="1290"/>
      <c r="P100" s="1290"/>
      <c r="Q100" s="1290"/>
      <c r="R100" s="1290"/>
      <c r="S100" s="1290"/>
      <c r="T100" s="1290"/>
      <c r="U100" s="1290"/>
      <c r="V100" s="1290"/>
      <c r="W100" s="1290"/>
      <c r="X100" s="1290"/>
      <c r="Y100" s="1290"/>
      <c r="Z100" s="1290"/>
      <c r="AA100" s="1290"/>
      <c r="AB100" s="1290"/>
      <c r="AC100" s="1290"/>
      <c r="AD100" s="1290"/>
      <c r="AE100" s="1290"/>
      <c r="AF100" s="1290"/>
    </row>
    <row r="101" spans="1:32" x14ac:dyDescent="0.25">
      <c r="A101" s="262"/>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F101" s="262"/>
    </row>
    <row r="102" spans="1:32" x14ac:dyDescent="0.25">
      <c r="A102" s="338" t="s">
        <v>4087</v>
      </c>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62"/>
      <c r="AE102" s="262"/>
      <c r="AF102" s="262"/>
    </row>
    <row r="103" spans="1:32" x14ac:dyDescent="0.25">
      <c r="A103" s="1283" t="s">
        <v>4088</v>
      </c>
      <c r="B103" s="1283"/>
      <c r="C103" s="1283"/>
      <c r="D103" s="1283"/>
      <c r="E103" s="1283"/>
      <c r="F103" s="1283"/>
      <c r="G103" s="1283"/>
      <c r="H103" s="1283"/>
      <c r="I103" s="1283"/>
      <c r="J103" s="1283"/>
      <c r="K103" s="3807">
        <v>0.38</v>
      </c>
      <c r="L103" s="3808"/>
      <c r="M103" s="3808"/>
      <c r="N103" s="3809"/>
      <c r="O103" s="262"/>
      <c r="P103" s="262"/>
      <c r="Q103" s="262"/>
      <c r="R103" s="262"/>
      <c r="S103" s="262"/>
      <c r="T103" s="262"/>
      <c r="U103" s="262"/>
      <c r="V103" s="262"/>
      <c r="W103" s="262"/>
      <c r="X103" s="262"/>
      <c r="Y103" s="262"/>
      <c r="Z103" s="262"/>
      <c r="AA103" s="262"/>
      <c r="AB103" s="262"/>
      <c r="AC103" s="262"/>
      <c r="AD103" s="262"/>
      <c r="AE103" s="262"/>
      <c r="AF103" s="262"/>
    </row>
    <row r="104" spans="1:32" x14ac:dyDescent="0.25">
      <c r="A104" s="1283" t="s">
        <v>4082</v>
      </c>
      <c r="B104" s="1283"/>
      <c r="C104" s="1283"/>
      <c r="D104" s="1283"/>
      <c r="E104" s="1283"/>
      <c r="F104" s="1283"/>
      <c r="G104" s="1283"/>
      <c r="H104" s="1283"/>
      <c r="I104" s="1283"/>
      <c r="J104" s="1283"/>
      <c r="K104" s="3807">
        <v>0.62</v>
      </c>
      <c r="L104" s="3808"/>
      <c r="M104" s="3808"/>
      <c r="N104" s="3809"/>
      <c r="O104" s="262"/>
      <c r="P104" s="262"/>
      <c r="Q104" s="262"/>
      <c r="R104" s="262"/>
      <c r="S104" s="262"/>
      <c r="T104" s="262"/>
      <c r="U104" s="262"/>
      <c r="V104" s="262"/>
      <c r="W104" s="262"/>
      <c r="X104" s="262"/>
      <c r="Y104" s="262"/>
      <c r="Z104" s="262"/>
      <c r="AA104" s="262"/>
      <c r="AB104" s="262"/>
      <c r="AC104" s="262"/>
      <c r="AD104" s="262"/>
      <c r="AE104" s="262"/>
      <c r="AF104" s="262"/>
    </row>
    <row r="105" spans="1:32" ht="42.75" customHeight="1" x14ac:dyDescent="0.25">
      <c r="A105" s="1290" t="s">
        <v>4089</v>
      </c>
      <c r="B105" s="1290"/>
      <c r="C105" s="1290"/>
      <c r="D105" s="1290"/>
      <c r="E105" s="1290"/>
      <c r="F105" s="1290"/>
      <c r="G105" s="1290"/>
      <c r="H105" s="1290"/>
      <c r="I105" s="1290"/>
      <c r="J105" s="1290"/>
      <c r="K105" s="1290"/>
      <c r="L105" s="1290"/>
      <c r="M105" s="1290"/>
      <c r="N105" s="1290"/>
      <c r="O105" s="1290"/>
      <c r="P105" s="1290"/>
      <c r="Q105" s="1290"/>
      <c r="R105" s="1290"/>
      <c r="S105" s="1290"/>
      <c r="T105" s="1290"/>
      <c r="U105" s="1290"/>
      <c r="V105" s="1290"/>
      <c r="W105" s="1290"/>
      <c r="X105" s="1290"/>
      <c r="Y105" s="1290"/>
      <c r="Z105" s="1290"/>
      <c r="AA105" s="1290"/>
      <c r="AB105" s="1290"/>
      <c r="AC105" s="1290"/>
      <c r="AD105" s="1290"/>
      <c r="AE105" s="1290"/>
      <c r="AF105" s="1290"/>
    </row>
    <row r="106" spans="1:32" x14ac:dyDescent="0.25">
      <c r="A106" s="654"/>
      <c r="B106" s="654"/>
      <c r="C106" s="654"/>
      <c r="D106" s="654"/>
      <c r="E106" s="654"/>
      <c r="F106" s="654"/>
      <c r="G106" s="654"/>
      <c r="H106" s="654"/>
      <c r="I106" s="654"/>
      <c r="J106" s="654"/>
      <c r="K106" s="654"/>
      <c r="L106" s="654"/>
      <c r="M106" s="654"/>
      <c r="N106" s="654"/>
      <c r="O106" s="654"/>
      <c r="P106" s="654"/>
      <c r="Q106" s="654"/>
      <c r="R106" s="654"/>
      <c r="S106" s="654"/>
      <c r="T106" s="654"/>
      <c r="U106" s="654"/>
      <c r="V106" s="654"/>
      <c r="W106" s="654"/>
      <c r="X106" s="654"/>
      <c r="Y106" s="654"/>
      <c r="Z106" s="654"/>
      <c r="AA106" s="654"/>
      <c r="AB106" s="654"/>
      <c r="AC106" s="654"/>
      <c r="AD106" s="654"/>
      <c r="AE106" s="654"/>
      <c r="AF106" s="654"/>
    </row>
    <row r="107" spans="1:32" x14ac:dyDescent="0.25">
      <c r="A107" s="451"/>
      <c r="B107" s="451"/>
      <c r="C107" s="451"/>
      <c r="D107" s="451"/>
      <c r="E107" s="451"/>
      <c r="F107" s="451"/>
      <c r="G107" s="695"/>
      <c r="H107" s="695"/>
      <c r="I107" s="695"/>
      <c r="J107" s="262"/>
      <c r="K107" s="262"/>
      <c r="L107" s="262"/>
      <c r="M107" s="262"/>
      <c r="N107" s="262"/>
      <c r="O107" s="262"/>
      <c r="P107" s="262"/>
      <c r="Q107" s="262"/>
      <c r="R107" s="262"/>
      <c r="S107" s="262"/>
      <c r="T107" s="262"/>
      <c r="U107" s="262"/>
      <c r="V107" s="262"/>
      <c r="W107" s="262"/>
      <c r="X107" s="262"/>
      <c r="Y107" s="262"/>
      <c r="Z107" s="262"/>
      <c r="AA107" s="262"/>
      <c r="AB107" s="262"/>
      <c r="AC107" s="262"/>
      <c r="AD107" s="262"/>
      <c r="AE107" s="262"/>
      <c r="AF107" s="262"/>
    </row>
    <row r="108" spans="1:32" x14ac:dyDescent="0.25">
      <c r="A108" s="1621" t="s">
        <v>21</v>
      </c>
      <c r="B108" s="1621"/>
      <c r="C108" s="1621"/>
      <c r="D108" s="1621"/>
      <c r="E108" s="1621"/>
      <c r="F108" s="1621"/>
      <c r="G108" s="1621"/>
      <c r="H108" s="1621"/>
      <c r="I108" s="1621"/>
      <c r="J108" s="1621"/>
      <c r="K108" s="1621"/>
      <c r="L108" s="1621"/>
      <c r="M108" s="1621"/>
      <c r="N108" s="1621"/>
      <c r="O108" s="1621"/>
      <c r="P108" s="1621"/>
      <c r="Q108" s="1621"/>
      <c r="R108" s="1621"/>
      <c r="S108" s="1621"/>
      <c r="T108" s="1621"/>
      <c r="U108" s="1621"/>
      <c r="V108" s="1621"/>
      <c r="W108" s="1621"/>
      <c r="X108" s="1621"/>
      <c r="Y108" s="1621"/>
      <c r="Z108" s="1621"/>
      <c r="AA108" s="1621"/>
      <c r="AB108" s="1621"/>
      <c r="AC108" s="1621"/>
      <c r="AD108" s="1621"/>
      <c r="AE108" s="1621"/>
      <c r="AF108" s="1621"/>
    </row>
    <row r="109" spans="1:32" x14ac:dyDescent="0.25">
      <c r="A109" s="227"/>
      <c r="B109" s="227"/>
      <c r="C109" s="227"/>
      <c r="D109" s="227"/>
      <c r="E109" s="227"/>
      <c r="F109" s="227"/>
      <c r="G109" s="227"/>
      <c r="H109" s="227"/>
      <c r="I109" s="227"/>
      <c r="J109" s="227"/>
      <c r="K109" s="227"/>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row>
    <row r="110" spans="1:32" x14ac:dyDescent="0.25">
      <c r="A110" s="227"/>
      <c r="B110" s="414" t="s">
        <v>4146</v>
      </c>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row>
    <row r="111" spans="1:32" x14ac:dyDescent="0.25">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row>
    <row r="112" spans="1:32" ht="15.75" thickBot="1" x14ac:dyDescent="0.3">
      <c r="A112" s="338" t="s">
        <v>4091</v>
      </c>
      <c r="B112" s="696"/>
      <c r="C112" s="227"/>
      <c r="D112" s="227"/>
      <c r="E112" s="227"/>
      <c r="F112" s="227"/>
      <c r="G112" s="227"/>
      <c r="H112" s="227"/>
      <c r="I112" s="227"/>
      <c r="J112" s="227"/>
      <c r="K112" s="697"/>
      <c r="L112" s="227"/>
      <c r="M112" s="227"/>
      <c r="N112" s="227"/>
      <c r="O112" s="227"/>
      <c r="P112" s="227"/>
      <c r="Q112" s="227"/>
      <c r="R112" s="227"/>
      <c r="S112" s="227"/>
      <c r="T112" s="227"/>
      <c r="U112" s="227"/>
      <c r="V112" s="227"/>
      <c r="W112" s="227"/>
      <c r="X112" s="227"/>
      <c r="Y112" s="227"/>
      <c r="Z112" s="227"/>
      <c r="AA112" s="227"/>
      <c r="AB112" s="227"/>
      <c r="AC112" s="227"/>
      <c r="AD112" s="227"/>
      <c r="AE112" s="227"/>
      <c r="AF112" s="227"/>
    </row>
    <row r="113" spans="1:32" x14ac:dyDescent="0.25">
      <c r="A113" s="3478" t="s">
        <v>241</v>
      </c>
      <c r="B113" s="2930"/>
      <c r="C113" s="2930"/>
      <c r="D113" s="2930"/>
      <c r="E113" s="2930"/>
      <c r="F113" s="2930"/>
      <c r="G113" s="2930"/>
      <c r="H113" s="2930"/>
      <c r="I113" s="2930"/>
      <c r="J113" s="2930"/>
      <c r="K113" s="2930"/>
      <c r="L113" s="3829"/>
      <c r="M113" s="2807" t="s">
        <v>4092</v>
      </c>
      <c r="N113" s="2808"/>
      <c r="O113" s="2808"/>
      <c r="P113" s="2808"/>
      <c r="Q113" s="2808"/>
      <c r="R113" s="2808"/>
      <c r="S113" s="2808"/>
      <c r="T113" s="3250"/>
      <c r="U113" s="1879" t="s">
        <v>4093</v>
      </c>
      <c r="V113" s="2808"/>
      <c r="W113" s="2808"/>
      <c r="X113" s="2808"/>
      <c r="Y113" s="2808"/>
      <c r="Z113" s="2808"/>
      <c r="AA113" s="2808"/>
      <c r="AB113" s="3250"/>
      <c r="AC113" s="2807" t="s">
        <v>2583</v>
      </c>
      <c r="AD113" s="2808"/>
      <c r="AE113" s="2808"/>
      <c r="AF113" s="3250"/>
    </row>
    <row r="114" spans="1:32" ht="18.75" thickBot="1" x14ac:dyDescent="0.4">
      <c r="A114" s="3811"/>
      <c r="B114" s="3812"/>
      <c r="C114" s="3812"/>
      <c r="D114" s="3812"/>
      <c r="E114" s="3812"/>
      <c r="F114" s="3812"/>
      <c r="G114" s="3812"/>
      <c r="H114" s="3812"/>
      <c r="I114" s="3812"/>
      <c r="J114" s="3812"/>
      <c r="K114" s="3812"/>
      <c r="L114" s="3830"/>
      <c r="M114" s="3813" t="s">
        <v>4128</v>
      </c>
      <c r="N114" s="3584"/>
      <c r="O114" s="3584"/>
      <c r="P114" s="3814"/>
      <c r="Q114" s="3815" t="s">
        <v>4129</v>
      </c>
      <c r="R114" s="3584"/>
      <c r="S114" s="3584"/>
      <c r="T114" s="3816"/>
      <c r="U114" s="3815" t="s">
        <v>4130</v>
      </c>
      <c r="V114" s="3584"/>
      <c r="W114" s="3584"/>
      <c r="X114" s="3814"/>
      <c r="Y114" s="3815" t="s">
        <v>4131</v>
      </c>
      <c r="Z114" s="3584"/>
      <c r="AA114" s="3584"/>
      <c r="AB114" s="3816"/>
      <c r="AC114" s="3817" t="s">
        <v>4132</v>
      </c>
      <c r="AD114" s="3818"/>
      <c r="AE114" s="3818"/>
      <c r="AF114" s="3819"/>
    </row>
    <row r="115" spans="1:32" ht="15.75" thickBot="1" x14ac:dyDescent="0.3">
      <c r="A115" s="3837" t="s">
        <v>1202</v>
      </c>
      <c r="B115" s="3838"/>
      <c r="C115" s="3838"/>
      <c r="D115" s="3838"/>
      <c r="E115" s="3838"/>
      <c r="F115" s="3839"/>
      <c r="G115" s="3858" t="s">
        <v>1530</v>
      </c>
      <c r="H115" s="3859"/>
      <c r="I115" s="3859"/>
      <c r="J115" s="3859"/>
      <c r="K115" s="3859"/>
      <c r="L115" s="3859"/>
      <c r="M115" s="3843">
        <f t="shared" ref="M115:M122" si="0">ROUND(Q115*$Q$65,3)</f>
        <v>3.5999999999999997E-2</v>
      </c>
      <c r="N115" s="3844"/>
      <c r="O115" s="3844"/>
      <c r="P115" s="3845"/>
      <c r="Q115" s="3846">
        <f>ROUND(($Q$66-$Q$68)*$Q$69*$Q$70*($Q$71/$Q$73)*$Q$75*($Q$76-$Q$77)*$Q$82*$Q$84/$Q$78/$Q$83,2)</f>
        <v>178.82</v>
      </c>
      <c r="R115" s="3847"/>
      <c r="S115" s="3847"/>
      <c r="T115" s="3848"/>
      <c r="U115" s="3843">
        <f t="shared" ref="U115:U122" si="1">ROUND(Y115*$Q$65,3)</f>
        <v>1.0999999999999999E-2</v>
      </c>
      <c r="V115" s="3844"/>
      <c r="W115" s="3844"/>
      <c r="X115" s="3845"/>
      <c r="Y115" s="3846">
        <f>ROUND(($Q$67-$Q$68)*$Q$69*$Q$70*($Q$71/$Q$73)*$Q$75*($Q$76-$Q$77)*$Q$82*$Q$84/$Q$78/$Q$83,2)</f>
        <v>53.65</v>
      </c>
      <c r="Z115" s="3847"/>
      <c r="AA115" s="3847"/>
      <c r="AB115" s="3848"/>
      <c r="AC115" s="3735">
        <f t="shared" ref="AC115:AC122" si="2">ROUND(Q115*$Q$86+Y115*($Q$87-$Q$86),2)</f>
        <v>912.01</v>
      </c>
      <c r="AD115" s="3735"/>
      <c r="AE115" s="3735"/>
      <c r="AF115" s="3736"/>
    </row>
    <row r="116" spans="1:32" ht="15.75" thickBot="1" x14ac:dyDescent="0.3">
      <c r="A116" s="3837"/>
      <c r="B116" s="3838"/>
      <c r="C116" s="3838"/>
      <c r="D116" s="3838"/>
      <c r="E116" s="3838"/>
      <c r="F116" s="3839"/>
      <c r="G116" s="3860" t="s">
        <v>3604</v>
      </c>
      <c r="H116" s="3861"/>
      <c r="I116" s="3861"/>
      <c r="J116" s="3861"/>
      <c r="K116" s="3861"/>
      <c r="L116" s="3861"/>
      <c r="M116" s="3850">
        <f t="shared" si="0"/>
        <v>3.5000000000000003E-2</v>
      </c>
      <c r="N116" s="3851"/>
      <c r="O116" s="3851"/>
      <c r="P116" s="3852"/>
      <c r="Q116" s="3853">
        <f>ROUND(($Q$66-$Q$68)*$Q$69*$Q$70*($Q$72/$Q$74)*$Q$75*($Q$76-$Q$77)*$Q$82*$Q$84/$Q$78/$Q$83,2)</f>
        <v>175.63</v>
      </c>
      <c r="R116" s="3854"/>
      <c r="S116" s="3854"/>
      <c r="T116" s="3855"/>
      <c r="U116" s="3850">
        <f t="shared" si="1"/>
        <v>1.0999999999999999E-2</v>
      </c>
      <c r="V116" s="3851"/>
      <c r="W116" s="3851"/>
      <c r="X116" s="3852"/>
      <c r="Y116" s="3853">
        <f>ROUND(($Q$67-$Q$68)*$Q$69*$Q$70*($Q$72/$Q$74)*$Q$75*($Q$76-$Q$77)*$Q$82*$Q$84/$Q$78/$Q$83,2)</f>
        <v>52.69</v>
      </c>
      <c r="Z116" s="3854"/>
      <c r="AA116" s="3854"/>
      <c r="AB116" s="3855"/>
      <c r="AC116" s="3856">
        <f t="shared" si="2"/>
        <v>895.72</v>
      </c>
      <c r="AD116" s="3856"/>
      <c r="AE116" s="3856"/>
      <c r="AF116" s="3857"/>
    </row>
    <row r="117" spans="1:32" ht="15.75" thickBot="1" x14ac:dyDescent="0.3">
      <c r="A117" s="3837" t="s">
        <v>4094</v>
      </c>
      <c r="B117" s="3838"/>
      <c r="C117" s="3838"/>
      <c r="D117" s="3838"/>
      <c r="E117" s="3838"/>
      <c r="F117" s="3839"/>
      <c r="G117" s="3840" t="s">
        <v>1530</v>
      </c>
      <c r="H117" s="3841"/>
      <c r="I117" s="3841"/>
      <c r="J117" s="3841"/>
      <c r="K117" s="3841"/>
      <c r="L117" s="3842"/>
      <c r="M117" s="3843">
        <f t="shared" si="0"/>
        <v>3.5000000000000003E-2</v>
      </c>
      <c r="N117" s="3844"/>
      <c r="O117" s="3844"/>
      <c r="P117" s="3845"/>
      <c r="Q117" s="3846">
        <f>ROUND(($Q$66-$Q$68)*$Q$69*$Q$70*($Q$71/$Q$73)*$Q$75*($Q$76-$Q$77)*$Q$82*$Q$84/$Q$79/$Q$83,2)</f>
        <v>173.32</v>
      </c>
      <c r="R117" s="3847"/>
      <c r="S117" s="3847"/>
      <c r="T117" s="3848"/>
      <c r="U117" s="3843">
        <f t="shared" si="1"/>
        <v>0.01</v>
      </c>
      <c r="V117" s="3844"/>
      <c r="W117" s="3844"/>
      <c r="X117" s="3845"/>
      <c r="Y117" s="3846">
        <f>ROUND(($Q$67-$Q$68)*$Q$69*$Q$70*($Q$71/$Q$73)*$Q$75*($Q$76-$Q$77)*$Q$82*$Q$84/$Q$79/$Q$83,2)</f>
        <v>52</v>
      </c>
      <c r="Z117" s="3847"/>
      <c r="AA117" s="3847"/>
      <c r="AB117" s="3848"/>
      <c r="AC117" s="3735">
        <f t="shared" si="2"/>
        <v>883.96</v>
      </c>
      <c r="AD117" s="3735"/>
      <c r="AE117" s="3735"/>
      <c r="AF117" s="3736"/>
    </row>
    <row r="118" spans="1:32" ht="15.75" thickBot="1" x14ac:dyDescent="0.3">
      <c r="A118" s="3837"/>
      <c r="B118" s="3838"/>
      <c r="C118" s="3838"/>
      <c r="D118" s="3838"/>
      <c r="E118" s="3838"/>
      <c r="F118" s="3839"/>
      <c r="G118" s="3739" t="s">
        <v>3604</v>
      </c>
      <c r="H118" s="3796"/>
      <c r="I118" s="3796"/>
      <c r="J118" s="3796"/>
      <c r="K118" s="3796"/>
      <c r="L118" s="3849"/>
      <c r="M118" s="3850">
        <f t="shared" si="0"/>
        <v>3.4000000000000002E-2</v>
      </c>
      <c r="N118" s="3851"/>
      <c r="O118" s="3851"/>
      <c r="P118" s="3852"/>
      <c r="Q118" s="3853">
        <f>ROUND(($Q$66-$Q$68)*$Q$69*$Q$70*($Q$72/$Q$74)*$Q$75*($Q$76-$Q$77)*$Q$82*$Q$84/$Q$79/$Q$83,2)</f>
        <v>170.22</v>
      </c>
      <c r="R118" s="3854"/>
      <c r="S118" s="3854"/>
      <c r="T118" s="3855"/>
      <c r="U118" s="3850">
        <f t="shared" si="1"/>
        <v>0.01</v>
      </c>
      <c r="V118" s="3851"/>
      <c r="W118" s="3851"/>
      <c r="X118" s="3852"/>
      <c r="Y118" s="3853">
        <f>ROUND(($Q$67-$Q$68)*$Q$69*$Q$70*($Q$72/$Q$74)*$Q$75*($Q$76-$Q$77)*$Q$82*$Q$84/$Q$79/$Q$83,2)</f>
        <v>51.07</v>
      </c>
      <c r="Z118" s="3854"/>
      <c r="AA118" s="3854"/>
      <c r="AB118" s="3855"/>
      <c r="AC118" s="3856">
        <f t="shared" si="2"/>
        <v>868.15</v>
      </c>
      <c r="AD118" s="3856"/>
      <c r="AE118" s="3856"/>
      <c r="AF118" s="3857"/>
    </row>
    <row r="119" spans="1:32" ht="15.75" thickBot="1" x14ac:dyDescent="0.3">
      <c r="A119" s="3837" t="s">
        <v>1203</v>
      </c>
      <c r="B119" s="3838"/>
      <c r="C119" s="3838"/>
      <c r="D119" s="3838"/>
      <c r="E119" s="3838"/>
      <c r="F119" s="3839"/>
      <c r="G119" s="3840" t="s">
        <v>1530</v>
      </c>
      <c r="H119" s="3841"/>
      <c r="I119" s="3841"/>
      <c r="J119" s="3841"/>
      <c r="K119" s="3841"/>
      <c r="L119" s="3842"/>
      <c r="M119" s="3843">
        <f t="shared" si="0"/>
        <v>1.2999999999999999E-2</v>
      </c>
      <c r="N119" s="3844"/>
      <c r="O119" s="3844"/>
      <c r="P119" s="3845"/>
      <c r="Q119" s="3846">
        <f>ROUND(($Q$66-$Q$68)*$Q$69*$Q$70*($Q$71/$Q$73)*$Q$75*($Q$76-$Q$77)*$Q$82*$Q$84/$Q$80/$Q$83,2)</f>
        <v>65</v>
      </c>
      <c r="R119" s="3847"/>
      <c r="S119" s="3847"/>
      <c r="T119" s="3848"/>
      <c r="U119" s="3843">
        <f t="shared" si="1"/>
        <v>4.0000000000000001E-3</v>
      </c>
      <c r="V119" s="3844"/>
      <c r="W119" s="3844"/>
      <c r="X119" s="3845"/>
      <c r="Y119" s="3846">
        <f>ROUND(($Q$67-$Q$68)*$Q$69*$Q$70*($Q$71/$Q$73)*$Q$75*($Q$76-$Q$77)*$Q$82*$Q$84/$Q$80/$Q$83,2)</f>
        <v>19.5</v>
      </c>
      <c r="Z119" s="3847"/>
      <c r="AA119" s="3847"/>
      <c r="AB119" s="3848"/>
      <c r="AC119" s="3735">
        <f t="shared" si="2"/>
        <v>331.5</v>
      </c>
      <c r="AD119" s="3735"/>
      <c r="AE119" s="3735"/>
      <c r="AF119" s="3736"/>
    </row>
    <row r="120" spans="1:32" ht="15.75" thickBot="1" x14ac:dyDescent="0.3">
      <c r="A120" s="3837"/>
      <c r="B120" s="3838"/>
      <c r="C120" s="3838"/>
      <c r="D120" s="3838"/>
      <c r="E120" s="3838"/>
      <c r="F120" s="3839"/>
      <c r="G120" s="3739" t="s">
        <v>3604</v>
      </c>
      <c r="H120" s="3796"/>
      <c r="I120" s="3796"/>
      <c r="J120" s="3796"/>
      <c r="K120" s="3796"/>
      <c r="L120" s="3849"/>
      <c r="M120" s="3850">
        <f t="shared" si="0"/>
        <v>1.2999999999999999E-2</v>
      </c>
      <c r="N120" s="3851"/>
      <c r="O120" s="3851"/>
      <c r="P120" s="3852"/>
      <c r="Q120" s="3853">
        <f>ROUND(($Q$66-$Q$68)*$Q$69*$Q$70*($Q$72/$Q$74)*$Q$75*($Q$76-$Q$77)*$Q$82*$Q$84/$Q$80/$Q$83,2)</f>
        <v>63.83</v>
      </c>
      <c r="R120" s="3854"/>
      <c r="S120" s="3854"/>
      <c r="T120" s="3855"/>
      <c r="U120" s="3850">
        <f t="shared" si="1"/>
        <v>4.0000000000000001E-3</v>
      </c>
      <c r="V120" s="3851"/>
      <c r="W120" s="3851"/>
      <c r="X120" s="3852"/>
      <c r="Y120" s="3853">
        <f>ROUND(($Q$67-$Q$68)*$Q$69*$Q$70*($Q$72/$Q$74)*$Q$75*($Q$76-$Q$77)*$Q$82*$Q$84/$Q$80/$Q$83,2)</f>
        <v>19.149999999999999</v>
      </c>
      <c r="Z120" s="3854"/>
      <c r="AA120" s="3854"/>
      <c r="AB120" s="3855"/>
      <c r="AC120" s="3856">
        <f t="shared" si="2"/>
        <v>325.54000000000002</v>
      </c>
      <c r="AD120" s="3856"/>
      <c r="AE120" s="3856"/>
      <c r="AF120" s="3857"/>
    </row>
    <row r="121" spans="1:32" ht="15.75" thickBot="1" x14ac:dyDescent="0.3">
      <c r="A121" s="3837" t="s">
        <v>1204</v>
      </c>
      <c r="B121" s="3838"/>
      <c r="C121" s="3838"/>
      <c r="D121" s="3838"/>
      <c r="E121" s="3838"/>
      <c r="F121" s="3839"/>
      <c r="G121" s="3840" t="s">
        <v>1530</v>
      </c>
      <c r="H121" s="3841"/>
      <c r="I121" s="3841"/>
      <c r="J121" s="3841"/>
      <c r="K121" s="3841"/>
      <c r="L121" s="3842"/>
      <c r="M121" s="3843">
        <f t="shared" si="0"/>
        <v>5.0000000000000001E-3</v>
      </c>
      <c r="N121" s="3844"/>
      <c r="O121" s="3844"/>
      <c r="P121" s="3845"/>
      <c r="Q121" s="3846">
        <f>ROUND(($Q$66-$Q$68)*$Q$69*$Q$70*($Q$71/$Q$73)*$Q$75*($Q$76-$Q$77)*$Q$82*$Q$84/$Q$81/$Q$83,2)</f>
        <v>26</v>
      </c>
      <c r="R121" s="3847"/>
      <c r="S121" s="3847"/>
      <c r="T121" s="3848"/>
      <c r="U121" s="3843">
        <f t="shared" si="1"/>
        <v>2E-3</v>
      </c>
      <c r="V121" s="3844"/>
      <c r="W121" s="3844"/>
      <c r="X121" s="3845"/>
      <c r="Y121" s="3846">
        <f>ROUND(($Q$67-$Q$68)*$Q$69*$Q$70*($Q$71/$Q$73)*$Q$75*($Q$76-$Q$77)*$Q$82*$Q$84/$Q$81/$Q$83,2)</f>
        <v>7.8</v>
      </c>
      <c r="Z121" s="3847"/>
      <c r="AA121" s="3847"/>
      <c r="AB121" s="3848"/>
      <c r="AC121" s="3735">
        <f t="shared" si="2"/>
        <v>132.6</v>
      </c>
      <c r="AD121" s="3735"/>
      <c r="AE121" s="3735"/>
      <c r="AF121" s="3736"/>
    </row>
    <row r="122" spans="1:32" ht="15.75" thickBot="1" x14ac:dyDescent="0.3">
      <c r="A122" s="3837"/>
      <c r="B122" s="3838"/>
      <c r="C122" s="3838"/>
      <c r="D122" s="3838"/>
      <c r="E122" s="3838"/>
      <c r="F122" s="3839"/>
      <c r="G122" s="3739" t="s">
        <v>3604</v>
      </c>
      <c r="H122" s="3796"/>
      <c r="I122" s="3796"/>
      <c r="J122" s="3796"/>
      <c r="K122" s="3796"/>
      <c r="L122" s="3849"/>
      <c r="M122" s="3850">
        <f t="shared" si="0"/>
        <v>5.0000000000000001E-3</v>
      </c>
      <c r="N122" s="3851"/>
      <c r="O122" s="3851"/>
      <c r="P122" s="3852"/>
      <c r="Q122" s="3853">
        <f>ROUND(($Q$66-$Q$68)*$Q$69*$Q$70*($Q$72/$Q$74)*$Q$75*($Q$76-$Q$77)*$Q$82*$Q$84/$Q$81/$Q$83,2)</f>
        <v>25.53</v>
      </c>
      <c r="R122" s="3854"/>
      <c r="S122" s="3854"/>
      <c r="T122" s="3855"/>
      <c r="U122" s="3850">
        <f t="shared" si="1"/>
        <v>2E-3</v>
      </c>
      <c r="V122" s="3851"/>
      <c r="W122" s="3851"/>
      <c r="X122" s="3852"/>
      <c r="Y122" s="3853">
        <f>ROUND(($Q$67-$Q$68)*$Q$69*$Q$70*($Q$72/$Q$74)*$Q$75*($Q$76-$Q$77)*$Q$82*$Q$84/$Q$81/$Q$83,2)</f>
        <v>7.66</v>
      </c>
      <c r="Z122" s="3854"/>
      <c r="AA122" s="3854"/>
      <c r="AB122" s="3855"/>
      <c r="AC122" s="3856">
        <f t="shared" si="2"/>
        <v>130.21</v>
      </c>
      <c r="AD122" s="3856"/>
      <c r="AE122" s="3856"/>
      <c r="AF122" s="3857"/>
    </row>
    <row r="123" spans="1:32" x14ac:dyDescent="0.25">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c r="AA123" s="227"/>
      <c r="AB123" s="227"/>
      <c r="AC123" s="227"/>
      <c r="AD123" s="227"/>
      <c r="AE123" s="227"/>
      <c r="AF123" s="227"/>
    </row>
    <row r="124" spans="1:32" x14ac:dyDescent="0.25">
      <c r="A124" s="227"/>
      <c r="B124" s="642" t="s">
        <v>4095</v>
      </c>
      <c r="C124" s="227"/>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c r="AC124" s="227"/>
      <c r="AD124" s="227"/>
      <c r="AE124" s="227"/>
      <c r="AF124" s="227"/>
    </row>
    <row r="125" spans="1:32"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7"/>
      <c r="AE125" s="227"/>
      <c r="AF125" s="227"/>
    </row>
    <row r="126" spans="1:32" ht="15.75" thickBot="1" x14ac:dyDescent="0.3">
      <c r="A126" s="423" t="s">
        <v>4096</v>
      </c>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row>
    <row r="127" spans="1:32" x14ac:dyDescent="0.25">
      <c r="A127" s="3478" t="s">
        <v>241</v>
      </c>
      <c r="B127" s="2930"/>
      <c r="C127" s="2930"/>
      <c r="D127" s="2930"/>
      <c r="E127" s="2930"/>
      <c r="F127" s="3829"/>
      <c r="G127" s="3755" t="s">
        <v>1964</v>
      </c>
      <c r="H127" s="3755"/>
      <c r="I127" s="3755"/>
      <c r="J127" s="3755"/>
      <c r="K127" s="3755"/>
      <c r="L127" s="3755"/>
      <c r="M127" s="3755"/>
      <c r="N127" s="3755"/>
      <c r="O127" s="3755" t="s">
        <v>1965</v>
      </c>
      <c r="P127" s="3755"/>
      <c r="Q127" s="3755"/>
      <c r="R127" s="3755"/>
      <c r="S127" s="3755"/>
      <c r="T127" s="3755"/>
      <c r="U127" s="227"/>
      <c r="V127" s="227"/>
      <c r="W127" s="227"/>
      <c r="X127" s="227"/>
      <c r="Y127" s="227"/>
      <c r="Z127" s="227"/>
      <c r="AA127" s="227"/>
      <c r="AB127" s="227"/>
      <c r="AC127" s="227"/>
      <c r="AD127" s="227"/>
      <c r="AE127" s="227"/>
      <c r="AF127" s="227"/>
    </row>
    <row r="128" spans="1:32" ht="18.75" thickBot="1" x14ac:dyDescent="0.4">
      <c r="A128" s="3811"/>
      <c r="B128" s="3812"/>
      <c r="C128" s="3812"/>
      <c r="D128" s="3812"/>
      <c r="E128" s="3812"/>
      <c r="F128" s="3830"/>
      <c r="G128" s="3756" t="s">
        <v>4128</v>
      </c>
      <c r="H128" s="3756"/>
      <c r="I128" s="3756"/>
      <c r="J128" s="3756"/>
      <c r="K128" s="3756" t="s">
        <v>4129</v>
      </c>
      <c r="L128" s="3756"/>
      <c r="M128" s="3756"/>
      <c r="N128" s="3756"/>
      <c r="O128" s="3757" t="s">
        <v>4133</v>
      </c>
      <c r="P128" s="3757"/>
      <c r="Q128" s="3757"/>
      <c r="R128" s="3757"/>
      <c r="S128" s="3757"/>
      <c r="T128" s="3757"/>
      <c r="U128" s="227"/>
      <c r="V128" s="227"/>
      <c r="W128" s="227"/>
      <c r="X128" s="227"/>
      <c r="Y128" s="227"/>
      <c r="Z128" s="227"/>
      <c r="AA128" s="227"/>
      <c r="AB128" s="227"/>
      <c r="AC128" s="227"/>
      <c r="AD128" s="227"/>
      <c r="AE128" s="227"/>
      <c r="AF128" s="227"/>
    </row>
    <row r="129" spans="1:32" ht="15.75" thickBot="1" x14ac:dyDescent="0.3">
      <c r="A129" s="3831" t="s">
        <v>3614</v>
      </c>
      <c r="B129" s="3831"/>
      <c r="C129" s="3831"/>
      <c r="D129" s="3831"/>
      <c r="E129" s="3831"/>
      <c r="F129" s="3831"/>
      <c r="G129" s="3832">
        <f>ROUND(K129*$Q$65,3)</f>
        <v>1.9E-2</v>
      </c>
      <c r="H129" s="3833"/>
      <c r="I129" s="3833"/>
      <c r="J129" s="3834"/>
      <c r="K129" s="3835">
        <f>ROUND((Q115*$K$94+Q117*$K$95+Q119*$K$96+Q121*$K$97)*$K$103+(Q116*$K$94+Q118*$K$95+Q120*$K$96+Q122*$K$97)*$K$104,3)</f>
        <v>95.486999999999995</v>
      </c>
      <c r="L129" s="3835"/>
      <c r="M129" s="3835"/>
      <c r="N129" s="3835"/>
      <c r="O129" s="3836">
        <f>ROUND(K129*$Q$87,2)</f>
        <v>954.87</v>
      </c>
      <c r="P129" s="3836"/>
      <c r="Q129" s="3836"/>
      <c r="R129" s="3836"/>
      <c r="S129" s="3836"/>
      <c r="T129" s="3836"/>
      <c r="U129" s="227"/>
      <c r="V129" s="227"/>
      <c r="W129" s="227"/>
      <c r="X129" s="227"/>
      <c r="Y129" s="227"/>
      <c r="Z129" s="227"/>
      <c r="AA129" s="227"/>
      <c r="AB129" s="227"/>
      <c r="AC129" s="227"/>
      <c r="AD129" s="227"/>
      <c r="AE129" s="227"/>
      <c r="AF129" s="227"/>
    </row>
    <row r="130" spans="1:32" x14ac:dyDescent="0.25">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c r="AA130" s="227"/>
      <c r="AB130" s="227"/>
      <c r="AC130" s="227"/>
      <c r="AD130" s="227"/>
      <c r="AE130" s="227"/>
      <c r="AF130" s="227"/>
    </row>
    <row r="131" spans="1:32" x14ac:dyDescent="0.25">
      <c r="A131" s="227"/>
      <c r="B131" s="642" t="s">
        <v>4147</v>
      </c>
      <c r="C131" s="227"/>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c r="AA131" s="227"/>
      <c r="AB131" s="227"/>
      <c r="AC131" s="227"/>
      <c r="AD131" s="227"/>
      <c r="AE131" s="227"/>
      <c r="AF131" s="227"/>
    </row>
    <row r="132" spans="1:32" x14ac:dyDescent="0.25">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c r="AA132" s="227"/>
      <c r="AB132" s="227"/>
      <c r="AC132" s="227"/>
      <c r="AD132" s="227"/>
      <c r="AE132" s="227"/>
      <c r="AF132" s="227"/>
    </row>
    <row r="133" spans="1:32" ht="15.75" thickBot="1" x14ac:dyDescent="0.3">
      <c r="A133" s="423" t="s">
        <v>4148</v>
      </c>
      <c r="B133" s="227"/>
      <c r="C133" s="227"/>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c r="AA133" s="227"/>
      <c r="AB133" s="227"/>
      <c r="AC133" s="227"/>
      <c r="AD133" s="227"/>
      <c r="AE133" s="227"/>
      <c r="AF133" s="227"/>
    </row>
    <row r="134" spans="1:32" x14ac:dyDescent="0.25">
      <c r="A134" s="3478" t="s">
        <v>241</v>
      </c>
      <c r="B134" s="2930"/>
      <c r="C134" s="2930"/>
      <c r="D134" s="2930"/>
      <c r="E134" s="2930"/>
      <c r="F134" s="3829"/>
      <c r="G134" s="3755" t="s">
        <v>1964</v>
      </c>
      <c r="H134" s="3755"/>
      <c r="I134" s="3755"/>
      <c r="J134" s="3755"/>
      <c r="K134" s="3755"/>
      <c r="L134" s="3755"/>
      <c r="M134" s="3755"/>
      <c r="N134" s="3755"/>
      <c r="O134" s="3755" t="s">
        <v>1965</v>
      </c>
      <c r="P134" s="3755"/>
      <c r="Q134" s="3755"/>
      <c r="R134" s="3755"/>
      <c r="S134" s="3755"/>
      <c r="T134" s="3755"/>
      <c r="U134" s="227"/>
      <c r="V134" s="227"/>
      <c r="W134" s="227"/>
      <c r="X134" s="227"/>
      <c r="Y134" s="227"/>
      <c r="Z134" s="227"/>
      <c r="AA134" s="227"/>
      <c r="AB134" s="227"/>
      <c r="AC134" s="227"/>
      <c r="AD134" s="227"/>
      <c r="AE134" s="227"/>
      <c r="AF134" s="227"/>
    </row>
    <row r="135" spans="1:32" ht="18.75" thickBot="1" x14ac:dyDescent="0.4">
      <c r="A135" s="3811"/>
      <c r="B135" s="3812"/>
      <c r="C135" s="3812"/>
      <c r="D135" s="3812"/>
      <c r="E135" s="3812"/>
      <c r="F135" s="3830"/>
      <c r="G135" s="3756" t="s">
        <v>4130</v>
      </c>
      <c r="H135" s="3756"/>
      <c r="I135" s="3756"/>
      <c r="J135" s="3756"/>
      <c r="K135" s="3756" t="s">
        <v>4131</v>
      </c>
      <c r="L135" s="3756"/>
      <c r="M135" s="3756"/>
      <c r="N135" s="3756"/>
      <c r="O135" s="3757" t="s">
        <v>4134</v>
      </c>
      <c r="P135" s="3757"/>
      <c r="Q135" s="3757"/>
      <c r="R135" s="3757"/>
      <c r="S135" s="3757"/>
      <c r="T135" s="3757"/>
      <c r="U135" s="227"/>
      <c r="V135" s="227"/>
      <c r="W135" s="227"/>
      <c r="X135" s="227"/>
      <c r="Y135" s="227"/>
      <c r="Z135" s="227"/>
      <c r="AA135" s="227"/>
      <c r="AB135" s="227"/>
      <c r="AC135" s="227"/>
      <c r="AD135" s="227"/>
      <c r="AE135" s="227"/>
      <c r="AF135" s="227"/>
    </row>
    <row r="136" spans="1:32" ht="15.75" thickBot="1" x14ac:dyDescent="0.3">
      <c r="A136" s="3831" t="s">
        <v>3614</v>
      </c>
      <c r="B136" s="3831"/>
      <c r="C136" s="3831"/>
      <c r="D136" s="3831"/>
      <c r="E136" s="3831"/>
      <c r="F136" s="3831"/>
      <c r="G136" s="3832">
        <f>ROUND(K136*$Q$65,3)</f>
        <v>6.0000000000000001E-3</v>
      </c>
      <c r="H136" s="3833"/>
      <c r="I136" s="3833"/>
      <c r="J136" s="3834"/>
      <c r="K136" s="3835">
        <f>ROUND((Y115*$K$94+Y117*$K$95+Y119*$K$96+Y121*$K$97)*$K$103+(Y116*$K$94+Y118*$K$95+Y120*$K$96+Y122*$K$97)*$K$104,3)</f>
        <v>28.646999999999998</v>
      </c>
      <c r="L136" s="3835"/>
      <c r="M136" s="3835"/>
      <c r="N136" s="3835"/>
      <c r="O136" s="3836">
        <f>ROUND(K136*$Q$87,2)</f>
        <v>286.47000000000003</v>
      </c>
      <c r="P136" s="3836"/>
      <c r="Q136" s="3836"/>
      <c r="R136" s="3836"/>
      <c r="S136" s="3836"/>
      <c r="T136" s="3836"/>
      <c r="U136" s="227"/>
      <c r="V136" s="227"/>
      <c r="W136" s="227"/>
      <c r="X136" s="227"/>
      <c r="Y136" s="227"/>
      <c r="Z136" s="227"/>
      <c r="AA136" s="227"/>
      <c r="AB136" s="227"/>
      <c r="AC136" s="227"/>
      <c r="AD136" s="227"/>
      <c r="AE136" s="227"/>
      <c r="AF136" s="227"/>
    </row>
    <row r="137" spans="1:32" x14ac:dyDescent="0.25">
      <c r="A137" s="691" t="s">
        <v>4149</v>
      </c>
      <c r="B137" s="312"/>
      <c r="C137" s="312"/>
      <c r="D137" s="312"/>
      <c r="E137" s="312"/>
      <c r="F137" s="312"/>
      <c r="G137" s="312"/>
      <c r="H137" s="312"/>
      <c r="I137" s="312"/>
      <c r="J137" s="312"/>
      <c r="K137" s="312"/>
      <c r="L137" s="312"/>
      <c r="M137" s="312"/>
      <c r="N137" s="312"/>
      <c r="O137" s="312"/>
      <c r="P137" s="312"/>
      <c r="Q137" s="312"/>
      <c r="R137" s="312"/>
      <c r="S137" s="312"/>
      <c r="T137" s="312"/>
      <c r="U137" s="312"/>
      <c r="V137" s="227"/>
      <c r="W137" s="227"/>
      <c r="X137" s="227"/>
      <c r="Y137" s="227"/>
      <c r="Z137" s="227"/>
      <c r="AA137" s="227"/>
      <c r="AB137" s="227"/>
      <c r="AC137" s="227"/>
      <c r="AD137" s="227"/>
      <c r="AE137" s="227"/>
      <c r="AF137" s="227"/>
    </row>
    <row r="138" spans="1:32" x14ac:dyDescent="0.25">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c r="AC138" s="227"/>
      <c r="AD138" s="227"/>
      <c r="AE138" s="227"/>
      <c r="AF138" s="227"/>
    </row>
    <row r="139" spans="1:32" x14ac:dyDescent="0.25">
      <c r="A139" s="1621" t="s">
        <v>1753</v>
      </c>
      <c r="B139" s="1621"/>
      <c r="C139" s="1621"/>
      <c r="D139" s="1621"/>
      <c r="E139" s="1621"/>
      <c r="F139" s="1621"/>
      <c r="G139" s="1621"/>
      <c r="H139" s="1621"/>
      <c r="I139" s="1621"/>
      <c r="J139" s="1621"/>
      <c r="K139" s="1621"/>
      <c r="L139" s="1621"/>
      <c r="M139" s="1621"/>
      <c r="N139" s="1621"/>
      <c r="O139" s="1621"/>
      <c r="P139" s="1621"/>
      <c r="Q139" s="1621"/>
      <c r="R139" s="1621"/>
      <c r="S139" s="1621"/>
      <c r="T139" s="1621"/>
      <c r="U139" s="1621"/>
      <c r="V139" s="1621"/>
      <c r="W139" s="1621"/>
      <c r="X139" s="1621"/>
      <c r="Y139" s="1621"/>
      <c r="Z139" s="1621"/>
      <c r="AA139" s="1621"/>
      <c r="AB139" s="1621"/>
      <c r="AC139" s="1621"/>
      <c r="AD139" s="1621"/>
      <c r="AE139" s="1621"/>
      <c r="AF139" s="1621"/>
    </row>
    <row r="140" spans="1:32" x14ac:dyDescent="0.25">
      <c r="A140" s="227"/>
      <c r="B140" s="1173"/>
      <c r="C140" s="1173"/>
      <c r="D140" s="1173"/>
      <c r="E140" s="1173"/>
      <c r="F140" s="1173"/>
      <c r="G140" s="1173"/>
      <c r="H140" s="1173"/>
      <c r="I140" s="1173"/>
      <c r="J140" s="1173"/>
      <c r="K140" s="1173"/>
      <c r="L140" s="1173"/>
      <c r="M140" s="1173"/>
      <c r="N140" s="1173"/>
      <c r="O140" s="1173"/>
      <c r="P140" s="1173"/>
      <c r="Q140" s="1173"/>
      <c r="R140" s="1173"/>
      <c r="S140" s="1173"/>
      <c r="T140" s="1173"/>
      <c r="U140" s="1173"/>
      <c r="V140" s="1173"/>
      <c r="W140" s="1173"/>
      <c r="X140" s="1173"/>
      <c r="Y140" s="1173"/>
      <c r="Z140" s="1173"/>
      <c r="AA140" s="1173"/>
      <c r="AB140" s="1173"/>
      <c r="AC140" s="1173"/>
      <c r="AD140" s="1173"/>
      <c r="AE140" s="1173"/>
      <c r="AF140" s="1173"/>
    </row>
    <row r="141" spans="1:32" ht="34.5" customHeight="1" x14ac:dyDescent="0.25">
      <c r="A141" s="517" t="s">
        <v>1013</v>
      </c>
      <c r="B141" s="1173" t="s">
        <v>4156</v>
      </c>
      <c r="C141" s="1173"/>
      <c r="D141" s="1173"/>
      <c r="E141" s="1173"/>
      <c r="F141" s="1173"/>
      <c r="G141" s="1173"/>
      <c r="H141" s="1173"/>
      <c r="I141" s="1173"/>
      <c r="J141" s="1173"/>
      <c r="K141" s="1173"/>
      <c r="L141" s="1173"/>
      <c r="M141" s="1173"/>
      <c r="N141" s="1173"/>
      <c r="O141" s="1173"/>
      <c r="P141" s="1173"/>
      <c r="Q141" s="1173"/>
      <c r="R141" s="1173"/>
      <c r="S141" s="1173"/>
      <c r="T141" s="1173"/>
      <c r="U141" s="1173"/>
      <c r="V141" s="1173"/>
      <c r="W141" s="1173"/>
      <c r="X141" s="1173"/>
      <c r="Y141" s="1173"/>
      <c r="Z141" s="1173"/>
      <c r="AA141" s="1173"/>
      <c r="AB141" s="1173"/>
      <c r="AC141" s="1173"/>
      <c r="AD141" s="1173"/>
      <c r="AE141" s="1173"/>
      <c r="AF141" s="1173"/>
    </row>
    <row r="142" spans="1:32" ht="30.75" customHeight="1" x14ac:dyDescent="0.25">
      <c r="A142" s="517" t="s">
        <v>1013</v>
      </c>
      <c r="B142" s="1173" t="s">
        <v>4100</v>
      </c>
      <c r="C142" s="1173"/>
      <c r="D142" s="1173"/>
      <c r="E142" s="1173"/>
      <c r="F142" s="1173"/>
      <c r="G142" s="1173"/>
      <c r="H142" s="1173"/>
      <c r="I142" s="1173"/>
      <c r="J142" s="1173"/>
      <c r="K142" s="1173"/>
      <c r="L142" s="1173"/>
      <c r="M142" s="1173"/>
      <c r="N142" s="1173"/>
      <c r="O142" s="1173"/>
      <c r="P142" s="1173"/>
      <c r="Q142" s="1173"/>
      <c r="R142" s="1173"/>
      <c r="S142" s="1173"/>
      <c r="T142" s="1173"/>
      <c r="U142" s="1173"/>
      <c r="V142" s="1173"/>
      <c r="W142" s="1173"/>
      <c r="X142" s="1173"/>
      <c r="Y142" s="1173"/>
      <c r="Z142" s="1173"/>
      <c r="AA142" s="1173"/>
      <c r="AB142" s="1173"/>
      <c r="AC142" s="1173"/>
      <c r="AD142" s="1173"/>
      <c r="AE142" s="1173"/>
      <c r="AF142" s="1173"/>
    </row>
    <row r="143" spans="1:32" ht="35.25" customHeight="1" x14ac:dyDescent="0.25">
      <c r="A143" s="517" t="s">
        <v>1013</v>
      </c>
      <c r="B143" s="1173" t="s">
        <v>4101</v>
      </c>
      <c r="C143" s="1173"/>
      <c r="D143" s="1173"/>
      <c r="E143" s="1173"/>
      <c r="F143" s="1173"/>
      <c r="G143" s="1173"/>
      <c r="H143" s="1173"/>
      <c r="I143" s="1173"/>
      <c r="J143" s="1173"/>
      <c r="K143" s="1173"/>
      <c r="L143" s="1173"/>
      <c r="M143" s="1173"/>
      <c r="N143" s="1173"/>
      <c r="O143" s="1173"/>
      <c r="P143" s="1173"/>
      <c r="Q143" s="1173"/>
      <c r="R143" s="1173"/>
      <c r="S143" s="1173"/>
      <c r="T143" s="1173"/>
      <c r="U143" s="1173"/>
      <c r="V143" s="1173"/>
      <c r="W143" s="1173"/>
      <c r="X143" s="1173"/>
      <c r="Y143" s="1173"/>
      <c r="Z143" s="1173"/>
      <c r="AA143" s="1173"/>
      <c r="AB143" s="1173"/>
      <c r="AC143" s="1173"/>
      <c r="AD143" s="1173"/>
      <c r="AE143" s="1173"/>
      <c r="AF143" s="1173"/>
    </row>
    <row r="144" spans="1:32" ht="37.5" customHeight="1" x14ac:dyDescent="0.25">
      <c r="A144" s="517" t="s">
        <v>1013</v>
      </c>
      <c r="B144" s="1173" t="s">
        <v>4102</v>
      </c>
      <c r="C144" s="1173"/>
      <c r="D144" s="1173"/>
      <c r="E144" s="1173"/>
      <c r="F144" s="1173"/>
      <c r="G144" s="1173"/>
      <c r="H144" s="1173"/>
      <c r="I144" s="1173"/>
      <c r="J144" s="1173"/>
      <c r="K144" s="1173"/>
      <c r="L144" s="1173"/>
      <c r="M144" s="1173"/>
      <c r="N144" s="1173"/>
      <c r="O144" s="1173"/>
      <c r="P144" s="1173"/>
      <c r="Q144" s="1173"/>
      <c r="R144" s="1173"/>
      <c r="S144" s="1173"/>
      <c r="T144" s="1173"/>
      <c r="U144" s="1173"/>
      <c r="V144" s="1173"/>
      <c r="W144" s="1173"/>
      <c r="X144" s="1173"/>
      <c r="Y144" s="1173"/>
      <c r="Z144" s="1173"/>
      <c r="AA144" s="1173"/>
      <c r="AB144" s="1173"/>
      <c r="AC144" s="1173"/>
      <c r="AD144" s="1173"/>
      <c r="AE144" s="1173"/>
      <c r="AF144" s="1173"/>
    </row>
    <row r="145" spans="1:32" ht="18" customHeight="1" x14ac:dyDescent="0.25">
      <c r="A145" s="517" t="s">
        <v>1013</v>
      </c>
      <c r="B145" s="1173" t="s">
        <v>4103</v>
      </c>
      <c r="C145" s="1173"/>
      <c r="D145" s="1173"/>
      <c r="E145" s="1173"/>
      <c r="F145" s="1173"/>
      <c r="G145" s="1173"/>
      <c r="H145" s="1173"/>
      <c r="I145" s="1173"/>
      <c r="J145" s="1173"/>
      <c r="K145" s="1173"/>
      <c r="L145" s="1173"/>
      <c r="M145" s="1173"/>
      <c r="N145" s="1173"/>
      <c r="O145" s="1173"/>
      <c r="P145" s="1173"/>
      <c r="Q145" s="1173"/>
      <c r="R145" s="1173"/>
      <c r="S145" s="1173"/>
      <c r="T145" s="1173"/>
      <c r="U145" s="1173"/>
      <c r="V145" s="1173"/>
      <c r="W145" s="1173"/>
      <c r="X145" s="1173"/>
      <c r="Y145" s="1173"/>
      <c r="Z145" s="1173"/>
      <c r="AA145" s="1173"/>
      <c r="AB145" s="1173"/>
      <c r="AC145" s="1173"/>
      <c r="AD145" s="1173"/>
      <c r="AE145" s="1173"/>
      <c r="AF145" s="1173"/>
    </row>
    <row r="146" spans="1:32" ht="32.25" customHeight="1" x14ac:dyDescent="0.25">
      <c r="A146" s="517" t="s">
        <v>1013</v>
      </c>
      <c r="B146" s="1173" t="s">
        <v>2169</v>
      </c>
      <c r="C146" s="1173"/>
      <c r="D146" s="1173"/>
      <c r="E146" s="1173"/>
      <c r="F146" s="1173"/>
      <c r="G146" s="1173"/>
      <c r="H146" s="1173"/>
      <c r="I146" s="1173"/>
      <c r="J146" s="1173"/>
      <c r="K146" s="1173"/>
      <c r="L146" s="1173"/>
      <c r="M146" s="1173"/>
      <c r="N146" s="1173"/>
      <c r="O146" s="1173"/>
      <c r="P146" s="1173"/>
      <c r="Q146" s="1173"/>
      <c r="R146" s="1173"/>
      <c r="S146" s="1173"/>
      <c r="T146" s="1173"/>
      <c r="U146" s="1173"/>
      <c r="V146" s="1173"/>
      <c r="W146" s="1173"/>
      <c r="X146" s="1173"/>
      <c r="Y146" s="1173"/>
      <c r="Z146" s="1173"/>
      <c r="AA146" s="1173"/>
      <c r="AB146" s="1173"/>
      <c r="AC146" s="1173"/>
      <c r="AD146" s="1173"/>
      <c r="AE146" s="1173"/>
      <c r="AF146" s="1173"/>
    </row>
    <row r="147" spans="1:32" ht="63.75" customHeight="1" x14ac:dyDescent="0.25">
      <c r="A147" s="517" t="s">
        <v>1013</v>
      </c>
      <c r="B147" s="1173" t="s">
        <v>4104</v>
      </c>
      <c r="C147" s="1173"/>
      <c r="D147" s="1173"/>
      <c r="E147" s="1173"/>
      <c r="F147" s="1173"/>
      <c r="G147" s="1173"/>
      <c r="H147" s="1173"/>
      <c r="I147" s="1173"/>
      <c r="J147" s="1173"/>
      <c r="K147" s="1173"/>
      <c r="L147" s="1173"/>
      <c r="M147" s="1173"/>
      <c r="N147" s="1173"/>
      <c r="O147" s="1173"/>
      <c r="P147" s="1173"/>
      <c r="Q147" s="1173"/>
      <c r="R147" s="1173"/>
      <c r="S147" s="1173"/>
      <c r="T147" s="1173"/>
      <c r="U147" s="1173"/>
      <c r="V147" s="1173"/>
      <c r="W147" s="1173"/>
      <c r="X147" s="1173"/>
      <c r="Y147" s="1173"/>
      <c r="Z147" s="1173"/>
      <c r="AA147" s="1173"/>
      <c r="AB147" s="1173"/>
      <c r="AC147" s="1173"/>
      <c r="AD147" s="1173"/>
      <c r="AE147" s="1173"/>
      <c r="AF147" s="1173"/>
    </row>
    <row r="148" spans="1:32" ht="66.75" customHeight="1" x14ac:dyDescent="0.25">
      <c r="A148" s="517" t="s">
        <v>1013</v>
      </c>
      <c r="B148" s="1173" t="s">
        <v>4105</v>
      </c>
      <c r="C148" s="1173"/>
      <c r="D148" s="1173"/>
      <c r="E148" s="1173"/>
      <c r="F148" s="1173"/>
      <c r="G148" s="1173"/>
      <c r="H148" s="1173"/>
      <c r="I148" s="1173"/>
      <c r="J148" s="1173"/>
      <c r="K148" s="1173"/>
      <c r="L148" s="1173"/>
      <c r="M148" s="1173"/>
      <c r="N148" s="1173"/>
      <c r="O148" s="1173"/>
      <c r="P148" s="1173"/>
      <c r="Q148" s="1173"/>
      <c r="R148" s="1173"/>
      <c r="S148" s="1173"/>
      <c r="T148" s="1173"/>
      <c r="U148" s="1173"/>
      <c r="V148" s="1173"/>
      <c r="W148" s="1173"/>
      <c r="X148" s="1173"/>
      <c r="Y148" s="1173"/>
      <c r="Z148" s="1173"/>
      <c r="AA148" s="1173"/>
      <c r="AB148" s="1173"/>
      <c r="AC148" s="1173"/>
      <c r="AD148" s="1173"/>
      <c r="AE148" s="1173"/>
      <c r="AF148" s="1173"/>
    </row>
    <row r="149" spans="1:32" ht="64.5" customHeight="1" x14ac:dyDescent="0.25">
      <c r="A149" s="517" t="s">
        <v>1013</v>
      </c>
      <c r="B149" s="1173" t="s">
        <v>4150</v>
      </c>
      <c r="C149" s="1173"/>
      <c r="D149" s="1173"/>
      <c r="E149" s="1173"/>
      <c r="F149" s="1173"/>
      <c r="G149" s="1173"/>
      <c r="H149" s="1173"/>
      <c r="I149" s="1173"/>
      <c r="J149" s="1173"/>
      <c r="K149" s="1173"/>
      <c r="L149" s="1173"/>
      <c r="M149" s="1173"/>
      <c r="N149" s="1173"/>
      <c r="O149" s="1173"/>
      <c r="P149" s="1173"/>
      <c r="Q149" s="1173"/>
      <c r="R149" s="1173"/>
      <c r="S149" s="1173"/>
      <c r="T149" s="1173"/>
      <c r="U149" s="1173"/>
      <c r="V149" s="1173"/>
      <c r="W149" s="1173"/>
      <c r="X149" s="1173"/>
      <c r="Y149" s="1173"/>
      <c r="Z149" s="1173"/>
      <c r="AA149" s="1173"/>
      <c r="AB149" s="1173"/>
      <c r="AC149" s="1173"/>
      <c r="AD149" s="1173"/>
      <c r="AE149" s="1173"/>
      <c r="AF149" s="1173"/>
    </row>
    <row r="150" spans="1:32" ht="50.25" customHeight="1" x14ac:dyDescent="0.25">
      <c r="A150" s="517" t="s">
        <v>1013</v>
      </c>
      <c r="B150" s="1173" t="s">
        <v>4106</v>
      </c>
      <c r="C150" s="1173"/>
      <c r="D150" s="1173"/>
      <c r="E150" s="1173"/>
      <c r="F150" s="1173"/>
      <c r="G150" s="1173"/>
      <c r="H150" s="1173"/>
      <c r="I150" s="1173"/>
      <c r="J150" s="1173"/>
      <c r="K150" s="1173"/>
      <c r="L150" s="1173"/>
      <c r="M150" s="1173"/>
      <c r="N150" s="1173"/>
      <c r="O150" s="1173"/>
      <c r="P150" s="1173"/>
      <c r="Q150" s="1173"/>
      <c r="R150" s="1173"/>
      <c r="S150" s="1173"/>
      <c r="T150" s="1173"/>
      <c r="U150" s="1173"/>
      <c r="V150" s="1173"/>
      <c r="W150" s="1173"/>
      <c r="X150" s="1173"/>
      <c r="Y150" s="1173"/>
      <c r="Z150" s="1173"/>
      <c r="AA150" s="1173"/>
      <c r="AB150" s="1173"/>
      <c r="AC150" s="1173"/>
      <c r="AD150" s="1173"/>
      <c r="AE150" s="1173"/>
      <c r="AF150" s="1173"/>
    </row>
    <row r="151" spans="1:32" ht="48.75" customHeight="1" x14ac:dyDescent="0.25">
      <c r="A151" s="517" t="s">
        <v>1013</v>
      </c>
      <c r="B151" s="1173" t="s">
        <v>4107</v>
      </c>
      <c r="C151" s="1173"/>
      <c r="D151" s="1173"/>
      <c r="E151" s="1173"/>
      <c r="F151" s="1173"/>
      <c r="G151" s="1173"/>
      <c r="H151" s="1173"/>
      <c r="I151" s="1173"/>
      <c r="J151" s="1173"/>
      <c r="K151" s="1173"/>
      <c r="L151" s="1173"/>
      <c r="M151" s="1173"/>
      <c r="N151" s="1173"/>
      <c r="O151" s="1173"/>
      <c r="P151" s="1173"/>
      <c r="Q151" s="1173"/>
      <c r="R151" s="1173"/>
      <c r="S151" s="1173"/>
      <c r="T151" s="1173"/>
      <c r="U151" s="1173"/>
      <c r="V151" s="1173"/>
      <c r="W151" s="1173"/>
      <c r="X151" s="1173"/>
      <c r="Y151" s="1173"/>
      <c r="Z151" s="1173"/>
      <c r="AA151" s="1173"/>
      <c r="AB151" s="1173"/>
      <c r="AC151" s="1173"/>
      <c r="AD151" s="1173"/>
      <c r="AE151" s="1173"/>
      <c r="AF151" s="1173"/>
    </row>
    <row r="152" spans="1:32" ht="63.75" customHeight="1" x14ac:dyDescent="0.25">
      <c r="A152" s="517" t="s">
        <v>1013</v>
      </c>
      <c r="B152" s="1173" t="s">
        <v>4108</v>
      </c>
      <c r="C152" s="1173"/>
      <c r="D152" s="1173"/>
      <c r="E152" s="1173"/>
      <c r="F152" s="1173"/>
      <c r="G152" s="1173"/>
      <c r="H152" s="1173"/>
      <c r="I152" s="1173"/>
      <c r="J152" s="1173"/>
      <c r="K152" s="1173"/>
      <c r="L152" s="1173"/>
      <c r="M152" s="1173"/>
      <c r="N152" s="1173"/>
      <c r="O152" s="1173"/>
      <c r="P152" s="1173"/>
      <c r="Q152" s="1173"/>
      <c r="R152" s="1173"/>
      <c r="S152" s="1173"/>
      <c r="T152" s="1173"/>
      <c r="U152" s="1173"/>
      <c r="V152" s="1173"/>
      <c r="W152" s="1173"/>
      <c r="X152" s="1173"/>
      <c r="Y152" s="1173"/>
      <c r="Z152" s="1173"/>
      <c r="AA152" s="1173"/>
      <c r="AB152" s="1173"/>
      <c r="AC152" s="1173"/>
      <c r="AD152" s="1173"/>
      <c r="AE152" s="1173"/>
      <c r="AF152" s="1173"/>
    </row>
    <row r="153" spans="1:32" ht="32.25" customHeight="1" x14ac:dyDescent="0.25">
      <c r="A153" s="517" t="s">
        <v>1013</v>
      </c>
      <c r="B153" s="1173" t="s">
        <v>4109</v>
      </c>
      <c r="C153" s="1173"/>
      <c r="D153" s="1173"/>
      <c r="E153" s="1173"/>
      <c r="F153" s="1173"/>
      <c r="G153" s="1173"/>
      <c r="H153" s="1173"/>
      <c r="I153" s="1173"/>
      <c r="J153" s="1173"/>
      <c r="K153" s="1173"/>
      <c r="L153" s="1173"/>
      <c r="M153" s="1173"/>
      <c r="N153" s="1173"/>
      <c r="O153" s="1173"/>
      <c r="P153" s="1173"/>
      <c r="Q153" s="1173"/>
      <c r="R153" s="1173"/>
      <c r="S153" s="1173"/>
      <c r="T153" s="1173"/>
      <c r="U153" s="1173"/>
      <c r="V153" s="1173"/>
      <c r="W153" s="1173"/>
      <c r="X153" s="1173"/>
      <c r="Y153" s="1173"/>
      <c r="Z153" s="1173"/>
      <c r="AA153" s="1173"/>
      <c r="AB153" s="1173"/>
      <c r="AC153" s="1173"/>
      <c r="AD153" s="1173"/>
      <c r="AE153" s="1173"/>
      <c r="AF153" s="1173"/>
    </row>
    <row r="154" spans="1:32" ht="45.75" customHeight="1" x14ac:dyDescent="0.25">
      <c r="A154" s="517" t="s">
        <v>1013</v>
      </c>
      <c r="B154" s="1173" t="s">
        <v>4151</v>
      </c>
      <c r="C154" s="1173"/>
      <c r="D154" s="1173"/>
      <c r="E154" s="1173"/>
      <c r="F154" s="1173"/>
      <c r="G154" s="1173"/>
      <c r="H154" s="1173"/>
      <c r="I154" s="1173"/>
      <c r="J154" s="1173"/>
      <c r="K154" s="1173"/>
      <c r="L154" s="1173"/>
      <c r="M154" s="1173"/>
      <c r="N154" s="1173"/>
      <c r="O154" s="1173"/>
      <c r="P154" s="1173"/>
      <c r="Q154" s="1173"/>
      <c r="R154" s="1173"/>
      <c r="S154" s="1173"/>
      <c r="T154" s="1173"/>
      <c r="U154" s="1173"/>
      <c r="V154" s="1173"/>
      <c r="W154" s="1173"/>
      <c r="X154" s="1173"/>
      <c r="Y154" s="1173"/>
      <c r="Z154" s="1173"/>
      <c r="AA154" s="1173"/>
      <c r="AB154" s="1173"/>
      <c r="AC154" s="1173"/>
      <c r="AD154" s="1173"/>
      <c r="AE154" s="1173"/>
      <c r="AF154" s="1173"/>
    </row>
    <row r="155" spans="1:32" ht="48" customHeight="1" x14ac:dyDescent="0.25">
      <c r="A155" s="517" t="s">
        <v>1013</v>
      </c>
      <c r="B155" s="1173" t="s">
        <v>4111</v>
      </c>
      <c r="C155" s="1173"/>
      <c r="D155" s="1173"/>
      <c r="E155" s="1173"/>
      <c r="F155" s="1173"/>
      <c r="G155" s="1173"/>
      <c r="H155" s="1173"/>
      <c r="I155" s="1173"/>
      <c r="J155" s="1173"/>
      <c r="K155" s="1173"/>
      <c r="L155" s="1173"/>
      <c r="M155" s="1173"/>
      <c r="N155" s="1173"/>
      <c r="O155" s="1173"/>
      <c r="P155" s="1173"/>
      <c r="Q155" s="1173"/>
      <c r="R155" s="1173"/>
      <c r="S155" s="1173"/>
      <c r="T155" s="1173"/>
      <c r="U155" s="1173"/>
      <c r="V155" s="1173"/>
      <c r="W155" s="1173"/>
      <c r="X155" s="1173"/>
      <c r="Y155" s="1173"/>
      <c r="Z155" s="1173"/>
      <c r="AA155" s="1173"/>
      <c r="AB155" s="1173"/>
      <c r="AC155" s="1173"/>
      <c r="AD155" s="1173"/>
      <c r="AE155" s="1173"/>
      <c r="AF155" s="1173"/>
    </row>
    <row r="156" spans="1:32" x14ac:dyDescent="0.25">
      <c r="A156" s="517" t="s">
        <v>1013</v>
      </c>
      <c r="B156" s="1173" t="s">
        <v>4112</v>
      </c>
      <c r="C156" s="1173"/>
      <c r="D156" s="1173"/>
      <c r="E156" s="1173"/>
      <c r="F156" s="1173"/>
      <c r="G156" s="1173"/>
      <c r="H156" s="1173"/>
      <c r="I156" s="1173"/>
      <c r="J156" s="1173"/>
      <c r="K156" s="1173"/>
      <c r="L156" s="1173"/>
      <c r="M156" s="1173"/>
      <c r="N156" s="1173"/>
      <c r="O156" s="1173"/>
      <c r="P156" s="1173"/>
      <c r="Q156" s="1173"/>
      <c r="R156" s="1173"/>
      <c r="S156" s="1173"/>
      <c r="T156" s="1173"/>
      <c r="U156" s="1173"/>
      <c r="V156" s="1173"/>
      <c r="W156" s="1173"/>
      <c r="X156" s="1173"/>
      <c r="Y156" s="1173"/>
      <c r="Z156" s="1173"/>
      <c r="AA156" s="1173"/>
      <c r="AB156" s="1173"/>
      <c r="AC156" s="1173"/>
      <c r="AD156" s="1173"/>
      <c r="AE156" s="1173"/>
      <c r="AF156" s="1173"/>
    </row>
    <row r="157" spans="1:32" ht="66.75" customHeight="1" x14ac:dyDescent="0.25">
      <c r="A157" s="517" t="s">
        <v>1013</v>
      </c>
      <c r="B157" s="1173" t="s">
        <v>4113</v>
      </c>
      <c r="C157" s="1173"/>
      <c r="D157" s="1173"/>
      <c r="E157" s="1173"/>
      <c r="F157" s="1173"/>
      <c r="G157" s="1173"/>
      <c r="H157" s="1173"/>
      <c r="I157" s="1173"/>
      <c r="J157" s="1173"/>
      <c r="K157" s="1173"/>
      <c r="L157" s="1173"/>
      <c r="M157" s="1173"/>
      <c r="N157" s="1173"/>
      <c r="O157" s="1173"/>
      <c r="P157" s="1173"/>
      <c r="Q157" s="1173"/>
      <c r="R157" s="1173"/>
      <c r="S157" s="1173"/>
      <c r="T157" s="1173"/>
      <c r="U157" s="1173"/>
      <c r="V157" s="1173"/>
      <c r="W157" s="1173"/>
      <c r="X157" s="1173"/>
      <c r="Y157" s="1173"/>
      <c r="Z157" s="1173"/>
      <c r="AA157" s="1173"/>
      <c r="AB157" s="1173"/>
      <c r="AC157" s="1173"/>
      <c r="AD157" s="1173"/>
      <c r="AE157" s="1173"/>
      <c r="AF157" s="1173"/>
    </row>
    <row r="158" spans="1:32" x14ac:dyDescent="0.25">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27"/>
      <c r="AC158" s="227"/>
      <c r="AD158" s="227"/>
      <c r="AE158" s="227"/>
      <c r="AF158" s="227"/>
    </row>
    <row r="159" spans="1:32" x14ac:dyDescent="0.25">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27"/>
      <c r="AC159" s="227"/>
      <c r="AD159" s="227"/>
      <c r="AE159" s="227"/>
      <c r="AF159" s="227"/>
    </row>
    <row r="160" spans="1:32" x14ac:dyDescent="0.25">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27"/>
      <c r="AC160" s="227"/>
      <c r="AD160" s="227"/>
      <c r="AE160" s="227"/>
      <c r="AF160" s="227"/>
    </row>
    <row r="161" spans="1:32" x14ac:dyDescent="0.25">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c r="AD161" s="227"/>
      <c r="AE161" s="227"/>
      <c r="AF161" s="227"/>
    </row>
    <row r="162" spans="1:32" x14ac:dyDescent="0.25">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27"/>
      <c r="AC162" s="227"/>
      <c r="AD162" s="227"/>
      <c r="AE162" s="227"/>
      <c r="AF162" s="227"/>
    </row>
    <row r="163" spans="1:32" x14ac:dyDescent="0.25">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c r="AC163" s="227"/>
      <c r="AD163" s="227"/>
      <c r="AE163" s="227"/>
      <c r="AF163" s="227"/>
    </row>
    <row r="164" spans="1:32" x14ac:dyDescent="0.25">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27"/>
      <c r="AC164" s="227"/>
      <c r="AD164" s="227"/>
      <c r="AE164" s="227"/>
      <c r="AF164" s="227"/>
    </row>
    <row r="165" spans="1:32" x14ac:dyDescent="0.25">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27"/>
      <c r="AC165" s="227"/>
      <c r="AD165" s="227"/>
      <c r="AE165" s="227"/>
      <c r="AF165" s="227"/>
    </row>
    <row r="166" spans="1:32" x14ac:dyDescent="0.25">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row>
    <row r="167" spans="1:32" x14ac:dyDescent="0.25">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c r="AC167" s="227"/>
      <c r="AD167" s="227"/>
      <c r="AE167" s="227"/>
      <c r="AF167" s="227"/>
    </row>
    <row r="168" spans="1:32" x14ac:dyDescent="0.25">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27"/>
      <c r="AC168" s="227"/>
      <c r="AD168" s="227"/>
      <c r="AE168" s="227"/>
      <c r="AF168" s="227"/>
    </row>
    <row r="169" spans="1:32" x14ac:dyDescent="0.25">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27"/>
      <c r="AC169" s="227"/>
      <c r="AD169" s="227"/>
      <c r="AE169" s="227"/>
      <c r="AF169" s="227"/>
    </row>
    <row r="170" spans="1:32" x14ac:dyDescent="0.25">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27"/>
      <c r="AC170" s="227"/>
      <c r="AD170" s="227"/>
      <c r="AE170" s="227"/>
      <c r="AF170" s="227"/>
    </row>
    <row r="171" spans="1:32" x14ac:dyDescent="0.25">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27"/>
      <c r="AC171" s="227"/>
      <c r="AD171" s="227"/>
      <c r="AE171" s="227"/>
      <c r="AF171" s="227"/>
    </row>
    <row r="172" spans="1:32" x14ac:dyDescent="0.25">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27"/>
      <c r="AC172" s="227"/>
      <c r="AD172" s="227"/>
      <c r="AE172" s="227"/>
      <c r="AF172" s="227"/>
    </row>
  </sheetData>
  <sheetProtection algorithmName="SHA-512" hashValue="PDgKVjRQte4Q7kDHqWVJl9OOKj8l/wPMM33aHvWgNc7SPMn5FkjVwPYNciqQ5EsFjH4faPkGM6EL71RNi11GzA==" saltValue="yadRHl7oXKAQQYF3M1uOTw==" spinCount="100000" sheet="1" objects="1" scenarios="1"/>
  <mergeCells count="260">
    <mergeCell ref="A1:AF1"/>
    <mergeCell ref="A7:AF7"/>
    <mergeCell ref="B10:AF10"/>
    <mergeCell ref="B13:AF13"/>
    <mergeCell ref="B16:AF16"/>
    <mergeCell ref="B19:AF19"/>
    <mergeCell ref="A66:D66"/>
    <mergeCell ref="E66:P66"/>
    <mergeCell ref="Q66:T66"/>
    <mergeCell ref="U66:W66"/>
    <mergeCell ref="X66:AF66"/>
    <mergeCell ref="A3:AF3"/>
    <mergeCell ref="B5:AF5"/>
    <mergeCell ref="A63:AF63"/>
    <mergeCell ref="B21:AF21"/>
    <mergeCell ref="B24:AF24"/>
    <mergeCell ref="A27:AF27"/>
    <mergeCell ref="A64:D64"/>
    <mergeCell ref="E64:P64"/>
    <mergeCell ref="Q64:T64"/>
    <mergeCell ref="U64:W64"/>
    <mergeCell ref="X64:AF64"/>
    <mergeCell ref="A65:D65"/>
    <mergeCell ref="E65:P65"/>
    <mergeCell ref="Q65:T65"/>
    <mergeCell ref="U65:W65"/>
    <mergeCell ref="X65:AF65"/>
    <mergeCell ref="X67:AF67"/>
    <mergeCell ref="A68:D68"/>
    <mergeCell ref="E68:P68"/>
    <mergeCell ref="Q68:T68"/>
    <mergeCell ref="U68:W68"/>
    <mergeCell ref="X68:AF68"/>
    <mergeCell ref="A69:D69"/>
    <mergeCell ref="E69:P69"/>
    <mergeCell ref="Q69:T69"/>
    <mergeCell ref="U69:W69"/>
    <mergeCell ref="X69:AF69"/>
    <mergeCell ref="A67:D67"/>
    <mergeCell ref="E67:P67"/>
    <mergeCell ref="Q67:T67"/>
    <mergeCell ref="U67:W67"/>
    <mergeCell ref="A70:D70"/>
    <mergeCell ref="E70:P70"/>
    <mergeCell ref="Q70:T70"/>
    <mergeCell ref="U70:W70"/>
    <mergeCell ref="X70:AF70"/>
    <mergeCell ref="A71:D72"/>
    <mergeCell ref="E71:P71"/>
    <mergeCell ref="Q71:T71"/>
    <mergeCell ref="U71:W72"/>
    <mergeCell ref="X71:AF72"/>
    <mergeCell ref="E72:P72"/>
    <mergeCell ref="Q72:T72"/>
    <mergeCell ref="A73:D74"/>
    <mergeCell ref="E73:P73"/>
    <mergeCell ref="Q73:T73"/>
    <mergeCell ref="U73:W74"/>
    <mergeCell ref="X73:AF74"/>
    <mergeCell ref="E74:P74"/>
    <mergeCell ref="Q74:T74"/>
    <mergeCell ref="A75:D75"/>
    <mergeCell ref="E75:P75"/>
    <mergeCell ref="Q75:T75"/>
    <mergeCell ref="U75:W75"/>
    <mergeCell ref="X75:AF75"/>
    <mergeCell ref="A76:D76"/>
    <mergeCell ref="E76:P76"/>
    <mergeCell ref="Q76:T76"/>
    <mergeCell ref="U76:W76"/>
    <mergeCell ref="X76:AF76"/>
    <mergeCell ref="A77:D77"/>
    <mergeCell ref="E77:P77"/>
    <mergeCell ref="Q77:T77"/>
    <mergeCell ref="U77:W77"/>
    <mergeCell ref="X77:AF77"/>
    <mergeCell ref="A78:D81"/>
    <mergeCell ref="E78:P78"/>
    <mergeCell ref="Q78:T78"/>
    <mergeCell ref="U78:W78"/>
    <mergeCell ref="X78:AF78"/>
    <mergeCell ref="E79:P79"/>
    <mergeCell ref="Q79:T79"/>
    <mergeCell ref="U79:W79"/>
    <mergeCell ref="X79:AF79"/>
    <mergeCell ref="E80:P80"/>
    <mergeCell ref="Q80:T80"/>
    <mergeCell ref="U80:W80"/>
    <mergeCell ref="X80:AF80"/>
    <mergeCell ref="E81:P81"/>
    <mergeCell ref="Q81:T81"/>
    <mergeCell ref="U81:W81"/>
    <mergeCell ref="X81:AF81"/>
    <mergeCell ref="A82:D82"/>
    <mergeCell ref="E82:P82"/>
    <mergeCell ref="Q82:T82"/>
    <mergeCell ref="U82:W82"/>
    <mergeCell ref="X82:AF82"/>
    <mergeCell ref="A83:D83"/>
    <mergeCell ref="E83:P83"/>
    <mergeCell ref="Q83:T83"/>
    <mergeCell ref="U83:W83"/>
    <mergeCell ref="X83:AF83"/>
    <mergeCell ref="A84:D85"/>
    <mergeCell ref="E84:P84"/>
    <mergeCell ref="Q84:T84"/>
    <mergeCell ref="U84:W84"/>
    <mergeCell ref="X84:AF84"/>
    <mergeCell ref="E85:P85"/>
    <mergeCell ref="Q85:T85"/>
    <mergeCell ref="U85:W85"/>
    <mergeCell ref="X85:AF85"/>
    <mergeCell ref="A86:D86"/>
    <mergeCell ref="E86:P86"/>
    <mergeCell ref="Q86:T86"/>
    <mergeCell ref="U86:W86"/>
    <mergeCell ref="X86:AF86"/>
    <mergeCell ref="A87:D87"/>
    <mergeCell ref="E87:P87"/>
    <mergeCell ref="Q87:T87"/>
    <mergeCell ref="U87:W87"/>
    <mergeCell ref="X87:AF87"/>
    <mergeCell ref="A88:AF88"/>
    <mergeCell ref="A89:AF89"/>
    <mergeCell ref="A90:AF90"/>
    <mergeCell ref="A93:J93"/>
    <mergeCell ref="K93:N93"/>
    <mergeCell ref="O93:R93"/>
    <mergeCell ref="S93:V93"/>
    <mergeCell ref="A94:J94"/>
    <mergeCell ref="K94:N94"/>
    <mergeCell ref="O94:R94"/>
    <mergeCell ref="S94:V94"/>
    <mergeCell ref="A95:J95"/>
    <mergeCell ref="K95:N95"/>
    <mergeCell ref="O95:R95"/>
    <mergeCell ref="S95:V95"/>
    <mergeCell ref="A96:J96"/>
    <mergeCell ref="K96:N96"/>
    <mergeCell ref="O96:R96"/>
    <mergeCell ref="S96:V96"/>
    <mergeCell ref="A97:J97"/>
    <mergeCell ref="K97:N97"/>
    <mergeCell ref="O97:R97"/>
    <mergeCell ref="S97:V97"/>
    <mergeCell ref="A98:J98"/>
    <mergeCell ref="K98:N98"/>
    <mergeCell ref="O98:R98"/>
    <mergeCell ref="S98:V98"/>
    <mergeCell ref="A99:J99"/>
    <mergeCell ref="K99:N99"/>
    <mergeCell ref="O99:R99"/>
    <mergeCell ref="S99:V99"/>
    <mergeCell ref="A100:AF100"/>
    <mergeCell ref="A103:J103"/>
    <mergeCell ref="K103:N103"/>
    <mergeCell ref="A104:J104"/>
    <mergeCell ref="K104:N104"/>
    <mergeCell ref="A105:AF105"/>
    <mergeCell ref="A108:AF108"/>
    <mergeCell ref="A113:L114"/>
    <mergeCell ref="M113:T113"/>
    <mergeCell ref="U113:AB113"/>
    <mergeCell ref="AC113:AF113"/>
    <mergeCell ref="M114:P114"/>
    <mergeCell ref="Q114:T114"/>
    <mergeCell ref="U114:X114"/>
    <mergeCell ref="Y114:AB114"/>
    <mergeCell ref="AC114:AF114"/>
    <mergeCell ref="A115:F116"/>
    <mergeCell ref="G115:L115"/>
    <mergeCell ref="M115:P115"/>
    <mergeCell ref="Q115:T115"/>
    <mergeCell ref="U115:X115"/>
    <mergeCell ref="Y115:AB115"/>
    <mergeCell ref="AC115:AF115"/>
    <mergeCell ref="G116:L116"/>
    <mergeCell ref="M116:P116"/>
    <mergeCell ref="Q116:T116"/>
    <mergeCell ref="U116:X116"/>
    <mergeCell ref="Y116:AB116"/>
    <mergeCell ref="AC116:AF116"/>
    <mergeCell ref="A117:F118"/>
    <mergeCell ref="G117:L117"/>
    <mergeCell ref="M117:P117"/>
    <mergeCell ref="Q117:T117"/>
    <mergeCell ref="U117:X117"/>
    <mergeCell ref="Y117:AB117"/>
    <mergeCell ref="AC117:AF117"/>
    <mergeCell ref="G118:L118"/>
    <mergeCell ref="M118:P118"/>
    <mergeCell ref="Q118:T118"/>
    <mergeCell ref="U118:X118"/>
    <mergeCell ref="Y118:AB118"/>
    <mergeCell ref="AC118:AF118"/>
    <mergeCell ref="A119:F120"/>
    <mergeCell ref="G119:L119"/>
    <mergeCell ref="M119:P119"/>
    <mergeCell ref="Q119:T119"/>
    <mergeCell ref="U119:X119"/>
    <mergeCell ref="Y119:AB119"/>
    <mergeCell ref="AC119:AF119"/>
    <mergeCell ref="G120:L120"/>
    <mergeCell ref="M120:P120"/>
    <mergeCell ref="Q120:T120"/>
    <mergeCell ref="U120:X120"/>
    <mergeCell ref="Y120:AB120"/>
    <mergeCell ref="AC120:AF120"/>
    <mergeCell ref="A121:F122"/>
    <mergeCell ref="G121:L121"/>
    <mergeCell ref="M121:P121"/>
    <mergeCell ref="Q121:T121"/>
    <mergeCell ref="U121:X121"/>
    <mergeCell ref="Y121:AB121"/>
    <mergeCell ref="AC121:AF121"/>
    <mergeCell ref="G122:L122"/>
    <mergeCell ref="M122:P122"/>
    <mergeCell ref="Q122:T122"/>
    <mergeCell ref="U122:X122"/>
    <mergeCell ref="Y122:AB122"/>
    <mergeCell ref="AC122:AF122"/>
    <mergeCell ref="A127:F128"/>
    <mergeCell ref="G127:N127"/>
    <mergeCell ref="O127:T127"/>
    <mergeCell ref="G128:J128"/>
    <mergeCell ref="K128:N128"/>
    <mergeCell ref="O128:T128"/>
    <mergeCell ref="A129:F129"/>
    <mergeCell ref="G129:J129"/>
    <mergeCell ref="K129:N129"/>
    <mergeCell ref="O129:T129"/>
    <mergeCell ref="A139:AF139"/>
    <mergeCell ref="B140:AF140"/>
    <mergeCell ref="B141:AF141"/>
    <mergeCell ref="B142:AF142"/>
    <mergeCell ref="B143:AF143"/>
    <mergeCell ref="B144:AF144"/>
    <mergeCell ref="B145:AF145"/>
    <mergeCell ref="B146:AF146"/>
    <mergeCell ref="A134:F135"/>
    <mergeCell ref="G134:N134"/>
    <mergeCell ref="O134:T134"/>
    <mergeCell ref="G135:J135"/>
    <mergeCell ref="K135:N135"/>
    <mergeCell ref="O135:T135"/>
    <mergeCell ref="A136:F136"/>
    <mergeCell ref="G136:J136"/>
    <mergeCell ref="K136:N136"/>
    <mergeCell ref="O136:T136"/>
    <mergeCell ref="B156:AF156"/>
    <mergeCell ref="B157:AF157"/>
    <mergeCell ref="B147:AF147"/>
    <mergeCell ref="B148:AF148"/>
    <mergeCell ref="B149:AF149"/>
    <mergeCell ref="B150:AF150"/>
    <mergeCell ref="B151:AF151"/>
    <mergeCell ref="B152:AF152"/>
    <mergeCell ref="B153:AF153"/>
    <mergeCell ref="B154:AF154"/>
    <mergeCell ref="B155:AF155"/>
  </mergeCells>
  <hyperlinks>
    <hyperlink ref="A2" location="TOC!A1" display="Return to TOC" xr:uid="{00000000-0004-0000-6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1:AF61" numberStoredAsText="1"/>
  </ignoredErrors>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56">
    <tabColor rgb="FFC00000"/>
    <pageSetUpPr autoPageBreaks="0"/>
  </sheetPr>
  <dimension ref="A1:AF48"/>
  <sheetViews>
    <sheetView workbookViewId="0">
      <selection sqref="A1:AF1"/>
    </sheetView>
  </sheetViews>
  <sheetFormatPr defaultColWidth="2.7109375" defaultRowHeight="15" x14ac:dyDescent="0.25"/>
  <cols>
    <col min="1" max="16384" width="2.7109375" style="1"/>
  </cols>
  <sheetData>
    <row r="1" spans="1:32" ht="18.75" x14ac:dyDescent="0.25">
      <c r="A1" s="1464" t="s">
        <v>1323</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1:32" x14ac:dyDescent="0.25">
      <c r="A3" s="1472" t="s">
        <v>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171" t="s">
        <v>10</v>
      </c>
      <c r="C5" s="171"/>
      <c r="D5" s="171"/>
      <c r="E5" s="171"/>
      <c r="F5" s="171"/>
      <c r="G5" s="171"/>
      <c r="H5" s="171"/>
      <c r="I5" s="171"/>
    </row>
    <row r="6" spans="1:32" x14ac:dyDescent="0.25">
      <c r="B6" s="1473"/>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1473"/>
      <c r="AE6" s="1473"/>
      <c r="AF6" s="1473"/>
    </row>
    <row r="8" spans="1:32" x14ac:dyDescent="0.25">
      <c r="B8" s="171" t="s">
        <v>11</v>
      </c>
      <c r="C8" s="171"/>
      <c r="D8" s="171"/>
      <c r="E8" s="171"/>
      <c r="F8" s="171"/>
      <c r="G8" s="171"/>
      <c r="H8" s="171"/>
      <c r="I8" s="171"/>
    </row>
    <row r="9" spans="1:32" x14ac:dyDescent="0.25">
      <c r="B9" s="1473"/>
      <c r="C9" s="1473"/>
      <c r="D9" s="1473"/>
      <c r="E9" s="1473"/>
      <c r="F9" s="1473"/>
      <c r="G9" s="1473"/>
      <c r="H9" s="1473"/>
      <c r="I9" s="1473"/>
      <c r="J9" s="1473"/>
      <c r="K9" s="1473"/>
      <c r="L9" s="1473"/>
      <c r="M9" s="1473"/>
      <c r="N9" s="1473"/>
      <c r="O9" s="1473"/>
      <c r="P9" s="1473"/>
      <c r="Q9" s="1473"/>
      <c r="R9" s="1473"/>
      <c r="S9" s="1473"/>
      <c r="T9" s="1473"/>
      <c r="U9" s="1473"/>
      <c r="V9" s="1473"/>
      <c r="W9" s="1473"/>
      <c r="X9" s="1473"/>
      <c r="Y9" s="1473"/>
      <c r="Z9" s="1473"/>
      <c r="AA9" s="1473"/>
      <c r="AB9" s="1473"/>
      <c r="AC9" s="1473"/>
      <c r="AD9" s="1473"/>
      <c r="AE9" s="1473"/>
      <c r="AF9" s="1473"/>
    </row>
    <row r="11" spans="1:32" x14ac:dyDescent="0.25">
      <c r="B11" s="171" t="s">
        <v>12</v>
      </c>
      <c r="C11" s="171"/>
      <c r="D11" s="171"/>
      <c r="E11" s="171"/>
      <c r="F11" s="171"/>
      <c r="G11" s="171"/>
      <c r="H11" s="171"/>
      <c r="I11" s="171"/>
    </row>
    <row r="12" spans="1:32" x14ac:dyDescent="0.25">
      <c r="B12" s="1473"/>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row>
    <row r="14" spans="1:32" x14ac:dyDescent="0.25">
      <c r="B14" s="171" t="s">
        <v>13</v>
      </c>
      <c r="C14" s="171"/>
      <c r="D14" s="171"/>
      <c r="E14" s="171"/>
      <c r="F14" s="171"/>
      <c r="G14" s="171"/>
      <c r="H14" s="171"/>
      <c r="I14" s="171"/>
    </row>
    <row r="15" spans="1:32" x14ac:dyDescent="0.25">
      <c r="B15" s="1473"/>
      <c r="C15" s="1473"/>
      <c r="D15" s="1473"/>
      <c r="E15" s="1473"/>
      <c r="F15" s="1473"/>
      <c r="G15" s="1473"/>
      <c r="H15" s="1473"/>
      <c r="I15" s="1473"/>
      <c r="J15" s="1473"/>
      <c r="K15" s="1473"/>
      <c r="L15" s="1473"/>
      <c r="M15" s="1473"/>
      <c r="N15" s="1473"/>
      <c r="O15" s="1473"/>
      <c r="P15" s="1473"/>
      <c r="Q15" s="1473"/>
      <c r="R15" s="1473"/>
      <c r="S15" s="1473"/>
      <c r="T15" s="1473"/>
      <c r="U15" s="1473"/>
      <c r="V15" s="1473"/>
      <c r="W15" s="1473"/>
      <c r="X15" s="1473"/>
      <c r="Y15" s="1473"/>
      <c r="Z15" s="1473"/>
      <c r="AA15" s="1473"/>
      <c r="AB15" s="1473"/>
      <c r="AC15" s="1473"/>
      <c r="AD15" s="1473"/>
      <c r="AE15" s="1473"/>
      <c r="AF15" s="1473"/>
    </row>
    <row r="17" spans="1:32" x14ac:dyDescent="0.25">
      <c r="B17" s="171" t="s">
        <v>20</v>
      </c>
      <c r="C17" s="171"/>
      <c r="D17" s="171"/>
      <c r="E17" s="171"/>
      <c r="F17" s="171"/>
      <c r="G17" s="171"/>
      <c r="H17" s="171"/>
      <c r="I17" s="171"/>
    </row>
    <row r="18" spans="1:32" x14ac:dyDescent="0.25">
      <c r="B18" s="1473"/>
      <c r="C18" s="1473"/>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row>
    <row r="21" spans="1:32" x14ac:dyDescent="0.25">
      <c r="A21" s="1472" t="s">
        <v>14</v>
      </c>
      <c r="B21" s="1472"/>
      <c r="C21" s="1472"/>
      <c r="D21" s="1472"/>
      <c r="E21" s="1472"/>
      <c r="F21" s="1472"/>
      <c r="G21" s="1472"/>
      <c r="H21" s="1472"/>
      <c r="I21" s="1472"/>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row>
    <row r="23" spans="1:32" x14ac:dyDescent="0.25">
      <c r="A23" s="1586"/>
      <c r="B23" s="1586"/>
      <c r="C23" s="1586"/>
      <c r="D23" s="1586"/>
      <c r="E23" s="1586"/>
      <c r="F23" s="1586"/>
      <c r="G23" s="1586"/>
      <c r="H23" s="1753"/>
      <c r="I23" s="1753"/>
      <c r="J23" s="1753"/>
      <c r="K23" s="1753"/>
      <c r="L23" s="1753"/>
      <c r="M23" s="1753"/>
      <c r="N23" s="1753"/>
      <c r="O23" s="1753"/>
      <c r="P23" s="1753"/>
      <c r="Q23" s="1753"/>
      <c r="R23" s="1753"/>
      <c r="S23" s="1753"/>
      <c r="T23" s="1753"/>
      <c r="U23" s="1753"/>
      <c r="V23" s="1753"/>
      <c r="W23" s="1753"/>
      <c r="X23" s="1753"/>
      <c r="Y23" s="1753"/>
      <c r="Z23" s="1753"/>
      <c r="AA23" s="1753"/>
      <c r="AB23" s="1753"/>
      <c r="AC23" s="1753"/>
      <c r="AD23" s="1753"/>
      <c r="AE23" s="1753"/>
      <c r="AF23" s="1753"/>
    </row>
    <row r="24" spans="1:32" x14ac:dyDescent="0.25">
      <c r="A24" s="1586"/>
      <c r="B24" s="1586"/>
      <c r="C24" s="1586"/>
      <c r="D24" s="1586"/>
      <c r="E24" s="1586"/>
      <c r="F24" s="1586"/>
      <c r="G24" s="1586"/>
      <c r="H24" s="1753"/>
      <c r="I24" s="1753"/>
      <c r="J24" s="1753"/>
      <c r="K24" s="1753"/>
      <c r="L24" s="1753"/>
      <c r="M24" s="1753"/>
      <c r="N24" s="1753"/>
      <c r="O24" s="1753"/>
      <c r="P24" s="1753"/>
      <c r="Q24" s="1753"/>
      <c r="R24" s="1753"/>
      <c r="S24" s="1753"/>
      <c r="T24" s="1753"/>
      <c r="U24" s="1753"/>
      <c r="V24" s="1753"/>
      <c r="W24" s="1753"/>
      <c r="X24" s="1753"/>
      <c r="Y24" s="1753"/>
      <c r="Z24" s="1753"/>
      <c r="AA24" s="1753"/>
      <c r="AB24" s="1753"/>
      <c r="AC24" s="1753"/>
      <c r="AD24" s="1753"/>
      <c r="AE24" s="1753"/>
      <c r="AF24" s="1753"/>
    </row>
    <row r="27" spans="1:32" x14ac:dyDescent="0.25">
      <c r="A27" s="1472" t="s">
        <v>15</v>
      </c>
      <c r="B27" s="1472"/>
      <c r="C27" s="1472"/>
      <c r="D27" s="1472"/>
      <c r="E27" s="1472"/>
      <c r="F27" s="1472"/>
      <c r="G27" s="1472"/>
      <c r="H27" s="1472"/>
      <c r="I27" s="1472"/>
      <c r="J27" s="1472"/>
      <c r="K27" s="1472"/>
      <c r="L27" s="1472"/>
      <c r="M27" s="1472"/>
      <c r="N27" s="1472"/>
      <c r="O27" s="1472"/>
      <c r="P27" s="1472"/>
      <c r="Q27" s="1472"/>
      <c r="R27" s="1472"/>
      <c r="S27" s="1472"/>
      <c r="T27" s="1472"/>
      <c r="U27" s="1472"/>
      <c r="V27" s="1472"/>
      <c r="W27" s="1472"/>
      <c r="X27" s="1472"/>
      <c r="Y27" s="1472"/>
      <c r="Z27" s="1472"/>
      <c r="AA27" s="1472"/>
      <c r="AB27" s="1472"/>
      <c r="AC27" s="1472"/>
      <c r="AD27" s="1472"/>
      <c r="AE27" s="1472"/>
      <c r="AF27" s="1472"/>
    </row>
    <row r="28" spans="1:32" x14ac:dyDescent="0.25">
      <c r="A28" s="1303" t="s">
        <v>16</v>
      </c>
      <c r="B28" s="1303"/>
      <c r="C28" s="1303"/>
      <c r="D28" s="1303"/>
      <c r="E28" s="1303" t="s">
        <v>10</v>
      </c>
      <c r="F28" s="1303"/>
      <c r="G28" s="1303"/>
      <c r="H28" s="1303"/>
      <c r="I28" s="1303"/>
      <c r="J28" s="1303"/>
      <c r="K28" s="1303"/>
      <c r="L28" s="1303"/>
      <c r="M28" s="1303"/>
      <c r="N28" s="1303"/>
      <c r="O28" s="1303"/>
      <c r="P28" s="1303"/>
      <c r="Q28" s="1303" t="s">
        <v>17</v>
      </c>
      <c r="R28" s="1303"/>
      <c r="S28" s="1303"/>
      <c r="T28" s="1303"/>
      <c r="U28" s="1426" t="s">
        <v>18</v>
      </c>
      <c r="V28" s="1427"/>
      <c r="W28" s="1428"/>
      <c r="X28" s="1426" t="s">
        <v>19</v>
      </c>
      <c r="Y28" s="1427"/>
      <c r="Z28" s="1427"/>
      <c r="AA28" s="1427"/>
      <c r="AB28" s="1427"/>
      <c r="AC28" s="1427"/>
      <c r="AD28" s="1427"/>
      <c r="AE28" s="1427"/>
      <c r="AF28" s="1428"/>
    </row>
    <row r="29" spans="1:32" x14ac:dyDescent="0.25">
      <c r="A29" s="1382"/>
      <c r="B29" s="1383"/>
      <c r="C29" s="1383"/>
      <c r="D29" s="1384"/>
      <c r="E29" s="1382"/>
      <c r="F29" s="1383"/>
      <c r="G29" s="1383"/>
      <c r="H29" s="1383"/>
      <c r="I29" s="1383"/>
      <c r="J29" s="1383"/>
      <c r="K29" s="1383"/>
      <c r="L29" s="1383"/>
      <c r="M29" s="1383"/>
      <c r="N29" s="1383"/>
      <c r="O29" s="1383"/>
      <c r="P29" s="1384"/>
      <c r="Q29" s="1375"/>
      <c r="R29" s="1376"/>
      <c r="S29" s="1376"/>
      <c r="T29" s="1377"/>
      <c r="U29" s="1375"/>
      <c r="V29" s="1376"/>
      <c r="W29" s="1377"/>
      <c r="X29" s="1375"/>
      <c r="Y29" s="1376"/>
      <c r="Z29" s="1376"/>
      <c r="AA29" s="1376"/>
      <c r="AB29" s="1376"/>
      <c r="AC29" s="1376"/>
      <c r="AD29" s="1376"/>
      <c r="AE29" s="1376"/>
      <c r="AF29" s="1377"/>
    </row>
    <row r="30" spans="1:32" x14ac:dyDescent="0.25">
      <c r="A30" s="1382"/>
      <c r="B30" s="1383"/>
      <c r="C30" s="1383"/>
      <c r="D30" s="1384"/>
      <c r="E30" s="1382"/>
      <c r="F30" s="1383"/>
      <c r="G30" s="1383"/>
      <c r="H30" s="1383"/>
      <c r="I30" s="1383"/>
      <c r="J30" s="1383"/>
      <c r="K30" s="1383"/>
      <c r="L30" s="1383"/>
      <c r="M30" s="1383"/>
      <c r="N30" s="1383"/>
      <c r="O30" s="1383"/>
      <c r="P30" s="1384"/>
      <c r="Q30" s="1375"/>
      <c r="R30" s="1376"/>
      <c r="S30" s="1376"/>
      <c r="T30" s="1377"/>
      <c r="U30" s="1375"/>
      <c r="V30" s="1376"/>
      <c r="W30" s="1377"/>
      <c r="X30" s="1375"/>
      <c r="Y30" s="1376"/>
      <c r="Z30" s="1376"/>
      <c r="AA30" s="1376"/>
      <c r="AB30" s="1376"/>
      <c r="AC30" s="1376"/>
      <c r="AD30" s="1376"/>
      <c r="AE30" s="1376"/>
      <c r="AF30" s="1377"/>
    </row>
    <row r="31" spans="1:32" x14ac:dyDescent="0.25">
      <c r="A31" s="1382"/>
      <c r="B31" s="1383"/>
      <c r="C31" s="1383"/>
      <c r="D31" s="1384"/>
      <c r="E31" s="1382"/>
      <c r="F31" s="1383"/>
      <c r="G31" s="1383"/>
      <c r="H31" s="1383"/>
      <c r="I31" s="1383"/>
      <c r="J31" s="1383"/>
      <c r="K31" s="1383"/>
      <c r="L31" s="1383"/>
      <c r="M31" s="1383"/>
      <c r="N31" s="1383"/>
      <c r="O31" s="1383"/>
      <c r="P31" s="1384"/>
      <c r="Q31" s="1375"/>
      <c r="R31" s="1376"/>
      <c r="S31" s="1376"/>
      <c r="T31" s="1377"/>
      <c r="U31" s="1375"/>
      <c r="V31" s="1376"/>
      <c r="W31" s="1377"/>
      <c r="X31" s="1375"/>
      <c r="Y31" s="1376"/>
      <c r="Z31" s="1376"/>
      <c r="AA31" s="1376"/>
      <c r="AB31" s="1376"/>
      <c r="AC31" s="1376"/>
      <c r="AD31" s="1376"/>
      <c r="AE31" s="1376"/>
      <c r="AF31" s="1377"/>
    </row>
    <row r="32" spans="1:32" x14ac:dyDescent="0.25">
      <c r="A32" s="1382"/>
      <c r="B32" s="1383"/>
      <c r="C32" s="1383"/>
      <c r="D32" s="1384"/>
      <c r="E32" s="1382"/>
      <c r="F32" s="1383"/>
      <c r="G32" s="1383"/>
      <c r="H32" s="1383"/>
      <c r="I32" s="1383"/>
      <c r="J32" s="1383"/>
      <c r="K32" s="1383"/>
      <c r="L32" s="1383"/>
      <c r="M32" s="1383"/>
      <c r="N32" s="1383"/>
      <c r="O32" s="1383"/>
      <c r="P32" s="1384"/>
      <c r="Q32" s="1375"/>
      <c r="R32" s="1376"/>
      <c r="S32" s="1376"/>
      <c r="T32" s="1377"/>
      <c r="U32" s="1375"/>
      <c r="V32" s="1376"/>
      <c r="W32" s="1377"/>
      <c r="X32" s="1375"/>
      <c r="Y32" s="1376"/>
      <c r="Z32" s="1376"/>
      <c r="AA32" s="1376"/>
      <c r="AB32" s="1376"/>
      <c r="AC32" s="1376"/>
      <c r="AD32" s="1376"/>
      <c r="AE32" s="1376"/>
      <c r="AF32" s="1377"/>
    </row>
    <row r="33" spans="1:32" x14ac:dyDescent="0.25">
      <c r="A33" s="1382"/>
      <c r="B33" s="1383"/>
      <c r="C33" s="1383"/>
      <c r="D33" s="1384"/>
      <c r="E33" s="1382"/>
      <c r="F33" s="1383"/>
      <c r="G33" s="1383"/>
      <c r="H33" s="1383"/>
      <c r="I33" s="1383"/>
      <c r="J33" s="1383"/>
      <c r="K33" s="1383"/>
      <c r="L33" s="1383"/>
      <c r="M33" s="1383"/>
      <c r="N33" s="1383"/>
      <c r="O33" s="1383"/>
      <c r="P33" s="1384"/>
      <c r="Q33" s="1375"/>
      <c r="R33" s="1376"/>
      <c r="S33" s="1376"/>
      <c r="T33" s="1377"/>
      <c r="U33" s="1375"/>
      <c r="V33" s="1376"/>
      <c r="W33" s="1377"/>
      <c r="X33" s="1375"/>
      <c r="Y33" s="1376"/>
      <c r="Z33" s="1376"/>
      <c r="AA33" s="1376"/>
      <c r="AB33" s="1376"/>
      <c r="AC33" s="1376"/>
      <c r="AD33" s="1376"/>
      <c r="AE33" s="1376"/>
      <c r="AF33" s="1377"/>
    </row>
    <row r="34" spans="1:32" x14ac:dyDescent="0.25">
      <c r="A34" s="1382"/>
      <c r="B34" s="1383"/>
      <c r="C34" s="1383"/>
      <c r="D34" s="1384"/>
      <c r="E34" s="1382"/>
      <c r="F34" s="1383"/>
      <c r="G34" s="1383"/>
      <c r="H34" s="1383"/>
      <c r="I34" s="1383"/>
      <c r="J34" s="1383"/>
      <c r="K34" s="1383"/>
      <c r="L34" s="1383"/>
      <c r="M34" s="1383"/>
      <c r="N34" s="1383"/>
      <c r="O34" s="1383"/>
      <c r="P34" s="1384"/>
      <c r="Q34" s="1375"/>
      <c r="R34" s="1376"/>
      <c r="S34" s="1376"/>
      <c r="T34" s="1377"/>
      <c r="U34" s="1375"/>
      <c r="V34" s="1376"/>
      <c r="W34" s="1377"/>
      <c r="X34" s="1375"/>
      <c r="Y34" s="1376"/>
      <c r="Z34" s="1376"/>
      <c r="AA34" s="1376"/>
      <c r="AB34" s="1376"/>
      <c r="AC34" s="1376"/>
      <c r="AD34" s="1376"/>
      <c r="AE34" s="1376"/>
      <c r="AF34" s="1377"/>
    </row>
    <row r="35" spans="1:32" x14ac:dyDescent="0.25">
      <c r="A35" s="1382"/>
      <c r="B35" s="1383"/>
      <c r="C35" s="1383"/>
      <c r="D35" s="1384"/>
      <c r="E35" s="1382"/>
      <c r="F35" s="1383"/>
      <c r="G35" s="1383"/>
      <c r="H35" s="1383"/>
      <c r="I35" s="1383"/>
      <c r="J35" s="1383"/>
      <c r="K35" s="1383"/>
      <c r="L35" s="1383"/>
      <c r="M35" s="1383"/>
      <c r="N35" s="1383"/>
      <c r="O35" s="1383"/>
      <c r="P35" s="1384"/>
      <c r="Q35" s="1375"/>
      <c r="R35" s="1376"/>
      <c r="S35" s="1376"/>
      <c r="T35" s="1377"/>
      <c r="U35" s="1375"/>
      <c r="V35" s="1376"/>
      <c r="W35" s="1377"/>
      <c r="X35" s="1375"/>
      <c r="Y35" s="1376"/>
      <c r="Z35" s="1376"/>
      <c r="AA35" s="1376"/>
      <c r="AB35" s="1376"/>
      <c r="AC35" s="1376"/>
      <c r="AD35" s="1376"/>
      <c r="AE35" s="1376"/>
      <c r="AF35" s="1377"/>
    </row>
    <row r="36" spans="1:32" x14ac:dyDescent="0.25">
      <c r="A36" s="1382"/>
      <c r="B36" s="1383"/>
      <c r="C36" s="1383"/>
      <c r="D36" s="1384"/>
      <c r="E36" s="1382"/>
      <c r="F36" s="1383"/>
      <c r="G36" s="1383"/>
      <c r="H36" s="1383"/>
      <c r="I36" s="1383"/>
      <c r="J36" s="1383"/>
      <c r="K36" s="1383"/>
      <c r="L36" s="1383"/>
      <c r="M36" s="1383"/>
      <c r="N36" s="1383"/>
      <c r="O36" s="1383"/>
      <c r="P36" s="1384"/>
      <c r="Q36" s="1375"/>
      <c r="R36" s="1376"/>
      <c r="S36" s="1376"/>
      <c r="T36" s="1377"/>
      <c r="U36" s="1375"/>
      <c r="V36" s="1376"/>
      <c r="W36" s="1377"/>
      <c r="X36" s="1375"/>
      <c r="Y36" s="1376"/>
      <c r="Z36" s="1376"/>
      <c r="AA36" s="1376"/>
      <c r="AB36" s="1376"/>
      <c r="AC36" s="1376"/>
      <c r="AD36" s="1376"/>
      <c r="AE36" s="1376"/>
      <c r="AF36" s="1377"/>
    </row>
    <row r="37" spans="1:32" x14ac:dyDescent="0.25">
      <c r="A37" s="1382"/>
      <c r="B37" s="1383"/>
      <c r="C37" s="1383"/>
      <c r="D37" s="1384"/>
      <c r="E37" s="1382"/>
      <c r="F37" s="1383"/>
      <c r="G37" s="1383"/>
      <c r="H37" s="1383"/>
      <c r="I37" s="1383"/>
      <c r="J37" s="1383"/>
      <c r="K37" s="1383"/>
      <c r="L37" s="1383"/>
      <c r="M37" s="1383"/>
      <c r="N37" s="1383"/>
      <c r="O37" s="1383"/>
      <c r="P37" s="1384"/>
      <c r="Q37" s="1375"/>
      <c r="R37" s="1376"/>
      <c r="S37" s="1376"/>
      <c r="T37" s="1377"/>
      <c r="U37" s="1375"/>
      <c r="V37" s="1376"/>
      <c r="W37" s="1377"/>
      <c r="X37" s="1375"/>
      <c r="Y37" s="1376"/>
      <c r="Z37" s="1376"/>
      <c r="AA37" s="1376"/>
      <c r="AB37" s="1376"/>
      <c r="AC37" s="1376"/>
      <c r="AD37" s="1376"/>
      <c r="AE37" s="1376"/>
      <c r="AF37" s="1377"/>
    </row>
    <row r="38" spans="1:32" x14ac:dyDescent="0.25">
      <c r="A38" s="1382"/>
      <c r="B38" s="1383"/>
      <c r="C38" s="1383"/>
      <c r="D38" s="1384"/>
      <c r="E38" s="1382"/>
      <c r="F38" s="1383"/>
      <c r="G38" s="1383"/>
      <c r="H38" s="1383"/>
      <c r="I38" s="1383"/>
      <c r="J38" s="1383"/>
      <c r="K38" s="1383"/>
      <c r="L38" s="1383"/>
      <c r="M38" s="1383"/>
      <c r="N38" s="1383"/>
      <c r="O38" s="1383"/>
      <c r="P38" s="1384"/>
      <c r="Q38" s="1375"/>
      <c r="R38" s="1376"/>
      <c r="S38" s="1376"/>
      <c r="T38" s="1377"/>
      <c r="U38" s="1375"/>
      <c r="V38" s="1376"/>
      <c r="W38" s="1377"/>
      <c r="X38" s="1375"/>
      <c r="Y38" s="1376"/>
      <c r="Z38" s="1376"/>
      <c r="AA38" s="1376"/>
      <c r="AB38" s="1376"/>
      <c r="AC38" s="1376"/>
      <c r="AD38" s="1376"/>
      <c r="AE38" s="1376"/>
      <c r="AF38" s="1377"/>
    </row>
    <row r="39" spans="1:32" x14ac:dyDescent="0.25">
      <c r="A39" s="1382"/>
      <c r="B39" s="1383"/>
      <c r="C39" s="1383"/>
      <c r="D39" s="1384"/>
      <c r="E39" s="1382"/>
      <c r="F39" s="1383"/>
      <c r="G39" s="1383"/>
      <c r="H39" s="1383"/>
      <c r="I39" s="1383"/>
      <c r="J39" s="1383"/>
      <c r="K39" s="1383"/>
      <c r="L39" s="1383"/>
      <c r="M39" s="1383"/>
      <c r="N39" s="1383"/>
      <c r="O39" s="1383"/>
      <c r="P39" s="1384"/>
      <c r="Q39" s="1375"/>
      <c r="R39" s="1376"/>
      <c r="S39" s="1376"/>
      <c r="T39" s="1377"/>
      <c r="U39" s="1375"/>
      <c r="V39" s="1376"/>
      <c r="W39" s="1377"/>
      <c r="X39" s="1375"/>
      <c r="Y39" s="1376"/>
      <c r="Z39" s="1376"/>
      <c r="AA39" s="1376"/>
      <c r="AB39" s="1376"/>
      <c r="AC39" s="1376"/>
      <c r="AD39" s="1376"/>
      <c r="AE39" s="1376"/>
      <c r="AF39" s="1377"/>
    </row>
    <row r="40" spans="1:32" x14ac:dyDescent="0.25">
      <c r="A40" s="1382"/>
      <c r="B40" s="1383"/>
      <c r="C40" s="1383"/>
      <c r="D40" s="1384"/>
      <c r="E40" s="1382"/>
      <c r="F40" s="1383"/>
      <c r="G40" s="1383"/>
      <c r="H40" s="1383"/>
      <c r="I40" s="1383"/>
      <c r="J40" s="1383"/>
      <c r="K40" s="1383"/>
      <c r="L40" s="1383"/>
      <c r="M40" s="1383"/>
      <c r="N40" s="1383"/>
      <c r="O40" s="1383"/>
      <c r="P40" s="1384"/>
      <c r="Q40" s="1375"/>
      <c r="R40" s="1376"/>
      <c r="S40" s="1376"/>
      <c r="T40" s="1377"/>
      <c r="U40" s="1375"/>
      <c r="V40" s="1376"/>
      <c r="W40" s="1377"/>
      <c r="X40" s="1375"/>
      <c r="Y40" s="1376"/>
      <c r="Z40" s="1376"/>
      <c r="AA40" s="1376"/>
      <c r="AB40" s="1376"/>
      <c r="AC40" s="1376"/>
      <c r="AD40" s="1376"/>
      <c r="AE40" s="1376"/>
      <c r="AF40" s="1377"/>
    </row>
    <row r="41" spans="1:32" x14ac:dyDescent="0.25">
      <c r="A41" s="1382"/>
      <c r="B41" s="1383"/>
      <c r="C41" s="1383"/>
      <c r="D41" s="1384"/>
      <c r="E41" s="1382"/>
      <c r="F41" s="1383"/>
      <c r="G41" s="1383"/>
      <c r="H41" s="1383"/>
      <c r="I41" s="1383"/>
      <c r="J41" s="1383"/>
      <c r="K41" s="1383"/>
      <c r="L41" s="1383"/>
      <c r="M41" s="1383"/>
      <c r="N41" s="1383"/>
      <c r="O41" s="1383"/>
      <c r="P41" s="1384"/>
      <c r="Q41" s="1375"/>
      <c r="R41" s="1376"/>
      <c r="S41" s="1376"/>
      <c r="T41" s="1377"/>
      <c r="U41" s="1375"/>
      <c r="V41" s="1376"/>
      <c r="W41" s="1377"/>
      <c r="X41" s="1375"/>
      <c r="Y41" s="1376"/>
      <c r="Z41" s="1376"/>
      <c r="AA41" s="1376"/>
      <c r="AB41" s="1376"/>
      <c r="AC41" s="1376"/>
      <c r="AD41" s="1376"/>
      <c r="AE41" s="1376"/>
      <c r="AF41" s="1377"/>
    </row>
    <row r="42" spans="1:32" x14ac:dyDescent="0.25">
      <c r="A42" s="1382"/>
      <c r="B42" s="1383"/>
      <c r="C42" s="1383"/>
      <c r="D42" s="1384"/>
      <c r="E42" s="1382"/>
      <c r="F42" s="1383"/>
      <c r="G42" s="1383"/>
      <c r="H42" s="1383"/>
      <c r="I42" s="1383"/>
      <c r="J42" s="1383"/>
      <c r="K42" s="1383"/>
      <c r="L42" s="1383"/>
      <c r="M42" s="1383"/>
      <c r="N42" s="1383"/>
      <c r="O42" s="1383"/>
      <c r="P42" s="1384"/>
      <c r="Q42" s="1375"/>
      <c r="R42" s="1376"/>
      <c r="S42" s="1376"/>
      <c r="T42" s="1377"/>
      <c r="U42" s="1375"/>
      <c r="V42" s="1376"/>
      <c r="W42" s="1377"/>
      <c r="X42" s="1375"/>
      <c r="Y42" s="1376"/>
      <c r="Z42" s="1376"/>
      <c r="AA42" s="1376"/>
      <c r="AB42" s="1376"/>
      <c r="AC42" s="1376"/>
      <c r="AD42" s="1376"/>
      <c r="AE42" s="1376"/>
      <c r="AF42" s="1377"/>
    </row>
    <row r="45" spans="1:32" x14ac:dyDescent="0.25">
      <c r="A45" s="1472" t="s">
        <v>21</v>
      </c>
      <c r="B45" s="1472"/>
      <c r="C45" s="1472"/>
      <c r="D45" s="1472"/>
      <c r="E45" s="1472"/>
      <c r="F45" s="1472"/>
      <c r="G45" s="1472"/>
      <c r="H45" s="1472"/>
      <c r="I45" s="1472"/>
      <c r="J45" s="1472"/>
      <c r="K45" s="1472"/>
      <c r="L45" s="1472"/>
      <c r="M45" s="1472"/>
      <c r="N45" s="1472"/>
      <c r="O45" s="1472"/>
      <c r="P45" s="1472"/>
      <c r="Q45" s="1472"/>
      <c r="R45" s="1472"/>
      <c r="S45" s="1472"/>
      <c r="T45" s="1472"/>
      <c r="U45" s="1472"/>
      <c r="V45" s="1472"/>
      <c r="W45" s="1472"/>
      <c r="X45" s="1472"/>
      <c r="Y45" s="1472"/>
      <c r="Z45" s="1472"/>
      <c r="AA45" s="1472"/>
      <c r="AB45" s="1472"/>
      <c r="AC45" s="1472"/>
      <c r="AD45" s="1472"/>
      <c r="AE45" s="1472"/>
      <c r="AF45" s="1472"/>
    </row>
    <row r="46" spans="1:32" ht="15.75" thickBot="1" x14ac:dyDescent="0.3"/>
    <row r="47" spans="1:32" x14ac:dyDescent="0.25">
      <c r="A47" s="1583" t="s">
        <v>22</v>
      </c>
      <c r="B47" s="1584"/>
      <c r="C47" s="1584"/>
      <c r="D47" s="1584"/>
      <c r="E47" s="1584"/>
      <c r="F47" s="1584"/>
      <c r="G47" s="1584"/>
      <c r="H47" s="1584"/>
      <c r="I47" s="1584" t="s">
        <v>23</v>
      </c>
      <c r="J47" s="1584"/>
      <c r="K47" s="1584"/>
      <c r="L47" s="1584"/>
      <c r="M47" s="1584"/>
      <c r="N47" s="1584"/>
      <c r="O47" s="1584"/>
      <c r="P47" s="1584"/>
      <c r="Q47" s="1584" t="s">
        <v>24</v>
      </c>
      <c r="R47" s="1584"/>
      <c r="S47" s="1584"/>
      <c r="T47" s="1584"/>
      <c r="U47" s="1584"/>
      <c r="V47" s="1584"/>
      <c r="W47" s="1584"/>
      <c r="X47" s="1585"/>
    </row>
    <row r="48" spans="1:32" ht="15.75" thickBot="1" x14ac:dyDescent="0.3">
      <c r="A48" s="1578"/>
      <c r="B48" s="1579"/>
      <c r="C48" s="1579"/>
      <c r="D48" s="1579"/>
      <c r="E48" s="1579"/>
      <c r="F48" s="1579"/>
      <c r="G48" s="1579"/>
      <c r="H48" s="1579"/>
      <c r="I48" s="1580"/>
      <c r="J48" s="1580"/>
      <c r="K48" s="1580"/>
      <c r="L48" s="1580"/>
      <c r="M48" s="1580"/>
      <c r="N48" s="1580"/>
      <c r="O48" s="1580"/>
      <c r="P48" s="1580"/>
      <c r="Q48" s="1580"/>
      <c r="R48" s="1580"/>
      <c r="S48" s="1580"/>
      <c r="T48" s="1580"/>
      <c r="U48" s="1580"/>
      <c r="V48" s="1580"/>
      <c r="W48" s="1580"/>
      <c r="X48" s="1581"/>
    </row>
  </sheetData>
  <sheetProtection algorithmName="SHA-512" hashValue="k1EgtZABCk/iezEOohok8kUmeJHIAUu+vhk9po660X5xSv71aqqBQTUgjQVHS+4LGTg+977Tagwh1DVaLAmZ7Q==" saltValue="hTZo2A2ZA/sMK8eth1FW6Q==" spinCount="100000" sheet="1" objects="1" scenarios="1"/>
  <mergeCells count="95">
    <mergeCell ref="B18:AF18"/>
    <mergeCell ref="E35:P35"/>
    <mergeCell ref="B6:AF6"/>
    <mergeCell ref="B9:AF9"/>
    <mergeCell ref="A1:AF1"/>
    <mergeCell ref="B12:AF12"/>
    <mergeCell ref="U28:W28"/>
    <mergeCell ref="X28:AF28"/>
    <mergeCell ref="A21:AF21"/>
    <mergeCell ref="A27:AF27"/>
    <mergeCell ref="A28:D28"/>
    <mergeCell ref="E28:P28"/>
    <mergeCell ref="Q28:T28"/>
    <mergeCell ref="A24:G24"/>
    <mergeCell ref="H23:AF23"/>
    <mergeCell ref="H24:AF24"/>
    <mergeCell ref="B15:AF15"/>
    <mergeCell ref="I47:P47"/>
    <mergeCell ref="A23:G23"/>
    <mergeCell ref="A3:AF3"/>
    <mergeCell ref="Q47:X47"/>
    <mergeCell ref="A39:D39"/>
    <mergeCell ref="E39:P39"/>
    <mergeCell ref="Q39:T39"/>
    <mergeCell ref="A40:D40"/>
    <mergeCell ref="E40:P40"/>
    <mergeCell ref="Q40:T40"/>
    <mergeCell ref="U39:W39"/>
    <mergeCell ref="U40:W40"/>
    <mergeCell ref="X39:AF39"/>
    <mergeCell ref="X40:AF40"/>
    <mergeCell ref="X38:AF38"/>
    <mergeCell ref="A35:D35"/>
    <mergeCell ref="U36:W36"/>
    <mergeCell ref="A48:H48"/>
    <mergeCell ref="I48:P48"/>
    <mergeCell ref="Q48:X48"/>
    <mergeCell ref="A41:D41"/>
    <mergeCell ref="E41:P41"/>
    <mergeCell ref="Q41:T41"/>
    <mergeCell ref="A42:D42"/>
    <mergeCell ref="E42:P42"/>
    <mergeCell ref="Q42:T42"/>
    <mergeCell ref="U41:W41"/>
    <mergeCell ref="U42:W42"/>
    <mergeCell ref="X41:AF41"/>
    <mergeCell ref="X42:AF42"/>
    <mergeCell ref="A45:AF45"/>
    <mergeCell ref="A47:H47"/>
    <mergeCell ref="A38:D38"/>
    <mergeCell ref="E38:P38"/>
    <mergeCell ref="Q38:T38"/>
    <mergeCell ref="U37:W37"/>
    <mergeCell ref="U38:W38"/>
    <mergeCell ref="A34:D34"/>
    <mergeCell ref="E34:P34"/>
    <mergeCell ref="Q34:T34"/>
    <mergeCell ref="X37:AF37"/>
    <mergeCell ref="A37:D37"/>
    <mergeCell ref="E37:P37"/>
    <mergeCell ref="Q37:T37"/>
    <mergeCell ref="U34:W34"/>
    <mergeCell ref="X34:AF34"/>
    <mergeCell ref="X35:AF35"/>
    <mergeCell ref="X36:AF36"/>
    <mergeCell ref="Q35:T35"/>
    <mergeCell ref="A36:D36"/>
    <mergeCell ref="E36:P36"/>
    <mergeCell ref="Q36:T36"/>
    <mergeCell ref="U35:W35"/>
    <mergeCell ref="U31:W31"/>
    <mergeCell ref="U32:W32"/>
    <mergeCell ref="X31:AF31"/>
    <mergeCell ref="X32:AF32"/>
    <mergeCell ref="A33:D33"/>
    <mergeCell ref="E33:P33"/>
    <mergeCell ref="A31:D31"/>
    <mergeCell ref="E31:P31"/>
    <mergeCell ref="Q31:T31"/>
    <mergeCell ref="A32:D32"/>
    <mergeCell ref="E32:P32"/>
    <mergeCell ref="Q32:T32"/>
    <mergeCell ref="Q33:T33"/>
    <mergeCell ref="U33:W33"/>
    <mergeCell ref="X33:AF33"/>
    <mergeCell ref="U29:W29"/>
    <mergeCell ref="U30:W30"/>
    <mergeCell ref="X29:AF29"/>
    <mergeCell ref="X30:AF30"/>
    <mergeCell ref="A29:D29"/>
    <mergeCell ref="E29:P29"/>
    <mergeCell ref="Q29:T29"/>
    <mergeCell ref="A30:D30"/>
    <mergeCell ref="E30:P30"/>
    <mergeCell ref="Q30:T30"/>
  </mergeCells>
  <pageMargins left="0.7" right="0.7" top="0.75" bottom="0.75" header="0.3" footer="0.3"/>
  <pageSetup orientation="portrait" r:id="rId1"/>
  <headerFooter>
    <oddHeader>&amp;C&amp;"Arial,Regular"&amp;09&amp;I&amp;K000000Leidos Proprietary</oddHeader>
    <oddFooter>&amp;C&amp;"Calibri,Regular"&amp;11</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8">
    <pageSetUpPr autoPageBreaks="0"/>
  </sheetPr>
  <dimension ref="A1:AM178"/>
  <sheetViews>
    <sheetView workbookViewId="0">
      <selection activeCell="A2" sqref="A2"/>
    </sheetView>
  </sheetViews>
  <sheetFormatPr defaultColWidth="2.7109375" defaultRowHeight="15" x14ac:dyDescent="0.25"/>
  <cols>
    <col min="24" max="24" width="3" style="38" bestFit="1" customWidth="1"/>
  </cols>
  <sheetData>
    <row r="1" spans="1:32" ht="18" customHeight="1" x14ac:dyDescent="0.25">
      <c r="A1" s="1388" t="s">
        <v>1415</v>
      </c>
      <c r="B1" s="1389"/>
      <c r="C1" s="1389"/>
      <c r="D1" s="1389"/>
      <c r="E1" s="1389"/>
      <c r="F1" s="1389"/>
      <c r="G1" s="1389"/>
      <c r="H1" s="1389"/>
      <c r="I1" s="1389"/>
      <c r="J1" s="1389"/>
      <c r="K1" s="1389"/>
      <c r="L1" s="1389"/>
      <c r="M1" s="1389"/>
      <c r="N1" s="1389"/>
      <c r="O1" s="1389"/>
      <c r="P1" s="1389"/>
      <c r="Q1" s="1389"/>
      <c r="R1" s="1389"/>
      <c r="S1" s="1389"/>
      <c r="T1" s="1389"/>
      <c r="U1" s="1389"/>
      <c r="V1" s="1389"/>
      <c r="W1" s="1389"/>
      <c r="X1" s="1389"/>
      <c r="Y1" s="1389"/>
      <c r="Z1" s="1389"/>
      <c r="AA1" s="1389"/>
      <c r="AB1" s="1389"/>
      <c r="AC1" s="1389"/>
      <c r="AD1" s="1389"/>
      <c r="AE1" s="1389"/>
      <c r="AF1" s="1389"/>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row>
    <row r="3" spans="1:32"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30.6" customHeight="1" x14ac:dyDescent="0.25">
      <c r="A5" s="262"/>
      <c r="B5" s="1151" t="s">
        <v>6699</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ht="14.45" customHeight="1" x14ac:dyDescent="0.25">
      <c r="A6" s="262"/>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ht="14.45" customHeight="1" x14ac:dyDescent="0.25">
      <c r="A7" s="1148" t="s">
        <v>2292</v>
      </c>
      <c r="B7" s="1149"/>
      <c r="C7" s="1149"/>
      <c r="D7" s="1149"/>
      <c r="E7" s="1149"/>
      <c r="F7" s="1149"/>
      <c r="G7" s="1149"/>
      <c r="H7" s="1149"/>
      <c r="I7" s="1149"/>
      <c r="J7" s="1149"/>
      <c r="K7" s="1149"/>
      <c r="L7" s="1149"/>
      <c r="M7" s="1149"/>
      <c r="N7" s="1149"/>
      <c r="O7" s="1149"/>
      <c r="P7" s="1149"/>
      <c r="Q7" s="1149"/>
      <c r="R7" s="1149"/>
      <c r="S7" s="1149"/>
      <c r="T7" s="1149"/>
      <c r="U7" s="1149"/>
      <c r="V7" s="1149"/>
      <c r="W7" s="1149"/>
      <c r="X7" s="1149"/>
      <c r="Y7" s="1149"/>
      <c r="Z7" s="1149"/>
      <c r="AA7" s="1149"/>
      <c r="AB7" s="1149"/>
      <c r="AC7" s="1149"/>
      <c r="AD7" s="1149"/>
      <c r="AE7" s="1149"/>
      <c r="AF7" s="1150"/>
    </row>
    <row r="8" spans="1:32" ht="32.25" customHeight="1" x14ac:dyDescent="0.25">
      <c r="A8" s="1390" t="s">
        <v>2076</v>
      </c>
      <c r="B8" s="1390"/>
      <c r="C8" s="1390"/>
      <c r="D8" s="1390"/>
      <c r="E8" s="1390"/>
      <c r="F8" s="1390"/>
      <c r="G8" s="1390"/>
      <c r="H8" s="1390"/>
      <c r="I8" s="1390"/>
      <c r="J8" s="1390"/>
      <c r="K8" s="1390"/>
      <c r="L8" s="1390"/>
      <c r="M8" s="1390"/>
      <c r="N8" s="1390"/>
      <c r="O8" s="1390"/>
      <c r="P8" s="1390"/>
      <c r="Q8" s="1390"/>
      <c r="R8" s="1390"/>
      <c r="S8" s="1390"/>
      <c r="T8" s="1390"/>
      <c r="U8" s="1390"/>
      <c r="V8" s="1390"/>
      <c r="W8" s="1390"/>
      <c r="X8" s="1390"/>
      <c r="Y8" s="1390"/>
      <c r="Z8" s="1390"/>
      <c r="AA8" s="1390"/>
      <c r="AB8" s="1390"/>
      <c r="AC8" s="1390"/>
      <c r="AD8" s="1390"/>
      <c r="AE8" s="1390"/>
      <c r="AF8" s="1390"/>
    </row>
    <row r="9" spans="1:32" x14ac:dyDescent="0.25">
      <c r="A9" s="1"/>
      <c r="B9" s="1"/>
      <c r="C9" s="1"/>
      <c r="D9" s="1"/>
      <c r="E9" s="1"/>
      <c r="F9" s="1"/>
      <c r="G9" s="1"/>
      <c r="H9" s="1"/>
      <c r="I9" s="1"/>
      <c r="J9" s="1"/>
      <c r="K9" s="1"/>
      <c r="L9" s="1"/>
      <c r="M9" s="1"/>
      <c r="N9" s="1"/>
      <c r="O9" s="1"/>
      <c r="P9" s="1"/>
      <c r="Q9" s="1"/>
      <c r="R9" s="1"/>
      <c r="S9" s="1"/>
      <c r="T9" s="1"/>
      <c r="U9" s="1"/>
      <c r="V9" s="1"/>
      <c r="W9" s="1"/>
      <c r="X9" s="1"/>
    </row>
    <row r="10" spans="1:32" x14ac:dyDescent="0.25">
      <c r="A10" s="1397" t="s">
        <v>1030</v>
      </c>
      <c r="B10" s="1398"/>
      <c r="C10" s="1398"/>
      <c r="D10" s="1398"/>
      <c r="E10" s="1398"/>
      <c r="F10" s="1398"/>
      <c r="G10" s="1398"/>
      <c r="H10" s="1398"/>
      <c r="I10" s="1398"/>
      <c r="J10" s="1398"/>
      <c r="K10" s="1398"/>
      <c r="L10" s="1398"/>
      <c r="M10" s="1398"/>
      <c r="N10" s="1398"/>
      <c r="O10" s="1398"/>
      <c r="P10" s="1398"/>
      <c r="Q10" s="1398"/>
      <c r="R10" s="1398"/>
      <c r="S10" s="1398"/>
      <c r="T10" s="1398"/>
      <c r="U10" s="1398"/>
      <c r="V10" s="1398"/>
      <c r="W10" s="1398"/>
      <c r="X10" s="1398"/>
      <c r="Y10" s="1398"/>
      <c r="Z10" s="1398"/>
      <c r="AA10" s="1398"/>
      <c r="AB10" s="1398"/>
      <c r="AC10" s="1398"/>
      <c r="AD10" s="1398"/>
      <c r="AE10" s="1398"/>
      <c r="AF10" s="1399"/>
    </row>
    <row r="11" spans="1:32" ht="45" customHeight="1" x14ac:dyDescent="0.25">
      <c r="A11" s="1391" t="s">
        <v>879</v>
      </c>
      <c r="B11" s="1392"/>
      <c r="C11" s="1393"/>
      <c r="D11" s="1394" t="s">
        <v>896</v>
      </c>
      <c r="E11" s="1395"/>
      <c r="F11" s="1395"/>
      <c r="G11" s="1395"/>
      <c r="H11" s="1395"/>
      <c r="I11" s="1395"/>
      <c r="J11" s="1396"/>
      <c r="K11" s="1394" t="s">
        <v>10</v>
      </c>
      <c r="L11" s="1395"/>
      <c r="M11" s="1395"/>
      <c r="N11" s="1395"/>
      <c r="O11" s="1395"/>
      <c r="P11" s="1395"/>
      <c r="Q11" s="1395"/>
      <c r="R11" s="1395"/>
      <c r="S11" s="1395"/>
      <c r="T11" s="1395"/>
      <c r="U11" s="1395"/>
      <c r="V11" s="1395"/>
      <c r="W11" s="1396"/>
      <c r="X11" s="1391" t="s">
        <v>2073</v>
      </c>
      <c r="Y11" s="1392"/>
      <c r="Z11" s="1393"/>
      <c r="AA11" s="1391" t="s">
        <v>4556</v>
      </c>
      <c r="AB11" s="1392"/>
      <c r="AC11" s="1392"/>
      <c r="AD11" s="1392"/>
      <c r="AE11" s="1392"/>
      <c r="AF11" s="1393"/>
    </row>
    <row r="12" spans="1:32" x14ac:dyDescent="0.25">
      <c r="A12" s="1365" t="s">
        <v>888</v>
      </c>
      <c r="B12" s="1366"/>
      <c r="C12" s="1367"/>
      <c r="D12" s="1365" t="s">
        <v>420</v>
      </c>
      <c r="E12" s="1366"/>
      <c r="F12" s="1366"/>
      <c r="G12" s="1366"/>
      <c r="H12" s="1366"/>
      <c r="I12" s="1366"/>
      <c r="J12" s="1367"/>
      <c r="K12" s="1378" t="s">
        <v>897</v>
      </c>
      <c r="L12" s="1379"/>
      <c r="M12" s="1379"/>
      <c r="N12" s="1379"/>
      <c r="O12" s="1379"/>
      <c r="P12" s="1379"/>
      <c r="Q12" s="1379"/>
      <c r="R12" s="1379"/>
      <c r="S12" s="1379"/>
      <c r="T12" s="1379"/>
      <c r="U12" s="1379"/>
      <c r="V12" s="1379"/>
      <c r="W12" s="1380"/>
      <c r="X12" s="1375">
        <v>18</v>
      </c>
      <c r="Y12" s="1376"/>
      <c r="Z12" s="1377"/>
      <c r="AA12" s="1378" t="s">
        <v>2170</v>
      </c>
      <c r="AB12" s="1379"/>
      <c r="AC12" s="1379"/>
      <c r="AD12" s="1379"/>
      <c r="AE12" s="1379"/>
      <c r="AF12" s="1380"/>
    </row>
    <row r="13" spans="1:32" x14ac:dyDescent="0.25">
      <c r="A13" s="1368"/>
      <c r="B13" s="1369"/>
      <c r="C13" s="1370"/>
      <c r="D13" s="1371"/>
      <c r="E13" s="1372"/>
      <c r="F13" s="1372"/>
      <c r="G13" s="1372"/>
      <c r="H13" s="1372"/>
      <c r="I13" s="1372"/>
      <c r="J13" s="1373"/>
      <c r="K13" s="1378" t="s">
        <v>898</v>
      </c>
      <c r="L13" s="1379"/>
      <c r="M13" s="1379"/>
      <c r="N13" s="1379"/>
      <c r="O13" s="1379"/>
      <c r="P13" s="1379"/>
      <c r="Q13" s="1379"/>
      <c r="R13" s="1379"/>
      <c r="S13" s="1379"/>
      <c r="T13" s="1379"/>
      <c r="U13" s="1379"/>
      <c r="V13" s="1379"/>
      <c r="W13" s="1380"/>
      <c r="X13" s="1375">
        <v>10</v>
      </c>
      <c r="Y13" s="1376"/>
      <c r="Z13" s="1377"/>
      <c r="AA13" s="1378" t="s">
        <v>2171</v>
      </c>
      <c r="AB13" s="1379"/>
      <c r="AC13" s="1379"/>
      <c r="AD13" s="1379"/>
      <c r="AE13" s="1379"/>
      <c r="AF13" s="1380"/>
    </row>
    <row r="14" spans="1:32" x14ac:dyDescent="0.25">
      <c r="A14" s="1368"/>
      <c r="B14" s="1369"/>
      <c r="C14" s="1370"/>
      <c r="D14" s="1365" t="s">
        <v>267</v>
      </c>
      <c r="E14" s="1366"/>
      <c r="F14" s="1366"/>
      <c r="G14" s="1366"/>
      <c r="H14" s="1366"/>
      <c r="I14" s="1366"/>
      <c r="J14" s="1367"/>
      <c r="K14" s="1406" t="s">
        <v>2074</v>
      </c>
      <c r="L14" s="1407"/>
      <c r="M14" s="1407"/>
      <c r="N14" s="1407"/>
      <c r="O14" s="1407"/>
      <c r="P14" s="1407"/>
      <c r="Q14" s="1407"/>
      <c r="R14" s="1407"/>
      <c r="S14" s="1407"/>
      <c r="T14" s="1407"/>
      <c r="U14" s="1407"/>
      <c r="V14" s="1407"/>
      <c r="W14" s="1408"/>
      <c r="X14" s="1375" t="s">
        <v>2075</v>
      </c>
      <c r="Y14" s="1376"/>
      <c r="Z14" s="1377"/>
      <c r="AA14" s="1378" t="s">
        <v>2172</v>
      </c>
      <c r="AB14" s="1379"/>
      <c r="AC14" s="1379"/>
      <c r="AD14" s="1379"/>
      <c r="AE14" s="1379"/>
      <c r="AF14" s="1380"/>
    </row>
    <row r="15" spans="1:32" x14ac:dyDescent="0.25">
      <c r="A15" s="1368"/>
      <c r="B15" s="1369"/>
      <c r="C15" s="1370"/>
      <c r="D15" s="1368"/>
      <c r="E15" s="1369"/>
      <c r="F15" s="1369"/>
      <c r="G15" s="1369"/>
      <c r="H15" s="1369"/>
      <c r="I15" s="1369"/>
      <c r="J15" s="1370"/>
      <c r="K15" s="1378" t="s">
        <v>272</v>
      </c>
      <c r="L15" s="1379"/>
      <c r="M15" s="1379"/>
      <c r="N15" s="1379"/>
      <c r="O15" s="1379"/>
      <c r="P15" s="1379"/>
      <c r="Q15" s="1379"/>
      <c r="R15" s="1379"/>
      <c r="S15" s="1379"/>
      <c r="T15" s="1379"/>
      <c r="U15" s="1379"/>
      <c r="V15" s="1379"/>
      <c r="W15" s="1380"/>
      <c r="X15" s="1375">
        <v>10</v>
      </c>
      <c r="Y15" s="1376"/>
      <c r="Z15" s="1377"/>
      <c r="AA15" s="1378" t="s">
        <v>2071</v>
      </c>
      <c r="AB15" s="1379"/>
      <c r="AC15" s="1379"/>
      <c r="AD15" s="1379"/>
      <c r="AE15" s="1379"/>
      <c r="AF15" s="1380"/>
    </row>
    <row r="16" spans="1:32" x14ac:dyDescent="0.25">
      <c r="A16" s="1368"/>
      <c r="B16" s="1369"/>
      <c r="C16" s="1370"/>
      <c r="D16" s="1368"/>
      <c r="E16" s="1369"/>
      <c r="F16" s="1369"/>
      <c r="G16" s="1369"/>
      <c r="H16" s="1369"/>
      <c r="I16" s="1369"/>
      <c r="J16" s="1370"/>
      <c r="K16" s="1378" t="s">
        <v>3663</v>
      </c>
      <c r="L16" s="1379"/>
      <c r="M16" s="1379"/>
      <c r="N16" s="1379"/>
      <c r="O16" s="1379"/>
      <c r="P16" s="1379"/>
      <c r="Q16" s="1379"/>
      <c r="R16" s="1379"/>
      <c r="S16" s="1379"/>
      <c r="T16" s="1379"/>
      <c r="U16" s="1379"/>
      <c r="V16" s="1379"/>
      <c r="W16" s="1380"/>
      <c r="X16" s="1375">
        <v>25</v>
      </c>
      <c r="Y16" s="1376"/>
      <c r="Z16" s="1377"/>
      <c r="AA16" s="1378" t="s">
        <v>3701</v>
      </c>
      <c r="AB16" s="1379"/>
      <c r="AC16" s="1379"/>
      <c r="AD16" s="1379"/>
      <c r="AE16" s="1379"/>
      <c r="AF16" s="1380"/>
    </row>
    <row r="17" spans="1:32" x14ac:dyDescent="0.25">
      <c r="A17" s="1368"/>
      <c r="B17" s="1369"/>
      <c r="C17" s="1370"/>
      <c r="D17" s="1368"/>
      <c r="E17" s="1369"/>
      <c r="F17" s="1369"/>
      <c r="G17" s="1369"/>
      <c r="H17" s="1369"/>
      <c r="I17" s="1369"/>
      <c r="J17" s="1370"/>
      <c r="K17" s="1378" t="s">
        <v>3702</v>
      </c>
      <c r="L17" s="1379"/>
      <c r="M17" s="1379"/>
      <c r="N17" s="1379"/>
      <c r="O17" s="1379"/>
      <c r="P17" s="1379"/>
      <c r="Q17" s="1379"/>
      <c r="R17" s="1379"/>
      <c r="S17" s="1379"/>
      <c r="T17" s="1379"/>
      <c r="U17" s="1379"/>
      <c r="V17" s="1379"/>
      <c r="W17" s="1380"/>
      <c r="X17" s="1375">
        <v>6</v>
      </c>
      <c r="Y17" s="1376"/>
      <c r="Z17" s="1377"/>
      <c r="AA17" s="1378" t="s">
        <v>3703</v>
      </c>
      <c r="AB17" s="1379"/>
      <c r="AC17" s="1379"/>
      <c r="AD17" s="1379"/>
      <c r="AE17" s="1379"/>
      <c r="AF17" s="1380"/>
    </row>
    <row r="18" spans="1:32" x14ac:dyDescent="0.25">
      <c r="A18" s="1368"/>
      <c r="B18" s="1369"/>
      <c r="C18" s="1370"/>
      <c r="D18" s="1368"/>
      <c r="E18" s="1369"/>
      <c r="F18" s="1369"/>
      <c r="G18" s="1369"/>
      <c r="H18" s="1369"/>
      <c r="I18" s="1369"/>
      <c r="J18" s="1370"/>
      <c r="K18" s="1378" t="s">
        <v>3699</v>
      </c>
      <c r="L18" s="1379"/>
      <c r="M18" s="1379"/>
      <c r="N18" s="1379"/>
      <c r="O18" s="1379"/>
      <c r="P18" s="1379"/>
      <c r="Q18" s="1379"/>
      <c r="R18" s="1379"/>
      <c r="S18" s="1379"/>
      <c r="T18" s="1379"/>
      <c r="U18" s="1379"/>
      <c r="V18" s="1379"/>
      <c r="W18" s="1380"/>
      <c r="X18" s="1375">
        <v>5</v>
      </c>
      <c r="Y18" s="1376"/>
      <c r="Z18" s="1377"/>
      <c r="AA18" s="1382" t="s">
        <v>3700</v>
      </c>
      <c r="AB18" s="1383"/>
      <c r="AC18" s="1383"/>
      <c r="AD18" s="1383"/>
      <c r="AE18" s="1383"/>
      <c r="AF18" s="1384"/>
    </row>
    <row r="19" spans="1:32" x14ac:dyDescent="0.25">
      <c r="A19" s="1368"/>
      <c r="B19" s="1369"/>
      <c r="C19" s="1370"/>
      <c r="D19" s="1371"/>
      <c r="E19" s="1372"/>
      <c r="F19" s="1372"/>
      <c r="G19" s="1372"/>
      <c r="H19" s="1372"/>
      <c r="I19" s="1372"/>
      <c r="J19" s="1373"/>
      <c r="K19" s="1378" t="s">
        <v>4654</v>
      </c>
      <c r="L19" s="1379"/>
      <c r="M19" s="1379"/>
      <c r="N19" s="1379"/>
      <c r="O19" s="1379"/>
      <c r="P19" s="1379"/>
      <c r="Q19" s="1379"/>
      <c r="R19" s="1379"/>
      <c r="S19" s="1379"/>
      <c r="T19" s="1379"/>
      <c r="U19" s="1379"/>
      <c r="V19" s="1379"/>
      <c r="W19" s="1380"/>
      <c r="X19" s="1375">
        <v>10</v>
      </c>
      <c r="Y19" s="1376"/>
      <c r="Z19" s="1377"/>
      <c r="AA19" s="1382" t="s">
        <v>4656</v>
      </c>
      <c r="AB19" s="1383"/>
      <c r="AC19" s="1383"/>
      <c r="AD19" s="1383"/>
      <c r="AE19" s="1383"/>
      <c r="AF19" s="1384"/>
    </row>
    <row r="20" spans="1:32" x14ac:dyDescent="0.25">
      <c r="A20" s="1368"/>
      <c r="B20" s="1369"/>
      <c r="C20" s="1370"/>
      <c r="D20" s="1365" t="s">
        <v>209</v>
      </c>
      <c r="E20" s="1366"/>
      <c r="F20" s="1366"/>
      <c r="G20" s="1366"/>
      <c r="H20" s="1366"/>
      <c r="I20" s="1366"/>
      <c r="J20" s="1367"/>
      <c r="K20" s="1378" t="s">
        <v>2913</v>
      </c>
      <c r="L20" s="1379"/>
      <c r="M20" s="1379"/>
      <c r="N20" s="1379"/>
      <c r="O20" s="1379"/>
      <c r="P20" s="1379"/>
      <c r="Q20" s="1379"/>
      <c r="R20" s="1379"/>
      <c r="S20" s="1379"/>
      <c r="T20" s="1379"/>
      <c r="U20" s="1379"/>
      <c r="V20" s="1379"/>
      <c r="W20" s="1380"/>
      <c r="X20" s="1375">
        <v>15</v>
      </c>
      <c r="Y20" s="1376"/>
      <c r="Z20" s="1377"/>
      <c r="AA20" s="1378" t="s">
        <v>2071</v>
      </c>
      <c r="AB20" s="1379"/>
      <c r="AC20" s="1379"/>
      <c r="AD20" s="1379"/>
      <c r="AE20" s="1379"/>
      <c r="AF20" s="1380"/>
    </row>
    <row r="21" spans="1:32" x14ac:dyDescent="0.25">
      <c r="A21" s="1368"/>
      <c r="B21" s="1369"/>
      <c r="C21" s="1370"/>
      <c r="D21" s="1368"/>
      <c r="E21" s="1369"/>
      <c r="F21" s="1369"/>
      <c r="G21" s="1369"/>
      <c r="H21" s="1369"/>
      <c r="I21" s="1369"/>
      <c r="J21" s="1370"/>
      <c r="K21" s="1378" t="s">
        <v>3166</v>
      </c>
      <c r="L21" s="1379"/>
      <c r="M21" s="1379"/>
      <c r="N21" s="1379"/>
      <c r="O21" s="1379"/>
      <c r="P21" s="1379"/>
      <c r="Q21" s="1379"/>
      <c r="R21" s="1379"/>
      <c r="S21" s="1379"/>
      <c r="T21" s="1379"/>
      <c r="U21" s="1379"/>
      <c r="V21" s="1379"/>
      <c r="W21" s="1380"/>
      <c r="X21" s="1375">
        <v>9</v>
      </c>
      <c r="Y21" s="1376"/>
      <c r="Z21" s="1377"/>
      <c r="AA21" s="1378" t="s">
        <v>2069</v>
      </c>
      <c r="AB21" s="1379"/>
      <c r="AC21" s="1379"/>
      <c r="AD21" s="1379"/>
      <c r="AE21" s="1379"/>
      <c r="AF21" s="1380"/>
    </row>
    <row r="22" spans="1:32" x14ac:dyDescent="0.25">
      <c r="A22" s="1368"/>
      <c r="B22" s="1369"/>
      <c r="C22" s="1370"/>
      <c r="D22" s="1368"/>
      <c r="E22" s="1369"/>
      <c r="F22" s="1369"/>
      <c r="G22" s="1369"/>
      <c r="H22" s="1369"/>
      <c r="I22" s="1369"/>
      <c r="J22" s="1370"/>
      <c r="K22" s="1378" t="s">
        <v>899</v>
      </c>
      <c r="L22" s="1379"/>
      <c r="M22" s="1379"/>
      <c r="N22" s="1379"/>
      <c r="O22" s="1379"/>
      <c r="P22" s="1379"/>
      <c r="Q22" s="1379"/>
      <c r="R22" s="1379"/>
      <c r="S22" s="1379"/>
      <c r="T22" s="1379"/>
      <c r="U22" s="1379"/>
      <c r="V22" s="1379"/>
      <c r="W22" s="1380"/>
      <c r="X22" s="1375">
        <v>5</v>
      </c>
      <c r="Y22" s="1376"/>
      <c r="Z22" s="1377"/>
      <c r="AA22" s="1378" t="s">
        <v>4657</v>
      </c>
      <c r="AB22" s="1379"/>
      <c r="AC22" s="1379"/>
      <c r="AD22" s="1379"/>
      <c r="AE22" s="1379"/>
      <c r="AF22" s="1380"/>
    </row>
    <row r="23" spans="1:32" x14ac:dyDescent="0.25">
      <c r="A23" s="1368"/>
      <c r="B23" s="1369"/>
      <c r="C23" s="1370"/>
      <c r="D23" s="1368"/>
      <c r="E23" s="1369"/>
      <c r="F23" s="1369"/>
      <c r="G23" s="1369"/>
      <c r="H23" s="1369"/>
      <c r="I23" s="1369"/>
      <c r="J23" s="1370"/>
      <c r="K23" s="1378" t="s">
        <v>900</v>
      </c>
      <c r="L23" s="1379"/>
      <c r="M23" s="1379"/>
      <c r="N23" s="1379"/>
      <c r="O23" s="1379"/>
      <c r="P23" s="1379"/>
      <c r="Q23" s="1379"/>
      <c r="R23" s="1379"/>
      <c r="S23" s="1379"/>
      <c r="T23" s="1379"/>
      <c r="U23" s="1379"/>
      <c r="V23" s="1379"/>
      <c r="W23" s="1380"/>
      <c r="X23" s="1375">
        <v>20</v>
      </c>
      <c r="Y23" s="1376"/>
      <c r="Z23" s="1377"/>
      <c r="AA23" s="1378" t="s">
        <v>2072</v>
      </c>
      <c r="AB23" s="1379"/>
      <c r="AC23" s="1379"/>
      <c r="AD23" s="1379"/>
      <c r="AE23" s="1379"/>
      <c r="AF23" s="1380"/>
    </row>
    <row r="24" spans="1:32" x14ac:dyDescent="0.25">
      <c r="A24" s="1368"/>
      <c r="B24" s="1369"/>
      <c r="C24" s="1370"/>
      <c r="D24" s="1368"/>
      <c r="E24" s="1369"/>
      <c r="F24" s="1369"/>
      <c r="G24" s="1369"/>
      <c r="H24" s="1369"/>
      <c r="I24" s="1369"/>
      <c r="J24" s="1370"/>
      <c r="K24" s="1378" t="s">
        <v>616</v>
      </c>
      <c r="L24" s="1379"/>
      <c r="M24" s="1379"/>
      <c r="N24" s="1379"/>
      <c r="O24" s="1379"/>
      <c r="P24" s="1379"/>
      <c r="Q24" s="1379"/>
      <c r="R24" s="1379"/>
      <c r="S24" s="1379"/>
      <c r="T24" s="1379"/>
      <c r="U24" s="1379"/>
      <c r="V24" s="1379"/>
      <c r="W24" s="1380"/>
      <c r="X24" s="1375">
        <v>20</v>
      </c>
      <c r="Y24" s="1376"/>
      <c r="Z24" s="1377"/>
      <c r="AA24" s="1378" t="s">
        <v>2069</v>
      </c>
      <c r="AB24" s="1379"/>
      <c r="AC24" s="1379"/>
      <c r="AD24" s="1379"/>
      <c r="AE24" s="1379"/>
      <c r="AF24" s="1380"/>
    </row>
    <row r="25" spans="1:32" x14ac:dyDescent="0.25">
      <c r="A25" s="1368"/>
      <c r="B25" s="1369"/>
      <c r="C25" s="1370"/>
      <c r="D25" s="1371"/>
      <c r="E25" s="1372"/>
      <c r="F25" s="1372"/>
      <c r="G25" s="1372"/>
      <c r="H25" s="1372"/>
      <c r="I25" s="1372"/>
      <c r="J25" s="1373"/>
      <c r="K25" s="1378" t="s">
        <v>3125</v>
      </c>
      <c r="L25" s="1379"/>
      <c r="M25" s="1379"/>
      <c r="N25" s="1379"/>
      <c r="O25" s="1379"/>
      <c r="P25" s="1379"/>
      <c r="Q25" s="1379"/>
      <c r="R25" s="1379"/>
      <c r="S25" s="1379"/>
      <c r="T25" s="1379"/>
      <c r="U25" s="1379"/>
      <c r="V25" s="1379"/>
      <c r="W25" s="1380"/>
      <c r="X25" s="1375">
        <v>12</v>
      </c>
      <c r="Y25" s="1376"/>
      <c r="Z25" s="1377"/>
      <c r="AA25" s="1378" t="s">
        <v>2072</v>
      </c>
      <c r="AB25" s="1379"/>
      <c r="AC25" s="1379"/>
      <c r="AD25" s="1379"/>
      <c r="AE25" s="1379"/>
      <c r="AF25" s="1380"/>
    </row>
    <row r="26" spans="1:32" x14ac:dyDescent="0.25">
      <c r="A26" s="1368"/>
      <c r="B26" s="1369"/>
      <c r="C26" s="1370"/>
      <c r="D26" s="1365" t="s">
        <v>37</v>
      </c>
      <c r="E26" s="1366"/>
      <c r="F26" s="1366"/>
      <c r="G26" s="1366"/>
      <c r="H26" s="1366"/>
      <c r="I26" s="1366"/>
      <c r="J26" s="1367"/>
      <c r="K26" s="1378" t="s">
        <v>38</v>
      </c>
      <c r="L26" s="1379"/>
      <c r="M26" s="1379"/>
      <c r="N26" s="1379"/>
      <c r="O26" s="1379"/>
      <c r="P26" s="1379"/>
      <c r="Q26" s="1379"/>
      <c r="R26" s="1379"/>
      <c r="S26" s="1379"/>
      <c r="T26" s="1379"/>
      <c r="U26" s="1379"/>
      <c r="V26" s="1379"/>
      <c r="W26" s="1380"/>
      <c r="X26" s="1375">
        <v>14</v>
      </c>
      <c r="Y26" s="1376"/>
      <c r="Z26" s="1377"/>
      <c r="AA26" s="1378" t="s">
        <v>2071</v>
      </c>
      <c r="AB26" s="1379"/>
      <c r="AC26" s="1379"/>
      <c r="AD26" s="1379"/>
      <c r="AE26" s="1379"/>
      <c r="AF26" s="1380"/>
    </row>
    <row r="27" spans="1:32" x14ac:dyDescent="0.25">
      <c r="A27" s="1368"/>
      <c r="B27" s="1369"/>
      <c r="C27" s="1370"/>
      <c r="D27" s="1368"/>
      <c r="E27" s="1369"/>
      <c r="F27" s="1369"/>
      <c r="G27" s="1369"/>
      <c r="H27" s="1369"/>
      <c r="I27" s="1369"/>
      <c r="J27" s="1370"/>
      <c r="K27" s="1378" t="s">
        <v>2068</v>
      </c>
      <c r="L27" s="1379"/>
      <c r="M27" s="1379"/>
      <c r="N27" s="1379"/>
      <c r="O27" s="1379"/>
      <c r="P27" s="1379"/>
      <c r="Q27" s="1379"/>
      <c r="R27" s="1379"/>
      <c r="S27" s="1379"/>
      <c r="T27" s="1379"/>
      <c r="U27" s="1379"/>
      <c r="V27" s="1379"/>
      <c r="W27" s="1380"/>
      <c r="X27" s="1375">
        <v>17</v>
      </c>
      <c r="Y27" s="1376"/>
      <c r="Z27" s="1377"/>
      <c r="AA27" s="1378" t="s">
        <v>2071</v>
      </c>
      <c r="AB27" s="1379"/>
      <c r="AC27" s="1379"/>
      <c r="AD27" s="1379"/>
      <c r="AE27" s="1379"/>
      <c r="AF27" s="1380"/>
    </row>
    <row r="28" spans="1:32" x14ac:dyDescent="0.25">
      <c r="A28" s="1368"/>
      <c r="B28" s="1369"/>
      <c r="C28" s="1370"/>
      <c r="D28" s="1368"/>
      <c r="E28" s="1369"/>
      <c r="F28" s="1369"/>
      <c r="G28" s="1369"/>
      <c r="H28" s="1369"/>
      <c r="I28" s="1369"/>
      <c r="J28" s="1370"/>
      <c r="K28" s="1378" t="s">
        <v>2696</v>
      </c>
      <c r="L28" s="1379"/>
      <c r="M28" s="1379"/>
      <c r="N28" s="1379"/>
      <c r="O28" s="1379"/>
      <c r="P28" s="1379"/>
      <c r="Q28" s="1379"/>
      <c r="R28" s="1379"/>
      <c r="S28" s="1379"/>
      <c r="T28" s="1379"/>
      <c r="U28" s="1379"/>
      <c r="V28" s="1379"/>
      <c r="W28" s="1380"/>
      <c r="X28" s="1375">
        <v>8</v>
      </c>
      <c r="Y28" s="1376"/>
      <c r="Z28" s="1377"/>
      <c r="AA28" s="1378" t="s">
        <v>2071</v>
      </c>
      <c r="AB28" s="1379"/>
      <c r="AC28" s="1379"/>
      <c r="AD28" s="1379"/>
      <c r="AE28" s="1379"/>
      <c r="AF28" s="1380"/>
    </row>
    <row r="29" spans="1:32" x14ac:dyDescent="0.25">
      <c r="A29" s="1368"/>
      <c r="B29" s="1369"/>
      <c r="C29" s="1370"/>
      <c r="D29" s="1368"/>
      <c r="E29" s="1369"/>
      <c r="F29" s="1369"/>
      <c r="G29" s="1369"/>
      <c r="H29" s="1369"/>
      <c r="I29" s="1369"/>
      <c r="J29" s="1370"/>
      <c r="K29" s="1378" t="s">
        <v>2697</v>
      </c>
      <c r="L29" s="1379"/>
      <c r="M29" s="1379"/>
      <c r="N29" s="1379"/>
      <c r="O29" s="1379"/>
      <c r="P29" s="1379"/>
      <c r="Q29" s="1379"/>
      <c r="R29" s="1379"/>
      <c r="S29" s="1379"/>
      <c r="T29" s="1379"/>
      <c r="U29" s="1379"/>
      <c r="V29" s="1379"/>
      <c r="W29" s="1380"/>
      <c r="X29" s="1375">
        <v>7</v>
      </c>
      <c r="Y29" s="1376"/>
      <c r="Z29" s="1377"/>
      <c r="AA29" s="1378" t="s">
        <v>2071</v>
      </c>
      <c r="AB29" s="1379"/>
      <c r="AC29" s="1379"/>
      <c r="AD29" s="1379"/>
      <c r="AE29" s="1379"/>
      <c r="AF29" s="1380"/>
    </row>
    <row r="30" spans="1:32" x14ac:dyDescent="0.25">
      <c r="A30" s="1368"/>
      <c r="B30" s="1369"/>
      <c r="C30" s="1370"/>
      <c r="D30" s="1368"/>
      <c r="E30" s="1369"/>
      <c r="F30" s="1369"/>
      <c r="G30" s="1369"/>
      <c r="H30" s="1369"/>
      <c r="I30" s="1369"/>
      <c r="J30" s="1370"/>
      <c r="K30" s="1378" t="s">
        <v>901</v>
      </c>
      <c r="L30" s="1379"/>
      <c r="M30" s="1379"/>
      <c r="N30" s="1379"/>
      <c r="O30" s="1379"/>
      <c r="P30" s="1379"/>
      <c r="Q30" s="1379"/>
      <c r="R30" s="1379"/>
      <c r="S30" s="1379"/>
      <c r="T30" s="1379"/>
      <c r="U30" s="1379"/>
      <c r="V30" s="1379"/>
      <c r="W30" s="1380"/>
      <c r="X30" s="1375">
        <v>14</v>
      </c>
      <c r="Y30" s="1376"/>
      <c r="Z30" s="1377"/>
      <c r="AA30" s="1378" t="s">
        <v>2072</v>
      </c>
      <c r="AB30" s="1379"/>
      <c r="AC30" s="1379"/>
      <c r="AD30" s="1379"/>
      <c r="AE30" s="1379"/>
      <c r="AF30" s="1380"/>
    </row>
    <row r="31" spans="1:32" x14ac:dyDescent="0.25">
      <c r="A31" s="1368"/>
      <c r="B31" s="1369"/>
      <c r="C31" s="1370"/>
      <c r="D31" s="1368"/>
      <c r="E31" s="1369"/>
      <c r="F31" s="1369"/>
      <c r="G31" s="1369"/>
      <c r="H31" s="1369"/>
      <c r="I31" s="1369"/>
      <c r="J31" s="1370"/>
      <c r="K31" s="1378" t="s">
        <v>3218</v>
      </c>
      <c r="L31" s="1379"/>
      <c r="M31" s="1379"/>
      <c r="N31" s="1379"/>
      <c r="O31" s="1379"/>
      <c r="P31" s="1379"/>
      <c r="Q31" s="1379"/>
      <c r="R31" s="1379"/>
      <c r="S31" s="1379"/>
      <c r="T31" s="1379"/>
      <c r="U31" s="1379"/>
      <c r="V31" s="1379"/>
      <c r="W31" s="1380"/>
      <c r="X31" s="1375">
        <v>11</v>
      </c>
      <c r="Y31" s="1376"/>
      <c r="Z31" s="1377"/>
      <c r="AA31" s="1378" t="s">
        <v>2069</v>
      </c>
      <c r="AB31" s="1379"/>
      <c r="AC31" s="1379"/>
      <c r="AD31" s="1379"/>
      <c r="AE31" s="1379"/>
      <c r="AF31" s="1380"/>
    </row>
    <row r="32" spans="1:32" x14ac:dyDescent="0.25">
      <c r="A32" s="1368"/>
      <c r="B32" s="1369"/>
      <c r="C32" s="1370"/>
      <c r="D32" s="1368"/>
      <c r="E32" s="1369"/>
      <c r="F32" s="1369"/>
      <c r="G32" s="1369"/>
      <c r="H32" s="1369"/>
      <c r="I32" s="1369"/>
      <c r="J32" s="1370"/>
      <c r="K32" s="1378" t="s">
        <v>1461</v>
      </c>
      <c r="L32" s="1379"/>
      <c r="M32" s="1379"/>
      <c r="N32" s="1379"/>
      <c r="O32" s="1379"/>
      <c r="P32" s="1379"/>
      <c r="Q32" s="1379"/>
      <c r="R32" s="1379"/>
      <c r="S32" s="1379"/>
      <c r="T32" s="1379"/>
      <c r="U32" s="1379"/>
      <c r="V32" s="1379"/>
      <c r="W32" s="1380"/>
      <c r="X32" s="1375">
        <v>12</v>
      </c>
      <c r="Y32" s="1376"/>
      <c r="Z32" s="1377"/>
      <c r="AA32" s="1378" t="s">
        <v>6313</v>
      </c>
      <c r="AB32" s="1379"/>
      <c r="AC32" s="1379"/>
      <c r="AD32" s="1379"/>
      <c r="AE32" s="1379"/>
      <c r="AF32" s="1380"/>
    </row>
    <row r="33" spans="1:32" x14ac:dyDescent="0.25">
      <c r="A33" s="1368"/>
      <c r="B33" s="1369"/>
      <c r="C33" s="1370"/>
      <c r="D33" s="1368"/>
      <c r="E33" s="1369"/>
      <c r="F33" s="1369"/>
      <c r="G33" s="1369"/>
      <c r="H33" s="1369"/>
      <c r="I33" s="1369"/>
      <c r="J33" s="1370"/>
      <c r="K33" s="1378" t="s">
        <v>6399</v>
      </c>
      <c r="L33" s="1379"/>
      <c r="M33" s="1379"/>
      <c r="N33" s="1379"/>
      <c r="O33" s="1379"/>
      <c r="P33" s="1379"/>
      <c r="Q33" s="1379"/>
      <c r="R33" s="1379"/>
      <c r="S33" s="1379"/>
      <c r="T33" s="1379"/>
      <c r="U33" s="1379"/>
      <c r="V33" s="1379"/>
      <c r="W33" s="1380"/>
      <c r="X33" s="1375">
        <v>12</v>
      </c>
      <c r="Y33" s="1376"/>
      <c r="Z33" s="1377"/>
      <c r="AA33" s="1378" t="s">
        <v>6400</v>
      </c>
      <c r="AB33" s="1379"/>
      <c r="AC33" s="1379"/>
      <c r="AD33" s="1379"/>
      <c r="AE33" s="1379"/>
      <c r="AF33" s="1380"/>
    </row>
    <row r="34" spans="1:32" x14ac:dyDescent="0.25">
      <c r="A34" s="1368"/>
      <c r="B34" s="1369"/>
      <c r="C34" s="1370"/>
      <c r="D34" s="1368"/>
      <c r="E34" s="1369"/>
      <c r="F34" s="1369"/>
      <c r="G34" s="1369"/>
      <c r="H34" s="1369"/>
      <c r="I34" s="1369"/>
      <c r="J34" s="1370"/>
      <c r="K34" s="1378" t="s">
        <v>498</v>
      </c>
      <c r="L34" s="1379"/>
      <c r="M34" s="1379"/>
      <c r="N34" s="1379"/>
      <c r="O34" s="1379"/>
      <c r="P34" s="1379"/>
      <c r="Q34" s="1379"/>
      <c r="R34" s="1379"/>
      <c r="S34" s="1379"/>
      <c r="T34" s="1379"/>
      <c r="U34" s="1379"/>
      <c r="V34" s="1379"/>
      <c r="W34" s="1380"/>
      <c r="X34" s="1375">
        <v>14</v>
      </c>
      <c r="Y34" s="1376"/>
      <c r="Z34" s="1377"/>
      <c r="AA34" s="1378" t="s">
        <v>2072</v>
      </c>
      <c r="AB34" s="1379"/>
      <c r="AC34" s="1379"/>
      <c r="AD34" s="1379"/>
      <c r="AE34" s="1379"/>
      <c r="AF34" s="1380"/>
    </row>
    <row r="35" spans="1:32" x14ac:dyDescent="0.25">
      <c r="A35" s="1368"/>
      <c r="B35" s="1369"/>
      <c r="C35" s="1370"/>
      <c r="D35" s="1368"/>
      <c r="E35" s="1369"/>
      <c r="F35" s="1369"/>
      <c r="G35" s="1369"/>
      <c r="H35" s="1369"/>
      <c r="I35" s="1369"/>
      <c r="J35" s="1370"/>
      <c r="K35" s="1378" t="s">
        <v>3126</v>
      </c>
      <c r="L35" s="1379"/>
      <c r="M35" s="1379"/>
      <c r="N35" s="1379"/>
      <c r="O35" s="1379"/>
      <c r="P35" s="1379"/>
      <c r="Q35" s="1379"/>
      <c r="R35" s="1379"/>
      <c r="S35" s="1379"/>
      <c r="T35" s="1379"/>
      <c r="U35" s="1379"/>
      <c r="V35" s="1379"/>
      <c r="W35" s="1380"/>
      <c r="X35" s="1375">
        <v>9</v>
      </c>
      <c r="Y35" s="1376"/>
      <c r="Z35" s="1377"/>
      <c r="AA35" s="1378" t="s">
        <v>2072</v>
      </c>
      <c r="AB35" s="1379"/>
      <c r="AC35" s="1379"/>
      <c r="AD35" s="1379"/>
      <c r="AE35" s="1379"/>
      <c r="AF35" s="1380"/>
    </row>
    <row r="36" spans="1:32" x14ac:dyDescent="0.25">
      <c r="A36" s="1368"/>
      <c r="B36" s="1369"/>
      <c r="C36" s="1370"/>
      <c r="D36" s="1371"/>
      <c r="E36" s="1372"/>
      <c r="F36" s="1372"/>
      <c r="G36" s="1372"/>
      <c r="H36" s="1372"/>
      <c r="I36" s="1372"/>
      <c r="J36" s="1373"/>
      <c r="K36" s="1378" t="s">
        <v>6427</v>
      </c>
      <c r="L36" s="1379"/>
      <c r="M36" s="1379"/>
      <c r="N36" s="1379"/>
      <c r="O36" s="1379"/>
      <c r="P36" s="1379"/>
      <c r="Q36" s="1379"/>
      <c r="R36" s="1379"/>
      <c r="S36" s="1379"/>
      <c r="T36" s="1379"/>
      <c r="U36" s="1379"/>
      <c r="V36" s="1379"/>
      <c r="W36" s="1380"/>
      <c r="X36" s="1375">
        <v>16</v>
      </c>
      <c r="Y36" s="1376"/>
      <c r="Z36" s="1377"/>
      <c r="AA36" s="1378" t="s">
        <v>6400</v>
      </c>
      <c r="AB36" s="1379"/>
      <c r="AC36" s="1379"/>
      <c r="AD36" s="1379"/>
      <c r="AE36" s="1379"/>
      <c r="AF36" s="1380"/>
    </row>
    <row r="37" spans="1:32" x14ac:dyDescent="0.25">
      <c r="A37" s="1368"/>
      <c r="B37" s="1369"/>
      <c r="C37" s="1370"/>
      <c r="D37" s="1375" t="s">
        <v>517</v>
      </c>
      <c r="E37" s="1376"/>
      <c r="F37" s="1376"/>
      <c r="G37" s="1376"/>
      <c r="H37" s="1376"/>
      <c r="I37" s="1376"/>
      <c r="J37" s="1377"/>
      <c r="K37" s="1378" t="s">
        <v>1224</v>
      </c>
      <c r="L37" s="1379"/>
      <c r="M37" s="1379"/>
      <c r="N37" s="1379"/>
      <c r="O37" s="1379"/>
      <c r="P37" s="1379"/>
      <c r="Q37" s="1379"/>
      <c r="R37" s="1379"/>
      <c r="S37" s="1379"/>
      <c r="T37" s="1379"/>
      <c r="U37" s="1379"/>
      <c r="V37" s="1379"/>
      <c r="W37" s="1380"/>
      <c r="X37" s="1375">
        <v>6</v>
      </c>
      <c r="Y37" s="1376"/>
      <c r="Z37" s="1377"/>
      <c r="AA37" s="1378" t="s">
        <v>4655</v>
      </c>
      <c r="AB37" s="1379"/>
      <c r="AC37" s="1379"/>
      <c r="AD37" s="1379"/>
      <c r="AE37" s="1379"/>
      <c r="AF37" s="1380"/>
    </row>
    <row r="38" spans="1:32" x14ac:dyDescent="0.25">
      <c r="A38" s="1368"/>
      <c r="B38" s="1369"/>
      <c r="C38" s="1370"/>
      <c r="D38" s="1375"/>
      <c r="E38" s="1376"/>
      <c r="F38" s="1376"/>
      <c r="G38" s="1376"/>
      <c r="H38" s="1376"/>
      <c r="I38" s="1376"/>
      <c r="J38" s="1377"/>
      <c r="K38" s="1378" t="s">
        <v>902</v>
      </c>
      <c r="L38" s="1379"/>
      <c r="M38" s="1379"/>
      <c r="N38" s="1379"/>
      <c r="O38" s="1379"/>
      <c r="P38" s="1379"/>
      <c r="Q38" s="1379"/>
      <c r="R38" s="1379"/>
      <c r="S38" s="1379"/>
      <c r="T38" s="1379"/>
      <c r="U38" s="1379"/>
      <c r="V38" s="1379"/>
      <c r="W38" s="1380"/>
      <c r="X38" s="1375">
        <v>5</v>
      </c>
      <c r="Y38" s="1376"/>
      <c r="Z38" s="1377"/>
      <c r="AA38" s="1378" t="s">
        <v>2072</v>
      </c>
      <c r="AB38" s="1379"/>
      <c r="AC38" s="1379"/>
      <c r="AD38" s="1379"/>
      <c r="AE38" s="1379"/>
      <c r="AF38" s="1380"/>
    </row>
    <row r="39" spans="1:32" x14ac:dyDescent="0.25">
      <c r="A39" s="1368"/>
      <c r="B39" s="1369"/>
      <c r="C39" s="1370"/>
      <c r="D39" s="1375"/>
      <c r="E39" s="1376"/>
      <c r="F39" s="1376"/>
      <c r="G39" s="1376"/>
      <c r="H39" s="1376"/>
      <c r="I39" s="1376"/>
      <c r="J39" s="1377"/>
      <c r="K39" s="1378" t="s">
        <v>1225</v>
      </c>
      <c r="L39" s="1379"/>
      <c r="M39" s="1379"/>
      <c r="N39" s="1379"/>
      <c r="O39" s="1379"/>
      <c r="P39" s="1379"/>
      <c r="Q39" s="1379"/>
      <c r="R39" s="1379"/>
      <c r="S39" s="1379"/>
      <c r="T39" s="1379"/>
      <c r="U39" s="1379"/>
      <c r="V39" s="1379"/>
      <c r="W39" s="1380"/>
      <c r="X39" s="1375">
        <v>4</v>
      </c>
      <c r="Y39" s="1376"/>
      <c r="Z39" s="1377"/>
      <c r="AA39" s="1378" t="s">
        <v>2069</v>
      </c>
      <c r="AB39" s="1379"/>
      <c r="AC39" s="1379"/>
      <c r="AD39" s="1379"/>
      <c r="AE39" s="1379"/>
      <c r="AF39" s="1380"/>
    </row>
    <row r="40" spans="1:32" x14ac:dyDescent="0.25">
      <c r="A40" s="1368"/>
      <c r="B40" s="1369"/>
      <c r="C40" s="1370"/>
      <c r="D40" s="1375" t="s">
        <v>1171</v>
      </c>
      <c r="E40" s="1376"/>
      <c r="F40" s="1376"/>
      <c r="G40" s="1376"/>
      <c r="H40" s="1376"/>
      <c r="I40" s="1376"/>
      <c r="J40" s="1377"/>
      <c r="K40" s="1378" t="s">
        <v>903</v>
      </c>
      <c r="L40" s="1379"/>
      <c r="M40" s="1379"/>
      <c r="N40" s="1379"/>
      <c r="O40" s="1379"/>
      <c r="P40" s="1379"/>
      <c r="Q40" s="1379"/>
      <c r="R40" s="1379"/>
      <c r="S40" s="1379"/>
      <c r="T40" s="1379"/>
      <c r="U40" s="1379"/>
      <c r="V40" s="1379"/>
      <c r="W40" s="1380"/>
      <c r="X40" s="1375">
        <v>10</v>
      </c>
      <c r="Y40" s="1376"/>
      <c r="Z40" s="1377"/>
      <c r="AA40" s="1378" t="s">
        <v>2071</v>
      </c>
      <c r="AB40" s="1379"/>
      <c r="AC40" s="1379"/>
      <c r="AD40" s="1379"/>
      <c r="AE40" s="1379"/>
      <c r="AF40" s="1380"/>
    </row>
    <row r="41" spans="1:32" x14ac:dyDescent="0.25">
      <c r="A41" s="1368"/>
      <c r="B41" s="1369"/>
      <c r="C41" s="1370"/>
      <c r="D41" s="1365" t="s">
        <v>1167</v>
      </c>
      <c r="E41" s="1366"/>
      <c r="F41" s="1366"/>
      <c r="G41" s="1366"/>
      <c r="H41" s="1366"/>
      <c r="I41" s="1366"/>
      <c r="J41" s="1367"/>
      <c r="K41" s="1378" t="s">
        <v>3358</v>
      </c>
      <c r="L41" s="1379"/>
      <c r="M41" s="1379"/>
      <c r="N41" s="1379"/>
      <c r="O41" s="1379"/>
      <c r="P41" s="1379"/>
      <c r="Q41" s="1379"/>
      <c r="R41" s="1379"/>
      <c r="S41" s="1379"/>
      <c r="T41" s="1379"/>
      <c r="U41" s="1379"/>
      <c r="V41" s="1379"/>
      <c r="W41" s="1380"/>
      <c r="X41" s="1375">
        <v>5</v>
      </c>
      <c r="Y41" s="1376"/>
      <c r="Z41" s="1377"/>
      <c r="AA41" s="1378" t="s">
        <v>4655</v>
      </c>
      <c r="AB41" s="1379"/>
      <c r="AC41" s="1379"/>
      <c r="AD41" s="1379"/>
      <c r="AE41" s="1379"/>
      <c r="AF41" s="1380"/>
    </row>
    <row r="42" spans="1:32" x14ac:dyDescent="0.25">
      <c r="A42" s="1368"/>
      <c r="B42" s="1369"/>
      <c r="C42" s="1370"/>
      <c r="D42" s="1371"/>
      <c r="E42" s="1372"/>
      <c r="F42" s="1372"/>
      <c r="G42" s="1372"/>
      <c r="H42" s="1372"/>
      <c r="I42" s="1372"/>
      <c r="J42" s="1373"/>
      <c r="K42" s="1378" t="s">
        <v>6428</v>
      </c>
      <c r="L42" s="1379"/>
      <c r="M42" s="1379"/>
      <c r="N42" s="1379"/>
      <c r="O42" s="1379"/>
      <c r="P42" s="1379"/>
      <c r="Q42" s="1379"/>
      <c r="R42" s="1379"/>
      <c r="S42" s="1379"/>
      <c r="T42" s="1379"/>
      <c r="U42" s="1379"/>
      <c r="V42" s="1379"/>
      <c r="W42" s="1380"/>
      <c r="X42" s="1375">
        <v>10</v>
      </c>
      <c r="Y42" s="1376"/>
      <c r="Z42" s="1377"/>
      <c r="AA42" s="1378" t="s">
        <v>6492</v>
      </c>
      <c r="AB42" s="1379"/>
      <c r="AC42" s="1379"/>
      <c r="AD42" s="1379"/>
      <c r="AE42" s="1379"/>
      <c r="AF42" s="1380"/>
    </row>
    <row r="43" spans="1:32" x14ac:dyDescent="0.25">
      <c r="A43" s="1368"/>
      <c r="B43" s="1369"/>
      <c r="C43" s="1370"/>
      <c r="D43" s="1365" t="s">
        <v>904</v>
      </c>
      <c r="E43" s="1366"/>
      <c r="F43" s="1366"/>
      <c r="G43" s="1366"/>
      <c r="H43" s="1366"/>
      <c r="I43" s="1366"/>
      <c r="J43" s="1367"/>
      <c r="K43" s="1378" t="s">
        <v>905</v>
      </c>
      <c r="L43" s="1379"/>
      <c r="M43" s="1379"/>
      <c r="N43" s="1379"/>
      <c r="O43" s="1379"/>
      <c r="P43" s="1379"/>
      <c r="Q43" s="1379"/>
      <c r="R43" s="1379"/>
      <c r="S43" s="1379"/>
      <c r="T43" s="1379"/>
      <c r="U43" s="1379"/>
      <c r="V43" s="1379"/>
      <c r="W43" s="1380"/>
      <c r="X43" s="1375">
        <v>8</v>
      </c>
      <c r="Y43" s="1376"/>
      <c r="Z43" s="1377"/>
      <c r="AA43" s="1378" t="s">
        <v>2072</v>
      </c>
      <c r="AB43" s="1379"/>
      <c r="AC43" s="1379"/>
      <c r="AD43" s="1379"/>
      <c r="AE43" s="1379"/>
      <c r="AF43" s="1380"/>
    </row>
    <row r="44" spans="1:32" x14ac:dyDescent="0.25">
      <c r="A44" s="1368"/>
      <c r="B44" s="1369"/>
      <c r="C44" s="1370"/>
      <c r="D44" s="1368"/>
      <c r="E44" s="1369"/>
      <c r="F44" s="1369"/>
      <c r="G44" s="1369"/>
      <c r="H44" s="1369"/>
      <c r="I44" s="1369"/>
      <c r="J44" s="1370"/>
      <c r="K44" s="1378" t="s">
        <v>652</v>
      </c>
      <c r="L44" s="1379"/>
      <c r="M44" s="1379"/>
      <c r="N44" s="1379"/>
      <c r="O44" s="1379"/>
      <c r="P44" s="1379"/>
      <c r="Q44" s="1379"/>
      <c r="R44" s="1379"/>
      <c r="S44" s="1379"/>
      <c r="T44" s="1379"/>
      <c r="U44" s="1379"/>
      <c r="V44" s="1379"/>
      <c r="W44" s="1380"/>
      <c r="X44" s="1375">
        <v>1</v>
      </c>
      <c r="Y44" s="1376"/>
      <c r="Z44" s="1377"/>
      <c r="AA44" s="1378" t="s">
        <v>2072</v>
      </c>
      <c r="AB44" s="1379"/>
      <c r="AC44" s="1379"/>
      <c r="AD44" s="1379"/>
      <c r="AE44" s="1379"/>
      <c r="AF44" s="1380"/>
    </row>
    <row r="45" spans="1:32" x14ac:dyDescent="0.25">
      <c r="A45" s="1368"/>
      <c r="B45" s="1369"/>
      <c r="C45" s="1370"/>
      <c r="D45" s="1368"/>
      <c r="E45" s="1369"/>
      <c r="F45" s="1369"/>
      <c r="G45" s="1369"/>
      <c r="H45" s="1369"/>
      <c r="I45" s="1369"/>
      <c r="J45" s="1370"/>
      <c r="K45" s="1378" t="s">
        <v>906</v>
      </c>
      <c r="L45" s="1379"/>
      <c r="M45" s="1379"/>
      <c r="N45" s="1379"/>
      <c r="O45" s="1379"/>
      <c r="P45" s="1379"/>
      <c r="Q45" s="1379"/>
      <c r="R45" s="1379"/>
      <c r="S45" s="1379"/>
      <c r="T45" s="1379"/>
      <c r="U45" s="1379"/>
      <c r="V45" s="1379"/>
      <c r="W45" s="1380"/>
      <c r="X45" s="1375">
        <v>4</v>
      </c>
      <c r="Y45" s="1376"/>
      <c r="Z45" s="1377"/>
      <c r="AA45" s="1378" t="s">
        <v>2072</v>
      </c>
      <c r="AB45" s="1379"/>
      <c r="AC45" s="1379"/>
      <c r="AD45" s="1379"/>
      <c r="AE45" s="1379"/>
      <c r="AF45" s="1380"/>
    </row>
    <row r="46" spans="1:32" x14ac:dyDescent="0.25">
      <c r="A46" s="1371"/>
      <c r="B46" s="1372"/>
      <c r="C46" s="1373"/>
      <c r="D46" s="1371"/>
      <c r="E46" s="1372"/>
      <c r="F46" s="1372"/>
      <c r="G46" s="1372"/>
      <c r="H46" s="1372"/>
      <c r="I46" s="1372"/>
      <c r="J46" s="1373"/>
      <c r="K46" s="1378" t="s">
        <v>804</v>
      </c>
      <c r="L46" s="1379"/>
      <c r="M46" s="1379"/>
      <c r="N46" s="1379"/>
      <c r="O46" s="1379"/>
      <c r="P46" s="1379"/>
      <c r="Q46" s="1379"/>
      <c r="R46" s="1379"/>
      <c r="S46" s="1379"/>
      <c r="T46" s="1379"/>
      <c r="U46" s="1379"/>
      <c r="V46" s="1379"/>
      <c r="W46" s="1380"/>
      <c r="X46" s="1375">
        <v>8</v>
      </c>
      <c r="Y46" s="1376"/>
      <c r="Z46" s="1377"/>
      <c r="AA46" s="1378" t="s">
        <v>2072</v>
      </c>
      <c r="AB46" s="1379"/>
      <c r="AC46" s="1379"/>
      <c r="AD46" s="1379"/>
      <c r="AE46" s="1379"/>
      <c r="AF46" s="1380"/>
    </row>
    <row r="47" spans="1:32" x14ac:dyDescent="0.25">
      <c r="A47" s="1365" t="s">
        <v>890</v>
      </c>
      <c r="B47" s="1366"/>
      <c r="C47" s="1367"/>
      <c r="D47" s="1375" t="s">
        <v>467</v>
      </c>
      <c r="E47" s="1376"/>
      <c r="F47" s="1376"/>
      <c r="G47" s="1376"/>
      <c r="H47" s="1376"/>
      <c r="I47" s="1376"/>
      <c r="J47" s="1377"/>
      <c r="K47" s="1378" t="s">
        <v>907</v>
      </c>
      <c r="L47" s="1379"/>
      <c r="M47" s="1379"/>
      <c r="N47" s="1379"/>
      <c r="O47" s="1379"/>
      <c r="P47" s="1379"/>
      <c r="Q47" s="1379"/>
      <c r="R47" s="1379"/>
      <c r="S47" s="1379"/>
      <c r="T47" s="1379"/>
      <c r="U47" s="1379"/>
      <c r="V47" s="1379"/>
      <c r="W47" s="1380"/>
      <c r="X47" s="1375">
        <v>5</v>
      </c>
      <c r="Y47" s="1376"/>
      <c r="Z47" s="1377"/>
      <c r="AA47" s="1378" t="s">
        <v>2072</v>
      </c>
      <c r="AB47" s="1379"/>
      <c r="AC47" s="1379"/>
      <c r="AD47" s="1379"/>
      <c r="AE47" s="1379"/>
      <c r="AF47" s="1380"/>
    </row>
    <row r="48" spans="1:32" x14ac:dyDescent="0.25">
      <c r="A48" s="1371"/>
      <c r="B48" s="1372"/>
      <c r="C48" s="1373"/>
      <c r="D48" s="1375" t="s">
        <v>687</v>
      </c>
      <c r="E48" s="1376"/>
      <c r="F48" s="1376"/>
      <c r="G48" s="1376"/>
      <c r="H48" s="1376"/>
      <c r="I48" s="1376"/>
      <c r="J48" s="1377"/>
      <c r="K48" s="1378" t="s">
        <v>4653</v>
      </c>
      <c r="L48" s="1379"/>
      <c r="M48" s="1379"/>
      <c r="N48" s="1379"/>
      <c r="O48" s="1379"/>
      <c r="P48" s="1379"/>
      <c r="Q48" s="1379"/>
      <c r="R48" s="1379"/>
      <c r="S48" s="1379"/>
      <c r="T48" s="1379"/>
      <c r="U48" s="1379"/>
      <c r="V48" s="1379"/>
      <c r="W48" s="1380"/>
      <c r="X48" s="1375">
        <v>10</v>
      </c>
      <c r="Y48" s="1376"/>
      <c r="Z48" s="1377"/>
      <c r="AA48" s="1378" t="s">
        <v>4655</v>
      </c>
      <c r="AB48" s="1379"/>
      <c r="AC48" s="1379"/>
      <c r="AD48" s="1379"/>
      <c r="AE48" s="1379"/>
      <c r="AF48" s="1380"/>
    </row>
    <row r="49" spans="1:39" x14ac:dyDescent="0.25">
      <c r="A49" s="1365" t="s">
        <v>892</v>
      </c>
      <c r="B49" s="1366"/>
      <c r="C49" s="1367"/>
      <c r="D49" s="1375" t="s">
        <v>908</v>
      </c>
      <c r="E49" s="1376"/>
      <c r="F49" s="1376"/>
      <c r="G49" s="1376"/>
      <c r="H49" s="1376"/>
      <c r="I49" s="1376"/>
      <c r="J49" s="1377"/>
      <c r="K49" s="1378" t="s">
        <v>909</v>
      </c>
      <c r="L49" s="1379"/>
      <c r="M49" s="1379"/>
      <c r="N49" s="1379"/>
      <c r="O49" s="1379"/>
      <c r="P49" s="1379"/>
      <c r="Q49" s="1379"/>
      <c r="R49" s="1379"/>
      <c r="S49" s="1379"/>
      <c r="T49" s="1379"/>
      <c r="U49" s="1379"/>
      <c r="V49" s="1379"/>
      <c r="W49" s="1380"/>
      <c r="X49" s="1375">
        <v>15</v>
      </c>
      <c r="Y49" s="1376"/>
      <c r="Z49" s="1377"/>
      <c r="AA49" s="1378" t="s">
        <v>2072</v>
      </c>
      <c r="AB49" s="1379"/>
      <c r="AC49" s="1379"/>
      <c r="AD49" s="1379"/>
      <c r="AE49" s="1379"/>
      <c r="AF49" s="1380"/>
    </row>
    <row r="50" spans="1:39" x14ac:dyDescent="0.25">
      <c r="A50" s="1368"/>
      <c r="B50" s="1369"/>
      <c r="C50" s="1370"/>
      <c r="D50" s="1375" t="s">
        <v>420</v>
      </c>
      <c r="E50" s="1376"/>
      <c r="F50" s="1376"/>
      <c r="G50" s="1376"/>
      <c r="H50" s="1376"/>
      <c r="I50" s="1376"/>
      <c r="J50" s="1377"/>
      <c r="K50" s="1378" t="s">
        <v>649</v>
      </c>
      <c r="L50" s="1379"/>
      <c r="M50" s="1379"/>
      <c r="N50" s="1379"/>
      <c r="O50" s="1379"/>
      <c r="P50" s="1379"/>
      <c r="Q50" s="1379"/>
      <c r="R50" s="1379"/>
      <c r="S50" s="1379"/>
      <c r="T50" s="1379"/>
      <c r="U50" s="1379"/>
      <c r="V50" s="1379"/>
      <c r="W50" s="1380"/>
      <c r="X50" s="1375">
        <v>5</v>
      </c>
      <c r="Y50" s="1376"/>
      <c r="Z50" s="1377"/>
      <c r="AA50" s="1378" t="s">
        <v>6314</v>
      </c>
      <c r="AB50" s="1379"/>
      <c r="AC50" s="1379"/>
      <c r="AD50" s="1379"/>
      <c r="AE50" s="1379"/>
      <c r="AF50" s="1380"/>
    </row>
    <row r="51" spans="1:39" x14ac:dyDescent="0.25">
      <c r="A51" s="1368"/>
      <c r="B51" s="1369"/>
      <c r="C51" s="1370"/>
      <c r="D51" s="1375" t="s">
        <v>209</v>
      </c>
      <c r="E51" s="1376"/>
      <c r="F51" s="1376"/>
      <c r="G51" s="1376"/>
      <c r="H51" s="1376"/>
      <c r="I51" s="1376"/>
      <c r="J51" s="1377"/>
      <c r="K51" s="1378" t="s">
        <v>910</v>
      </c>
      <c r="L51" s="1379"/>
      <c r="M51" s="1379"/>
      <c r="N51" s="1379"/>
      <c r="O51" s="1379"/>
      <c r="P51" s="1379"/>
      <c r="Q51" s="1379"/>
      <c r="R51" s="1379"/>
      <c r="S51" s="1379"/>
      <c r="T51" s="1379"/>
      <c r="U51" s="1379"/>
      <c r="V51" s="1379"/>
      <c r="W51" s="1380"/>
      <c r="X51" s="1375">
        <v>15</v>
      </c>
      <c r="Y51" s="1376"/>
      <c r="Z51" s="1377"/>
      <c r="AA51" s="1378" t="s">
        <v>2069</v>
      </c>
      <c r="AB51" s="1379"/>
      <c r="AC51" s="1379"/>
      <c r="AD51" s="1379"/>
      <c r="AE51" s="1379"/>
      <c r="AF51" s="1380"/>
    </row>
    <row r="52" spans="1:39" x14ac:dyDescent="0.25">
      <c r="A52" s="1371"/>
      <c r="B52" s="1372"/>
      <c r="C52" s="1373"/>
      <c r="D52" s="1375" t="s">
        <v>209</v>
      </c>
      <c r="E52" s="1376"/>
      <c r="F52" s="1376"/>
      <c r="G52" s="1376"/>
      <c r="H52" s="1376"/>
      <c r="I52" s="1376"/>
      <c r="J52" s="1377"/>
      <c r="K52" s="1378" t="s">
        <v>1228</v>
      </c>
      <c r="L52" s="1379"/>
      <c r="M52" s="1379"/>
      <c r="N52" s="1379"/>
      <c r="O52" s="1379"/>
      <c r="P52" s="1379"/>
      <c r="Q52" s="1379"/>
      <c r="R52" s="1379"/>
      <c r="S52" s="1379"/>
      <c r="T52" s="1379"/>
      <c r="U52" s="1379"/>
      <c r="V52" s="1379"/>
      <c r="W52" s="1380"/>
      <c r="X52" s="1375">
        <v>3</v>
      </c>
      <c r="Y52" s="1376"/>
      <c r="Z52" s="1377"/>
      <c r="AA52" s="1378" t="s">
        <v>2069</v>
      </c>
      <c r="AB52" s="1379"/>
      <c r="AC52" s="1379"/>
      <c r="AD52" s="1379"/>
      <c r="AE52" s="1379"/>
      <c r="AF52" s="1380"/>
    </row>
    <row r="53" spans="1:39" x14ac:dyDescent="0.25">
      <c r="A53" s="1365" t="s">
        <v>894</v>
      </c>
      <c r="B53" s="1366"/>
      <c r="C53" s="1367"/>
      <c r="D53" s="1365" t="s">
        <v>911</v>
      </c>
      <c r="E53" s="1366"/>
      <c r="F53" s="1366"/>
      <c r="G53" s="1366"/>
      <c r="H53" s="1366"/>
      <c r="I53" s="1366"/>
      <c r="J53" s="1367"/>
      <c r="K53" s="1378" t="s">
        <v>912</v>
      </c>
      <c r="L53" s="1379"/>
      <c r="M53" s="1379"/>
      <c r="N53" s="1379"/>
      <c r="O53" s="1379"/>
      <c r="P53" s="1379"/>
      <c r="Q53" s="1379"/>
      <c r="R53" s="1379"/>
      <c r="S53" s="1379"/>
      <c r="T53" s="1379"/>
      <c r="U53" s="1379"/>
      <c r="V53" s="1379"/>
      <c r="W53" s="1380"/>
      <c r="X53" s="1375">
        <v>6</v>
      </c>
      <c r="Y53" s="1376"/>
      <c r="Z53" s="1377"/>
      <c r="AA53" s="1378" t="s">
        <v>2072</v>
      </c>
      <c r="AB53" s="1379"/>
      <c r="AC53" s="1379"/>
      <c r="AD53" s="1379"/>
      <c r="AE53" s="1379"/>
      <c r="AF53" s="1380"/>
    </row>
    <row r="54" spans="1:39" x14ac:dyDescent="0.25">
      <c r="A54" s="1368"/>
      <c r="B54" s="1369"/>
      <c r="C54" s="1370"/>
      <c r="D54" s="1368"/>
      <c r="E54" s="1369"/>
      <c r="F54" s="1369"/>
      <c r="G54" s="1369"/>
      <c r="H54" s="1369"/>
      <c r="I54" s="1369"/>
      <c r="J54" s="1370"/>
      <c r="K54" s="1378" t="s">
        <v>2696</v>
      </c>
      <c r="L54" s="1379"/>
      <c r="M54" s="1379"/>
      <c r="N54" s="1379"/>
      <c r="O54" s="1379"/>
      <c r="P54" s="1379"/>
      <c r="Q54" s="1379"/>
      <c r="R54" s="1379"/>
      <c r="S54" s="1379"/>
      <c r="T54" s="1379"/>
      <c r="U54" s="1379"/>
      <c r="V54" s="1379"/>
      <c r="W54" s="1380"/>
      <c r="X54" s="1375">
        <v>8</v>
      </c>
      <c r="Y54" s="1376"/>
      <c r="Z54" s="1377"/>
      <c r="AA54" s="1378" t="s">
        <v>2071</v>
      </c>
      <c r="AB54" s="1379"/>
      <c r="AC54" s="1379"/>
      <c r="AD54" s="1379"/>
      <c r="AE54" s="1379"/>
      <c r="AF54" s="1380"/>
    </row>
    <row r="55" spans="1:39" x14ac:dyDescent="0.25">
      <c r="A55" s="1368"/>
      <c r="B55" s="1369"/>
      <c r="C55" s="1370"/>
      <c r="D55" s="1371"/>
      <c r="E55" s="1372"/>
      <c r="F55" s="1372"/>
      <c r="G55" s="1372"/>
      <c r="H55" s="1372"/>
      <c r="I55" s="1372"/>
      <c r="J55" s="1373"/>
      <c r="K55" s="1378" t="s">
        <v>2697</v>
      </c>
      <c r="L55" s="1379"/>
      <c r="M55" s="1379"/>
      <c r="N55" s="1379"/>
      <c r="O55" s="1379"/>
      <c r="P55" s="1379"/>
      <c r="Q55" s="1379"/>
      <c r="R55" s="1379"/>
      <c r="S55" s="1379"/>
      <c r="T55" s="1379"/>
      <c r="U55" s="1379"/>
      <c r="V55" s="1379"/>
      <c r="W55" s="1380"/>
      <c r="X55" s="1375">
        <v>7</v>
      </c>
      <c r="Y55" s="1376"/>
      <c r="Z55" s="1377"/>
      <c r="AA55" s="1378" t="s">
        <v>2071</v>
      </c>
      <c r="AB55" s="1379"/>
      <c r="AC55" s="1379"/>
      <c r="AD55" s="1379"/>
      <c r="AE55" s="1379"/>
      <c r="AF55" s="1380"/>
    </row>
    <row r="56" spans="1:39" x14ac:dyDescent="0.25">
      <c r="A56" s="1368"/>
      <c r="B56" s="1369"/>
      <c r="C56" s="1370"/>
      <c r="D56" s="1375" t="s">
        <v>420</v>
      </c>
      <c r="E56" s="1376"/>
      <c r="F56" s="1376"/>
      <c r="G56" s="1376"/>
      <c r="H56" s="1376"/>
      <c r="I56" s="1376"/>
      <c r="J56" s="1377"/>
      <c r="K56" s="1378" t="s">
        <v>897</v>
      </c>
      <c r="L56" s="1379"/>
      <c r="M56" s="1379"/>
      <c r="N56" s="1379"/>
      <c r="O56" s="1379"/>
      <c r="P56" s="1379"/>
      <c r="Q56" s="1379"/>
      <c r="R56" s="1379"/>
      <c r="S56" s="1379"/>
      <c r="T56" s="1379"/>
      <c r="U56" s="1379"/>
      <c r="V56" s="1379"/>
      <c r="W56" s="1380"/>
      <c r="X56" s="1375">
        <f>X12</f>
        <v>18</v>
      </c>
      <c r="Y56" s="1376"/>
      <c r="Z56" s="1377"/>
      <c r="AA56" s="1378" t="s">
        <v>2071</v>
      </c>
      <c r="AB56" s="1379"/>
      <c r="AC56" s="1379"/>
      <c r="AD56" s="1379"/>
      <c r="AE56" s="1379"/>
      <c r="AF56" s="1380"/>
    </row>
    <row r="57" spans="1:39" x14ac:dyDescent="0.25">
      <c r="A57" s="1368"/>
      <c r="B57" s="1369"/>
      <c r="C57" s="1370"/>
      <c r="D57" s="1365" t="s">
        <v>913</v>
      </c>
      <c r="E57" s="1366"/>
      <c r="F57" s="1366"/>
      <c r="G57" s="1366"/>
      <c r="H57" s="1366"/>
      <c r="I57" s="1366"/>
      <c r="J57" s="1367"/>
      <c r="K57" s="1378" t="s">
        <v>914</v>
      </c>
      <c r="L57" s="1379"/>
      <c r="M57" s="1379"/>
      <c r="N57" s="1379"/>
      <c r="O57" s="1379"/>
      <c r="P57" s="1379"/>
      <c r="Q57" s="1379"/>
      <c r="R57" s="1379"/>
      <c r="S57" s="1379"/>
      <c r="T57" s="1379"/>
      <c r="U57" s="1379"/>
      <c r="V57" s="1379"/>
      <c r="W57" s="1380"/>
      <c r="X57" s="1375">
        <v>6</v>
      </c>
      <c r="Y57" s="1376"/>
      <c r="Z57" s="1377"/>
      <c r="AA57" s="1378" t="s">
        <v>2072</v>
      </c>
      <c r="AB57" s="1379"/>
      <c r="AC57" s="1379"/>
      <c r="AD57" s="1379"/>
      <c r="AE57" s="1379"/>
      <c r="AF57" s="1380"/>
    </row>
    <row r="58" spans="1:39" x14ac:dyDescent="0.25">
      <c r="A58" s="1368"/>
      <c r="B58" s="1369"/>
      <c r="C58" s="1370"/>
      <c r="D58" s="1368"/>
      <c r="E58" s="1369"/>
      <c r="F58" s="1369"/>
      <c r="G58" s="1369"/>
      <c r="H58" s="1369"/>
      <c r="I58" s="1369"/>
      <c r="J58" s="1370"/>
      <c r="K58" s="1378" t="s">
        <v>1226</v>
      </c>
      <c r="L58" s="1379"/>
      <c r="M58" s="1379"/>
      <c r="N58" s="1379"/>
      <c r="O58" s="1379"/>
      <c r="P58" s="1379"/>
      <c r="Q58" s="1379"/>
      <c r="R58" s="1379"/>
      <c r="S58" s="1379"/>
      <c r="T58" s="1379"/>
      <c r="U58" s="1379"/>
      <c r="V58" s="1379"/>
      <c r="W58" s="1380"/>
      <c r="X58" s="1375">
        <v>10</v>
      </c>
      <c r="Y58" s="1376"/>
      <c r="Z58" s="1377"/>
      <c r="AA58" s="1378" t="s">
        <v>2071</v>
      </c>
      <c r="AB58" s="1379"/>
      <c r="AC58" s="1379"/>
      <c r="AD58" s="1379"/>
      <c r="AE58" s="1379"/>
      <c r="AF58" s="1380"/>
    </row>
    <row r="59" spans="1:39" x14ac:dyDescent="0.25">
      <c r="A59" s="1368"/>
      <c r="B59" s="1369"/>
      <c r="C59" s="1370"/>
      <c r="D59" s="1368"/>
      <c r="E59" s="1369"/>
      <c r="F59" s="1369"/>
      <c r="G59" s="1369"/>
      <c r="H59" s="1369"/>
      <c r="I59" s="1369"/>
      <c r="J59" s="1370"/>
      <c r="K59" s="1378" t="s">
        <v>1227</v>
      </c>
      <c r="L59" s="1379"/>
      <c r="M59" s="1379"/>
      <c r="N59" s="1379"/>
      <c r="O59" s="1379"/>
      <c r="P59" s="1379"/>
      <c r="Q59" s="1379"/>
      <c r="R59" s="1379"/>
      <c r="S59" s="1379"/>
      <c r="T59" s="1379"/>
      <c r="U59" s="1379"/>
      <c r="V59" s="1379"/>
      <c r="W59" s="1380"/>
      <c r="X59" s="1375">
        <v>10</v>
      </c>
      <c r="Y59" s="1376"/>
      <c r="Z59" s="1377"/>
      <c r="AA59" s="1378" t="s">
        <v>2069</v>
      </c>
      <c r="AB59" s="1379"/>
      <c r="AC59" s="1379"/>
      <c r="AD59" s="1379"/>
      <c r="AE59" s="1379"/>
      <c r="AF59" s="1380"/>
    </row>
    <row r="60" spans="1:39" x14ac:dyDescent="0.25">
      <c r="A60" s="1371"/>
      <c r="B60" s="1372"/>
      <c r="C60" s="1373"/>
      <c r="D60" s="1371"/>
      <c r="E60" s="1372"/>
      <c r="F60" s="1372"/>
      <c r="G60" s="1372"/>
      <c r="H60" s="1372"/>
      <c r="I60" s="1372"/>
      <c r="J60" s="1373"/>
      <c r="K60" s="1378" t="s">
        <v>1230</v>
      </c>
      <c r="L60" s="1379"/>
      <c r="M60" s="1379"/>
      <c r="N60" s="1379"/>
      <c r="O60" s="1379"/>
      <c r="P60" s="1379"/>
      <c r="Q60" s="1379"/>
      <c r="R60" s="1379"/>
      <c r="S60" s="1379"/>
      <c r="T60" s="1379"/>
      <c r="U60" s="1379"/>
      <c r="V60" s="1379"/>
      <c r="W60" s="1380"/>
      <c r="X60" s="1375">
        <v>7</v>
      </c>
      <c r="Y60" s="1376"/>
      <c r="Z60" s="1377"/>
      <c r="AA60" s="1381" t="s">
        <v>6315</v>
      </c>
      <c r="AB60" s="1381"/>
      <c r="AC60" s="1381"/>
      <c r="AD60" s="1381"/>
      <c r="AE60" s="1381"/>
      <c r="AF60" s="1381"/>
    </row>
    <row r="61" spans="1:39" x14ac:dyDescent="0.25">
      <c r="A61" s="1403" t="s">
        <v>1031</v>
      </c>
      <c r="B61" s="1403"/>
      <c r="C61" s="1403"/>
      <c r="D61" s="1403"/>
      <c r="E61" s="1403"/>
      <c r="F61" s="1403"/>
      <c r="G61" s="1403"/>
      <c r="H61" s="1403"/>
      <c r="I61" s="1403"/>
      <c r="J61" s="1403"/>
      <c r="K61" s="1403"/>
      <c r="L61" s="1403"/>
      <c r="M61" s="1403"/>
      <c r="N61" s="1403"/>
      <c r="O61" s="1403"/>
      <c r="P61" s="1403"/>
      <c r="Q61" s="1403"/>
      <c r="R61" s="1403"/>
      <c r="S61" s="1403"/>
      <c r="T61" s="1403"/>
      <c r="U61" s="1403"/>
      <c r="V61" s="1403"/>
      <c r="W61" s="1403"/>
      <c r="X61" s="1403"/>
      <c r="Y61" s="1403"/>
      <c r="Z61" s="1403"/>
      <c r="AA61" s="1403"/>
      <c r="AB61" s="1403"/>
      <c r="AC61" s="1403"/>
      <c r="AD61" s="1403"/>
      <c r="AE61" s="1403"/>
      <c r="AF61" s="1403"/>
    </row>
    <row r="62" spans="1:39" ht="45.75" customHeight="1" x14ac:dyDescent="0.25">
      <c r="A62" s="1401" t="s">
        <v>879</v>
      </c>
      <c r="B62" s="1401"/>
      <c r="C62" s="1401"/>
      <c r="D62" s="1404" t="s">
        <v>896</v>
      </c>
      <c r="E62" s="1404"/>
      <c r="F62" s="1404"/>
      <c r="G62" s="1404"/>
      <c r="H62" s="1404"/>
      <c r="I62" s="1404"/>
      <c r="J62" s="1404"/>
      <c r="K62" s="1404" t="s">
        <v>10</v>
      </c>
      <c r="L62" s="1404"/>
      <c r="M62" s="1404"/>
      <c r="N62" s="1404"/>
      <c r="O62" s="1404"/>
      <c r="P62" s="1404"/>
      <c r="Q62" s="1404"/>
      <c r="R62" s="1404"/>
      <c r="S62" s="1404"/>
      <c r="T62" s="1404"/>
      <c r="U62" s="1404"/>
      <c r="V62" s="1404"/>
      <c r="W62" s="1404"/>
      <c r="X62" s="1401" t="s">
        <v>2073</v>
      </c>
      <c r="Y62" s="1401"/>
      <c r="Z62" s="1401"/>
      <c r="AA62" s="1401" t="s">
        <v>4556</v>
      </c>
      <c r="AB62" s="1401"/>
      <c r="AC62" s="1401"/>
      <c r="AD62" s="1401"/>
      <c r="AE62" s="1401"/>
      <c r="AF62" s="1401"/>
    </row>
    <row r="63" spans="1:39" x14ac:dyDescent="0.25">
      <c r="A63" s="1365" t="s">
        <v>880</v>
      </c>
      <c r="B63" s="1366"/>
      <c r="C63" s="1367"/>
      <c r="D63" s="1365" t="s">
        <v>420</v>
      </c>
      <c r="E63" s="1366"/>
      <c r="F63" s="1366"/>
      <c r="G63" s="1366"/>
      <c r="H63" s="1366"/>
      <c r="I63" s="1366"/>
      <c r="J63" s="1367"/>
      <c r="K63" s="1381" t="s">
        <v>915</v>
      </c>
      <c r="L63" s="1381"/>
      <c r="M63" s="1381"/>
      <c r="N63" s="1381"/>
      <c r="O63" s="1381"/>
      <c r="P63" s="1381"/>
      <c r="Q63" s="1381"/>
      <c r="R63" s="1381"/>
      <c r="S63" s="1381"/>
      <c r="T63" s="1381"/>
      <c r="U63" s="1381"/>
      <c r="V63" s="1381"/>
      <c r="W63" s="1381"/>
      <c r="X63" s="1375">
        <f>X12</f>
        <v>18</v>
      </c>
      <c r="Y63" s="1376"/>
      <c r="Z63" s="1377"/>
      <c r="AA63" s="1378" t="s">
        <v>2071</v>
      </c>
      <c r="AB63" s="1379"/>
      <c r="AC63" s="1379"/>
      <c r="AD63" s="1379"/>
      <c r="AE63" s="1379"/>
      <c r="AF63" s="1380"/>
      <c r="AM63" s="313"/>
    </row>
    <row r="64" spans="1:39" x14ac:dyDescent="0.25">
      <c r="A64" s="1368"/>
      <c r="B64" s="1369"/>
      <c r="C64" s="1370"/>
      <c r="D64" s="1368"/>
      <c r="E64" s="1369"/>
      <c r="F64" s="1369"/>
      <c r="G64" s="1369"/>
      <c r="H64" s="1369"/>
      <c r="I64" s="1369"/>
      <c r="J64" s="1370"/>
      <c r="K64" s="1381" t="s">
        <v>916</v>
      </c>
      <c r="L64" s="1381"/>
      <c r="M64" s="1381"/>
      <c r="N64" s="1381"/>
      <c r="O64" s="1381"/>
      <c r="P64" s="1381"/>
      <c r="Q64" s="1381"/>
      <c r="R64" s="1381"/>
      <c r="S64" s="1381"/>
      <c r="T64" s="1381"/>
      <c r="U64" s="1381"/>
      <c r="V64" s="1381"/>
      <c r="W64" s="1381"/>
      <c r="X64" s="1375">
        <f>X12</f>
        <v>18</v>
      </c>
      <c r="Y64" s="1376"/>
      <c r="Z64" s="1377"/>
      <c r="AA64" s="1378" t="s">
        <v>2071</v>
      </c>
      <c r="AB64" s="1379"/>
      <c r="AC64" s="1379"/>
      <c r="AD64" s="1379"/>
      <c r="AE64" s="1379"/>
      <c r="AF64" s="1380"/>
      <c r="AM64" s="314"/>
    </row>
    <row r="65" spans="1:39" x14ac:dyDescent="0.25">
      <c r="A65" s="1368"/>
      <c r="B65" s="1369"/>
      <c r="C65" s="1370"/>
      <c r="D65" s="1368"/>
      <c r="E65" s="1369"/>
      <c r="F65" s="1369"/>
      <c r="G65" s="1369"/>
      <c r="H65" s="1369"/>
      <c r="I65" s="1369"/>
      <c r="J65" s="1370"/>
      <c r="K65" s="1381" t="s">
        <v>917</v>
      </c>
      <c r="L65" s="1381"/>
      <c r="M65" s="1381"/>
      <c r="N65" s="1381"/>
      <c r="O65" s="1381"/>
      <c r="P65" s="1381"/>
      <c r="Q65" s="1381"/>
      <c r="R65" s="1381"/>
      <c r="S65" s="1381"/>
      <c r="T65" s="1381"/>
      <c r="U65" s="1381"/>
      <c r="V65" s="1381"/>
      <c r="W65" s="1381"/>
      <c r="X65" s="1363">
        <v>10</v>
      </c>
      <c r="Y65" s="1363"/>
      <c r="Z65" s="1363"/>
      <c r="AA65" s="1381" t="s">
        <v>2069</v>
      </c>
      <c r="AB65" s="1381"/>
      <c r="AC65" s="1381"/>
      <c r="AD65" s="1381"/>
      <c r="AE65" s="1381"/>
      <c r="AF65" s="1381"/>
      <c r="AM65" s="313"/>
    </row>
    <row r="66" spans="1:39" x14ac:dyDescent="0.25">
      <c r="A66" s="1368"/>
      <c r="B66" s="1369"/>
      <c r="C66" s="1370"/>
      <c r="D66" s="1368"/>
      <c r="E66" s="1369"/>
      <c r="F66" s="1369"/>
      <c r="G66" s="1369"/>
      <c r="H66" s="1369"/>
      <c r="I66" s="1369"/>
      <c r="J66" s="1370"/>
      <c r="K66" s="1381" t="s">
        <v>918</v>
      </c>
      <c r="L66" s="1381"/>
      <c r="M66" s="1381"/>
      <c r="N66" s="1381"/>
      <c r="O66" s="1381"/>
      <c r="P66" s="1381"/>
      <c r="Q66" s="1381"/>
      <c r="R66" s="1381"/>
      <c r="S66" s="1381"/>
      <c r="T66" s="1381"/>
      <c r="U66" s="1381"/>
      <c r="V66" s="1381"/>
      <c r="W66" s="1381"/>
      <c r="X66" s="1363">
        <v>10</v>
      </c>
      <c r="Y66" s="1363"/>
      <c r="Z66" s="1363"/>
      <c r="AA66" s="1381" t="s">
        <v>2069</v>
      </c>
      <c r="AB66" s="1381"/>
      <c r="AC66" s="1381"/>
      <c r="AD66" s="1381"/>
      <c r="AE66" s="1381"/>
      <c r="AF66" s="1381"/>
      <c r="AM66" s="314"/>
    </row>
    <row r="67" spans="1:39" x14ac:dyDescent="0.25">
      <c r="A67" s="1368"/>
      <c r="B67" s="1369"/>
      <c r="C67" s="1370"/>
      <c r="D67" s="1371"/>
      <c r="E67" s="1372"/>
      <c r="F67" s="1372"/>
      <c r="G67" s="1372"/>
      <c r="H67" s="1372"/>
      <c r="I67" s="1372"/>
      <c r="J67" s="1373"/>
      <c r="K67" s="1381" t="s">
        <v>919</v>
      </c>
      <c r="L67" s="1381"/>
      <c r="M67" s="1381"/>
      <c r="N67" s="1381"/>
      <c r="O67" s="1381"/>
      <c r="P67" s="1381"/>
      <c r="Q67" s="1381"/>
      <c r="R67" s="1381"/>
      <c r="S67" s="1381"/>
      <c r="T67" s="1381"/>
      <c r="U67" s="1381"/>
      <c r="V67" s="1381"/>
      <c r="W67" s="1381"/>
      <c r="X67" s="1375">
        <f>X12</f>
        <v>18</v>
      </c>
      <c r="Y67" s="1376"/>
      <c r="Z67" s="1377"/>
      <c r="AA67" s="1378" t="s">
        <v>2071</v>
      </c>
      <c r="AB67" s="1379"/>
      <c r="AC67" s="1379"/>
      <c r="AD67" s="1379"/>
      <c r="AE67" s="1379"/>
      <c r="AF67" s="1380"/>
      <c r="AM67" s="314"/>
    </row>
    <row r="68" spans="1:39" ht="33" customHeight="1" x14ac:dyDescent="0.25">
      <c r="A68" s="1368"/>
      <c r="B68" s="1369"/>
      <c r="C68" s="1370"/>
      <c r="D68" s="1365" t="s">
        <v>267</v>
      </c>
      <c r="E68" s="1366"/>
      <c r="F68" s="1366"/>
      <c r="G68" s="1366"/>
      <c r="H68" s="1366"/>
      <c r="I68" s="1366"/>
      <c r="J68" s="1367"/>
      <c r="K68" s="1374" t="s">
        <v>2110</v>
      </c>
      <c r="L68" s="1374"/>
      <c r="M68" s="1374"/>
      <c r="N68" s="1374"/>
      <c r="O68" s="1374"/>
      <c r="P68" s="1374"/>
      <c r="Q68" s="1374"/>
      <c r="R68" s="1374"/>
      <c r="S68" s="1374"/>
      <c r="T68" s="1374"/>
      <c r="U68" s="1374"/>
      <c r="V68" s="1374"/>
      <c r="W68" s="1374"/>
      <c r="X68" s="1363" t="s">
        <v>2075</v>
      </c>
      <c r="Y68" s="1363"/>
      <c r="Z68" s="1363"/>
      <c r="AA68" s="1381" t="s">
        <v>2070</v>
      </c>
      <c r="AB68" s="1381"/>
      <c r="AC68" s="1381"/>
      <c r="AD68" s="1381"/>
      <c r="AE68" s="1381"/>
      <c r="AF68" s="1381"/>
      <c r="AM68" s="313"/>
    </row>
    <row r="69" spans="1:39" ht="30.75" customHeight="1" x14ac:dyDescent="0.25">
      <c r="A69" s="1368"/>
      <c r="B69" s="1369"/>
      <c r="C69" s="1370"/>
      <c r="D69" s="1368"/>
      <c r="E69" s="1369"/>
      <c r="F69" s="1369"/>
      <c r="G69" s="1369"/>
      <c r="H69" s="1369"/>
      <c r="I69" s="1369"/>
      <c r="J69" s="1370"/>
      <c r="K69" s="1374" t="s">
        <v>2111</v>
      </c>
      <c r="L69" s="1400"/>
      <c r="M69" s="1400"/>
      <c r="N69" s="1400"/>
      <c r="O69" s="1400"/>
      <c r="P69" s="1400"/>
      <c r="Q69" s="1400"/>
      <c r="R69" s="1400"/>
      <c r="S69" s="1400"/>
      <c r="T69" s="1400"/>
      <c r="U69" s="1400"/>
      <c r="V69" s="1400"/>
      <c r="W69" s="1400"/>
      <c r="X69" s="1363" t="s">
        <v>2075</v>
      </c>
      <c r="Y69" s="1363"/>
      <c r="Z69" s="1363"/>
      <c r="AA69" s="1381" t="s">
        <v>2070</v>
      </c>
      <c r="AB69" s="1381"/>
      <c r="AC69" s="1381"/>
      <c r="AD69" s="1381"/>
      <c r="AE69" s="1381"/>
      <c r="AF69" s="1381"/>
      <c r="AM69" s="314"/>
    </row>
    <row r="70" spans="1:39" x14ac:dyDescent="0.25">
      <c r="A70" s="1368"/>
      <c r="B70" s="1369"/>
      <c r="C70" s="1370"/>
      <c r="D70" s="1368"/>
      <c r="E70" s="1369"/>
      <c r="F70" s="1369"/>
      <c r="G70" s="1369"/>
      <c r="H70" s="1369"/>
      <c r="I70" s="1369"/>
      <c r="J70" s="1370"/>
      <c r="K70" s="1381" t="s">
        <v>920</v>
      </c>
      <c r="L70" s="1381"/>
      <c r="M70" s="1381"/>
      <c r="N70" s="1381"/>
      <c r="O70" s="1381"/>
      <c r="P70" s="1381"/>
      <c r="Q70" s="1381"/>
      <c r="R70" s="1381"/>
      <c r="S70" s="1381"/>
      <c r="T70" s="1381"/>
      <c r="U70" s="1381"/>
      <c r="V70" s="1381"/>
      <c r="W70" s="1381"/>
      <c r="X70" s="1405">
        <f>C_Light_General!E199</f>
        <v>18</v>
      </c>
      <c r="Y70" s="1363"/>
      <c r="Z70" s="1363"/>
      <c r="AA70" s="1381" t="s">
        <v>2078</v>
      </c>
      <c r="AB70" s="1381"/>
      <c r="AC70" s="1381"/>
      <c r="AD70" s="1381"/>
      <c r="AE70" s="1381"/>
      <c r="AF70" s="1381"/>
      <c r="AM70" s="314"/>
    </row>
    <row r="71" spans="1:39" x14ac:dyDescent="0.25">
      <c r="A71" s="1368"/>
      <c r="B71" s="1369"/>
      <c r="C71" s="1370"/>
      <c r="D71" s="1368"/>
      <c r="E71" s="1369"/>
      <c r="F71" s="1369"/>
      <c r="G71" s="1369"/>
      <c r="H71" s="1369"/>
      <c r="I71" s="1369"/>
      <c r="J71" s="1370"/>
      <c r="K71" s="1381" t="s">
        <v>921</v>
      </c>
      <c r="L71" s="1381"/>
      <c r="M71" s="1381"/>
      <c r="N71" s="1381"/>
      <c r="O71" s="1381"/>
      <c r="P71" s="1381"/>
      <c r="Q71" s="1381"/>
      <c r="R71" s="1381"/>
      <c r="S71" s="1381"/>
      <c r="T71" s="1381"/>
      <c r="U71" s="1381"/>
      <c r="V71" s="1381"/>
      <c r="W71" s="1381"/>
      <c r="X71" s="1402">
        <f>'C_Lighting_Refrigerated Case'!Q87</f>
        <v>8</v>
      </c>
      <c r="Y71" s="1363"/>
      <c r="Z71" s="1363"/>
      <c r="AA71" s="1381" t="s">
        <v>2186</v>
      </c>
      <c r="AB71" s="1381"/>
      <c r="AC71" s="1381"/>
      <c r="AD71" s="1381"/>
      <c r="AE71" s="1381"/>
      <c r="AF71" s="1381"/>
      <c r="AM71" s="314"/>
    </row>
    <row r="72" spans="1:39" x14ac:dyDescent="0.25">
      <c r="A72" s="1368"/>
      <c r="B72" s="1369"/>
      <c r="C72" s="1370"/>
      <c r="D72" s="1368"/>
      <c r="E72" s="1369"/>
      <c r="F72" s="1369"/>
      <c r="G72" s="1369"/>
      <c r="H72" s="1369"/>
      <c r="I72" s="1369"/>
      <c r="J72" s="1370"/>
      <c r="K72" s="1381" t="s">
        <v>2077</v>
      </c>
      <c r="L72" s="1381"/>
      <c r="M72" s="1381"/>
      <c r="N72" s="1381"/>
      <c r="O72" s="1381"/>
      <c r="P72" s="1381"/>
      <c r="Q72" s="1381"/>
      <c r="R72" s="1381"/>
      <c r="S72" s="1381"/>
      <c r="T72" s="1381"/>
      <c r="U72" s="1381"/>
      <c r="V72" s="1381"/>
      <c r="W72" s="1381"/>
      <c r="X72" s="1363">
        <f>C_Light_Exterior!Q46</f>
        <v>12</v>
      </c>
      <c r="Y72" s="1363"/>
      <c r="Z72" s="1363"/>
      <c r="AA72" s="1381" t="s">
        <v>2079</v>
      </c>
      <c r="AB72" s="1381"/>
      <c r="AC72" s="1381"/>
      <c r="AD72" s="1381"/>
      <c r="AE72" s="1381"/>
      <c r="AF72" s="1381"/>
      <c r="AM72" s="314"/>
    </row>
    <row r="73" spans="1:39" x14ac:dyDescent="0.25">
      <c r="A73" s="1368"/>
      <c r="B73" s="1369"/>
      <c r="C73" s="1370"/>
      <c r="D73" s="1368"/>
      <c r="E73" s="1369"/>
      <c r="F73" s="1369"/>
      <c r="G73" s="1369"/>
      <c r="H73" s="1369"/>
      <c r="I73" s="1369"/>
      <c r="J73" s="1370"/>
      <c r="K73" s="1381" t="s">
        <v>272</v>
      </c>
      <c r="L73" s="1381"/>
      <c r="M73" s="1381"/>
      <c r="N73" s="1381"/>
      <c r="O73" s="1381"/>
      <c r="P73" s="1381"/>
      <c r="Q73" s="1381"/>
      <c r="R73" s="1381"/>
      <c r="S73" s="1381"/>
      <c r="T73" s="1381"/>
      <c r="U73" s="1381"/>
      <c r="V73" s="1381"/>
      <c r="W73" s="1381"/>
      <c r="X73" s="1363">
        <v>8</v>
      </c>
      <c r="Y73" s="1363"/>
      <c r="Z73" s="1363"/>
      <c r="AA73" s="1381" t="s">
        <v>2071</v>
      </c>
      <c r="AB73" s="1381"/>
      <c r="AC73" s="1381"/>
      <c r="AD73" s="1381"/>
      <c r="AE73" s="1381"/>
      <c r="AF73" s="1381"/>
      <c r="AM73" s="314"/>
    </row>
    <row r="74" spans="1:39" x14ac:dyDescent="0.25">
      <c r="A74" s="1368"/>
      <c r="B74" s="1369"/>
      <c r="C74" s="1370"/>
      <c r="D74" s="1368"/>
      <c r="E74" s="1369"/>
      <c r="F74" s="1369"/>
      <c r="G74" s="1369"/>
      <c r="H74" s="1369"/>
      <c r="I74" s="1369"/>
      <c r="J74" s="1370"/>
      <c r="K74" s="1381" t="s">
        <v>922</v>
      </c>
      <c r="L74" s="1381"/>
      <c r="M74" s="1381"/>
      <c r="N74" s="1381"/>
      <c r="O74" s="1381"/>
      <c r="P74" s="1381"/>
      <c r="Q74" s="1381"/>
      <c r="R74" s="1381"/>
      <c r="S74" s="1381"/>
      <c r="T74" s="1381"/>
      <c r="U74" s="1381"/>
      <c r="V74" s="1381"/>
      <c r="W74" s="1381"/>
      <c r="X74" s="1363">
        <v>8</v>
      </c>
      <c r="Y74" s="1363"/>
      <c r="Z74" s="1363"/>
      <c r="AA74" s="1381" t="s">
        <v>2071</v>
      </c>
      <c r="AB74" s="1381"/>
      <c r="AC74" s="1381"/>
      <c r="AD74" s="1381"/>
      <c r="AE74" s="1381"/>
      <c r="AF74" s="1381"/>
      <c r="AM74" s="314"/>
    </row>
    <row r="75" spans="1:39" x14ac:dyDescent="0.25">
      <c r="A75" s="1368"/>
      <c r="B75" s="1369"/>
      <c r="C75" s="1370"/>
      <c r="D75" s="1371"/>
      <c r="E75" s="1372"/>
      <c r="F75" s="1372"/>
      <c r="G75" s="1372"/>
      <c r="H75" s="1372"/>
      <c r="I75" s="1372"/>
      <c r="J75" s="1373"/>
      <c r="K75" s="1381" t="s">
        <v>6860</v>
      </c>
      <c r="L75" s="1381"/>
      <c r="M75" s="1381"/>
      <c r="N75" s="1381"/>
      <c r="O75" s="1381"/>
      <c r="P75" s="1381"/>
      <c r="Q75" s="1381"/>
      <c r="R75" s="1381"/>
      <c r="S75" s="1381"/>
      <c r="T75" s="1381"/>
      <c r="U75" s="1381"/>
      <c r="V75" s="1381"/>
      <c r="W75" s="1381"/>
      <c r="X75" s="1363">
        <v>10</v>
      </c>
      <c r="Y75" s="1363"/>
      <c r="Z75" s="1363"/>
      <c r="AA75" s="1381" t="s">
        <v>6861</v>
      </c>
      <c r="AB75" s="1381"/>
      <c r="AC75" s="1381"/>
      <c r="AD75" s="1381"/>
      <c r="AE75" s="1381"/>
      <c r="AF75" s="1381"/>
      <c r="AM75" s="314"/>
    </row>
    <row r="76" spans="1:39" x14ac:dyDescent="0.25">
      <c r="A76" s="1368"/>
      <c r="B76" s="1369"/>
      <c r="C76" s="1370"/>
      <c r="D76" s="1365" t="s">
        <v>209</v>
      </c>
      <c r="E76" s="1366"/>
      <c r="F76" s="1366"/>
      <c r="G76" s="1366"/>
      <c r="H76" s="1366"/>
      <c r="I76" s="1366"/>
      <c r="J76" s="1367"/>
      <c r="K76" s="1381" t="s">
        <v>923</v>
      </c>
      <c r="L76" s="1381"/>
      <c r="M76" s="1381"/>
      <c r="N76" s="1381"/>
      <c r="O76" s="1381"/>
      <c r="P76" s="1381"/>
      <c r="Q76" s="1381"/>
      <c r="R76" s="1381"/>
      <c r="S76" s="1381"/>
      <c r="T76" s="1381"/>
      <c r="U76" s="1381"/>
      <c r="V76" s="1381"/>
      <c r="W76" s="1381"/>
      <c r="X76" s="1363">
        <v>22</v>
      </c>
      <c r="Y76" s="1363"/>
      <c r="Z76" s="1363"/>
      <c r="AA76" s="1381" t="s">
        <v>2071</v>
      </c>
      <c r="AB76" s="1381"/>
      <c r="AC76" s="1381"/>
      <c r="AD76" s="1381"/>
      <c r="AE76" s="1381"/>
      <c r="AF76" s="1381"/>
      <c r="AM76" s="314"/>
    </row>
    <row r="77" spans="1:39" x14ac:dyDescent="0.25">
      <c r="A77" s="1368"/>
      <c r="B77" s="1369"/>
      <c r="C77" s="1370"/>
      <c r="D77" s="1368"/>
      <c r="E77" s="1369"/>
      <c r="F77" s="1369"/>
      <c r="G77" s="1369"/>
      <c r="H77" s="1369"/>
      <c r="I77" s="1369"/>
      <c r="J77" s="1370"/>
      <c r="K77" s="1381" t="s">
        <v>924</v>
      </c>
      <c r="L77" s="1381"/>
      <c r="M77" s="1381"/>
      <c r="N77" s="1381"/>
      <c r="O77" s="1381"/>
      <c r="P77" s="1381"/>
      <c r="Q77" s="1381"/>
      <c r="R77" s="1381"/>
      <c r="S77" s="1381"/>
      <c r="T77" s="1381"/>
      <c r="U77" s="1381"/>
      <c r="V77" s="1381"/>
      <c r="W77" s="1381"/>
      <c r="X77" s="1363">
        <v>20</v>
      </c>
      <c r="Y77" s="1363"/>
      <c r="Z77" s="1363"/>
      <c r="AA77" s="1381" t="s">
        <v>2072</v>
      </c>
      <c r="AB77" s="1381"/>
      <c r="AC77" s="1381"/>
      <c r="AD77" s="1381"/>
      <c r="AE77" s="1381"/>
      <c r="AF77" s="1381"/>
      <c r="AM77" s="314"/>
    </row>
    <row r="78" spans="1:39" x14ac:dyDescent="0.25">
      <c r="A78" s="1368"/>
      <c r="B78" s="1369"/>
      <c r="C78" s="1370"/>
      <c r="D78" s="1368"/>
      <c r="E78" s="1369"/>
      <c r="F78" s="1369"/>
      <c r="G78" s="1369"/>
      <c r="H78" s="1369"/>
      <c r="I78" s="1369"/>
      <c r="J78" s="1370"/>
      <c r="K78" s="1381" t="s">
        <v>925</v>
      </c>
      <c r="L78" s="1381"/>
      <c r="M78" s="1381"/>
      <c r="N78" s="1381"/>
      <c r="O78" s="1381"/>
      <c r="P78" s="1381"/>
      <c r="Q78" s="1381"/>
      <c r="R78" s="1381"/>
      <c r="S78" s="1381"/>
      <c r="T78" s="1381"/>
      <c r="U78" s="1381"/>
      <c r="V78" s="1381"/>
      <c r="W78" s="1381"/>
      <c r="X78" s="1363">
        <v>8</v>
      </c>
      <c r="Y78" s="1363"/>
      <c r="Z78" s="1363"/>
      <c r="AA78" s="1381" t="s">
        <v>2072</v>
      </c>
      <c r="AB78" s="1381"/>
      <c r="AC78" s="1381"/>
      <c r="AD78" s="1381"/>
      <c r="AE78" s="1381"/>
      <c r="AF78" s="1381"/>
      <c r="AM78" s="314"/>
    </row>
    <row r="79" spans="1:39" x14ac:dyDescent="0.25">
      <c r="A79" s="1368"/>
      <c r="B79" s="1369"/>
      <c r="C79" s="1370"/>
      <c r="D79" s="1368"/>
      <c r="E79" s="1369"/>
      <c r="F79" s="1369"/>
      <c r="G79" s="1369"/>
      <c r="H79" s="1369"/>
      <c r="I79" s="1369"/>
      <c r="J79" s="1370"/>
      <c r="K79" s="1381" t="s">
        <v>926</v>
      </c>
      <c r="L79" s="1381"/>
      <c r="M79" s="1381"/>
      <c r="N79" s="1381"/>
      <c r="O79" s="1381"/>
      <c r="P79" s="1381"/>
      <c r="Q79" s="1381"/>
      <c r="R79" s="1381"/>
      <c r="S79" s="1381"/>
      <c r="T79" s="1381"/>
      <c r="U79" s="1381"/>
      <c r="V79" s="1381"/>
      <c r="W79" s="1381"/>
      <c r="X79" s="1363">
        <v>15</v>
      </c>
      <c r="Y79" s="1363"/>
      <c r="Z79" s="1363"/>
      <c r="AA79" s="1381" t="s">
        <v>2069</v>
      </c>
      <c r="AB79" s="1381"/>
      <c r="AC79" s="1381"/>
      <c r="AD79" s="1381"/>
      <c r="AE79" s="1381"/>
      <c r="AF79" s="1381"/>
      <c r="AM79" s="314"/>
    </row>
    <row r="80" spans="1:39" x14ac:dyDescent="0.25">
      <c r="A80" s="1368"/>
      <c r="B80" s="1369"/>
      <c r="C80" s="1370"/>
      <c r="D80" s="1368"/>
      <c r="E80" s="1369"/>
      <c r="F80" s="1369"/>
      <c r="G80" s="1369"/>
      <c r="H80" s="1369"/>
      <c r="I80" s="1369"/>
      <c r="J80" s="1370"/>
      <c r="K80" s="1381" t="s">
        <v>3623</v>
      </c>
      <c r="L80" s="1381"/>
      <c r="M80" s="1381"/>
      <c r="N80" s="1381"/>
      <c r="O80" s="1381"/>
      <c r="P80" s="1381"/>
      <c r="Q80" s="1381"/>
      <c r="R80" s="1381"/>
      <c r="S80" s="1381"/>
      <c r="T80" s="1381"/>
      <c r="U80" s="1381"/>
      <c r="V80" s="1381"/>
      <c r="W80" s="1381"/>
      <c r="X80" s="1375">
        <v>9</v>
      </c>
      <c r="Y80" s="1376"/>
      <c r="Z80" s="1377"/>
      <c r="AA80" s="1378" t="s">
        <v>2069</v>
      </c>
      <c r="AB80" s="1379"/>
      <c r="AC80" s="1379"/>
      <c r="AD80" s="1379"/>
      <c r="AE80" s="1379"/>
      <c r="AF80" s="1380"/>
      <c r="AM80" s="314"/>
    </row>
    <row r="81" spans="1:39" x14ac:dyDescent="0.25">
      <c r="A81" s="1368"/>
      <c r="B81" s="1369"/>
      <c r="C81" s="1370"/>
      <c r="D81" s="1368"/>
      <c r="E81" s="1369"/>
      <c r="F81" s="1369"/>
      <c r="G81" s="1369"/>
      <c r="H81" s="1369"/>
      <c r="I81" s="1369"/>
      <c r="J81" s="1370"/>
      <c r="K81" s="1381" t="s">
        <v>927</v>
      </c>
      <c r="L81" s="1381"/>
      <c r="M81" s="1381"/>
      <c r="N81" s="1381"/>
      <c r="O81" s="1381"/>
      <c r="P81" s="1381"/>
      <c r="Q81" s="1381"/>
      <c r="R81" s="1381"/>
      <c r="S81" s="1381"/>
      <c r="T81" s="1381"/>
      <c r="U81" s="1381"/>
      <c r="V81" s="1381"/>
      <c r="W81" s="1381"/>
      <c r="X81" s="1363">
        <v>20</v>
      </c>
      <c r="Y81" s="1363"/>
      <c r="Z81" s="1363"/>
      <c r="AA81" s="1381" t="s">
        <v>2071</v>
      </c>
      <c r="AB81" s="1381"/>
      <c r="AC81" s="1381"/>
      <c r="AD81" s="1381"/>
      <c r="AE81" s="1381"/>
      <c r="AF81" s="1381"/>
      <c r="AM81" s="314"/>
    </row>
    <row r="82" spans="1:39" x14ac:dyDescent="0.25">
      <c r="A82" s="1368"/>
      <c r="B82" s="1369"/>
      <c r="C82" s="1370"/>
      <c r="D82" s="1368"/>
      <c r="E82" s="1369"/>
      <c r="F82" s="1369"/>
      <c r="G82" s="1369"/>
      <c r="H82" s="1369"/>
      <c r="I82" s="1369"/>
      <c r="J82" s="1370"/>
      <c r="K82" s="1381" t="s">
        <v>928</v>
      </c>
      <c r="L82" s="1381"/>
      <c r="M82" s="1381"/>
      <c r="N82" s="1381"/>
      <c r="O82" s="1381"/>
      <c r="P82" s="1381"/>
      <c r="Q82" s="1381"/>
      <c r="R82" s="1381"/>
      <c r="S82" s="1381"/>
      <c r="T82" s="1381"/>
      <c r="U82" s="1381"/>
      <c r="V82" s="1381"/>
      <c r="W82" s="1381"/>
      <c r="X82" s="1363">
        <v>20</v>
      </c>
      <c r="Y82" s="1363"/>
      <c r="Z82" s="1363"/>
      <c r="AA82" s="1381" t="s">
        <v>2071</v>
      </c>
      <c r="AB82" s="1381"/>
      <c r="AC82" s="1381"/>
      <c r="AD82" s="1381"/>
      <c r="AE82" s="1381"/>
      <c r="AF82" s="1381"/>
      <c r="AM82" s="314"/>
    </row>
    <row r="83" spans="1:39" x14ac:dyDescent="0.25">
      <c r="A83" s="1368"/>
      <c r="B83" s="1369"/>
      <c r="C83" s="1370"/>
      <c r="D83" s="1368"/>
      <c r="E83" s="1369"/>
      <c r="F83" s="1369"/>
      <c r="G83" s="1369"/>
      <c r="H83" s="1369"/>
      <c r="I83" s="1369"/>
      <c r="J83" s="1370"/>
      <c r="K83" s="1381" t="s">
        <v>929</v>
      </c>
      <c r="L83" s="1381"/>
      <c r="M83" s="1381"/>
      <c r="N83" s="1381"/>
      <c r="O83" s="1381"/>
      <c r="P83" s="1381"/>
      <c r="Q83" s="1381"/>
      <c r="R83" s="1381"/>
      <c r="S83" s="1381"/>
      <c r="T83" s="1381"/>
      <c r="U83" s="1381"/>
      <c r="V83" s="1381"/>
      <c r="W83" s="1381"/>
      <c r="X83" s="1363">
        <v>15</v>
      </c>
      <c r="Y83" s="1363"/>
      <c r="Z83" s="1363"/>
      <c r="AA83" s="1381" t="s">
        <v>2069</v>
      </c>
      <c r="AB83" s="1381"/>
      <c r="AC83" s="1381"/>
      <c r="AD83" s="1381"/>
      <c r="AE83" s="1381"/>
      <c r="AF83" s="1381"/>
      <c r="AM83" s="313"/>
    </row>
    <row r="84" spans="1:39" x14ac:dyDescent="0.25">
      <c r="A84" s="1368"/>
      <c r="B84" s="1369"/>
      <c r="C84" s="1370"/>
      <c r="D84" s="1371"/>
      <c r="E84" s="1372"/>
      <c r="F84" s="1372"/>
      <c r="G84" s="1372"/>
      <c r="H84" s="1372"/>
      <c r="I84" s="1372"/>
      <c r="J84" s="1373"/>
      <c r="K84" s="1381" t="s">
        <v>930</v>
      </c>
      <c r="L84" s="1381"/>
      <c r="M84" s="1381"/>
      <c r="N84" s="1381"/>
      <c r="O84" s="1381"/>
      <c r="P84" s="1381"/>
      <c r="Q84" s="1381"/>
      <c r="R84" s="1381"/>
      <c r="S84" s="1381"/>
      <c r="T84" s="1381"/>
      <c r="U84" s="1381"/>
      <c r="V84" s="1381"/>
      <c r="W84" s="1381"/>
      <c r="X84" s="1363">
        <v>15</v>
      </c>
      <c r="Y84" s="1363"/>
      <c r="Z84" s="1363"/>
      <c r="AA84" s="1381" t="s">
        <v>2071</v>
      </c>
      <c r="AB84" s="1381"/>
      <c r="AC84" s="1381"/>
      <c r="AD84" s="1381"/>
      <c r="AE84" s="1381"/>
      <c r="AF84" s="1381"/>
      <c r="AM84" s="314"/>
    </row>
    <row r="85" spans="1:39" x14ac:dyDescent="0.25">
      <c r="A85" s="1368"/>
      <c r="B85" s="1369"/>
      <c r="C85" s="1370"/>
      <c r="D85" s="1365" t="s">
        <v>931</v>
      </c>
      <c r="E85" s="1366"/>
      <c r="F85" s="1366"/>
      <c r="G85" s="1366"/>
      <c r="H85" s="1366"/>
      <c r="I85" s="1366"/>
      <c r="J85" s="1367"/>
      <c r="K85" s="1381" t="s">
        <v>932</v>
      </c>
      <c r="L85" s="1381"/>
      <c r="M85" s="1381"/>
      <c r="N85" s="1381"/>
      <c r="O85" s="1381"/>
      <c r="P85" s="1381"/>
      <c r="Q85" s="1381"/>
      <c r="R85" s="1381"/>
      <c r="S85" s="1381"/>
      <c r="T85" s="1381"/>
      <c r="U85" s="1381"/>
      <c r="V85" s="1381"/>
      <c r="W85" s="1381"/>
      <c r="X85" s="1363">
        <v>15</v>
      </c>
      <c r="Y85" s="1363"/>
      <c r="Z85" s="1363"/>
      <c r="AA85" s="1381" t="s">
        <v>2071</v>
      </c>
      <c r="AB85" s="1381"/>
      <c r="AC85" s="1381"/>
      <c r="AD85" s="1381"/>
      <c r="AE85" s="1381"/>
      <c r="AF85" s="1381"/>
      <c r="AM85" s="314"/>
    </row>
    <row r="86" spans="1:39" x14ac:dyDescent="0.25">
      <c r="A86" s="1368"/>
      <c r="B86" s="1369"/>
      <c r="C86" s="1370"/>
      <c r="D86" s="1371"/>
      <c r="E86" s="1372"/>
      <c r="F86" s="1372"/>
      <c r="G86" s="1372"/>
      <c r="H86" s="1372"/>
      <c r="I86" s="1372"/>
      <c r="J86" s="1373"/>
      <c r="K86" s="1381" t="s">
        <v>933</v>
      </c>
      <c r="L86" s="1381"/>
      <c r="M86" s="1381"/>
      <c r="N86" s="1381"/>
      <c r="O86" s="1381"/>
      <c r="P86" s="1381"/>
      <c r="Q86" s="1381"/>
      <c r="R86" s="1381"/>
      <c r="S86" s="1381"/>
      <c r="T86" s="1381"/>
      <c r="U86" s="1381"/>
      <c r="V86" s="1381"/>
      <c r="W86" s="1381"/>
      <c r="X86" s="1363">
        <v>10</v>
      </c>
      <c r="Y86" s="1363"/>
      <c r="Z86" s="1363"/>
      <c r="AA86" s="1378" t="s">
        <v>2071</v>
      </c>
      <c r="AB86" s="1379"/>
      <c r="AC86" s="1379"/>
      <c r="AD86" s="1379"/>
      <c r="AE86" s="1379"/>
      <c r="AF86" s="1380"/>
      <c r="AM86" s="313"/>
    </row>
    <row r="87" spans="1:39" x14ac:dyDescent="0.25">
      <c r="A87" s="1368"/>
      <c r="B87" s="1369"/>
      <c r="C87" s="1370"/>
      <c r="D87" s="1365" t="s">
        <v>934</v>
      </c>
      <c r="E87" s="1366"/>
      <c r="F87" s="1366"/>
      <c r="G87" s="1366"/>
      <c r="H87" s="1366"/>
      <c r="I87" s="1366"/>
      <c r="J87" s="1367"/>
      <c r="K87" s="1381" t="s">
        <v>1486</v>
      </c>
      <c r="L87" s="1381"/>
      <c r="M87" s="1381"/>
      <c r="N87" s="1381"/>
      <c r="O87" s="1381"/>
      <c r="P87" s="1381"/>
      <c r="Q87" s="1381"/>
      <c r="R87" s="1381"/>
      <c r="S87" s="1381"/>
      <c r="T87" s="1381"/>
      <c r="U87" s="1381"/>
      <c r="V87" s="1381"/>
      <c r="W87" s="1381"/>
      <c r="X87" s="1363">
        <v>15</v>
      </c>
      <c r="Y87" s="1363"/>
      <c r="Z87" s="1363"/>
      <c r="AA87" s="1381" t="s">
        <v>2069</v>
      </c>
      <c r="AB87" s="1381"/>
      <c r="AC87" s="1381"/>
      <c r="AD87" s="1381"/>
      <c r="AE87" s="1381"/>
      <c r="AF87" s="1381"/>
      <c r="AM87" s="314"/>
    </row>
    <row r="88" spans="1:39" x14ac:dyDescent="0.25">
      <c r="A88" s="1368"/>
      <c r="B88" s="1369"/>
      <c r="C88" s="1370"/>
      <c r="D88" s="1368"/>
      <c r="E88" s="1369"/>
      <c r="F88" s="1369"/>
      <c r="G88" s="1369"/>
      <c r="H88" s="1369"/>
      <c r="I88" s="1369"/>
      <c r="J88" s="1370"/>
      <c r="K88" s="1381" t="s">
        <v>935</v>
      </c>
      <c r="L88" s="1381"/>
      <c r="M88" s="1381"/>
      <c r="N88" s="1381"/>
      <c r="O88" s="1381"/>
      <c r="P88" s="1381"/>
      <c r="Q88" s="1381"/>
      <c r="R88" s="1381"/>
      <c r="S88" s="1381"/>
      <c r="T88" s="1381"/>
      <c r="U88" s="1381"/>
      <c r="V88" s="1381"/>
      <c r="W88" s="1381"/>
      <c r="X88" s="1363">
        <v>15</v>
      </c>
      <c r="Y88" s="1363"/>
      <c r="Z88" s="1363"/>
      <c r="AA88" s="1381" t="s">
        <v>2072</v>
      </c>
      <c r="AB88" s="1381"/>
      <c r="AC88" s="1381"/>
      <c r="AD88" s="1381"/>
      <c r="AE88" s="1381"/>
      <c r="AF88" s="1381"/>
      <c r="AM88" s="314"/>
    </row>
    <row r="89" spans="1:39" x14ac:dyDescent="0.25">
      <c r="A89" s="1368"/>
      <c r="B89" s="1369"/>
      <c r="C89" s="1370"/>
      <c r="D89" s="1371"/>
      <c r="E89" s="1372"/>
      <c r="F89" s="1372"/>
      <c r="G89" s="1372"/>
      <c r="H89" s="1372"/>
      <c r="I89" s="1372"/>
      <c r="J89" s="1373"/>
      <c r="K89" s="1381" t="s">
        <v>936</v>
      </c>
      <c r="L89" s="1381"/>
      <c r="M89" s="1381"/>
      <c r="N89" s="1381"/>
      <c r="O89" s="1381"/>
      <c r="P89" s="1381"/>
      <c r="Q89" s="1381"/>
      <c r="R89" s="1381"/>
      <c r="S89" s="1381"/>
      <c r="T89" s="1381"/>
      <c r="U89" s="1381"/>
      <c r="V89" s="1381"/>
      <c r="W89" s="1381"/>
      <c r="X89" s="1363">
        <v>5</v>
      </c>
      <c r="Y89" s="1363"/>
      <c r="Z89" s="1363"/>
      <c r="AA89" s="1381" t="s">
        <v>4552</v>
      </c>
      <c r="AB89" s="1381"/>
      <c r="AC89" s="1381"/>
      <c r="AD89" s="1381"/>
      <c r="AE89" s="1381"/>
      <c r="AF89" s="1381"/>
      <c r="AM89" s="314"/>
    </row>
    <row r="90" spans="1:39" x14ac:dyDescent="0.25">
      <c r="A90" s="1368"/>
      <c r="B90" s="1369"/>
      <c r="C90" s="1370"/>
      <c r="D90" s="1365" t="s">
        <v>937</v>
      </c>
      <c r="E90" s="1366"/>
      <c r="F90" s="1366"/>
      <c r="G90" s="1366"/>
      <c r="H90" s="1366"/>
      <c r="I90" s="1366"/>
      <c r="J90" s="1367"/>
      <c r="K90" s="1381" t="s">
        <v>938</v>
      </c>
      <c r="L90" s="1381"/>
      <c r="M90" s="1381"/>
      <c r="N90" s="1381"/>
      <c r="O90" s="1381"/>
      <c r="P90" s="1381"/>
      <c r="Q90" s="1381"/>
      <c r="R90" s="1381"/>
      <c r="S90" s="1381"/>
      <c r="T90" s="1381"/>
      <c r="U90" s="1381"/>
      <c r="V90" s="1381"/>
      <c r="W90" s="1381"/>
      <c r="X90" s="1363">
        <v>15</v>
      </c>
      <c r="Y90" s="1363"/>
      <c r="Z90" s="1363"/>
      <c r="AA90" s="1381" t="s">
        <v>5121</v>
      </c>
      <c r="AB90" s="1381"/>
      <c r="AC90" s="1381"/>
      <c r="AD90" s="1381"/>
      <c r="AE90" s="1381"/>
      <c r="AF90" s="1381"/>
      <c r="AM90" s="314"/>
    </row>
    <row r="91" spans="1:39" x14ac:dyDescent="0.25">
      <c r="A91" s="1368"/>
      <c r="B91" s="1369"/>
      <c r="C91" s="1370"/>
      <c r="D91" s="1371"/>
      <c r="E91" s="1372"/>
      <c r="F91" s="1372"/>
      <c r="G91" s="1372"/>
      <c r="H91" s="1372"/>
      <c r="I91" s="1372"/>
      <c r="J91" s="1373"/>
      <c r="K91" s="1381" t="s">
        <v>939</v>
      </c>
      <c r="L91" s="1381"/>
      <c r="M91" s="1381"/>
      <c r="N91" s="1381"/>
      <c r="O91" s="1381"/>
      <c r="P91" s="1381"/>
      <c r="Q91" s="1381"/>
      <c r="R91" s="1381"/>
      <c r="S91" s="1381"/>
      <c r="T91" s="1381"/>
      <c r="U91" s="1381"/>
      <c r="V91" s="1381"/>
      <c r="W91" s="1381"/>
      <c r="X91" s="1363">
        <v>5</v>
      </c>
      <c r="Y91" s="1363"/>
      <c r="Z91" s="1363"/>
      <c r="AA91" s="1381" t="s">
        <v>2069</v>
      </c>
      <c r="AB91" s="1381"/>
      <c r="AC91" s="1381"/>
      <c r="AD91" s="1381"/>
      <c r="AE91" s="1381"/>
      <c r="AF91" s="1381"/>
      <c r="AM91" s="314"/>
    </row>
    <row r="92" spans="1:39" x14ac:dyDescent="0.25">
      <c r="A92" s="1368"/>
      <c r="B92" s="1369"/>
      <c r="C92" s="1370"/>
      <c r="D92" s="1365" t="s">
        <v>4391</v>
      </c>
      <c r="E92" s="1366"/>
      <c r="F92" s="1366"/>
      <c r="G92" s="1366"/>
      <c r="H92" s="1366"/>
      <c r="I92" s="1366"/>
      <c r="J92" s="1367"/>
      <c r="K92" s="1382" t="s">
        <v>4551</v>
      </c>
      <c r="L92" s="1383"/>
      <c r="M92" s="1383"/>
      <c r="N92" s="1383"/>
      <c r="O92" s="1383"/>
      <c r="P92" s="1383"/>
      <c r="Q92" s="1383"/>
      <c r="R92" s="1383"/>
      <c r="S92" s="1383"/>
      <c r="T92" s="1383"/>
      <c r="U92" s="1383"/>
      <c r="V92" s="1383"/>
      <c r="W92" s="1384"/>
      <c r="X92" s="1363">
        <v>15</v>
      </c>
      <c r="Y92" s="1363"/>
      <c r="Z92" s="1363"/>
      <c r="AA92" s="1381" t="s">
        <v>6316</v>
      </c>
      <c r="AB92" s="1381"/>
      <c r="AC92" s="1381"/>
      <c r="AD92" s="1381"/>
      <c r="AE92" s="1381"/>
      <c r="AF92" s="1381"/>
      <c r="AM92" s="314"/>
    </row>
    <row r="93" spans="1:39" x14ac:dyDescent="0.25">
      <c r="A93" s="1368"/>
      <c r="B93" s="1369"/>
      <c r="C93" s="1370"/>
      <c r="D93" s="1368"/>
      <c r="E93" s="1369"/>
      <c r="F93" s="1369"/>
      <c r="G93" s="1369"/>
      <c r="H93" s="1369"/>
      <c r="I93" s="1369"/>
      <c r="J93" s="1370"/>
      <c r="K93" s="1382" t="s">
        <v>4550</v>
      </c>
      <c r="L93" s="1383"/>
      <c r="M93" s="1383"/>
      <c r="N93" s="1383"/>
      <c r="O93" s="1383"/>
      <c r="P93" s="1383"/>
      <c r="Q93" s="1383"/>
      <c r="R93" s="1383"/>
      <c r="S93" s="1383"/>
      <c r="T93" s="1383"/>
      <c r="U93" s="1383"/>
      <c r="V93" s="1383"/>
      <c r="W93" s="1384"/>
      <c r="X93" s="1363">
        <f>X92/3</f>
        <v>5</v>
      </c>
      <c r="Y93" s="1363"/>
      <c r="Z93" s="1363"/>
      <c r="AA93" s="1381" t="s">
        <v>4552</v>
      </c>
      <c r="AB93" s="1381"/>
      <c r="AC93" s="1381"/>
      <c r="AD93" s="1381"/>
      <c r="AE93" s="1381"/>
      <c r="AF93" s="1381"/>
      <c r="AM93" s="314"/>
    </row>
    <row r="94" spans="1:39" x14ac:dyDescent="0.25">
      <c r="A94" s="1368"/>
      <c r="B94" s="1369"/>
      <c r="C94" s="1370"/>
      <c r="D94" s="1368"/>
      <c r="E94" s="1369"/>
      <c r="F94" s="1369"/>
      <c r="G94" s="1369"/>
      <c r="H94" s="1369"/>
      <c r="I94" s="1369"/>
      <c r="J94" s="1370"/>
      <c r="K94" s="1382" t="s">
        <v>4392</v>
      </c>
      <c r="L94" s="1383"/>
      <c r="M94" s="1383"/>
      <c r="N94" s="1383"/>
      <c r="O94" s="1383"/>
      <c r="P94" s="1383"/>
      <c r="Q94" s="1383"/>
      <c r="R94" s="1383"/>
      <c r="S94" s="1383"/>
      <c r="T94" s="1383"/>
      <c r="U94" s="1383"/>
      <c r="V94" s="1383"/>
      <c r="W94" s="1384"/>
      <c r="X94" s="1363">
        <v>8</v>
      </c>
      <c r="Y94" s="1363"/>
      <c r="Z94" s="1363"/>
      <c r="AA94" s="1381" t="s">
        <v>4553</v>
      </c>
      <c r="AB94" s="1381"/>
      <c r="AC94" s="1381"/>
      <c r="AD94" s="1381"/>
      <c r="AE94" s="1381"/>
      <c r="AF94" s="1381"/>
      <c r="AM94" s="314"/>
    </row>
    <row r="95" spans="1:39" x14ac:dyDescent="0.25">
      <c r="A95" s="1368"/>
      <c r="B95" s="1369"/>
      <c r="C95" s="1370"/>
      <c r="D95" s="1371"/>
      <c r="E95" s="1372"/>
      <c r="F95" s="1372"/>
      <c r="G95" s="1372"/>
      <c r="H95" s="1372"/>
      <c r="I95" s="1372"/>
      <c r="J95" s="1373"/>
      <c r="K95" s="1382" t="s">
        <v>4393</v>
      </c>
      <c r="L95" s="1383"/>
      <c r="M95" s="1383"/>
      <c r="N95" s="1383"/>
      <c r="O95" s="1383"/>
      <c r="P95" s="1383"/>
      <c r="Q95" s="1383"/>
      <c r="R95" s="1383"/>
      <c r="S95" s="1383"/>
      <c r="T95" s="1383"/>
      <c r="U95" s="1383"/>
      <c r="V95" s="1383"/>
      <c r="W95" s="1384"/>
      <c r="X95" s="1363">
        <v>15</v>
      </c>
      <c r="Y95" s="1363"/>
      <c r="Z95" s="1363"/>
      <c r="AA95" s="1381" t="s">
        <v>2069</v>
      </c>
      <c r="AB95" s="1381"/>
      <c r="AC95" s="1381"/>
      <c r="AD95" s="1381"/>
      <c r="AE95" s="1381"/>
      <c r="AF95" s="1381"/>
      <c r="AM95" s="314"/>
    </row>
    <row r="96" spans="1:39" x14ac:dyDescent="0.25">
      <c r="A96" s="1368"/>
      <c r="B96" s="1369"/>
      <c r="C96" s="1370"/>
      <c r="D96" s="1365" t="s">
        <v>687</v>
      </c>
      <c r="E96" s="1366"/>
      <c r="F96" s="1366"/>
      <c r="G96" s="1366"/>
      <c r="H96" s="1366"/>
      <c r="I96" s="1366"/>
      <c r="J96" s="1367"/>
      <c r="K96" s="1381" t="s">
        <v>688</v>
      </c>
      <c r="L96" s="1381"/>
      <c r="M96" s="1381"/>
      <c r="N96" s="1381"/>
      <c r="O96" s="1381"/>
      <c r="P96" s="1381"/>
      <c r="Q96" s="1381"/>
      <c r="R96" s="1381"/>
      <c r="S96" s="1381"/>
      <c r="T96" s="1381"/>
      <c r="U96" s="1381"/>
      <c r="V96" s="1381"/>
      <c r="W96" s="1381"/>
      <c r="X96" s="1363">
        <v>10</v>
      </c>
      <c r="Y96" s="1363"/>
      <c r="Z96" s="1363"/>
      <c r="AA96" s="1381" t="s">
        <v>4655</v>
      </c>
      <c r="AB96" s="1381"/>
      <c r="AC96" s="1381"/>
      <c r="AD96" s="1381"/>
      <c r="AE96" s="1381"/>
      <c r="AF96" s="1381"/>
      <c r="AM96" s="314"/>
    </row>
    <row r="97" spans="1:39" x14ac:dyDescent="0.25">
      <c r="A97" s="1368"/>
      <c r="B97" s="1369"/>
      <c r="C97" s="1370"/>
      <c r="D97" s="1371"/>
      <c r="E97" s="1372"/>
      <c r="F97" s="1372"/>
      <c r="G97" s="1372"/>
      <c r="H97" s="1372"/>
      <c r="I97" s="1372"/>
      <c r="J97" s="1373"/>
      <c r="K97" s="1381" t="s">
        <v>53</v>
      </c>
      <c r="L97" s="1381"/>
      <c r="M97" s="1381"/>
      <c r="N97" s="1381"/>
      <c r="O97" s="1381"/>
      <c r="P97" s="1381"/>
      <c r="Q97" s="1381"/>
      <c r="R97" s="1381"/>
      <c r="S97" s="1381"/>
      <c r="T97" s="1381"/>
      <c r="U97" s="1381"/>
      <c r="V97" s="1381"/>
      <c r="W97" s="1381"/>
      <c r="X97" s="1363">
        <v>15</v>
      </c>
      <c r="Y97" s="1363"/>
      <c r="Z97" s="1363"/>
      <c r="AA97" s="1381" t="s">
        <v>2069</v>
      </c>
      <c r="AB97" s="1381"/>
      <c r="AC97" s="1381"/>
      <c r="AD97" s="1381"/>
      <c r="AE97" s="1381"/>
      <c r="AF97" s="1381"/>
      <c r="AM97" s="314"/>
    </row>
    <row r="98" spans="1:39" x14ac:dyDescent="0.25">
      <c r="A98" s="1368"/>
      <c r="B98" s="1369"/>
      <c r="C98" s="1370"/>
      <c r="D98" s="1365" t="s">
        <v>940</v>
      </c>
      <c r="E98" s="1366"/>
      <c r="F98" s="1366"/>
      <c r="G98" s="1366"/>
      <c r="H98" s="1366"/>
      <c r="I98" s="1366"/>
      <c r="J98" s="1367"/>
      <c r="K98" s="1381" t="s">
        <v>941</v>
      </c>
      <c r="L98" s="1381"/>
      <c r="M98" s="1381"/>
      <c r="N98" s="1381"/>
      <c r="O98" s="1381"/>
      <c r="P98" s="1381"/>
      <c r="Q98" s="1381"/>
      <c r="R98" s="1381"/>
      <c r="S98" s="1381"/>
      <c r="T98" s="1381"/>
      <c r="U98" s="1381"/>
      <c r="V98" s="1381"/>
      <c r="W98" s="1381"/>
      <c r="X98" s="1363">
        <v>14</v>
      </c>
      <c r="Y98" s="1363"/>
      <c r="Z98" s="1363"/>
      <c r="AA98" s="1381" t="s">
        <v>2071</v>
      </c>
      <c r="AB98" s="1381"/>
      <c r="AC98" s="1381"/>
      <c r="AD98" s="1381"/>
      <c r="AE98" s="1381"/>
      <c r="AF98" s="1381"/>
      <c r="AM98" s="313"/>
    </row>
    <row r="99" spans="1:39" x14ac:dyDescent="0.25">
      <c r="A99" s="1368"/>
      <c r="B99" s="1369"/>
      <c r="C99" s="1370"/>
      <c r="D99" s="1368"/>
      <c r="E99" s="1369"/>
      <c r="F99" s="1369"/>
      <c r="G99" s="1369"/>
      <c r="H99" s="1369"/>
      <c r="I99" s="1369"/>
      <c r="J99" s="1370"/>
      <c r="K99" s="1381" t="s">
        <v>468</v>
      </c>
      <c r="L99" s="1381"/>
      <c r="M99" s="1381"/>
      <c r="N99" s="1381"/>
      <c r="O99" s="1381"/>
      <c r="P99" s="1381"/>
      <c r="Q99" s="1381"/>
      <c r="R99" s="1381"/>
      <c r="S99" s="1381"/>
      <c r="T99" s="1381"/>
      <c r="U99" s="1381"/>
      <c r="V99" s="1381"/>
      <c r="W99" s="1381"/>
      <c r="X99" s="1363">
        <v>11</v>
      </c>
      <c r="Y99" s="1363"/>
      <c r="Z99" s="1363"/>
      <c r="AA99" s="1381" t="s">
        <v>2069</v>
      </c>
      <c r="AB99" s="1381"/>
      <c r="AC99" s="1381"/>
      <c r="AD99" s="1381"/>
      <c r="AE99" s="1381"/>
      <c r="AF99" s="1381"/>
      <c r="AM99" s="314"/>
    </row>
    <row r="100" spans="1:39" x14ac:dyDescent="0.25">
      <c r="A100" s="1368"/>
      <c r="B100" s="1369"/>
      <c r="C100" s="1370"/>
      <c r="D100" s="1371"/>
      <c r="E100" s="1372"/>
      <c r="F100" s="1372"/>
      <c r="G100" s="1372"/>
      <c r="H100" s="1372"/>
      <c r="I100" s="1372"/>
      <c r="J100" s="1373"/>
      <c r="K100" s="1381" t="s">
        <v>942</v>
      </c>
      <c r="L100" s="1381"/>
      <c r="M100" s="1381"/>
      <c r="N100" s="1381"/>
      <c r="O100" s="1381"/>
      <c r="P100" s="1381"/>
      <c r="Q100" s="1381"/>
      <c r="R100" s="1381"/>
      <c r="S100" s="1381"/>
      <c r="T100" s="1381"/>
      <c r="U100" s="1381"/>
      <c r="V100" s="1381"/>
      <c r="W100" s="1381"/>
      <c r="X100" s="1363">
        <v>6</v>
      </c>
      <c r="Y100" s="1363"/>
      <c r="Z100" s="1363"/>
      <c r="AA100" s="1381" t="s">
        <v>2072</v>
      </c>
      <c r="AB100" s="1381"/>
      <c r="AC100" s="1381"/>
      <c r="AD100" s="1381"/>
      <c r="AE100" s="1381"/>
      <c r="AF100" s="1381"/>
      <c r="AM100" s="314"/>
    </row>
    <row r="101" spans="1:39" x14ac:dyDescent="0.25">
      <c r="A101" s="1368"/>
      <c r="B101" s="1369"/>
      <c r="C101" s="1370"/>
      <c r="D101" s="1365" t="s">
        <v>904</v>
      </c>
      <c r="E101" s="1366"/>
      <c r="F101" s="1366"/>
      <c r="G101" s="1366"/>
      <c r="H101" s="1366"/>
      <c r="I101" s="1366"/>
      <c r="J101" s="1367"/>
      <c r="K101" s="1381" t="s">
        <v>1469</v>
      </c>
      <c r="L101" s="1381"/>
      <c r="M101" s="1381"/>
      <c r="N101" s="1381"/>
      <c r="O101" s="1381"/>
      <c r="P101" s="1381"/>
      <c r="Q101" s="1381"/>
      <c r="R101" s="1381"/>
      <c r="S101" s="1381"/>
      <c r="T101" s="1381"/>
      <c r="U101" s="1381"/>
      <c r="V101" s="1381"/>
      <c r="W101" s="1381"/>
      <c r="X101" s="1363">
        <v>15</v>
      </c>
      <c r="Y101" s="1363"/>
      <c r="Z101" s="1363"/>
      <c r="AA101" s="1381" t="s">
        <v>2071</v>
      </c>
      <c r="AB101" s="1381"/>
      <c r="AC101" s="1381"/>
      <c r="AD101" s="1381"/>
      <c r="AE101" s="1381"/>
      <c r="AF101" s="1381"/>
      <c r="AM101" s="314"/>
    </row>
    <row r="102" spans="1:39" x14ac:dyDescent="0.25">
      <c r="A102" s="1368"/>
      <c r="B102" s="1369"/>
      <c r="C102" s="1370"/>
      <c r="D102" s="1368"/>
      <c r="E102" s="1369"/>
      <c r="F102" s="1369"/>
      <c r="G102" s="1369"/>
      <c r="H102" s="1369"/>
      <c r="I102" s="1369"/>
      <c r="J102" s="1370"/>
      <c r="K102" s="1381" t="s">
        <v>943</v>
      </c>
      <c r="L102" s="1381"/>
      <c r="M102" s="1381"/>
      <c r="N102" s="1381"/>
      <c r="O102" s="1381"/>
      <c r="P102" s="1381"/>
      <c r="Q102" s="1381"/>
      <c r="R102" s="1381"/>
      <c r="S102" s="1381"/>
      <c r="T102" s="1381"/>
      <c r="U102" s="1381"/>
      <c r="V102" s="1381"/>
      <c r="W102" s="1381"/>
      <c r="X102" s="1363">
        <v>8</v>
      </c>
      <c r="Y102" s="1363"/>
      <c r="Z102" s="1363"/>
      <c r="AA102" s="1381" t="s">
        <v>2072</v>
      </c>
      <c r="AB102" s="1381"/>
      <c r="AC102" s="1381"/>
      <c r="AD102" s="1381"/>
      <c r="AE102" s="1381"/>
      <c r="AF102" s="1381"/>
      <c r="AM102" s="314"/>
    </row>
    <row r="103" spans="1:39" x14ac:dyDescent="0.25">
      <c r="A103" s="1371"/>
      <c r="B103" s="1372"/>
      <c r="C103" s="1373"/>
      <c r="D103" s="1371"/>
      <c r="E103" s="1372"/>
      <c r="F103" s="1372"/>
      <c r="G103" s="1372"/>
      <c r="H103" s="1372"/>
      <c r="I103" s="1372"/>
      <c r="J103" s="1373"/>
      <c r="K103" s="1381" t="s">
        <v>944</v>
      </c>
      <c r="L103" s="1381"/>
      <c r="M103" s="1381"/>
      <c r="N103" s="1381"/>
      <c r="O103" s="1381"/>
      <c r="P103" s="1381"/>
      <c r="Q103" s="1381"/>
      <c r="R103" s="1381"/>
      <c r="S103" s="1381"/>
      <c r="T103" s="1381"/>
      <c r="U103" s="1381"/>
      <c r="V103" s="1381"/>
      <c r="W103" s="1381"/>
      <c r="X103" s="1363">
        <v>8</v>
      </c>
      <c r="Y103" s="1363"/>
      <c r="Z103" s="1363"/>
      <c r="AA103" s="1381" t="s">
        <v>2072</v>
      </c>
      <c r="AB103" s="1381"/>
      <c r="AC103" s="1381"/>
      <c r="AD103" s="1381"/>
      <c r="AE103" s="1381"/>
      <c r="AF103" s="1381"/>
      <c r="AM103" s="314"/>
    </row>
    <row r="104" spans="1:39" x14ac:dyDescent="0.25">
      <c r="A104" s="1365" t="s">
        <v>882</v>
      </c>
      <c r="B104" s="1366"/>
      <c r="C104" s="1367"/>
      <c r="D104" s="1365" t="s">
        <v>467</v>
      </c>
      <c r="E104" s="1366"/>
      <c r="F104" s="1366"/>
      <c r="G104" s="1366"/>
      <c r="H104" s="1366"/>
      <c r="I104" s="1366"/>
      <c r="J104" s="1367"/>
      <c r="K104" s="1381" t="s">
        <v>945</v>
      </c>
      <c r="L104" s="1381"/>
      <c r="M104" s="1381"/>
      <c r="N104" s="1381"/>
      <c r="O104" s="1381"/>
      <c r="P104" s="1381"/>
      <c r="Q104" s="1381"/>
      <c r="R104" s="1381"/>
      <c r="S104" s="1381"/>
      <c r="T104" s="1381"/>
      <c r="U104" s="1381"/>
      <c r="V104" s="1381"/>
      <c r="W104" s="1381"/>
      <c r="X104" s="1363">
        <v>5</v>
      </c>
      <c r="Y104" s="1363"/>
      <c r="Z104" s="1363"/>
      <c r="AA104" s="1381" t="s">
        <v>2072</v>
      </c>
      <c r="AB104" s="1381"/>
      <c r="AC104" s="1381"/>
      <c r="AD104" s="1381"/>
      <c r="AE104" s="1381"/>
      <c r="AF104" s="1381"/>
      <c r="AM104" s="314"/>
    </row>
    <row r="105" spans="1:39" x14ac:dyDescent="0.25">
      <c r="A105" s="1368"/>
      <c r="B105" s="1369"/>
      <c r="C105" s="1370"/>
      <c r="D105" s="1368"/>
      <c r="E105" s="1369"/>
      <c r="F105" s="1369"/>
      <c r="G105" s="1369"/>
      <c r="H105" s="1369"/>
      <c r="I105" s="1369"/>
      <c r="J105" s="1370"/>
      <c r="K105" s="1381" t="s">
        <v>946</v>
      </c>
      <c r="L105" s="1381"/>
      <c r="M105" s="1381"/>
      <c r="N105" s="1381"/>
      <c r="O105" s="1381"/>
      <c r="P105" s="1381"/>
      <c r="Q105" s="1381"/>
      <c r="R105" s="1381"/>
      <c r="S105" s="1381"/>
      <c r="T105" s="1381"/>
      <c r="U105" s="1381"/>
      <c r="V105" s="1381"/>
      <c r="W105" s="1381"/>
      <c r="X105" s="1363">
        <v>13</v>
      </c>
      <c r="Y105" s="1363"/>
      <c r="Z105" s="1363"/>
      <c r="AA105" s="1381" t="s">
        <v>2072</v>
      </c>
      <c r="AB105" s="1381"/>
      <c r="AC105" s="1381"/>
      <c r="AD105" s="1381"/>
      <c r="AE105" s="1381"/>
      <c r="AF105" s="1381"/>
      <c r="AM105" s="314"/>
    </row>
    <row r="106" spans="1:39" x14ac:dyDescent="0.25">
      <c r="A106" s="1368"/>
      <c r="B106" s="1369"/>
      <c r="C106" s="1370"/>
      <c r="D106" s="1368"/>
      <c r="E106" s="1369"/>
      <c r="F106" s="1369"/>
      <c r="G106" s="1369"/>
      <c r="H106" s="1369"/>
      <c r="I106" s="1369"/>
      <c r="J106" s="1370"/>
      <c r="K106" s="1381" t="s">
        <v>907</v>
      </c>
      <c r="L106" s="1381"/>
      <c r="M106" s="1381"/>
      <c r="N106" s="1381"/>
      <c r="O106" s="1381"/>
      <c r="P106" s="1381"/>
      <c r="Q106" s="1381"/>
      <c r="R106" s="1381"/>
      <c r="S106" s="1381"/>
      <c r="T106" s="1381"/>
      <c r="U106" s="1381"/>
      <c r="V106" s="1381"/>
      <c r="W106" s="1381"/>
      <c r="X106" s="1363">
        <v>10</v>
      </c>
      <c r="Y106" s="1363"/>
      <c r="Z106" s="1363"/>
      <c r="AA106" s="1381" t="s">
        <v>2072</v>
      </c>
      <c r="AB106" s="1381"/>
      <c r="AC106" s="1381"/>
      <c r="AD106" s="1381"/>
      <c r="AE106" s="1381"/>
      <c r="AF106" s="1381"/>
      <c r="AM106" s="313"/>
    </row>
    <row r="107" spans="1:39" x14ac:dyDescent="0.25">
      <c r="A107" s="1371"/>
      <c r="B107" s="1372"/>
      <c r="C107" s="1373"/>
      <c r="D107" s="1371"/>
      <c r="E107" s="1372"/>
      <c r="F107" s="1372"/>
      <c r="G107" s="1372"/>
      <c r="H107" s="1372"/>
      <c r="I107" s="1372"/>
      <c r="J107" s="1373"/>
      <c r="K107" s="1381" t="s">
        <v>1222</v>
      </c>
      <c r="L107" s="1381"/>
      <c r="M107" s="1381"/>
      <c r="N107" s="1381"/>
      <c r="O107" s="1381"/>
      <c r="P107" s="1381"/>
      <c r="Q107" s="1381"/>
      <c r="R107" s="1381"/>
      <c r="S107" s="1381"/>
      <c r="T107" s="1381"/>
      <c r="U107" s="1381"/>
      <c r="V107" s="1381"/>
      <c r="W107" s="1381"/>
      <c r="X107" s="1363">
        <v>3</v>
      </c>
      <c r="Y107" s="1363"/>
      <c r="Z107" s="1363"/>
      <c r="AA107" s="1381" t="s">
        <v>2069</v>
      </c>
      <c r="AB107" s="1381"/>
      <c r="AC107" s="1381"/>
      <c r="AD107" s="1381"/>
      <c r="AE107" s="1381"/>
      <c r="AF107" s="1381"/>
      <c r="AM107" s="314"/>
    </row>
    <row r="108" spans="1:39" x14ac:dyDescent="0.25">
      <c r="A108" s="1365" t="s">
        <v>884</v>
      </c>
      <c r="B108" s="1366"/>
      <c r="C108" s="1367"/>
      <c r="D108" s="1365" t="s">
        <v>908</v>
      </c>
      <c r="E108" s="1366"/>
      <c r="F108" s="1366"/>
      <c r="G108" s="1366"/>
      <c r="H108" s="1366"/>
      <c r="I108" s="1366"/>
      <c r="J108" s="1367"/>
      <c r="K108" s="1381" t="s">
        <v>947</v>
      </c>
      <c r="L108" s="1381"/>
      <c r="M108" s="1381"/>
      <c r="N108" s="1381"/>
      <c r="O108" s="1381"/>
      <c r="P108" s="1381"/>
      <c r="Q108" s="1381"/>
      <c r="R108" s="1381"/>
      <c r="S108" s="1381"/>
      <c r="T108" s="1381"/>
      <c r="U108" s="1381"/>
      <c r="V108" s="1381"/>
      <c r="W108" s="1381"/>
      <c r="X108" s="1363">
        <v>1</v>
      </c>
      <c r="Y108" s="1363"/>
      <c r="Z108" s="1363"/>
      <c r="AA108" s="1381" t="s">
        <v>2072</v>
      </c>
      <c r="AB108" s="1381"/>
      <c r="AC108" s="1381"/>
      <c r="AD108" s="1381"/>
      <c r="AE108" s="1381"/>
      <c r="AF108" s="1381"/>
      <c r="AM108" s="314"/>
    </row>
    <row r="109" spans="1:39" x14ac:dyDescent="0.25">
      <c r="A109" s="1368"/>
      <c r="B109" s="1369"/>
      <c r="C109" s="1370"/>
      <c r="D109" s="1368"/>
      <c r="E109" s="1369"/>
      <c r="F109" s="1369"/>
      <c r="G109" s="1369"/>
      <c r="H109" s="1369"/>
      <c r="I109" s="1369"/>
      <c r="J109" s="1370"/>
      <c r="K109" s="1381" t="s">
        <v>948</v>
      </c>
      <c r="L109" s="1381"/>
      <c r="M109" s="1381"/>
      <c r="N109" s="1381"/>
      <c r="O109" s="1381"/>
      <c r="P109" s="1381"/>
      <c r="Q109" s="1381"/>
      <c r="R109" s="1381"/>
      <c r="S109" s="1381"/>
      <c r="T109" s="1381"/>
      <c r="U109" s="1381"/>
      <c r="V109" s="1381"/>
      <c r="W109" s="1381"/>
      <c r="X109" s="1363">
        <v>1</v>
      </c>
      <c r="Y109" s="1363"/>
      <c r="Z109" s="1363"/>
      <c r="AA109" s="1381" t="s">
        <v>2072</v>
      </c>
      <c r="AB109" s="1381"/>
      <c r="AC109" s="1381"/>
      <c r="AD109" s="1381"/>
      <c r="AE109" s="1381"/>
      <c r="AF109" s="1381"/>
      <c r="AM109" s="314"/>
    </row>
    <row r="110" spans="1:39" x14ac:dyDescent="0.25">
      <c r="A110" s="1368"/>
      <c r="B110" s="1369"/>
      <c r="C110" s="1370"/>
      <c r="D110" s="1368"/>
      <c r="E110" s="1369"/>
      <c r="F110" s="1369"/>
      <c r="G110" s="1369"/>
      <c r="H110" s="1369"/>
      <c r="I110" s="1369"/>
      <c r="J110" s="1370"/>
      <c r="K110" s="1381" t="s">
        <v>949</v>
      </c>
      <c r="L110" s="1381"/>
      <c r="M110" s="1381"/>
      <c r="N110" s="1381"/>
      <c r="O110" s="1381"/>
      <c r="P110" s="1381"/>
      <c r="Q110" s="1381"/>
      <c r="R110" s="1381"/>
      <c r="S110" s="1381"/>
      <c r="T110" s="1381"/>
      <c r="U110" s="1381"/>
      <c r="V110" s="1381"/>
      <c r="W110" s="1381"/>
      <c r="X110" s="1363" t="s">
        <v>252</v>
      </c>
      <c r="Y110" s="1363"/>
      <c r="Z110" s="1363"/>
      <c r="AA110" s="1381" t="s">
        <v>2072</v>
      </c>
      <c r="AB110" s="1381"/>
      <c r="AC110" s="1381"/>
      <c r="AD110" s="1381"/>
      <c r="AE110" s="1381"/>
      <c r="AF110" s="1381"/>
      <c r="AM110" s="314"/>
    </row>
    <row r="111" spans="1:39" x14ac:dyDescent="0.25">
      <c r="A111" s="1368"/>
      <c r="B111" s="1369"/>
      <c r="C111" s="1370"/>
      <c r="D111" s="1368"/>
      <c r="E111" s="1369"/>
      <c r="F111" s="1369"/>
      <c r="G111" s="1369"/>
      <c r="H111" s="1369"/>
      <c r="I111" s="1369"/>
      <c r="J111" s="1370"/>
      <c r="K111" s="1381" t="s">
        <v>950</v>
      </c>
      <c r="L111" s="1381"/>
      <c r="M111" s="1381"/>
      <c r="N111" s="1381"/>
      <c r="O111" s="1381"/>
      <c r="P111" s="1381"/>
      <c r="Q111" s="1381"/>
      <c r="R111" s="1381"/>
      <c r="S111" s="1381"/>
      <c r="T111" s="1381"/>
      <c r="U111" s="1381"/>
      <c r="V111" s="1381"/>
      <c r="W111" s="1381"/>
      <c r="X111" s="1363" t="s">
        <v>252</v>
      </c>
      <c r="Y111" s="1363"/>
      <c r="Z111" s="1363"/>
      <c r="AA111" s="1381" t="s">
        <v>2072</v>
      </c>
      <c r="AB111" s="1381"/>
      <c r="AC111" s="1381"/>
      <c r="AD111" s="1381"/>
      <c r="AE111" s="1381"/>
      <c r="AF111" s="1381"/>
      <c r="AM111" s="313"/>
    </row>
    <row r="112" spans="1:39" x14ac:dyDescent="0.25">
      <c r="A112" s="1368"/>
      <c r="B112" s="1369"/>
      <c r="C112" s="1370"/>
      <c r="D112" s="1368"/>
      <c r="E112" s="1369"/>
      <c r="F112" s="1369"/>
      <c r="G112" s="1369"/>
      <c r="H112" s="1369"/>
      <c r="I112" s="1369"/>
      <c r="J112" s="1370"/>
      <c r="K112" s="1381" t="s">
        <v>951</v>
      </c>
      <c r="L112" s="1381"/>
      <c r="M112" s="1381"/>
      <c r="N112" s="1381"/>
      <c r="O112" s="1381"/>
      <c r="P112" s="1381"/>
      <c r="Q112" s="1381"/>
      <c r="R112" s="1381"/>
      <c r="S112" s="1381"/>
      <c r="T112" s="1381"/>
      <c r="U112" s="1381"/>
      <c r="V112" s="1381"/>
      <c r="W112" s="1381"/>
      <c r="X112" s="1363" t="s">
        <v>252</v>
      </c>
      <c r="Y112" s="1363"/>
      <c r="Z112" s="1363"/>
      <c r="AA112" s="1381" t="s">
        <v>2072</v>
      </c>
      <c r="AB112" s="1381"/>
      <c r="AC112" s="1381"/>
      <c r="AD112" s="1381"/>
      <c r="AE112" s="1381"/>
      <c r="AF112" s="1381"/>
      <c r="AM112" s="314"/>
    </row>
    <row r="113" spans="1:39" x14ac:dyDescent="0.25">
      <c r="A113" s="1368"/>
      <c r="B113" s="1369"/>
      <c r="C113" s="1370"/>
      <c r="D113" s="1368"/>
      <c r="E113" s="1369"/>
      <c r="F113" s="1369"/>
      <c r="G113" s="1369"/>
      <c r="H113" s="1369"/>
      <c r="I113" s="1369"/>
      <c r="J113" s="1370"/>
      <c r="K113" s="1381" t="s">
        <v>952</v>
      </c>
      <c r="L113" s="1381"/>
      <c r="M113" s="1381"/>
      <c r="N113" s="1381"/>
      <c r="O113" s="1381"/>
      <c r="P113" s="1381"/>
      <c r="Q113" s="1381"/>
      <c r="R113" s="1381"/>
      <c r="S113" s="1381"/>
      <c r="T113" s="1381"/>
      <c r="U113" s="1381"/>
      <c r="V113" s="1381"/>
      <c r="W113" s="1381"/>
      <c r="X113" s="1363" t="s">
        <v>252</v>
      </c>
      <c r="Y113" s="1363"/>
      <c r="Z113" s="1363"/>
      <c r="AA113" s="1381" t="s">
        <v>2072</v>
      </c>
      <c r="AB113" s="1381"/>
      <c r="AC113" s="1381"/>
      <c r="AD113" s="1381"/>
      <c r="AE113" s="1381"/>
      <c r="AF113" s="1381"/>
      <c r="AM113" s="314"/>
    </row>
    <row r="114" spans="1:39" x14ac:dyDescent="0.25">
      <c r="A114" s="1371"/>
      <c r="B114" s="1372"/>
      <c r="C114" s="1373"/>
      <c r="D114" s="1371"/>
      <c r="E114" s="1372"/>
      <c r="F114" s="1372"/>
      <c r="G114" s="1372"/>
      <c r="H114" s="1372"/>
      <c r="I114" s="1372"/>
      <c r="J114" s="1373"/>
      <c r="K114" s="1381" t="s">
        <v>953</v>
      </c>
      <c r="L114" s="1381"/>
      <c r="M114" s="1381"/>
      <c r="N114" s="1381"/>
      <c r="O114" s="1381"/>
      <c r="P114" s="1381"/>
      <c r="Q114" s="1381"/>
      <c r="R114" s="1381"/>
      <c r="S114" s="1381"/>
      <c r="T114" s="1381"/>
      <c r="U114" s="1381"/>
      <c r="V114" s="1381"/>
      <c r="W114" s="1381"/>
      <c r="X114" s="1363">
        <v>15</v>
      </c>
      <c r="Y114" s="1363"/>
      <c r="Z114" s="1363"/>
      <c r="AA114" s="1381" t="s">
        <v>2072</v>
      </c>
      <c r="AB114" s="1381"/>
      <c r="AC114" s="1381"/>
      <c r="AD114" s="1381"/>
      <c r="AE114" s="1381"/>
      <c r="AF114" s="1381"/>
      <c r="AM114" s="314"/>
    </row>
    <row r="115" spans="1:39" ht="31.5" customHeight="1" x14ac:dyDescent="0.25">
      <c r="A115" s="1365" t="s">
        <v>886</v>
      </c>
      <c r="B115" s="1366"/>
      <c r="C115" s="1367"/>
      <c r="D115" s="1365" t="s">
        <v>913</v>
      </c>
      <c r="E115" s="1366"/>
      <c r="F115" s="1366"/>
      <c r="G115" s="1366"/>
      <c r="H115" s="1366"/>
      <c r="I115" s="1366"/>
      <c r="J115" s="1367"/>
      <c r="K115" s="1374" t="s">
        <v>2112</v>
      </c>
      <c r="L115" s="1374"/>
      <c r="M115" s="1374"/>
      <c r="N115" s="1374"/>
      <c r="O115" s="1374"/>
      <c r="P115" s="1374"/>
      <c r="Q115" s="1374"/>
      <c r="R115" s="1374"/>
      <c r="S115" s="1374"/>
      <c r="T115" s="1374"/>
      <c r="U115" s="1374"/>
      <c r="V115" s="1374"/>
      <c r="W115" s="1374"/>
      <c r="X115" s="1363" t="s">
        <v>2075</v>
      </c>
      <c r="Y115" s="1363"/>
      <c r="Z115" s="1363"/>
      <c r="AA115" s="1364" t="s">
        <v>2070</v>
      </c>
      <c r="AB115" s="1364"/>
      <c r="AC115" s="1364"/>
      <c r="AD115" s="1364"/>
      <c r="AE115" s="1364"/>
      <c r="AF115" s="1364"/>
      <c r="AM115" s="314"/>
    </row>
    <row r="116" spans="1:39" ht="31.5" customHeight="1" x14ac:dyDescent="0.25">
      <c r="A116" s="1368"/>
      <c r="B116" s="1369"/>
      <c r="C116" s="1370"/>
      <c r="D116" s="1368"/>
      <c r="E116" s="1369"/>
      <c r="F116" s="1369"/>
      <c r="G116" s="1369"/>
      <c r="H116" s="1369"/>
      <c r="I116" s="1369"/>
      <c r="J116" s="1370"/>
      <c r="K116" s="1374" t="s">
        <v>2108</v>
      </c>
      <c r="L116" s="1374"/>
      <c r="M116" s="1374"/>
      <c r="N116" s="1374"/>
      <c r="O116" s="1374"/>
      <c r="P116" s="1374"/>
      <c r="Q116" s="1374"/>
      <c r="R116" s="1374"/>
      <c r="S116" s="1374"/>
      <c r="T116" s="1374"/>
      <c r="U116" s="1374"/>
      <c r="V116" s="1374"/>
      <c r="W116" s="1374"/>
      <c r="X116" s="1363" t="s">
        <v>2075</v>
      </c>
      <c r="Y116" s="1363"/>
      <c r="Z116" s="1363"/>
      <c r="AA116" s="1364" t="s">
        <v>2109</v>
      </c>
      <c r="AB116" s="1364"/>
      <c r="AC116" s="1364"/>
      <c r="AD116" s="1364"/>
      <c r="AE116" s="1364"/>
      <c r="AF116" s="1364"/>
      <c r="AM116" s="314"/>
    </row>
    <row r="117" spans="1:39" ht="27.75" customHeight="1" x14ac:dyDescent="0.25">
      <c r="A117" s="1368"/>
      <c r="B117" s="1369"/>
      <c r="C117" s="1370"/>
      <c r="D117" s="1371"/>
      <c r="E117" s="1372"/>
      <c r="F117" s="1372"/>
      <c r="G117" s="1372"/>
      <c r="H117" s="1372"/>
      <c r="I117" s="1372"/>
      <c r="J117" s="1373"/>
      <c r="K117" s="1362" t="s">
        <v>5558</v>
      </c>
      <c r="L117" s="1362"/>
      <c r="M117" s="1362"/>
      <c r="N117" s="1362"/>
      <c r="O117" s="1362"/>
      <c r="P117" s="1362"/>
      <c r="Q117" s="1362"/>
      <c r="R117" s="1362"/>
      <c r="S117" s="1362"/>
      <c r="T117" s="1362"/>
      <c r="U117" s="1362"/>
      <c r="V117" s="1362"/>
      <c r="W117" s="1362"/>
      <c r="X117" s="1363" t="s">
        <v>2075</v>
      </c>
      <c r="Y117" s="1363"/>
      <c r="Z117" s="1363"/>
      <c r="AA117" s="1364" t="s">
        <v>5122</v>
      </c>
      <c r="AB117" s="1364"/>
      <c r="AC117" s="1364"/>
      <c r="AD117" s="1364"/>
      <c r="AE117" s="1364"/>
      <c r="AF117" s="1364"/>
      <c r="AM117" s="627"/>
    </row>
    <row r="118" spans="1:39" x14ac:dyDescent="0.25">
      <c r="A118" s="1368"/>
      <c r="B118" s="1369"/>
      <c r="C118" s="1370"/>
      <c r="D118" s="1363" t="s">
        <v>954</v>
      </c>
      <c r="E118" s="1363"/>
      <c r="F118" s="1363"/>
      <c r="G118" s="1363"/>
      <c r="H118" s="1363"/>
      <c r="I118" s="1363"/>
      <c r="J118" s="1363"/>
      <c r="K118" s="1381" t="s">
        <v>955</v>
      </c>
      <c r="L118" s="1381"/>
      <c r="M118" s="1381"/>
      <c r="N118" s="1381"/>
      <c r="O118" s="1381"/>
      <c r="P118" s="1381"/>
      <c r="Q118" s="1381"/>
      <c r="R118" s="1381"/>
      <c r="S118" s="1381"/>
      <c r="T118" s="1381"/>
      <c r="U118" s="1381"/>
      <c r="V118" s="1381"/>
      <c r="W118" s="1381"/>
      <c r="X118" s="1363">
        <v>5</v>
      </c>
      <c r="Y118" s="1363"/>
      <c r="Z118" s="1363"/>
      <c r="AA118" s="1381" t="s">
        <v>2072</v>
      </c>
      <c r="AB118" s="1381"/>
      <c r="AC118" s="1381"/>
      <c r="AD118" s="1381"/>
      <c r="AE118" s="1381"/>
      <c r="AF118" s="1381"/>
      <c r="AM118" s="313"/>
    </row>
    <row r="119" spans="1:39" ht="31.5" customHeight="1" x14ac:dyDescent="0.25">
      <c r="A119" s="1368"/>
      <c r="B119" s="1369"/>
      <c r="C119" s="1370"/>
      <c r="D119" s="1365" t="s">
        <v>227</v>
      </c>
      <c r="E119" s="1366"/>
      <c r="F119" s="1366"/>
      <c r="G119" s="1366"/>
      <c r="H119" s="1366"/>
      <c r="I119" s="1366"/>
      <c r="J119" s="1367"/>
      <c r="K119" s="1364" t="s">
        <v>956</v>
      </c>
      <c r="L119" s="1364"/>
      <c r="M119" s="1364"/>
      <c r="N119" s="1364"/>
      <c r="O119" s="1364"/>
      <c r="P119" s="1364"/>
      <c r="Q119" s="1364"/>
      <c r="R119" s="1364"/>
      <c r="S119" s="1364"/>
      <c r="T119" s="1364"/>
      <c r="U119" s="1364"/>
      <c r="V119" s="1364"/>
      <c r="W119" s="1364"/>
      <c r="X119" s="1363">
        <v>15</v>
      </c>
      <c r="Y119" s="1363"/>
      <c r="Z119" s="1363"/>
      <c r="AA119" s="1381" t="s">
        <v>5121</v>
      </c>
      <c r="AB119" s="1381"/>
      <c r="AC119" s="1381"/>
      <c r="AD119" s="1381"/>
      <c r="AE119" s="1381"/>
      <c r="AF119" s="1381"/>
      <c r="AM119" s="314"/>
    </row>
    <row r="120" spans="1:39" x14ac:dyDescent="0.25">
      <c r="A120" s="1368"/>
      <c r="B120" s="1369"/>
      <c r="C120" s="1370"/>
      <c r="D120" s="1368"/>
      <c r="E120" s="1369"/>
      <c r="F120" s="1369"/>
      <c r="G120" s="1369"/>
      <c r="H120" s="1369"/>
      <c r="I120" s="1369"/>
      <c r="J120" s="1370"/>
      <c r="K120" s="1381" t="s">
        <v>957</v>
      </c>
      <c r="L120" s="1381"/>
      <c r="M120" s="1381"/>
      <c r="N120" s="1381"/>
      <c r="O120" s="1381"/>
      <c r="P120" s="1381"/>
      <c r="Q120" s="1381"/>
      <c r="R120" s="1381"/>
      <c r="S120" s="1381"/>
      <c r="T120" s="1381"/>
      <c r="U120" s="1381"/>
      <c r="V120" s="1381"/>
      <c r="W120" s="1381"/>
      <c r="X120" s="1363">
        <v>5</v>
      </c>
      <c r="Y120" s="1363"/>
      <c r="Z120" s="1363"/>
      <c r="AA120" s="1381" t="s">
        <v>2069</v>
      </c>
      <c r="AB120" s="1381"/>
      <c r="AC120" s="1381"/>
      <c r="AD120" s="1381"/>
      <c r="AE120" s="1381"/>
      <c r="AF120" s="1381"/>
      <c r="AM120" s="314"/>
    </row>
    <row r="121" spans="1:39" x14ac:dyDescent="0.25">
      <c r="A121" s="1368"/>
      <c r="B121" s="1369"/>
      <c r="C121" s="1370"/>
      <c r="D121" s="1368"/>
      <c r="E121" s="1369"/>
      <c r="F121" s="1369"/>
      <c r="G121" s="1369"/>
      <c r="H121" s="1369"/>
      <c r="I121" s="1369"/>
      <c r="J121" s="1370"/>
      <c r="K121" s="1381" t="s">
        <v>958</v>
      </c>
      <c r="L121" s="1381"/>
      <c r="M121" s="1381"/>
      <c r="N121" s="1381"/>
      <c r="O121" s="1381"/>
      <c r="P121" s="1381"/>
      <c r="Q121" s="1381"/>
      <c r="R121" s="1381"/>
      <c r="S121" s="1381"/>
      <c r="T121" s="1381"/>
      <c r="U121" s="1381"/>
      <c r="V121" s="1381"/>
      <c r="W121" s="1381"/>
      <c r="X121" s="1363">
        <v>12</v>
      </c>
      <c r="Y121" s="1363"/>
      <c r="Z121" s="1363"/>
      <c r="AA121" s="1381" t="s">
        <v>5923</v>
      </c>
      <c r="AB121" s="1381"/>
      <c r="AC121" s="1381"/>
      <c r="AD121" s="1381"/>
      <c r="AE121" s="1381"/>
      <c r="AF121" s="1381"/>
      <c r="AM121" s="313"/>
    </row>
    <row r="122" spans="1:39" ht="30.75" customHeight="1" x14ac:dyDescent="0.25">
      <c r="A122" s="1368"/>
      <c r="B122" s="1369"/>
      <c r="C122" s="1370"/>
      <c r="D122" s="1368"/>
      <c r="E122" s="1369"/>
      <c r="F122" s="1369"/>
      <c r="G122" s="1369"/>
      <c r="H122" s="1369"/>
      <c r="I122" s="1369"/>
      <c r="J122" s="1370"/>
      <c r="K122" s="1362" t="s">
        <v>5529</v>
      </c>
      <c r="L122" s="1362"/>
      <c r="M122" s="1362"/>
      <c r="N122" s="1362"/>
      <c r="O122" s="1362"/>
      <c r="P122" s="1362"/>
      <c r="Q122" s="1362"/>
      <c r="R122" s="1362"/>
      <c r="S122" s="1362"/>
      <c r="T122" s="1362"/>
      <c r="U122" s="1362"/>
      <c r="V122" s="1362"/>
      <c r="W122" s="1362"/>
      <c r="X122" s="1363" t="s">
        <v>2075</v>
      </c>
      <c r="Y122" s="1363"/>
      <c r="Z122" s="1363"/>
      <c r="AA122" s="1364" t="s">
        <v>5123</v>
      </c>
      <c r="AB122" s="1364"/>
      <c r="AC122" s="1364"/>
      <c r="AD122" s="1364"/>
      <c r="AE122" s="1364"/>
      <c r="AF122" s="1364"/>
      <c r="AM122" s="856"/>
    </row>
    <row r="123" spans="1:39" x14ac:dyDescent="0.25">
      <c r="A123" s="1368"/>
      <c r="B123" s="1369"/>
      <c r="C123" s="1370"/>
      <c r="D123" s="1371"/>
      <c r="E123" s="1372"/>
      <c r="F123" s="1372"/>
      <c r="G123" s="1372"/>
      <c r="H123" s="1372"/>
      <c r="I123" s="1372"/>
      <c r="J123" s="1373"/>
      <c r="K123" s="1381" t="s">
        <v>6118</v>
      </c>
      <c r="L123" s="1381"/>
      <c r="M123" s="1381"/>
      <c r="N123" s="1381"/>
      <c r="O123" s="1381"/>
      <c r="P123" s="1381"/>
      <c r="Q123" s="1381"/>
      <c r="R123" s="1381"/>
      <c r="S123" s="1381"/>
      <c r="T123" s="1381"/>
      <c r="U123" s="1381"/>
      <c r="V123" s="1381"/>
      <c r="W123" s="1381"/>
      <c r="X123" s="1363">
        <v>10</v>
      </c>
      <c r="Y123" s="1363"/>
      <c r="Z123" s="1363"/>
      <c r="AA123" s="1381" t="s">
        <v>5923</v>
      </c>
      <c r="AB123" s="1381"/>
      <c r="AC123" s="1381"/>
      <c r="AD123" s="1381"/>
      <c r="AE123" s="1381"/>
      <c r="AF123" s="1381"/>
      <c r="AM123" s="856"/>
    </row>
    <row r="124" spans="1:39" x14ac:dyDescent="0.25">
      <c r="A124" s="1368"/>
      <c r="B124" s="1369"/>
      <c r="C124" s="1370"/>
      <c r="D124" s="1365" t="s">
        <v>467</v>
      </c>
      <c r="E124" s="1366"/>
      <c r="F124" s="1366"/>
      <c r="G124" s="1366"/>
      <c r="H124" s="1366"/>
      <c r="I124" s="1366"/>
      <c r="J124" s="1367"/>
      <c r="K124" s="1381" t="s">
        <v>959</v>
      </c>
      <c r="L124" s="1381"/>
      <c r="M124" s="1381"/>
      <c r="N124" s="1381"/>
      <c r="O124" s="1381"/>
      <c r="P124" s="1381"/>
      <c r="Q124" s="1381"/>
      <c r="R124" s="1381"/>
      <c r="S124" s="1381"/>
      <c r="T124" s="1381"/>
      <c r="U124" s="1381"/>
      <c r="V124" s="1381"/>
      <c r="W124" s="1381"/>
      <c r="X124" s="1363" t="s">
        <v>467</v>
      </c>
      <c r="Y124" s="1363"/>
      <c r="Z124" s="1363"/>
      <c r="AA124" s="1381" t="s">
        <v>2072</v>
      </c>
      <c r="AB124" s="1381"/>
      <c r="AC124" s="1381"/>
      <c r="AD124" s="1381"/>
      <c r="AE124" s="1381"/>
      <c r="AF124" s="1381"/>
      <c r="AM124" s="313"/>
    </row>
    <row r="125" spans="1:39" x14ac:dyDescent="0.25">
      <c r="A125" s="1368"/>
      <c r="B125" s="1369"/>
      <c r="C125" s="1370"/>
      <c r="D125" s="1368"/>
      <c r="E125" s="1369"/>
      <c r="F125" s="1369"/>
      <c r="G125" s="1369"/>
      <c r="H125" s="1369"/>
      <c r="I125" s="1369"/>
      <c r="J125" s="1370"/>
      <c r="K125" s="1381" t="s">
        <v>296</v>
      </c>
      <c r="L125" s="1381"/>
      <c r="M125" s="1381"/>
      <c r="N125" s="1381"/>
      <c r="O125" s="1381"/>
      <c r="P125" s="1381"/>
      <c r="Q125" s="1381"/>
      <c r="R125" s="1381"/>
      <c r="S125" s="1381"/>
      <c r="T125" s="1381"/>
      <c r="U125" s="1381"/>
      <c r="V125" s="1381"/>
      <c r="W125" s="1381"/>
      <c r="X125" s="1363">
        <v>12</v>
      </c>
      <c r="Y125" s="1363"/>
      <c r="Z125" s="1363"/>
      <c r="AA125" s="1381" t="s">
        <v>2072</v>
      </c>
      <c r="AB125" s="1381"/>
      <c r="AC125" s="1381"/>
      <c r="AD125" s="1381"/>
      <c r="AE125" s="1381"/>
      <c r="AF125" s="1381"/>
      <c r="AM125" s="314"/>
    </row>
    <row r="126" spans="1:39" x14ac:dyDescent="0.25">
      <c r="A126" s="1371"/>
      <c r="B126" s="1372"/>
      <c r="C126" s="1373"/>
      <c r="D126" s="1371"/>
      <c r="E126" s="1372"/>
      <c r="F126" s="1372"/>
      <c r="G126" s="1372"/>
      <c r="H126" s="1372"/>
      <c r="I126" s="1372"/>
      <c r="J126" s="1373"/>
      <c r="K126" s="1381" t="s">
        <v>805</v>
      </c>
      <c r="L126" s="1381"/>
      <c r="M126" s="1381"/>
      <c r="N126" s="1381"/>
      <c r="O126" s="1381"/>
      <c r="P126" s="1381"/>
      <c r="Q126" s="1381"/>
      <c r="R126" s="1381"/>
      <c r="S126" s="1381"/>
      <c r="T126" s="1381"/>
      <c r="U126" s="1381"/>
      <c r="V126" s="1381"/>
      <c r="W126" s="1381"/>
      <c r="X126" s="1363" t="s">
        <v>5924</v>
      </c>
      <c r="Y126" s="1363"/>
      <c r="Z126" s="1363"/>
      <c r="AA126" s="1381" t="s">
        <v>2071</v>
      </c>
      <c r="AB126" s="1381"/>
      <c r="AC126" s="1381"/>
      <c r="AD126" s="1381"/>
      <c r="AE126" s="1381"/>
      <c r="AF126" s="1381"/>
    </row>
    <row r="127" spans="1:39" x14ac:dyDescent="0.25">
      <c r="A127" s="1238" t="s">
        <v>2173</v>
      </c>
      <c r="B127" s="1238"/>
      <c r="C127" s="1238"/>
      <c r="D127" s="1238"/>
      <c r="E127" s="1238"/>
      <c r="F127" s="1238"/>
      <c r="G127" s="1238"/>
      <c r="H127" s="1238"/>
      <c r="I127" s="1238"/>
      <c r="J127" s="1238"/>
      <c r="K127" s="1238"/>
      <c r="L127" s="1238"/>
      <c r="M127" s="1238"/>
      <c r="N127" s="1238"/>
      <c r="O127" s="1238"/>
      <c r="P127" s="1238"/>
      <c r="Q127" s="1238"/>
      <c r="R127" s="1238"/>
      <c r="S127" s="1238"/>
      <c r="T127" s="1238"/>
      <c r="U127" s="1238"/>
      <c r="V127" s="1238"/>
      <c r="W127" s="1238"/>
      <c r="X127" s="1238"/>
      <c r="Y127" s="1238"/>
      <c r="Z127" s="1238"/>
      <c r="AA127" s="1238"/>
      <c r="AB127" s="1238"/>
      <c r="AC127" s="1238"/>
      <c r="AD127" s="1238"/>
      <c r="AE127" s="1238"/>
      <c r="AF127" s="1238"/>
    </row>
    <row r="128" spans="1:39" x14ac:dyDescent="0.25">
      <c r="A128" s="297"/>
      <c r="B128" s="1238" t="s">
        <v>2933</v>
      </c>
      <c r="C128" s="1238"/>
      <c r="D128" s="1238"/>
      <c r="E128" s="1238"/>
      <c r="F128" s="1238"/>
      <c r="G128" s="1238"/>
      <c r="H128" s="1238"/>
      <c r="I128" s="1238"/>
      <c r="J128" s="1238"/>
      <c r="K128" s="1238"/>
      <c r="L128" s="1238"/>
      <c r="M128" s="1238"/>
      <c r="N128" s="1238"/>
      <c r="O128" s="1238"/>
      <c r="P128" s="1238"/>
      <c r="Q128" s="1238"/>
      <c r="R128" s="1238"/>
      <c r="S128" s="1238"/>
      <c r="T128" s="1238"/>
      <c r="U128" s="1238"/>
      <c r="V128" s="1238"/>
      <c r="W128" s="1238"/>
      <c r="X128" s="1238"/>
      <c r="Y128" s="1238"/>
      <c r="Z128" s="1238"/>
      <c r="AA128" s="1238"/>
      <c r="AB128" s="1238"/>
      <c r="AC128" s="1238"/>
      <c r="AD128" s="1238"/>
      <c r="AE128" s="1238"/>
      <c r="AF128" s="1238"/>
    </row>
    <row r="129" spans="1:32" ht="39.75" customHeight="1" x14ac:dyDescent="0.25">
      <c r="A129" s="297"/>
      <c r="B129" s="1238" t="s">
        <v>2934</v>
      </c>
      <c r="C129" s="1238"/>
      <c r="D129" s="1238"/>
      <c r="E129" s="1238"/>
      <c r="F129" s="1238"/>
      <c r="G129" s="1238"/>
      <c r="H129" s="1238"/>
      <c r="I129" s="1238"/>
      <c r="J129" s="1238"/>
      <c r="K129" s="1238"/>
      <c r="L129" s="1238"/>
      <c r="M129" s="1238"/>
      <c r="N129" s="1238"/>
      <c r="O129" s="1238"/>
      <c r="P129" s="1238"/>
      <c r="Q129" s="1238"/>
      <c r="R129" s="1238"/>
      <c r="S129" s="1238"/>
      <c r="T129" s="1238"/>
      <c r="U129" s="1238"/>
      <c r="V129" s="1238"/>
      <c r="W129" s="1238"/>
      <c r="X129" s="1238"/>
      <c r="Y129" s="1238"/>
      <c r="Z129" s="1238"/>
      <c r="AA129" s="1238"/>
      <c r="AB129" s="1238"/>
      <c r="AC129" s="1238"/>
      <c r="AD129" s="1238"/>
      <c r="AE129" s="1238"/>
      <c r="AF129" s="1238"/>
    </row>
    <row r="130" spans="1:32" ht="53.25" customHeight="1" x14ac:dyDescent="0.25">
      <c r="A130" s="297"/>
      <c r="B130" s="1238" t="s">
        <v>2080</v>
      </c>
      <c r="C130" s="1238"/>
      <c r="D130" s="1238"/>
      <c r="E130" s="1238"/>
      <c r="F130" s="1238"/>
      <c r="G130" s="1238"/>
      <c r="H130" s="1238"/>
      <c r="I130" s="1238"/>
      <c r="J130" s="1238"/>
      <c r="K130" s="1238"/>
      <c r="L130" s="1238"/>
      <c r="M130" s="1238"/>
      <c r="N130" s="1238"/>
      <c r="O130" s="1238"/>
      <c r="P130" s="1238"/>
      <c r="Q130" s="1238"/>
      <c r="R130" s="1238"/>
      <c r="S130" s="1238"/>
      <c r="T130" s="1238"/>
      <c r="U130" s="1238"/>
      <c r="V130" s="1238"/>
      <c r="W130" s="1238"/>
      <c r="X130" s="1238"/>
      <c r="Y130" s="1238"/>
      <c r="Z130" s="1238"/>
      <c r="AA130" s="1238"/>
      <c r="AB130" s="1238"/>
      <c r="AC130" s="1238"/>
      <c r="AD130" s="1238"/>
      <c r="AE130" s="1238"/>
      <c r="AF130" s="1238"/>
    </row>
    <row r="131" spans="1:32" ht="40.5" customHeight="1" x14ac:dyDescent="0.25">
      <c r="A131" s="297"/>
      <c r="B131" s="1238" t="s">
        <v>2081</v>
      </c>
      <c r="C131" s="1238"/>
      <c r="D131" s="1238"/>
      <c r="E131" s="1238"/>
      <c r="F131" s="1238"/>
      <c r="G131" s="1238"/>
      <c r="H131" s="1238"/>
      <c r="I131" s="1238"/>
      <c r="J131" s="1238"/>
      <c r="K131" s="1238"/>
      <c r="L131" s="1238"/>
      <c r="M131" s="1238"/>
      <c r="N131" s="1238"/>
      <c r="O131" s="1238"/>
      <c r="P131" s="1238"/>
      <c r="Q131" s="1238"/>
      <c r="R131" s="1238"/>
      <c r="S131" s="1238"/>
      <c r="T131" s="1238"/>
      <c r="U131" s="1238"/>
      <c r="V131" s="1238"/>
      <c r="W131" s="1238"/>
      <c r="X131" s="1238"/>
      <c r="Y131" s="1238"/>
      <c r="Z131" s="1238"/>
      <c r="AA131" s="1238"/>
      <c r="AB131" s="1238"/>
      <c r="AC131" s="1238"/>
      <c r="AD131" s="1238"/>
      <c r="AE131" s="1238"/>
      <c r="AF131" s="1238"/>
    </row>
    <row r="132" spans="1:32" ht="28.5" customHeight="1" x14ac:dyDescent="0.25">
      <c r="A132" s="297"/>
      <c r="B132" s="1238" t="s">
        <v>2082</v>
      </c>
      <c r="C132" s="1238"/>
      <c r="D132" s="1238"/>
      <c r="E132" s="1238"/>
      <c r="F132" s="1238"/>
      <c r="G132" s="1238"/>
      <c r="H132" s="1238"/>
      <c r="I132" s="1238"/>
      <c r="J132" s="1238"/>
      <c r="K132" s="1238"/>
      <c r="L132" s="1238"/>
      <c r="M132" s="1238"/>
      <c r="N132" s="1238"/>
      <c r="O132" s="1238"/>
      <c r="P132" s="1238"/>
      <c r="Q132" s="1238"/>
      <c r="R132" s="1238"/>
      <c r="S132" s="1238"/>
      <c r="T132" s="1238"/>
      <c r="U132" s="1238"/>
      <c r="V132" s="1238"/>
      <c r="W132" s="1238"/>
      <c r="X132" s="1238"/>
      <c r="Y132" s="1238"/>
      <c r="Z132" s="1238"/>
      <c r="AA132" s="1238"/>
      <c r="AB132" s="1238"/>
      <c r="AC132" s="1238"/>
      <c r="AD132" s="1238"/>
      <c r="AE132" s="1238"/>
      <c r="AF132" s="1238"/>
    </row>
    <row r="133" spans="1:32" x14ac:dyDescent="0.25">
      <c r="A133" s="1238" t="s">
        <v>2174</v>
      </c>
      <c r="B133" s="1238"/>
      <c r="C133" s="1238"/>
      <c r="D133" s="1238"/>
      <c r="E133" s="1238"/>
      <c r="F133" s="1238"/>
      <c r="G133" s="1238"/>
      <c r="H133" s="1238"/>
      <c r="I133" s="1238"/>
      <c r="J133" s="1238"/>
      <c r="K133" s="1238"/>
      <c r="L133" s="1238"/>
      <c r="M133" s="1238"/>
      <c r="N133" s="1238"/>
      <c r="O133" s="1238"/>
      <c r="P133" s="1238"/>
      <c r="Q133" s="1238"/>
      <c r="R133" s="1238"/>
      <c r="S133" s="1238"/>
      <c r="T133" s="1238"/>
      <c r="U133" s="1238"/>
      <c r="V133" s="1238"/>
      <c r="W133" s="1238"/>
      <c r="X133" s="1238"/>
      <c r="Y133" s="1238"/>
      <c r="Z133" s="1238"/>
      <c r="AA133" s="1238"/>
      <c r="AB133" s="1238"/>
      <c r="AC133" s="1238"/>
      <c r="AD133" s="1238"/>
      <c r="AE133" s="1238"/>
      <c r="AF133" s="1238"/>
    </row>
    <row r="134" spans="1:32" x14ac:dyDescent="0.25">
      <c r="A134" s="1238" t="s">
        <v>2175</v>
      </c>
      <c r="B134" s="1238"/>
      <c r="C134" s="1238"/>
      <c r="D134" s="1238"/>
      <c r="E134" s="1238"/>
      <c r="F134" s="1238"/>
      <c r="G134" s="1238"/>
      <c r="H134" s="1238"/>
      <c r="I134" s="1238"/>
      <c r="J134" s="1238"/>
      <c r="K134" s="1238"/>
      <c r="L134" s="1238"/>
      <c r="M134" s="1238"/>
      <c r="N134" s="1238"/>
      <c r="O134" s="1238"/>
      <c r="P134" s="1238"/>
      <c r="Q134" s="1238"/>
      <c r="R134" s="1238"/>
      <c r="S134" s="1238"/>
      <c r="T134" s="1238"/>
      <c r="U134" s="1238"/>
      <c r="V134" s="1238"/>
      <c r="W134" s="1238"/>
      <c r="X134" s="1238"/>
      <c r="Y134" s="1238"/>
      <c r="Z134" s="1238"/>
      <c r="AA134" s="1238"/>
      <c r="AB134" s="1238"/>
      <c r="AC134" s="1238"/>
      <c r="AD134" s="1238"/>
      <c r="AE134" s="1238"/>
      <c r="AF134" s="1238"/>
    </row>
    <row r="135" spans="1:32" x14ac:dyDescent="0.25">
      <c r="A135" s="1238" t="s">
        <v>4659</v>
      </c>
      <c r="B135" s="1238"/>
      <c r="C135" s="1238"/>
      <c r="D135" s="1238"/>
      <c r="E135" s="1238"/>
      <c r="F135" s="1238"/>
      <c r="G135" s="1238"/>
      <c r="H135" s="1238"/>
      <c r="I135" s="1238"/>
      <c r="J135" s="1238"/>
      <c r="K135" s="1238"/>
      <c r="L135" s="1238"/>
      <c r="M135" s="1238"/>
      <c r="N135" s="1238"/>
      <c r="O135" s="1238"/>
      <c r="P135" s="1238"/>
      <c r="Q135" s="1238"/>
      <c r="R135" s="1238"/>
      <c r="S135" s="1238"/>
      <c r="T135" s="1238"/>
      <c r="U135" s="1238"/>
      <c r="V135" s="1238"/>
      <c r="W135" s="1238"/>
      <c r="X135" s="1238"/>
      <c r="Y135" s="1238"/>
      <c r="Z135" s="1238"/>
      <c r="AA135" s="1238"/>
      <c r="AB135" s="1238"/>
      <c r="AC135" s="1238"/>
      <c r="AD135" s="1238"/>
      <c r="AE135" s="1238"/>
      <c r="AF135" s="1238"/>
    </row>
    <row r="136" spans="1:32" ht="30" customHeight="1" x14ac:dyDescent="0.25">
      <c r="A136" s="1238" t="s">
        <v>4658</v>
      </c>
      <c r="B136" s="1238"/>
      <c r="C136" s="1238"/>
      <c r="D136" s="1238"/>
      <c r="E136" s="1238"/>
      <c r="F136" s="1238"/>
      <c r="G136" s="1238"/>
      <c r="H136" s="1238"/>
      <c r="I136" s="1238"/>
      <c r="J136" s="1238"/>
      <c r="K136" s="1238"/>
      <c r="L136" s="1238"/>
      <c r="M136" s="1238"/>
      <c r="N136" s="1238"/>
      <c r="O136" s="1238"/>
      <c r="P136" s="1238"/>
      <c r="Q136" s="1238"/>
      <c r="R136" s="1238"/>
      <c r="S136" s="1238"/>
      <c r="T136" s="1238"/>
      <c r="U136" s="1238"/>
      <c r="V136" s="1238"/>
      <c r="W136" s="1238"/>
      <c r="X136" s="1238"/>
      <c r="Y136" s="1238"/>
      <c r="Z136" s="1238"/>
      <c r="AA136" s="1238"/>
      <c r="AB136" s="1238"/>
      <c r="AC136" s="1238"/>
      <c r="AD136" s="1238"/>
      <c r="AE136" s="1238"/>
      <c r="AF136" s="1238"/>
    </row>
    <row r="137" spans="1:32" x14ac:dyDescent="0.25">
      <c r="A137" s="1238" t="s">
        <v>6317</v>
      </c>
      <c r="B137" s="1238"/>
      <c r="C137" s="1238"/>
      <c r="D137" s="1238"/>
      <c r="E137" s="1238"/>
      <c r="F137" s="1238"/>
      <c r="G137" s="1238"/>
      <c r="H137" s="1238"/>
      <c r="I137" s="1238"/>
      <c r="J137" s="1238"/>
      <c r="K137" s="1238"/>
      <c r="L137" s="1238"/>
      <c r="M137" s="1238"/>
      <c r="N137" s="1238"/>
      <c r="O137" s="1238"/>
      <c r="P137" s="1238"/>
      <c r="Q137" s="1238"/>
      <c r="R137" s="1238"/>
      <c r="S137" s="1238"/>
      <c r="T137" s="1238"/>
      <c r="U137" s="1238"/>
      <c r="V137" s="1238"/>
      <c r="W137" s="1238"/>
      <c r="X137" s="1238"/>
      <c r="Y137" s="1238"/>
      <c r="Z137" s="1238"/>
      <c r="AA137" s="1238"/>
      <c r="AB137" s="1238"/>
      <c r="AC137" s="1238"/>
      <c r="AD137" s="1238"/>
      <c r="AE137" s="1238"/>
      <c r="AF137" s="1238"/>
    </row>
    <row r="138" spans="1:32" x14ac:dyDescent="0.25">
      <c r="A138" s="1238" t="s">
        <v>6318</v>
      </c>
      <c r="B138" s="1238"/>
      <c r="C138" s="1238"/>
      <c r="D138" s="1238"/>
      <c r="E138" s="1238"/>
      <c r="F138" s="1238"/>
      <c r="G138" s="1238"/>
      <c r="H138" s="1238"/>
      <c r="I138" s="1238"/>
      <c r="J138" s="1238"/>
      <c r="K138" s="1238"/>
      <c r="L138" s="1238"/>
      <c r="M138" s="1238"/>
      <c r="N138" s="1238"/>
      <c r="O138" s="1238"/>
      <c r="P138" s="1238"/>
      <c r="Q138" s="1238"/>
      <c r="R138" s="1238"/>
      <c r="S138" s="1238"/>
      <c r="T138" s="1238"/>
      <c r="U138" s="1238"/>
      <c r="V138" s="1238"/>
      <c r="W138" s="1238"/>
      <c r="X138" s="1238"/>
      <c r="Y138" s="1238"/>
      <c r="Z138" s="1238"/>
      <c r="AA138" s="1238"/>
      <c r="AB138" s="1238"/>
      <c r="AC138" s="1238"/>
      <c r="AD138" s="1238"/>
      <c r="AE138" s="1238"/>
      <c r="AF138" s="1238"/>
    </row>
    <row r="139" spans="1:32" x14ac:dyDescent="0.25">
      <c r="A139" s="1238" t="s">
        <v>6319</v>
      </c>
      <c r="B139" s="1238"/>
      <c r="C139" s="1238"/>
      <c r="D139" s="1238"/>
      <c r="E139" s="1238"/>
      <c r="F139" s="1238"/>
      <c r="G139" s="1238"/>
      <c r="H139" s="1238"/>
      <c r="I139" s="1238"/>
      <c r="J139" s="1238"/>
      <c r="K139" s="1238"/>
      <c r="L139" s="1238"/>
      <c r="M139" s="1238"/>
      <c r="N139" s="1238"/>
      <c r="O139" s="1238"/>
      <c r="P139" s="1238"/>
      <c r="Q139" s="1238"/>
      <c r="R139" s="1238"/>
      <c r="S139" s="1238"/>
      <c r="T139" s="1238"/>
      <c r="U139" s="1238"/>
      <c r="V139" s="1238"/>
      <c r="W139" s="1238"/>
      <c r="X139" s="1238"/>
      <c r="Y139" s="1238"/>
      <c r="Z139" s="1238"/>
      <c r="AA139" s="1238"/>
      <c r="AB139" s="1238"/>
      <c r="AC139" s="1238"/>
      <c r="AD139" s="1238"/>
      <c r="AE139" s="1238"/>
      <c r="AF139" s="1238"/>
    </row>
    <row r="140" spans="1:32" x14ac:dyDescent="0.25">
      <c r="A140" s="1238" t="s">
        <v>6320</v>
      </c>
      <c r="B140" s="1238"/>
      <c r="C140" s="1238"/>
      <c r="D140" s="1238"/>
      <c r="E140" s="1238"/>
      <c r="F140" s="1238"/>
      <c r="G140" s="1238"/>
      <c r="H140" s="1238"/>
      <c r="I140" s="1238"/>
      <c r="J140" s="1238"/>
      <c r="K140" s="1238"/>
      <c r="L140" s="1238"/>
      <c r="M140" s="1238"/>
      <c r="N140" s="1238"/>
      <c r="O140" s="1238"/>
      <c r="P140" s="1238"/>
      <c r="Q140" s="1238"/>
      <c r="R140" s="1238"/>
      <c r="S140" s="1238"/>
      <c r="T140" s="1238"/>
      <c r="U140" s="1238"/>
      <c r="V140" s="1238"/>
      <c r="W140" s="1238"/>
      <c r="X140" s="1238"/>
      <c r="Y140" s="1238"/>
      <c r="Z140" s="1238"/>
      <c r="AA140" s="1238"/>
      <c r="AB140" s="1238"/>
      <c r="AC140" s="1238"/>
      <c r="AD140" s="1238"/>
      <c r="AE140" s="1238"/>
      <c r="AF140" s="1238"/>
    </row>
    <row r="141" spans="1:32" ht="30" customHeight="1" x14ac:dyDescent="0.25">
      <c r="A141" s="1238" t="s">
        <v>5925</v>
      </c>
      <c r="B141" s="1238"/>
      <c r="C141" s="1238"/>
      <c r="D141" s="1238"/>
      <c r="E141" s="1238"/>
      <c r="F141" s="1238"/>
      <c r="G141" s="1238"/>
      <c r="H141" s="1238"/>
      <c r="I141" s="1238"/>
      <c r="J141" s="1238"/>
      <c r="K141" s="1238"/>
      <c r="L141" s="1238"/>
      <c r="M141" s="1238"/>
      <c r="N141" s="1238"/>
      <c r="O141" s="1238"/>
      <c r="P141" s="1238"/>
      <c r="Q141" s="1238"/>
      <c r="R141" s="1238"/>
      <c r="S141" s="1238"/>
      <c r="T141" s="1238"/>
      <c r="U141" s="1238"/>
      <c r="V141" s="1238"/>
      <c r="W141" s="1238"/>
      <c r="X141" s="1238"/>
      <c r="Y141" s="1238"/>
      <c r="Z141" s="1238"/>
      <c r="AA141" s="1238"/>
      <c r="AB141" s="1238"/>
      <c r="AC141" s="1238"/>
      <c r="AD141" s="1238"/>
      <c r="AE141" s="1238"/>
      <c r="AF141" s="1238"/>
    </row>
    <row r="142" spans="1:32" x14ac:dyDescent="0.25">
      <c r="A142" s="407"/>
      <c r="B142" s="407"/>
      <c r="C142" s="407"/>
      <c r="D142" s="407"/>
      <c r="E142" s="407"/>
      <c r="F142" s="407"/>
      <c r="G142" s="407"/>
      <c r="H142" s="407"/>
      <c r="I142" s="407"/>
      <c r="J142" s="407"/>
      <c r="K142" s="407"/>
      <c r="L142" s="407"/>
      <c r="M142" s="407"/>
      <c r="N142" s="407"/>
      <c r="O142" s="407"/>
      <c r="P142" s="407"/>
      <c r="Q142" s="407"/>
      <c r="R142" s="407"/>
      <c r="S142" s="407"/>
      <c r="T142" s="407"/>
      <c r="U142" s="407"/>
      <c r="V142" s="407"/>
      <c r="W142" s="407"/>
      <c r="X142" s="407"/>
      <c r="Y142" s="407"/>
      <c r="Z142" s="407"/>
      <c r="AA142" s="407"/>
      <c r="AB142" s="407"/>
      <c r="AC142" s="407"/>
      <c r="AD142" s="407"/>
      <c r="AE142" s="407"/>
      <c r="AF142" s="407"/>
    </row>
    <row r="143" spans="1:32" x14ac:dyDescent="0.25">
      <c r="A143" s="1385" t="s">
        <v>1753</v>
      </c>
      <c r="B143" s="1386"/>
      <c r="C143" s="1386"/>
      <c r="D143" s="1386"/>
      <c r="E143" s="1386"/>
      <c r="F143" s="1386"/>
      <c r="G143" s="1386"/>
      <c r="H143" s="1386"/>
      <c r="I143" s="1386"/>
      <c r="J143" s="1386"/>
      <c r="K143" s="1386"/>
      <c r="L143" s="1386"/>
      <c r="M143" s="1386"/>
      <c r="N143" s="1386"/>
      <c r="O143" s="1386"/>
      <c r="P143" s="1386"/>
      <c r="Q143" s="1386"/>
      <c r="R143" s="1386"/>
      <c r="S143" s="1386"/>
      <c r="T143" s="1386"/>
      <c r="U143" s="1386"/>
      <c r="V143" s="1386"/>
      <c r="W143" s="1386"/>
      <c r="X143" s="1386"/>
      <c r="Y143" s="1386"/>
      <c r="Z143" s="1386"/>
      <c r="AA143" s="1386"/>
      <c r="AB143" s="1386"/>
      <c r="AC143" s="1386"/>
      <c r="AD143" s="1386"/>
      <c r="AE143" s="1386"/>
      <c r="AF143" s="1387"/>
    </row>
    <row r="144" spans="1:32" x14ac:dyDescent="0.25">
      <c r="A144" s="190"/>
      <c r="B144" s="190"/>
      <c r="C144" s="190"/>
      <c r="D144" s="190"/>
      <c r="E144" s="190"/>
      <c r="F144" s="190"/>
      <c r="G144" s="190"/>
      <c r="H144" s="190"/>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row>
    <row r="145" spans="1:32" x14ac:dyDescent="0.25">
      <c r="A145" s="515" t="s">
        <v>1013</v>
      </c>
      <c r="B145" s="1247" t="s">
        <v>2667</v>
      </c>
      <c r="C145" s="1247"/>
      <c r="D145" s="1247"/>
      <c r="E145" s="1247"/>
      <c r="F145" s="1247"/>
      <c r="G145" s="1247"/>
      <c r="H145" s="1247"/>
      <c r="I145" s="1247"/>
      <c r="J145" s="1247"/>
      <c r="K145" s="1247"/>
      <c r="L145" s="1247"/>
      <c r="M145" s="1247"/>
      <c r="N145" s="1247"/>
      <c r="O145" s="1247"/>
      <c r="P145" s="1247"/>
      <c r="Q145" s="1247"/>
      <c r="R145" s="1247"/>
      <c r="S145" s="1247"/>
      <c r="T145" s="1247"/>
      <c r="U145" s="1247"/>
      <c r="V145" s="1247"/>
      <c r="W145" s="1247"/>
      <c r="X145" s="1247"/>
      <c r="Y145" s="1247"/>
      <c r="Z145" s="1247"/>
      <c r="AA145" s="1247"/>
      <c r="AB145" s="1247"/>
      <c r="AC145" s="1247"/>
      <c r="AD145" s="1247"/>
      <c r="AE145" s="1247"/>
      <c r="AF145" s="1247"/>
    </row>
    <row r="146" spans="1:32" x14ac:dyDescent="0.25">
      <c r="A146" s="515" t="s">
        <v>1013</v>
      </c>
      <c r="B146" s="1247" t="s">
        <v>4554</v>
      </c>
      <c r="C146" s="1247"/>
      <c r="D146" s="1247"/>
      <c r="E146" s="1247"/>
      <c r="F146" s="1247"/>
      <c r="G146" s="1247"/>
      <c r="H146" s="1247"/>
      <c r="I146" s="1247"/>
      <c r="J146" s="1247"/>
      <c r="K146" s="1247"/>
      <c r="L146" s="1247"/>
      <c r="M146" s="1247"/>
      <c r="N146" s="1247"/>
      <c r="O146" s="1247"/>
      <c r="P146" s="1247"/>
      <c r="Q146" s="1247"/>
      <c r="R146" s="1247"/>
      <c r="S146" s="1247"/>
      <c r="T146" s="1247"/>
      <c r="U146" s="1247"/>
      <c r="V146" s="1247"/>
      <c r="W146" s="1247"/>
      <c r="X146" s="1247"/>
      <c r="Y146" s="1247"/>
      <c r="Z146" s="1247"/>
      <c r="AA146" s="1247"/>
      <c r="AB146" s="1247"/>
      <c r="AC146" s="1247"/>
      <c r="AD146" s="1247"/>
      <c r="AE146" s="1247"/>
      <c r="AF146" s="1247"/>
    </row>
    <row r="147" spans="1:32" ht="50.25" customHeight="1" x14ac:dyDescent="0.25">
      <c r="A147" s="515" t="s">
        <v>1013</v>
      </c>
      <c r="B147" s="1173" t="s">
        <v>2083</v>
      </c>
      <c r="C147" s="1173"/>
      <c r="D147" s="1173"/>
      <c r="E147" s="1173"/>
      <c r="F147" s="1173"/>
      <c r="G147" s="1173"/>
      <c r="H147" s="1173"/>
      <c r="I147" s="1173"/>
      <c r="J147" s="1173"/>
      <c r="K147" s="1173"/>
      <c r="L147" s="1173"/>
      <c r="M147" s="1173"/>
      <c r="N147" s="1173"/>
      <c r="O147" s="1173"/>
      <c r="P147" s="1173"/>
      <c r="Q147" s="1173"/>
      <c r="R147" s="1173"/>
      <c r="S147" s="1173"/>
      <c r="T147" s="1173"/>
      <c r="U147" s="1173"/>
      <c r="V147" s="1173"/>
      <c r="W147" s="1173"/>
      <c r="X147" s="1173"/>
      <c r="Y147" s="1173"/>
      <c r="Z147" s="1173"/>
      <c r="AA147" s="1173"/>
      <c r="AB147" s="1173"/>
      <c r="AC147" s="1173"/>
      <c r="AD147" s="1173"/>
      <c r="AE147" s="1173"/>
      <c r="AF147" s="1173"/>
    </row>
    <row r="148" spans="1:32" ht="50.25" customHeight="1" x14ac:dyDescent="0.25">
      <c r="A148" s="515" t="s">
        <v>1013</v>
      </c>
      <c r="B148" s="1173" t="s">
        <v>2084</v>
      </c>
      <c r="C148" s="1173"/>
      <c r="D148" s="1173"/>
      <c r="E148" s="1173"/>
      <c r="F148" s="1173"/>
      <c r="G148" s="1173"/>
      <c r="H148" s="1173"/>
      <c r="I148" s="1173"/>
      <c r="J148" s="1173"/>
      <c r="K148" s="1173"/>
      <c r="L148" s="1173"/>
      <c r="M148" s="1173"/>
      <c r="N148" s="1173"/>
      <c r="O148" s="1173"/>
      <c r="P148" s="1173"/>
      <c r="Q148" s="1173"/>
      <c r="R148" s="1173"/>
      <c r="S148" s="1173"/>
      <c r="T148" s="1173"/>
      <c r="U148" s="1173"/>
      <c r="V148" s="1173"/>
      <c r="W148" s="1173"/>
      <c r="X148" s="1173"/>
      <c r="Y148" s="1173"/>
      <c r="Z148" s="1173"/>
      <c r="AA148" s="1173"/>
      <c r="AB148" s="1173"/>
      <c r="AC148" s="1173"/>
      <c r="AD148" s="1173"/>
      <c r="AE148" s="1173"/>
      <c r="AF148" s="1173"/>
    </row>
    <row r="149" spans="1:32" ht="35.1" customHeight="1" x14ac:dyDescent="0.25">
      <c r="A149" s="515" t="s">
        <v>1013</v>
      </c>
      <c r="B149" s="1173" t="s">
        <v>1748</v>
      </c>
      <c r="C149" s="1173"/>
      <c r="D149" s="1173"/>
      <c r="E149" s="1173"/>
      <c r="F149" s="1173"/>
      <c r="G149" s="1173"/>
      <c r="H149" s="1173"/>
      <c r="I149" s="1173"/>
      <c r="J149" s="1173"/>
      <c r="K149" s="1173"/>
      <c r="L149" s="1173"/>
      <c r="M149" s="1173"/>
      <c r="N149" s="1173"/>
      <c r="O149" s="1173"/>
      <c r="P149" s="1173"/>
      <c r="Q149" s="1173"/>
      <c r="R149" s="1173"/>
      <c r="S149" s="1173"/>
      <c r="T149" s="1173"/>
      <c r="U149" s="1173"/>
      <c r="V149" s="1173"/>
      <c r="W149" s="1173"/>
      <c r="X149" s="1173"/>
      <c r="Y149" s="1173"/>
      <c r="Z149" s="1173"/>
      <c r="AA149" s="1173"/>
      <c r="AB149" s="1173"/>
      <c r="AC149" s="1173"/>
      <c r="AD149" s="1173"/>
      <c r="AE149" s="1173"/>
      <c r="AF149" s="1173"/>
    </row>
    <row r="150" spans="1:32" ht="35.1" customHeight="1" x14ac:dyDescent="0.25">
      <c r="A150" s="515" t="s">
        <v>1013</v>
      </c>
      <c r="B150" s="1173" t="s">
        <v>2085</v>
      </c>
      <c r="C150" s="1173"/>
      <c r="D150" s="1173"/>
      <c r="E150" s="1173"/>
      <c r="F150" s="1173"/>
      <c r="G150" s="1173"/>
      <c r="H150" s="1173"/>
      <c r="I150" s="1173"/>
      <c r="J150" s="1173"/>
      <c r="K150" s="1173"/>
      <c r="L150" s="1173"/>
      <c r="M150" s="1173"/>
      <c r="N150" s="1173"/>
      <c r="O150" s="1173"/>
      <c r="P150" s="1173"/>
      <c r="Q150" s="1173"/>
      <c r="R150" s="1173"/>
      <c r="S150" s="1173"/>
      <c r="T150" s="1173"/>
      <c r="U150" s="1173"/>
      <c r="V150" s="1173"/>
      <c r="W150" s="1173"/>
      <c r="X150" s="1173"/>
      <c r="Y150" s="1173"/>
      <c r="Z150" s="1173"/>
      <c r="AA150" s="1173"/>
      <c r="AB150" s="1173"/>
      <c r="AC150" s="1173"/>
      <c r="AD150" s="1173"/>
      <c r="AE150" s="1173"/>
      <c r="AF150" s="1173"/>
    </row>
    <row r="151" spans="1:32" ht="50.25" customHeight="1" x14ac:dyDescent="0.25">
      <c r="A151" s="515" t="s">
        <v>1013</v>
      </c>
      <c r="B151" s="1173" t="s">
        <v>2086</v>
      </c>
      <c r="C151" s="1173"/>
      <c r="D151" s="1173"/>
      <c r="E151" s="1173"/>
      <c r="F151" s="1173"/>
      <c r="G151" s="1173"/>
      <c r="H151" s="1173"/>
      <c r="I151" s="1173"/>
      <c r="J151" s="1173"/>
      <c r="K151" s="1173"/>
      <c r="L151" s="1173"/>
      <c r="M151" s="1173"/>
      <c r="N151" s="1173"/>
      <c r="O151" s="1173"/>
      <c r="P151" s="1173"/>
      <c r="Q151" s="1173"/>
      <c r="R151" s="1173"/>
      <c r="S151" s="1173"/>
      <c r="T151" s="1173"/>
      <c r="U151" s="1173"/>
      <c r="V151" s="1173"/>
      <c r="W151" s="1173"/>
      <c r="X151" s="1173"/>
      <c r="Y151" s="1173"/>
      <c r="Z151" s="1173"/>
      <c r="AA151" s="1173"/>
      <c r="AB151" s="1173"/>
      <c r="AC151" s="1173"/>
      <c r="AD151" s="1173"/>
      <c r="AE151" s="1173"/>
      <c r="AF151" s="1173"/>
    </row>
    <row r="152" spans="1:32" ht="35.1" customHeight="1" x14ac:dyDescent="0.25">
      <c r="A152" s="515" t="s">
        <v>1013</v>
      </c>
      <c r="B152" s="1173" t="s">
        <v>2087</v>
      </c>
      <c r="C152" s="1173"/>
      <c r="D152" s="1173"/>
      <c r="E152" s="1173"/>
      <c r="F152" s="1173"/>
      <c r="G152" s="1173"/>
      <c r="H152" s="1173"/>
      <c r="I152" s="1173"/>
      <c r="J152" s="1173"/>
      <c r="K152" s="1173"/>
      <c r="L152" s="1173"/>
      <c r="M152" s="1173"/>
      <c r="N152" s="1173"/>
      <c r="O152" s="1173"/>
      <c r="P152" s="1173"/>
      <c r="Q152" s="1173"/>
      <c r="R152" s="1173"/>
      <c r="S152" s="1173"/>
      <c r="T152" s="1173"/>
      <c r="U152" s="1173"/>
      <c r="V152" s="1173"/>
      <c r="W152" s="1173"/>
      <c r="X152" s="1173"/>
      <c r="Y152" s="1173"/>
      <c r="Z152" s="1173"/>
      <c r="AA152" s="1173"/>
      <c r="AB152" s="1173"/>
      <c r="AC152" s="1173"/>
      <c r="AD152" s="1173"/>
      <c r="AE152" s="1173"/>
      <c r="AF152" s="1173"/>
    </row>
    <row r="153" spans="1:32" ht="35.1" customHeight="1" x14ac:dyDescent="0.25">
      <c r="A153" s="515" t="s">
        <v>1013</v>
      </c>
      <c r="B153" s="1173" t="s">
        <v>1797</v>
      </c>
      <c r="C153" s="1173"/>
      <c r="D153" s="1173"/>
      <c r="E153" s="1173"/>
      <c r="F153" s="1173"/>
      <c r="G153" s="1173"/>
      <c r="H153" s="1173"/>
      <c r="I153" s="1173"/>
      <c r="J153" s="1173"/>
      <c r="K153" s="1173"/>
      <c r="L153" s="1173"/>
      <c r="M153" s="1173"/>
      <c r="N153" s="1173"/>
      <c r="O153" s="1173"/>
      <c r="P153" s="1173"/>
      <c r="Q153" s="1173"/>
      <c r="R153" s="1173"/>
      <c r="S153" s="1173"/>
      <c r="T153" s="1173"/>
      <c r="U153" s="1173"/>
      <c r="V153" s="1173"/>
      <c r="W153" s="1173"/>
      <c r="X153" s="1173"/>
      <c r="Y153" s="1173"/>
      <c r="Z153" s="1173"/>
      <c r="AA153" s="1173"/>
      <c r="AB153" s="1173"/>
      <c r="AC153" s="1173"/>
      <c r="AD153" s="1173"/>
      <c r="AE153" s="1173"/>
      <c r="AF153" s="1173"/>
    </row>
    <row r="154" spans="1:32" ht="35.1" customHeight="1" x14ac:dyDescent="0.25">
      <c r="A154" s="515" t="s">
        <v>1013</v>
      </c>
      <c r="B154" s="1173" t="s">
        <v>2088</v>
      </c>
      <c r="C154" s="1173"/>
      <c r="D154" s="1173"/>
      <c r="E154" s="1173"/>
      <c r="F154" s="1173"/>
      <c r="G154" s="1173"/>
      <c r="H154" s="1173"/>
      <c r="I154" s="1173"/>
      <c r="J154" s="1173"/>
      <c r="K154" s="1173"/>
      <c r="L154" s="1173"/>
      <c r="M154" s="1173"/>
      <c r="N154" s="1173"/>
      <c r="O154" s="1173"/>
      <c r="P154" s="1173"/>
      <c r="Q154" s="1173"/>
      <c r="R154" s="1173"/>
      <c r="S154" s="1173"/>
      <c r="T154" s="1173"/>
      <c r="U154" s="1173"/>
      <c r="V154" s="1173"/>
      <c r="W154" s="1173"/>
      <c r="X154" s="1173"/>
      <c r="Y154" s="1173"/>
      <c r="Z154" s="1173"/>
      <c r="AA154" s="1173"/>
      <c r="AB154" s="1173"/>
      <c r="AC154" s="1173"/>
      <c r="AD154" s="1173"/>
      <c r="AE154" s="1173"/>
      <c r="AF154" s="1173"/>
    </row>
    <row r="155" spans="1:32" x14ac:dyDescent="0.25">
      <c r="A155" s="515" t="s">
        <v>1013</v>
      </c>
      <c r="B155" s="1173" t="s">
        <v>1798</v>
      </c>
      <c r="C155" s="1173"/>
      <c r="D155" s="1173"/>
      <c r="E155" s="1173"/>
      <c r="F155" s="1173"/>
      <c r="G155" s="1173"/>
      <c r="H155" s="1173"/>
      <c r="I155" s="1173"/>
      <c r="J155" s="1173"/>
      <c r="K155" s="1173"/>
      <c r="L155" s="1173"/>
      <c r="M155" s="1173"/>
      <c r="N155" s="1173"/>
      <c r="O155" s="1173"/>
      <c r="P155" s="1173"/>
      <c r="Q155" s="1173"/>
      <c r="R155" s="1173"/>
      <c r="S155" s="1173"/>
      <c r="T155" s="1173"/>
      <c r="U155" s="1173"/>
      <c r="V155" s="1173"/>
      <c r="W155" s="1173"/>
      <c r="X155" s="1173"/>
      <c r="Y155" s="1173"/>
      <c r="Z155" s="1173"/>
      <c r="AA155" s="1173"/>
      <c r="AB155" s="1173"/>
      <c r="AC155" s="1173"/>
      <c r="AD155" s="1173"/>
      <c r="AE155" s="1173"/>
      <c r="AF155" s="1173"/>
    </row>
    <row r="156" spans="1:32" ht="50.25" customHeight="1" x14ac:dyDescent="0.25">
      <c r="A156" s="515" t="s">
        <v>1013</v>
      </c>
      <c r="B156" s="1173" t="s">
        <v>2089</v>
      </c>
      <c r="C156" s="1173"/>
      <c r="D156" s="1173"/>
      <c r="E156" s="1173"/>
      <c r="F156" s="1173"/>
      <c r="G156" s="1173"/>
      <c r="H156" s="1173"/>
      <c r="I156" s="1173"/>
      <c r="J156" s="1173"/>
      <c r="K156" s="1173"/>
      <c r="L156" s="1173"/>
      <c r="M156" s="1173"/>
      <c r="N156" s="1173"/>
      <c r="O156" s="1173"/>
      <c r="P156" s="1173"/>
      <c r="Q156" s="1173"/>
      <c r="R156" s="1173"/>
      <c r="S156" s="1173"/>
      <c r="T156" s="1173"/>
      <c r="U156" s="1173"/>
      <c r="V156" s="1173"/>
      <c r="W156" s="1173"/>
      <c r="X156" s="1173"/>
      <c r="Y156" s="1173"/>
      <c r="Z156" s="1173"/>
      <c r="AA156" s="1173"/>
      <c r="AB156" s="1173"/>
      <c r="AC156" s="1173"/>
      <c r="AD156" s="1173"/>
      <c r="AE156" s="1173"/>
      <c r="AF156" s="1173"/>
    </row>
    <row r="157" spans="1:32" ht="51" customHeight="1" x14ac:dyDescent="0.25">
      <c r="A157" s="515" t="s">
        <v>1013</v>
      </c>
      <c r="B157" s="1173" t="s">
        <v>2090</v>
      </c>
      <c r="C157" s="1173"/>
      <c r="D157" s="1173"/>
      <c r="E157" s="1173"/>
      <c r="F157" s="1173"/>
      <c r="G157" s="1173"/>
      <c r="H157" s="1173"/>
      <c r="I157" s="1173"/>
      <c r="J157" s="1173"/>
      <c r="K157" s="1173"/>
      <c r="L157" s="1173"/>
      <c r="M157" s="1173"/>
      <c r="N157" s="1173"/>
      <c r="O157" s="1173"/>
      <c r="P157" s="1173"/>
      <c r="Q157" s="1173"/>
      <c r="R157" s="1173"/>
      <c r="S157" s="1173"/>
      <c r="T157" s="1173"/>
      <c r="U157" s="1173"/>
      <c r="V157" s="1173"/>
      <c r="W157" s="1173"/>
      <c r="X157" s="1173"/>
      <c r="Y157" s="1173"/>
      <c r="Z157" s="1173"/>
      <c r="AA157" s="1173"/>
      <c r="AB157" s="1173"/>
      <c r="AC157" s="1173"/>
      <c r="AD157" s="1173"/>
      <c r="AE157" s="1173"/>
      <c r="AF157" s="1173"/>
    </row>
    <row r="158" spans="1:32" ht="35.1" customHeight="1" x14ac:dyDescent="0.25">
      <c r="A158" s="515" t="s">
        <v>1013</v>
      </c>
      <c r="B158" s="1173" t="s">
        <v>2091</v>
      </c>
      <c r="C158" s="1173"/>
      <c r="D158" s="1173"/>
      <c r="E158" s="1173"/>
      <c r="F158" s="1173"/>
      <c r="G158" s="1173"/>
      <c r="H158" s="1173"/>
      <c r="I158" s="1173"/>
      <c r="J158" s="1173"/>
      <c r="K158" s="1173"/>
      <c r="L158" s="1173"/>
      <c r="M158" s="1173"/>
      <c r="N158" s="1173"/>
      <c r="O158" s="1173"/>
      <c r="P158" s="1173"/>
      <c r="Q158" s="1173"/>
      <c r="R158" s="1173"/>
      <c r="S158" s="1173"/>
      <c r="T158" s="1173"/>
      <c r="U158" s="1173"/>
      <c r="V158" s="1173"/>
      <c r="W158" s="1173"/>
      <c r="X158" s="1173"/>
      <c r="Y158" s="1173"/>
      <c r="Z158" s="1173"/>
      <c r="AA158" s="1173"/>
      <c r="AB158" s="1173"/>
      <c r="AC158" s="1173"/>
      <c r="AD158" s="1173"/>
      <c r="AE158" s="1173"/>
      <c r="AF158" s="1173"/>
    </row>
    <row r="159" spans="1:32" ht="35.1" customHeight="1" x14ac:dyDescent="0.25">
      <c r="A159" s="515" t="s">
        <v>1013</v>
      </c>
      <c r="B159" s="1173" t="s">
        <v>2106</v>
      </c>
      <c r="C159" s="1173"/>
      <c r="D159" s="1173"/>
      <c r="E159" s="1173"/>
      <c r="F159" s="1173"/>
      <c r="G159" s="1173"/>
      <c r="H159" s="1173"/>
      <c r="I159" s="1173"/>
      <c r="J159" s="1173"/>
      <c r="K159" s="1173"/>
      <c r="L159" s="1173"/>
      <c r="M159" s="1173"/>
      <c r="N159" s="1173"/>
      <c r="O159" s="1173"/>
      <c r="P159" s="1173"/>
      <c r="Q159" s="1173"/>
      <c r="R159" s="1173"/>
      <c r="S159" s="1173"/>
      <c r="T159" s="1173"/>
      <c r="U159" s="1173"/>
      <c r="V159" s="1173"/>
      <c r="W159" s="1173"/>
      <c r="X159" s="1173"/>
      <c r="Y159" s="1173"/>
      <c r="Z159" s="1173"/>
      <c r="AA159" s="1173"/>
      <c r="AB159" s="1173"/>
      <c r="AC159" s="1173"/>
      <c r="AD159" s="1173"/>
      <c r="AE159" s="1173"/>
      <c r="AF159" s="1173"/>
    </row>
    <row r="160" spans="1:32" ht="35.1" customHeight="1" x14ac:dyDescent="0.25">
      <c r="A160" s="515" t="s">
        <v>1013</v>
      </c>
      <c r="B160" s="1173" t="s">
        <v>2107</v>
      </c>
      <c r="C160" s="1173"/>
      <c r="D160" s="1173"/>
      <c r="E160" s="1173"/>
      <c r="F160" s="1173"/>
      <c r="G160" s="1173"/>
      <c r="H160" s="1173"/>
      <c r="I160" s="1173"/>
      <c r="J160" s="1173"/>
      <c r="K160" s="1173"/>
      <c r="L160" s="1173"/>
      <c r="M160" s="1173"/>
      <c r="N160" s="1173"/>
      <c r="O160" s="1173"/>
      <c r="P160" s="1173"/>
      <c r="Q160" s="1173"/>
      <c r="R160" s="1173"/>
      <c r="S160" s="1173"/>
      <c r="T160" s="1173"/>
      <c r="U160" s="1173"/>
      <c r="V160" s="1173"/>
      <c r="W160" s="1173"/>
      <c r="X160" s="1173"/>
      <c r="Y160" s="1173"/>
      <c r="Z160" s="1173"/>
      <c r="AA160" s="1173"/>
      <c r="AB160" s="1173"/>
      <c r="AC160" s="1173"/>
      <c r="AD160" s="1173"/>
      <c r="AE160" s="1173"/>
      <c r="AF160" s="1173"/>
    </row>
    <row r="161" spans="1:32" ht="35.1" customHeight="1" x14ac:dyDescent="0.25">
      <c r="A161" s="515" t="s">
        <v>1013</v>
      </c>
      <c r="B161" s="1173" t="s">
        <v>2092</v>
      </c>
      <c r="C161" s="1173"/>
      <c r="D161" s="1173"/>
      <c r="E161" s="1173"/>
      <c r="F161" s="1173"/>
      <c r="G161" s="1173"/>
      <c r="H161" s="1173"/>
      <c r="I161" s="1173"/>
      <c r="J161" s="1173"/>
      <c r="K161" s="1173"/>
      <c r="L161" s="1173"/>
      <c r="M161" s="1173"/>
      <c r="N161" s="1173"/>
      <c r="O161" s="1173"/>
      <c r="P161" s="1173"/>
      <c r="Q161" s="1173"/>
      <c r="R161" s="1173"/>
      <c r="S161" s="1173"/>
      <c r="T161" s="1173"/>
      <c r="U161" s="1173"/>
      <c r="V161" s="1173"/>
      <c r="W161" s="1173"/>
      <c r="X161" s="1173"/>
      <c r="Y161" s="1173"/>
      <c r="Z161" s="1173"/>
      <c r="AA161" s="1173"/>
      <c r="AB161" s="1173"/>
      <c r="AC161" s="1173"/>
      <c r="AD161" s="1173"/>
      <c r="AE161" s="1173"/>
      <c r="AF161" s="1173"/>
    </row>
    <row r="162" spans="1:32" ht="35.1" customHeight="1" x14ac:dyDescent="0.25">
      <c r="A162" s="515" t="s">
        <v>1013</v>
      </c>
      <c r="B162" s="1173" t="s">
        <v>2093</v>
      </c>
      <c r="C162" s="1173"/>
      <c r="D162" s="1173"/>
      <c r="E162" s="1173"/>
      <c r="F162" s="1173"/>
      <c r="G162" s="1173"/>
      <c r="H162" s="1173"/>
      <c r="I162" s="1173"/>
      <c r="J162" s="1173"/>
      <c r="K162" s="1173"/>
      <c r="L162" s="1173"/>
      <c r="M162" s="1173"/>
      <c r="N162" s="1173"/>
      <c r="O162" s="1173"/>
      <c r="P162" s="1173"/>
      <c r="Q162" s="1173"/>
      <c r="R162" s="1173"/>
      <c r="S162" s="1173"/>
      <c r="T162" s="1173"/>
      <c r="U162" s="1173"/>
      <c r="V162" s="1173"/>
      <c r="W162" s="1173"/>
      <c r="X162" s="1173"/>
      <c r="Y162" s="1173"/>
      <c r="Z162" s="1173"/>
      <c r="AA162" s="1173"/>
      <c r="AB162" s="1173"/>
      <c r="AC162" s="1173"/>
      <c r="AD162" s="1173"/>
      <c r="AE162" s="1173"/>
      <c r="AF162" s="1173"/>
    </row>
    <row r="163" spans="1:32" ht="35.1" customHeight="1" x14ac:dyDescent="0.25">
      <c r="A163" s="515" t="s">
        <v>1013</v>
      </c>
      <c r="B163" s="1173" t="s">
        <v>2094</v>
      </c>
      <c r="C163" s="1173"/>
      <c r="D163" s="1173"/>
      <c r="E163" s="1173"/>
      <c r="F163" s="1173"/>
      <c r="G163" s="1173"/>
      <c r="H163" s="1173"/>
      <c r="I163" s="1173"/>
      <c r="J163" s="1173"/>
      <c r="K163" s="1173"/>
      <c r="L163" s="1173"/>
      <c r="M163" s="1173"/>
      <c r="N163" s="1173"/>
      <c r="O163" s="1173"/>
      <c r="P163" s="1173"/>
      <c r="Q163" s="1173"/>
      <c r="R163" s="1173"/>
      <c r="S163" s="1173"/>
      <c r="T163" s="1173"/>
      <c r="U163" s="1173"/>
      <c r="V163" s="1173"/>
      <c r="W163" s="1173"/>
      <c r="X163" s="1173"/>
      <c r="Y163" s="1173"/>
      <c r="Z163" s="1173"/>
      <c r="AA163" s="1173"/>
      <c r="AB163" s="1173"/>
      <c r="AC163" s="1173"/>
      <c r="AD163" s="1173"/>
      <c r="AE163" s="1173"/>
      <c r="AF163" s="1173"/>
    </row>
    <row r="164" spans="1:32" ht="35.1" customHeight="1" x14ac:dyDescent="0.25">
      <c r="A164" s="515" t="s">
        <v>1013</v>
      </c>
      <c r="B164" s="1173" t="s">
        <v>2095</v>
      </c>
      <c r="C164" s="1173"/>
      <c r="D164" s="1173"/>
      <c r="E164" s="1173"/>
      <c r="F164" s="1173"/>
      <c r="G164" s="1173"/>
      <c r="H164" s="1173"/>
      <c r="I164" s="1173"/>
      <c r="J164" s="1173"/>
      <c r="K164" s="1173"/>
      <c r="L164" s="1173"/>
      <c r="M164" s="1173"/>
      <c r="N164" s="1173"/>
      <c r="O164" s="1173"/>
      <c r="P164" s="1173"/>
      <c r="Q164" s="1173"/>
      <c r="R164" s="1173"/>
      <c r="S164" s="1173"/>
      <c r="T164" s="1173"/>
      <c r="U164" s="1173"/>
      <c r="V164" s="1173"/>
      <c r="W164" s="1173"/>
      <c r="X164" s="1173"/>
      <c r="Y164" s="1173"/>
      <c r="Z164" s="1173"/>
      <c r="AA164" s="1173"/>
      <c r="AB164" s="1173"/>
      <c r="AC164" s="1173"/>
      <c r="AD164" s="1173"/>
      <c r="AE164" s="1173"/>
      <c r="AF164" s="1173"/>
    </row>
    <row r="165" spans="1:32" ht="35.1" customHeight="1" x14ac:dyDescent="0.25">
      <c r="A165" s="515" t="s">
        <v>1013</v>
      </c>
      <c r="B165" s="1173" t="s">
        <v>2096</v>
      </c>
      <c r="C165" s="1173"/>
      <c r="D165" s="1173"/>
      <c r="E165" s="1173"/>
      <c r="F165" s="1173"/>
      <c r="G165" s="1173"/>
      <c r="H165" s="1173"/>
      <c r="I165" s="1173"/>
      <c r="J165" s="1173"/>
      <c r="K165" s="1173"/>
      <c r="L165" s="1173"/>
      <c r="M165" s="1173"/>
      <c r="N165" s="1173"/>
      <c r="O165" s="1173"/>
      <c r="P165" s="1173"/>
      <c r="Q165" s="1173"/>
      <c r="R165" s="1173"/>
      <c r="S165" s="1173"/>
      <c r="T165" s="1173"/>
      <c r="U165" s="1173"/>
      <c r="V165" s="1173"/>
      <c r="W165" s="1173"/>
      <c r="X165" s="1173"/>
      <c r="Y165" s="1173"/>
      <c r="Z165" s="1173"/>
      <c r="AA165" s="1173"/>
      <c r="AB165" s="1173"/>
      <c r="AC165" s="1173"/>
      <c r="AD165" s="1173"/>
      <c r="AE165" s="1173"/>
      <c r="AF165" s="1173"/>
    </row>
    <row r="166" spans="1:32" ht="35.1" customHeight="1" x14ac:dyDescent="0.25">
      <c r="A166" s="515" t="s">
        <v>1013</v>
      </c>
      <c r="B166" s="1173" t="s">
        <v>2097</v>
      </c>
      <c r="C166" s="1173"/>
      <c r="D166" s="1173"/>
      <c r="E166" s="1173"/>
      <c r="F166" s="1173"/>
      <c r="G166" s="1173"/>
      <c r="H166" s="1173"/>
      <c r="I166" s="1173"/>
      <c r="J166" s="1173"/>
      <c r="K166" s="1173"/>
      <c r="L166" s="1173"/>
      <c r="M166" s="1173"/>
      <c r="N166" s="1173"/>
      <c r="O166" s="1173"/>
      <c r="P166" s="1173"/>
      <c r="Q166" s="1173"/>
      <c r="R166" s="1173"/>
      <c r="S166" s="1173"/>
      <c r="T166" s="1173"/>
      <c r="U166" s="1173"/>
      <c r="V166" s="1173"/>
      <c r="W166" s="1173"/>
      <c r="X166" s="1173"/>
      <c r="Y166" s="1173"/>
      <c r="Z166" s="1173"/>
      <c r="AA166" s="1173"/>
      <c r="AB166" s="1173"/>
      <c r="AC166" s="1173"/>
      <c r="AD166" s="1173"/>
      <c r="AE166" s="1173"/>
      <c r="AF166" s="1173"/>
    </row>
    <row r="167" spans="1:32" ht="35.1" customHeight="1" x14ac:dyDescent="0.25">
      <c r="A167" s="515" t="s">
        <v>1013</v>
      </c>
      <c r="B167" s="1173" t="s">
        <v>2808</v>
      </c>
      <c r="C167" s="1173"/>
      <c r="D167" s="1173"/>
      <c r="E167" s="1173"/>
      <c r="F167" s="1173"/>
      <c r="G167" s="1173"/>
      <c r="H167" s="1173"/>
      <c r="I167" s="1173"/>
      <c r="J167" s="1173"/>
      <c r="K167" s="1173"/>
      <c r="L167" s="1173"/>
      <c r="M167" s="1173"/>
      <c r="N167" s="1173"/>
      <c r="O167" s="1173"/>
      <c r="P167" s="1173"/>
      <c r="Q167" s="1173"/>
      <c r="R167" s="1173"/>
      <c r="S167" s="1173"/>
      <c r="T167" s="1173"/>
      <c r="U167" s="1173"/>
      <c r="V167" s="1173"/>
      <c r="W167" s="1173"/>
      <c r="X167" s="1173"/>
      <c r="Y167" s="1173"/>
      <c r="Z167" s="1173"/>
      <c r="AA167" s="1173"/>
      <c r="AB167" s="1173"/>
      <c r="AC167" s="1173"/>
      <c r="AD167" s="1173"/>
      <c r="AE167" s="1173"/>
      <c r="AF167" s="1173"/>
    </row>
    <row r="168" spans="1:32" ht="35.1" customHeight="1" x14ac:dyDescent="0.25">
      <c r="A168" s="515" t="s">
        <v>1013</v>
      </c>
      <c r="B168" s="1173" t="s">
        <v>2098</v>
      </c>
      <c r="C168" s="1173"/>
      <c r="D168" s="1173"/>
      <c r="E168" s="1173"/>
      <c r="F168" s="1173"/>
      <c r="G168" s="1173"/>
      <c r="H168" s="1173"/>
      <c r="I168" s="1173"/>
      <c r="J168" s="1173"/>
      <c r="K168" s="1173"/>
      <c r="L168" s="1173"/>
      <c r="M168" s="1173"/>
      <c r="N168" s="1173"/>
      <c r="O168" s="1173"/>
      <c r="P168" s="1173"/>
      <c r="Q168" s="1173"/>
      <c r="R168" s="1173"/>
      <c r="S168" s="1173"/>
      <c r="T168" s="1173"/>
      <c r="U168" s="1173"/>
      <c r="V168" s="1173"/>
      <c r="W168" s="1173"/>
      <c r="X168" s="1173"/>
      <c r="Y168" s="1173"/>
      <c r="Z168" s="1173"/>
      <c r="AA168" s="1173"/>
      <c r="AB168" s="1173"/>
      <c r="AC168" s="1173"/>
      <c r="AD168" s="1173"/>
      <c r="AE168" s="1173"/>
      <c r="AF168" s="1173"/>
    </row>
    <row r="169" spans="1:32" ht="64.5" customHeight="1" x14ac:dyDescent="0.25">
      <c r="A169" s="515" t="s">
        <v>1013</v>
      </c>
      <c r="B169" s="1173" t="s">
        <v>2099</v>
      </c>
      <c r="C169" s="1173"/>
      <c r="D169" s="1173"/>
      <c r="E169" s="1173"/>
      <c r="F169" s="1173"/>
      <c r="G169" s="1173"/>
      <c r="H169" s="1173"/>
      <c r="I169" s="1173"/>
      <c r="J169" s="1173"/>
      <c r="K169" s="1173"/>
      <c r="L169" s="1173"/>
      <c r="M169" s="1173"/>
      <c r="N169" s="1173"/>
      <c r="O169" s="1173"/>
      <c r="P169" s="1173"/>
      <c r="Q169" s="1173"/>
      <c r="R169" s="1173"/>
      <c r="S169" s="1173"/>
      <c r="T169" s="1173"/>
      <c r="U169" s="1173"/>
      <c r="V169" s="1173"/>
      <c r="W169" s="1173"/>
      <c r="X169" s="1173"/>
      <c r="Y169" s="1173"/>
      <c r="Z169" s="1173"/>
      <c r="AA169" s="1173"/>
      <c r="AB169" s="1173"/>
      <c r="AC169" s="1173"/>
      <c r="AD169" s="1173"/>
      <c r="AE169" s="1173"/>
      <c r="AF169" s="1173"/>
    </row>
    <row r="170" spans="1:32" ht="50.25" customHeight="1" x14ac:dyDescent="0.25">
      <c r="A170" s="515" t="s">
        <v>1013</v>
      </c>
      <c r="B170" s="1173" t="s">
        <v>2100</v>
      </c>
      <c r="C170" s="1173"/>
      <c r="D170" s="1173"/>
      <c r="E170" s="1173"/>
      <c r="F170" s="1173"/>
      <c r="G170" s="1173"/>
      <c r="H170" s="1173"/>
      <c r="I170" s="1173"/>
      <c r="J170" s="1173"/>
      <c r="K170" s="1173"/>
      <c r="L170" s="1173"/>
      <c r="M170" s="1173"/>
      <c r="N170" s="1173"/>
      <c r="O170" s="1173"/>
      <c r="P170" s="1173"/>
      <c r="Q170" s="1173"/>
      <c r="R170" s="1173"/>
      <c r="S170" s="1173"/>
      <c r="T170" s="1173"/>
      <c r="U170" s="1173"/>
      <c r="V170" s="1173"/>
      <c r="W170" s="1173"/>
      <c r="X170" s="1173"/>
      <c r="Y170" s="1173"/>
      <c r="Z170" s="1173"/>
      <c r="AA170" s="1173"/>
      <c r="AB170" s="1173"/>
      <c r="AC170" s="1173"/>
      <c r="AD170" s="1173"/>
      <c r="AE170" s="1173"/>
      <c r="AF170" s="1173"/>
    </row>
    <row r="171" spans="1:32" ht="50.25" customHeight="1" x14ac:dyDescent="0.25">
      <c r="A171" s="515" t="s">
        <v>1013</v>
      </c>
      <c r="B171" s="1173" t="s">
        <v>2101</v>
      </c>
      <c r="C171" s="1173"/>
      <c r="D171" s="1173"/>
      <c r="E171" s="1173"/>
      <c r="F171" s="1173"/>
      <c r="G171" s="1173"/>
      <c r="H171" s="1173"/>
      <c r="I171" s="1173"/>
      <c r="J171" s="1173"/>
      <c r="K171" s="1173"/>
      <c r="L171" s="1173"/>
      <c r="M171" s="1173"/>
      <c r="N171" s="1173"/>
      <c r="O171" s="1173"/>
      <c r="P171" s="1173"/>
      <c r="Q171" s="1173"/>
      <c r="R171" s="1173"/>
      <c r="S171" s="1173"/>
      <c r="T171" s="1173"/>
      <c r="U171" s="1173"/>
      <c r="V171" s="1173"/>
      <c r="W171" s="1173"/>
      <c r="X171" s="1173"/>
      <c r="Y171" s="1173"/>
      <c r="Z171" s="1173"/>
      <c r="AA171" s="1173"/>
      <c r="AB171" s="1173"/>
      <c r="AC171" s="1173"/>
      <c r="AD171" s="1173"/>
      <c r="AE171" s="1173"/>
      <c r="AF171" s="1173"/>
    </row>
    <row r="172" spans="1:32" ht="49.5" customHeight="1" x14ac:dyDescent="0.25">
      <c r="A172" s="515" t="s">
        <v>1013</v>
      </c>
      <c r="B172" s="1173" t="s">
        <v>2102</v>
      </c>
      <c r="C172" s="1173"/>
      <c r="D172" s="1173"/>
      <c r="E172" s="1173"/>
      <c r="F172" s="1173"/>
      <c r="G172" s="1173"/>
      <c r="H172" s="1173"/>
      <c r="I172" s="1173"/>
      <c r="J172" s="1173"/>
      <c r="K172" s="1173"/>
      <c r="L172" s="1173"/>
      <c r="M172" s="1173"/>
      <c r="N172" s="1173"/>
      <c r="O172" s="1173"/>
      <c r="P172" s="1173"/>
      <c r="Q172" s="1173"/>
      <c r="R172" s="1173"/>
      <c r="S172" s="1173"/>
      <c r="T172" s="1173"/>
      <c r="U172" s="1173"/>
      <c r="V172" s="1173"/>
      <c r="W172" s="1173"/>
      <c r="X172" s="1173"/>
      <c r="Y172" s="1173"/>
      <c r="Z172" s="1173"/>
      <c r="AA172" s="1173"/>
      <c r="AB172" s="1173"/>
      <c r="AC172" s="1173"/>
      <c r="AD172" s="1173"/>
      <c r="AE172" s="1173"/>
      <c r="AF172" s="1173"/>
    </row>
    <row r="173" spans="1:32" ht="51.75" customHeight="1" x14ac:dyDescent="0.25">
      <c r="A173" s="515" t="s">
        <v>1013</v>
      </c>
      <c r="B173" s="1173" t="s">
        <v>2103</v>
      </c>
      <c r="C173" s="1173"/>
      <c r="D173" s="1173"/>
      <c r="E173" s="1173"/>
      <c r="F173" s="1173"/>
      <c r="G173" s="1173"/>
      <c r="H173" s="1173"/>
      <c r="I173" s="1173"/>
      <c r="J173" s="1173"/>
      <c r="K173" s="1173"/>
      <c r="L173" s="1173"/>
      <c r="M173" s="1173"/>
      <c r="N173" s="1173"/>
      <c r="O173" s="1173"/>
      <c r="P173" s="1173"/>
      <c r="Q173" s="1173"/>
      <c r="R173" s="1173"/>
      <c r="S173" s="1173"/>
      <c r="T173" s="1173"/>
      <c r="U173" s="1173"/>
      <c r="V173" s="1173"/>
      <c r="W173" s="1173"/>
      <c r="X173" s="1173"/>
      <c r="Y173" s="1173"/>
      <c r="Z173" s="1173"/>
      <c r="AA173" s="1173"/>
      <c r="AB173" s="1173"/>
      <c r="AC173" s="1173"/>
      <c r="AD173" s="1173"/>
      <c r="AE173" s="1173"/>
      <c r="AF173" s="1173"/>
    </row>
    <row r="174" spans="1:32" ht="35.1" customHeight="1" x14ac:dyDescent="0.25">
      <c r="A174" s="515" t="s">
        <v>1013</v>
      </c>
      <c r="B174" s="1173" t="s">
        <v>1613</v>
      </c>
      <c r="C174" s="1173"/>
      <c r="D174" s="1173"/>
      <c r="E174" s="1173"/>
      <c r="F174" s="1173"/>
      <c r="G174" s="1173"/>
      <c r="H174" s="1173"/>
      <c r="I174" s="1173"/>
      <c r="J174" s="1173"/>
      <c r="K174" s="1173"/>
      <c r="L174" s="1173"/>
      <c r="M174" s="1173"/>
      <c r="N174" s="1173"/>
      <c r="O174" s="1173"/>
      <c r="P174" s="1173"/>
      <c r="Q174" s="1173"/>
      <c r="R174" s="1173"/>
      <c r="S174" s="1173"/>
      <c r="T174" s="1173"/>
      <c r="U174" s="1173"/>
      <c r="V174" s="1173"/>
      <c r="W174" s="1173"/>
      <c r="X174" s="1173"/>
      <c r="Y174" s="1173"/>
      <c r="Z174" s="1173"/>
      <c r="AA174" s="1173"/>
      <c r="AB174" s="1173"/>
      <c r="AC174" s="1173"/>
      <c r="AD174" s="1173"/>
      <c r="AE174" s="1173"/>
      <c r="AF174" s="1173"/>
    </row>
    <row r="175" spans="1:32" x14ac:dyDescent="0.25">
      <c r="A175" s="515" t="s">
        <v>1013</v>
      </c>
      <c r="B175" s="1173" t="s">
        <v>1749</v>
      </c>
      <c r="C175" s="1173"/>
      <c r="D175" s="1173"/>
      <c r="E175" s="1173"/>
      <c r="F175" s="1173"/>
      <c r="G175" s="1173"/>
      <c r="H175" s="1173"/>
      <c r="I175" s="1173"/>
      <c r="J175" s="1173"/>
      <c r="K175" s="1173"/>
      <c r="L175" s="1173"/>
      <c r="M175" s="1173"/>
      <c r="N175" s="1173"/>
      <c r="O175" s="1173"/>
      <c r="P175" s="1173"/>
      <c r="Q175" s="1173"/>
      <c r="R175" s="1173"/>
      <c r="S175" s="1173"/>
      <c r="T175" s="1173"/>
      <c r="U175" s="1173"/>
      <c r="V175" s="1173"/>
      <c r="W175" s="1173"/>
      <c r="X175" s="1173"/>
      <c r="Y175" s="1173"/>
      <c r="Z175" s="1173"/>
      <c r="AA175" s="1173"/>
      <c r="AB175" s="1173"/>
      <c r="AC175" s="1173"/>
      <c r="AD175" s="1173"/>
      <c r="AE175" s="1173"/>
      <c r="AF175" s="1173"/>
    </row>
    <row r="176" spans="1:32" ht="51.6" customHeight="1" x14ac:dyDescent="0.25">
      <c r="A176" s="515" t="s">
        <v>1013</v>
      </c>
      <c r="B176" s="1173" t="s">
        <v>2104</v>
      </c>
      <c r="C176" s="1173"/>
      <c r="D176" s="1173"/>
      <c r="E176" s="1173"/>
      <c r="F176" s="1173"/>
      <c r="G176" s="1173"/>
      <c r="H176" s="1173"/>
      <c r="I176" s="1173"/>
      <c r="J176" s="1173"/>
      <c r="K176" s="1173"/>
      <c r="L176" s="1173"/>
      <c r="M176" s="1173"/>
      <c r="N176" s="1173"/>
      <c r="O176" s="1173"/>
      <c r="P176" s="1173"/>
      <c r="Q176" s="1173"/>
      <c r="R176" s="1173"/>
      <c r="S176" s="1173"/>
      <c r="T176" s="1173"/>
      <c r="U176" s="1173"/>
      <c r="V176" s="1173"/>
      <c r="W176" s="1173"/>
      <c r="X176" s="1173"/>
      <c r="Y176" s="1173"/>
      <c r="Z176" s="1173"/>
      <c r="AA176" s="1173"/>
      <c r="AB176" s="1173"/>
      <c r="AC176" s="1173"/>
      <c r="AD176" s="1173"/>
      <c r="AE176" s="1173"/>
      <c r="AF176" s="1173"/>
    </row>
    <row r="177" spans="1:32" ht="51.95" customHeight="1" x14ac:dyDescent="0.25">
      <c r="A177" s="515" t="s">
        <v>1013</v>
      </c>
      <c r="B177" s="1173" t="s">
        <v>4555</v>
      </c>
      <c r="C177" s="1173"/>
      <c r="D177" s="1173"/>
      <c r="E177" s="1173"/>
      <c r="F177" s="1173"/>
      <c r="G177" s="1173"/>
      <c r="H177" s="1173"/>
      <c r="I177" s="1173"/>
      <c r="J177" s="1173"/>
      <c r="K177" s="1173"/>
      <c r="L177" s="1173"/>
      <c r="M177" s="1173"/>
      <c r="N177" s="1173"/>
      <c r="O177" s="1173"/>
      <c r="P177" s="1173"/>
      <c r="Q177" s="1173"/>
      <c r="R177" s="1173"/>
      <c r="S177" s="1173"/>
      <c r="T177" s="1173"/>
      <c r="U177" s="1173"/>
      <c r="V177" s="1173"/>
      <c r="W177" s="1173"/>
      <c r="X177" s="1173"/>
      <c r="Y177" s="1173"/>
      <c r="Z177" s="1173"/>
      <c r="AA177" s="1173"/>
      <c r="AB177" s="1173"/>
      <c r="AC177" s="1173"/>
      <c r="AD177" s="1173"/>
      <c r="AE177" s="1173"/>
      <c r="AF177" s="1173"/>
    </row>
    <row r="178" spans="1:32" ht="52.5" customHeight="1" x14ac:dyDescent="0.25">
      <c r="A178" s="515" t="s">
        <v>1013</v>
      </c>
      <c r="B178" s="1173" t="s">
        <v>2105</v>
      </c>
      <c r="C178" s="1173"/>
      <c r="D178" s="1173"/>
      <c r="E178" s="1173"/>
      <c r="F178" s="1173"/>
      <c r="G178" s="1173"/>
      <c r="H178" s="1173"/>
      <c r="I178" s="1173"/>
      <c r="J178" s="1173"/>
      <c r="K178" s="1173"/>
      <c r="L178" s="1173"/>
      <c r="M178" s="1173"/>
      <c r="N178" s="1173"/>
      <c r="O178" s="1173"/>
      <c r="P178" s="1173"/>
      <c r="Q178" s="1173"/>
      <c r="R178" s="1173"/>
      <c r="S178" s="1173"/>
      <c r="T178" s="1173"/>
      <c r="U178" s="1173"/>
      <c r="V178" s="1173"/>
      <c r="W178" s="1173"/>
      <c r="X178" s="1173"/>
      <c r="Y178" s="1173"/>
      <c r="Z178" s="1173"/>
      <c r="AA178" s="1173"/>
      <c r="AB178" s="1173"/>
      <c r="AC178" s="1173"/>
      <c r="AD178" s="1173"/>
      <c r="AE178" s="1173"/>
      <c r="AF178" s="1173"/>
    </row>
  </sheetData>
  <sheetProtection algorithmName="SHA-512" hashValue="596RyIq6P19/yCQlNFgt15GJZJhbNcbSoaeJrv/y6c5uhMliddoXmsq2LP4LgS2gIYOFvuvQQlWc6IuYLNVsFQ==" saltValue="rade356/VN+W9vLXg1uf8w==" spinCount="100000" sheet="1" objects="1" scenarios="1"/>
  <mergeCells count="447">
    <mergeCell ref="D68:J75"/>
    <mergeCell ref="K75:W75"/>
    <mergeCell ref="X75:Z75"/>
    <mergeCell ref="AA75:AF75"/>
    <mergeCell ref="A12:C46"/>
    <mergeCell ref="D26:J36"/>
    <mergeCell ref="D37:J39"/>
    <mergeCell ref="D40:J40"/>
    <mergeCell ref="K42:W42"/>
    <mergeCell ref="X42:Z42"/>
    <mergeCell ref="AA42:AF42"/>
    <mergeCell ref="D41:J42"/>
    <mergeCell ref="K40:W40"/>
    <mergeCell ref="X40:Z40"/>
    <mergeCell ref="AA40:AF40"/>
    <mergeCell ref="AA31:AF31"/>
    <mergeCell ref="X34:Z34"/>
    <mergeCell ref="AA34:AF34"/>
    <mergeCell ref="X37:Z37"/>
    <mergeCell ref="AA39:AF39"/>
    <mergeCell ref="AA28:AF28"/>
    <mergeCell ref="X29:Z29"/>
    <mergeCell ref="K28:W28"/>
    <mergeCell ref="K29:W29"/>
    <mergeCell ref="K39:W39"/>
    <mergeCell ref="K38:W38"/>
    <mergeCell ref="K32:W32"/>
    <mergeCell ref="K34:W34"/>
    <mergeCell ref="K31:W31"/>
    <mergeCell ref="AA38:AF38"/>
    <mergeCell ref="AA32:AF32"/>
    <mergeCell ref="K33:W33"/>
    <mergeCell ref="X33:Z33"/>
    <mergeCell ref="AA33:AF33"/>
    <mergeCell ref="K35:W35"/>
    <mergeCell ref="X39:Z39"/>
    <mergeCell ref="X38:Z38"/>
    <mergeCell ref="X32:Z32"/>
    <mergeCell ref="K36:W36"/>
    <mergeCell ref="X36:Z36"/>
    <mergeCell ref="AA36:AF36"/>
    <mergeCell ref="K37:W37"/>
    <mergeCell ref="X31:Z31"/>
    <mergeCell ref="AA37:AF37"/>
    <mergeCell ref="AA29:AF29"/>
    <mergeCell ref="X30:Z30"/>
    <mergeCell ref="AA30:AF30"/>
    <mergeCell ref="X25:Z25"/>
    <mergeCell ref="AA25:AF25"/>
    <mergeCell ref="K30:W30"/>
    <mergeCell ref="AA27:AF27"/>
    <mergeCell ref="X28:Z28"/>
    <mergeCell ref="D20:J25"/>
    <mergeCell ref="AA11:AF11"/>
    <mergeCell ref="K20:W20"/>
    <mergeCell ref="K14:W14"/>
    <mergeCell ref="X14:Z14"/>
    <mergeCell ref="AA14:AF14"/>
    <mergeCell ref="K15:W15"/>
    <mergeCell ref="X15:Z15"/>
    <mergeCell ref="AA15:AF15"/>
    <mergeCell ref="AA18:AF18"/>
    <mergeCell ref="X17:Z17"/>
    <mergeCell ref="K16:W16"/>
    <mergeCell ref="K17:W17"/>
    <mergeCell ref="K18:W18"/>
    <mergeCell ref="K25:W25"/>
    <mergeCell ref="AA19:AF19"/>
    <mergeCell ref="K19:W19"/>
    <mergeCell ref="X19:Z19"/>
    <mergeCell ref="AA22:AF22"/>
    <mergeCell ref="K23:W23"/>
    <mergeCell ref="K24:W24"/>
    <mergeCell ref="D63:J67"/>
    <mergeCell ref="K64:W64"/>
    <mergeCell ref="X64:Z64"/>
    <mergeCell ref="AA64:AF64"/>
    <mergeCell ref="K65:W65"/>
    <mergeCell ref="X65:Z65"/>
    <mergeCell ref="AA65:AF65"/>
    <mergeCell ref="K63:W63"/>
    <mergeCell ref="X63:Z63"/>
    <mergeCell ref="AA63:AF63"/>
    <mergeCell ref="AA57:AF57"/>
    <mergeCell ref="AA60:AF60"/>
    <mergeCell ref="X74:Z74"/>
    <mergeCell ref="X83:Z83"/>
    <mergeCell ref="X84:Z84"/>
    <mergeCell ref="AA70:AF70"/>
    <mergeCell ref="AA62:AF62"/>
    <mergeCell ref="X76:Z76"/>
    <mergeCell ref="K67:W67"/>
    <mergeCell ref="K62:W62"/>
    <mergeCell ref="K66:W66"/>
    <mergeCell ref="K57:W57"/>
    <mergeCell ref="X67:Z67"/>
    <mergeCell ref="K70:W70"/>
    <mergeCell ref="X70:Z70"/>
    <mergeCell ref="X69:Z69"/>
    <mergeCell ref="AA69:AF69"/>
    <mergeCell ref="K73:W73"/>
    <mergeCell ref="X73:Z73"/>
    <mergeCell ref="AA72:AF72"/>
    <mergeCell ref="X80:Z80"/>
    <mergeCell ref="X68:Z68"/>
    <mergeCell ref="AA73:AF73"/>
    <mergeCell ref="AA84:AF84"/>
    <mergeCell ref="D52:J52"/>
    <mergeCell ref="K60:W60"/>
    <mergeCell ref="D76:J84"/>
    <mergeCell ref="K72:W72"/>
    <mergeCell ref="AA109:AF109"/>
    <mergeCell ref="D101:J103"/>
    <mergeCell ref="AA67:AF67"/>
    <mergeCell ref="X62:Z62"/>
    <mergeCell ref="K81:W81"/>
    <mergeCell ref="K82:W82"/>
    <mergeCell ref="K71:W71"/>
    <mergeCell ref="X71:Z71"/>
    <mergeCell ref="AA71:AF71"/>
    <mergeCell ref="K78:W78"/>
    <mergeCell ref="K79:W79"/>
    <mergeCell ref="A61:AF61"/>
    <mergeCell ref="A62:C62"/>
    <mergeCell ref="D62:J62"/>
    <mergeCell ref="X66:Z66"/>
    <mergeCell ref="AA66:AF66"/>
    <mergeCell ref="D87:J89"/>
    <mergeCell ref="D56:J56"/>
    <mergeCell ref="A63:C103"/>
    <mergeCell ref="X87:Z87"/>
    <mergeCell ref="D47:J47"/>
    <mergeCell ref="X86:Z86"/>
    <mergeCell ref="AA86:AF86"/>
    <mergeCell ref="X91:Z91"/>
    <mergeCell ref="AA91:AF91"/>
    <mergeCell ref="X96:Z96"/>
    <mergeCell ref="AA96:AF96"/>
    <mergeCell ref="AA106:AF106"/>
    <mergeCell ref="D104:J107"/>
    <mergeCell ref="X104:Z104"/>
    <mergeCell ref="X107:Z107"/>
    <mergeCell ref="AA107:AF107"/>
    <mergeCell ref="K104:W104"/>
    <mergeCell ref="K107:W107"/>
    <mergeCell ref="K106:W106"/>
    <mergeCell ref="X106:Z106"/>
    <mergeCell ref="X103:Z103"/>
    <mergeCell ref="AA103:AF103"/>
    <mergeCell ref="X97:Z97"/>
    <mergeCell ref="AA97:AF97"/>
    <mergeCell ref="X98:Z98"/>
    <mergeCell ref="K97:W97"/>
    <mergeCell ref="D96:J97"/>
    <mergeCell ref="K101:W101"/>
    <mergeCell ref="K85:W85"/>
    <mergeCell ref="X85:Z85"/>
    <mergeCell ref="K68:W68"/>
    <mergeCell ref="X72:Z72"/>
    <mergeCell ref="D85:J86"/>
    <mergeCell ref="X99:Z99"/>
    <mergeCell ref="D98:J100"/>
    <mergeCell ref="K100:W100"/>
    <mergeCell ref="AA68:AF68"/>
    <mergeCell ref="K69:W69"/>
    <mergeCell ref="D90:J91"/>
    <mergeCell ref="K87:W87"/>
    <mergeCell ref="K90:W90"/>
    <mergeCell ref="AA85:AF85"/>
    <mergeCell ref="K86:W86"/>
    <mergeCell ref="K76:W76"/>
    <mergeCell ref="AA76:AF76"/>
    <mergeCell ref="X77:Z77"/>
    <mergeCell ref="AA77:AF77"/>
    <mergeCell ref="X78:Z78"/>
    <mergeCell ref="AA78:AF78"/>
    <mergeCell ref="X79:Z79"/>
    <mergeCell ref="AA79:AF79"/>
    <mergeCell ref="K88:W88"/>
    <mergeCell ref="A1:AF1"/>
    <mergeCell ref="A8:AF8"/>
    <mergeCell ref="X11:Z11"/>
    <mergeCell ref="A11:C11"/>
    <mergeCell ref="D11:J11"/>
    <mergeCell ref="K11:W11"/>
    <mergeCell ref="K12:W12"/>
    <mergeCell ref="X12:Z12"/>
    <mergeCell ref="AA12:AF12"/>
    <mergeCell ref="D12:J13"/>
    <mergeCell ref="A3:AF3"/>
    <mergeCell ref="A7:AF7"/>
    <mergeCell ref="A10:AF10"/>
    <mergeCell ref="B5:AF5"/>
    <mergeCell ref="D43:J46"/>
    <mergeCell ref="K13:W13"/>
    <mergeCell ref="X13:Z13"/>
    <mergeCell ref="AA13:AF13"/>
    <mergeCell ref="X20:Z20"/>
    <mergeCell ref="AA20:AF20"/>
    <mergeCell ref="X23:Z23"/>
    <mergeCell ref="AA23:AF23"/>
    <mergeCell ref="X24:Z24"/>
    <mergeCell ref="AA24:AF24"/>
    <mergeCell ref="X26:Z26"/>
    <mergeCell ref="AA26:AF26"/>
    <mergeCell ref="X27:Z27"/>
    <mergeCell ref="X35:Z35"/>
    <mergeCell ref="AA35:AF35"/>
    <mergeCell ref="X16:Z16"/>
    <mergeCell ref="X18:Z18"/>
    <mergeCell ref="K26:W26"/>
    <mergeCell ref="K27:W27"/>
    <mergeCell ref="K21:W21"/>
    <mergeCell ref="X21:Z21"/>
    <mergeCell ref="AA21:AF21"/>
    <mergeCell ref="K22:W22"/>
    <mergeCell ref="X22:Z22"/>
    <mergeCell ref="K51:W51"/>
    <mergeCell ref="AA44:AF44"/>
    <mergeCell ref="K41:W41"/>
    <mergeCell ref="X41:Z41"/>
    <mergeCell ref="AA41:AF41"/>
    <mergeCell ref="K43:W43"/>
    <mergeCell ref="X43:Z43"/>
    <mergeCell ref="AA43:AF43"/>
    <mergeCell ref="AA45:AF45"/>
    <mergeCell ref="X44:Z44"/>
    <mergeCell ref="X45:Z45"/>
    <mergeCell ref="K44:W44"/>
    <mergeCell ref="K45:W45"/>
    <mergeCell ref="AA51:AF51"/>
    <mergeCell ref="D49:J49"/>
    <mergeCell ref="D50:J50"/>
    <mergeCell ref="K56:W56"/>
    <mergeCell ref="X57:Z57"/>
    <mergeCell ref="AA46:AF46"/>
    <mergeCell ref="X52:Z52"/>
    <mergeCell ref="AA52:AF52"/>
    <mergeCell ref="K53:W53"/>
    <mergeCell ref="X53:Z53"/>
    <mergeCell ref="AA53:AF53"/>
    <mergeCell ref="X54:Z54"/>
    <mergeCell ref="AA54:AF54"/>
    <mergeCell ref="K54:W54"/>
    <mergeCell ref="X51:Z51"/>
    <mergeCell ref="X46:Z46"/>
    <mergeCell ref="K49:W49"/>
    <mergeCell ref="X49:Z49"/>
    <mergeCell ref="AA49:AF49"/>
    <mergeCell ref="K50:W50"/>
    <mergeCell ref="K47:W47"/>
    <mergeCell ref="X47:Z47"/>
    <mergeCell ref="AA47:AF47"/>
    <mergeCell ref="K52:W52"/>
    <mergeCell ref="K46:W46"/>
    <mergeCell ref="X88:Z88"/>
    <mergeCell ref="AA88:AF88"/>
    <mergeCell ref="K80:W80"/>
    <mergeCell ref="X89:Z89"/>
    <mergeCell ref="AA89:AF89"/>
    <mergeCell ref="A49:C52"/>
    <mergeCell ref="A53:C60"/>
    <mergeCell ref="X56:Z56"/>
    <mergeCell ref="AA56:AF56"/>
    <mergeCell ref="X50:Z50"/>
    <mergeCell ref="AA50:AF50"/>
    <mergeCell ref="D53:J55"/>
    <mergeCell ref="D57:J60"/>
    <mergeCell ref="K58:W58"/>
    <mergeCell ref="D51:J51"/>
    <mergeCell ref="X55:Z55"/>
    <mergeCell ref="AA55:AF55"/>
    <mergeCell ref="K55:W55"/>
    <mergeCell ref="X58:Z58"/>
    <mergeCell ref="AA58:AF58"/>
    <mergeCell ref="K59:W59"/>
    <mergeCell ref="X59:Z59"/>
    <mergeCell ref="AA59:AF59"/>
    <mergeCell ref="X60:Z60"/>
    <mergeCell ref="X101:Z101"/>
    <mergeCell ref="AA101:AF101"/>
    <mergeCell ref="K74:W74"/>
    <mergeCell ref="K98:W98"/>
    <mergeCell ref="K99:W99"/>
    <mergeCell ref="K96:W96"/>
    <mergeCell ref="K83:W83"/>
    <mergeCell ref="K84:W84"/>
    <mergeCell ref="AA80:AF80"/>
    <mergeCell ref="X82:Z82"/>
    <mergeCell ref="AA82:AF82"/>
    <mergeCell ref="AA74:AF74"/>
    <mergeCell ref="AA99:AF99"/>
    <mergeCell ref="X100:Z100"/>
    <mergeCell ref="AA100:AF100"/>
    <mergeCell ref="K91:W91"/>
    <mergeCell ref="K89:W89"/>
    <mergeCell ref="X81:Z81"/>
    <mergeCell ref="AA81:AF81"/>
    <mergeCell ref="X90:Z90"/>
    <mergeCell ref="AA90:AF90"/>
    <mergeCell ref="AA83:AF83"/>
    <mergeCell ref="K77:W77"/>
    <mergeCell ref="AA87:AF87"/>
    <mergeCell ref="B150:AF150"/>
    <mergeCell ref="X114:Z114"/>
    <mergeCell ref="AA98:AF98"/>
    <mergeCell ref="X112:Z112"/>
    <mergeCell ref="K103:W103"/>
    <mergeCell ref="X102:Z102"/>
    <mergeCell ref="AA102:AF102"/>
    <mergeCell ref="K105:W105"/>
    <mergeCell ref="AA104:AF104"/>
    <mergeCell ref="X105:Z105"/>
    <mergeCell ref="AA105:AF105"/>
    <mergeCell ref="K102:W102"/>
    <mergeCell ref="AA108:AF108"/>
    <mergeCell ref="X109:Z109"/>
    <mergeCell ref="A108:C114"/>
    <mergeCell ref="A104:C107"/>
    <mergeCell ref="D108:J114"/>
    <mergeCell ref="K108:W108"/>
    <mergeCell ref="K109:W109"/>
    <mergeCell ref="X108:Z108"/>
    <mergeCell ref="X110:Z110"/>
    <mergeCell ref="AA110:AF110"/>
    <mergeCell ref="X111:Z111"/>
    <mergeCell ref="AA111:AF111"/>
    <mergeCell ref="K118:W118"/>
    <mergeCell ref="B175:AF175"/>
    <mergeCell ref="B176:AF176"/>
    <mergeCell ref="B178:AF178"/>
    <mergeCell ref="A143:AF143"/>
    <mergeCell ref="B165:AF165"/>
    <mergeCell ref="B166:AF166"/>
    <mergeCell ref="B168:AF168"/>
    <mergeCell ref="B169:AF169"/>
    <mergeCell ref="B170:AF170"/>
    <mergeCell ref="B171:AF171"/>
    <mergeCell ref="B172:AF172"/>
    <mergeCell ref="B173:AF173"/>
    <mergeCell ref="B174:AF174"/>
    <mergeCell ref="B156:AF156"/>
    <mergeCell ref="B157:AF157"/>
    <mergeCell ref="B158:AF158"/>
    <mergeCell ref="B159:AF159"/>
    <mergeCell ref="B160:AF160"/>
    <mergeCell ref="B161:AF161"/>
    <mergeCell ref="B162:AF162"/>
    <mergeCell ref="B163:AF163"/>
    <mergeCell ref="B164:AF164"/>
    <mergeCell ref="B149:AF149"/>
    <mergeCell ref="AA122:AF122"/>
    <mergeCell ref="B155:AF155"/>
    <mergeCell ref="X125:Z125"/>
    <mergeCell ref="AA125:AF125"/>
    <mergeCell ref="K126:W126"/>
    <mergeCell ref="X126:Z126"/>
    <mergeCell ref="AA126:AF126"/>
    <mergeCell ref="D124:J126"/>
    <mergeCell ref="A115:C126"/>
    <mergeCell ref="K124:W124"/>
    <mergeCell ref="X124:Z124"/>
    <mergeCell ref="AA124:AF124"/>
    <mergeCell ref="X119:Z119"/>
    <mergeCell ref="B145:AF145"/>
    <mergeCell ref="A140:AF140"/>
    <mergeCell ref="B146:AF146"/>
    <mergeCell ref="AA119:AF119"/>
    <mergeCell ref="K120:W120"/>
    <mergeCell ref="X120:Z120"/>
    <mergeCell ref="A141:AF141"/>
    <mergeCell ref="B132:AF132"/>
    <mergeCell ref="K125:W125"/>
    <mergeCell ref="A133:AF133"/>
    <mergeCell ref="K119:W119"/>
    <mergeCell ref="K121:W121"/>
    <mergeCell ref="AA113:AF113"/>
    <mergeCell ref="B151:AF151"/>
    <mergeCell ref="B152:AF152"/>
    <mergeCell ref="B153:AF153"/>
    <mergeCell ref="B154:AF154"/>
    <mergeCell ref="A134:AF134"/>
    <mergeCell ref="A127:AF127"/>
    <mergeCell ref="B128:AF128"/>
    <mergeCell ref="D118:J118"/>
    <mergeCell ref="A136:AF136"/>
    <mergeCell ref="A138:AF138"/>
    <mergeCell ref="B129:AF129"/>
    <mergeCell ref="B130:AF130"/>
    <mergeCell ref="B131:AF131"/>
    <mergeCell ref="X121:Z121"/>
    <mergeCell ref="AA121:AF121"/>
    <mergeCell ref="A139:AF139"/>
    <mergeCell ref="X118:Z118"/>
    <mergeCell ref="AA118:AF118"/>
    <mergeCell ref="A137:AF137"/>
    <mergeCell ref="AA123:AF123"/>
    <mergeCell ref="K122:W122"/>
    <mergeCell ref="X122:Z122"/>
    <mergeCell ref="AA112:AF112"/>
    <mergeCell ref="D119:J123"/>
    <mergeCell ref="K123:W123"/>
    <mergeCell ref="X123:Z123"/>
    <mergeCell ref="B177:AF177"/>
    <mergeCell ref="AA16:AF16"/>
    <mergeCell ref="AA17:AF17"/>
    <mergeCell ref="D92:J95"/>
    <mergeCell ref="K92:W92"/>
    <mergeCell ref="X92:Z92"/>
    <mergeCell ref="AA92:AF92"/>
    <mergeCell ref="K94:W94"/>
    <mergeCell ref="X94:Z94"/>
    <mergeCell ref="AA94:AF94"/>
    <mergeCell ref="K95:W95"/>
    <mergeCell ref="X95:Z95"/>
    <mergeCell ref="AA95:AF95"/>
    <mergeCell ref="K93:W93"/>
    <mergeCell ref="X93:Z93"/>
    <mergeCell ref="AA93:AF93"/>
    <mergeCell ref="B167:AF167"/>
    <mergeCell ref="B147:AF147"/>
    <mergeCell ref="B148:AF148"/>
    <mergeCell ref="AA120:AF120"/>
    <mergeCell ref="K117:W117"/>
    <mergeCell ref="X117:Z117"/>
    <mergeCell ref="AA117:AF117"/>
    <mergeCell ref="D115:J117"/>
    <mergeCell ref="K116:W116"/>
    <mergeCell ref="X116:Z116"/>
    <mergeCell ref="AA116:AF116"/>
    <mergeCell ref="D14:J19"/>
    <mergeCell ref="A135:AF135"/>
    <mergeCell ref="D48:J48"/>
    <mergeCell ref="K48:W48"/>
    <mergeCell ref="X48:Z48"/>
    <mergeCell ref="AA48:AF48"/>
    <mergeCell ref="A47:C48"/>
    <mergeCell ref="AA114:AF114"/>
    <mergeCell ref="K115:W115"/>
    <mergeCell ref="X115:Z115"/>
    <mergeCell ref="AA115:AF115"/>
    <mergeCell ref="X113:Z113"/>
    <mergeCell ref="K110:W110"/>
    <mergeCell ref="K111:W111"/>
    <mergeCell ref="K112:W112"/>
    <mergeCell ref="K113:W113"/>
    <mergeCell ref="K114:W114"/>
  </mergeCells>
  <hyperlinks>
    <hyperlink ref="A2" location="TOC!A1" display="Return to TOC" xr:uid="{00000000-0004-0000-0900-000000000000}"/>
    <hyperlink ref="K14:W14" location="R_Light_LED!A1" display="LED (See Table 2, R_Light_LED)" xr:uid="{00000000-0004-0000-0900-000001000000}"/>
    <hyperlink ref="K68:W68" location="C_Light_General!A1" display="Baseline (See C_Light_General, Table 6)" xr:uid="{00000000-0004-0000-0900-000002000000}"/>
    <hyperlink ref="K69:W69" location="C_Light_General!A1" display="Efficient (See C_Light_General, Table 7)" xr:uid="{00000000-0004-0000-0900-000003000000}"/>
    <hyperlink ref="K116:W116" location="C_Light_General!A1" display="Baseline (See C_Light_General, Table 6)" xr:uid="{00000000-0004-0000-0900-000004000000}"/>
    <hyperlink ref="K115:W115" location="C_Light_General!A1" display="Baseline (See C_Light_General, Table 6)" xr:uid="{00000000-0004-0000-0900-000005000000}"/>
    <hyperlink ref="K122:W122" location="C_Kitchen_Dishwasher!A1" display="ENERGY STAR Dishwasher (See C_Kitchen_Dishwasher, Table 5)" xr:uid="{00000000-0004-0000-0900-000006000000}"/>
    <hyperlink ref="K117:W117" location="'C_Light_Downlight Retrofit'!A1" display="Downlight Retrofit (see C_Light_Downlight Retrofit)" xr:uid="{00000000-0004-0000-0900-000007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55" filterMode="1">
    <pageSetUpPr autoPageBreaks="0"/>
  </sheetPr>
  <dimension ref="A1:N46"/>
  <sheetViews>
    <sheetView workbookViewId="0">
      <selection activeCell="B11" sqref="B11"/>
    </sheetView>
  </sheetViews>
  <sheetFormatPr defaultColWidth="8.85546875" defaultRowHeight="15" x14ac:dyDescent="0.25"/>
  <cols>
    <col min="1" max="1" width="13.5703125" style="318" customWidth="1"/>
    <col min="2" max="2" width="29.28515625" style="266" bestFit="1" customWidth="1"/>
    <col min="3" max="3" width="11.28515625" style="266" customWidth="1"/>
    <col min="4" max="4" width="46.5703125" style="266" bestFit="1" customWidth="1"/>
    <col min="5" max="16384" width="8.85546875" style="266"/>
  </cols>
  <sheetData>
    <row r="1" spans="1:14" ht="15.75" x14ac:dyDescent="0.25">
      <c r="A1" s="322" t="s">
        <v>1042</v>
      </c>
      <c r="B1" s="317" t="s">
        <v>295</v>
      </c>
      <c r="C1" s="325" t="s">
        <v>1040</v>
      </c>
      <c r="D1" s="323" t="s">
        <v>1041</v>
      </c>
      <c r="E1" s="324"/>
      <c r="F1" s="324"/>
      <c r="G1" s="324"/>
      <c r="H1" s="324"/>
      <c r="I1" s="324"/>
      <c r="J1" s="324"/>
      <c r="K1" s="324"/>
      <c r="L1" s="324"/>
      <c r="M1" s="324"/>
      <c r="N1" s="324"/>
    </row>
    <row r="2" spans="1:14" hidden="1" x14ac:dyDescent="0.25">
      <c r="A2" s="318">
        <v>42986</v>
      </c>
      <c r="B2" s="318" t="s">
        <v>1341</v>
      </c>
      <c r="C2" s="318" t="s">
        <v>1038</v>
      </c>
      <c r="D2" s="266" t="s">
        <v>1347</v>
      </c>
    </row>
    <row r="3" spans="1:14" ht="30" hidden="1" x14ac:dyDescent="0.25">
      <c r="A3" s="318">
        <v>42992</v>
      </c>
      <c r="B3" s="319" t="s">
        <v>1342</v>
      </c>
      <c r="C3" s="318" t="s">
        <v>1035</v>
      </c>
      <c r="D3" s="266" t="s">
        <v>1346</v>
      </c>
    </row>
    <row r="4" spans="1:14" ht="195" x14ac:dyDescent="0.25">
      <c r="A4" s="318">
        <v>42992</v>
      </c>
      <c r="B4" s="266" t="s">
        <v>1338</v>
      </c>
      <c r="C4" s="268" t="s">
        <v>1382</v>
      </c>
      <c r="D4" s="268" t="s">
        <v>1383</v>
      </c>
    </row>
    <row r="5" spans="1:14" ht="30" x14ac:dyDescent="0.25">
      <c r="A5" s="318">
        <v>42992</v>
      </c>
      <c r="B5" s="268" t="s">
        <v>1343</v>
      </c>
      <c r="C5" s="266" t="s">
        <v>1036</v>
      </c>
      <c r="D5" s="266" t="s">
        <v>1345</v>
      </c>
    </row>
    <row r="6" spans="1:14" ht="30" hidden="1" x14ac:dyDescent="0.25">
      <c r="A6" s="318">
        <v>42992</v>
      </c>
      <c r="B6" s="266" t="s">
        <v>1344</v>
      </c>
      <c r="C6" s="266" t="s">
        <v>1035</v>
      </c>
      <c r="D6" s="268" t="s">
        <v>875</v>
      </c>
    </row>
    <row r="7" spans="1:14" hidden="1" x14ac:dyDescent="0.25">
      <c r="A7" s="318">
        <v>42999</v>
      </c>
      <c r="B7" s="318" t="s">
        <v>1360</v>
      </c>
      <c r="C7" s="318" t="s">
        <v>1038</v>
      </c>
      <c r="D7" s="266" t="s">
        <v>960</v>
      </c>
    </row>
    <row r="8" spans="1:14" hidden="1" x14ac:dyDescent="0.25">
      <c r="A8" s="318">
        <v>42999</v>
      </c>
      <c r="B8" s="266" t="s">
        <v>48</v>
      </c>
      <c r="C8" s="266" t="s">
        <v>1038</v>
      </c>
      <c r="D8" s="266" t="s">
        <v>961</v>
      </c>
    </row>
    <row r="9" spans="1:14" ht="30" hidden="1" x14ac:dyDescent="0.25">
      <c r="A9" s="318">
        <v>42999</v>
      </c>
      <c r="B9" s="266" t="s">
        <v>1348</v>
      </c>
      <c r="C9" s="266" t="s">
        <v>1038</v>
      </c>
      <c r="D9" s="268" t="s">
        <v>1043</v>
      </c>
    </row>
    <row r="10" spans="1:14" ht="30" hidden="1" x14ac:dyDescent="0.25">
      <c r="A10" s="318">
        <v>42999</v>
      </c>
      <c r="B10" s="266" t="s">
        <v>1349</v>
      </c>
      <c r="C10" s="266" t="s">
        <v>1038</v>
      </c>
      <c r="D10" s="268" t="s">
        <v>1044</v>
      </c>
    </row>
    <row r="11" spans="1:14" ht="45" hidden="1" x14ac:dyDescent="0.25">
      <c r="A11" s="318">
        <v>42999</v>
      </c>
      <c r="B11" s="266" t="s">
        <v>1338</v>
      </c>
      <c r="C11" s="266" t="s">
        <v>1037</v>
      </c>
      <c r="D11" s="268" t="s">
        <v>1387</v>
      </c>
    </row>
    <row r="12" spans="1:14" hidden="1" x14ac:dyDescent="0.25">
      <c r="A12" s="318">
        <v>42999</v>
      </c>
      <c r="B12" s="266" t="s">
        <v>1350</v>
      </c>
      <c r="C12" s="266" t="s">
        <v>1038</v>
      </c>
      <c r="D12" s="266" t="s">
        <v>1351</v>
      </c>
    </row>
    <row r="13" spans="1:14" hidden="1" x14ac:dyDescent="0.25">
      <c r="A13" s="318">
        <v>42999</v>
      </c>
      <c r="B13" s="266" t="s">
        <v>1338</v>
      </c>
      <c r="C13" s="266" t="s">
        <v>1038</v>
      </c>
      <c r="D13" s="266" t="s">
        <v>962</v>
      </c>
    </row>
    <row r="14" spans="1:14" hidden="1" x14ac:dyDescent="0.25">
      <c r="A14" s="318">
        <v>43021</v>
      </c>
      <c r="B14" s="320" t="s">
        <v>1352</v>
      </c>
      <c r="C14" s="320" t="s">
        <v>1039</v>
      </c>
      <c r="D14" s="266" t="s">
        <v>1353</v>
      </c>
    </row>
    <row r="15" spans="1:14" ht="30" hidden="1" x14ac:dyDescent="0.25">
      <c r="A15" s="318">
        <v>43054</v>
      </c>
      <c r="B15" s="320" t="s">
        <v>1305</v>
      </c>
      <c r="C15" s="320" t="s">
        <v>1037</v>
      </c>
      <c r="D15" s="268" t="s">
        <v>1354</v>
      </c>
    </row>
    <row r="16" spans="1:14" ht="30" hidden="1" x14ac:dyDescent="0.25">
      <c r="A16" s="318">
        <v>43174</v>
      </c>
      <c r="B16" s="321"/>
      <c r="C16" s="321" t="s">
        <v>1035</v>
      </c>
      <c r="D16" s="268" t="s">
        <v>1356</v>
      </c>
    </row>
    <row r="17" spans="1:4" hidden="1" x14ac:dyDescent="0.25">
      <c r="A17" s="318">
        <v>43174</v>
      </c>
      <c r="B17" s="266" t="s">
        <v>1355</v>
      </c>
      <c r="C17" s="266" t="s">
        <v>1038</v>
      </c>
      <c r="D17" s="266" t="s">
        <v>1357</v>
      </c>
    </row>
    <row r="18" spans="1:4" hidden="1" x14ac:dyDescent="0.25">
      <c r="A18" s="318">
        <v>43177</v>
      </c>
      <c r="B18" s="321" t="s">
        <v>1358</v>
      </c>
      <c r="C18" s="321" t="s">
        <v>1038</v>
      </c>
      <c r="D18" s="266" t="s">
        <v>1359</v>
      </c>
    </row>
    <row r="19" spans="1:4" hidden="1" x14ac:dyDescent="0.25">
      <c r="A19" s="318">
        <v>43230</v>
      </c>
      <c r="B19" s="318" t="s">
        <v>1317</v>
      </c>
      <c r="C19" s="318" t="s">
        <v>1038</v>
      </c>
      <c r="D19" s="266" t="s">
        <v>1377</v>
      </c>
    </row>
    <row r="20" spans="1:4" hidden="1" x14ac:dyDescent="0.25">
      <c r="A20" s="318">
        <v>43230</v>
      </c>
      <c r="B20" s="266" t="s">
        <v>1320</v>
      </c>
      <c r="C20" s="266" t="s">
        <v>1038</v>
      </c>
      <c r="D20" s="266" t="s">
        <v>1376</v>
      </c>
    </row>
    <row r="21" spans="1:4" hidden="1" x14ac:dyDescent="0.25">
      <c r="A21" s="318">
        <v>43230</v>
      </c>
      <c r="B21" s="266" t="s">
        <v>1322</v>
      </c>
      <c r="C21" s="266" t="s">
        <v>1038</v>
      </c>
      <c r="D21" s="266" t="s">
        <v>1375</v>
      </c>
    </row>
    <row r="22" spans="1:4" hidden="1" x14ac:dyDescent="0.25">
      <c r="A22" s="318">
        <v>43230</v>
      </c>
      <c r="B22" s="266" t="s">
        <v>1360</v>
      </c>
      <c r="C22" s="266" t="s">
        <v>1035</v>
      </c>
      <c r="D22" s="266" t="s">
        <v>1046</v>
      </c>
    </row>
    <row r="23" spans="1:4" ht="30" hidden="1" x14ac:dyDescent="0.25">
      <c r="A23" s="318">
        <v>43230</v>
      </c>
      <c r="B23" s="266" t="s">
        <v>48</v>
      </c>
      <c r="C23" s="268" t="s">
        <v>1378</v>
      </c>
      <c r="D23" s="268" t="s">
        <v>1380</v>
      </c>
    </row>
    <row r="24" spans="1:4" hidden="1" x14ac:dyDescent="0.25">
      <c r="A24" s="318">
        <v>43238</v>
      </c>
      <c r="B24" s="318" t="s">
        <v>467</v>
      </c>
      <c r="C24" s="266" t="s">
        <v>1038</v>
      </c>
      <c r="D24" s="266" t="s">
        <v>1379</v>
      </c>
    </row>
    <row r="25" spans="1:4" ht="30" hidden="1" x14ac:dyDescent="0.25">
      <c r="A25" s="318">
        <v>43241</v>
      </c>
      <c r="B25" s="318" t="s">
        <v>1361</v>
      </c>
      <c r="C25" s="266" t="s">
        <v>1037</v>
      </c>
      <c r="D25" s="268" t="s">
        <v>1218</v>
      </c>
    </row>
    <row r="26" spans="1:4" ht="30" hidden="1" x14ac:dyDescent="0.25">
      <c r="A26" s="318">
        <v>43241</v>
      </c>
      <c r="B26" s="318" t="s">
        <v>1361</v>
      </c>
      <c r="C26" s="266" t="s">
        <v>1038</v>
      </c>
      <c r="D26" s="268" t="s">
        <v>1219</v>
      </c>
    </row>
    <row r="27" spans="1:4" ht="30" hidden="1" x14ac:dyDescent="0.25">
      <c r="A27" s="318">
        <v>43241</v>
      </c>
      <c r="B27" s="318" t="s">
        <v>1362</v>
      </c>
      <c r="C27" s="266" t="s">
        <v>1037</v>
      </c>
      <c r="D27" s="268" t="s">
        <v>1220</v>
      </c>
    </row>
    <row r="28" spans="1:4" ht="30" hidden="1" x14ac:dyDescent="0.25">
      <c r="A28" s="318">
        <v>43241</v>
      </c>
      <c r="B28" s="318" t="s">
        <v>1362</v>
      </c>
      <c r="C28" s="266" t="s">
        <v>1038</v>
      </c>
      <c r="D28" s="268" t="s">
        <v>1221</v>
      </c>
    </row>
    <row r="29" spans="1:4" ht="30" hidden="1" x14ac:dyDescent="0.25">
      <c r="A29" s="318">
        <v>43243</v>
      </c>
      <c r="B29" s="319" t="s">
        <v>1321</v>
      </c>
      <c r="C29" s="266" t="s">
        <v>1038</v>
      </c>
      <c r="D29" s="268" t="s">
        <v>1381</v>
      </c>
    </row>
    <row r="30" spans="1:4" ht="30" hidden="1" x14ac:dyDescent="0.25">
      <c r="A30" s="318">
        <v>43243</v>
      </c>
      <c r="B30" s="318" t="s">
        <v>1321</v>
      </c>
      <c r="C30" s="266" t="s">
        <v>1039</v>
      </c>
      <c r="D30" s="268" t="s">
        <v>1365</v>
      </c>
    </row>
    <row r="31" spans="1:4" hidden="1" x14ac:dyDescent="0.25">
      <c r="A31" s="318">
        <v>43243</v>
      </c>
      <c r="B31" s="318" t="s">
        <v>1363</v>
      </c>
      <c r="C31" s="266" t="s">
        <v>1037</v>
      </c>
      <c r="D31" s="268" t="s">
        <v>1223</v>
      </c>
    </row>
    <row r="32" spans="1:4" hidden="1" x14ac:dyDescent="0.25">
      <c r="A32" s="318">
        <v>43243</v>
      </c>
      <c r="B32" s="318" t="s">
        <v>1229</v>
      </c>
      <c r="C32" s="266" t="s">
        <v>1037</v>
      </c>
      <c r="D32" s="268" t="s">
        <v>1364</v>
      </c>
    </row>
    <row r="33" spans="1:4" ht="30" hidden="1" x14ac:dyDescent="0.25">
      <c r="A33" s="318">
        <v>43243</v>
      </c>
      <c r="B33" s="318" t="s">
        <v>1321</v>
      </c>
      <c r="C33" s="266" t="s">
        <v>1231</v>
      </c>
      <c r="D33" s="268" t="s">
        <v>1232</v>
      </c>
    </row>
    <row r="34" spans="1:4" ht="30" hidden="1" x14ac:dyDescent="0.25">
      <c r="A34" s="318">
        <v>43252</v>
      </c>
      <c r="B34" s="318" t="s">
        <v>1293</v>
      </c>
      <c r="C34" s="266" t="s">
        <v>1038</v>
      </c>
      <c r="D34" s="268" t="s">
        <v>1366</v>
      </c>
    </row>
    <row r="35" spans="1:4" hidden="1" x14ac:dyDescent="0.25">
      <c r="A35" s="318">
        <v>43252</v>
      </c>
      <c r="B35" s="318" t="s">
        <v>1293</v>
      </c>
      <c r="C35" s="266" t="s">
        <v>1035</v>
      </c>
      <c r="D35" s="268" t="s">
        <v>1367</v>
      </c>
    </row>
    <row r="36" spans="1:4" hidden="1" x14ac:dyDescent="0.25">
      <c r="A36" s="318">
        <v>43252</v>
      </c>
      <c r="B36" s="318" t="s">
        <v>1293</v>
      </c>
      <c r="C36" s="266" t="s">
        <v>1035</v>
      </c>
      <c r="D36" s="268" t="s">
        <v>1368</v>
      </c>
    </row>
    <row r="37" spans="1:4" ht="30" hidden="1" x14ac:dyDescent="0.25">
      <c r="A37" s="318">
        <v>43252</v>
      </c>
      <c r="B37" s="318" t="s">
        <v>1293</v>
      </c>
      <c r="C37" s="266" t="s">
        <v>1039</v>
      </c>
      <c r="D37" s="268" t="s">
        <v>1372</v>
      </c>
    </row>
    <row r="38" spans="1:4" hidden="1" x14ac:dyDescent="0.25">
      <c r="A38" s="318">
        <v>43252</v>
      </c>
      <c r="B38" s="266" t="s">
        <v>1320</v>
      </c>
      <c r="C38" s="266" t="s">
        <v>1035</v>
      </c>
      <c r="D38" s="268" t="s">
        <v>1369</v>
      </c>
    </row>
    <row r="39" spans="1:4" hidden="1" x14ac:dyDescent="0.25">
      <c r="A39" s="318">
        <v>43254</v>
      </c>
      <c r="B39" s="318" t="s">
        <v>1373</v>
      </c>
      <c r="C39" s="266" t="s">
        <v>1038</v>
      </c>
      <c r="D39" s="268" t="s">
        <v>1370</v>
      </c>
    </row>
    <row r="40" spans="1:4" hidden="1" x14ac:dyDescent="0.25">
      <c r="A40" s="318">
        <v>43254</v>
      </c>
      <c r="B40" s="266" t="s">
        <v>1374</v>
      </c>
      <c r="C40" s="266" t="s">
        <v>1038</v>
      </c>
      <c r="D40" s="268" t="s">
        <v>1371</v>
      </c>
    </row>
    <row r="41" spans="1:4" ht="45" hidden="1" x14ac:dyDescent="0.25">
      <c r="A41" s="318">
        <v>43254</v>
      </c>
      <c r="B41" s="266" t="s">
        <v>1384</v>
      </c>
      <c r="C41" s="268" t="s">
        <v>1378</v>
      </c>
      <c r="D41" s="268" t="s">
        <v>1385</v>
      </c>
    </row>
    <row r="42" spans="1:4" ht="30" hidden="1" x14ac:dyDescent="0.25">
      <c r="A42" s="318">
        <v>43255</v>
      </c>
      <c r="B42" s="318" t="s">
        <v>1320</v>
      </c>
      <c r="C42" s="266" t="s">
        <v>1035</v>
      </c>
      <c r="D42" s="268" t="s">
        <v>1386</v>
      </c>
    </row>
    <row r="43" spans="1:4" hidden="1" x14ac:dyDescent="0.25">
      <c r="A43" s="318">
        <v>43255</v>
      </c>
      <c r="B43" s="266" t="s">
        <v>1338</v>
      </c>
      <c r="C43" s="266" t="s">
        <v>1039</v>
      </c>
      <c r="D43" s="268" t="s">
        <v>1388</v>
      </c>
    </row>
    <row r="44" spans="1:4" hidden="1" x14ac:dyDescent="0.25">
      <c r="A44" s="318">
        <v>43270</v>
      </c>
      <c r="B44" s="266" t="s">
        <v>1488</v>
      </c>
      <c r="C44" s="266" t="s">
        <v>1038</v>
      </c>
      <c r="D44" s="266" t="s">
        <v>1527</v>
      </c>
    </row>
    <row r="45" spans="1:4" hidden="1" x14ac:dyDescent="0.25">
      <c r="A45" s="318">
        <v>43272</v>
      </c>
      <c r="B45" s="266" t="s">
        <v>1488</v>
      </c>
      <c r="C45" s="266" t="s">
        <v>1035</v>
      </c>
      <c r="D45" s="266" t="s">
        <v>1526</v>
      </c>
    </row>
    <row r="46" spans="1:4" hidden="1" x14ac:dyDescent="0.25">
      <c r="A46" s="318">
        <v>43273</v>
      </c>
      <c r="B46" s="266" t="s">
        <v>1574</v>
      </c>
      <c r="C46" s="266" t="s">
        <v>1035</v>
      </c>
      <c r="D46" s="266" t="s">
        <v>1575</v>
      </c>
    </row>
  </sheetData>
  <sheetProtection algorithmName="SHA-512" hashValue="HOIOjtWdreHbhZ6217TlseNMVeElMOiJ4ibpt4pKjSJDIrZ1yhewKgecTlCGscsUMWT+r7ck2/9uByQjCeyF8A==" saltValue="VEXw56nBxSuFn/ICTTG/BA==" spinCount="100000" sheet="1" objects="1" scenarios="1"/>
  <autoFilter ref="A1:D46" xr:uid="{00000000-0009-0000-0000-000066000000}">
    <filterColumn colId="2">
      <filters>
        <filter val="CHECK"/>
        <filter val="CHECK _x000a_ADD"/>
      </filters>
    </filterColumn>
  </autoFilter>
  <pageMargins left="0.7" right="0.7" top="0.75" bottom="0.75" header="0.3" footer="0.3"/>
  <pageSetup orientation="portrait" r:id="rId1"/>
  <headerFooter>
    <oddHeader>&amp;C&amp;"Arial,Regular"&amp;09&amp;I&amp;K000000Leidos Proprietary</oddHeader>
    <oddFooter>&amp;C&amp;"Calibri,Regular"&amp;11</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33">
    <tabColor theme="5" tint="0.59999389629810485"/>
    <pageSetUpPr autoPageBreaks="0"/>
  </sheetPr>
  <dimension ref="A1:AF172"/>
  <sheetViews>
    <sheetView topLeftCell="A131" zoomScale="60" zoomScaleNormal="60" workbookViewId="0">
      <selection activeCell="C103" sqref="C103"/>
    </sheetView>
  </sheetViews>
  <sheetFormatPr defaultColWidth="2.7109375" defaultRowHeight="15" x14ac:dyDescent="0.25"/>
  <cols>
    <col min="1" max="1" width="30.28515625" bestFit="1" customWidth="1"/>
    <col min="2" max="2" width="106.28515625" bestFit="1" customWidth="1"/>
    <col min="3" max="3" width="27.140625" bestFit="1" customWidth="1"/>
    <col min="4" max="4" width="67.28515625" bestFit="1" customWidth="1"/>
    <col min="5" max="5" width="73.85546875" bestFit="1" customWidth="1"/>
    <col min="6" max="6" width="15.140625" bestFit="1" customWidth="1"/>
    <col min="7" max="7" width="13.42578125" bestFit="1" customWidth="1"/>
    <col min="8" max="8" width="29.42578125" bestFit="1" customWidth="1"/>
    <col min="9" max="9" width="6" bestFit="1" customWidth="1"/>
    <col min="10" max="10" width="11.140625" bestFit="1" customWidth="1"/>
    <col min="11" max="11" width="11.5703125" bestFit="1" customWidth="1"/>
    <col min="12" max="12" width="5.7109375" bestFit="1" customWidth="1"/>
    <col min="13" max="14" width="7.7109375" bestFit="1" customWidth="1"/>
    <col min="15" max="15" width="4.5703125" bestFit="1" customWidth="1"/>
    <col min="16" max="16" width="19.7109375" bestFit="1" customWidth="1"/>
    <col min="17" max="17" width="20" bestFit="1" customWidth="1"/>
    <col min="18" max="18" width="14.7109375" bestFit="1" customWidth="1"/>
  </cols>
  <sheetData>
    <row r="1" spans="1:32" s="1" customFormat="1" ht="18.75" x14ac:dyDescent="0.25">
      <c r="A1" s="1464" t="s">
        <v>1144</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s="1" customFormat="1" ht="14.45" customHeight="1" x14ac:dyDescent="0.25">
      <c r="A2" s="284"/>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s="1" customFormat="1" x14ac:dyDescent="0.25">
      <c r="A3" s="1582" t="s">
        <v>0</v>
      </c>
      <c r="B3" s="1582"/>
      <c r="C3" s="1582"/>
      <c r="D3" s="1582"/>
      <c r="E3" s="1582"/>
      <c r="F3" s="1582"/>
      <c r="G3" s="1582"/>
      <c r="H3" s="1582"/>
      <c r="I3" s="1582"/>
      <c r="J3" s="1582"/>
      <c r="K3" s="1582"/>
      <c r="L3" s="1582"/>
      <c r="M3" s="1582"/>
      <c r="N3" s="1582"/>
      <c r="O3" s="1582"/>
      <c r="P3" s="1582"/>
      <c r="Q3" s="1582"/>
      <c r="R3" s="1582"/>
      <c r="S3" s="1582"/>
      <c r="T3" s="1582"/>
      <c r="U3" s="1582"/>
      <c r="V3" s="1582"/>
      <c r="W3" s="1582"/>
      <c r="X3" s="1582"/>
      <c r="Y3" s="1582"/>
      <c r="Z3" s="1582"/>
      <c r="AA3" s="1582"/>
      <c r="AB3" s="1582"/>
      <c r="AC3" s="1582"/>
      <c r="AD3" s="1582"/>
      <c r="AE3" s="1582"/>
      <c r="AF3" s="1582"/>
    </row>
    <row r="4" spans="1:32" s="1" customFormat="1" ht="15.75" thickBot="1"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s="1" customFormat="1" x14ac:dyDescent="0.25">
      <c r="A5" s="171"/>
      <c r="B5" s="175" t="s">
        <v>797</v>
      </c>
      <c r="C5" s="176"/>
      <c r="D5" s="176"/>
      <c r="E5" s="176"/>
      <c r="F5" s="176"/>
      <c r="G5" s="176"/>
      <c r="H5" s="176"/>
      <c r="I5" s="177"/>
      <c r="J5" s="178" t="s">
        <v>241</v>
      </c>
      <c r="K5" s="176"/>
      <c r="L5" s="176"/>
      <c r="M5" s="176"/>
      <c r="N5" s="176"/>
      <c r="O5" s="176"/>
      <c r="P5" s="176"/>
      <c r="Q5" s="179"/>
      <c r="R5" s="171"/>
      <c r="S5" s="171"/>
      <c r="T5" s="171"/>
      <c r="U5" s="171"/>
      <c r="V5" s="171"/>
      <c r="W5" s="171"/>
      <c r="X5" s="171"/>
      <c r="Y5" s="1343"/>
      <c r="Z5" s="1343"/>
      <c r="AA5" s="1343"/>
      <c r="AB5" s="1343"/>
      <c r="AC5" s="1343"/>
      <c r="AD5" s="1343"/>
      <c r="AE5" s="1343"/>
      <c r="AF5" s="1343"/>
    </row>
    <row r="6" spans="1:32" s="1" customFormat="1" ht="15.75" thickBot="1" x14ac:dyDescent="0.3">
      <c r="A6" s="171"/>
      <c r="B6" s="182" t="str">
        <f>IF(J6=0, "", IFERROR(INDEX(#REF!, MATCH(J6,#REF!, 0)), "Not found in MSL"))</f>
        <v>Not found in MSL</v>
      </c>
      <c r="C6" s="180"/>
      <c r="D6" s="180"/>
      <c r="E6" s="180"/>
      <c r="F6" s="180"/>
      <c r="G6" s="180"/>
      <c r="H6" s="180"/>
      <c r="I6" s="181"/>
      <c r="J6" s="3872" t="s">
        <v>805</v>
      </c>
      <c r="K6" s="3873"/>
      <c r="L6" s="3873"/>
      <c r="M6" s="3873"/>
      <c r="N6" s="3873"/>
      <c r="O6" s="3873"/>
      <c r="P6" s="3873"/>
      <c r="Q6" s="3874"/>
    </row>
    <row r="7" spans="1:32" s="1" customFormat="1" ht="15.75" thickBot="1" x14ac:dyDescent="0.3">
      <c r="A7" s="171"/>
      <c r="B7" s="171"/>
      <c r="C7" s="171"/>
      <c r="D7" s="171"/>
      <c r="E7" s="171"/>
      <c r="F7" s="171"/>
      <c r="G7" s="171"/>
      <c r="H7" s="171"/>
    </row>
    <row r="8" spans="1:32" s="1" customFormat="1" x14ac:dyDescent="0.25">
      <c r="B8" s="172" t="s">
        <v>798</v>
      </c>
      <c r="C8" s="173"/>
      <c r="D8" s="173"/>
      <c r="E8" s="173"/>
      <c r="F8" s="173"/>
      <c r="G8" s="173"/>
      <c r="H8" s="173"/>
      <c r="I8" s="174"/>
      <c r="J8" s="172" t="s">
        <v>240</v>
      </c>
      <c r="K8" s="173"/>
      <c r="L8" s="173"/>
      <c r="M8" s="173"/>
      <c r="N8" s="173"/>
      <c r="O8" s="173"/>
      <c r="P8" s="173"/>
      <c r="Q8" s="174"/>
      <c r="R8" s="172" t="s">
        <v>799</v>
      </c>
      <c r="S8" s="173"/>
      <c r="T8" s="173"/>
      <c r="U8" s="173"/>
      <c r="V8" s="173"/>
      <c r="W8" s="173"/>
      <c r="X8" s="173"/>
      <c r="Y8" s="174"/>
    </row>
    <row r="9" spans="1:32" s="1" customFormat="1" x14ac:dyDescent="0.25">
      <c r="B9" s="159" t="str">
        <f t="array" ref="B9">IF(ISERROR(INDEX(#REF!,SMALL(IF(#REF!=$J$6,ROW(#REF!)),ROW(3:3)) - 1,2)), "", INDEX(#REF!,SMALL(IF(#REF!=$J$6,ROW(#REF!)),ROW(3:3)) - 1,2))</f>
        <v/>
      </c>
      <c r="I9" s="160"/>
      <c r="J9" s="159" t="str">
        <f t="array" ref="J9">IF(ISERROR(INDEX(#REF!,SMALL(IF(#REF!=$J$6,ROW(#REF!)),ROW(3:3)) - 1,3)), "", INDEX(#REF!,SMALL(IF(#REF!=$J$6,ROW(#REF!)),ROW(3:3)) - 1,3))</f>
        <v/>
      </c>
      <c r="Q9" s="160"/>
      <c r="R9" s="159" t="str">
        <f t="array" ref="R9">IF(ISERROR(INDEX(#REF!,SMALL(IF(#REF!=$J$6,ROW(#REF!)),ROW(3:3)) - 1,4)), "", CONCATENATE("$ ", INDEX(#REF!,SMALL(IF(#REF!=$J$6,ROW(#REF!)),ROW(3:3)) - 1,4)))</f>
        <v/>
      </c>
      <c r="Y9" s="160"/>
    </row>
    <row r="10" spans="1:32" s="1" customFormat="1" x14ac:dyDescent="0.25">
      <c r="B10" s="159" t="str">
        <f t="array" ref="B10">IF(ISERROR(INDEX(#REF!,SMALL(IF(#REF!=$J$6,ROW(#REF!)),ROW(4:4)) - 1,2)), "", INDEX(#REF!,SMALL(IF(#REF!=$J$6,ROW(#REF!)),ROW(4:4)) - 1,2))</f>
        <v/>
      </c>
      <c r="I10" s="160"/>
      <c r="J10" s="159" t="str">
        <f t="array" ref="J10">IF(ISERROR(INDEX(#REF!,SMALL(IF(#REF!=$J$6,ROW(#REF!)),ROW(4:4)) - 1,3)), "", INDEX(#REF!,SMALL(IF(#REF!=$J$6,ROW(#REF!)),ROW(4:4)) - 1,3))</f>
        <v/>
      </c>
      <c r="Q10" s="160"/>
      <c r="R10" s="159" t="str">
        <f t="array" ref="R10">IF(ISERROR(INDEX(#REF!,SMALL(IF(#REF!=$J$6,ROW(#REF!)),ROW(4:4)) - 1,4)), "", CONCATENATE("$ ", INDEX(#REF!,SMALL(IF(#REF!=$J$6,ROW(#REF!)),ROW(4:4)) - 1,4)))</f>
        <v/>
      </c>
      <c r="Y10" s="160"/>
    </row>
    <row r="11" spans="1:32" s="1" customFormat="1" x14ac:dyDescent="0.25">
      <c r="B11" s="159" t="str">
        <f t="array" ref="B11">IF(ISERROR(INDEX(#REF!,SMALL(IF(#REF!=$J$6,ROW(#REF!)),ROW(5:5)) - 1,2)), "", INDEX(#REF!,SMALL(IF(#REF!=$J$6,ROW(#REF!)),ROW(5:5)) - 1,2))</f>
        <v/>
      </c>
      <c r="I11" s="160"/>
      <c r="J11" s="159" t="str">
        <f t="array" ref="J11">IF(ISERROR(INDEX(#REF!,SMALL(IF(#REF!=$J$6,ROW(#REF!)),ROW(5:5)) - 1,3)), "", INDEX(#REF!,SMALL(IF(#REF!=$J$6,ROW(#REF!)),ROW(5:5)) - 1,3))</f>
        <v/>
      </c>
      <c r="Q11" s="160"/>
      <c r="R11" s="159" t="str">
        <f t="array" ref="R11">IF(ISERROR(INDEX(#REF!,SMALL(IF(#REF!=$J$6,ROW(#REF!)),ROW(5:5)) - 1,4)), "", CONCATENATE("$ ", INDEX(#REF!,SMALL(IF(#REF!=$J$6,ROW(#REF!)),ROW(5:5)) - 1,4)))</f>
        <v/>
      </c>
      <c r="Y11" s="160"/>
    </row>
    <row r="12" spans="1:32" s="1" customFormat="1" x14ac:dyDescent="0.25">
      <c r="B12" s="159" t="str">
        <f t="array" ref="B12">IF(ISERROR(INDEX(#REF!,SMALL(IF(#REF!=$J$6,ROW(#REF!)),ROW(6:6)) - 1,2)), "", INDEX(#REF!,SMALL(IF(#REF!=$J$6,ROW(#REF!)),ROW(6:6)) - 1,2))</f>
        <v/>
      </c>
      <c r="I12" s="160"/>
      <c r="J12" s="159" t="str">
        <f t="array" ref="J12">IF(ISERROR(INDEX(#REF!,SMALL(IF(#REF!=$J$6,ROW(#REF!)),ROW(6:6)) - 1,3)), "", INDEX(#REF!,SMALL(IF(#REF!=$J$6,ROW(#REF!)),ROW(6:6)) - 1,3))</f>
        <v/>
      </c>
      <c r="Q12" s="160"/>
      <c r="R12" s="159" t="str">
        <f t="array" ref="R12">IF(ISERROR(INDEX(#REF!,SMALL(IF(#REF!=$J$6,ROW(#REF!)),ROW(6:6)) - 1,4)), "", CONCATENATE("$ ", INDEX(#REF!,SMALL(IF(#REF!=$J$6,ROW(#REF!)),ROW(6:6)) - 1,4)))</f>
        <v/>
      </c>
      <c r="Y12" s="160"/>
    </row>
    <row r="13" spans="1:32" s="1" customFormat="1" x14ac:dyDescent="0.25">
      <c r="B13" s="159" t="str">
        <f t="array" ref="B13">IF(ISERROR(INDEX(#REF!,SMALL(IF(#REF!=$J$6,ROW(#REF!)),ROW(7:7)) - 1,2)), "", INDEX(#REF!,SMALL(IF(#REF!=$J$6,ROW(#REF!)),ROW(7:7)) - 1,2))</f>
        <v/>
      </c>
      <c r="I13" s="160"/>
      <c r="J13" s="159" t="str">
        <f t="array" ref="J13">IF(ISERROR(INDEX(#REF!,SMALL(IF(#REF!=$J$6,ROW(#REF!)),ROW(7:7)) - 1,3)), "", INDEX(#REF!,SMALL(IF(#REF!=$J$6,ROW(#REF!)),ROW(7:7)) - 1,3))</f>
        <v/>
      </c>
      <c r="Q13" s="160"/>
      <c r="R13" s="159" t="str">
        <f t="array" ref="R13">IF(ISERROR(INDEX(#REF!,SMALL(IF(#REF!=$J$6,ROW(#REF!)),ROW(7:7)) - 1,4)), "", CONCATENATE("$ ", INDEX(#REF!,SMALL(IF(#REF!=$J$6,ROW(#REF!)),ROW(7:7)) - 1,4)))</f>
        <v/>
      </c>
      <c r="Y13" s="160"/>
    </row>
    <row r="14" spans="1:32" s="1" customFormat="1" x14ac:dyDescent="0.25">
      <c r="B14" s="159" t="str">
        <f t="array" ref="B14">IF(ISERROR(INDEX(#REF!,SMALL(IF(#REF!=$J$6,ROW(#REF!)),ROW(8:8)) - 1,2)), "", INDEX(#REF!,SMALL(IF(#REF!=$J$6,ROW(#REF!)),ROW(8:8)) - 1,2))</f>
        <v/>
      </c>
      <c r="I14" s="160"/>
      <c r="J14" s="159" t="str">
        <f t="array" ref="J14">IF(ISERROR(INDEX(#REF!,SMALL(IF(#REF!=$J$6,ROW(#REF!)),ROW(8:8)) - 1,3)), "", INDEX(#REF!,SMALL(IF(#REF!=$J$6,ROW(#REF!)),ROW(8:8)) - 1,3))</f>
        <v/>
      </c>
      <c r="Q14" s="160"/>
      <c r="R14" s="159" t="str">
        <f t="array" ref="R14">IF(ISERROR(INDEX(#REF!,SMALL(IF(#REF!=$J$6,ROW(#REF!)),ROW(8:8)) - 1,4)), "", CONCATENATE("$ ", INDEX(#REF!,SMALL(IF(#REF!=$J$6,ROW(#REF!)),ROW(8:8)) - 1,4)))</f>
        <v/>
      </c>
      <c r="Y14" s="160"/>
    </row>
    <row r="15" spans="1:32" s="1" customFormat="1" x14ac:dyDescent="0.25">
      <c r="B15" s="159" t="str">
        <f t="array" ref="B15">IF(ISERROR(INDEX(#REF!,SMALL(IF(#REF!=$J$6,ROW(#REF!)),ROW(9:9)) - 1,2)), "", INDEX(#REF!,SMALL(IF(#REF!=$J$6,ROW(#REF!)),ROW(9:9)) - 1,2))</f>
        <v/>
      </c>
      <c r="I15" s="160"/>
      <c r="J15" s="159" t="str">
        <f t="array" ref="J15">IF(ISERROR(INDEX(#REF!,SMALL(IF(#REF!=$J$6,ROW(#REF!)),ROW(9:9)) - 1,3)), "", INDEX(#REF!,SMALL(IF(#REF!=$J$6,ROW(#REF!)),ROW(9:9)) - 1,3))</f>
        <v/>
      </c>
      <c r="Q15" s="160"/>
      <c r="R15" s="159" t="str">
        <f t="array" ref="R15">IF(ISERROR(INDEX(#REF!,SMALL(IF(#REF!=$J$6,ROW(#REF!)),ROW(9:9)) - 1,4)), "", CONCATENATE("$ ", INDEX(#REF!,SMALL(IF(#REF!=$J$6,ROW(#REF!)),ROW(9:9)) - 1,4)))</f>
        <v/>
      </c>
      <c r="Y15" s="160"/>
    </row>
    <row r="16" spans="1:32" s="1" customFormat="1" x14ac:dyDescent="0.25">
      <c r="B16" s="159" t="str">
        <f t="array" ref="B16">IF(ISERROR(INDEX(#REF!,SMALL(IF(#REF!=$J$6,ROW(#REF!)),ROW(10:10)) - 1,2)), "", INDEX(#REF!,SMALL(IF(#REF!=$J$6,ROW(#REF!)),ROW(10:10)) - 1,2))</f>
        <v/>
      </c>
      <c r="I16" s="160"/>
      <c r="J16" s="159" t="str">
        <f t="array" ref="J16">IF(ISERROR(INDEX(#REF!,SMALL(IF(#REF!=$J$6,ROW(#REF!)),ROW(10:10)) - 1,3)), "", INDEX(#REF!,SMALL(IF(#REF!=$J$6,ROW(#REF!)),ROW(10:10)) - 1,3))</f>
        <v/>
      </c>
      <c r="Q16" s="160"/>
      <c r="R16" s="159" t="str">
        <f t="array" ref="R16">IF(ISERROR(INDEX(#REF!,SMALL(IF(#REF!=$J$6,ROW(#REF!)),ROW(10:10)) - 1,4)), "", CONCATENATE("$ ", INDEX(#REF!,SMALL(IF(#REF!=$J$6,ROW(#REF!)),ROW(10:10)) - 1,4)))</f>
        <v/>
      </c>
      <c r="Y16" s="160"/>
    </row>
    <row r="17" spans="1:32" s="1" customFormat="1" x14ac:dyDescent="0.25">
      <c r="B17" s="159" t="str">
        <f t="array" ref="B17">IF(ISERROR(INDEX(#REF!,SMALL(IF(#REF!=$J$6,ROW(#REF!)),ROW(11:11)) - 1,2)), "", INDEX(#REF!,SMALL(IF(#REF!=$J$6,ROW(#REF!)),ROW(11:11)) - 1,2))</f>
        <v/>
      </c>
      <c r="I17" s="160"/>
      <c r="J17" s="159" t="str">
        <f t="array" ref="J17">IF(ISERROR(INDEX(#REF!,SMALL(IF(#REF!=$J$6,ROW(#REF!)),ROW(11:11)) - 1,3)), "", INDEX(#REF!,SMALL(IF(#REF!=$J$6,ROW(#REF!)),ROW(11:11)) - 1,3))</f>
        <v/>
      </c>
      <c r="Q17" s="160"/>
      <c r="R17" s="159" t="str">
        <f t="array" ref="R17">IF(ISERROR(INDEX(#REF!,SMALL(IF(#REF!=$J$6,ROW(#REF!)),ROW(11:11)) - 1,4)), "", CONCATENATE("$ ", INDEX(#REF!,SMALL(IF(#REF!=$J$6,ROW(#REF!)),ROW(11:11)) - 1,4)))</f>
        <v/>
      </c>
      <c r="Y17" s="160"/>
    </row>
    <row r="18" spans="1:32" s="1" customFormat="1" x14ac:dyDescent="0.25">
      <c r="B18" s="159" t="str">
        <f t="array" ref="B18">IF(ISERROR(INDEX(#REF!,SMALL(IF(#REF!=$J$6,ROW(#REF!)),ROW(12:12)) - 1,2)), "", INDEX(#REF!,SMALL(IF(#REF!=$J$6,ROW(#REF!)),ROW(12:12)) - 1,2))</f>
        <v/>
      </c>
      <c r="I18" s="160"/>
      <c r="J18" s="159" t="str">
        <f t="array" ref="J18">IF(ISERROR(INDEX(#REF!,SMALL(IF(#REF!=$J$6,ROW(#REF!)),ROW(12:12)) - 1,3)), "", INDEX(#REF!,SMALL(IF(#REF!=$J$6,ROW(#REF!)),ROW(12:12)) - 1,3))</f>
        <v/>
      </c>
      <c r="Q18" s="160"/>
      <c r="R18" s="159" t="str">
        <f t="array" ref="R18">IF(ISERROR(INDEX(#REF!,SMALL(IF(#REF!=$J$6,ROW(#REF!)),ROW(12:12)) - 1,4)), "", CONCATENATE("$ ", INDEX(#REF!,SMALL(IF(#REF!=$J$6,ROW(#REF!)),ROW(12:12)) - 1,4)))</f>
        <v/>
      </c>
      <c r="Y18" s="160"/>
    </row>
    <row r="19" spans="1:32" s="1" customFormat="1" x14ac:dyDescent="0.25">
      <c r="B19" s="159" t="str">
        <f t="array" ref="B19">IF(ISERROR(INDEX(#REF!,SMALL(IF(#REF!=$J$6,ROW(#REF!)),ROW(13:13)) - 1,2)), "", INDEX(#REF!,SMALL(IF(#REF!=$J$6,ROW(#REF!)),ROW(13:13)) - 1,2))</f>
        <v/>
      </c>
      <c r="I19" s="160"/>
      <c r="J19" s="159" t="str">
        <f t="array" ref="J19">IF(ISERROR(INDEX(#REF!,SMALL(IF(#REF!=$J$6,ROW(#REF!)),ROW(13:13)) - 1,3)), "", INDEX(#REF!,SMALL(IF(#REF!=$J$6,ROW(#REF!)),ROW(13:13)) - 1,3))</f>
        <v/>
      </c>
      <c r="Q19" s="160"/>
      <c r="R19" s="159" t="str">
        <f t="array" ref="R19">IF(ISERROR(INDEX(#REF!,SMALL(IF(#REF!=$J$6,ROW(#REF!)),ROW(13:13)) - 1,4)), "", CONCATENATE("$ ", INDEX(#REF!,SMALL(IF(#REF!=$J$6,ROW(#REF!)),ROW(13:13)) - 1,4)))</f>
        <v/>
      </c>
      <c r="Y19" s="160"/>
    </row>
    <row r="20" spans="1:32" s="1" customFormat="1" x14ac:dyDescent="0.25">
      <c r="B20" s="159" t="str">
        <f t="array" ref="B20">IF(ISERROR(INDEX(#REF!,SMALL(IF(#REF!=$J$6,ROW(#REF!)),ROW(14:14)) - 1,2)), "", INDEX(#REF!,SMALL(IF(#REF!=$J$6,ROW(#REF!)),ROW(14:14)) - 1,2))</f>
        <v/>
      </c>
      <c r="I20" s="160"/>
      <c r="J20" s="159" t="str">
        <f t="array" ref="J20">IF(ISERROR(INDEX(#REF!,SMALL(IF(#REF!=$J$6,ROW(#REF!)),ROW(14:14)) - 1,3)), "", INDEX(#REF!,SMALL(IF(#REF!=$J$6,ROW(#REF!)),ROW(14:14)) - 1,3))</f>
        <v/>
      </c>
      <c r="Q20" s="160"/>
      <c r="R20" s="159" t="str">
        <f t="array" ref="R20">IF(ISERROR(INDEX(#REF!,SMALL(IF(#REF!=$J$6,ROW(#REF!)),ROW(14:14)) - 1,4)), "", CONCATENATE("$ ", INDEX(#REF!,SMALL(IF(#REF!=$J$6,ROW(#REF!)),ROW(14:14)) - 1,4)))</f>
        <v/>
      </c>
      <c r="Y20" s="160"/>
    </row>
    <row r="21" spans="1:32" s="1" customFormat="1" ht="15.75" thickBot="1" x14ac:dyDescent="0.3">
      <c r="B21" s="161" t="str">
        <f t="array" ref="B21">IF(ISERROR(INDEX(#REF!,SMALL(IF(#REF!=$J$6,ROW(#REF!)),ROW(15:15)) - 1,2)), "", INDEX(#REF!,SMALL(IF(#REF!=$J$6,ROW(#REF!)),ROW(15:15)) - 1,2))</f>
        <v/>
      </c>
      <c r="C21" s="162"/>
      <c r="D21" s="162"/>
      <c r="E21" s="162"/>
      <c r="F21" s="162"/>
      <c r="G21" s="162"/>
      <c r="H21" s="162"/>
      <c r="I21" s="163"/>
      <c r="J21" s="161" t="str">
        <f t="array" ref="J21">IF(ISERROR(INDEX(#REF!,SMALL(IF(#REF!=$J$6,ROW(#REF!)),ROW(15:15)) - 1,3)), "", INDEX(#REF!,SMALL(IF(#REF!=$J$6,ROW(#REF!)),ROW(15:15)) - 1,3))</f>
        <v/>
      </c>
      <c r="K21" s="162"/>
      <c r="L21" s="162"/>
      <c r="M21" s="162"/>
      <c r="N21" s="162"/>
      <c r="O21" s="162"/>
      <c r="P21" s="162"/>
      <c r="Q21" s="163"/>
      <c r="R21" s="161" t="str">
        <f t="array" ref="R21">IF(ISERROR(INDEX(#REF!,SMALL(IF(#REF!=$J$6,ROW(#REF!)),ROW(15:15)) - 1,4)), "", CONCATENATE("$ ", INDEX(#REF!,SMALL(IF(#REF!=$J$6,ROW(#REF!)),ROW(15:15)) - 1,4)))</f>
        <v/>
      </c>
      <c r="S21" s="162"/>
      <c r="T21" s="162"/>
      <c r="U21" s="162"/>
      <c r="V21" s="162"/>
      <c r="W21" s="162"/>
      <c r="X21" s="162"/>
      <c r="Y21" s="163"/>
    </row>
    <row r="22" spans="1:32" s="1" customFormat="1" ht="14.45" customHeight="1" x14ac:dyDescent="0.25"/>
    <row r="23" spans="1:32" s="1" customFormat="1" x14ac:dyDescent="0.25">
      <c r="A23" s="1582" t="s">
        <v>9</v>
      </c>
      <c r="B23" s="1582"/>
      <c r="C23" s="1582"/>
      <c r="D23" s="1582"/>
      <c r="E23" s="1582"/>
      <c r="F23" s="1582"/>
      <c r="G23" s="1582"/>
      <c r="H23" s="1582"/>
      <c r="I23" s="1582"/>
      <c r="J23" s="1582"/>
      <c r="K23" s="1582"/>
      <c r="L23" s="1582"/>
      <c r="M23" s="1582"/>
      <c r="N23" s="1582"/>
      <c r="O23" s="1582"/>
      <c r="P23" s="1582"/>
      <c r="Q23" s="1582"/>
      <c r="R23" s="1582"/>
      <c r="S23" s="1582"/>
      <c r="T23" s="1582"/>
      <c r="U23" s="1582"/>
      <c r="V23" s="1582"/>
      <c r="W23" s="1582"/>
      <c r="X23" s="1582"/>
      <c r="Y23" s="1582"/>
      <c r="Z23" s="1582"/>
      <c r="AA23" s="1582"/>
      <c r="AB23" s="1582"/>
      <c r="AC23" s="1582"/>
      <c r="AD23" s="1582"/>
      <c r="AE23" s="1582"/>
      <c r="AF23" s="1582"/>
    </row>
    <row r="24" spans="1:32" s="1" customFormat="1" x14ac:dyDescent="0.25">
      <c r="B24" s="1475" t="s">
        <v>10</v>
      </c>
      <c r="C24" s="1475"/>
      <c r="D24" s="1475"/>
      <c r="E24" s="1475"/>
      <c r="F24" s="1475"/>
      <c r="G24" s="1475"/>
      <c r="H24" s="1475"/>
      <c r="I24" s="1475"/>
    </row>
    <row r="25" spans="1:32" s="4" customFormat="1" ht="14.45" customHeight="1" x14ac:dyDescent="0.25">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s="1" customFormat="1" x14ac:dyDescent="0.25"/>
    <row r="27" spans="1:32" s="1" customFormat="1" x14ac:dyDescent="0.25">
      <c r="B27" s="1475" t="s">
        <v>11</v>
      </c>
      <c r="C27" s="1475"/>
      <c r="D27" s="1475"/>
      <c r="E27" s="1475"/>
      <c r="F27" s="1475"/>
      <c r="G27" s="1475"/>
      <c r="H27" s="1475"/>
      <c r="I27" s="1475"/>
    </row>
    <row r="28" spans="1:32" s="1" customFormat="1" ht="28.9" customHeight="1" x14ac:dyDescent="0.25">
      <c r="B28" s="1151" t="s">
        <v>701</v>
      </c>
      <c r="C28" s="1473"/>
      <c r="D28" s="1473"/>
      <c r="E28" s="1473"/>
      <c r="F28" s="1473"/>
      <c r="G28" s="1473"/>
      <c r="H28" s="1473"/>
      <c r="I28" s="1473"/>
      <c r="J28" s="1473"/>
      <c r="K28" s="1473"/>
      <c r="L28" s="1473"/>
      <c r="M28" s="1473"/>
      <c r="N28" s="1473"/>
      <c r="O28" s="1473"/>
      <c r="P28" s="1473"/>
      <c r="Q28" s="1473"/>
      <c r="R28" s="1473"/>
      <c r="S28" s="1473"/>
      <c r="T28" s="1473"/>
      <c r="U28" s="1473"/>
      <c r="V28" s="1473"/>
      <c r="W28" s="1473"/>
      <c r="X28" s="1473"/>
      <c r="Y28" s="1473"/>
      <c r="Z28" s="1473"/>
      <c r="AA28" s="1473"/>
      <c r="AB28" s="1473"/>
      <c r="AC28" s="1473"/>
      <c r="AD28" s="1473"/>
      <c r="AE28" s="1473"/>
      <c r="AF28" s="1473"/>
    </row>
    <row r="29" spans="1:32" s="1" customFormat="1" x14ac:dyDescent="0.25"/>
    <row r="30" spans="1:32" s="1" customFormat="1" x14ac:dyDescent="0.25">
      <c r="B30" s="1475" t="s">
        <v>12</v>
      </c>
      <c r="C30" s="1475"/>
      <c r="D30" s="1475"/>
      <c r="E30" s="1475"/>
      <c r="F30" s="1475"/>
      <c r="G30" s="1475"/>
      <c r="H30" s="1475"/>
      <c r="I30" s="1475"/>
    </row>
    <row r="31" spans="1:32" s="1" customFormat="1" x14ac:dyDescent="0.25">
      <c r="B31" s="1473" t="s">
        <v>698</v>
      </c>
      <c r="C31" s="1473"/>
      <c r="D31" s="1473"/>
      <c r="E31" s="1473"/>
      <c r="F31" s="1473"/>
      <c r="G31" s="1473"/>
      <c r="H31" s="1473"/>
      <c r="I31" s="1473"/>
      <c r="J31" s="1473"/>
      <c r="K31" s="1473"/>
      <c r="L31" s="1473"/>
      <c r="M31" s="1473"/>
      <c r="N31" s="1473"/>
      <c r="O31" s="1473"/>
      <c r="P31" s="1473"/>
      <c r="Q31" s="1473"/>
      <c r="R31" s="1473"/>
      <c r="S31" s="1473"/>
      <c r="T31" s="1473"/>
      <c r="U31" s="1473"/>
      <c r="V31" s="1473"/>
      <c r="W31" s="1473"/>
      <c r="X31" s="1473"/>
      <c r="Y31" s="1473"/>
      <c r="Z31" s="1473"/>
      <c r="AA31" s="1473"/>
      <c r="AB31" s="1473"/>
      <c r="AC31" s="1473"/>
      <c r="AD31" s="1473"/>
      <c r="AE31" s="1473"/>
      <c r="AF31" s="1473"/>
    </row>
    <row r="32" spans="1:32" s="1" customFormat="1" x14ac:dyDescent="0.25"/>
    <row r="33" spans="1:32" s="1" customFormat="1" x14ac:dyDescent="0.25">
      <c r="B33" s="1475" t="s">
        <v>13</v>
      </c>
      <c r="C33" s="1475"/>
      <c r="D33" s="1475"/>
      <c r="E33" s="1475"/>
      <c r="F33" s="1475"/>
      <c r="G33" s="1475"/>
      <c r="H33" s="1475"/>
      <c r="I33" s="1475"/>
    </row>
    <row r="34" spans="1:32" s="4" customFormat="1" ht="14.45" customHeight="1" x14ac:dyDescent="0.25">
      <c r="B34" s="1" t="s">
        <v>699</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row r="35" spans="1:32" s="1" customFormat="1" x14ac:dyDescent="0.25"/>
    <row r="36" spans="1:32" s="1" customFormat="1" x14ac:dyDescent="0.25">
      <c r="B36" s="1475" t="s">
        <v>20</v>
      </c>
      <c r="C36" s="1475"/>
      <c r="D36" s="1475"/>
      <c r="E36" s="1475"/>
      <c r="F36" s="1475"/>
      <c r="G36" s="1475"/>
      <c r="H36" s="1475"/>
      <c r="I36" s="1475"/>
    </row>
    <row r="37" spans="1:32" s="4" customFormat="1" ht="28.9" customHeight="1" x14ac:dyDescent="0.25">
      <c r="B37" s="1151" t="s">
        <v>700</v>
      </c>
      <c r="C37" s="1151"/>
      <c r="D37" s="1151"/>
      <c r="E37" s="1151"/>
      <c r="F37" s="1151"/>
      <c r="G37" s="1151"/>
      <c r="H37" s="1151"/>
      <c r="I37" s="1151"/>
      <c r="J37" s="1151"/>
      <c r="K37" s="1151"/>
      <c r="L37" s="1151"/>
      <c r="M37" s="1151"/>
      <c r="N37" s="1151"/>
      <c r="O37" s="1151"/>
      <c r="P37" s="1151"/>
      <c r="Q37" s="1151"/>
      <c r="R37" s="1151"/>
      <c r="S37" s="1151"/>
      <c r="T37" s="1151"/>
      <c r="U37" s="1151"/>
      <c r="V37" s="1151"/>
      <c r="W37" s="1151"/>
      <c r="X37" s="1151"/>
      <c r="Y37" s="1151"/>
      <c r="Z37" s="1151"/>
      <c r="AA37" s="1151"/>
      <c r="AB37" s="1151"/>
      <c r="AC37" s="1151"/>
      <c r="AD37" s="1151"/>
      <c r="AE37" s="1151"/>
      <c r="AF37" s="1151"/>
    </row>
    <row r="38" spans="1:32" s="1" customFormat="1" x14ac:dyDescent="0.25"/>
    <row r="39" spans="1:32" s="1" customFormat="1" x14ac:dyDescent="0.25"/>
    <row r="40" spans="1:32" s="1" customFormat="1" x14ac:dyDescent="0.25">
      <c r="A40" s="1582" t="s">
        <v>14</v>
      </c>
      <c r="B40" s="1582"/>
      <c r="C40" s="1582"/>
      <c r="D40" s="1582"/>
      <c r="E40" s="1582"/>
      <c r="F40" s="1582"/>
      <c r="G40" s="1582"/>
      <c r="H40" s="1582"/>
      <c r="I40" s="1582"/>
      <c r="J40" s="1582"/>
      <c r="K40" s="1582"/>
      <c r="L40" s="1582"/>
      <c r="M40" s="1582"/>
      <c r="N40" s="1582"/>
      <c r="O40" s="1582"/>
      <c r="P40" s="1582"/>
      <c r="Q40" s="1582"/>
      <c r="R40" s="1582"/>
      <c r="S40" s="1582"/>
      <c r="T40" s="1582"/>
      <c r="U40" s="1582"/>
      <c r="V40" s="1582"/>
      <c r="W40" s="1582"/>
      <c r="X40" s="1582"/>
      <c r="Y40" s="1582"/>
      <c r="Z40" s="1582"/>
      <c r="AA40" s="1582"/>
      <c r="AB40" s="1582"/>
      <c r="AC40" s="1582"/>
      <c r="AD40" s="1582"/>
      <c r="AE40" s="1582"/>
      <c r="AF40" s="1582"/>
    </row>
    <row r="41" spans="1:32" x14ac:dyDescent="0.25">
      <c r="A41" s="18" t="s">
        <v>323</v>
      </c>
      <c r="B41" s="40" t="s">
        <v>356</v>
      </c>
      <c r="C41" s="41"/>
      <c r="D41" s="41"/>
    </row>
    <row r="42" spans="1:32" x14ac:dyDescent="0.25">
      <c r="A42" s="18" t="s">
        <v>324</v>
      </c>
      <c r="B42" s="40" t="s">
        <v>357</v>
      </c>
      <c r="C42" s="41"/>
      <c r="D42" s="41"/>
    </row>
    <row r="43" spans="1:32" x14ac:dyDescent="0.25">
      <c r="A43" s="18" t="s">
        <v>329</v>
      </c>
      <c r="B43" s="40" t="s">
        <v>358</v>
      </c>
      <c r="C43" s="41"/>
      <c r="D43" s="41"/>
    </row>
    <row r="44" spans="1:32" x14ac:dyDescent="0.25">
      <c r="A44" s="18" t="s">
        <v>359</v>
      </c>
      <c r="B44" s="40" t="s">
        <v>360</v>
      </c>
      <c r="C44" s="41"/>
      <c r="D44" s="41"/>
    </row>
    <row r="45" spans="1:32" x14ac:dyDescent="0.25">
      <c r="A45" s="18"/>
      <c r="B45" s="19"/>
    </row>
    <row r="46" spans="1:32" x14ac:dyDescent="0.25">
      <c r="A46" s="18" t="s">
        <v>325</v>
      </c>
      <c r="B46" s="41"/>
    </row>
    <row r="47" spans="1:32" x14ac:dyDescent="0.25">
      <c r="A47" s="18"/>
    </row>
    <row r="48" spans="1:32" ht="15.75" x14ac:dyDescent="0.25">
      <c r="A48" s="21" t="s">
        <v>15</v>
      </c>
      <c r="D48" s="37" t="s">
        <v>232</v>
      </c>
      <c r="E48" s="23" t="s">
        <v>19</v>
      </c>
      <c r="F48" s="23"/>
    </row>
    <row r="49" spans="1:8" x14ac:dyDescent="0.25">
      <c r="A49" s="18" t="s">
        <v>361</v>
      </c>
      <c r="B49" s="3881" t="s">
        <v>362</v>
      </c>
      <c r="C49" s="3881"/>
      <c r="D49" s="38" t="s">
        <v>326</v>
      </c>
    </row>
    <row r="50" spans="1:8" x14ac:dyDescent="0.25">
      <c r="A50" s="18" t="s">
        <v>363</v>
      </c>
      <c r="B50" s="3881" t="s">
        <v>364</v>
      </c>
      <c r="C50" s="3881"/>
      <c r="D50" s="38" t="s">
        <v>326</v>
      </c>
    </row>
    <row r="51" spans="1:8" x14ac:dyDescent="0.25">
      <c r="A51" s="18" t="s">
        <v>365</v>
      </c>
      <c r="B51" s="3881" t="s">
        <v>366</v>
      </c>
      <c r="C51" s="3881"/>
      <c r="D51" s="38" t="s">
        <v>326</v>
      </c>
    </row>
    <row r="52" spans="1:8" x14ac:dyDescent="0.25">
      <c r="A52" s="18" t="s">
        <v>367</v>
      </c>
      <c r="B52" s="3881" t="s">
        <v>368</v>
      </c>
      <c r="C52" s="3881"/>
      <c r="D52" s="38" t="s">
        <v>326</v>
      </c>
    </row>
    <row r="53" spans="1:8" x14ac:dyDescent="0.25">
      <c r="A53" s="18" t="s">
        <v>29</v>
      </c>
      <c r="B53" s="3882" t="s">
        <v>369</v>
      </c>
      <c r="C53" s="3882"/>
      <c r="D53" s="35">
        <v>1</v>
      </c>
    </row>
    <row r="54" spans="1:8" x14ac:dyDescent="0.25">
      <c r="A54" s="18" t="s">
        <v>32</v>
      </c>
      <c r="B54" s="3882" t="s">
        <v>327</v>
      </c>
      <c r="C54" s="3882"/>
      <c r="D54" s="36">
        <v>8760</v>
      </c>
    </row>
    <row r="55" spans="1:8" x14ac:dyDescent="0.25">
      <c r="A55" s="18" t="s">
        <v>34</v>
      </c>
      <c r="B55" s="3883" t="s">
        <v>219</v>
      </c>
      <c r="C55" s="3883"/>
      <c r="D55" s="35">
        <v>15</v>
      </c>
      <c r="E55" t="s">
        <v>36</v>
      </c>
    </row>
    <row r="56" spans="1:8" x14ac:dyDescent="0.25">
      <c r="A56" s="18" t="s">
        <v>370</v>
      </c>
      <c r="B56" t="s">
        <v>371</v>
      </c>
    </row>
    <row r="57" spans="1:8" x14ac:dyDescent="0.25">
      <c r="A57" s="18" t="s">
        <v>372</v>
      </c>
      <c r="B57" s="42" t="s">
        <v>373</v>
      </c>
    </row>
    <row r="58" spans="1:8" x14ac:dyDescent="0.25">
      <c r="A58" s="18" t="s">
        <v>374</v>
      </c>
      <c r="B58" s="25" t="s">
        <v>375</v>
      </c>
    </row>
    <row r="62" spans="1:8" ht="18.75" x14ac:dyDescent="0.3">
      <c r="B62" s="24" t="s">
        <v>376</v>
      </c>
      <c r="C62" s="24"/>
      <c r="D62" s="24"/>
      <c r="E62" s="24"/>
      <c r="F62" s="24"/>
      <c r="G62" s="24"/>
      <c r="H62" s="24"/>
    </row>
    <row r="64" spans="1:8" ht="60" x14ac:dyDescent="0.25">
      <c r="B64" s="43" t="s">
        <v>377</v>
      </c>
      <c r="C64" s="3875" t="s">
        <v>378</v>
      </c>
      <c r="D64" s="3875"/>
      <c r="E64" s="44" t="s">
        <v>379</v>
      </c>
      <c r="F64" s="44" t="s">
        <v>380</v>
      </c>
    </row>
    <row r="65" spans="1:10" x14ac:dyDescent="0.25">
      <c r="B65" s="26"/>
      <c r="C65" s="26" t="s">
        <v>129</v>
      </c>
      <c r="D65" s="26" t="s">
        <v>381</v>
      </c>
      <c r="E65" s="26" t="s">
        <v>382</v>
      </c>
      <c r="F65" s="26" t="s">
        <v>381</v>
      </c>
    </row>
    <row r="66" spans="1:10" x14ac:dyDescent="0.25">
      <c r="B66" s="26">
        <v>15</v>
      </c>
      <c r="C66" s="45">
        <v>1058</v>
      </c>
      <c r="D66" s="45">
        <v>740</v>
      </c>
      <c r="E66" s="46">
        <f t="shared" ref="E66:E71" si="0">C66-D66</f>
        <v>318</v>
      </c>
      <c r="F66" s="27">
        <v>3.6187214611872145E-2</v>
      </c>
    </row>
    <row r="67" spans="1:10" x14ac:dyDescent="0.25">
      <c r="B67" s="26">
        <v>25</v>
      </c>
      <c r="C67" s="45">
        <v>1533</v>
      </c>
      <c r="D67" s="45">
        <v>1073</v>
      </c>
      <c r="E67" s="46">
        <f t="shared" si="0"/>
        <v>460</v>
      </c>
      <c r="F67" s="27">
        <v>5.2511415525114152E-2</v>
      </c>
    </row>
    <row r="68" spans="1:10" x14ac:dyDescent="0.25">
      <c r="B68" s="26">
        <v>37.5</v>
      </c>
      <c r="C68" s="45">
        <v>2070</v>
      </c>
      <c r="D68" s="45">
        <v>1449</v>
      </c>
      <c r="E68" s="46">
        <f t="shared" si="0"/>
        <v>621</v>
      </c>
      <c r="F68" s="27">
        <v>7.089041095890411E-2</v>
      </c>
    </row>
    <row r="69" spans="1:10" x14ac:dyDescent="0.25">
      <c r="B69" s="26">
        <v>50</v>
      </c>
      <c r="C69" s="45">
        <v>2606</v>
      </c>
      <c r="D69" s="45">
        <v>1824</v>
      </c>
      <c r="E69" s="46">
        <f t="shared" si="0"/>
        <v>782</v>
      </c>
      <c r="F69" s="27">
        <v>8.9269406392694067E-2</v>
      </c>
    </row>
    <row r="70" spans="1:10" x14ac:dyDescent="0.25">
      <c r="B70" s="26">
        <v>75</v>
      </c>
      <c r="C70" s="45">
        <v>3449</v>
      </c>
      <c r="D70" s="45">
        <v>2414</v>
      </c>
      <c r="E70" s="46">
        <f t="shared" si="0"/>
        <v>1035</v>
      </c>
      <c r="F70" s="27">
        <v>0.11815068493150685</v>
      </c>
    </row>
    <row r="71" spans="1:10" ht="14.45" customHeight="1" x14ac:dyDescent="0.25">
      <c r="B71" s="26">
        <v>100</v>
      </c>
      <c r="C71" s="45">
        <v>4292</v>
      </c>
      <c r="D71" s="45">
        <v>3005</v>
      </c>
      <c r="E71" s="46">
        <f t="shared" si="0"/>
        <v>1287</v>
      </c>
      <c r="F71" s="27">
        <v>0.14703196347031963</v>
      </c>
    </row>
    <row r="72" spans="1:10" x14ac:dyDescent="0.25">
      <c r="B72" s="47">
        <v>150</v>
      </c>
      <c r="C72" s="48">
        <f>$C71+($B72-$B71)*(C73-C71)/($B73-$B71)</f>
        <v>6056.1791044776119</v>
      </c>
      <c r="D72" s="48">
        <f>D71+($B72-$B71)*(D73-D71)/($B73-$B71)</f>
        <v>4239.3283582089553</v>
      </c>
      <c r="E72" s="48">
        <f>C72-D72</f>
        <v>1816.8507462686566</v>
      </c>
      <c r="F72" s="49">
        <f>F71+($B72-$B71)*(F73-F71)/($B73-$B71)</f>
        <v>0.20743201799223063</v>
      </c>
      <c r="G72" s="34" t="s">
        <v>383</v>
      </c>
    </row>
    <row r="73" spans="1:10" x14ac:dyDescent="0.25">
      <c r="B73" s="26">
        <v>167</v>
      </c>
      <c r="C73" s="45">
        <v>6656</v>
      </c>
      <c r="D73" s="45">
        <v>4659</v>
      </c>
      <c r="E73" s="46">
        <f>C73-D73</f>
        <v>1997</v>
      </c>
      <c r="F73" s="27">
        <v>0.22796803652968037</v>
      </c>
    </row>
    <row r="74" spans="1:10" x14ac:dyDescent="0.25">
      <c r="B74" s="26">
        <v>250</v>
      </c>
      <c r="C74" s="45">
        <v>9198</v>
      </c>
      <c r="D74" s="45">
        <v>6439</v>
      </c>
      <c r="E74" s="46">
        <f>C74-D74</f>
        <v>2759</v>
      </c>
      <c r="F74" s="27">
        <v>0.31495433789954336</v>
      </c>
    </row>
    <row r="75" spans="1:10" ht="15.75" x14ac:dyDescent="0.25">
      <c r="A75" s="21"/>
      <c r="B75" s="26">
        <v>333</v>
      </c>
      <c r="C75" s="45">
        <v>11231</v>
      </c>
      <c r="D75" s="45">
        <v>7862</v>
      </c>
      <c r="E75" s="46">
        <f>C75-D75</f>
        <v>3369</v>
      </c>
      <c r="F75" s="27">
        <v>0.38458904109589043</v>
      </c>
    </row>
    <row r="78" spans="1:10" ht="18.75" x14ac:dyDescent="0.3">
      <c r="B78" s="24" t="s">
        <v>384</v>
      </c>
    </row>
    <row r="80" spans="1:10" ht="61.9" customHeight="1" x14ac:dyDescent="0.25">
      <c r="B80" s="43" t="s">
        <v>377</v>
      </c>
      <c r="C80" s="50"/>
      <c r="D80" s="43" t="s">
        <v>378</v>
      </c>
      <c r="E80" s="43"/>
      <c r="F80" s="51" t="s">
        <v>385</v>
      </c>
      <c r="G80" s="52"/>
      <c r="H80" s="44" t="s">
        <v>386</v>
      </c>
      <c r="I80" s="44"/>
      <c r="J80" s="53" t="s">
        <v>387</v>
      </c>
    </row>
    <row r="81" spans="1:10" x14ac:dyDescent="0.25">
      <c r="B81" s="43"/>
      <c r="C81" s="43" t="s">
        <v>129</v>
      </c>
      <c r="D81" s="43" t="s">
        <v>381</v>
      </c>
      <c r="E81" s="43" t="s">
        <v>388</v>
      </c>
      <c r="F81" s="43" t="s">
        <v>381</v>
      </c>
      <c r="G81" s="43" t="s">
        <v>388</v>
      </c>
      <c r="H81" s="43" t="s">
        <v>381</v>
      </c>
      <c r="I81" s="43" t="s">
        <v>388</v>
      </c>
      <c r="J81" s="54"/>
    </row>
    <row r="82" spans="1:10" x14ac:dyDescent="0.25">
      <c r="B82" s="26">
        <v>15</v>
      </c>
      <c r="C82" s="45">
        <v>1380</v>
      </c>
      <c r="D82" s="45">
        <v>966</v>
      </c>
      <c r="E82" s="45">
        <v>736</v>
      </c>
      <c r="F82" s="45">
        <f t="shared" ref="F82:F94" si="1">C82-D82</f>
        <v>414</v>
      </c>
      <c r="G82" s="45">
        <f t="shared" ref="G82:G94" si="2">C82-E82</f>
        <v>644</v>
      </c>
      <c r="H82" s="27">
        <v>4.726027397260274E-2</v>
      </c>
      <c r="I82" s="27">
        <v>7.3515981735159816E-2</v>
      </c>
      <c r="J82" s="55">
        <v>448</v>
      </c>
    </row>
    <row r="83" spans="1:10" x14ac:dyDescent="0.25">
      <c r="B83" s="56">
        <v>25</v>
      </c>
      <c r="C83" s="48">
        <f>C82+($B83-$B82)*(C84-C82)/($B84-$B82)</f>
        <v>1993.3333333333335</v>
      </c>
      <c r="D83" s="48">
        <f>D82+($B83-$B82)*(D84-D82)/($B84-$B82)</f>
        <v>1395.3333333333333</v>
      </c>
      <c r="E83" s="48">
        <f>E82+($B83-$B82)*(E84-E82)/($B84-$B82)</f>
        <v>1073.3333333333333</v>
      </c>
      <c r="F83" s="57">
        <f t="shared" si="1"/>
        <v>598.00000000000023</v>
      </c>
      <c r="G83" s="57">
        <f t="shared" si="2"/>
        <v>920.00000000000023</v>
      </c>
      <c r="H83" s="49">
        <f>H82+($B83-$B82)*(H84-H82)/($B84-$B82)</f>
        <v>6.826484018264839E-2</v>
      </c>
      <c r="I83" s="49">
        <f>I82+($B83-$B82)*(I84-I82)/($B84-$B82)</f>
        <v>0.1050228310502283</v>
      </c>
      <c r="J83" s="58">
        <f>J82+($B83-$B82)*(J84-J82)/($B84-$B82)</f>
        <v>687.33333333333337</v>
      </c>
    </row>
    <row r="84" spans="1:10" x14ac:dyDescent="0.25">
      <c r="B84" s="26">
        <v>30</v>
      </c>
      <c r="C84" s="45">
        <v>2300</v>
      </c>
      <c r="D84" s="45">
        <v>1610</v>
      </c>
      <c r="E84" s="45">
        <v>1242</v>
      </c>
      <c r="F84" s="45">
        <f t="shared" si="1"/>
        <v>690</v>
      </c>
      <c r="G84" s="45">
        <f t="shared" si="2"/>
        <v>1058</v>
      </c>
      <c r="H84" s="27">
        <v>7.8767123287671229E-2</v>
      </c>
      <c r="I84" s="27">
        <v>0.12077625570776256</v>
      </c>
      <c r="J84" s="55">
        <v>807</v>
      </c>
    </row>
    <row r="85" spans="1:10" x14ac:dyDescent="0.25">
      <c r="B85" s="26">
        <v>45</v>
      </c>
      <c r="C85" s="45">
        <v>3173</v>
      </c>
      <c r="D85" s="45">
        <v>2221</v>
      </c>
      <c r="E85" s="45">
        <v>1683</v>
      </c>
      <c r="F85" s="45">
        <f t="shared" si="1"/>
        <v>952</v>
      </c>
      <c r="G85" s="45">
        <f t="shared" si="2"/>
        <v>1490</v>
      </c>
      <c r="H85" s="27">
        <v>0.10867579908675799</v>
      </c>
      <c r="I85" s="27">
        <v>0.17009132420091325</v>
      </c>
      <c r="J85" s="55">
        <v>851</v>
      </c>
    </row>
    <row r="86" spans="1:10" x14ac:dyDescent="0.25">
      <c r="B86" s="26">
        <v>75</v>
      </c>
      <c r="C86" s="45">
        <v>4599</v>
      </c>
      <c r="D86" s="45">
        <v>3219</v>
      </c>
      <c r="E86" s="45">
        <v>2460</v>
      </c>
      <c r="F86" s="45">
        <f t="shared" si="1"/>
        <v>1380</v>
      </c>
      <c r="G86" s="45">
        <f t="shared" si="2"/>
        <v>2139</v>
      </c>
      <c r="H86" s="27">
        <v>0.15753424657534246</v>
      </c>
      <c r="I86" s="27">
        <v>0.24417808219178083</v>
      </c>
      <c r="J86" s="55">
        <v>1115</v>
      </c>
    </row>
    <row r="87" spans="1:10" x14ac:dyDescent="0.25">
      <c r="B87" s="26">
        <v>112.5</v>
      </c>
      <c r="C87" s="45">
        <v>6209</v>
      </c>
      <c r="D87" s="45">
        <v>4346</v>
      </c>
      <c r="E87" s="45">
        <v>3346</v>
      </c>
      <c r="F87" s="45">
        <f t="shared" si="1"/>
        <v>1863</v>
      </c>
      <c r="G87" s="45">
        <f t="shared" si="2"/>
        <v>2863</v>
      </c>
      <c r="H87" s="27">
        <v>0.21267123287671233</v>
      </c>
      <c r="I87" s="27">
        <v>0.32682648401826486</v>
      </c>
      <c r="J87" s="55">
        <v>2144</v>
      </c>
    </row>
    <row r="88" spans="1:10" x14ac:dyDescent="0.25">
      <c r="B88" s="26">
        <v>150</v>
      </c>
      <c r="C88" s="45">
        <v>7818</v>
      </c>
      <c r="D88" s="45">
        <v>5473</v>
      </c>
      <c r="E88" s="45">
        <v>4139</v>
      </c>
      <c r="F88" s="45">
        <f t="shared" si="1"/>
        <v>2345</v>
      </c>
      <c r="G88" s="45">
        <f t="shared" si="2"/>
        <v>3679</v>
      </c>
      <c r="H88" s="27">
        <v>0.26769406392694062</v>
      </c>
      <c r="I88" s="27">
        <v>0.41997716894977166</v>
      </c>
      <c r="J88" s="55">
        <v>2740</v>
      </c>
    </row>
    <row r="89" spans="1:10" x14ac:dyDescent="0.25">
      <c r="B89" s="26">
        <v>225</v>
      </c>
      <c r="C89" s="45">
        <v>10348</v>
      </c>
      <c r="D89" s="45">
        <v>7243</v>
      </c>
      <c r="E89" s="45">
        <v>4139</v>
      </c>
      <c r="F89" s="45">
        <f t="shared" si="1"/>
        <v>3105</v>
      </c>
      <c r="G89" s="45">
        <f t="shared" si="2"/>
        <v>6209</v>
      </c>
      <c r="H89" s="27">
        <v>0.35433789954337902</v>
      </c>
      <c r="I89" s="27">
        <v>0.7087899543378996</v>
      </c>
      <c r="J89" s="55">
        <v>3617</v>
      </c>
    </row>
    <row r="90" spans="1:10" x14ac:dyDescent="0.25">
      <c r="B90" s="26">
        <v>300</v>
      </c>
      <c r="C90" s="45">
        <v>12877</v>
      </c>
      <c r="D90" s="45">
        <v>9014</v>
      </c>
      <c r="E90" s="45">
        <v>5151</v>
      </c>
      <c r="F90" s="45">
        <f t="shared" si="1"/>
        <v>3863</v>
      </c>
      <c r="G90" s="45">
        <f t="shared" si="2"/>
        <v>7726</v>
      </c>
      <c r="H90" s="27">
        <v>0.44098173515981737</v>
      </c>
      <c r="I90" s="27">
        <v>0.88196347031963473</v>
      </c>
      <c r="J90" s="55">
        <v>5078</v>
      </c>
    </row>
    <row r="91" spans="1:10" x14ac:dyDescent="0.25">
      <c r="B91" s="59">
        <v>450</v>
      </c>
      <c r="C91" s="48">
        <f>C90+($B91-$B90)*(C92-C90)/($B92-$B90)</f>
        <v>18166</v>
      </c>
      <c r="D91" s="48">
        <f>D90+($B91-$B90)*(D92-D90)/($B92-$B90)</f>
        <v>12716</v>
      </c>
      <c r="E91" s="48">
        <f>E90+($B91-$B90)*(E92-E90)/($B92-$B90)</f>
        <v>6921.75</v>
      </c>
      <c r="F91" s="60">
        <f t="shared" si="1"/>
        <v>5450</v>
      </c>
      <c r="G91" s="60">
        <f t="shared" si="2"/>
        <v>11244.25</v>
      </c>
      <c r="H91" s="49">
        <f>H90+($B91-$B90)*(H92-H90)/($B92-$B90)</f>
        <v>0.62214611872146119</v>
      </c>
      <c r="I91" s="49">
        <f>I90+($B91-$B90)*(I92-I90)/($B92-$B90)</f>
        <v>1.283590182648402</v>
      </c>
      <c r="J91" s="58">
        <f>J90+($B91-$B90)*(J92-J90)/($B92-$B90)</f>
        <v>4880.75</v>
      </c>
    </row>
    <row r="92" spans="1:10" x14ac:dyDescent="0.25">
      <c r="B92" s="26">
        <v>500</v>
      </c>
      <c r="C92" s="45">
        <v>19929</v>
      </c>
      <c r="D92" s="45">
        <v>13950</v>
      </c>
      <c r="E92" s="45">
        <v>7512</v>
      </c>
      <c r="F92" s="45">
        <f t="shared" si="1"/>
        <v>5979</v>
      </c>
      <c r="G92" s="45">
        <f t="shared" si="2"/>
        <v>12417</v>
      </c>
      <c r="H92" s="27">
        <v>0.68253424657534245</v>
      </c>
      <c r="I92" s="27">
        <v>1.4174657534246575</v>
      </c>
      <c r="J92" s="55">
        <v>4815</v>
      </c>
    </row>
    <row r="93" spans="1:10" x14ac:dyDescent="0.25">
      <c r="B93" s="61">
        <v>750</v>
      </c>
      <c r="C93" s="46">
        <v>27594</v>
      </c>
      <c r="D93" s="46">
        <v>19316</v>
      </c>
      <c r="E93" s="46">
        <v>10118</v>
      </c>
      <c r="F93" s="46">
        <f t="shared" si="1"/>
        <v>8278</v>
      </c>
      <c r="G93" s="46">
        <f t="shared" si="2"/>
        <v>17476</v>
      </c>
      <c r="H93" s="62">
        <f>F93/8760</f>
        <v>0.94497716894977168</v>
      </c>
      <c r="I93" s="62">
        <f>G93/8760</f>
        <v>1.9949771689497717</v>
      </c>
      <c r="J93" s="33"/>
    </row>
    <row r="94" spans="1:10" x14ac:dyDescent="0.25">
      <c r="B94" s="61">
        <v>1000</v>
      </c>
      <c r="C94" s="46">
        <v>33726</v>
      </c>
      <c r="D94" s="46">
        <v>23608</v>
      </c>
      <c r="E94" s="46">
        <v>12571</v>
      </c>
      <c r="F94" s="46">
        <f t="shared" si="1"/>
        <v>10118</v>
      </c>
      <c r="G94" s="46">
        <f t="shared" si="2"/>
        <v>21155</v>
      </c>
      <c r="H94" s="62">
        <f>F94/8760</f>
        <v>1.1550228310502284</v>
      </c>
      <c r="I94" s="62">
        <f>G94/8760</f>
        <v>2.4149543378995433</v>
      </c>
      <c r="J94" s="33"/>
    </row>
    <row r="96" spans="1:10" ht="15.75" x14ac:dyDescent="0.25">
      <c r="A96" s="21" t="s">
        <v>230</v>
      </c>
    </row>
    <row r="97" spans="2:6" ht="18.75" x14ac:dyDescent="0.3">
      <c r="B97" s="24" t="s">
        <v>389</v>
      </c>
      <c r="C97" s="24"/>
    </row>
    <row r="99" spans="2:6" ht="29.45" customHeight="1" x14ac:dyDescent="0.25">
      <c r="B99" s="43" t="s">
        <v>377</v>
      </c>
      <c r="C99" s="3876" t="s">
        <v>379</v>
      </c>
      <c r="D99" s="3877"/>
      <c r="E99" s="3876" t="s">
        <v>390</v>
      </c>
      <c r="F99" s="3877"/>
    </row>
    <row r="100" spans="2:6" x14ac:dyDescent="0.25">
      <c r="B100" s="43"/>
      <c r="C100" s="43" t="s">
        <v>381</v>
      </c>
      <c r="D100" s="43" t="s">
        <v>388</v>
      </c>
      <c r="E100" s="43" t="s">
        <v>381</v>
      </c>
      <c r="F100" s="43" t="s">
        <v>388</v>
      </c>
    </row>
    <row r="101" spans="2:6" x14ac:dyDescent="0.25">
      <c r="B101" s="63" t="s">
        <v>391</v>
      </c>
      <c r="C101" s="64"/>
      <c r="D101" s="65"/>
      <c r="E101" s="64"/>
      <c r="F101" s="66"/>
    </row>
    <row r="102" spans="2:6" x14ac:dyDescent="0.25">
      <c r="B102" s="45">
        <v>15</v>
      </c>
      <c r="C102" s="45">
        <v>318</v>
      </c>
      <c r="D102" s="28"/>
      <c r="E102" s="67">
        <f>C102*0.25</f>
        <v>79.5</v>
      </c>
      <c r="F102" s="68"/>
    </row>
    <row r="103" spans="2:6" x14ac:dyDescent="0.25">
      <c r="B103" s="45">
        <v>25</v>
      </c>
      <c r="C103" s="45">
        <v>460</v>
      </c>
      <c r="D103" s="29"/>
      <c r="E103" s="67">
        <f>C103*0.25</f>
        <v>115</v>
      </c>
      <c r="F103" s="69"/>
    </row>
    <row r="104" spans="2:6" x14ac:dyDescent="0.25">
      <c r="B104" s="70">
        <v>37.5</v>
      </c>
      <c r="C104" s="45">
        <v>621</v>
      </c>
      <c r="D104" s="29"/>
      <c r="E104" s="67">
        <f>C104*0.25</f>
        <v>155.25</v>
      </c>
      <c r="F104" s="69"/>
    </row>
    <row r="105" spans="2:6" x14ac:dyDescent="0.25">
      <c r="B105" s="45">
        <v>50</v>
      </c>
      <c r="C105" s="45">
        <v>782</v>
      </c>
      <c r="D105" s="29"/>
      <c r="E105" s="67">
        <v>195</v>
      </c>
      <c r="F105" s="69"/>
    </row>
    <row r="106" spans="2:6" x14ac:dyDescent="0.25">
      <c r="B106" s="45">
        <v>75</v>
      </c>
      <c r="C106" s="45">
        <v>1035</v>
      </c>
      <c r="D106" s="29"/>
      <c r="E106" s="67">
        <v>260</v>
      </c>
      <c r="F106" s="69"/>
    </row>
    <row r="107" spans="2:6" x14ac:dyDescent="0.25">
      <c r="B107" s="45">
        <v>100</v>
      </c>
      <c r="C107" s="45">
        <v>1287</v>
      </c>
      <c r="D107" s="29"/>
      <c r="E107" s="67">
        <v>320</v>
      </c>
      <c r="F107" s="69"/>
    </row>
    <row r="108" spans="2:6" x14ac:dyDescent="0.25">
      <c r="B108" s="45">
        <v>150</v>
      </c>
      <c r="C108" s="45">
        <v>1816.8507462686566</v>
      </c>
      <c r="D108" s="29"/>
      <c r="E108" s="67">
        <v>455</v>
      </c>
      <c r="F108" s="69"/>
    </row>
    <row r="109" spans="2:6" x14ac:dyDescent="0.25">
      <c r="B109" s="45">
        <v>167</v>
      </c>
      <c r="C109" s="45">
        <v>1997</v>
      </c>
      <c r="D109" s="29"/>
      <c r="E109" s="67">
        <v>500</v>
      </c>
      <c r="F109" s="69"/>
    </row>
    <row r="110" spans="2:6" x14ac:dyDescent="0.25">
      <c r="B110" s="45">
        <v>250</v>
      </c>
      <c r="C110" s="45">
        <v>2759</v>
      </c>
      <c r="D110" s="29"/>
      <c r="E110" s="67">
        <f>C110*0.25</f>
        <v>689.75</v>
      </c>
      <c r="F110" s="69"/>
    </row>
    <row r="111" spans="2:6" x14ac:dyDescent="0.25">
      <c r="B111" s="45">
        <v>333</v>
      </c>
      <c r="C111" s="45">
        <v>3369</v>
      </c>
      <c r="D111" s="30"/>
      <c r="E111" s="67">
        <v>840</v>
      </c>
      <c r="F111" s="71"/>
    </row>
    <row r="112" spans="2:6" x14ac:dyDescent="0.25">
      <c r="B112" s="63" t="s">
        <v>392</v>
      </c>
      <c r="C112" s="64"/>
      <c r="D112" s="72"/>
      <c r="E112" s="64"/>
      <c r="F112" s="73"/>
    </row>
    <row r="113" spans="1:6" x14ac:dyDescent="0.25">
      <c r="B113" s="45">
        <v>15</v>
      </c>
      <c r="C113" s="45">
        <v>414</v>
      </c>
      <c r="D113" s="45">
        <v>644</v>
      </c>
      <c r="E113" s="55">
        <v>105</v>
      </c>
      <c r="F113" s="74">
        <v>160</v>
      </c>
    </row>
    <row r="114" spans="1:6" x14ac:dyDescent="0.25">
      <c r="B114" s="45">
        <v>25</v>
      </c>
      <c r="C114" s="45">
        <v>598</v>
      </c>
      <c r="D114" s="45">
        <v>920</v>
      </c>
      <c r="E114" s="75">
        <v>150</v>
      </c>
      <c r="F114" s="74">
        <v>230</v>
      </c>
    </row>
    <row r="115" spans="1:6" x14ac:dyDescent="0.25">
      <c r="B115" s="45">
        <v>30</v>
      </c>
      <c r="C115" s="45">
        <v>690</v>
      </c>
      <c r="D115" s="45">
        <v>1058</v>
      </c>
      <c r="E115" s="55">
        <v>175</v>
      </c>
      <c r="F115" s="74">
        <v>265</v>
      </c>
    </row>
    <row r="116" spans="1:6" x14ac:dyDescent="0.25">
      <c r="B116" s="45">
        <v>45</v>
      </c>
      <c r="C116" s="45">
        <v>952</v>
      </c>
      <c r="D116" s="45">
        <v>1490</v>
      </c>
      <c r="E116" s="55">
        <v>240</v>
      </c>
      <c r="F116" s="74">
        <v>375</v>
      </c>
    </row>
    <row r="117" spans="1:6" x14ac:dyDescent="0.25">
      <c r="B117" s="45">
        <v>75</v>
      </c>
      <c r="C117" s="45">
        <v>1380</v>
      </c>
      <c r="D117" s="45">
        <v>2139</v>
      </c>
      <c r="E117" s="55">
        <v>345</v>
      </c>
      <c r="F117" s="74">
        <v>535</v>
      </c>
    </row>
    <row r="118" spans="1:6" x14ac:dyDescent="0.25">
      <c r="B118" s="70">
        <v>112.5</v>
      </c>
      <c r="C118" s="45">
        <v>1863</v>
      </c>
      <c r="D118" s="45">
        <v>2863</v>
      </c>
      <c r="E118" s="55">
        <v>465</v>
      </c>
      <c r="F118" s="74">
        <v>715</v>
      </c>
    </row>
    <row r="119" spans="1:6" x14ac:dyDescent="0.25">
      <c r="B119" s="45">
        <v>150</v>
      </c>
      <c r="C119" s="45">
        <v>2345</v>
      </c>
      <c r="D119" s="45">
        <v>3679</v>
      </c>
      <c r="E119" s="55">
        <v>585</v>
      </c>
      <c r="F119" s="74">
        <v>920</v>
      </c>
    </row>
    <row r="120" spans="1:6" x14ac:dyDescent="0.25">
      <c r="B120" s="45">
        <v>225</v>
      </c>
      <c r="C120" s="45">
        <v>3105</v>
      </c>
      <c r="D120" s="45">
        <v>6209</v>
      </c>
      <c r="E120" s="55">
        <v>775</v>
      </c>
      <c r="F120" s="74">
        <v>1550</v>
      </c>
    </row>
    <row r="121" spans="1:6" x14ac:dyDescent="0.25">
      <c r="B121" s="45">
        <v>300</v>
      </c>
      <c r="C121" s="45">
        <v>3863</v>
      </c>
      <c r="D121" s="45">
        <v>7726</v>
      </c>
      <c r="E121" s="55">
        <v>965</v>
      </c>
      <c r="F121" s="74">
        <v>1930</v>
      </c>
    </row>
    <row r="122" spans="1:6" x14ac:dyDescent="0.25">
      <c r="B122" s="45">
        <v>450</v>
      </c>
      <c r="C122" s="45">
        <v>5450</v>
      </c>
      <c r="D122" s="45">
        <v>11244.25</v>
      </c>
      <c r="E122" s="55">
        <v>1365</v>
      </c>
      <c r="F122" s="74">
        <v>2810</v>
      </c>
    </row>
    <row r="123" spans="1:6" x14ac:dyDescent="0.25">
      <c r="B123" s="45">
        <v>500</v>
      </c>
      <c r="C123" s="45">
        <v>5979</v>
      </c>
      <c r="D123" s="45">
        <v>12417</v>
      </c>
      <c r="E123" s="55">
        <v>1495</v>
      </c>
      <c r="F123" s="74">
        <v>3100</v>
      </c>
    </row>
    <row r="124" spans="1:6" x14ac:dyDescent="0.25">
      <c r="B124" s="45">
        <v>750</v>
      </c>
      <c r="C124" s="45">
        <v>8278</v>
      </c>
      <c r="D124" s="45">
        <v>17476</v>
      </c>
      <c r="E124" s="76">
        <v>2070</v>
      </c>
      <c r="F124" s="74">
        <v>4370</v>
      </c>
    </row>
    <row r="125" spans="1:6" x14ac:dyDescent="0.25">
      <c r="B125" s="45">
        <v>1000</v>
      </c>
      <c r="C125" s="45">
        <v>10118</v>
      </c>
      <c r="D125" s="45">
        <v>21155</v>
      </c>
      <c r="E125" s="76">
        <v>2530</v>
      </c>
      <c r="F125" s="74">
        <v>5290</v>
      </c>
    </row>
    <row r="128" spans="1:6" ht="16.5" thickBot="1" x14ac:dyDescent="0.3">
      <c r="A128" s="21" t="s">
        <v>393</v>
      </c>
    </row>
    <row r="129" spans="2:18" x14ac:dyDescent="0.25">
      <c r="B129" s="77"/>
      <c r="C129" s="78"/>
      <c r="D129" s="78"/>
      <c r="E129" s="3891" t="s">
        <v>394</v>
      </c>
      <c r="F129" s="3892"/>
      <c r="G129" s="3892"/>
      <c r="H129" s="3892"/>
      <c r="I129" s="3892"/>
      <c r="J129" s="3892"/>
      <c r="K129" s="3892"/>
      <c r="L129" s="3892"/>
      <c r="M129" s="3892"/>
      <c r="N129" s="3892"/>
      <c r="O129" s="3892"/>
      <c r="P129" s="3892"/>
      <c r="Q129" s="3892"/>
      <c r="R129" s="3893"/>
    </row>
    <row r="130" spans="2:18" x14ac:dyDescent="0.25">
      <c r="B130" s="79"/>
      <c r="C130" s="80"/>
      <c r="D130" s="80"/>
      <c r="E130" s="3894"/>
      <c r="F130" s="1753"/>
      <c r="G130" s="1753"/>
      <c r="H130" s="1753"/>
      <c r="I130" s="1753"/>
      <c r="J130" s="1753"/>
      <c r="K130" s="1753"/>
      <c r="L130" s="1753"/>
      <c r="M130" s="1753"/>
      <c r="N130" s="1753"/>
      <c r="O130" s="1753"/>
      <c r="P130" s="1753"/>
      <c r="Q130" s="1753"/>
      <c r="R130" s="3895"/>
    </row>
    <row r="131" spans="2:18" ht="15.75" thickBot="1" x14ac:dyDescent="0.3">
      <c r="B131" s="81"/>
      <c r="C131" s="82"/>
      <c r="D131" s="82"/>
      <c r="E131" s="3896"/>
      <c r="F131" s="3897"/>
      <c r="G131" s="3897"/>
      <c r="H131" s="3897"/>
      <c r="I131" s="3897"/>
      <c r="J131" s="3897"/>
      <c r="K131" s="3897"/>
      <c r="L131" s="3897"/>
      <c r="M131" s="3897"/>
      <c r="N131" s="3897"/>
      <c r="O131" s="3897"/>
      <c r="P131" s="3897"/>
      <c r="Q131" s="3897"/>
      <c r="R131" s="3898"/>
    </row>
    <row r="132" spans="2:18" x14ac:dyDescent="0.25">
      <c r="B132" s="83"/>
      <c r="D132" s="84" t="s">
        <v>395</v>
      </c>
      <c r="E132" s="84"/>
      <c r="F132" s="84"/>
      <c r="G132" s="85"/>
      <c r="H132" s="85"/>
      <c r="I132" s="85"/>
      <c r="R132" s="86"/>
    </row>
    <row r="133" spans="2:18" x14ac:dyDescent="0.25">
      <c r="B133" s="83"/>
      <c r="D133" s="87" t="s">
        <v>396</v>
      </c>
      <c r="E133" s="87"/>
      <c r="F133" s="87"/>
      <c r="G133" s="85"/>
      <c r="H133" s="85"/>
      <c r="I133" s="85"/>
      <c r="R133" s="86"/>
    </row>
    <row r="134" spans="2:18" x14ac:dyDescent="0.25">
      <c r="B134" s="83"/>
      <c r="D134" s="87" t="s">
        <v>397</v>
      </c>
      <c r="E134" s="87"/>
      <c r="F134" s="87"/>
      <c r="G134" s="85"/>
      <c r="H134" s="85"/>
      <c r="I134" s="85"/>
      <c r="R134" s="86"/>
    </row>
    <row r="135" spans="2:18" x14ac:dyDescent="0.25">
      <c r="B135" s="83"/>
      <c r="D135" s="87" t="s">
        <v>398</v>
      </c>
      <c r="E135" s="87"/>
      <c r="F135" s="87"/>
      <c r="G135" s="85"/>
      <c r="H135" s="85"/>
      <c r="I135" s="85"/>
      <c r="R135" s="86"/>
    </row>
    <row r="136" spans="2:18" x14ac:dyDescent="0.25">
      <c r="B136" s="83"/>
      <c r="D136" s="87" t="s">
        <v>399</v>
      </c>
      <c r="E136" s="87"/>
      <c r="F136" s="87"/>
      <c r="G136" s="85"/>
      <c r="H136" s="85"/>
      <c r="I136" s="85"/>
      <c r="R136" s="86"/>
    </row>
    <row r="137" spans="2:18" x14ac:dyDescent="0.25">
      <c r="B137" s="83"/>
      <c r="D137" s="87" t="s">
        <v>400</v>
      </c>
      <c r="E137" s="87"/>
      <c r="F137" s="87"/>
      <c r="G137" s="85"/>
      <c r="H137" s="85"/>
      <c r="I137" s="85"/>
      <c r="R137" s="86"/>
    </row>
    <row r="138" spans="2:18" ht="18.75" x14ac:dyDescent="0.3">
      <c r="B138" s="88" t="s">
        <v>401</v>
      </c>
      <c r="C138" s="32"/>
      <c r="D138" s="89"/>
      <c r="E138" s="3899"/>
      <c r="F138" s="3899"/>
      <c r="G138" s="90"/>
      <c r="H138" s="91" t="s">
        <v>402</v>
      </c>
      <c r="I138" s="92"/>
      <c r="J138" s="32"/>
      <c r="K138" s="32"/>
      <c r="L138" s="1293"/>
      <c r="M138" s="1293"/>
      <c r="N138" s="1293"/>
      <c r="O138" s="32"/>
      <c r="P138" s="32"/>
      <c r="Q138" s="32"/>
      <c r="R138" s="93"/>
    </row>
    <row r="139" spans="2:18" x14ac:dyDescent="0.25">
      <c r="B139" s="83"/>
      <c r="D139" s="94"/>
      <c r="E139" s="94"/>
      <c r="F139" s="94"/>
      <c r="G139" s="85"/>
      <c r="H139" s="85"/>
      <c r="I139" s="85"/>
      <c r="R139" s="86"/>
    </row>
    <row r="140" spans="2:18" ht="18.75" x14ac:dyDescent="0.3">
      <c r="B140" s="83"/>
      <c r="C140" s="24" t="s">
        <v>403</v>
      </c>
      <c r="D140" s="94"/>
      <c r="E140" s="94"/>
      <c r="F140" s="94"/>
      <c r="R140" s="86"/>
    </row>
    <row r="141" spans="2:18" x14ac:dyDescent="0.25">
      <c r="B141" s="3884" t="s">
        <v>404</v>
      </c>
      <c r="C141" s="3885"/>
      <c r="D141" s="3886"/>
      <c r="E141" s="3887" t="s">
        <v>405</v>
      </c>
      <c r="F141" s="3889" t="s">
        <v>377</v>
      </c>
      <c r="G141" s="3876" t="s">
        <v>406</v>
      </c>
      <c r="H141" s="3877"/>
      <c r="I141" s="3876" t="s">
        <v>385</v>
      </c>
      <c r="J141" s="3877"/>
      <c r="K141" s="3875" t="s">
        <v>386</v>
      </c>
      <c r="L141" s="3875"/>
      <c r="M141" s="3876" t="s">
        <v>407</v>
      </c>
      <c r="N141" s="3877"/>
      <c r="O141" s="3878" t="s">
        <v>408</v>
      </c>
      <c r="P141" s="3879"/>
      <c r="Q141" s="3879"/>
      <c r="R141" s="3880"/>
    </row>
    <row r="142" spans="2:18" x14ac:dyDescent="0.25">
      <c r="B142" s="95" t="s">
        <v>377</v>
      </c>
      <c r="C142" s="96" t="s">
        <v>409</v>
      </c>
      <c r="D142" s="97" t="s">
        <v>410</v>
      </c>
      <c r="E142" s="3888"/>
      <c r="F142" s="3890"/>
      <c r="G142" s="43" t="s">
        <v>381</v>
      </c>
      <c r="H142" s="43" t="s">
        <v>411</v>
      </c>
      <c r="I142" s="43" t="s">
        <v>381</v>
      </c>
      <c r="J142" s="43" t="s">
        <v>388</v>
      </c>
      <c r="K142" s="43" t="s">
        <v>381</v>
      </c>
      <c r="L142" s="43" t="s">
        <v>388</v>
      </c>
      <c r="M142" s="43" t="s">
        <v>381</v>
      </c>
      <c r="N142" s="43" t="s">
        <v>388</v>
      </c>
      <c r="O142" s="98" t="s">
        <v>377</v>
      </c>
      <c r="P142" s="98" t="s">
        <v>412</v>
      </c>
      <c r="Q142" s="98" t="s">
        <v>275</v>
      </c>
      <c r="R142" s="99" t="s">
        <v>413</v>
      </c>
    </row>
    <row r="143" spans="2:18" ht="21" x14ac:dyDescent="0.25">
      <c r="B143" s="3900" t="s">
        <v>414</v>
      </c>
      <c r="C143" s="3901"/>
      <c r="D143" s="3902"/>
      <c r="E143" s="100"/>
      <c r="F143" s="3903"/>
      <c r="G143" s="3904"/>
      <c r="H143" s="3905"/>
      <c r="I143" s="3904"/>
      <c r="J143" s="3905"/>
      <c r="K143" s="3904"/>
      <c r="L143" s="3905"/>
      <c r="M143" s="3904"/>
      <c r="N143" s="3906"/>
      <c r="O143" s="3907"/>
      <c r="P143" s="3908"/>
      <c r="Q143" s="3908"/>
      <c r="R143" s="3909"/>
    </row>
    <row r="144" spans="2:18" x14ac:dyDescent="0.25">
      <c r="B144" s="101">
        <v>15</v>
      </c>
      <c r="C144" s="102">
        <v>5</v>
      </c>
      <c r="D144" s="102">
        <v>99.07</v>
      </c>
      <c r="E144" s="102">
        <v>1</v>
      </c>
      <c r="F144" s="102">
        <v>15</v>
      </c>
      <c r="G144" s="102">
        <v>98.39</v>
      </c>
      <c r="H144" s="102"/>
      <c r="I144" s="102">
        <v>318</v>
      </c>
      <c r="J144" s="102"/>
      <c r="K144" s="102">
        <v>3.6187214611872145E-2</v>
      </c>
      <c r="L144" s="102"/>
      <c r="M144" s="102">
        <v>80</v>
      </c>
      <c r="N144" s="102"/>
      <c r="O144" s="102">
        <v>75</v>
      </c>
      <c r="P144" s="102">
        <v>1590</v>
      </c>
      <c r="Q144" s="103">
        <f>IF(E144=0,0,C144*K144)</f>
        <v>0.18093607305936071</v>
      </c>
      <c r="R144" s="104">
        <f>IF(E144=0,0,C144*M144)</f>
        <v>400</v>
      </c>
    </row>
    <row r="145" spans="2:18" ht="21" x14ac:dyDescent="0.25">
      <c r="B145" s="3910" t="s">
        <v>415</v>
      </c>
      <c r="C145" s="3911"/>
      <c r="D145" s="3911"/>
      <c r="E145" s="3911"/>
      <c r="F145" s="3911"/>
      <c r="G145" s="3911"/>
      <c r="H145" s="3911"/>
      <c r="I145" s="3911"/>
      <c r="J145" s="3911"/>
      <c r="K145" s="3911"/>
      <c r="L145" s="3911"/>
      <c r="M145" s="3911"/>
      <c r="N145" s="3911"/>
      <c r="O145" s="3911"/>
      <c r="P145" s="3911"/>
      <c r="Q145" s="3911"/>
      <c r="R145" s="3912"/>
    </row>
    <row r="146" spans="2:18" x14ac:dyDescent="0.25">
      <c r="B146" s="105">
        <v>15</v>
      </c>
      <c r="C146" s="106">
        <v>0</v>
      </c>
      <c r="D146" s="107"/>
      <c r="E146" s="108">
        <f>IF(D146&gt;=G146,1,0)</f>
        <v>0</v>
      </c>
      <c r="F146" s="26">
        <v>15</v>
      </c>
      <c r="G146" s="109">
        <v>98.39</v>
      </c>
      <c r="H146" s="110"/>
      <c r="I146" s="111">
        <v>318</v>
      </c>
      <c r="J146" s="112"/>
      <c r="K146" s="113">
        <v>3.6187214611872145E-2</v>
      </c>
      <c r="L146" s="114"/>
      <c r="M146" s="115">
        <v>80</v>
      </c>
      <c r="N146" s="112"/>
      <c r="O146" s="116">
        <f>IF(E146=0,0,C146*F146)</f>
        <v>0</v>
      </c>
      <c r="P146" s="117">
        <f>IF(E146=0,0,C146*I146)</f>
        <v>0</v>
      </c>
      <c r="Q146" s="118">
        <f>IF(E146=0,0,C146*K146)</f>
        <v>0</v>
      </c>
      <c r="R146" s="119">
        <f>IF(E146=0,0,C146*M146)</f>
        <v>0</v>
      </c>
    </row>
    <row r="147" spans="2:18" x14ac:dyDescent="0.25">
      <c r="B147" s="105">
        <v>25</v>
      </c>
      <c r="C147" s="106">
        <v>0</v>
      </c>
      <c r="D147" s="107"/>
      <c r="E147" s="108">
        <f>IF(D147&gt;=G147,1,0)</f>
        <v>0</v>
      </c>
      <c r="F147" s="26">
        <v>25</v>
      </c>
      <c r="G147" s="120">
        <v>98.6</v>
      </c>
      <c r="H147" s="121"/>
      <c r="I147" s="111">
        <v>460</v>
      </c>
      <c r="J147" s="122"/>
      <c r="K147" s="113">
        <v>5.2511415525114152E-2</v>
      </c>
      <c r="L147" s="123"/>
      <c r="M147" s="115">
        <v>115</v>
      </c>
      <c r="N147" s="122"/>
      <c r="O147" s="116">
        <f t="shared" ref="O147:O169" si="3">IF(E147=0,0,C147*F147)</f>
        <v>0</v>
      </c>
      <c r="P147" s="117">
        <f t="shared" ref="P147:P155" si="4">IF(E147=0,0,C147*I147)</f>
        <v>0</v>
      </c>
      <c r="Q147" s="118">
        <f t="shared" ref="Q147:Q155" si="5">IF(E147=0,0,C147*K147)</f>
        <v>0</v>
      </c>
      <c r="R147" s="119">
        <f t="shared" ref="R147:R155" si="6">IF(E147=0,0,C147*M147)</f>
        <v>0</v>
      </c>
    </row>
    <row r="148" spans="2:18" x14ac:dyDescent="0.25">
      <c r="B148" s="105">
        <v>37.5</v>
      </c>
      <c r="C148" s="106">
        <v>0</v>
      </c>
      <c r="D148" s="107"/>
      <c r="E148" s="108">
        <f t="shared" ref="E148:E155" si="7">IF(D148&gt;=G148,1,0)</f>
        <v>0</v>
      </c>
      <c r="F148" s="26">
        <v>37.5</v>
      </c>
      <c r="G148" s="124">
        <v>98.74</v>
      </c>
      <c r="H148" s="121"/>
      <c r="I148" s="111">
        <v>621</v>
      </c>
      <c r="J148" s="122"/>
      <c r="K148" s="113">
        <v>7.089041095890411E-2</v>
      </c>
      <c r="L148" s="123"/>
      <c r="M148" s="115">
        <v>155</v>
      </c>
      <c r="N148" s="122"/>
      <c r="O148" s="116">
        <f t="shared" si="3"/>
        <v>0</v>
      </c>
      <c r="P148" s="117">
        <f t="shared" si="4"/>
        <v>0</v>
      </c>
      <c r="Q148" s="118">
        <f t="shared" si="5"/>
        <v>0</v>
      </c>
      <c r="R148" s="119">
        <f t="shared" si="6"/>
        <v>0</v>
      </c>
    </row>
    <row r="149" spans="2:18" x14ac:dyDescent="0.25">
      <c r="B149" s="105">
        <v>50</v>
      </c>
      <c r="C149" s="106">
        <v>0</v>
      </c>
      <c r="D149" s="107"/>
      <c r="E149" s="108">
        <f t="shared" si="7"/>
        <v>0</v>
      </c>
      <c r="F149" s="26">
        <v>50</v>
      </c>
      <c r="G149" s="124">
        <v>98.81</v>
      </c>
      <c r="H149" s="121"/>
      <c r="I149" s="111">
        <v>782</v>
      </c>
      <c r="J149" s="122"/>
      <c r="K149" s="113">
        <v>8.9269406392694067E-2</v>
      </c>
      <c r="L149" s="123"/>
      <c r="M149" s="115">
        <v>195</v>
      </c>
      <c r="N149" s="122"/>
      <c r="O149" s="116">
        <f t="shared" si="3"/>
        <v>0</v>
      </c>
      <c r="P149" s="117">
        <f t="shared" si="4"/>
        <v>0</v>
      </c>
      <c r="Q149" s="118">
        <f t="shared" si="5"/>
        <v>0</v>
      </c>
      <c r="R149" s="119">
        <f t="shared" si="6"/>
        <v>0</v>
      </c>
    </row>
    <row r="150" spans="2:18" x14ac:dyDescent="0.25">
      <c r="B150" s="105">
        <v>75</v>
      </c>
      <c r="C150" s="106">
        <v>0</v>
      </c>
      <c r="D150" s="107"/>
      <c r="E150" s="108">
        <f t="shared" si="7"/>
        <v>0</v>
      </c>
      <c r="F150" s="26">
        <v>75</v>
      </c>
      <c r="G150" s="124">
        <v>98.95</v>
      </c>
      <c r="H150" s="121" t="s">
        <v>252</v>
      </c>
      <c r="I150" s="111">
        <v>1035</v>
      </c>
      <c r="J150" s="121" t="s">
        <v>252</v>
      </c>
      <c r="K150" s="113">
        <v>0.11815068493150685</v>
      </c>
      <c r="L150" s="121" t="s">
        <v>252</v>
      </c>
      <c r="M150" s="115">
        <v>260</v>
      </c>
      <c r="N150" s="121" t="s">
        <v>252</v>
      </c>
      <c r="O150" s="116">
        <f t="shared" si="3"/>
        <v>0</v>
      </c>
      <c r="P150" s="117">
        <f t="shared" si="4"/>
        <v>0</v>
      </c>
      <c r="Q150" s="118">
        <f t="shared" si="5"/>
        <v>0</v>
      </c>
      <c r="R150" s="119">
        <f t="shared" si="6"/>
        <v>0</v>
      </c>
    </row>
    <row r="151" spans="2:18" x14ac:dyDescent="0.25">
      <c r="B151" s="105">
        <v>100</v>
      </c>
      <c r="C151" s="106">
        <v>0</v>
      </c>
      <c r="D151" s="107"/>
      <c r="E151" s="108">
        <f t="shared" si="7"/>
        <v>0</v>
      </c>
      <c r="F151" s="26">
        <v>100</v>
      </c>
      <c r="G151" s="124">
        <v>99.02</v>
      </c>
      <c r="H151" s="121"/>
      <c r="I151" s="111">
        <v>1287</v>
      </c>
      <c r="J151" s="122"/>
      <c r="K151" s="113">
        <v>0.14703196347031963</v>
      </c>
      <c r="L151" s="123"/>
      <c r="M151" s="115">
        <v>320</v>
      </c>
      <c r="N151" s="122"/>
      <c r="O151" s="116">
        <f t="shared" si="3"/>
        <v>0</v>
      </c>
      <c r="P151" s="117">
        <f t="shared" si="4"/>
        <v>0</v>
      </c>
      <c r="Q151" s="118">
        <f t="shared" si="5"/>
        <v>0</v>
      </c>
      <c r="R151" s="119">
        <f t="shared" si="6"/>
        <v>0</v>
      </c>
    </row>
    <row r="152" spans="2:18" x14ac:dyDescent="0.25">
      <c r="B152" s="105">
        <v>150</v>
      </c>
      <c r="C152" s="106">
        <v>0</v>
      </c>
      <c r="D152" s="107"/>
      <c r="E152" s="108">
        <f t="shared" si="7"/>
        <v>0</v>
      </c>
      <c r="F152" s="26">
        <v>150</v>
      </c>
      <c r="G152" s="125">
        <f>G151+(F152-F151)*(G153-G151)/(F153-F151)</f>
        <v>99.072238805970144</v>
      </c>
      <c r="H152" s="121"/>
      <c r="I152" s="126">
        <v>1816.8507462686566</v>
      </c>
      <c r="J152" s="122"/>
      <c r="K152" s="127">
        <v>0.20743201799223063</v>
      </c>
      <c r="L152" s="123"/>
      <c r="M152" s="115">
        <v>455</v>
      </c>
      <c r="N152" s="122"/>
      <c r="O152" s="116">
        <f t="shared" si="3"/>
        <v>0</v>
      </c>
      <c r="P152" s="117">
        <f t="shared" si="4"/>
        <v>0</v>
      </c>
      <c r="Q152" s="118">
        <f t="shared" si="5"/>
        <v>0</v>
      </c>
      <c r="R152" s="119">
        <f t="shared" si="6"/>
        <v>0</v>
      </c>
    </row>
    <row r="153" spans="2:18" x14ac:dyDescent="0.25">
      <c r="B153" s="105">
        <v>167</v>
      </c>
      <c r="C153" s="106">
        <v>0</v>
      </c>
      <c r="D153" s="107"/>
      <c r="E153" s="108">
        <f t="shared" si="7"/>
        <v>0</v>
      </c>
      <c r="F153" s="26">
        <v>167</v>
      </c>
      <c r="G153" s="124">
        <v>99.09</v>
      </c>
      <c r="H153" s="121"/>
      <c r="I153" s="111">
        <v>1997</v>
      </c>
      <c r="J153" s="122"/>
      <c r="K153" s="113">
        <v>0.22796803652968037</v>
      </c>
      <c r="L153" s="123"/>
      <c r="M153" s="115">
        <v>500</v>
      </c>
      <c r="N153" s="122"/>
      <c r="O153" s="116">
        <f t="shared" si="3"/>
        <v>0</v>
      </c>
      <c r="P153" s="117">
        <f t="shared" si="4"/>
        <v>0</v>
      </c>
      <c r="Q153" s="118">
        <f t="shared" si="5"/>
        <v>0</v>
      </c>
      <c r="R153" s="119">
        <f t="shared" si="6"/>
        <v>0</v>
      </c>
    </row>
    <row r="154" spans="2:18" x14ac:dyDescent="0.25">
      <c r="B154" s="105">
        <v>250</v>
      </c>
      <c r="C154" s="106">
        <v>0</v>
      </c>
      <c r="D154" s="107"/>
      <c r="E154" s="108">
        <f t="shared" si="7"/>
        <v>0</v>
      </c>
      <c r="F154" s="26">
        <v>250</v>
      </c>
      <c r="G154" s="124">
        <v>99.16</v>
      </c>
      <c r="H154" s="121"/>
      <c r="I154" s="111">
        <v>2759</v>
      </c>
      <c r="J154" s="122"/>
      <c r="K154" s="113">
        <v>0.31495433789954336</v>
      </c>
      <c r="L154" s="123"/>
      <c r="M154" s="115">
        <v>690</v>
      </c>
      <c r="N154" s="122"/>
      <c r="O154" s="116">
        <f t="shared" si="3"/>
        <v>0</v>
      </c>
      <c r="P154" s="117">
        <f t="shared" si="4"/>
        <v>0</v>
      </c>
      <c r="Q154" s="118">
        <f t="shared" si="5"/>
        <v>0</v>
      </c>
      <c r="R154" s="119">
        <f t="shared" si="6"/>
        <v>0</v>
      </c>
    </row>
    <row r="155" spans="2:18" x14ac:dyDescent="0.25">
      <c r="B155" s="105">
        <v>333</v>
      </c>
      <c r="C155" s="106">
        <v>0</v>
      </c>
      <c r="D155" s="107"/>
      <c r="E155" s="108">
        <f t="shared" si="7"/>
        <v>0</v>
      </c>
      <c r="F155" s="26">
        <v>333</v>
      </c>
      <c r="G155" s="124">
        <v>99.23</v>
      </c>
      <c r="H155" s="128"/>
      <c r="I155" s="111">
        <v>3369</v>
      </c>
      <c r="J155" s="129"/>
      <c r="K155" s="113">
        <v>0.38458904109589043</v>
      </c>
      <c r="L155" s="130"/>
      <c r="M155" s="115">
        <v>840</v>
      </c>
      <c r="N155" s="129"/>
      <c r="O155" s="116">
        <f t="shared" si="3"/>
        <v>0</v>
      </c>
      <c r="P155" s="117">
        <f t="shared" si="4"/>
        <v>0</v>
      </c>
      <c r="Q155" s="118">
        <f t="shared" si="5"/>
        <v>0</v>
      </c>
      <c r="R155" s="119">
        <f t="shared" si="6"/>
        <v>0</v>
      </c>
    </row>
    <row r="156" spans="2:18" ht="21" x14ac:dyDescent="0.25">
      <c r="B156" s="3910" t="s">
        <v>416</v>
      </c>
      <c r="C156" s="3911"/>
      <c r="D156" s="3911"/>
      <c r="E156" s="3911"/>
      <c r="F156" s="3911"/>
      <c r="G156" s="3911"/>
      <c r="H156" s="3911"/>
      <c r="I156" s="3911"/>
      <c r="J156" s="3911"/>
      <c r="K156" s="3911"/>
      <c r="L156" s="3911"/>
      <c r="M156" s="3911"/>
      <c r="N156" s="3911"/>
      <c r="O156" s="3911"/>
      <c r="P156" s="3911"/>
      <c r="Q156" s="3911"/>
      <c r="R156" s="3912"/>
    </row>
    <row r="157" spans="2:18" x14ac:dyDescent="0.25">
      <c r="B157" s="131">
        <v>15</v>
      </c>
      <c r="C157" s="132">
        <v>0</v>
      </c>
      <c r="D157" s="106"/>
      <c r="E157" s="108">
        <f t="shared" ref="E157:E169" si="8">IF(D157&gt;=H157,2,IF(D157&gt;=G157,1,0))</f>
        <v>0</v>
      </c>
      <c r="F157" s="26">
        <v>15</v>
      </c>
      <c r="G157" s="27">
        <v>97.9</v>
      </c>
      <c r="H157" s="27">
        <v>98.4</v>
      </c>
      <c r="I157" s="26">
        <v>414</v>
      </c>
      <c r="J157" s="26">
        <v>644</v>
      </c>
      <c r="K157" s="27">
        <v>4.726027397260274E-2</v>
      </c>
      <c r="L157" s="27">
        <v>7.3515981735159816E-2</v>
      </c>
      <c r="M157" s="55">
        <v>105</v>
      </c>
      <c r="N157" s="55">
        <v>160</v>
      </c>
      <c r="O157" s="117">
        <f t="shared" si="3"/>
        <v>0</v>
      </c>
      <c r="P157" s="117">
        <f>IF(E157=0,0,IF(E157=1,C157*I157,C157*J157))</f>
        <v>0</v>
      </c>
      <c r="Q157" s="118">
        <f>IF(E157=0,0,IF(E157=1,C157*K157,C157*L157))</f>
        <v>0</v>
      </c>
      <c r="R157" s="119">
        <f>IF(E157=0,0,IF(E157=1,C157*M157,C157*N157))</f>
        <v>0</v>
      </c>
    </row>
    <row r="158" spans="2:18" x14ac:dyDescent="0.25">
      <c r="B158" s="131">
        <v>25</v>
      </c>
      <c r="C158" s="132">
        <v>0</v>
      </c>
      <c r="D158" s="106"/>
      <c r="E158" s="108">
        <f t="shared" si="8"/>
        <v>0</v>
      </c>
      <c r="F158" s="26">
        <v>25</v>
      </c>
      <c r="G158" s="125">
        <f>G157+(F158-F157)*(G159-G157)/(F159-F157)</f>
        <v>98.13333333333334</v>
      </c>
      <c r="H158" s="118">
        <f>H157+(F158-F157)*(H159-H157)/(F159-F157)</f>
        <v>98.566666666666677</v>
      </c>
      <c r="I158" s="33">
        <v>598</v>
      </c>
      <c r="J158" s="33">
        <v>920</v>
      </c>
      <c r="K158" s="62">
        <v>6.826484018264839E-2</v>
      </c>
      <c r="L158" s="62">
        <v>0.1050228310502283</v>
      </c>
      <c r="M158" s="75">
        <v>150</v>
      </c>
      <c r="N158" s="133">
        <v>230</v>
      </c>
      <c r="O158" s="117">
        <f t="shared" si="3"/>
        <v>0</v>
      </c>
      <c r="P158" s="117">
        <f t="shared" ref="P158:P169" si="9">IF(E158=0,0,IF(E158=1,C158*I158,C158*J158))</f>
        <v>0</v>
      </c>
      <c r="Q158" s="118">
        <f t="shared" ref="Q158:Q169" si="10">IF(E158=0,0,IF(E158=1,C158*K158,C158*L158))</f>
        <v>0</v>
      </c>
      <c r="R158" s="119">
        <f t="shared" ref="R158:R169" si="11">IF(E158=0,0,IF(E158=1,C158*M158,C158*N158))</f>
        <v>0</v>
      </c>
    </row>
    <row r="159" spans="2:18" x14ac:dyDescent="0.25">
      <c r="B159" s="131">
        <v>30</v>
      </c>
      <c r="C159" s="132">
        <v>0</v>
      </c>
      <c r="D159" s="106"/>
      <c r="E159" s="108">
        <f t="shared" si="8"/>
        <v>0</v>
      </c>
      <c r="F159" s="26">
        <v>30</v>
      </c>
      <c r="G159" s="27">
        <v>98.25</v>
      </c>
      <c r="H159" s="27">
        <v>98.65</v>
      </c>
      <c r="I159" s="26">
        <v>690</v>
      </c>
      <c r="J159" s="26">
        <v>1058</v>
      </c>
      <c r="K159" s="27">
        <v>7.8767123287671229E-2</v>
      </c>
      <c r="L159" s="27">
        <v>0.12077625570776256</v>
      </c>
      <c r="M159" s="55">
        <v>175</v>
      </c>
      <c r="N159" s="55">
        <v>265</v>
      </c>
      <c r="O159" s="117">
        <f t="shared" si="3"/>
        <v>0</v>
      </c>
      <c r="P159" s="117">
        <f t="shared" si="9"/>
        <v>0</v>
      </c>
      <c r="Q159" s="118">
        <f t="shared" si="10"/>
        <v>0</v>
      </c>
      <c r="R159" s="119">
        <f t="shared" si="11"/>
        <v>0</v>
      </c>
    </row>
    <row r="160" spans="2:18" x14ac:dyDescent="0.25">
      <c r="B160" s="131">
        <v>45</v>
      </c>
      <c r="C160" s="132">
        <v>0</v>
      </c>
      <c r="D160" s="106"/>
      <c r="E160" s="108">
        <f t="shared" si="8"/>
        <v>0</v>
      </c>
      <c r="F160" s="26">
        <v>45</v>
      </c>
      <c r="G160" s="27">
        <v>98.39</v>
      </c>
      <c r="H160" s="27">
        <v>98.78</v>
      </c>
      <c r="I160" s="26">
        <v>952</v>
      </c>
      <c r="J160" s="26">
        <v>1490</v>
      </c>
      <c r="K160" s="27">
        <v>0.10867579908675799</v>
      </c>
      <c r="L160" s="27">
        <v>0.17009132420091325</v>
      </c>
      <c r="M160" s="55">
        <v>240</v>
      </c>
      <c r="N160" s="55">
        <v>375</v>
      </c>
      <c r="O160" s="117">
        <f t="shared" si="3"/>
        <v>0</v>
      </c>
      <c r="P160" s="117">
        <f t="shared" si="9"/>
        <v>0</v>
      </c>
      <c r="Q160" s="118">
        <f t="shared" si="10"/>
        <v>0</v>
      </c>
      <c r="R160" s="119">
        <f t="shared" si="11"/>
        <v>0</v>
      </c>
    </row>
    <row r="161" spans="2:18" x14ac:dyDescent="0.25">
      <c r="B161" s="131">
        <v>75</v>
      </c>
      <c r="C161" s="132">
        <v>0</v>
      </c>
      <c r="D161" s="106"/>
      <c r="E161" s="108">
        <f t="shared" si="8"/>
        <v>0</v>
      </c>
      <c r="F161" s="26">
        <v>75</v>
      </c>
      <c r="G161" s="27">
        <v>98.6</v>
      </c>
      <c r="H161" s="27">
        <v>98.93</v>
      </c>
      <c r="I161" s="26">
        <v>1380</v>
      </c>
      <c r="J161" s="26">
        <v>2139</v>
      </c>
      <c r="K161" s="27">
        <v>0.15753424657534246</v>
      </c>
      <c r="L161" s="27">
        <v>0.24417808219178083</v>
      </c>
      <c r="M161" s="55">
        <v>345</v>
      </c>
      <c r="N161" s="55">
        <v>535</v>
      </c>
      <c r="O161" s="117">
        <f t="shared" si="3"/>
        <v>0</v>
      </c>
      <c r="P161" s="117">
        <f t="shared" si="9"/>
        <v>0</v>
      </c>
      <c r="Q161" s="118">
        <f t="shared" si="10"/>
        <v>0</v>
      </c>
      <c r="R161" s="119">
        <f t="shared" si="11"/>
        <v>0</v>
      </c>
    </row>
    <row r="162" spans="2:18" x14ac:dyDescent="0.25">
      <c r="B162" s="131">
        <v>112.5</v>
      </c>
      <c r="C162" s="132">
        <v>0</v>
      </c>
      <c r="D162" s="106"/>
      <c r="E162" s="108">
        <f t="shared" si="8"/>
        <v>0</v>
      </c>
      <c r="F162" s="26">
        <v>112.5</v>
      </c>
      <c r="G162" s="27">
        <v>98.74</v>
      </c>
      <c r="H162" s="27">
        <v>99.03</v>
      </c>
      <c r="I162" s="26">
        <v>1863</v>
      </c>
      <c r="J162" s="26">
        <v>2863</v>
      </c>
      <c r="K162" s="27">
        <v>0.21267123287671233</v>
      </c>
      <c r="L162" s="27">
        <v>0.32682648401826486</v>
      </c>
      <c r="M162" s="55">
        <v>465</v>
      </c>
      <c r="N162" s="55">
        <v>715</v>
      </c>
      <c r="O162" s="117">
        <f t="shared" si="3"/>
        <v>0</v>
      </c>
      <c r="P162" s="117">
        <f t="shared" si="9"/>
        <v>0</v>
      </c>
      <c r="Q162" s="118">
        <f t="shared" si="10"/>
        <v>0</v>
      </c>
      <c r="R162" s="119">
        <f t="shared" si="11"/>
        <v>0</v>
      </c>
    </row>
    <row r="163" spans="2:18" x14ac:dyDescent="0.25">
      <c r="B163" s="131">
        <v>150</v>
      </c>
      <c r="C163" s="132">
        <v>0</v>
      </c>
      <c r="D163" s="106"/>
      <c r="E163" s="108">
        <f t="shared" si="8"/>
        <v>0</v>
      </c>
      <c r="F163" s="26">
        <v>150</v>
      </c>
      <c r="G163" s="27">
        <v>98.81</v>
      </c>
      <c r="H163" s="27">
        <v>99.1</v>
      </c>
      <c r="I163" s="26">
        <v>2345</v>
      </c>
      <c r="J163" s="26">
        <v>3679</v>
      </c>
      <c r="K163" s="27">
        <v>0.26769406392694062</v>
      </c>
      <c r="L163" s="27">
        <v>0.41997716894977166</v>
      </c>
      <c r="M163" s="55">
        <v>585</v>
      </c>
      <c r="N163" s="55">
        <v>920</v>
      </c>
      <c r="O163" s="117">
        <f t="shared" si="3"/>
        <v>0</v>
      </c>
      <c r="P163" s="117">
        <f t="shared" si="9"/>
        <v>0</v>
      </c>
      <c r="Q163" s="118">
        <f t="shared" si="10"/>
        <v>0</v>
      </c>
      <c r="R163" s="119">
        <f t="shared" si="11"/>
        <v>0</v>
      </c>
    </row>
    <row r="164" spans="2:18" x14ac:dyDescent="0.25">
      <c r="B164" s="131">
        <v>225</v>
      </c>
      <c r="C164" s="132">
        <v>0</v>
      </c>
      <c r="D164" s="106"/>
      <c r="E164" s="108">
        <f t="shared" si="8"/>
        <v>0</v>
      </c>
      <c r="F164" s="26">
        <v>225</v>
      </c>
      <c r="G164" s="27">
        <v>98.95</v>
      </c>
      <c r="H164" s="27">
        <v>99.4</v>
      </c>
      <c r="I164" s="26">
        <v>3105</v>
      </c>
      <c r="J164" s="26">
        <v>6209</v>
      </c>
      <c r="K164" s="27">
        <v>0.35433789954337902</v>
      </c>
      <c r="L164" s="27">
        <v>0.7087899543378996</v>
      </c>
      <c r="M164" s="55">
        <v>775</v>
      </c>
      <c r="N164" s="55">
        <v>1550</v>
      </c>
      <c r="O164" s="117">
        <f t="shared" si="3"/>
        <v>0</v>
      </c>
      <c r="P164" s="117">
        <f t="shared" si="9"/>
        <v>0</v>
      </c>
      <c r="Q164" s="118">
        <f t="shared" si="10"/>
        <v>0</v>
      </c>
      <c r="R164" s="119">
        <f t="shared" si="11"/>
        <v>0</v>
      </c>
    </row>
    <row r="165" spans="2:18" x14ac:dyDescent="0.25">
      <c r="B165" s="131">
        <v>300</v>
      </c>
      <c r="C165" s="132">
        <v>0</v>
      </c>
      <c r="D165" s="106"/>
      <c r="E165" s="108">
        <f t="shared" si="8"/>
        <v>0</v>
      </c>
      <c r="F165" s="26">
        <v>300</v>
      </c>
      <c r="G165" s="27">
        <v>99.02</v>
      </c>
      <c r="H165" s="27">
        <v>99.44</v>
      </c>
      <c r="I165" s="26">
        <v>3863</v>
      </c>
      <c r="J165" s="26">
        <v>7726</v>
      </c>
      <c r="K165" s="27">
        <v>0.44098173515981737</v>
      </c>
      <c r="L165" s="27">
        <v>0.88196347031963473</v>
      </c>
      <c r="M165" s="55">
        <v>965</v>
      </c>
      <c r="N165" s="55">
        <v>1930</v>
      </c>
      <c r="O165" s="117">
        <f t="shared" si="3"/>
        <v>0</v>
      </c>
      <c r="P165" s="117">
        <f t="shared" si="9"/>
        <v>0</v>
      </c>
      <c r="Q165" s="118">
        <f t="shared" si="10"/>
        <v>0</v>
      </c>
      <c r="R165" s="119">
        <f t="shared" si="11"/>
        <v>0</v>
      </c>
    </row>
    <row r="166" spans="2:18" x14ac:dyDescent="0.25">
      <c r="B166" s="131">
        <v>450</v>
      </c>
      <c r="C166" s="132">
        <v>0</v>
      </c>
      <c r="D166" s="106"/>
      <c r="E166" s="108">
        <f t="shared" si="8"/>
        <v>0</v>
      </c>
      <c r="F166" s="26">
        <v>450</v>
      </c>
      <c r="G166" s="125">
        <f>G165+(F166-F165)*(G167-G165)/(F167-F165)</f>
        <v>99.072500000000005</v>
      </c>
      <c r="H166" s="118">
        <f>H165+(F166-F165)*(H167-H165)/(F167-F165)</f>
        <v>99.492500000000007</v>
      </c>
      <c r="I166" s="26">
        <v>5450</v>
      </c>
      <c r="J166" s="134">
        <v>11244.25</v>
      </c>
      <c r="K166" s="62">
        <v>0.62214611872146119</v>
      </c>
      <c r="L166" s="62">
        <v>1.283590182648402</v>
      </c>
      <c r="M166" s="55">
        <v>1365</v>
      </c>
      <c r="N166" s="55">
        <v>2810</v>
      </c>
      <c r="O166" s="117">
        <f t="shared" si="3"/>
        <v>0</v>
      </c>
      <c r="P166" s="117">
        <f t="shared" si="9"/>
        <v>0</v>
      </c>
      <c r="Q166" s="118">
        <f t="shared" si="10"/>
        <v>0</v>
      </c>
      <c r="R166" s="119">
        <f t="shared" si="11"/>
        <v>0</v>
      </c>
    </row>
    <row r="167" spans="2:18" x14ac:dyDescent="0.25">
      <c r="B167" s="131">
        <v>500</v>
      </c>
      <c r="C167" s="132">
        <v>0</v>
      </c>
      <c r="D167" s="106"/>
      <c r="E167" s="108">
        <f t="shared" si="8"/>
        <v>0</v>
      </c>
      <c r="F167" s="26">
        <v>500</v>
      </c>
      <c r="G167" s="27">
        <v>99.09</v>
      </c>
      <c r="H167" s="135">
        <v>99.51</v>
      </c>
      <c r="I167" s="26">
        <v>5979</v>
      </c>
      <c r="J167" s="26">
        <v>12417</v>
      </c>
      <c r="K167" s="27">
        <v>0.68253424657534245</v>
      </c>
      <c r="L167" s="27">
        <v>1.4174657534246575</v>
      </c>
      <c r="M167" s="55">
        <v>1495</v>
      </c>
      <c r="N167" s="133">
        <v>3100</v>
      </c>
      <c r="O167" s="117">
        <f t="shared" si="3"/>
        <v>0</v>
      </c>
      <c r="P167" s="117">
        <f t="shared" si="9"/>
        <v>0</v>
      </c>
      <c r="Q167" s="118">
        <f t="shared" si="10"/>
        <v>0</v>
      </c>
      <c r="R167" s="119">
        <f t="shared" si="11"/>
        <v>0</v>
      </c>
    </row>
    <row r="168" spans="2:18" x14ac:dyDescent="0.25">
      <c r="B168" s="131">
        <v>750</v>
      </c>
      <c r="C168" s="132">
        <v>0</v>
      </c>
      <c r="D168" s="132"/>
      <c r="E168" s="108">
        <f t="shared" si="8"/>
        <v>0</v>
      </c>
      <c r="F168" s="26">
        <v>750</v>
      </c>
      <c r="G168" s="33">
        <v>99.16</v>
      </c>
      <c r="H168" s="33">
        <v>99.56</v>
      </c>
      <c r="I168" s="33">
        <v>8278</v>
      </c>
      <c r="J168" s="33">
        <v>17476</v>
      </c>
      <c r="K168" s="118">
        <f>I168/8760</f>
        <v>0.94497716894977168</v>
      </c>
      <c r="L168" s="118">
        <f>J168/8760</f>
        <v>1.9949771689497717</v>
      </c>
      <c r="M168" s="55">
        <v>2070</v>
      </c>
      <c r="N168" s="55">
        <v>4370</v>
      </c>
      <c r="O168" s="117">
        <f t="shared" si="3"/>
        <v>0</v>
      </c>
      <c r="P168" s="117">
        <f t="shared" si="9"/>
        <v>0</v>
      </c>
      <c r="Q168" s="118">
        <f t="shared" si="10"/>
        <v>0</v>
      </c>
      <c r="R168" s="119">
        <f t="shared" si="11"/>
        <v>0</v>
      </c>
    </row>
    <row r="169" spans="2:18" ht="15.75" thickBot="1" x14ac:dyDescent="0.3">
      <c r="B169" s="131">
        <v>1000</v>
      </c>
      <c r="C169" s="132">
        <v>0</v>
      </c>
      <c r="D169" s="132"/>
      <c r="E169" s="108">
        <f t="shared" si="8"/>
        <v>0</v>
      </c>
      <c r="F169" s="26">
        <v>1000</v>
      </c>
      <c r="G169" s="33">
        <v>99.23</v>
      </c>
      <c r="H169" s="33">
        <v>99.59</v>
      </c>
      <c r="I169" s="33">
        <v>10118</v>
      </c>
      <c r="J169" s="33">
        <v>21155</v>
      </c>
      <c r="K169" s="118">
        <f>I169/8760</f>
        <v>1.1550228310502284</v>
      </c>
      <c r="L169" s="118">
        <f>J169/8760</f>
        <v>2.4149543378995433</v>
      </c>
      <c r="M169" s="55">
        <v>2530</v>
      </c>
      <c r="N169" s="55">
        <v>5290</v>
      </c>
      <c r="O169" s="117">
        <f t="shared" si="3"/>
        <v>0</v>
      </c>
      <c r="P169" s="117">
        <f t="shared" si="9"/>
        <v>0</v>
      </c>
      <c r="Q169" s="118">
        <f t="shared" si="10"/>
        <v>0</v>
      </c>
      <c r="R169" s="136">
        <f t="shared" si="11"/>
        <v>0</v>
      </c>
    </row>
    <row r="170" spans="2:18" ht="15.75" thickBot="1" x14ac:dyDescent="0.3">
      <c r="B170" s="137"/>
      <c r="C170" s="138"/>
      <c r="D170" s="138"/>
      <c r="E170" s="138"/>
      <c r="F170" s="138"/>
      <c r="G170" s="138"/>
      <c r="H170" s="138"/>
      <c r="I170" s="138"/>
      <c r="J170" s="138"/>
      <c r="K170" s="138"/>
      <c r="L170" s="138"/>
      <c r="M170" s="138"/>
      <c r="N170" s="138"/>
      <c r="O170" s="139" t="s">
        <v>377</v>
      </c>
      <c r="P170" s="139" t="s">
        <v>44</v>
      </c>
      <c r="Q170" s="139" t="s">
        <v>26</v>
      </c>
      <c r="R170" s="140" t="s">
        <v>417</v>
      </c>
    </row>
    <row r="171" spans="2:18" ht="15.75" thickBot="1" x14ac:dyDescent="0.3">
      <c r="B171" s="137"/>
      <c r="C171" s="138"/>
      <c r="D171" s="138"/>
      <c r="E171" s="138"/>
      <c r="F171" s="138"/>
      <c r="G171" s="138"/>
      <c r="H171" s="138"/>
      <c r="I171" s="138"/>
      <c r="J171" s="138"/>
      <c r="K171" s="138"/>
      <c r="L171" s="138"/>
      <c r="M171" s="138"/>
      <c r="N171" s="141" t="s">
        <v>418</v>
      </c>
      <c r="O171" s="142">
        <f>SUM(O146:O169)</f>
        <v>0</v>
      </c>
      <c r="P171" s="142">
        <f>SUM(P146:P169)</f>
        <v>0</v>
      </c>
      <c r="Q171" s="143">
        <f>SUM(Q146:Q169)</f>
        <v>0</v>
      </c>
      <c r="R171" s="144">
        <f>SUM(R146:R169)</f>
        <v>0</v>
      </c>
    </row>
    <row r="172" spans="2:18" x14ac:dyDescent="0.25">
      <c r="R172" s="85" t="s">
        <v>419</v>
      </c>
    </row>
  </sheetData>
  <sheetProtection algorithmName="SHA-512" hashValue="eoPw32+lnRwK4+1rb6BRTjEPlSX0vffBtFQKV+9ZZB9aZBVuBwpBB3DewucAVLCmyirxqscheSWn2VMrzHu7qg==" saltValue="/ILg19m52gh+o6R6T+f2hQ==" spinCount="100000" sheet="1" objects="1" scenarios="1"/>
  <protectedRanges>
    <protectedRange sqref="L138:N138" name="Range3"/>
    <protectedRange sqref="C146:D169" name="Range1"/>
    <protectedRange sqref="E138:F138" name="Range2"/>
  </protectedRanges>
  <mergeCells count="40">
    <mergeCell ref="B143:D143"/>
    <mergeCell ref="F143:N143"/>
    <mergeCell ref="O143:R143"/>
    <mergeCell ref="B145:R145"/>
    <mergeCell ref="B156:R156"/>
    <mergeCell ref="C99:D99"/>
    <mergeCell ref="E99:F99"/>
    <mergeCell ref="E129:R131"/>
    <mergeCell ref="E138:F138"/>
    <mergeCell ref="L138:N138"/>
    <mergeCell ref="K141:L141"/>
    <mergeCell ref="M141:N141"/>
    <mergeCell ref="O141:R141"/>
    <mergeCell ref="C64:D64"/>
    <mergeCell ref="B49:C49"/>
    <mergeCell ref="B50:C50"/>
    <mergeCell ref="B51:C51"/>
    <mergeCell ref="B52:C52"/>
    <mergeCell ref="B53:C53"/>
    <mergeCell ref="B54:C54"/>
    <mergeCell ref="B55:C55"/>
    <mergeCell ref="B141:D141"/>
    <mergeCell ref="E141:E142"/>
    <mergeCell ref="F141:F142"/>
    <mergeCell ref="G141:H141"/>
    <mergeCell ref="I141:J141"/>
    <mergeCell ref="Y5:AF5"/>
    <mergeCell ref="J6:Q6"/>
    <mergeCell ref="A3:AF3"/>
    <mergeCell ref="A1:AF1"/>
    <mergeCell ref="B36:I36"/>
    <mergeCell ref="A23:AF23"/>
    <mergeCell ref="B24:I24"/>
    <mergeCell ref="B37:AF37"/>
    <mergeCell ref="A40:AF40"/>
    <mergeCell ref="B27:I27"/>
    <mergeCell ref="B28:AF28"/>
    <mergeCell ref="B30:I30"/>
    <mergeCell ref="B31:AF31"/>
    <mergeCell ref="B33:I33"/>
  </mergeCells>
  <dataValidations count="1">
    <dataValidation type="list" allowBlank="1" showInputMessage="1" sqref="J6:Q6" xr:uid="{00000000-0002-0000-6700-000000000000}">
      <formula1>#REF!</formula1>
    </dataValidation>
  </dataValidations>
  <hyperlinks>
    <hyperlink ref="B58" r:id="rId1" xr:uid="{00000000-0004-0000-6700-000000000000}"/>
    <hyperlink ref="B57" r:id="rId2" xr:uid="{00000000-0004-0000-6700-000001000000}"/>
  </hyperlinks>
  <pageMargins left="0.7" right="0.7" top="0.75" bottom="0.75" header="0.3" footer="0.3"/>
  <pageSetup orientation="landscape" r:id="rId3"/>
  <headerFooter>
    <oddHeader>&amp;C&amp;"Arial,Regular"&amp;09&amp;I&amp;K000000Leidos Proprietary</oddHeader>
    <oddFooter>&amp;C&amp;"Calibri,Regular"&amp;11</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4"/>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1">
    <pageSetUpPr autoPageBreaks="0"/>
  </sheetPr>
  <dimension ref="A1:AF74"/>
  <sheetViews>
    <sheetView topLeftCell="A41" zoomScaleNormal="100" workbookViewId="0">
      <selection activeCell="A159" sqref="A159:AF159"/>
    </sheetView>
  </sheetViews>
  <sheetFormatPr defaultColWidth="2.7109375" defaultRowHeight="15" x14ac:dyDescent="0.25"/>
  <sheetData>
    <row r="1" spans="1:32" s="1" customFormat="1" ht="18.75" x14ac:dyDescent="0.25">
      <c r="A1" s="1464" t="s">
        <v>1094</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3">
      <c r="A2" s="24"/>
    </row>
    <row r="3" spans="1:32" s="1" customFormat="1" x14ac:dyDescent="0.25">
      <c r="A3" s="1582" t="s">
        <v>0</v>
      </c>
      <c r="B3" s="1582"/>
      <c r="C3" s="1582"/>
      <c r="D3" s="1582"/>
      <c r="E3" s="1582"/>
      <c r="F3" s="1582"/>
      <c r="G3" s="1582"/>
      <c r="H3" s="1582"/>
      <c r="I3" s="1582"/>
      <c r="J3" s="1582"/>
      <c r="K3" s="1582"/>
      <c r="L3" s="1582"/>
      <c r="M3" s="1582"/>
      <c r="N3" s="1582"/>
      <c r="O3" s="1582"/>
      <c r="P3" s="1582"/>
      <c r="Q3" s="1582"/>
      <c r="R3" s="1582"/>
      <c r="S3" s="1582"/>
      <c r="T3" s="1582"/>
      <c r="U3" s="1582"/>
      <c r="V3" s="1582"/>
      <c r="W3" s="1582"/>
      <c r="X3" s="1582"/>
      <c r="Y3" s="1582"/>
      <c r="Z3" s="1582"/>
      <c r="AA3" s="1582"/>
      <c r="AB3" s="1582"/>
      <c r="AC3" s="1582"/>
      <c r="AD3" s="1582"/>
      <c r="AE3" s="1582"/>
      <c r="AF3" s="1582"/>
    </row>
    <row r="4" spans="1:32" s="1" customFormat="1" x14ac:dyDescent="0.25">
      <c r="B4" s="1475" t="s">
        <v>1</v>
      </c>
      <c r="C4" s="1475"/>
      <c r="D4" s="1475"/>
      <c r="E4" s="1475"/>
      <c r="F4" s="1475"/>
      <c r="G4" s="1475"/>
      <c r="H4" s="1475"/>
      <c r="I4" s="1475"/>
      <c r="J4" s="1753" t="s">
        <v>267</v>
      </c>
      <c r="K4" s="1753" t="s">
        <v>209</v>
      </c>
      <c r="L4" s="1753" t="s">
        <v>209</v>
      </c>
      <c r="M4" s="1753" t="s">
        <v>209</v>
      </c>
      <c r="N4" s="1753" t="s">
        <v>209</v>
      </c>
      <c r="O4" s="1753" t="s">
        <v>209</v>
      </c>
      <c r="P4" s="1753" t="s">
        <v>209</v>
      </c>
      <c r="Q4" s="1753" t="s">
        <v>209</v>
      </c>
      <c r="R4" s="1753" t="s">
        <v>209</v>
      </c>
      <c r="S4" s="1753" t="s">
        <v>209</v>
      </c>
      <c r="T4" s="1753" t="s">
        <v>209</v>
      </c>
      <c r="U4" s="1753" t="s">
        <v>209</v>
      </c>
      <c r="V4" s="1753" t="s">
        <v>209</v>
      </c>
      <c r="W4" s="1753" t="s">
        <v>209</v>
      </c>
      <c r="X4" s="1753" t="s">
        <v>209</v>
      </c>
      <c r="Y4" s="1753" t="s">
        <v>209</v>
      </c>
      <c r="Z4" s="1753" t="s">
        <v>209</v>
      </c>
      <c r="AA4" s="1753" t="s">
        <v>209</v>
      </c>
      <c r="AB4" s="1753" t="s">
        <v>209</v>
      </c>
      <c r="AC4" s="1753" t="s">
        <v>209</v>
      </c>
      <c r="AD4" s="1753" t="s">
        <v>209</v>
      </c>
      <c r="AE4" s="1753" t="s">
        <v>209</v>
      </c>
      <c r="AF4" s="1753" t="s">
        <v>209</v>
      </c>
    </row>
    <row r="5" spans="1:32" s="1" customFormat="1" x14ac:dyDescent="0.25">
      <c r="B5" s="1475" t="s">
        <v>2</v>
      </c>
      <c r="C5" s="1475"/>
      <c r="D5" s="1475"/>
      <c r="E5" s="1475"/>
      <c r="F5" s="1475"/>
      <c r="G5" s="1475"/>
      <c r="H5" s="1475"/>
      <c r="I5" s="1475"/>
      <c r="J5" s="1753" t="s">
        <v>1095</v>
      </c>
      <c r="K5" s="1753" t="s">
        <v>568</v>
      </c>
      <c r="L5" s="1753" t="s">
        <v>568</v>
      </c>
      <c r="M5" s="1753" t="s">
        <v>568</v>
      </c>
      <c r="N5" s="1753" t="s">
        <v>568</v>
      </c>
      <c r="O5" s="1753" t="s">
        <v>568</v>
      </c>
      <c r="P5" s="1753" t="s">
        <v>568</v>
      </c>
      <c r="Q5" s="1753" t="s">
        <v>568</v>
      </c>
      <c r="R5" s="1753" t="s">
        <v>568</v>
      </c>
      <c r="S5" s="1753" t="s">
        <v>568</v>
      </c>
      <c r="T5" s="1753" t="s">
        <v>568</v>
      </c>
      <c r="U5" s="1753" t="s">
        <v>568</v>
      </c>
      <c r="V5" s="1753" t="s">
        <v>568</v>
      </c>
      <c r="W5" s="1753" t="s">
        <v>568</v>
      </c>
      <c r="X5" s="1753" t="s">
        <v>568</v>
      </c>
      <c r="Y5" s="1753" t="s">
        <v>568</v>
      </c>
      <c r="Z5" s="1753" t="s">
        <v>568</v>
      </c>
      <c r="AA5" s="1753" t="s">
        <v>568</v>
      </c>
      <c r="AB5" s="1753" t="s">
        <v>568</v>
      </c>
      <c r="AC5" s="1753" t="s">
        <v>568</v>
      </c>
      <c r="AD5" s="1753" t="s">
        <v>568</v>
      </c>
      <c r="AE5" s="1753" t="s">
        <v>568</v>
      </c>
      <c r="AF5" s="1753" t="s">
        <v>568</v>
      </c>
    </row>
    <row r="6" spans="1:32" s="1" customFormat="1" x14ac:dyDescent="0.25">
      <c r="B6" s="3006" t="s">
        <v>3</v>
      </c>
      <c r="C6" s="3006"/>
      <c r="D6" s="3006"/>
      <c r="E6" s="3006"/>
      <c r="F6" s="3006"/>
      <c r="G6" s="3006"/>
      <c r="H6" s="3006"/>
      <c r="I6" s="3006"/>
      <c r="J6" s="1753"/>
      <c r="K6" s="1753"/>
      <c r="L6" s="1753"/>
      <c r="M6" s="1753"/>
      <c r="N6" s="1753"/>
      <c r="O6" s="1753"/>
      <c r="P6" s="1753"/>
      <c r="Q6" s="1753"/>
      <c r="R6" s="1753"/>
      <c r="S6" s="1753"/>
      <c r="T6" s="1753"/>
      <c r="U6" s="1753"/>
      <c r="V6" s="1753"/>
      <c r="W6" s="1753"/>
      <c r="X6" s="1753"/>
      <c r="Y6" s="1753"/>
      <c r="Z6" s="1753"/>
      <c r="AA6" s="1753"/>
      <c r="AB6" s="1753"/>
      <c r="AC6" s="1753"/>
      <c r="AD6" s="1753"/>
      <c r="AE6" s="1753"/>
      <c r="AF6" s="1753"/>
    </row>
    <row r="7" spans="1:32" s="1" customFormat="1" x14ac:dyDescent="0.25">
      <c r="B7" s="3006" t="s">
        <v>615</v>
      </c>
      <c r="C7" s="3006"/>
      <c r="D7" s="3006"/>
      <c r="E7" s="3006"/>
      <c r="F7" s="3006"/>
      <c r="G7" s="3006"/>
      <c r="H7" s="3006"/>
      <c r="I7" s="3006"/>
      <c r="J7" s="1753"/>
      <c r="K7" s="1753"/>
      <c r="L7" s="1753"/>
      <c r="M7" s="1753"/>
      <c r="N7" s="1753"/>
      <c r="O7" s="1753"/>
      <c r="P7" s="1753"/>
      <c r="Q7" s="1753"/>
      <c r="R7" s="1753"/>
      <c r="S7" s="1753"/>
      <c r="T7" s="1753"/>
      <c r="U7" s="1753"/>
      <c r="V7" s="1753"/>
      <c r="W7" s="1753"/>
      <c r="X7" s="1753"/>
      <c r="Y7" s="1753"/>
      <c r="Z7" s="1753"/>
      <c r="AA7" s="1753"/>
      <c r="AB7" s="1753"/>
      <c r="AC7" s="1753"/>
      <c r="AD7" s="1753"/>
      <c r="AE7" s="1753"/>
      <c r="AF7" s="1753"/>
    </row>
    <row r="8" spans="1:32" s="1" customFormat="1" x14ac:dyDescent="0.25"/>
    <row r="9" spans="1:32" s="1" customFormat="1" x14ac:dyDescent="0.25">
      <c r="A9" s="1582" t="s">
        <v>9</v>
      </c>
      <c r="B9" s="1582"/>
      <c r="C9" s="1582"/>
      <c r="D9" s="1582"/>
      <c r="E9" s="1582"/>
      <c r="F9" s="1582"/>
      <c r="G9" s="1582"/>
      <c r="H9" s="1582"/>
      <c r="I9" s="1582"/>
      <c r="J9" s="1582"/>
      <c r="K9" s="1582"/>
      <c r="L9" s="1582"/>
      <c r="M9" s="1582"/>
      <c r="N9" s="1582"/>
      <c r="O9" s="1582"/>
      <c r="P9" s="1582"/>
      <c r="Q9" s="1582"/>
      <c r="R9" s="1582"/>
      <c r="S9" s="1582"/>
      <c r="T9" s="1582"/>
      <c r="U9" s="1582"/>
      <c r="V9" s="1582"/>
      <c r="W9" s="1582"/>
      <c r="X9" s="1582"/>
      <c r="Y9" s="1582"/>
      <c r="Z9" s="1582"/>
      <c r="AA9" s="1582"/>
      <c r="AB9" s="1582"/>
      <c r="AC9" s="1582"/>
      <c r="AD9" s="1582"/>
      <c r="AE9" s="1582"/>
      <c r="AF9" s="1582"/>
    </row>
    <row r="10" spans="1:32" s="1" customFormat="1" x14ac:dyDescent="0.25">
      <c r="B10" s="1475" t="s">
        <v>10</v>
      </c>
      <c r="C10" s="1475"/>
      <c r="D10" s="1475"/>
      <c r="E10" s="1475"/>
      <c r="F10" s="1475"/>
      <c r="G10" s="1475"/>
      <c r="H10" s="1475"/>
      <c r="I10" s="1475"/>
    </row>
    <row r="11" spans="1:32" s="4" customFormat="1" x14ac:dyDescent="0.25">
      <c r="B11" s="1151" t="s">
        <v>1096</v>
      </c>
      <c r="C11" s="1151"/>
      <c r="D11" s="1151"/>
      <c r="E11" s="1151"/>
      <c r="F11" s="1151"/>
      <c r="G11" s="1151"/>
      <c r="H11" s="1151"/>
      <c r="I11" s="1151"/>
      <c r="J11" s="1151"/>
      <c r="K11" s="1151"/>
      <c r="L11" s="1151"/>
      <c r="M11" s="1151"/>
      <c r="N11" s="1151"/>
      <c r="O11" s="1151"/>
      <c r="P11" s="1151"/>
      <c r="Q11" s="1151"/>
      <c r="R11" s="1151"/>
      <c r="S11" s="1151"/>
      <c r="T11" s="1151"/>
      <c r="U11" s="1151"/>
      <c r="V11" s="1151"/>
      <c r="W11" s="1151"/>
      <c r="X11" s="1151"/>
      <c r="Y11" s="1151"/>
      <c r="Z11" s="1151"/>
      <c r="AA11" s="1151"/>
      <c r="AB11" s="1151"/>
      <c r="AC11" s="1151"/>
      <c r="AD11" s="1151"/>
      <c r="AE11" s="1151"/>
      <c r="AF11" s="1151"/>
    </row>
    <row r="12" spans="1:32" s="1" customFormat="1" x14ac:dyDescent="0.25"/>
    <row r="13" spans="1:32" s="1" customFormat="1" x14ac:dyDescent="0.25">
      <c r="B13" s="1475" t="s">
        <v>11</v>
      </c>
      <c r="C13" s="1475"/>
      <c r="D13" s="1475"/>
      <c r="E13" s="1475"/>
      <c r="F13" s="1475"/>
      <c r="G13" s="1475"/>
      <c r="H13" s="1475"/>
      <c r="I13" s="1475"/>
    </row>
    <row r="14" spans="1:32" s="1" customFormat="1" x14ac:dyDescent="0.25">
      <c r="B14" s="1473"/>
      <c r="C14" s="1473"/>
      <c r="D14" s="1473"/>
      <c r="E14" s="1473"/>
      <c r="F14" s="1473"/>
      <c r="G14" s="1473"/>
      <c r="H14" s="1473"/>
      <c r="I14" s="1473"/>
      <c r="J14" s="1473"/>
      <c r="K14" s="1473"/>
      <c r="L14" s="1473"/>
      <c r="M14" s="1473"/>
      <c r="N14" s="1473"/>
      <c r="O14" s="1473"/>
      <c r="P14" s="1473"/>
      <c r="Q14" s="1473"/>
      <c r="R14" s="1473"/>
      <c r="S14" s="1473"/>
      <c r="T14" s="1473"/>
      <c r="U14" s="1473"/>
      <c r="V14" s="1473"/>
      <c r="W14" s="1473"/>
      <c r="X14" s="1473"/>
      <c r="Y14" s="1473"/>
      <c r="Z14" s="1473"/>
      <c r="AA14" s="1473"/>
      <c r="AB14" s="1473"/>
      <c r="AC14" s="1473"/>
      <c r="AD14" s="1473"/>
      <c r="AE14" s="1473"/>
      <c r="AF14" s="1473"/>
    </row>
    <row r="15" spans="1:32" s="1" customFormat="1" x14ac:dyDescent="0.25"/>
    <row r="16" spans="1:32" s="1" customFormat="1" x14ac:dyDescent="0.25">
      <c r="B16" s="1475" t="s">
        <v>12</v>
      </c>
      <c r="C16" s="1475"/>
      <c r="D16" s="1475"/>
      <c r="E16" s="1475"/>
      <c r="F16" s="1475"/>
      <c r="G16" s="1475"/>
      <c r="H16" s="1475"/>
      <c r="I16" s="1475"/>
    </row>
    <row r="17" spans="1:32" s="1" customFormat="1" x14ac:dyDescent="0.25">
      <c r="B17" s="1473" t="s">
        <v>1097</v>
      </c>
      <c r="C17" s="1473"/>
      <c r="D17" s="1473"/>
      <c r="E17" s="1473"/>
      <c r="F17" s="1473"/>
      <c r="G17" s="1473"/>
      <c r="H17" s="1473"/>
      <c r="I17" s="1473"/>
      <c r="J17" s="1473"/>
      <c r="K17" s="1473"/>
      <c r="L17" s="1473"/>
      <c r="M17" s="1473"/>
      <c r="N17" s="1473"/>
      <c r="O17" s="1473"/>
      <c r="P17" s="1473"/>
      <c r="Q17" s="1473"/>
      <c r="R17" s="1473"/>
      <c r="S17" s="1473"/>
      <c r="T17" s="1473"/>
      <c r="U17" s="1473"/>
      <c r="V17" s="1473"/>
      <c r="W17" s="1473"/>
      <c r="X17" s="1473"/>
      <c r="Y17" s="1473"/>
      <c r="Z17" s="1473"/>
      <c r="AA17" s="1473"/>
      <c r="AB17" s="1473"/>
      <c r="AC17" s="1473"/>
      <c r="AD17" s="1473"/>
      <c r="AE17" s="1473"/>
      <c r="AF17" s="1473"/>
    </row>
    <row r="18" spans="1:32" s="1" customFormat="1" x14ac:dyDescent="0.25"/>
    <row r="19" spans="1:32" s="1" customFormat="1" x14ac:dyDescent="0.25">
      <c r="B19" s="1475" t="s">
        <v>13</v>
      </c>
      <c r="C19" s="1475"/>
      <c r="D19" s="1475"/>
      <c r="E19" s="1475"/>
      <c r="F19" s="1475"/>
      <c r="G19" s="1475"/>
      <c r="H19" s="1475"/>
      <c r="I19" s="1475"/>
    </row>
    <row r="20" spans="1:32" s="4" customFormat="1" ht="14.45" customHeight="1" x14ac:dyDescent="0.25">
      <c r="B20" s="1151"/>
      <c r="C20" s="1151"/>
      <c r="D20" s="1151"/>
      <c r="E20" s="1151"/>
      <c r="F20" s="1151"/>
      <c r="G20" s="1151"/>
      <c r="H20" s="1151"/>
      <c r="I20" s="1151"/>
      <c r="J20" s="1151"/>
      <c r="K20" s="1151"/>
      <c r="L20" s="1151"/>
      <c r="M20" s="1151"/>
      <c r="N20" s="1151"/>
      <c r="O20" s="1151"/>
      <c r="P20" s="1151"/>
      <c r="Q20" s="1151"/>
      <c r="R20" s="1151"/>
      <c r="S20" s="1151"/>
      <c r="T20" s="1151"/>
      <c r="U20" s="1151"/>
      <c r="V20" s="1151"/>
      <c r="W20" s="1151"/>
      <c r="X20" s="1151"/>
      <c r="Y20" s="1151"/>
      <c r="Z20" s="1151"/>
      <c r="AA20" s="1151"/>
      <c r="AB20" s="1151"/>
      <c r="AC20" s="1151"/>
      <c r="AD20" s="1151"/>
      <c r="AE20" s="1151"/>
      <c r="AF20" s="1151"/>
    </row>
    <row r="21" spans="1:32" s="1" customFormat="1" x14ac:dyDescent="0.25"/>
    <row r="22" spans="1:32" s="1" customFormat="1" x14ac:dyDescent="0.25">
      <c r="B22" s="1475" t="s">
        <v>20</v>
      </c>
      <c r="C22" s="1475"/>
      <c r="D22" s="1475"/>
      <c r="E22" s="1475"/>
      <c r="F22" s="1475"/>
      <c r="G22" s="1475"/>
      <c r="H22" s="1475"/>
      <c r="I22" s="1475"/>
    </row>
    <row r="23" spans="1:32" s="1" customFormat="1" ht="14.45" customHeight="1" x14ac:dyDescent="0.25">
      <c r="B23" s="1151"/>
      <c r="C23" s="1473"/>
      <c r="D23" s="1473"/>
      <c r="E23" s="1473"/>
      <c r="F23" s="1473"/>
      <c r="G23" s="1473"/>
      <c r="H23" s="1473"/>
      <c r="I23" s="1473"/>
      <c r="J23" s="1473"/>
      <c r="K23" s="1473"/>
      <c r="L23" s="1473"/>
      <c r="M23" s="1473"/>
      <c r="N23" s="1473"/>
      <c r="O23" s="1473"/>
      <c r="P23" s="1473"/>
      <c r="Q23" s="1473"/>
      <c r="R23" s="1473"/>
      <c r="S23" s="1473"/>
      <c r="T23" s="1473"/>
      <c r="U23" s="1473"/>
      <c r="V23" s="1473"/>
      <c r="W23" s="1473"/>
      <c r="X23" s="1473"/>
      <c r="Y23" s="1473"/>
      <c r="Z23" s="1473"/>
      <c r="AA23" s="1473"/>
      <c r="AB23" s="1473"/>
      <c r="AC23" s="1473"/>
      <c r="AD23" s="1473"/>
      <c r="AE23" s="1473"/>
      <c r="AF23" s="1473"/>
    </row>
    <row r="24" spans="1:32" s="1" customFormat="1" x14ac:dyDescent="0.25"/>
    <row r="25" spans="1:32" s="1" customFormat="1" x14ac:dyDescent="0.25"/>
    <row r="26" spans="1:32" s="1" customFormat="1" x14ac:dyDescent="0.25">
      <c r="A26" s="1582" t="s">
        <v>14</v>
      </c>
      <c r="B26" s="1582"/>
      <c r="C26" s="1582"/>
      <c r="D26" s="1582"/>
      <c r="E26" s="1582"/>
      <c r="F26" s="1582"/>
      <c r="G26" s="1582"/>
      <c r="H26" s="1582"/>
      <c r="I26" s="1582"/>
      <c r="J26" s="1582"/>
      <c r="K26" s="1582"/>
      <c r="L26" s="1582"/>
      <c r="M26" s="1582"/>
      <c r="N26" s="1582"/>
      <c r="O26" s="1582"/>
      <c r="P26" s="1582"/>
      <c r="Q26" s="1582"/>
      <c r="R26" s="1582"/>
      <c r="S26" s="1582"/>
      <c r="T26" s="1582"/>
      <c r="U26" s="1582"/>
      <c r="V26" s="1582"/>
      <c r="W26" s="1582"/>
      <c r="X26" s="1582"/>
      <c r="Y26" s="1582"/>
      <c r="Z26" s="1582"/>
      <c r="AA26" s="1582"/>
      <c r="AB26" s="1582"/>
      <c r="AC26" s="1582"/>
      <c r="AD26" s="1582"/>
      <c r="AE26" s="1582"/>
      <c r="AF26" s="1582"/>
    </row>
    <row r="27" spans="1:32" s="1" customFormat="1" x14ac:dyDescent="0.25"/>
    <row r="28" spans="1:32" s="1" customFormat="1" ht="14.45" customHeight="1" x14ac:dyDescent="0.25">
      <c r="A28" s="3914" t="s">
        <v>1098</v>
      </c>
      <c r="B28" s="3914"/>
      <c r="C28" s="3914"/>
      <c r="D28" s="3914"/>
      <c r="E28" s="3914"/>
      <c r="F28" s="3914"/>
      <c r="G28" s="3914"/>
      <c r="H28" s="3914"/>
      <c r="I28" s="3142" t="s">
        <v>1100</v>
      </c>
      <c r="J28" s="1390" t="s">
        <v>618</v>
      </c>
      <c r="K28" s="1390" t="s">
        <v>618</v>
      </c>
      <c r="L28" s="1390" t="s">
        <v>618</v>
      </c>
      <c r="M28" s="1390" t="s">
        <v>618</v>
      </c>
      <c r="N28" s="1390" t="s">
        <v>618</v>
      </c>
      <c r="O28" s="1390" t="s">
        <v>618</v>
      </c>
      <c r="P28" s="1390" t="s">
        <v>618</v>
      </c>
      <c r="Q28" s="1390" t="s">
        <v>618</v>
      </c>
      <c r="R28" s="1390" t="s">
        <v>618</v>
      </c>
      <c r="S28" s="1390" t="s">
        <v>618</v>
      </c>
      <c r="T28" s="1390" t="s">
        <v>618</v>
      </c>
      <c r="U28" s="1390" t="s">
        <v>618</v>
      </c>
      <c r="V28" s="1390" t="s">
        <v>618</v>
      </c>
      <c r="W28" s="1390" t="s">
        <v>618</v>
      </c>
      <c r="X28" s="1390" t="s">
        <v>618</v>
      </c>
      <c r="Y28" s="1390" t="s">
        <v>618</v>
      </c>
      <c r="Z28" s="1390" t="s">
        <v>618</v>
      </c>
      <c r="AA28" s="1390" t="s">
        <v>618</v>
      </c>
      <c r="AB28" s="1390" t="s">
        <v>618</v>
      </c>
      <c r="AC28" s="1390" t="s">
        <v>618</v>
      </c>
      <c r="AD28" s="1390" t="s">
        <v>618</v>
      </c>
      <c r="AE28" s="1390" t="s">
        <v>618</v>
      </c>
      <c r="AF28" s="1390" t="s">
        <v>618</v>
      </c>
    </row>
    <row r="29" spans="1:32" s="1" customFormat="1" ht="14.45" customHeight="1" x14ac:dyDescent="0.25">
      <c r="A29" s="3914" t="s">
        <v>1099</v>
      </c>
      <c r="B29" s="3914"/>
      <c r="C29" s="3914"/>
      <c r="D29" s="3914"/>
      <c r="E29" s="3914"/>
      <c r="F29" s="3914"/>
      <c r="G29" s="3914"/>
      <c r="H29" s="3914"/>
      <c r="I29" s="3142" t="s">
        <v>1101</v>
      </c>
      <c r="J29" s="1390" t="s">
        <v>619</v>
      </c>
      <c r="K29" s="1390" t="s">
        <v>619</v>
      </c>
      <c r="L29" s="1390" t="s">
        <v>619</v>
      </c>
      <c r="M29" s="1390" t="s">
        <v>619</v>
      </c>
      <c r="N29" s="1390" t="s">
        <v>619</v>
      </c>
      <c r="O29" s="1390" t="s">
        <v>619</v>
      </c>
      <c r="P29" s="1390" t="s">
        <v>619</v>
      </c>
      <c r="Q29" s="1390" t="s">
        <v>619</v>
      </c>
      <c r="R29" s="1390" t="s">
        <v>619</v>
      </c>
      <c r="S29" s="1390" t="s">
        <v>619</v>
      </c>
      <c r="T29" s="1390" t="s">
        <v>619</v>
      </c>
      <c r="U29" s="1390" t="s">
        <v>619</v>
      </c>
      <c r="V29" s="1390" t="s">
        <v>619</v>
      </c>
      <c r="W29" s="1390" t="s">
        <v>619</v>
      </c>
      <c r="X29" s="1390" t="s">
        <v>619</v>
      </c>
      <c r="Y29" s="1390" t="s">
        <v>619</v>
      </c>
      <c r="Z29" s="1390" t="s">
        <v>619</v>
      </c>
      <c r="AA29" s="1390" t="s">
        <v>619</v>
      </c>
      <c r="AB29" s="1390" t="s">
        <v>619</v>
      </c>
      <c r="AC29" s="1390" t="s">
        <v>619</v>
      </c>
      <c r="AD29" s="1390" t="s">
        <v>619</v>
      </c>
      <c r="AE29" s="1390" t="s">
        <v>619</v>
      </c>
      <c r="AF29" s="1390" t="s">
        <v>619</v>
      </c>
    </row>
    <row r="30" spans="1:32" s="1" customFormat="1" x14ac:dyDescent="0.25"/>
    <row r="31" spans="1:32" s="1" customFormat="1" x14ac:dyDescent="0.25">
      <c r="A31" s="1472" t="s">
        <v>15</v>
      </c>
      <c r="B31" s="1472"/>
      <c r="C31" s="1472"/>
      <c r="D31" s="1472"/>
      <c r="E31" s="1472"/>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row>
    <row r="32" spans="1:32" s="1" customFormat="1" x14ac:dyDescent="0.25">
      <c r="A32" s="1303" t="s">
        <v>16</v>
      </c>
      <c r="B32" s="1303"/>
      <c r="C32" s="1303"/>
      <c r="D32" s="1303"/>
      <c r="E32" s="1303" t="s">
        <v>10</v>
      </c>
      <c r="F32" s="1303"/>
      <c r="G32" s="1303"/>
      <c r="H32" s="1303"/>
      <c r="I32" s="1303"/>
      <c r="J32" s="1303"/>
      <c r="K32" s="1303"/>
      <c r="L32" s="1303"/>
      <c r="M32" s="1303"/>
      <c r="N32" s="1303"/>
      <c r="O32" s="1303"/>
      <c r="P32" s="1303"/>
      <c r="Q32" s="1303" t="s">
        <v>17</v>
      </c>
      <c r="R32" s="1303"/>
      <c r="S32" s="1303"/>
      <c r="T32" s="1303"/>
      <c r="U32" s="1426" t="s">
        <v>18</v>
      </c>
      <c r="V32" s="1427"/>
      <c r="W32" s="1428"/>
      <c r="X32" s="1426" t="s">
        <v>19</v>
      </c>
      <c r="Y32" s="1427"/>
      <c r="Z32" s="1427"/>
      <c r="AA32" s="1427"/>
      <c r="AB32" s="1427"/>
      <c r="AC32" s="1427"/>
      <c r="AD32" s="1427"/>
      <c r="AE32" s="1427"/>
      <c r="AF32" s="1428"/>
    </row>
    <row r="33" spans="1:32" s="1" customFormat="1" ht="28.9" customHeight="1" x14ac:dyDescent="0.25">
      <c r="A33" s="1763" t="s">
        <v>1107</v>
      </c>
      <c r="B33" s="1764" t="s">
        <v>294</v>
      </c>
      <c r="C33" s="1764" t="s">
        <v>294</v>
      </c>
      <c r="D33" s="1765" t="s">
        <v>294</v>
      </c>
      <c r="E33" s="3915" t="s">
        <v>1102</v>
      </c>
      <c r="F33" s="1914" t="s">
        <v>620</v>
      </c>
      <c r="G33" s="1914" t="s">
        <v>620</v>
      </c>
      <c r="H33" s="1914" t="s">
        <v>620</v>
      </c>
      <c r="I33" s="1914" t="s">
        <v>620</v>
      </c>
      <c r="J33" s="1914" t="s">
        <v>620</v>
      </c>
      <c r="K33" s="1914" t="s">
        <v>620</v>
      </c>
      <c r="L33" s="1914" t="s">
        <v>620</v>
      </c>
      <c r="M33" s="1914" t="s">
        <v>620</v>
      </c>
      <c r="N33" s="1914" t="s">
        <v>620</v>
      </c>
      <c r="O33" s="1914" t="s">
        <v>620</v>
      </c>
      <c r="P33" s="1915" t="s">
        <v>620</v>
      </c>
      <c r="Q33" s="3916" t="s">
        <v>626</v>
      </c>
      <c r="R33" s="3917" t="s">
        <v>251</v>
      </c>
      <c r="S33" s="3917" t="s">
        <v>251</v>
      </c>
      <c r="T33" s="3918" t="s">
        <v>251</v>
      </c>
      <c r="U33" s="3919" t="s">
        <v>26</v>
      </c>
      <c r="V33" s="2781"/>
      <c r="W33" s="2782"/>
      <c r="X33" s="3915"/>
      <c r="Y33" s="1914"/>
      <c r="Z33" s="1914"/>
      <c r="AA33" s="1914"/>
      <c r="AB33" s="1914"/>
      <c r="AC33" s="1914"/>
      <c r="AD33" s="1914"/>
      <c r="AE33" s="1914"/>
      <c r="AF33" s="1915"/>
    </row>
    <row r="34" spans="1:32" s="1" customFormat="1" ht="18" x14ac:dyDescent="0.25">
      <c r="A34" s="1763" t="s">
        <v>1108</v>
      </c>
      <c r="B34" s="1764" t="s">
        <v>621</v>
      </c>
      <c r="C34" s="1764" t="s">
        <v>621</v>
      </c>
      <c r="D34" s="1765" t="s">
        <v>621</v>
      </c>
      <c r="E34" s="3915" t="s">
        <v>1103</v>
      </c>
      <c r="F34" s="1914" t="s">
        <v>622</v>
      </c>
      <c r="G34" s="1914" t="s">
        <v>622</v>
      </c>
      <c r="H34" s="1914" t="s">
        <v>622</v>
      </c>
      <c r="I34" s="1914" t="s">
        <v>622</v>
      </c>
      <c r="J34" s="1914" t="s">
        <v>622</v>
      </c>
      <c r="K34" s="1914" t="s">
        <v>622</v>
      </c>
      <c r="L34" s="1914" t="s">
        <v>622</v>
      </c>
      <c r="M34" s="1914" t="s">
        <v>622</v>
      </c>
      <c r="N34" s="1914" t="s">
        <v>622</v>
      </c>
      <c r="O34" s="1914" t="s">
        <v>622</v>
      </c>
      <c r="P34" s="1915" t="s">
        <v>622</v>
      </c>
      <c r="Q34" s="3916" t="s">
        <v>1106</v>
      </c>
      <c r="R34" s="3917" t="s">
        <v>623</v>
      </c>
      <c r="S34" s="3917" t="s">
        <v>623</v>
      </c>
      <c r="T34" s="3918" t="s">
        <v>623</v>
      </c>
      <c r="U34" s="3919" t="s">
        <v>26</v>
      </c>
      <c r="V34" s="2781"/>
      <c r="W34" s="2782"/>
      <c r="X34" s="3915"/>
      <c r="Y34" s="1914"/>
      <c r="Z34" s="1914"/>
      <c r="AA34" s="1914"/>
      <c r="AB34" s="1914"/>
      <c r="AC34" s="1914"/>
      <c r="AD34" s="1914"/>
      <c r="AE34" s="1914"/>
      <c r="AF34" s="1915"/>
    </row>
    <row r="35" spans="1:32" s="1" customFormat="1" x14ac:dyDescent="0.25">
      <c r="A35" s="1763" t="s">
        <v>545</v>
      </c>
      <c r="B35" s="1764" t="s">
        <v>545</v>
      </c>
      <c r="C35" s="1764" t="s">
        <v>545</v>
      </c>
      <c r="D35" s="1765" t="s">
        <v>545</v>
      </c>
      <c r="E35" s="3915" t="s">
        <v>104</v>
      </c>
      <c r="F35" s="1914" t="s">
        <v>546</v>
      </c>
      <c r="G35" s="1914" t="s">
        <v>546</v>
      </c>
      <c r="H35" s="1914" t="s">
        <v>546</v>
      </c>
      <c r="I35" s="1914" t="s">
        <v>546</v>
      </c>
      <c r="J35" s="1914" t="s">
        <v>546</v>
      </c>
      <c r="K35" s="1914" t="s">
        <v>546</v>
      </c>
      <c r="L35" s="1914" t="s">
        <v>546</v>
      </c>
      <c r="M35" s="1914" t="s">
        <v>546</v>
      </c>
      <c r="N35" s="1914" t="s">
        <v>546</v>
      </c>
      <c r="O35" s="1914" t="s">
        <v>546</v>
      </c>
      <c r="P35" s="1915" t="s">
        <v>546</v>
      </c>
      <c r="Q35" s="3921">
        <v>0.12</v>
      </c>
      <c r="R35" s="1907">
        <v>0.12</v>
      </c>
      <c r="S35" s="1907">
        <v>0.12</v>
      </c>
      <c r="T35" s="1908">
        <v>0.12</v>
      </c>
      <c r="U35" s="3921" t="s">
        <v>28</v>
      </c>
      <c r="V35" s="1907"/>
      <c r="W35" s="1908"/>
      <c r="X35" s="3919"/>
      <c r="Y35" s="2781"/>
      <c r="Z35" s="2781"/>
      <c r="AA35" s="2781"/>
      <c r="AB35" s="2781"/>
      <c r="AC35" s="2781"/>
      <c r="AD35" s="2781"/>
      <c r="AE35" s="2781"/>
      <c r="AF35" s="2782"/>
    </row>
    <row r="36" spans="1:32" s="1" customFormat="1" ht="28.9" customHeight="1" x14ac:dyDescent="0.25">
      <c r="A36" s="3920" t="s">
        <v>42</v>
      </c>
      <c r="B36" s="1764" t="s">
        <v>42</v>
      </c>
      <c r="C36" s="1764" t="s">
        <v>42</v>
      </c>
      <c r="D36" s="1765" t="s">
        <v>42</v>
      </c>
      <c r="E36" s="3915" t="s">
        <v>865</v>
      </c>
      <c r="F36" s="1914" t="s">
        <v>256</v>
      </c>
      <c r="G36" s="1914" t="s">
        <v>256</v>
      </c>
      <c r="H36" s="1914" t="s">
        <v>256</v>
      </c>
      <c r="I36" s="1914" t="s">
        <v>256</v>
      </c>
      <c r="J36" s="1914" t="s">
        <v>256</v>
      </c>
      <c r="K36" s="1914" t="s">
        <v>256</v>
      </c>
      <c r="L36" s="1914" t="s">
        <v>256</v>
      </c>
      <c r="M36" s="1914" t="s">
        <v>256</v>
      </c>
      <c r="N36" s="1914" t="s">
        <v>256</v>
      </c>
      <c r="O36" s="1914" t="s">
        <v>256</v>
      </c>
      <c r="P36" s="1915" t="s">
        <v>256</v>
      </c>
      <c r="Q36" s="3921">
        <v>0.96</v>
      </c>
      <c r="R36" s="1907">
        <v>0.96</v>
      </c>
      <c r="S36" s="1907">
        <v>0.96</v>
      </c>
      <c r="T36" s="1908">
        <v>0.96</v>
      </c>
      <c r="U36" s="3919" t="s">
        <v>28</v>
      </c>
      <c r="V36" s="2781"/>
      <c r="W36" s="2782"/>
      <c r="X36" s="3915" t="s">
        <v>1105</v>
      </c>
      <c r="Y36" s="1914" t="s">
        <v>624</v>
      </c>
      <c r="Z36" s="1914" t="s">
        <v>624</v>
      </c>
      <c r="AA36" s="1914" t="s">
        <v>624</v>
      </c>
      <c r="AB36" s="1914" t="s">
        <v>624</v>
      </c>
      <c r="AC36" s="1914" t="s">
        <v>624</v>
      </c>
      <c r="AD36" s="1914" t="s">
        <v>624</v>
      </c>
      <c r="AE36" s="1914" t="s">
        <v>624</v>
      </c>
      <c r="AF36" s="1915" t="s">
        <v>624</v>
      </c>
    </row>
    <row r="37" spans="1:32" s="1" customFormat="1" ht="14.45" customHeight="1" x14ac:dyDescent="0.25">
      <c r="A37" s="3920" t="s">
        <v>216</v>
      </c>
      <c r="B37" s="1764" t="s">
        <v>216</v>
      </c>
      <c r="C37" s="1764" t="s">
        <v>216</v>
      </c>
      <c r="D37" s="1765" t="s">
        <v>216</v>
      </c>
      <c r="E37" s="3915" t="s">
        <v>1104</v>
      </c>
      <c r="F37" s="1914" t="s">
        <v>625</v>
      </c>
      <c r="G37" s="1914" t="s">
        <v>625</v>
      </c>
      <c r="H37" s="1914" t="s">
        <v>625</v>
      </c>
      <c r="I37" s="1914" t="s">
        <v>625</v>
      </c>
      <c r="J37" s="1914" t="s">
        <v>625</v>
      </c>
      <c r="K37" s="1914" t="s">
        <v>625</v>
      </c>
      <c r="L37" s="1914" t="s">
        <v>625</v>
      </c>
      <c r="M37" s="1914" t="s">
        <v>625</v>
      </c>
      <c r="N37" s="1914" t="s">
        <v>625</v>
      </c>
      <c r="O37" s="1914" t="s">
        <v>625</v>
      </c>
      <c r="P37" s="1915" t="s">
        <v>625</v>
      </c>
      <c r="Q37" s="3925" t="s">
        <v>626</v>
      </c>
      <c r="R37" s="3926" t="s">
        <v>626</v>
      </c>
      <c r="S37" s="3926" t="s">
        <v>626</v>
      </c>
      <c r="T37" s="3927" t="s">
        <v>626</v>
      </c>
      <c r="U37" s="3919" t="s">
        <v>45</v>
      </c>
      <c r="V37" s="2781"/>
      <c r="W37" s="2782"/>
      <c r="X37" s="3919"/>
      <c r="Y37" s="2781"/>
      <c r="Z37" s="2781"/>
      <c r="AA37" s="2781"/>
      <c r="AB37" s="2781"/>
      <c r="AC37" s="2781"/>
      <c r="AD37" s="2781"/>
      <c r="AE37" s="2781"/>
      <c r="AF37" s="2782"/>
    </row>
    <row r="38" spans="1:32" s="1" customFormat="1" ht="14.45" customHeight="1" x14ac:dyDescent="0.25">
      <c r="A38" s="1763" t="s">
        <v>34</v>
      </c>
      <c r="B38" s="1764" t="s">
        <v>34</v>
      </c>
      <c r="C38" s="1764" t="s">
        <v>34</v>
      </c>
      <c r="D38" s="1765" t="s">
        <v>34</v>
      </c>
      <c r="E38" s="3915" t="s">
        <v>35</v>
      </c>
      <c r="F38" s="1914" t="s">
        <v>219</v>
      </c>
      <c r="G38" s="1914" t="s">
        <v>219</v>
      </c>
      <c r="H38" s="1914" t="s">
        <v>219</v>
      </c>
      <c r="I38" s="1914" t="s">
        <v>219</v>
      </c>
      <c r="J38" s="1914" t="s">
        <v>219</v>
      </c>
      <c r="K38" s="1914" t="s">
        <v>219</v>
      </c>
      <c r="L38" s="1914" t="s">
        <v>219</v>
      </c>
      <c r="M38" s="1914" t="s">
        <v>219</v>
      </c>
      <c r="N38" s="1914" t="s">
        <v>219</v>
      </c>
      <c r="O38" s="1914" t="s">
        <v>219</v>
      </c>
      <c r="P38" s="1915" t="s">
        <v>219</v>
      </c>
      <c r="Q38" s="3922">
        <v>6</v>
      </c>
      <c r="R38" s="3923" t="s">
        <v>448</v>
      </c>
      <c r="S38" s="3923" t="s">
        <v>448</v>
      </c>
      <c r="T38" s="3924" t="s">
        <v>448</v>
      </c>
      <c r="U38" s="3919" t="s">
        <v>46</v>
      </c>
      <c r="V38" s="2781"/>
      <c r="W38" s="2782"/>
      <c r="X38" s="3919"/>
      <c r="Y38" s="2781"/>
      <c r="Z38" s="2781"/>
      <c r="AA38" s="2781"/>
      <c r="AB38" s="2781"/>
      <c r="AC38" s="2781"/>
      <c r="AD38" s="2781"/>
      <c r="AE38" s="2781"/>
      <c r="AF38" s="2782"/>
    </row>
    <row r="39" spans="1:32" x14ac:dyDescent="0.25">
      <c r="A39" s="18"/>
    </row>
    <row r="40" spans="1:32" s="148" customFormat="1" ht="18.75" x14ac:dyDescent="0.25">
      <c r="A40" s="286" t="s">
        <v>1111</v>
      </c>
      <c r="F40" s="285"/>
      <c r="J40" s="285"/>
      <c r="N40" s="285"/>
      <c r="R40" s="285"/>
      <c r="V40" s="285"/>
    </row>
    <row r="41" spans="1:32" s="148" customFormat="1" ht="72" customHeight="1" x14ac:dyDescent="0.25">
      <c r="A41" s="3943" t="s">
        <v>627</v>
      </c>
      <c r="B41" s="3944"/>
      <c r="C41" s="3944"/>
      <c r="D41" s="3944"/>
      <c r="E41" s="3945"/>
      <c r="F41" s="3937" t="s">
        <v>1119</v>
      </c>
      <c r="G41" s="3938"/>
      <c r="H41" s="3939"/>
      <c r="I41" s="3931" t="s">
        <v>1118</v>
      </c>
      <c r="J41" s="3932"/>
      <c r="K41" s="3933"/>
      <c r="L41" s="3937" t="s">
        <v>1120</v>
      </c>
      <c r="M41" s="3938"/>
      <c r="N41" s="3939"/>
      <c r="O41" s="3931" t="s">
        <v>628</v>
      </c>
      <c r="P41" s="3932"/>
      <c r="Q41" s="3933"/>
      <c r="R41" s="3931" t="s">
        <v>630</v>
      </c>
      <c r="S41" s="3932"/>
      <c r="T41" s="3933"/>
      <c r="U41" s="3931" t="s">
        <v>629</v>
      </c>
      <c r="V41" s="3932"/>
      <c r="W41" s="3932"/>
      <c r="X41" s="3933"/>
      <c r="Y41" s="3931" t="s">
        <v>1109</v>
      </c>
      <c r="Z41" s="3932"/>
      <c r="AA41" s="3932"/>
      <c r="AB41" s="3933"/>
      <c r="AC41" s="3931" t="s">
        <v>1110</v>
      </c>
      <c r="AD41" s="3932"/>
      <c r="AE41" s="3932"/>
      <c r="AF41" s="3933"/>
    </row>
    <row r="42" spans="1:32" s="148" customFormat="1" x14ac:dyDescent="0.25">
      <c r="A42" s="3913" t="s">
        <v>631</v>
      </c>
      <c r="B42" s="3913"/>
      <c r="C42" s="3913"/>
      <c r="D42" s="3913"/>
      <c r="E42" s="3913"/>
      <c r="F42" s="3928" t="s">
        <v>963</v>
      </c>
      <c r="G42" s="3928"/>
      <c r="H42" s="3928"/>
      <c r="I42" s="3913">
        <v>7.1999999999999995E-2</v>
      </c>
      <c r="J42" s="3913"/>
      <c r="K42" s="3913"/>
      <c r="L42" s="3928">
        <v>2.3E-2</v>
      </c>
      <c r="M42" s="3928"/>
      <c r="N42" s="3928"/>
      <c r="O42" s="3913">
        <v>2.2999999999999998</v>
      </c>
      <c r="P42" s="3913"/>
      <c r="Q42" s="3913"/>
      <c r="R42" s="3913">
        <f t="shared" ref="R42:R49" si="0">O42*1.5</f>
        <v>3.4499999999999997</v>
      </c>
      <c r="S42" s="3913"/>
      <c r="T42" s="3913"/>
      <c r="U42" s="3930">
        <v>2.4E-2</v>
      </c>
      <c r="V42" s="3930"/>
      <c r="W42" s="3930"/>
      <c r="X42" s="3930"/>
      <c r="Y42" s="3929">
        <f t="shared" ref="Y42:Y49" si="1">I42*O42*365*U42</f>
        <v>1.4506559999999997</v>
      </c>
      <c r="Z42" s="3929"/>
      <c r="AA42" s="3929"/>
      <c r="AB42" s="3929"/>
      <c r="AC42" s="3929">
        <f t="shared" ref="AC42:AC49" si="2">I42*R42*365*U42</f>
        <v>2.1759839999999997</v>
      </c>
      <c r="AD42" s="3929"/>
      <c r="AE42" s="3929"/>
      <c r="AF42" s="3929"/>
    </row>
    <row r="43" spans="1:32" s="148" customFormat="1" x14ac:dyDescent="0.25">
      <c r="A43" s="3913" t="s">
        <v>631</v>
      </c>
      <c r="B43" s="3913"/>
      <c r="C43" s="3913"/>
      <c r="D43" s="3913"/>
      <c r="E43" s="3913"/>
      <c r="F43" s="3928">
        <v>75</v>
      </c>
      <c r="G43" s="3928"/>
      <c r="H43" s="3928"/>
      <c r="I43" s="3913">
        <v>5.2999999999999999E-2</v>
      </c>
      <c r="J43" s="3913"/>
      <c r="K43" s="3913"/>
      <c r="L43" s="3928">
        <v>1.7999999999999999E-2</v>
      </c>
      <c r="M43" s="3928"/>
      <c r="N43" s="3928"/>
      <c r="O43" s="3913">
        <v>2.2999999999999998</v>
      </c>
      <c r="P43" s="3913"/>
      <c r="Q43" s="3913"/>
      <c r="R43" s="3913">
        <f t="shared" si="0"/>
        <v>3.4499999999999997</v>
      </c>
      <c r="S43" s="3913"/>
      <c r="T43" s="3913"/>
      <c r="U43" s="3930">
        <v>0.26500000000000001</v>
      </c>
      <c r="V43" s="3930"/>
      <c r="W43" s="3930"/>
      <c r="X43" s="3930"/>
      <c r="Y43" s="3929">
        <f t="shared" si="1"/>
        <v>11.790777499999997</v>
      </c>
      <c r="Z43" s="3929"/>
      <c r="AA43" s="3929"/>
      <c r="AB43" s="3929"/>
      <c r="AC43" s="3929">
        <f t="shared" si="2"/>
        <v>17.686166249999999</v>
      </c>
      <c r="AD43" s="3929"/>
      <c r="AE43" s="3929"/>
      <c r="AF43" s="3929"/>
    </row>
    <row r="44" spans="1:32" s="148" customFormat="1" x14ac:dyDescent="0.25">
      <c r="A44" s="3913" t="s">
        <v>631</v>
      </c>
      <c r="B44" s="3913"/>
      <c r="C44" s="3913"/>
      <c r="D44" s="3913"/>
      <c r="E44" s="3913"/>
      <c r="F44" s="3928">
        <v>60</v>
      </c>
      <c r="G44" s="3928"/>
      <c r="H44" s="3928"/>
      <c r="I44" s="3913">
        <v>4.2999999999999997E-2</v>
      </c>
      <c r="J44" s="3913"/>
      <c r="K44" s="3913"/>
      <c r="L44" s="3928">
        <v>1.4999999999999999E-2</v>
      </c>
      <c r="M44" s="3928"/>
      <c r="N44" s="3928"/>
      <c r="O44" s="3913">
        <v>2.2999999999999998</v>
      </c>
      <c r="P44" s="3913"/>
      <c r="Q44" s="3913"/>
      <c r="R44" s="3913">
        <f t="shared" si="0"/>
        <v>3.4499999999999997</v>
      </c>
      <c r="S44" s="3913"/>
      <c r="T44" s="3913"/>
      <c r="U44" s="3930">
        <v>0.247</v>
      </c>
      <c r="V44" s="3930"/>
      <c r="W44" s="3930"/>
      <c r="X44" s="3930"/>
      <c r="Y44" s="3929">
        <f t="shared" si="1"/>
        <v>8.916329499999998</v>
      </c>
      <c r="Z44" s="3929"/>
      <c r="AA44" s="3929"/>
      <c r="AB44" s="3929"/>
      <c r="AC44" s="3929">
        <f t="shared" si="2"/>
        <v>13.374494249999998</v>
      </c>
      <c r="AD44" s="3929"/>
      <c r="AE44" s="3929"/>
      <c r="AF44" s="3929"/>
    </row>
    <row r="45" spans="1:32" s="148" customFormat="1" x14ac:dyDescent="0.25">
      <c r="A45" s="3913" t="s">
        <v>631</v>
      </c>
      <c r="B45" s="3913"/>
      <c r="C45" s="3913"/>
      <c r="D45" s="3913"/>
      <c r="E45" s="3913"/>
      <c r="F45" s="3928">
        <v>40</v>
      </c>
      <c r="G45" s="3928"/>
      <c r="H45" s="3928"/>
      <c r="I45" s="3913">
        <v>2.9000000000000001E-2</v>
      </c>
      <c r="J45" s="3913"/>
      <c r="K45" s="3913"/>
      <c r="L45" s="3928">
        <v>8.9999999999999993E-3</v>
      </c>
      <c r="M45" s="3928"/>
      <c r="N45" s="3928"/>
      <c r="O45" s="3913">
        <v>2.2999999999999998</v>
      </c>
      <c r="P45" s="3913"/>
      <c r="Q45" s="3913"/>
      <c r="R45" s="3913">
        <f t="shared" si="0"/>
        <v>3.4499999999999997</v>
      </c>
      <c r="S45" s="3913"/>
      <c r="T45" s="3913"/>
      <c r="U45" s="3930">
        <v>0.28199999999999997</v>
      </c>
      <c r="V45" s="3930"/>
      <c r="W45" s="3930"/>
      <c r="X45" s="3930"/>
      <c r="Y45" s="3929">
        <f t="shared" si="1"/>
        <v>6.8654309999999983</v>
      </c>
      <c r="Z45" s="3929"/>
      <c r="AA45" s="3929"/>
      <c r="AB45" s="3929"/>
      <c r="AC45" s="3929">
        <f t="shared" si="2"/>
        <v>10.2981465</v>
      </c>
      <c r="AD45" s="3929"/>
      <c r="AE45" s="3929"/>
      <c r="AF45" s="3929"/>
    </row>
    <row r="46" spans="1:32" s="148" customFormat="1" x14ac:dyDescent="0.25">
      <c r="A46" s="3913" t="s">
        <v>273</v>
      </c>
      <c r="B46" s="3913"/>
      <c r="C46" s="3913"/>
      <c r="D46" s="3913"/>
      <c r="E46" s="3913"/>
      <c r="F46" s="3928"/>
      <c r="G46" s="3928"/>
      <c r="H46" s="3928"/>
      <c r="I46" s="3913">
        <v>2.5999999999999999E-2</v>
      </c>
      <c r="J46" s="3913"/>
      <c r="K46" s="3913"/>
      <c r="L46" s="3928"/>
      <c r="M46" s="3928"/>
      <c r="N46" s="3928"/>
      <c r="O46" s="3913">
        <v>2.2999999999999998</v>
      </c>
      <c r="P46" s="3913"/>
      <c r="Q46" s="3913"/>
      <c r="R46" s="3913">
        <f t="shared" si="0"/>
        <v>3.4499999999999997</v>
      </c>
      <c r="S46" s="3913"/>
      <c r="T46" s="3913"/>
      <c r="U46" s="3930">
        <v>5.0000000000000001E-3</v>
      </c>
      <c r="V46" s="3930"/>
      <c r="W46" s="3930"/>
      <c r="X46" s="3930"/>
      <c r="Y46" s="3929">
        <f t="shared" si="1"/>
        <v>0.109135</v>
      </c>
      <c r="Z46" s="3929"/>
      <c r="AA46" s="3929"/>
      <c r="AB46" s="3929"/>
      <c r="AC46" s="3929">
        <f t="shared" si="2"/>
        <v>0.1637025</v>
      </c>
      <c r="AD46" s="3929"/>
      <c r="AE46" s="3929"/>
      <c r="AF46" s="3929"/>
    </row>
    <row r="47" spans="1:32" s="148" customFormat="1" x14ac:dyDescent="0.25">
      <c r="A47" s="3913" t="s">
        <v>273</v>
      </c>
      <c r="B47" s="3913"/>
      <c r="C47" s="3913"/>
      <c r="D47" s="3913"/>
      <c r="E47" s="3913"/>
      <c r="F47" s="3928"/>
      <c r="G47" s="3928"/>
      <c r="H47" s="3928"/>
      <c r="I47" s="3913">
        <v>2.3E-2</v>
      </c>
      <c r="J47" s="3913"/>
      <c r="K47" s="3913"/>
      <c r="L47" s="3928"/>
      <c r="M47" s="3928"/>
      <c r="N47" s="3928"/>
      <c r="O47" s="3913">
        <v>2.2999999999999998</v>
      </c>
      <c r="P47" s="3913"/>
      <c r="Q47" s="3913"/>
      <c r="R47" s="3913">
        <f t="shared" si="0"/>
        <v>3.4499999999999997</v>
      </c>
      <c r="S47" s="3913"/>
      <c r="T47" s="3913"/>
      <c r="U47" s="3930">
        <v>5.8999999999999997E-2</v>
      </c>
      <c r="V47" s="3930"/>
      <c r="W47" s="3930"/>
      <c r="X47" s="3930"/>
      <c r="Y47" s="3929">
        <f t="shared" si="1"/>
        <v>1.1392014999999998</v>
      </c>
      <c r="Z47" s="3929"/>
      <c r="AA47" s="3929"/>
      <c r="AB47" s="3929"/>
      <c r="AC47" s="3929">
        <f t="shared" si="2"/>
        <v>1.7088022499999997</v>
      </c>
      <c r="AD47" s="3929"/>
      <c r="AE47" s="3929"/>
      <c r="AF47" s="3929"/>
    </row>
    <row r="48" spans="1:32" s="148" customFormat="1" x14ac:dyDescent="0.25">
      <c r="A48" s="3913" t="s">
        <v>273</v>
      </c>
      <c r="B48" s="3913"/>
      <c r="C48" s="3913"/>
      <c r="D48" s="3913"/>
      <c r="E48" s="3913"/>
      <c r="F48" s="3928"/>
      <c r="G48" s="3928"/>
      <c r="H48" s="3928"/>
      <c r="I48" s="3913">
        <v>1.4E-2</v>
      </c>
      <c r="J48" s="3913"/>
      <c r="K48" s="3913"/>
      <c r="L48" s="3928"/>
      <c r="M48" s="3928"/>
      <c r="N48" s="3928"/>
      <c r="O48" s="3913">
        <v>2.2999999999999998</v>
      </c>
      <c r="P48" s="3913"/>
      <c r="Q48" s="3913"/>
      <c r="R48" s="3913">
        <f t="shared" si="0"/>
        <v>3.4499999999999997</v>
      </c>
      <c r="S48" s="3913"/>
      <c r="T48" s="3913"/>
      <c r="U48" s="3930">
        <v>5.5E-2</v>
      </c>
      <c r="V48" s="3930"/>
      <c r="W48" s="3930"/>
      <c r="X48" s="3930"/>
      <c r="Y48" s="3929">
        <f t="shared" si="1"/>
        <v>0.64641499999999996</v>
      </c>
      <c r="Z48" s="3929"/>
      <c r="AA48" s="3929"/>
      <c r="AB48" s="3929"/>
      <c r="AC48" s="3929">
        <f t="shared" si="2"/>
        <v>0.96962250000000005</v>
      </c>
      <c r="AD48" s="3929"/>
      <c r="AE48" s="3929"/>
      <c r="AF48" s="3929"/>
    </row>
    <row r="49" spans="1:32" s="148" customFormat="1" x14ac:dyDescent="0.25">
      <c r="A49" s="3913" t="s">
        <v>273</v>
      </c>
      <c r="B49" s="3913"/>
      <c r="C49" s="3913"/>
      <c r="D49" s="3913"/>
      <c r="E49" s="3913"/>
      <c r="F49" s="3928"/>
      <c r="G49" s="3928"/>
      <c r="H49" s="3928"/>
      <c r="I49" s="3913">
        <v>1.2999999999999999E-2</v>
      </c>
      <c r="J49" s="3913"/>
      <c r="K49" s="3913"/>
      <c r="L49" s="3928"/>
      <c r="M49" s="3928"/>
      <c r="N49" s="3928"/>
      <c r="O49" s="3913">
        <v>2.2999999999999998</v>
      </c>
      <c r="P49" s="3913"/>
      <c r="Q49" s="3913"/>
      <c r="R49" s="3913">
        <f t="shared" si="0"/>
        <v>3.4499999999999997</v>
      </c>
      <c r="S49" s="3913"/>
      <c r="T49" s="3913"/>
      <c r="U49" s="3930">
        <v>6.3E-2</v>
      </c>
      <c r="V49" s="3930"/>
      <c r="W49" s="3930"/>
      <c r="X49" s="3930"/>
      <c r="Y49" s="3929">
        <f t="shared" si="1"/>
        <v>0.68755049999999995</v>
      </c>
      <c r="Z49" s="3929"/>
      <c r="AA49" s="3929"/>
      <c r="AB49" s="3929"/>
      <c r="AC49" s="3929">
        <f t="shared" si="2"/>
        <v>1.0313257499999999</v>
      </c>
      <c r="AD49" s="3929"/>
      <c r="AE49" s="3929"/>
      <c r="AF49" s="3929"/>
    </row>
    <row r="50" spans="1:32" s="148" customFormat="1" x14ac:dyDescent="0.25">
      <c r="A50" s="3942" t="s">
        <v>632</v>
      </c>
      <c r="B50" s="3942"/>
      <c r="C50" s="3942"/>
      <c r="D50" s="3942"/>
      <c r="E50" s="3942"/>
      <c r="F50" s="3942"/>
      <c r="G50" s="3942"/>
      <c r="H50" s="3942"/>
      <c r="I50" s="3942"/>
      <c r="J50" s="3942"/>
      <c r="K50" s="3942"/>
      <c r="L50" s="3942"/>
      <c r="M50" s="3942"/>
      <c r="N50" s="3942"/>
      <c r="O50" s="3942"/>
      <c r="P50" s="3942"/>
      <c r="Q50" s="3942"/>
      <c r="R50" s="3942"/>
      <c r="S50" s="3942"/>
      <c r="T50" s="3942"/>
      <c r="U50" s="3942"/>
      <c r="V50" s="3942"/>
      <c r="W50" s="3942"/>
      <c r="X50" s="3942"/>
      <c r="Y50" s="3940">
        <f>SUM(Y42:Y49)</f>
        <v>31.605495999999992</v>
      </c>
      <c r="Z50" s="3940"/>
      <c r="AA50" s="3940"/>
      <c r="AB50" s="3940"/>
      <c r="AC50" s="3940">
        <f>SUM(AC42:AC49)</f>
        <v>47.408243999999996</v>
      </c>
      <c r="AD50" s="3940"/>
      <c r="AE50" s="3940"/>
      <c r="AF50" s="3940"/>
    </row>
    <row r="51" spans="1:32" s="148" customFormat="1" x14ac:dyDescent="0.25">
      <c r="A51" s="3942" t="s">
        <v>633</v>
      </c>
      <c r="B51" s="3942"/>
      <c r="C51" s="3942"/>
      <c r="D51" s="3942"/>
      <c r="E51" s="3942"/>
      <c r="F51" s="3942"/>
      <c r="G51" s="3942"/>
      <c r="H51" s="3942"/>
      <c r="I51" s="3942"/>
      <c r="J51" s="3942"/>
      <c r="K51" s="3942"/>
      <c r="L51" s="3942"/>
      <c r="M51" s="3942"/>
      <c r="N51" s="3942"/>
      <c r="O51" s="3942"/>
      <c r="P51" s="3942"/>
      <c r="Q51" s="3942"/>
      <c r="R51" s="3942"/>
      <c r="S51" s="3942"/>
      <c r="T51" s="3942"/>
      <c r="U51" s="3942"/>
      <c r="V51" s="3942"/>
      <c r="W51" s="3942"/>
      <c r="X51" s="3942"/>
      <c r="Y51" s="3941">
        <f>SUMPRODUCT(I42:I49,U42:U49)/SUM(U42:U49)</f>
        <v>3.7647999999999987E-2</v>
      </c>
      <c r="Z51" s="3941"/>
      <c r="AA51" s="3941"/>
      <c r="AB51" s="3941"/>
      <c r="AC51" s="147"/>
      <c r="AD51" s="147"/>
      <c r="AE51" s="147"/>
      <c r="AF51" s="147"/>
    </row>
    <row r="52" spans="1:32" s="148" customFormat="1" x14ac:dyDescent="0.25">
      <c r="A52" s="2438" t="s">
        <v>374</v>
      </c>
      <c r="B52" s="2438"/>
      <c r="C52" s="3936" t="s">
        <v>1113</v>
      </c>
      <c r="D52" s="3936"/>
      <c r="E52" s="3936"/>
      <c r="F52" s="3936"/>
      <c r="G52" s="3936"/>
      <c r="H52" s="3936"/>
      <c r="I52" s="3936"/>
      <c r="J52" s="3936"/>
      <c r="K52" s="3936"/>
      <c r="L52" s="3936"/>
      <c r="M52" s="3936"/>
      <c r="N52" s="3936"/>
      <c r="O52" s="3936"/>
      <c r="P52" s="3936"/>
      <c r="Q52" s="3936"/>
      <c r="R52" s="3936"/>
      <c r="S52" s="3936"/>
      <c r="T52" s="3936"/>
      <c r="U52" s="3936"/>
      <c r="V52" s="3936"/>
      <c r="W52" s="3936"/>
      <c r="X52" s="3936"/>
      <c r="Y52" s="3936"/>
      <c r="Z52" s="3936"/>
      <c r="AA52" s="3936"/>
      <c r="AB52" s="3936"/>
      <c r="AC52" s="3936"/>
      <c r="AD52" s="3936"/>
      <c r="AE52" s="3936"/>
      <c r="AF52" s="3936"/>
    </row>
    <row r="53" spans="1:32" s="148" customFormat="1" ht="57.6" customHeight="1" x14ac:dyDescent="0.25">
      <c r="A53" s="3935" t="s">
        <v>1048</v>
      </c>
      <c r="B53" s="3935"/>
      <c r="C53" s="3936" t="s">
        <v>1114</v>
      </c>
      <c r="D53" s="3936"/>
      <c r="E53" s="3936"/>
      <c r="F53" s="3936"/>
      <c r="G53" s="3936"/>
      <c r="H53" s="3936"/>
      <c r="I53" s="3936"/>
      <c r="J53" s="3936"/>
      <c r="K53" s="3936"/>
      <c r="L53" s="3936"/>
      <c r="M53" s="3936"/>
      <c r="N53" s="3936"/>
      <c r="O53" s="3936"/>
      <c r="P53" s="3936"/>
      <c r="Q53" s="3936"/>
      <c r="R53" s="3936"/>
      <c r="S53" s="3936"/>
      <c r="T53" s="3936"/>
      <c r="U53" s="3936"/>
      <c r="V53" s="3936"/>
      <c r="W53" s="3936"/>
      <c r="X53" s="3936"/>
      <c r="Y53" s="3936"/>
      <c r="Z53" s="3936"/>
      <c r="AA53" s="3936"/>
      <c r="AB53" s="3936"/>
      <c r="AC53" s="3936"/>
      <c r="AD53" s="3936"/>
      <c r="AE53" s="3936"/>
      <c r="AF53" s="3936"/>
    </row>
    <row r="54" spans="1:32" s="148" customFormat="1" x14ac:dyDescent="0.25">
      <c r="A54" s="275"/>
    </row>
    <row r="55" spans="1:32" s="148" customFormat="1" ht="18.75" x14ac:dyDescent="0.25">
      <c r="A55" s="286" t="s">
        <v>634</v>
      </c>
      <c r="D55" s="285"/>
      <c r="G55" s="285"/>
      <c r="J55" s="285"/>
      <c r="M55" s="285"/>
    </row>
    <row r="56" spans="1:32" s="148" customFormat="1" ht="57.6" customHeight="1" x14ac:dyDescent="0.25">
      <c r="A56" s="3934" t="s">
        <v>1112</v>
      </c>
      <c r="B56" s="3934"/>
      <c r="C56" s="3934"/>
      <c r="D56" s="3934" t="s">
        <v>628</v>
      </c>
      <c r="E56" s="3934"/>
      <c r="F56" s="3934"/>
      <c r="G56" s="3934" t="s">
        <v>630</v>
      </c>
      <c r="H56" s="3934"/>
      <c r="I56" s="3934"/>
      <c r="J56" s="3934" t="s">
        <v>635</v>
      </c>
      <c r="K56" s="3934"/>
      <c r="L56" s="3934"/>
      <c r="M56" s="3934"/>
      <c r="N56" s="3934" t="s">
        <v>1109</v>
      </c>
      <c r="O56" s="3934"/>
      <c r="P56" s="3934"/>
      <c r="Q56" s="3934"/>
      <c r="R56" s="3934" t="s">
        <v>1110</v>
      </c>
      <c r="S56" s="3934"/>
      <c r="T56" s="3934"/>
      <c r="U56" s="3934"/>
    </row>
    <row r="57" spans="1:32" s="148" customFormat="1" x14ac:dyDescent="0.25">
      <c r="A57" s="3913">
        <v>2.5999999999999999E-2</v>
      </c>
      <c r="B57" s="3913"/>
      <c r="C57" s="3913"/>
      <c r="D57" s="3913">
        <v>2.2999999999999998</v>
      </c>
      <c r="E57" s="3913"/>
      <c r="F57" s="3913"/>
      <c r="G57" s="3946">
        <f>D57*1.5</f>
        <v>3.4499999999999997</v>
      </c>
      <c r="H57" s="3946"/>
      <c r="I57" s="3946"/>
      <c r="J57" s="3947">
        <v>0.02</v>
      </c>
      <c r="K57" s="3947"/>
      <c r="L57" s="3947"/>
      <c r="M57" s="3947"/>
      <c r="N57" s="3929">
        <f>A57*D57*365*J57</f>
        <v>0.43653999999999998</v>
      </c>
      <c r="O57" s="3929"/>
      <c r="P57" s="3929"/>
      <c r="Q57" s="3929"/>
      <c r="R57" s="3929">
        <f>A57*G57*365*J57</f>
        <v>0.65481</v>
      </c>
      <c r="S57" s="3929"/>
      <c r="T57" s="3929"/>
      <c r="U57" s="3929"/>
    </row>
    <row r="58" spans="1:32" s="148" customFormat="1" x14ac:dyDescent="0.25">
      <c r="A58" s="3913">
        <v>2.3E-2</v>
      </c>
      <c r="B58" s="3913"/>
      <c r="C58" s="3913"/>
      <c r="D58" s="3913">
        <v>2.2999999999999998</v>
      </c>
      <c r="E58" s="3913"/>
      <c r="F58" s="3913"/>
      <c r="G58" s="3946">
        <f>D58*1.5</f>
        <v>3.4499999999999997</v>
      </c>
      <c r="H58" s="3946"/>
      <c r="I58" s="3946"/>
      <c r="J58" s="3947">
        <v>0.33</v>
      </c>
      <c r="K58" s="3947"/>
      <c r="L58" s="3947"/>
      <c r="M58" s="3947"/>
      <c r="N58" s="3929">
        <f>A58*D58*365*J58</f>
        <v>6.3718050000000002</v>
      </c>
      <c r="O58" s="3929"/>
      <c r="P58" s="3929"/>
      <c r="Q58" s="3929"/>
      <c r="R58" s="3929">
        <f>A58*G58*365*J58</f>
        <v>9.5577074999999994</v>
      </c>
      <c r="S58" s="3929"/>
      <c r="T58" s="3929"/>
      <c r="U58" s="3929"/>
    </row>
    <row r="59" spans="1:32" s="148" customFormat="1" x14ac:dyDescent="0.25">
      <c r="A59" s="3913">
        <v>1.4E-2</v>
      </c>
      <c r="B59" s="3913"/>
      <c r="C59" s="3913"/>
      <c r="D59" s="3913">
        <v>2.2999999999999998</v>
      </c>
      <c r="E59" s="3913"/>
      <c r="F59" s="3913"/>
      <c r="G59" s="3946">
        <f>D59*1.5</f>
        <v>3.4499999999999997</v>
      </c>
      <c r="H59" s="3946"/>
      <c r="I59" s="3946"/>
      <c r="J59" s="3947">
        <v>0.24</v>
      </c>
      <c r="K59" s="3947"/>
      <c r="L59" s="3947"/>
      <c r="M59" s="3947"/>
      <c r="N59" s="3929">
        <f>A59*D59*365*J59</f>
        <v>2.8207200000000001</v>
      </c>
      <c r="O59" s="3929"/>
      <c r="P59" s="3929"/>
      <c r="Q59" s="3929"/>
      <c r="R59" s="3929">
        <f>A59*G59*365*J59</f>
        <v>4.2310799999999995</v>
      </c>
      <c r="S59" s="3929"/>
      <c r="T59" s="3929"/>
      <c r="U59" s="3929"/>
    </row>
    <row r="60" spans="1:32" s="148" customFormat="1" x14ac:dyDescent="0.25">
      <c r="A60" s="3913">
        <v>1.2999999999999999E-2</v>
      </c>
      <c r="B60" s="3913"/>
      <c r="C60" s="3913"/>
      <c r="D60" s="3913">
        <v>2.2999999999999998</v>
      </c>
      <c r="E60" s="3913"/>
      <c r="F60" s="3913"/>
      <c r="G60" s="3946">
        <f>D60*1.5</f>
        <v>3.4499999999999997</v>
      </c>
      <c r="H60" s="3946"/>
      <c r="I60" s="3946"/>
      <c r="J60" s="3947">
        <v>0.42</v>
      </c>
      <c r="K60" s="3947"/>
      <c r="L60" s="3947"/>
      <c r="M60" s="3947"/>
      <c r="N60" s="3929">
        <f>A60*D60*365*J60</f>
        <v>4.5836699999999997</v>
      </c>
      <c r="O60" s="3929"/>
      <c r="P60" s="3929"/>
      <c r="Q60" s="3929"/>
      <c r="R60" s="3929">
        <f>A60*G60*365*J60</f>
        <v>6.8755049999999995</v>
      </c>
      <c r="S60" s="3929"/>
      <c r="T60" s="3929"/>
      <c r="U60" s="3929"/>
    </row>
    <row r="61" spans="1:32" s="148" customFormat="1" x14ac:dyDescent="0.25">
      <c r="A61" s="3942" t="s">
        <v>636</v>
      </c>
      <c r="B61" s="3942"/>
      <c r="C61" s="3942"/>
      <c r="D61" s="3942"/>
      <c r="E61" s="3942"/>
      <c r="F61" s="3942"/>
      <c r="G61" s="3942"/>
      <c r="H61" s="3942"/>
      <c r="I61" s="3942"/>
      <c r="J61" s="3942"/>
      <c r="K61" s="3942"/>
      <c r="L61" s="3942"/>
      <c r="M61" s="3942"/>
      <c r="N61" s="3940">
        <f>SUM(N57:N60)</f>
        <v>14.212735</v>
      </c>
      <c r="O61" s="3940"/>
      <c r="P61" s="3940"/>
      <c r="Q61" s="3940"/>
      <c r="R61" s="3940">
        <f>SUM(R57:R60)</f>
        <v>21.3191025</v>
      </c>
      <c r="S61" s="3940"/>
      <c r="T61" s="3940"/>
      <c r="U61" s="3940"/>
    </row>
    <row r="62" spans="1:32" s="148" customFormat="1" x14ac:dyDescent="0.25">
      <c r="A62" s="3942" t="s">
        <v>633</v>
      </c>
      <c r="B62" s="3942"/>
      <c r="C62" s="3942"/>
      <c r="D62" s="3942"/>
      <c r="E62" s="3942"/>
      <c r="F62" s="3942"/>
      <c r="G62" s="3942"/>
      <c r="H62" s="3942"/>
      <c r="I62" s="3942"/>
      <c r="J62" s="3942"/>
      <c r="K62" s="3942"/>
      <c r="L62" s="3942"/>
      <c r="M62" s="3942"/>
      <c r="N62" s="3941">
        <f>SUMPRODUCT(A57:A60,J57:J60)/SUM(J57:J60)</f>
        <v>1.6762376237623763E-2</v>
      </c>
      <c r="O62" s="3941"/>
      <c r="P62" s="3941"/>
      <c r="Q62" s="3941"/>
      <c r="R62" s="287"/>
      <c r="S62" s="147"/>
      <c r="T62" s="147"/>
      <c r="U62" s="147"/>
    </row>
    <row r="63" spans="1:32" s="148" customFormat="1" x14ac:dyDescent="0.25">
      <c r="A63" s="275"/>
    </row>
    <row r="64" spans="1:32" s="148" customFormat="1" x14ac:dyDescent="0.25"/>
    <row r="65" spans="1:32" s="1" customFormat="1" x14ac:dyDescent="0.25">
      <c r="A65" s="1582" t="s">
        <v>21</v>
      </c>
      <c r="B65" s="1582"/>
      <c r="C65" s="1582"/>
      <c r="D65" s="1582"/>
      <c r="E65" s="1582"/>
      <c r="F65" s="1582"/>
      <c r="G65" s="1582"/>
      <c r="H65" s="1582"/>
      <c r="I65" s="1582"/>
      <c r="J65" s="1582"/>
      <c r="K65" s="1582"/>
      <c r="L65" s="1582"/>
      <c r="M65" s="1582"/>
      <c r="N65" s="1582"/>
      <c r="O65" s="1582"/>
      <c r="P65" s="1582"/>
      <c r="Q65" s="1582"/>
      <c r="R65" s="1582"/>
      <c r="S65" s="1582"/>
      <c r="T65" s="1582"/>
      <c r="U65" s="1582"/>
      <c r="V65" s="1582"/>
      <c r="W65" s="1582"/>
      <c r="X65" s="1582"/>
      <c r="Y65" s="1582"/>
      <c r="Z65" s="1582"/>
      <c r="AA65" s="1582"/>
      <c r="AB65" s="1582"/>
      <c r="AC65" s="1582"/>
      <c r="AD65" s="1582"/>
      <c r="AE65" s="1582"/>
      <c r="AF65" s="1582"/>
    </row>
    <row r="66" spans="1:32" x14ac:dyDescent="0.25">
      <c r="B66" s="18"/>
    </row>
    <row r="67" spans="1:32" x14ac:dyDescent="0.25">
      <c r="A67" s="3948" t="s">
        <v>1115</v>
      </c>
      <c r="B67" s="3948"/>
      <c r="C67" s="3948"/>
      <c r="D67" s="3948"/>
      <c r="E67" s="3948"/>
      <c r="F67" s="3948"/>
      <c r="G67" s="3948"/>
      <c r="H67" s="3948"/>
      <c r="I67" s="3948"/>
      <c r="J67" s="3948"/>
      <c r="K67" s="3948"/>
      <c r="L67" s="3948"/>
      <c r="M67" s="3948"/>
      <c r="N67" s="3949">
        <f>ROUND((Y51-N62)*Q35*Q36,3)</f>
        <v>2E-3</v>
      </c>
      <c r="O67" s="3949"/>
      <c r="P67" s="3949"/>
      <c r="Q67" s="3949"/>
    </row>
    <row r="68" spans="1:32" x14ac:dyDescent="0.25">
      <c r="A68" s="3948" t="s">
        <v>1116</v>
      </c>
      <c r="B68" s="3948"/>
      <c r="C68" s="3948"/>
      <c r="D68" s="3948"/>
      <c r="E68" s="3948"/>
      <c r="F68" s="3948"/>
      <c r="G68" s="3948"/>
      <c r="H68" s="3948"/>
      <c r="I68" s="3948"/>
      <c r="J68" s="3948"/>
      <c r="K68" s="3948"/>
      <c r="L68" s="3948"/>
      <c r="M68" s="3948"/>
      <c r="N68" s="3950">
        <f>ROUND((Y50-N61)*Q36,2)</f>
        <v>16.7</v>
      </c>
      <c r="O68" s="3950"/>
      <c r="P68" s="3950"/>
      <c r="Q68" s="3950"/>
    </row>
    <row r="69" spans="1:32" x14ac:dyDescent="0.25">
      <c r="A69" s="3948" t="s">
        <v>1117</v>
      </c>
      <c r="B69" s="3948"/>
      <c r="C69" s="3948"/>
      <c r="D69" s="3948"/>
      <c r="E69" s="3948"/>
      <c r="F69" s="3948"/>
      <c r="G69" s="3948"/>
      <c r="H69" s="3948"/>
      <c r="I69" s="3948"/>
      <c r="J69" s="3948"/>
      <c r="K69" s="3948"/>
      <c r="L69" s="3948"/>
      <c r="M69" s="3948"/>
      <c r="N69" s="3950">
        <f>ROUND((AC50-R61)*Q36,2)</f>
        <v>25.05</v>
      </c>
      <c r="O69" s="3950"/>
      <c r="P69" s="3950"/>
      <c r="Q69" s="3950"/>
    </row>
    <row r="70" spans="1:32" x14ac:dyDescent="0.25">
      <c r="B70" s="22"/>
      <c r="C70" s="288"/>
    </row>
    <row r="71" spans="1:32" x14ac:dyDescent="0.25">
      <c r="B71" s="22"/>
      <c r="C71" s="288"/>
    </row>
    <row r="72" spans="1:32" x14ac:dyDescent="0.25">
      <c r="A72" s="1582" t="s">
        <v>231</v>
      </c>
      <c r="B72" s="1582"/>
      <c r="C72" s="1582"/>
      <c r="D72" s="1582"/>
      <c r="E72" s="1582"/>
      <c r="F72" s="1582"/>
      <c r="G72" s="1582"/>
      <c r="H72" s="1582"/>
      <c r="I72" s="1582"/>
      <c r="J72" s="1582"/>
      <c r="K72" s="1582"/>
      <c r="L72" s="1582"/>
      <c r="M72" s="1582"/>
      <c r="N72" s="1582"/>
      <c r="O72" s="1582"/>
      <c r="P72" s="1582"/>
      <c r="Q72" s="1582"/>
      <c r="R72" s="1582"/>
      <c r="S72" s="1582"/>
      <c r="T72" s="1582"/>
      <c r="U72" s="1582"/>
      <c r="V72" s="1582"/>
      <c r="W72" s="1582"/>
      <c r="X72" s="1582"/>
      <c r="Y72" s="1582"/>
      <c r="Z72" s="1582"/>
      <c r="AA72" s="1582"/>
      <c r="AB72" s="1582"/>
      <c r="AC72" s="1582"/>
      <c r="AD72" s="1582"/>
      <c r="AE72" s="1582"/>
      <c r="AF72" s="1582"/>
    </row>
    <row r="73" spans="1:32" x14ac:dyDescent="0.25">
      <c r="A73" s="31"/>
    </row>
    <row r="74" spans="1:32" x14ac:dyDescent="0.25">
      <c r="C74" s="256"/>
    </row>
  </sheetData>
  <sheetProtection algorithmName="SHA-512" hashValue="+ce/1gG/9fV34oS43IdBTuzRTt+i02HiBHHprmyeOZ6UL6sUOEFlDuZ46ZFkiOLhQitA6lO8KzRHa38VeEHrYg==" saltValue="vEVwDgGwC3t1GouEMXji8A==" spinCount="100000" sheet="1" objects="1" scenarios="1"/>
  <mergeCells count="195">
    <mergeCell ref="A65:AF65"/>
    <mergeCell ref="A72:AF72"/>
    <mergeCell ref="A67:M67"/>
    <mergeCell ref="A68:M68"/>
    <mergeCell ref="A69:M69"/>
    <mergeCell ref="N67:Q67"/>
    <mergeCell ref="N68:Q68"/>
    <mergeCell ref="N69:Q69"/>
    <mergeCell ref="N61:Q61"/>
    <mergeCell ref="N62:Q62"/>
    <mergeCell ref="R61:U61"/>
    <mergeCell ref="A61:M61"/>
    <mergeCell ref="A62:M62"/>
    <mergeCell ref="N57:Q57"/>
    <mergeCell ref="N58:Q58"/>
    <mergeCell ref="N59:Q59"/>
    <mergeCell ref="N60:Q60"/>
    <mergeCell ref="R57:U57"/>
    <mergeCell ref="R58:U58"/>
    <mergeCell ref="R59:U59"/>
    <mergeCell ref="R60:U60"/>
    <mergeCell ref="G57:I57"/>
    <mergeCell ref="G58:I58"/>
    <mergeCell ref="G59:I59"/>
    <mergeCell ref="G60:I60"/>
    <mergeCell ref="J57:M57"/>
    <mergeCell ref="J58:M58"/>
    <mergeCell ref="J59:M59"/>
    <mergeCell ref="J60:M60"/>
    <mergeCell ref="A57:C57"/>
    <mergeCell ref="A58:C58"/>
    <mergeCell ref="A59:C59"/>
    <mergeCell ref="A60:C60"/>
    <mergeCell ref="D57:F57"/>
    <mergeCell ref="D58:F58"/>
    <mergeCell ref="D59:F59"/>
    <mergeCell ref="D60:F60"/>
    <mergeCell ref="Y41:AB41"/>
    <mergeCell ref="Y48:AB48"/>
    <mergeCell ref="Y49:AB49"/>
    <mergeCell ref="L49:N49"/>
    <mergeCell ref="O42:Q42"/>
    <mergeCell ref="O43:Q43"/>
    <mergeCell ref="O44:Q44"/>
    <mergeCell ref="O45:Q45"/>
    <mergeCell ref="O46:Q46"/>
    <mergeCell ref="O47:Q47"/>
    <mergeCell ref="O48:Q48"/>
    <mergeCell ref="O49:Q49"/>
    <mergeCell ref="F42:H42"/>
    <mergeCell ref="F43:H43"/>
    <mergeCell ref="F44:H44"/>
    <mergeCell ref="F45:H45"/>
    <mergeCell ref="AC41:AF41"/>
    <mergeCell ref="A56:C56"/>
    <mergeCell ref="D56:F56"/>
    <mergeCell ref="G56:I56"/>
    <mergeCell ref="J56:M56"/>
    <mergeCell ref="N56:Q56"/>
    <mergeCell ref="R56:U56"/>
    <mergeCell ref="A52:B52"/>
    <mergeCell ref="A53:B53"/>
    <mergeCell ref="C52:AF52"/>
    <mergeCell ref="C53:AF53"/>
    <mergeCell ref="I41:K41"/>
    <mergeCell ref="L41:N41"/>
    <mergeCell ref="O41:Q41"/>
    <mergeCell ref="R41:T41"/>
    <mergeCell ref="U41:X41"/>
    <mergeCell ref="Y50:AB50"/>
    <mergeCell ref="Y51:AB51"/>
    <mergeCell ref="AC50:AF50"/>
    <mergeCell ref="A50:X50"/>
    <mergeCell ref="A51:X51"/>
    <mergeCell ref="A41:E41"/>
    <mergeCell ref="F41:H41"/>
    <mergeCell ref="Y47:AB47"/>
    <mergeCell ref="AC42:AF42"/>
    <mergeCell ref="AC43:AF43"/>
    <mergeCell ref="AC44:AF44"/>
    <mergeCell ref="AC45:AF45"/>
    <mergeCell ref="AC46:AF46"/>
    <mergeCell ref="AC47:AF47"/>
    <mergeCell ref="AC48:AF48"/>
    <mergeCell ref="AC49:AF49"/>
    <mergeCell ref="R47:T47"/>
    <mergeCell ref="R48:T48"/>
    <mergeCell ref="R49:T49"/>
    <mergeCell ref="U42:X42"/>
    <mergeCell ref="U43:X43"/>
    <mergeCell ref="U44:X44"/>
    <mergeCell ref="U45:X45"/>
    <mergeCell ref="U46:X46"/>
    <mergeCell ref="U47:X47"/>
    <mergeCell ref="U48:X48"/>
    <mergeCell ref="U49:X49"/>
    <mergeCell ref="R42:T42"/>
    <mergeCell ref="R43:T43"/>
    <mergeCell ref="R44:T44"/>
    <mergeCell ref="R45:T45"/>
    <mergeCell ref="R46:T46"/>
    <mergeCell ref="F46:H46"/>
    <mergeCell ref="F47:H47"/>
    <mergeCell ref="F48:H48"/>
    <mergeCell ref="F49:H49"/>
    <mergeCell ref="I42:K42"/>
    <mergeCell ref="I43:K43"/>
    <mergeCell ref="I44:K44"/>
    <mergeCell ref="I45:K45"/>
    <mergeCell ref="Y42:AB42"/>
    <mergeCell ref="Y43:AB43"/>
    <mergeCell ref="Y44:AB44"/>
    <mergeCell ref="Y45:AB45"/>
    <mergeCell ref="Y46:AB46"/>
    <mergeCell ref="L42:N42"/>
    <mergeCell ref="L43:N43"/>
    <mergeCell ref="L44:N44"/>
    <mergeCell ref="L45:N45"/>
    <mergeCell ref="L46:N46"/>
    <mergeCell ref="I46:K46"/>
    <mergeCell ref="I47:K47"/>
    <mergeCell ref="I48:K48"/>
    <mergeCell ref="I49:K49"/>
    <mergeCell ref="L47:N47"/>
    <mergeCell ref="L48:N48"/>
    <mergeCell ref="A38:D38"/>
    <mergeCell ref="E38:P38"/>
    <mergeCell ref="Q38:T38"/>
    <mergeCell ref="U38:W38"/>
    <mergeCell ref="X38:AF38"/>
    <mergeCell ref="A37:D37"/>
    <mergeCell ref="E37:P37"/>
    <mergeCell ref="Q37:T37"/>
    <mergeCell ref="U37:W37"/>
    <mergeCell ref="X37:AF37"/>
    <mergeCell ref="A36:D36"/>
    <mergeCell ref="E36:P36"/>
    <mergeCell ref="Q36:T36"/>
    <mergeCell ref="U36:W36"/>
    <mergeCell ref="X36:AF36"/>
    <mergeCell ref="A35:D35"/>
    <mergeCell ref="E35:P35"/>
    <mergeCell ref="Q35:T35"/>
    <mergeCell ref="U35:W35"/>
    <mergeCell ref="X35:AF35"/>
    <mergeCell ref="B23:AF23"/>
    <mergeCell ref="A26:AF26"/>
    <mergeCell ref="B11:AF11"/>
    <mergeCell ref="B13:I13"/>
    <mergeCell ref="B14:AF14"/>
    <mergeCell ref="B16:I16"/>
    <mergeCell ref="B17:AF17"/>
    <mergeCell ref="E34:P34"/>
    <mergeCell ref="Q34:T34"/>
    <mergeCell ref="U34:W34"/>
    <mergeCell ref="X34:AF34"/>
    <mergeCell ref="A33:D33"/>
    <mergeCell ref="E33:P33"/>
    <mergeCell ref="Q33:T33"/>
    <mergeCell ref="U33:W33"/>
    <mergeCell ref="X33:AF33"/>
    <mergeCell ref="A1:AF1"/>
    <mergeCell ref="A3:AF3"/>
    <mergeCell ref="B4:I4"/>
    <mergeCell ref="J4:AF4"/>
    <mergeCell ref="B5:I5"/>
    <mergeCell ref="J5:AF5"/>
    <mergeCell ref="B6:I6"/>
    <mergeCell ref="J6:AF6"/>
    <mergeCell ref="B7:I7"/>
    <mergeCell ref="J7:AF7"/>
    <mergeCell ref="A42:E42"/>
    <mergeCell ref="A43:E43"/>
    <mergeCell ref="A44:E44"/>
    <mergeCell ref="A45:E45"/>
    <mergeCell ref="A46:E46"/>
    <mergeCell ref="A47:E47"/>
    <mergeCell ref="A48:E48"/>
    <mergeCell ref="A49:E49"/>
    <mergeCell ref="A9:AF9"/>
    <mergeCell ref="B10:I10"/>
    <mergeCell ref="A32:D32"/>
    <mergeCell ref="E32:P32"/>
    <mergeCell ref="Q32:T32"/>
    <mergeCell ref="U32:W32"/>
    <mergeCell ref="X32:AF32"/>
    <mergeCell ref="A28:H28"/>
    <mergeCell ref="I28:AF28"/>
    <mergeCell ref="A29:H29"/>
    <mergeCell ref="I29:AF29"/>
    <mergeCell ref="A31:AF31"/>
    <mergeCell ref="A34:D34"/>
    <mergeCell ref="B19:I19"/>
    <mergeCell ref="B20:AF20"/>
    <mergeCell ref="B22:I22"/>
  </mergeCells>
  <pageMargins left="0.7" right="0.7" top="0.75" bottom="0.75" header="0.3" footer="0.3"/>
  <pageSetup orientation="portrait" r:id="rId1"/>
  <headerFooter>
    <oddHeader>&amp;C&amp;"Arial,Regular"&amp;09&amp;I&amp;K000000Leidos Proprietary</oddHeader>
    <oddFooter>&amp;C&amp;"Calibri,Regular"&amp;11</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63">
    <tabColor theme="7" tint="0.59999389629810485"/>
    <pageSetUpPr autoPageBreaks="0"/>
  </sheetPr>
  <dimension ref="A1:AF116"/>
  <sheetViews>
    <sheetView topLeftCell="A100" workbookViewId="0">
      <selection activeCell="A159" sqref="A159:AF159"/>
    </sheetView>
  </sheetViews>
  <sheetFormatPr defaultColWidth="2.7109375" defaultRowHeight="15" x14ac:dyDescent="0.25"/>
  <cols>
    <col min="1" max="16384" width="2.7109375" style="1"/>
  </cols>
  <sheetData>
    <row r="1" spans="1:32" ht="19.5" thickBot="1" x14ac:dyDescent="0.3">
      <c r="A1" s="1272" t="s">
        <v>1176</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row>
    <row r="2" spans="1:32" s="262" customFormat="1" ht="14.45" customHeight="1" x14ac:dyDescent="0.25">
      <c r="A2" s="283"/>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row>
    <row r="3" spans="1:32" x14ac:dyDescent="0.25">
      <c r="A3" s="1582" t="s">
        <v>0</v>
      </c>
      <c r="B3" s="1582"/>
      <c r="C3" s="1582"/>
      <c r="D3" s="1582"/>
      <c r="E3" s="1582"/>
      <c r="F3" s="1582"/>
      <c r="G3" s="1582"/>
      <c r="H3" s="1582"/>
      <c r="I3" s="1582"/>
      <c r="J3" s="1582"/>
      <c r="K3" s="1582"/>
      <c r="L3" s="1582"/>
      <c r="M3" s="1582"/>
      <c r="N3" s="1582"/>
      <c r="O3" s="1582"/>
      <c r="P3" s="1582"/>
      <c r="Q3" s="1582"/>
      <c r="R3" s="1582"/>
      <c r="S3" s="1582"/>
      <c r="T3" s="1582"/>
      <c r="U3" s="1582"/>
      <c r="V3" s="1582"/>
      <c r="W3" s="1582"/>
      <c r="X3" s="1582"/>
      <c r="Y3" s="1582"/>
      <c r="Z3" s="1582"/>
      <c r="AA3" s="1582"/>
      <c r="AB3" s="1582"/>
      <c r="AC3" s="1582"/>
      <c r="AD3" s="1582"/>
      <c r="AE3" s="1582"/>
      <c r="AF3" s="1582"/>
    </row>
    <row r="4" spans="1:32" x14ac:dyDescent="0.25">
      <c r="B4" s="1475" t="s">
        <v>1</v>
      </c>
      <c r="C4" s="1475"/>
      <c r="D4" s="1475"/>
      <c r="E4" s="1475"/>
      <c r="F4" s="1475"/>
      <c r="G4" s="1475"/>
      <c r="H4" s="1475"/>
      <c r="I4" s="1475"/>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3"/>
    </row>
    <row r="5" spans="1:32" x14ac:dyDescent="0.25">
      <c r="B5" s="1475" t="s">
        <v>2</v>
      </c>
      <c r="C5" s="1475"/>
      <c r="D5" s="1475"/>
      <c r="E5" s="1475"/>
      <c r="F5" s="1475"/>
      <c r="G5" s="1475"/>
      <c r="H5" s="1475"/>
      <c r="I5" s="1475"/>
      <c r="J5" s="1753"/>
      <c r="K5" s="1753"/>
      <c r="L5" s="1753"/>
      <c r="M5" s="1753"/>
      <c r="N5" s="1753"/>
      <c r="O5" s="1753"/>
      <c r="P5" s="1753"/>
      <c r="Q5" s="1753"/>
      <c r="R5" s="1753"/>
      <c r="S5" s="1753"/>
      <c r="T5" s="1753"/>
      <c r="U5" s="1753"/>
      <c r="V5" s="1753"/>
      <c r="W5" s="1753"/>
      <c r="X5" s="1753"/>
      <c r="Y5" s="1753"/>
      <c r="Z5" s="1753"/>
      <c r="AA5" s="1753"/>
      <c r="AB5" s="1753"/>
      <c r="AC5" s="1753"/>
      <c r="AD5" s="1753"/>
      <c r="AE5" s="1753"/>
      <c r="AF5" s="1753"/>
    </row>
    <row r="6" spans="1:32" x14ac:dyDescent="0.25">
      <c r="B6" s="3006" t="s">
        <v>3</v>
      </c>
      <c r="C6" s="3006"/>
      <c r="D6" s="3006"/>
      <c r="E6" s="3006"/>
      <c r="F6" s="3006"/>
      <c r="G6" s="3006"/>
      <c r="H6" s="3006"/>
      <c r="I6" s="3006"/>
      <c r="J6" s="1753"/>
      <c r="K6" s="1753"/>
      <c r="L6" s="1753"/>
      <c r="M6" s="1753"/>
      <c r="N6" s="1753"/>
      <c r="O6" s="1753"/>
      <c r="P6" s="1753"/>
      <c r="Q6" s="1753"/>
      <c r="R6" s="1753"/>
      <c r="S6" s="1753"/>
      <c r="T6" s="1753"/>
      <c r="U6" s="1753"/>
      <c r="V6" s="1753"/>
      <c r="W6" s="1753"/>
      <c r="X6" s="1753"/>
      <c r="Y6" s="1753"/>
      <c r="Z6" s="1753"/>
      <c r="AA6" s="1753"/>
      <c r="AB6" s="1753"/>
      <c r="AC6" s="1753"/>
      <c r="AD6" s="1753"/>
      <c r="AE6" s="1753"/>
      <c r="AF6" s="1753"/>
    </row>
    <row r="7" spans="1:32" x14ac:dyDescent="0.25">
      <c r="B7" s="3006" t="s">
        <v>615</v>
      </c>
      <c r="C7" s="3006"/>
      <c r="D7" s="3006"/>
      <c r="E7" s="3006"/>
      <c r="F7" s="3006"/>
      <c r="G7" s="3006"/>
      <c r="H7" s="3006"/>
      <c r="I7" s="3006"/>
      <c r="J7" s="1753"/>
      <c r="K7" s="1753"/>
      <c r="L7" s="1753"/>
      <c r="M7" s="1753"/>
      <c r="N7" s="1753"/>
      <c r="O7" s="1753"/>
      <c r="P7" s="1753"/>
      <c r="Q7" s="1753"/>
      <c r="R7" s="1753"/>
      <c r="S7" s="1753"/>
      <c r="T7" s="1753"/>
      <c r="U7" s="1753"/>
      <c r="V7" s="1753"/>
      <c r="W7" s="1753"/>
      <c r="X7" s="1753"/>
      <c r="Y7" s="1753"/>
      <c r="Z7" s="1753"/>
      <c r="AA7" s="1753"/>
      <c r="AB7" s="1753"/>
      <c r="AC7" s="1753"/>
      <c r="AD7" s="1753"/>
      <c r="AE7" s="1753"/>
      <c r="AF7" s="1753"/>
    </row>
    <row r="9" spans="1:32" x14ac:dyDescent="0.25">
      <c r="A9" s="1582" t="s">
        <v>9</v>
      </c>
      <c r="B9" s="1582"/>
      <c r="C9" s="1582"/>
      <c r="D9" s="1582"/>
      <c r="E9" s="1582"/>
      <c r="F9" s="1582"/>
      <c r="G9" s="1582"/>
      <c r="H9" s="1582"/>
      <c r="I9" s="1582"/>
      <c r="J9" s="1582"/>
      <c r="K9" s="1582"/>
      <c r="L9" s="1582"/>
      <c r="M9" s="1582"/>
      <c r="N9" s="1582"/>
      <c r="O9" s="1582"/>
      <c r="P9" s="1582"/>
      <c r="Q9" s="1582"/>
      <c r="R9" s="1582"/>
      <c r="S9" s="1582"/>
      <c r="T9" s="1582"/>
      <c r="U9" s="1582"/>
      <c r="V9" s="1582"/>
      <c r="W9" s="1582"/>
      <c r="X9" s="1582"/>
      <c r="Y9" s="1582"/>
      <c r="Z9" s="1582"/>
      <c r="AA9" s="1582"/>
      <c r="AB9" s="1582"/>
      <c r="AC9" s="1582"/>
      <c r="AD9" s="1582"/>
      <c r="AE9" s="1582"/>
      <c r="AF9" s="1582"/>
    </row>
    <row r="10" spans="1:32" x14ac:dyDescent="0.25">
      <c r="B10" s="1475" t="s">
        <v>10</v>
      </c>
      <c r="C10" s="1475"/>
      <c r="D10" s="1475"/>
      <c r="E10" s="1475"/>
      <c r="F10" s="1475"/>
      <c r="G10" s="1475"/>
      <c r="H10" s="1475"/>
      <c r="I10" s="1475"/>
    </row>
    <row r="11" spans="1:32" s="4" customFormat="1" ht="57.6" customHeight="1" x14ac:dyDescent="0.25">
      <c r="B11" s="1151" t="s">
        <v>653</v>
      </c>
      <c r="C11" s="1151"/>
      <c r="D11" s="1151"/>
      <c r="E11" s="1151"/>
      <c r="F11" s="1151"/>
      <c r="G11" s="1151"/>
      <c r="H11" s="1151"/>
      <c r="I11" s="1151"/>
      <c r="J11" s="1151"/>
      <c r="K11" s="1151"/>
      <c r="L11" s="1151"/>
      <c r="M11" s="1151"/>
      <c r="N11" s="1151"/>
      <c r="O11" s="1151"/>
      <c r="P11" s="1151"/>
      <c r="Q11" s="1151"/>
      <c r="R11" s="1151"/>
      <c r="S11" s="1151"/>
      <c r="T11" s="1151"/>
      <c r="U11" s="1151"/>
      <c r="V11" s="1151"/>
      <c r="W11" s="1151"/>
      <c r="X11" s="1151"/>
      <c r="Y11" s="1151"/>
      <c r="Z11" s="1151"/>
      <c r="AA11" s="1151"/>
      <c r="AB11" s="1151"/>
      <c r="AC11" s="1151"/>
      <c r="AD11" s="1151"/>
      <c r="AE11" s="1151"/>
      <c r="AF11" s="1151"/>
    </row>
    <row r="13" spans="1:32" x14ac:dyDescent="0.25">
      <c r="B13" s="1475" t="s">
        <v>11</v>
      </c>
      <c r="C13" s="1475"/>
      <c r="D13" s="1475"/>
      <c r="E13" s="1475"/>
      <c r="F13" s="1475"/>
      <c r="G13" s="1475"/>
      <c r="H13" s="1475"/>
      <c r="I13" s="1475"/>
    </row>
    <row r="14" spans="1:32" x14ac:dyDescent="0.25">
      <c r="B14" s="1473"/>
      <c r="C14" s="1473"/>
      <c r="D14" s="1473"/>
      <c r="E14" s="1473"/>
      <c r="F14" s="1473"/>
      <c r="G14" s="1473"/>
      <c r="H14" s="1473"/>
      <c r="I14" s="1473"/>
      <c r="J14" s="1473"/>
      <c r="K14" s="1473"/>
      <c r="L14" s="1473"/>
      <c r="M14" s="1473"/>
      <c r="N14" s="1473"/>
      <c r="O14" s="1473"/>
      <c r="P14" s="1473"/>
      <c r="Q14" s="1473"/>
      <c r="R14" s="1473"/>
      <c r="S14" s="1473"/>
      <c r="T14" s="1473"/>
      <c r="U14" s="1473"/>
      <c r="V14" s="1473"/>
      <c r="W14" s="1473"/>
      <c r="X14" s="1473"/>
      <c r="Y14" s="1473"/>
      <c r="Z14" s="1473"/>
      <c r="AA14" s="1473"/>
      <c r="AB14" s="1473"/>
      <c r="AC14" s="1473"/>
      <c r="AD14" s="1473"/>
      <c r="AE14" s="1473"/>
      <c r="AF14" s="1473"/>
    </row>
    <row r="16" spans="1:32" x14ac:dyDescent="0.25">
      <c r="B16" s="1475" t="s">
        <v>12</v>
      </c>
      <c r="C16" s="1475"/>
      <c r="D16" s="1475"/>
      <c r="E16" s="1475"/>
      <c r="F16" s="1475"/>
      <c r="G16" s="1475"/>
      <c r="H16" s="1475"/>
      <c r="I16" s="1475"/>
    </row>
    <row r="17" spans="1:32" x14ac:dyDescent="0.25">
      <c r="B17" s="1473"/>
      <c r="C17" s="1473"/>
      <c r="D17" s="1473"/>
      <c r="E17" s="1473"/>
      <c r="F17" s="1473"/>
      <c r="G17" s="1473"/>
      <c r="H17" s="1473"/>
      <c r="I17" s="1473"/>
      <c r="J17" s="1473"/>
      <c r="K17" s="1473"/>
      <c r="L17" s="1473"/>
      <c r="M17" s="1473"/>
      <c r="N17" s="1473"/>
      <c r="O17" s="1473"/>
      <c r="P17" s="1473"/>
      <c r="Q17" s="1473"/>
      <c r="R17" s="1473"/>
      <c r="S17" s="1473"/>
      <c r="T17" s="1473"/>
      <c r="U17" s="1473"/>
      <c r="V17" s="1473"/>
      <c r="W17" s="1473"/>
      <c r="X17" s="1473"/>
      <c r="Y17" s="1473"/>
      <c r="Z17" s="1473"/>
      <c r="AA17" s="1473"/>
      <c r="AB17" s="1473"/>
      <c r="AC17" s="1473"/>
      <c r="AD17" s="1473"/>
      <c r="AE17" s="1473"/>
      <c r="AF17" s="1473"/>
    </row>
    <row r="19" spans="1:32" x14ac:dyDescent="0.25">
      <c r="B19" s="1475" t="s">
        <v>13</v>
      </c>
      <c r="C19" s="1475"/>
      <c r="D19" s="1475"/>
      <c r="E19" s="1475"/>
      <c r="F19" s="1475"/>
      <c r="G19" s="1475"/>
      <c r="H19" s="1475"/>
      <c r="I19" s="1475"/>
    </row>
    <row r="20" spans="1:32" ht="72" customHeight="1" x14ac:dyDescent="0.25">
      <c r="B20" s="1151" t="s">
        <v>654</v>
      </c>
      <c r="C20" s="1473"/>
      <c r="D20" s="1473"/>
      <c r="E20" s="1473"/>
      <c r="F20" s="1473"/>
      <c r="G20" s="1473"/>
      <c r="H20" s="1473"/>
      <c r="I20" s="1473"/>
      <c r="J20" s="1473"/>
      <c r="K20" s="1473"/>
      <c r="L20" s="1473"/>
      <c r="M20" s="1473"/>
      <c r="N20" s="1473"/>
      <c r="O20" s="1473"/>
      <c r="P20" s="1473"/>
      <c r="Q20" s="1473"/>
      <c r="R20" s="1473"/>
      <c r="S20" s="1473"/>
      <c r="T20" s="1473"/>
      <c r="U20" s="1473"/>
      <c r="V20" s="1473"/>
      <c r="W20" s="1473"/>
      <c r="X20" s="1473"/>
      <c r="Y20" s="1473"/>
      <c r="Z20" s="1473"/>
      <c r="AA20" s="1473"/>
      <c r="AB20" s="1473"/>
      <c r="AC20" s="1473"/>
      <c r="AD20" s="1473"/>
      <c r="AE20" s="1473"/>
      <c r="AF20" s="1473"/>
    </row>
    <row r="22" spans="1:32" x14ac:dyDescent="0.25">
      <c r="B22" s="1475" t="s">
        <v>20</v>
      </c>
      <c r="C22" s="1475"/>
      <c r="D22" s="1475"/>
      <c r="E22" s="1475"/>
      <c r="F22" s="1475"/>
      <c r="G22" s="1475"/>
      <c r="H22" s="1475"/>
      <c r="I22" s="1475"/>
    </row>
    <row r="23" spans="1:32" ht="86.45" customHeight="1" x14ac:dyDescent="0.25">
      <c r="B23" s="1151" t="s">
        <v>655</v>
      </c>
      <c r="C23" s="1473"/>
      <c r="D23" s="1473"/>
      <c r="E23" s="1473"/>
      <c r="F23" s="1473"/>
      <c r="G23" s="1473"/>
      <c r="H23" s="1473"/>
      <c r="I23" s="1473"/>
      <c r="J23" s="1473"/>
      <c r="K23" s="1473"/>
      <c r="L23" s="1473"/>
      <c r="M23" s="1473"/>
      <c r="N23" s="1473"/>
      <c r="O23" s="1473"/>
      <c r="P23" s="1473"/>
      <c r="Q23" s="1473"/>
      <c r="R23" s="1473"/>
      <c r="S23" s="1473"/>
      <c r="T23" s="1473"/>
      <c r="U23" s="1473"/>
      <c r="V23" s="1473"/>
      <c r="W23" s="1473"/>
      <c r="X23" s="1473"/>
      <c r="Y23" s="1473"/>
      <c r="Z23" s="1473"/>
      <c r="AA23" s="1473"/>
      <c r="AB23" s="1473"/>
      <c r="AC23" s="1473"/>
      <c r="AD23" s="1473"/>
      <c r="AE23" s="1473"/>
      <c r="AF23" s="1473"/>
    </row>
    <row r="26" spans="1:32" x14ac:dyDescent="0.25">
      <c r="A26" s="1582" t="s">
        <v>14</v>
      </c>
      <c r="B26" s="1582"/>
      <c r="C26" s="1582"/>
      <c r="D26" s="1582"/>
      <c r="E26" s="1582"/>
      <c r="F26" s="1582"/>
      <c r="G26" s="1582"/>
      <c r="H26" s="1582"/>
      <c r="I26" s="1582"/>
      <c r="J26" s="1582"/>
      <c r="K26" s="1582"/>
      <c r="L26" s="1582"/>
      <c r="M26" s="1582"/>
      <c r="N26" s="1582"/>
      <c r="O26" s="1582"/>
      <c r="P26" s="1582"/>
      <c r="Q26" s="1582"/>
      <c r="R26" s="1582"/>
      <c r="S26" s="1582"/>
      <c r="T26" s="1582"/>
      <c r="U26" s="1582"/>
      <c r="V26" s="1582"/>
      <c r="W26" s="1582"/>
      <c r="X26" s="1582"/>
      <c r="Y26" s="1582"/>
      <c r="Z26" s="1582"/>
      <c r="AA26" s="1582"/>
      <c r="AB26" s="1582"/>
      <c r="AC26" s="1582"/>
      <c r="AD26" s="1582"/>
      <c r="AE26" s="1582"/>
      <c r="AF26" s="1582"/>
    </row>
    <row r="28" spans="1:32" x14ac:dyDescent="0.25">
      <c r="A28" s="1586"/>
      <c r="B28" s="1586"/>
      <c r="C28" s="1586"/>
      <c r="D28" s="1586"/>
      <c r="E28" s="1586"/>
      <c r="F28" s="1586"/>
      <c r="G28" s="1586"/>
      <c r="H28" s="1753"/>
      <c r="I28" s="1753"/>
      <c r="J28" s="1753"/>
      <c r="K28" s="1753"/>
      <c r="L28" s="1753"/>
      <c r="M28" s="1753"/>
      <c r="N28" s="1753"/>
      <c r="O28" s="1753"/>
      <c r="P28" s="1753"/>
      <c r="Q28" s="1753"/>
      <c r="R28" s="1753"/>
      <c r="S28" s="1753"/>
      <c r="T28" s="1753"/>
      <c r="U28" s="1753"/>
      <c r="V28" s="1753"/>
      <c r="W28" s="1753"/>
      <c r="X28" s="1753"/>
      <c r="Y28" s="1753"/>
      <c r="Z28" s="1753"/>
      <c r="AA28" s="1753"/>
      <c r="AB28" s="1753"/>
      <c r="AC28" s="1753"/>
      <c r="AD28" s="1753"/>
      <c r="AE28" s="1753"/>
      <c r="AF28" s="1753"/>
    </row>
    <row r="29" spans="1:32" x14ac:dyDescent="0.25">
      <c r="A29" s="1586"/>
      <c r="B29" s="1586"/>
      <c r="C29" s="1586"/>
      <c r="D29" s="1586"/>
      <c r="E29" s="1586"/>
      <c r="F29" s="1586"/>
      <c r="G29" s="1586"/>
      <c r="H29" s="1753"/>
      <c r="I29" s="1753"/>
      <c r="J29" s="1753"/>
      <c r="K29" s="1753"/>
      <c r="L29" s="1753"/>
      <c r="M29" s="1753"/>
      <c r="N29" s="1753"/>
      <c r="O29" s="1753"/>
      <c r="P29" s="1753"/>
      <c r="Q29" s="1753"/>
      <c r="R29" s="1753"/>
      <c r="S29" s="1753"/>
      <c r="T29" s="1753"/>
      <c r="U29" s="1753"/>
      <c r="V29" s="1753"/>
      <c r="W29" s="1753"/>
      <c r="X29" s="1753"/>
      <c r="Y29" s="1753"/>
      <c r="Z29" s="1753"/>
      <c r="AA29" s="1753"/>
      <c r="AB29" s="1753"/>
      <c r="AC29" s="1753"/>
      <c r="AD29" s="1753"/>
      <c r="AE29" s="1753"/>
      <c r="AF29" s="1753"/>
    </row>
    <row r="31" spans="1:32" x14ac:dyDescent="0.25">
      <c r="A31" s="1472" t="s">
        <v>15</v>
      </c>
      <c r="B31" s="1472"/>
      <c r="C31" s="1472"/>
      <c r="D31" s="1472"/>
      <c r="E31" s="1472"/>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row>
    <row r="32" spans="1:32" x14ac:dyDescent="0.25">
      <c r="A32" s="1303" t="s">
        <v>16</v>
      </c>
      <c r="B32" s="1303"/>
      <c r="C32" s="1303"/>
      <c r="D32" s="1303"/>
      <c r="E32" s="1303" t="s">
        <v>10</v>
      </c>
      <c r="F32" s="1303"/>
      <c r="G32" s="1303"/>
      <c r="H32" s="1303"/>
      <c r="I32" s="1303"/>
      <c r="J32" s="1303"/>
      <c r="K32" s="1303"/>
      <c r="L32" s="1303"/>
      <c r="M32" s="1303"/>
      <c r="N32" s="1303"/>
      <c r="O32" s="1303" t="s">
        <v>273</v>
      </c>
      <c r="P32" s="1303"/>
      <c r="Q32" s="1303"/>
      <c r="R32" s="1303" t="s">
        <v>657</v>
      </c>
      <c r="S32" s="1303"/>
      <c r="T32" s="1303"/>
      <c r="U32" s="1303" t="s">
        <v>656</v>
      </c>
      <c r="V32" s="1303"/>
      <c r="W32" s="1303"/>
      <c r="X32" s="1303" t="s">
        <v>18</v>
      </c>
      <c r="Y32" s="1303"/>
      <c r="Z32" s="1303"/>
      <c r="AA32" s="1303" t="s">
        <v>19</v>
      </c>
      <c r="AB32" s="1303"/>
      <c r="AC32" s="1303"/>
      <c r="AD32" s="1303"/>
      <c r="AE32" s="1303"/>
      <c r="AF32" s="1303"/>
    </row>
    <row r="33" spans="1:32" x14ac:dyDescent="0.25">
      <c r="A33" s="1276" t="s">
        <v>42</v>
      </c>
      <c r="B33" s="1276"/>
      <c r="C33" s="1276"/>
      <c r="D33" s="1276"/>
      <c r="E33" s="1243" t="s">
        <v>105</v>
      </c>
      <c r="F33" s="1243"/>
      <c r="G33" s="1243"/>
      <c r="H33" s="1243"/>
      <c r="I33" s="1243"/>
      <c r="J33" s="1243"/>
      <c r="K33" s="1243"/>
      <c r="L33" s="1243"/>
      <c r="M33" s="1243"/>
      <c r="N33" s="1243"/>
      <c r="O33" s="1750">
        <v>0.96</v>
      </c>
      <c r="P33" s="1750"/>
      <c r="Q33" s="1750"/>
      <c r="R33" s="1750">
        <v>0.96</v>
      </c>
      <c r="S33" s="1750"/>
      <c r="T33" s="1750"/>
      <c r="U33" s="1750">
        <v>1</v>
      </c>
      <c r="V33" s="1750"/>
      <c r="W33" s="1750"/>
      <c r="X33" s="1243" t="s">
        <v>28</v>
      </c>
      <c r="Y33" s="1243"/>
      <c r="Z33" s="1243"/>
      <c r="AA33" s="1243"/>
      <c r="AB33" s="1243"/>
      <c r="AC33" s="1243"/>
      <c r="AD33" s="1243"/>
      <c r="AE33" s="1243"/>
      <c r="AF33" s="1243"/>
    </row>
    <row r="34" spans="1:32" x14ac:dyDescent="0.25">
      <c r="A34" s="1276" t="s">
        <v>29</v>
      </c>
      <c r="B34" s="1276"/>
      <c r="C34" s="1276"/>
      <c r="D34" s="1276"/>
      <c r="E34" s="1243" t="s">
        <v>104</v>
      </c>
      <c r="F34" s="1243"/>
      <c r="G34" s="1243"/>
      <c r="H34" s="1243"/>
      <c r="I34" s="1243"/>
      <c r="J34" s="1243"/>
      <c r="K34" s="1243"/>
      <c r="L34" s="1243"/>
      <c r="M34" s="1243"/>
      <c r="N34" s="1243"/>
      <c r="O34" s="1750">
        <v>0.12</v>
      </c>
      <c r="P34" s="1750"/>
      <c r="Q34" s="1750"/>
      <c r="R34" s="1750">
        <v>1</v>
      </c>
      <c r="S34" s="1750"/>
      <c r="T34" s="1750"/>
      <c r="U34" s="1750">
        <v>0.2</v>
      </c>
      <c r="V34" s="1750"/>
      <c r="W34" s="1750"/>
      <c r="X34" s="1243" t="s">
        <v>28</v>
      </c>
      <c r="Y34" s="1243"/>
      <c r="Z34" s="1243"/>
      <c r="AA34" s="1243"/>
      <c r="AB34" s="1243"/>
      <c r="AC34" s="1243"/>
      <c r="AD34" s="1243"/>
      <c r="AE34" s="1243"/>
      <c r="AF34" s="1243"/>
    </row>
    <row r="35" spans="1:32" x14ac:dyDescent="0.25">
      <c r="A35" s="1276" t="s">
        <v>34</v>
      </c>
      <c r="B35" s="1276"/>
      <c r="C35" s="1276"/>
      <c r="D35" s="1276"/>
      <c r="E35" s="1243" t="s">
        <v>290</v>
      </c>
      <c r="F35" s="1243"/>
      <c r="G35" s="1243"/>
      <c r="H35" s="1243"/>
      <c r="I35" s="1243"/>
      <c r="J35" s="1243"/>
      <c r="K35" s="1243"/>
      <c r="L35" s="1243"/>
      <c r="M35" s="1243"/>
      <c r="N35" s="1243"/>
      <c r="O35" s="1243">
        <v>6</v>
      </c>
      <c r="P35" s="1243"/>
      <c r="Q35" s="1243"/>
      <c r="R35" s="1243">
        <v>5</v>
      </c>
      <c r="S35" s="1243"/>
      <c r="T35" s="1243"/>
      <c r="U35" s="1243">
        <v>5</v>
      </c>
      <c r="V35" s="1243"/>
      <c r="W35" s="1243"/>
      <c r="X35" s="1243" t="s">
        <v>46</v>
      </c>
      <c r="Y35" s="1243"/>
      <c r="Z35" s="1243"/>
      <c r="AA35" s="1243"/>
      <c r="AB35" s="1243"/>
      <c r="AC35" s="1243"/>
      <c r="AD35" s="1243"/>
      <c r="AE35" s="1243"/>
      <c r="AF35" s="1243"/>
    </row>
    <row r="38" spans="1:32" x14ac:dyDescent="0.25">
      <c r="A38" s="1582" t="s">
        <v>21</v>
      </c>
      <c r="B38" s="1582"/>
      <c r="C38" s="1582"/>
      <c r="D38" s="1582"/>
      <c r="E38" s="1582"/>
      <c r="F38" s="1582"/>
      <c r="G38" s="1582"/>
      <c r="H38" s="1582"/>
      <c r="I38" s="1582"/>
      <c r="J38" s="1582"/>
      <c r="K38" s="1582"/>
      <c r="L38" s="1582"/>
      <c r="M38" s="1582"/>
      <c r="N38" s="1582"/>
      <c r="O38" s="1582"/>
      <c r="P38" s="1582"/>
      <c r="Q38" s="1582"/>
      <c r="R38" s="1582"/>
      <c r="S38" s="1582"/>
      <c r="T38" s="1582"/>
      <c r="U38" s="1582"/>
      <c r="V38" s="1582"/>
      <c r="W38" s="1582"/>
      <c r="X38" s="1582"/>
      <c r="Y38" s="1582"/>
      <c r="Z38" s="1582"/>
      <c r="AA38" s="1582"/>
      <c r="AB38" s="1582"/>
      <c r="AC38" s="1582"/>
      <c r="AD38" s="1582"/>
      <c r="AE38" s="1582"/>
      <c r="AF38" s="1582"/>
    </row>
    <row r="39" spans="1:32" ht="15.75" thickBot="1" x14ac:dyDescent="0.3"/>
    <row r="40" spans="1:32" x14ac:dyDescent="0.25">
      <c r="A40" s="3951" t="s">
        <v>22</v>
      </c>
      <c r="B40" s="3952"/>
      <c r="C40" s="3952"/>
      <c r="D40" s="3952"/>
      <c r="E40" s="3952"/>
      <c r="F40" s="3952"/>
      <c r="G40" s="3952"/>
      <c r="H40" s="3952"/>
      <c r="I40" s="1584" t="s">
        <v>23</v>
      </c>
      <c r="J40" s="1584"/>
      <c r="K40" s="1584"/>
      <c r="L40" s="1584"/>
      <c r="M40" s="1584"/>
      <c r="N40" s="1584"/>
      <c r="O40" s="1584"/>
      <c r="P40" s="1584"/>
      <c r="Q40" s="1584" t="s">
        <v>24</v>
      </c>
      <c r="R40" s="1584"/>
      <c r="S40" s="1584"/>
      <c r="T40" s="1584"/>
      <c r="U40" s="1584"/>
      <c r="V40" s="1584"/>
      <c r="W40" s="1584"/>
      <c r="X40" s="1585"/>
    </row>
    <row r="41" spans="1:32" ht="17.25" x14ac:dyDescent="0.25">
      <c r="A41" s="3963">
        <v>100</v>
      </c>
      <c r="B41" s="3961"/>
      <c r="C41" s="3965" t="s">
        <v>662</v>
      </c>
      <c r="D41" s="2781"/>
      <c r="E41" s="3961">
        <v>23</v>
      </c>
      <c r="F41" s="3961"/>
      <c r="G41" s="2781" t="s">
        <v>661</v>
      </c>
      <c r="H41" s="2782"/>
      <c r="I41" s="3953">
        <f>ROUND((A41-E41)*$O$33*$O$34/1000,3)</f>
        <v>8.9999999999999993E-3</v>
      </c>
      <c r="J41" s="3954"/>
      <c r="K41" s="3954"/>
      <c r="L41" s="3954"/>
      <c r="M41" s="3954"/>
      <c r="N41" s="3954"/>
      <c r="O41" s="3954"/>
      <c r="P41" s="3954"/>
      <c r="Q41" s="3954">
        <f>ROUND(2.3*365*$O$33*(A41-E41)/1000,2)</f>
        <v>62.06</v>
      </c>
      <c r="R41" s="3954"/>
      <c r="S41" s="3954"/>
      <c r="T41" s="3954"/>
      <c r="U41" s="3954"/>
      <c r="V41" s="3954"/>
      <c r="W41" s="3954"/>
      <c r="X41" s="3955"/>
    </row>
    <row r="42" spans="1:32" ht="17.25" x14ac:dyDescent="0.25">
      <c r="A42" s="3963">
        <v>75</v>
      </c>
      <c r="B42" s="3961"/>
      <c r="C42" s="3965" t="s">
        <v>662</v>
      </c>
      <c r="D42" s="2781"/>
      <c r="E42" s="3961">
        <v>20</v>
      </c>
      <c r="F42" s="3961"/>
      <c r="G42" s="2781" t="s">
        <v>661</v>
      </c>
      <c r="H42" s="2782"/>
      <c r="I42" s="3956">
        <f>ROUND((A42-E42)*$O$33*$O$34/1000,3)</f>
        <v>6.0000000000000001E-3</v>
      </c>
      <c r="J42" s="3957"/>
      <c r="K42" s="3957"/>
      <c r="L42" s="3957"/>
      <c r="M42" s="3957"/>
      <c r="N42" s="3957"/>
      <c r="O42" s="3957"/>
      <c r="P42" s="3953"/>
      <c r="Q42" s="3954">
        <f>ROUND(2.3*365*$O$33*(A42-E42)/1000,2)</f>
        <v>44.33</v>
      </c>
      <c r="R42" s="3954"/>
      <c r="S42" s="3954"/>
      <c r="T42" s="3954"/>
      <c r="U42" s="3954"/>
      <c r="V42" s="3954"/>
      <c r="W42" s="3954"/>
      <c r="X42" s="3955"/>
    </row>
    <row r="43" spans="1:32" ht="18" thickBot="1" x14ac:dyDescent="0.3">
      <c r="A43" s="3964">
        <v>60</v>
      </c>
      <c r="B43" s="3962"/>
      <c r="C43" s="3966" t="s">
        <v>662</v>
      </c>
      <c r="D43" s="2793"/>
      <c r="E43" s="3962">
        <v>13</v>
      </c>
      <c r="F43" s="3962"/>
      <c r="G43" s="2793" t="s">
        <v>661</v>
      </c>
      <c r="H43" s="2794"/>
      <c r="I43" s="3958">
        <f>ROUND((A43-E43)*$O$33*$O$34/1000,3)</f>
        <v>5.0000000000000001E-3</v>
      </c>
      <c r="J43" s="3959"/>
      <c r="K43" s="3959"/>
      <c r="L43" s="3959"/>
      <c r="M43" s="3959"/>
      <c r="N43" s="3959"/>
      <c r="O43" s="3959"/>
      <c r="P43" s="3960"/>
      <c r="Q43" s="1580">
        <f>ROUND(2.3*365*$O$33*(A43-E43)/1000,2)</f>
        <v>37.880000000000003</v>
      </c>
      <c r="R43" s="1580"/>
      <c r="S43" s="1580"/>
      <c r="T43" s="1580"/>
      <c r="U43" s="1580"/>
      <c r="V43" s="1580"/>
      <c r="W43" s="1580"/>
      <c r="X43" s="1581"/>
    </row>
    <row r="44" spans="1:32" x14ac:dyDescent="0.2">
      <c r="A44" s="85" t="s">
        <v>660</v>
      </c>
    </row>
    <row r="45" spans="1:32" ht="15.75" thickBot="1" x14ac:dyDescent="0.3"/>
    <row r="46" spans="1:32" x14ac:dyDescent="0.25">
      <c r="A46" s="1583" t="s">
        <v>22</v>
      </c>
      <c r="B46" s="1584"/>
      <c r="C46" s="1584"/>
      <c r="D46" s="1584"/>
      <c r="E46" s="1584"/>
      <c r="F46" s="1584"/>
      <c r="G46" s="1584"/>
      <c r="H46" s="1584"/>
      <c r="I46" s="1584" t="s">
        <v>23</v>
      </c>
      <c r="J46" s="1584"/>
      <c r="K46" s="1584"/>
      <c r="L46" s="1584"/>
      <c r="M46" s="1584"/>
      <c r="N46" s="1584"/>
      <c r="O46" s="1584"/>
      <c r="P46" s="1584"/>
      <c r="Q46" s="1584" t="s">
        <v>24</v>
      </c>
      <c r="R46" s="1584"/>
      <c r="S46" s="1584"/>
      <c r="T46" s="1584"/>
      <c r="U46" s="1584"/>
      <c r="V46" s="1584"/>
      <c r="W46" s="1584"/>
      <c r="X46" s="1585"/>
    </row>
    <row r="47" spans="1:32" ht="18" thickBot="1" x14ac:dyDescent="0.3">
      <c r="A47" s="3324" t="s">
        <v>659</v>
      </c>
      <c r="B47" s="3325"/>
      <c r="C47" s="3325"/>
      <c r="D47" s="3325"/>
      <c r="E47" s="3325"/>
      <c r="F47" s="3325"/>
      <c r="G47" s="3325"/>
      <c r="H47" s="3325"/>
      <c r="I47" s="1580">
        <f>ROUND(Q47/8760,3)</f>
        <v>1.0999999999999999E-2</v>
      </c>
      <c r="J47" s="1580"/>
      <c r="K47" s="1580"/>
      <c r="L47" s="1580"/>
      <c r="M47" s="1580"/>
      <c r="N47" s="1580"/>
      <c r="O47" s="1580"/>
      <c r="P47" s="1580"/>
      <c r="Q47" s="1580">
        <f>ROUND(102.8*R33,2)</f>
        <v>98.69</v>
      </c>
      <c r="R47" s="1580"/>
      <c r="S47" s="1580"/>
      <c r="T47" s="1580"/>
      <c r="U47" s="1580"/>
      <c r="V47" s="1580"/>
      <c r="W47" s="1580"/>
      <c r="X47" s="1581"/>
    </row>
    <row r="48" spans="1:32" x14ac:dyDescent="0.25">
      <c r="A48" s="145" t="s">
        <v>658</v>
      </c>
    </row>
    <row r="50" spans="1:32" x14ac:dyDescent="0.25">
      <c r="A50" s="1" t="s">
        <v>663</v>
      </c>
    </row>
    <row r="51" spans="1:32" s="4" customFormat="1" ht="86.45" customHeight="1" x14ac:dyDescent="0.25">
      <c r="A51" s="157"/>
      <c r="B51" s="1151" t="s">
        <v>665</v>
      </c>
      <c r="C51" s="1151"/>
      <c r="D51" s="1151"/>
      <c r="E51" s="1151"/>
      <c r="F51" s="1151"/>
      <c r="G51" s="1151"/>
      <c r="H51" s="1151"/>
      <c r="I51" s="1151"/>
      <c r="J51" s="1151"/>
      <c r="K51" s="1151"/>
      <c r="L51" s="1151"/>
      <c r="M51" s="1151"/>
      <c r="N51" s="1151"/>
      <c r="O51" s="1151"/>
      <c r="P51" s="1151"/>
      <c r="Q51" s="1151"/>
      <c r="R51" s="1151"/>
      <c r="S51" s="1151"/>
      <c r="T51" s="1151"/>
      <c r="U51" s="1151"/>
      <c r="V51" s="1151"/>
      <c r="W51" s="1151"/>
      <c r="X51" s="1151"/>
      <c r="Y51" s="1151"/>
      <c r="Z51" s="1151"/>
      <c r="AA51" s="1151"/>
      <c r="AB51" s="1151"/>
      <c r="AC51" s="1151"/>
      <c r="AD51" s="1151"/>
      <c r="AE51" s="1151"/>
      <c r="AF51" s="1151"/>
    </row>
    <row r="52" spans="1:32" x14ac:dyDescent="0.25">
      <c r="A52" s="154"/>
    </row>
    <row r="53" spans="1:32" x14ac:dyDescent="0.25">
      <c r="A53" s="155"/>
    </row>
    <row r="54" spans="1:32" x14ac:dyDescent="0.25">
      <c r="A54" s="155"/>
    </row>
    <row r="55" spans="1:32" x14ac:dyDescent="0.25">
      <c r="A55" s="155"/>
    </row>
    <row r="56" spans="1:32" x14ac:dyDescent="0.25">
      <c r="A56" s="155"/>
    </row>
    <row r="57" spans="1:32" x14ac:dyDescent="0.25">
      <c r="A57"/>
    </row>
    <row r="58" spans="1:32" s="4" customFormat="1" ht="144" customHeight="1" x14ac:dyDescent="0.25">
      <c r="A58" s="158"/>
      <c r="B58" s="1390" t="s">
        <v>666</v>
      </c>
      <c r="C58" s="3971"/>
      <c r="D58" s="3971"/>
      <c r="E58" s="3971"/>
      <c r="F58" s="3971"/>
      <c r="G58" s="3971"/>
      <c r="H58" s="3971"/>
      <c r="I58" s="3971"/>
      <c r="J58" s="3971"/>
      <c r="K58" s="3971"/>
      <c r="L58" s="3971"/>
      <c r="M58" s="3971"/>
      <c r="N58" s="3971"/>
      <c r="O58" s="3971"/>
      <c r="P58" s="3971"/>
      <c r="Q58" s="3971"/>
      <c r="R58" s="3971"/>
      <c r="S58" s="3971"/>
      <c r="T58" s="3971"/>
      <c r="U58" s="3971"/>
      <c r="V58" s="3971"/>
      <c r="W58" s="3971"/>
      <c r="X58" s="3971"/>
      <c r="Y58" s="3971"/>
      <c r="Z58" s="3971"/>
      <c r="AA58" s="3971"/>
      <c r="AB58" s="3971"/>
      <c r="AC58" s="3971"/>
      <c r="AD58" s="3971"/>
      <c r="AE58" s="3971"/>
      <c r="AF58" s="3971"/>
    </row>
    <row r="59" spans="1:32" x14ac:dyDescent="0.25">
      <c r="A59" s="154"/>
    </row>
    <row r="61" spans="1:32" x14ac:dyDescent="0.25">
      <c r="A61" s="154"/>
    </row>
    <row r="62" spans="1:32" x14ac:dyDescent="0.25">
      <c r="A62" s="155"/>
    </row>
    <row r="63" spans="1:32" x14ac:dyDescent="0.25">
      <c r="A63"/>
    </row>
    <row r="64" spans="1:32" x14ac:dyDescent="0.25">
      <c r="A64" s="154" t="s">
        <v>530</v>
      </c>
    </row>
    <row r="65" spans="1:32" ht="158.44999999999999" customHeight="1" x14ac:dyDescent="0.25">
      <c r="A65" s="39"/>
      <c r="B65" s="1151" t="s">
        <v>667</v>
      </c>
      <c r="C65" s="1151"/>
      <c r="D65" s="1151"/>
      <c r="E65" s="1151"/>
      <c r="F65" s="1151"/>
      <c r="G65" s="1151"/>
      <c r="H65" s="1151"/>
      <c r="I65" s="1151"/>
      <c r="J65" s="1151"/>
      <c r="K65" s="1151"/>
      <c r="L65" s="1151"/>
      <c r="M65" s="1151"/>
      <c r="N65" s="1151"/>
      <c r="O65" s="1151"/>
      <c r="P65" s="1151"/>
      <c r="Q65" s="1151"/>
      <c r="R65" s="1151"/>
      <c r="S65" s="1151"/>
      <c r="T65" s="1151"/>
      <c r="U65" s="1151"/>
      <c r="V65" s="1151"/>
      <c r="W65" s="1151"/>
      <c r="X65" s="1151"/>
      <c r="Y65" s="1151"/>
      <c r="Z65" s="1151"/>
      <c r="AA65" s="1151"/>
      <c r="AB65" s="1151"/>
      <c r="AC65" s="1151"/>
      <c r="AD65" s="1151"/>
      <c r="AE65" s="1151"/>
      <c r="AF65" s="1151"/>
    </row>
    <row r="66" spans="1:32" x14ac:dyDescent="0.25">
      <c r="A66" s="154"/>
    </row>
    <row r="67" spans="1:32" x14ac:dyDescent="0.25">
      <c r="A67" s="155"/>
    </row>
    <row r="68" spans="1:32" x14ac:dyDescent="0.25">
      <c r="A68"/>
    </row>
    <row r="69" spans="1:32" x14ac:dyDescent="0.25">
      <c r="A69" s="153"/>
    </row>
    <row r="70" spans="1:32" x14ac:dyDescent="0.25">
      <c r="A70" s="153"/>
    </row>
    <row r="71" spans="1:32" ht="72" customHeight="1" x14ac:dyDescent="0.25">
      <c r="A71" s="39"/>
      <c r="B71" s="1151" t="s">
        <v>668</v>
      </c>
      <c r="C71" s="1151"/>
      <c r="D71" s="1151"/>
      <c r="E71" s="1151"/>
      <c r="F71" s="1151"/>
      <c r="G71" s="1151"/>
      <c r="H71" s="1151"/>
      <c r="I71" s="1151"/>
      <c r="J71" s="1151"/>
      <c r="K71" s="1151"/>
      <c r="L71" s="1151"/>
      <c r="M71" s="1151"/>
      <c r="N71" s="1151"/>
      <c r="O71" s="1151"/>
      <c r="P71" s="1151"/>
      <c r="Q71" s="1151"/>
      <c r="R71" s="1151"/>
      <c r="S71" s="1151"/>
      <c r="T71" s="1151"/>
      <c r="U71" s="1151"/>
      <c r="V71" s="1151"/>
      <c r="W71" s="1151"/>
      <c r="X71" s="1151"/>
      <c r="Y71" s="1151"/>
      <c r="Z71" s="1151"/>
      <c r="AA71" s="1151"/>
      <c r="AB71" s="1151"/>
      <c r="AC71" s="1151"/>
      <c r="AD71" s="1151"/>
      <c r="AE71" s="1151"/>
      <c r="AF71" s="1151"/>
    </row>
    <row r="72" spans="1:32" x14ac:dyDescent="0.25">
      <c r="A72" s="154"/>
    </row>
    <row r="73" spans="1:32" x14ac:dyDescent="0.25">
      <c r="A73" s="155"/>
    </row>
    <row r="74" spans="1:32" x14ac:dyDescent="0.25">
      <c r="A74"/>
    </row>
    <row r="75" spans="1:32" x14ac:dyDescent="0.25">
      <c r="A75" s="156"/>
    </row>
    <row r="76" spans="1:32" ht="15.75" thickBot="1" x14ac:dyDescent="0.3">
      <c r="A76" s="156"/>
    </row>
    <row r="77" spans="1:32" x14ac:dyDescent="0.25">
      <c r="A77" s="3951" t="s">
        <v>22</v>
      </c>
      <c r="B77" s="3952"/>
      <c r="C77" s="3952"/>
      <c r="D77" s="3952"/>
      <c r="E77" s="3952"/>
      <c r="F77" s="3952"/>
      <c r="G77" s="3952"/>
      <c r="H77" s="3952"/>
      <c r="I77" s="1584" t="s">
        <v>23</v>
      </c>
      <c r="J77" s="1584"/>
      <c r="K77" s="1584"/>
      <c r="L77" s="1584"/>
      <c r="M77" s="1584"/>
      <c r="N77" s="1584"/>
      <c r="O77" s="1584"/>
      <c r="P77" s="1585"/>
    </row>
    <row r="78" spans="1:32" ht="16.149999999999999" customHeight="1" x14ac:dyDescent="0.25">
      <c r="A78" s="3970" t="s">
        <v>673</v>
      </c>
      <c r="B78" s="1764"/>
      <c r="C78" s="1764"/>
      <c r="D78" s="1764"/>
      <c r="E78" s="1764"/>
      <c r="F78" s="1764"/>
      <c r="G78" s="1764"/>
      <c r="H78" s="1765"/>
      <c r="I78" s="3953">
        <v>0.1144</v>
      </c>
      <c r="J78" s="3954"/>
      <c r="K78" s="3954"/>
      <c r="L78" s="3954"/>
      <c r="M78" s="3954"/>
      <c r="N78" s="3954"/>
      <c r="O78" s="3954"/>
      <c r="P78" s="3955"/>
    </row>
    <row r="79" spans="1:32" ht="16.149999999999999" customHeight="1" x14ac:dyDescent="0.25">
      <c r="A79" s="3970" t="s">
        <v>672</v>
      </c>
      <c r="B79" s="1764"/>
      <c r="C79" s="1764"/>
      <c r="D79" s="1764"/>
      <c r="E79" s="1764"/>
      <c r="F79" s="1764"/>
      <c r="G79" s="1764"/>
      <c r="H79" s="1765"/>
      <c r="I79" s="3953">
        <v>0.1008</v>
      </c>
      <c r="J79" s="3954"/>
      <c r="K79" s="3954"/>
      <c r="L79" s="3954"/>
      <c r="M79" s="3954"/>
      <c r="N79" s="3954"/>
      <c r="O79" s="3954"/>
      <c r="P79" s="3955"/>
    </row>
    <row r="80" spans="1:32" ht="18" thickBot="1" x14ac:dyDescent="0.3">
      <c r="A80" s="3967" t="s">
        <v>676</v>
      </c>
      <c r="B80" s="3968"/>
      <c r="C80" s="3968"/>
      <c r="D80" s="3968"/>
      <c r="E80" s="3968"/>
      <c r="F80" s="3968"/>
      <c r="G80" s="3968"/>
      <c r="H80" s="3969"/>
      <c r="I80" s="3960">
        <v>0.1144</v>
      </c>
      <c r="J80" s="1580"/>
      <c r="K80" s="1580"/>
      <c r="L80" s="1580"/>
      <c r="M80" s="1580"/>
      <c r="N80" s="1580"/>
      <c r="O80" s="1580"/>
      <c r="P80" s="1581"/>
    </row>
    <row r="81" spans="1:32" x14ac:dyDescent="0.2">
      <c r="A81" s="85" t="s">
        <v>675</v>
      </c>
    </row>
    <row r="82" spans="1:32" x14ac:dyDescent="0.2">
      <c r="A82" s="85" t="s">
        <v>674</v>
      </c>
    </row>
    <row r="83" spans="1:32" x14ac:dyDescent="0.2">
      <c r="A83" s="152"/>
    </row>
    <row r="84" spans="1:32" x14ac:dyDescent="0.25">
      <c r="A84" s="1" t="s">
        <v>664</v>
      </c>
    </row>
    <row r="85" spans="1:32" ht="100.9" customHeight="1" x14ac:dyDescent="0.25">
      <c r="A85" s="156"/>
      <c r="B85" s="1151" t="s">
        <v>669</v>
      </c>
      <c r="C85" s="1151"/>
      <c r="D85" s="1151"/>
      <c r="E85" s="1151"/>
      <c r="F85" s="1151"/>
      <c r="G85" s="1151"/>
      <c r="H85" s="1151"/>
      <c r="I85" s="1151"/>
      <c r="J85" s="1151"/>
      <c r="K85" s="1151"/>
      <c r="L85" s="1151"/>
      <c r="M85" s="1151"/>
      <c r="N85" s="1151"/>
      <c r="O85" s="1151"/>
      <c r="P85" s="1151"/>
      <c r="Q85" s="1151"/>
      <c r="R85" s="1151"/>
      <c r="S85" s="1151"/>
      <c r="T85" s="1151"/>
      <c r="U85" s="1151"/>
      <c r="V85" s="1151"/>
      <c r="W85" s="1151"/>
      <c r="X85" s="1151"/>
      <c r="Y85" s="1151"/>
      <c r="Z85" s="1151"/>
      <c r="AA85" s="1151"/>
      <c r="AB85" s="1151"/>
      <c r="AC85" s="1151"/>
      <c r="AD85" s="1151"/>
      <c r="AE85" s="1151"/>
      <c r="AF85" s="1151"/>
    </row>
    <row r="86" spans="1:32" x14ac:dyDescent="0.25">
      <c r="A86" s="39"/>
    </row>
    <row r="87" spans="1:32" x14ac:dyDescent="0.25">
      <c r="A87" s="155"/>
    </row>
    <row r="88" spans="1:32" x14ac:dyDescent="0.25">
      <c r="A88"/>
    </row>
    <row r="89" spans="1:32" x14ac:dyDescent="0.25">
      <c r="A89" s="153"/>
    </row>
    <row r="90" spans="1:32" x14ac:dyDescent="0.25">
      <c r="A90" s="39"/>
    </row>
    <row r="91" spans="1:32" x14ac:dyDescent="0.25">
      <c r="A91" s="154"/>
    </row>
    <row r="92" spans="1:32" ht="86.45" customHeight="1" x14ac:dyDescent="0.25">
      <c r="A92" s="155"/>
      <c r="B92" s="1151" t="s">
        <v>670</v>
      </c>
      <c r="C92" s="1151"/>
      <c r="D92" s="1151"/>
      <c r="E92" s="1151"/>
      <c r="F92" s="1151"/>
      <c r="G92" s="1151"/>
      <c r="H92" s="1151"/>
      <c r="I92" s="1151"/>
      <c r="J92" s="1151"/>
      <c r="K92" s="1151"/>
      <c r="L92" s="1151"/>
      <c r="M92" s="1151"/>
      <c r="N92" s="1151"/>
      <c r="O92" s="1151"/>
      <c r="P92" s="1151"/>
      <c r="Q92" s="1151"/>
      <c r="R92" s="1151"/>
      <c r="S92" s="1151"/>
      <c r="T92" s="1151"/>
      <c r="U92" s="1151"/>
      <c r="V92" s="1151"/>
      <c r="W92" s="1151"/>
      <c r="X92" s="1151"/>
      <c r="Y92" s="1151"/>
      <c r="Z92" s="1151"/>
      <c r="AA92" s="1151"/>
      <c r="AB92" s="1151"/>
      <c r="AC92" s="1151"/>
      <c r="AD92" s="1151"/>
      <c r="AE92" s="1151"/>
      <c r="AF92" s="1151"/>
    </row>
    <row r="93" spans="1:32" x14ac:dyDescent="0.25">
      <c r="A93"/>
    </row>
    <row r="94" spans="1:32" x14ac:dyDescent="0.25">
      <c r="A94" s="154"/>
    </row>
    <row r="95" spans="1:32" x14ac:dyDescent="0.25">
      <c r="A95" s="39"/>
    </row>
    <row r="96" spans="1:32" x14ac:dyDescent="0.25">
      <c r="A96" s="154"/>
    </row>
    <row r="97" spans="1:32" x14ac:dyDescent="0.25">
      <c r="A97" s="155"/>
    </row>
    <row r="98" spans="1:32" x14ac:dyDescent="0.25">
      <c r="A98"/>
    </row>
    <row r="99" spans="1:32" ht="100.9" customHeight="1" x14ac:dyDescent="0.25">
      <c r="A99" s="154"/>
      <c r="B99" s="1151" t="s">
        <v>671</v>
      </c>
      <c r="C99" s="1151"/>
      <c r="D99" s="1151"/>
      <c r="E99" s="1151"/>
      <c r="F99" s="1151"/>
      <c r="G99" s="1151"/>
      <c r="H99" s="1151"/>
      <c r="I99" s="1151"/>
      <c r="J99" s="1151"/>
      <c r="K99" s="1151"/>
      <c r="L99" s="1151"/>
      <c r="M99" s="1151"/>
      <c r="N99" s="1151"/>
      <c r="O99" s="1151"/>
      <c r="P99" s="1151"/>
      <c r="Q99" s="1151"/>
      <c r="R99" s="1151"/>
      <c r="S99" s="1151"/>
      <c r="T99" s="1151"/>
      <c r="U99" s="1151"/>
      <c r="V99" s="1151"/>
      <c r="W99" s="1151"/>
      <c r="X99" s="1151"/>
      <c r="Y99" s="1151"/>
      <c r="Z99" s="1151"/>
      <c r="AA99" s="1151"/>
      <c r="AB99" s="1151"/>
      <c r="AC99" s="1151"/>
      <c r="AD99" s="1151"/>
      <c r="AE99" s="1151"/>
      <c r="AF99" s="1151"/>
    </row>
    <row r="100" spans="1:32" x14ac:dyDescent="0.25">
      <c r="A100" s="39"/>
    </row>
    <row r="101" spans="1:32" x14ac:dyDescent="0.25">
      <c r="A101" s="154"/>
    </row>
    <row r="102" spans="1:32" x14ac:dyDescent="0.25">
      <c r="A102" s="155"/>
    </row>
    <row r="105" spans="1:32" ht="72" customHeight="1" x14ac:dyDescent="0.25">
      <c r="B105" s="1151" t="s">
        <v>668</v>
      </c>
      <c r="C105" s="1151"/>
      <c r="D105" s="1151"/>
      <c r="E105" s="1151"/>
      <c r="F105" s="1151"/>
      <c r="G105" s="1151"/>
      <c r="H105" s="1151"/>
      <c r="I105" s="1151"/>
      <c r="J105" s="1151"/>
      <c r="K105" s="1151"/>
      <c r="L105" s="1151"/>
      <c r="M105" s="1151"/>
      <c r="N105" s="1151"/>
      <c r="O105" s="1151"/>
      <c r="P105" s="1151"/>
      <c r="Q105" s="1151"/>
      <c r="R105" s="1151"/>
      <c r="S105" s="1151"/>
      <c r="T105" s="1151"/>
      <c r="U105" s="1151"/>
      <c r="V105" s="1151"/>
      <c r="W105" s="1151"/>
      <c r="X105" s="1151"/>
      <c r="Y105" s="1151"/>
      <c r="Z105" s="1151"/>
      <c r="AA105" s="1151"/>
      <c r="AB105" s="1151"/>
      <c r="AC105" s="1151"/>
      <c r="AD105" s="1151"/>
      <c r="AE105" s="1151"/>
      <c r="AF105" s="1151"/>
    </row>
    <row r="110" spans="1:32" ht="15.75" thickBot="1" x14ac:dyDescent="0.3"/>
    <row r="111" spans="1:32" x14ac:dyDescent="0.25">
      <c r="A111" s="3951" t="s">
        <v>22</v>
      </c>
      <c r="B111" s="3952"/>
      <c r="C111" s="3952"/>
      <c r="D111" s="3952"/>
      <c r="E111" s="3952"/>
      <c r="F111" s="3952"/>
      <c r="G111" s="3952"/>
      <c r="H111" s="3952"/>
      <c r="I111" s="1584" t="s">
        <v>23</v>
      </c>
      <c r="J111" s="1584"/>
      <c r="K111" s="1584"/>
      <c r="L111" s="1584"/>
      <c r="M111" s="1584"/>
      <c r="N111" s="1584"/>
      <c r="O111" s="1584"/>
      <c r="P111" s="1585"/>
    </row>
    <row r="112" spans="1:32" ht="17.25" x14ac:dyDescent="0.25">
      <c r="A112" s="3970" t="s">
        <v>677</v>
      </c>
      <c r="B112" s="1764"/>
      <c r="C112" s="1764"/>
      <c r="D112" s="1764"/>
      <c r="E112" s="1764"/>
      <c r="F112" s="1764"/>
      <c r="G112" s="1764"/>
      <c r="H112" s="1765"/>
      <c r="I112" s="3953">
        <v>0.1144</v>
      </c>
      <c r="J112" s="3954"/>
      <c r="K112" s="3954"/>
      <c r="L112" s="3954"/>
      <c r="M112" s="3954"/>
      <c r="N112" s="3954"/>
      <c r="O112" s="3954"/>
      <c r="P112" s="3955"/>
    </row>
    <row r="113" spans="1:16" x14ac:dyDescent="0.25">
      <c r="A113" s="3970" t="s">
        <v>672</v>
      </c>
      <c r="B113" s="1764"/>
      <c r="C113" s="1764"/>
      <c r="D113" s="1764"/>
      <c r="E113" s="1764"/>
      <c r="F113" s="1764"/>
      <c r="G113" s="1764"/>
      <c r="H113" s="1765"/>
      <c r="I113" s="3953">
        <v>0.1008</v>
      </c>
      <c r="J113" s="3954"/>
      <c r="K113" s="3954"/>
      <c r="L113" s="3954"/>
      <c r="M113" s="3954"/>
      <c r="N113" s="3954"/>
      <c r="O113" s="3954"/>
      <c r="P113" s="3955"/>
    </row>
    <row r="114" spans="1:16" ht="18" thickBot="1" x14ac:dyDescent="0.3">
      <c r="A114" s="3967" t="s">
        <v>678</v>
      </c>
      <c r="B114" s="3968"/>
      <c r="C114" s="3968"/>
      <c r="D114" s="3968"/>
      <c r="E114" s="3968"/>
      <c r="F114" s="3968"/>
      <c r="G114" s="3968"/>
      <c r="H114" s="3969"/>
      <c r="I114" s="3960">
        <v>0.1144</v>
      </c>
      <c r="J114" s="1580"/>
      <c r="K114" s="1580"/>
      <c r="L114" s="1580"/>
      <c r="M114" s="1580"/>
      <c r="N114" s="1580"/>
      <c r="O114" s="1580"/>
      <c r="P114" s="1581"/>
    </row>
    <row r="115" spans="1:16" x14ac:dyDescent="0.2">
      <c r="A115" s="85" t="s">
        <v>679</v>
      </c>
    </row>
    <row r="116" spans="1:16" x14ac:dyDescent="0.2">
      <c r="A116" s="85" t="s">
        <v>680</v>
      </c>
    </row>
  </sheetData>
  <sheetProtection algorithmName="SHA-512" hashValue="Jm4dX1MW2hJ1kHcGie9s8+muvr1tkG9SXxh5YVdGOd5SCuKOywm0DEV9AejxIeNI0OtBXcoRLnrxZH3n6fPoAA==" saltValue="RCqh31TSKgNixZ9L6VDCYQ==" spinCount="100000" sheet="1" objects="1" scenarios="1"/>
  <mergeCells count="107">
    <mergeCell ref="A1:AF1"/>
    <mergeCell ref="A114:H114"/>
    <mergeCell ref="I114:P114"/>
    <mergeCell ref="A111:H111"/>
    <mergeCell ref="I111:P111"/>
    <mergeCell ref="A112:H112"/>
    <mergeCell ref="I112:P112"/>
    <mergeCell ref="A113:H113"/>
    <mergeCell ref="I113:P113"/>
    <mergeCell ref="I80:P80"/>
    <mergeCell ref="A78:H78"/>
    <mergeCell ref="A79:H79"/>
    <mergeCell ref="A80:H80"/>
    <mergeCell ref="B99:AF99"/>
    <mergeCell ref="B105:AF105"/>
    <mergeCell ref="A77:H77"/>
    <mergeCell ref="I77:P77"/>
    <mergeCell ref="I78:P78"/>
    <mergeCell ref="B51:AF51"/>
    <mergeCell ref="B58:AF58"/>
    <mergeCell ref="B65:AF65"/>
    <mergeCell ref="B71:AF71"/>
    <mergeCell ref="B85:AF85"/>
    <mergeCell ref="B92:AF92"/>
    <mergeCell ref="I79:P79"/>
    <mergeCell ref="G43:H43"/>
    <mergeCell ref="E41:F41"/>
    <mergeCell ref="E42:F42"/>
    <mergeCell ref="E43:F43"/>
    <mergeCell ref="A41:B41"/>
    <mergeCell ref="A42:B42"/>
    <mergeCell ref="A43:B43"/>
    <mergeCell ref="C41:D41"/>
    <mergeCell ref="C42:D42"/>
    <mergeCell ref="C43:D43"/>
    <mergeCell ref="A46:H46"/>
    <mergeCell ref="I46:P46"/>
    <mergeCell ref="G42:H42"/>
    <mergeCell ref="Q46:X46"/>
    <mergeCell ref="A47:H47"/>
    <mergeCell ref="I47:P47"/>
    <mergeCell ref="Q47:X47"/>
    <mergeCell ref="AA33:AF33"/>
    <mergeCell ref="AA34:AF34"/>
    <mergeCell ref="AA35:AF35"/>
    <mergeCell ref="Q42:X42"/>
    <mergeCell ref="Q43:X43"/>
    <mergeCell ref="X33:Z33"/>
    <mergeCell ref="X34:Z34"/>
    <mergeCell ref="X35:Z35"/>
    <mergeCell ref="U33:W33"/>
    <mergeCell ref="U34:W34"/>
    <mergeCell ref="U35:W35"/>
    <mergeCell ref="R33:T33"/>
    <mergeCell ref="R34:T34"/>
    <mergeCell ref="R35:T35"/>
    <mergeCell ref="I42:P42"/>
    <mergeCell ref="I43:P43"/>
    <mergeCell ref="O33:Q33"/>
    <mergeCell ref="O34:Q34"/>
    <mergeCell ref="O35:Q35"/>
    <mergeCell ref="G41:H41"/>
    <mergeCell ref="A40:H40"/>
    <mergeCell ref="I40:P40"/>
    <mergeCell ref="Q40:X40"/>
    <mergeCell ref="I41:P41"/>
    <mergeCell ref="Q41:X41"/>
    <mergeCell ref="A35:D35"/>
    <mergeCell ref="A33:D33"/>
    <mergeCell ref="A34:D34"/>
    <mergeCell ref="A31:AF31"/>
    <mergeCell ref="A32:D32"/>
    <mergeCell ref="U32:W32"/>
    <mergeCell ref="E33:N33"/>
    <mergeCell ref="E34:N34"/>
    <mergeCell ref="E35:N35"/>
    <mergeCell ref="AA32:AF32"/>
    <mergeCell ref="O32:Q32"/>
    <mergeCell ref="R32:T32"/>
    <mergeCell ref="X32:Z32"/>
    <mergeCell ref="E32:N32"/>
    <mergeCell ref="A38:AF38"/>
    <mergeCell ref="B23:AF23"/>
    <mergeCell ref="A26:AF26"/>
    <mergeCell ref="A28:G28"/>
    <mergeCell ref="H28:AF28"/>
    <mergeCell ref="A29:G29"/>
    <mergeCell ref="H29:AF29"/>
    <mergeCell ref="B14:AF14"/>
    <mergeCell ref="B16:I16"/>
    <mergeCell ref="B17:AF17"/>
    <mergeCell ref="B19:I19"/>
    <mergeCell ref="B20:AF20"/>
    <mergeCell ref="B22:I22"/>
    <mergeCell ref="A9:AF9"/>
    <mergeCell ref="B10:I10"/>
    <mergeCell ref="B11:AF11"/>
    <mergeCell ref="B13:I13"/>
    <mergeCell ref="B7:I7"/>
    <mergeCell ref="J7:AF7"/>
    <mergeCell ref="A3:AF3"/>
    <mergeCell ref="B4:I4"/>
    <mergeCell ref="J4:AF4"/>
    <mergeCell ref="B5:I5"/>
    <mergeCell ref="J5:AF5"/>
    <mergeCell ref="B6:I6"/>
    <mergeCell ref="J6:AF6"/>
  </mergeCells>
  <pageMargins left="0.7" right="0.7" top="0.75" bottom="0.75" header="0.3" footer="0.3"/>
  <pageSetup orientation="portrait" r:id="rId1"/>
  <headerFooter>
    <oddHeader>&amp;C&amp;"Arial,Regular"&amp;09&amp;I&amp;K000000Leidos Proprietary</oddHeader>
    <oddFooter>&amp;C&amp;"Calibri,Regular"&amp;11</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48">
    <tabColor theme="9" tint="0.79998168889431442"/>
    <pageSetUpPr autoPageBreaks="0"/>
  </sheetPr>
  <dimension ref="A1:AI226"/>
  <sheetViews>
    <sheetView topLeftCell="A53" zoomScale="90" zoomScaleNormal="90" workbookViewId="0">
      <selection activeCell="A159" sqref="A159:AF159"/>
    </sheetView>
  </sheetViews>
  <sheetFormatPr defaultColWidth="2.7109375" defaultRowHeight="15" x14ac:dyDescent="0.25"/>
  <cols>
    <col min="1" max="16384" width="2.7109375" style="1"/>
  </cols>
  <sheetData>
    <row r="1" spans="1:32" ht="18.75" x14ac:dyDescent="0.25">
      <c r="A1" s="1464" t="s">
        <v>1136</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284"/>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582" t="s">
        <v>0</v>
      </c>
      <c r="B3" s="1582"/>
      <c r="C3" s="1582"/>
      <c r="D3" s="1582"/>
      <c r="E3" s="1582"/>
      <c r="F3" s="1582"/>
      <c r="G3" s="1582"/>
      <c r="H3" s="1582"/>
      <c r="I3" s="1582"/>
      <c r="J3" s="1582"/>
      <c r="K3" s="1582"/>
      <c r="L3" s="1582"/>
      <c r="M3" s="1582"/>
      <c r="N3" s="1582"/>
      <c r="O3" s="1582"/>
      <c r="P3" s="1582"/>
      <c r="Q3" s="1582"/>
      <c r="R3" s="1582"/>
      <c r="S3" s="1582"/>
      <c r="T3" s="1582"/>
      <c r="U3" s="1582"/>
      <c r="V3" s="1582"/>
      <c r="W3" s="1582"/>
      <c r="X3" s="1582"/>
      <c r="Y3" s="1582"/>
      <c r="Z3" s="1582"/>
      <c r="AA3" s="1582"/>
      <c r="AB3" s="1582"/>
      <c r="AC3" s="1582"/>
      <c r="AD3" s="1582"/>
      <c r="AE3" s="1582"/>
      <c r="AF3" s="1582"/>
    </row>
    <row r="4" spans="1:32" ht="15.75" thickBot="1"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A5" s="171"/>
      <c r="B5" s="254" t="s">
        <v>797</v>
      </c>
      <c r="C5" s="255"/>
      <c r="D5" s="255"/>
      <c r="E5" s="255"/>
      <c r="F5" s="255"/>
      <c r="G5" s="255"/>
      <c r="H5" s="255"/>
      <c r="I5" s="255"/>
      <c r="J5" s="255"/>
      <c r="K5" s="255"/>
      <c r="L5" s="255"/>
      <c r="M5" s="255"/>
      <c r="N5" s="255"/>
      <c r="O5" s="255"/>
      <c r="P5" s="259"/>
      <c r="Q5" s="254" t="s">
        <v>241</v>
      </c>
      <c r="R5" s="255"/>
      <c r="S5" s="255"/>
      <c r="T5" s="255"/>
      <c r="U5" s="255"/>
      <c r="V5" s="255"/>
      <c r="W5" s="255"/>
      <c r="X5" s="255"/>
      <c r="Y5" s="255"/>
      <c r="Z5" s="255"/>
      <c r="AA5" s="255"/>
      <c r="AB5" s="255"/>
      <c r="AC5" s="255"/>
      <c r="AD5" s="255"/>
      <c r="AE5" s="259"/>
    </row>
    <row r="6" spans="1:32" ht="15.75" thickBot="1" x14ac:dyDescent="0.3">
      <c r="A6" s="171"/>
      <c r="B6" s="161" t="str">
        <f>IF(Q6=0, "", IFERROR(INDEX(#REF!, MATCH(Q6,#REF!, 0)), "Not found in MSL"))</f>
        <v>Not found in MSL</v>
      </c>
      <c r="C6" s="162"/>
      <c r="D6" s="162"/>
      <c r="E6" s="162"/>
      <c r="F6" s="162"/>
      <c r="G6" s="162"/>
      <c r="H6" s="162"/>
      <c r="I6" s="162"/>
      <c r="J6" s="162"/>
      <c r="K6" s="162"/>
      <c r="L6" s="162"/>
      <c r="M6" s="162"/>
      <c r="N6" s="162"/>
      <c r="O6" s="162"/>
      <c r="P6" s="163"/>
      <c r="Q6" s="3896" t="s">
        <v>245</v>
      </c>
      <c r="R6" s="3897"/>
      <c r="S6" s="3897"/>
      <c r="T6" s="3897"/>
      <c r="U6" s="3897"/>
      <c r="V6" s="3897"/>
      <c r="W6" s="3897"/>
      <c r="X6" s="3897"/>
      <c r="Y6" s="3897"/>
      <c r="Z6" s="3897"/>
      <c r="AA6" s="3897"/>
      <c r="AB6" s="3897"/>
      <c r="AC6" s="3897"/>
      <c r="AD6" s="3897"/>
      <c r="AE6" s="3898"/>
    </row>
    <row r="7" spans="1:32" ht="15.75" thickBot="1" x14ac:dyDescent="0.3">
      <c r="A7" s="171"/>
      <c r="B7" s="171"/>
      <c r="C7" s="171"/>
      <c r="D7" s="171"/>
      <c r="E7" s="171"/>
      <c r="F7" s="171"/>
      <c r="G7" s="171"/>
      <c r="H7" s="171"/>
    </row>
    <row r="8" spans="1:32" x14ac:dyDescent="0.25">
      <c r="B8" s="252" t="s">
        <v>798</v>
      </c>
      <c r="C8" s="253"/>
      <c r="D8" s="253"/>
      <c r="E8" s="253"/>
      <c r="F8" s="253"/>
      <c r="G8" s="253"/>
      <c r="H8" s="253"/>
      <c r="I8" s="253"/>
      <c r="J8" s="253"/>
      <c r="K8" s="253"/>
      <c r="L8" s="253"/>
      <c r="M8" s="253"/>
      <c r="N8" s="253"/>
      <c r="O8" s="253"/>
      <c r="P8" s="253"/>
      <c r="Q8" s="252" t="s">
        <v>240</v>
      </c>
      <c r="R8" s="253"/>
      <c r="S8" s="253"/>
      <c r="T8" s="253"/>
      <c r="U8" s="253"/>
      <c r="V8" s="253"/>
      <c r="W8" s="253"/>
      <c r="X8" s="253"/>
      <c r="Y8" s="253"/>
      <c r="Z8" s="253"/>
      <c r="AA8" s="253"/>
      <c r="AB8" s="253"/>
      <c r="AC8" s="253"/>
      <c r="AD8" s="253"/>
      <c r="AE8" s="260"/>
    </row>
    <row r="9" spans="1:32" x14ac:dyDescent="0.25">
      <c r="B9" s="159" t="str">
        <f t="array" ref="B9">IF(ISERROR(INDEX(#REF!,SMALL(IF(#REF!=$Q$6,ROW(#REF!)),ROW(3:3)) - 1,2)), "", INDEX(#REF!,SMALL(IF(#REF!=$Q$6,ROW(#REF!)),ROW(3:3)) - 1,2))</f>
        <v/>
      </c>
      <c r="Q9" s="159" t="str">
        <f t="array" ref="Q9">IF(ISERROR(INDEX(#REF!,SMALL(IF(#REF!=$Q$6,ROW(#REF!)),ROW(3:3)) - 1,3)), "", INDEX(#REF!,SMALL(IF(#REF!=$Q$6,ROW(#REF!)),ROW(3:3)) - 1,3))</f>
        <v/>
      </c>
      <c r="AE9" s="160"/>
    </row>
    <row r="10" spans="1:32" x14ac:dyDescent="0.25">
      <c r="B10" s="159" t="str">
        <f t="array" ref="B10">IF(ISERROR(INDEX(#REF!,SMALL(IF(#REF!=$Q$6,ROW(#REF!)),ROW(4:4)) - 1,2)), "", INDEX(#REF!,SMALL(IF(#REF!=$Q$6,ROW(#REF!)),ROW(4:4)) - 1,2))</f>
        <v/>
      </c>
      <c r="Q10" s="159" t="str">
        <f t="array" ref="Q10">IF(ISERROR(INDEX(#REF!,SMALL(IF(#REF!=$Q$6,ROW(#REF!)),ROW(4:4)) - 1,3)), "", INDEX(#REF!,SMALL(IF(#REF!=$Q$6,ROW(#REF!)),ROW(4:4)) - 1,3))</f>
        <v/>
      </c>
      <c r="AE10" s="160"/>
    </row>
    <row r="11" spans="1:32" x14ac:dyDescent="0.25">
      <c r="B11" s="159" t="str">
        <f t="array" ref="B11">IF(ISERROR(INDEX(#REF!,SMALL(IF(#REF!=$Q$6,ROW(#REF!)),ROW(5:5)) - 1,2)), "", INDEX(#REF!,SMALL(IF(#REF!=$Q$6,ROW(#REF!)),ROW(5:5)) - 1,2))</f>
        <v/>
      </c>
      <c r="Q11" s="159" t="str">
        <f t="array" ref="Q11">IF(ISERROR(INDEX(#REF!,SMALL(IF(#REF!=$Q$6,ROW(#REF!)),ROW(5:5)) - 1,3)), "", INDEX(#REF!,SMALL(IF(#REF!=$Q$6,ROW(#REF!)),ROW(5:5)) - 1,3))</f>
        <v/>
      </c>
      <c r="AE11" s="160"/>
    </row>
    <row r="12" spans="1:32" x14ac:dyDescent="0.25">
      <c r="B12" s="159" t="str">
        <f t="array" ref="B12">IF(ISERROR(INDEX(#REF!,SMALL(IF(#REF!=$Q$6,ROW(#REF!)),ROW(6:6)) - 1,2)), "", INDEX(#REF!,SMALL(IF(#REF!=$Q$6,ROW(#REF!)),ROW(6:6)) - 1,2))</f>
        <v/>
      </c>
      <c r="Q12" s="159" t="str">
        <f t="array" ref="Q12">IF(ISERROR(INDEX(#REF!,SMALL(IF(#REF!=$Q$6,ROW(#REF!)),ROW(6:6)) - 1,3)), "", INDEX(#REF!,SMALL(IF(#REF!=$Q$6,ROW(#REF!)),ROW(6:6)) - 1,3))</f>
        <v/>
      </c>
      <c r="AE12" s="160"/>
    </row>
    <row r="13" spans="1:32" x14ac:dyDescent="0.25">
      <c r="B13" s="159" t="str">
        <f t="array" ref="B13">IF(ISERROR(INDEX(#REF!,SMALL(IF(#REF!=$Q$6,ROW(#REF!)),ROW(7:7)) - 1,2)), "", INDEX(#REF!,SMALL(IF(#REF!=$Q$6,ROW(#REF!)),ROW(7:7)) - 1,2))</f>
        <v/>
      </c>
      <c r="Q13" s="159" t="str">
        <f t="array" ref="Q13">IF(ISERROR(INDEX(#REF!,SMALL(IF(#REF!=$Q$6,ROW(#REF!)),ROW(7:7)) - 1,3)), "", INDEX(#REF!,SMALL(IF(#REF!=$Q$6,ROW(#REF!)),ROW(7:7)) - 1,3))</f>
        <v/>
      </c>
      <c r="AE13" s="160"/>
    </row>
    <row r="14" spans="1:32" x14ac:dyDescent="0.25">
      <c r="B14" s="159" t="str">
        <f t="array" ref="B14">IF(ISERROR(INDEX(#REF!,SMALL(IF(#REF!=$Q$6,ROW(#REF!)),ROW(8:8)) - 1,2)), "", INDEX(#REF!,SMALL(IF(#REF!=$Q$6,ROW(#REF!)),ROW(8:8)) - 1,2))</f>
        <v/>
      </c>
      <c r="Q14" s="159" t="str">
        <f t="array" ref="Q14">IF(ISERROR(INDEX(#REF!,SMALL(IF(#REF!=$Q$6,ROW(#REF!)),ROW(8:8)) - 1,3)), "", INDEX(#REF!,SMALL(IF(#REF!=$Q$6,ROW(#REF!)),ROW(8:8)) - 1,3))</f>
        <v/>
      </c>
      <c r="AE14" s="160"/>
    </row>
    <row r="15" spans="1:32" x14ac:dyDescent="0.25">
      <c r="B15" s="159" t="str">
        <f t="array" ref="B15">IF(ISERROR(INDEX(#REF!,SMALL(IF(#REF!=$Q$6,ROW(#REF!)),ROW(9:9)) - 1,2)), "", INDEX(#REF!,SMALL(IF(#REF!=$Q$6,ROW(#REF!)),ROW(9:9)) - 1,2))</f>
        <v/>
      </c>
      <c r="Q15" s="159" t="str">
        <f t="array" ref="Q15">IF(ISERROR(INDEX(#REF!,SMALL(IF(#REF!=$Q$6,ROW(#REF!)),ROW(9:9)) - 1,3)), "", INDEX(#REF!,SMALL(IF(#REF!=$Q$6,ROW(#REF!)),ROW(9:9)) - 1,3))</f>
        <v/>
      </c>
      <c r="AE15" s="160"/>
    </row>
    <row r="16" spans="1:32" x14ac:dyDescent="0.25">
      <c r="B16" s="159" t="str">
        <f t="array" ref="B16">IF(ISERROR(INDEX(#REF!,SMALL(IF(#REF!=$Q$6,ROW(#REF!)),ROW(10:10)) - 1,2)), "", INDEX(#REF!,SMALL(IF(#REF!=$Q$6,ROW(#REF!)),ROW(10:10)) - 1,2))</f>
        <v/>
      </c>
      <c r="Q16" s="159" t="str">
        <f t="array" ref="Q16">IF(ISERROR(INDEX(#REF!,SMALL(IF(#REF!=$Q$6,ROW(#REF!)),ROW(10:10)) - 1,3)), "", INDEX(#REF!,SMALL(IF(#REF!=$Q$6,ROW(#REF!)),ROW(10:10)) - 1,3))</f>
        <v/>
      </c>
      <c r="AE16" s="160"/>
    </row>
    <row r="17" spans="1:32" x14ac:dyDescent="0.25">
      <c r="B17" s="159" t="str">
        <f t="array" ref="B17">IF(ISERROR(INDEX(#REF!,SMALL(IF(#REF!=$Q$6,ROW(#REF!)),ROW(11:11)) - 1,2)), "", INDEX(#REF!,SMALL(IF(#REF!=$Q$6,ROW(#REF!)),ROW(11:11)) - 1,2))</f>
        <v/>
      </c>
      <c r="Q17" s="159" t="str">
        <f t="array" ref="Q17">IF(ISERROR(INDEX(#REF!,SMALL(IF(#REF!=$Q$6,ROW(#REF!)),ROW(11:11)) - 1,3)), "", INDEX(#REF!,SMALL(IF(#REF!=$Q$6,ROW(#REF!)),ROW(11:11)) - 1,3))</f>
        <v/>
      </c>
      <c r="AE17" s="160"/>
    </row>
    <row r="18" spans="1:32" x14ac:dyDescent="0.25">
      <c r="B18" s="159" t="str">
        <f t="array" ref="B18">IF(ISERROR(INDEX(#REF!,SMALL(IF(#REF!=$Q$6,ROW(#REF!)),ROW(12:12)) - 1,2)), "", INDEX(#REF!,SMALL(IF(#REF!=$Q$6,ROW(#REF!)),ROW(12:12)) - 1,2))</f>
        <v/>
      </c>
      <c r="Q18" s="159" t="str">
        <f t="array" ref="Q18">IF(ISERROR(INDEX(#REF!,SMALL(IF(#REF!=$Q$6,ROW(#REF!)),ROW(12:12)) - 1,3)), "", INDEX(#REF!,SMALL(IF(#REF!=$Q$6,ROW(#REF!)),ROW(12:12)) - 1,3))</f>
        <v/>
      </c>
      <c r="AE18" s="160"/>
    </row>
    <row r="19" spans="1:32" x14ac:dyDescent="0.25">
      <c r="B19" s="159" t="str">
        <f t="array" ref="B19">IF(ISERROR(INDEX(#REF!,SMALL(IF(#REF!=$Q$6,ROW(#REF!)),ROW(13:13)) - 1,2)), "", INDEX(#REF!,SMALL(IF(#REF!=$Q$6,ROW(#REF!)),ROW(13:13)) - 1,2))</f>
        <v/>
      </c>
      <c r="Q19" s="159" t="str">
        <f t="array" ref="Q19">IF(ISERROR(INDEX(#REF!,SMALL(IF(#REF!=$Q$6,ROW(#REF!)),ROW(13:13)) - 1,3)), "", INDEX(#REF!,SMALL(IF(#REF!=$Q$6,ROW(#REF!)),ROW(13:13)) - 1,3))</f>
        <v/>
      </c>
      <c r="AE19" s="160"/>
    </row>
    <row r="20" spans="1:32" x14ac:dyDescent="0.25">
      <c r="B20" s="159" t="str">
        <f t="array" ref="B20">IF(ISERROR(INDEX(#REF!,SMALL(IF(#REF!=$Q$6,ROW(#REF!)),ROW(14:14)) - 1,2)), "", INDEX(#REF!,SMALL(IF(#REF!=$Q$6,ROW(#REF!)),ROW(14:14)) - 1,2))</f>
        <v/>
      </c>
      <c r="Q20" s="159" t="str">
        <f t="array" ref="Q20">IF(ISERROR(INDEX(#REF!,SMALL(IF(#REF!=$Q$6,ROW(#REF!)),ROW(14:14)) - 1,3)), "", INDEX(#REF!,SMALL(IF(#REF!=$Q$6,ROW(#REF!)),ROW(14:14)) - 1,3))</f>
        <v/>
      </c>
      <c r="AE20" s="160"/>
    </row>
    <row r="21" spans="1:32" ht="15.75" thickBot="1" x14ac:dyDescent="0.3">
      <c r="B21" s="161" t="str">
        <f t="array" ref="B21">IF(ISERROR(INDEX(#REF!,SMALL(IF(#REF!=$Q$6,ROW(#REF!)),ROW(15:15)) - 1,2)), "", INDEX(#REF!,SMALL(IF(#REF!=$Q$6,ROW(#REF!)),ROW(15:15)) - 1,2))</f>
        <v/>
      </c>
      <c r="C21" s="162"/>
      <c r="D21" s="162"/>
      <c r="E21" s="162"/>
      <c r="F21" s="162"/>
      <c r="G21" s="162"/>
      <c r="H21" s="162"/>
      <c r="I21" s="162"/>
      <c r="J21" s="162"/>
      <c r="K21" s="162"/>
      <c r="L21" s="162"/>
      <c r="M21" s="162"/>
      <c r="N21" s="162"/>
      <c r="O21" s="162"/>
      <c r="P21" s="162"/>
      <c r="Q21" s="161" t="str">
        <f t="array" ref="Q21">IF(ISERROR(INDEX(#REF!,SMALL(IF(#REF!=$Q$6,ROW(#REF!)),ROW(15:15)) - 1,3)), "", INDEX(#REF!,SMALL(IF(#REF!=$Q$6,ROW(#REF!)),ROW(15:15)) - 1,3))</f>
        <v/>
      </c>
      <c r="R21" s="162"/>
      <c r="S21" s="162"/>
      <c r="T21" s="162"/>
      <c r="U21" s="162"/>
      <c r="V21" s="162"/>
      <c r="W21" s="162"/>
      <c r="X21" s="162"/>
      <c r="Y21" s="162"/>
      <c r="Z21" s="162"/>
      <c r="AA21" s="162"/>
      <c r="AB21" s="162"/>
      <c r="AC21" s="162"/>
      <c r="AD21" s="162"/>
      <c r="AE21" s="163"/>
    </row>
    <row r="22" spans="1:32" ht="14.45" customHeight="1" x14ac:dyDescent="0.25"/>
    <row r="23" spans="1:32" x14ac:dyDescent="0.25">
      <c r="A23" s="1582" t="s">
        <v>5</v>
      </c>
      <c r="B23" s="1582"/>
      <c r="C23" s="1582"/>
      <c r="D23" s="1582"/>
      <c r="E23" s="1582"/>
      <c r="F23" s="1582"/>
      <c r="G23" s="1582"/>
      <c r="H23" s="1582"/>
      <c r="I23" s="1582"/>
      <c r="J23" s="1582"/>
      <c r="K23" s="1582"/>
      <c r="L23" s="1582"/>
      <c r="M23" s="1582"/>
      <c r="N23" s="1582"/>
      <c r="O23" s="1582"/>
      <c r="P23" s="1582"/>
      <c r="Q23" s="1582"/>
      <c r="R23" s="1582"/>
      <c r="S23" s="1582"/>
      <c r="T23" s="1582"/>
      <c r="U23" s="1582"/>
      <c r="V23" s="1582"/>
      <c r="W23" s="1582"/>
      <c r="X23" s="1582"/>
      <c r="Y23" s="1582"/>
      <c r="Z23" s="1582"/>
      <c r="AA23" s="1582"/>
      <c r="AB23" s="1582"/>
      <c r="AC23" s="1582"/>
      <c r="AD23" s="1582"/>
      <c r="AE23" s="1582"/>
      <c r="AF23" s="1582"/>
    </row>
    <row r="24" spans="1:32" x14ac:dyDescent="0.25">
      <c r="B24" s="1475" t="s">
        <v>6</v>
      </c>
      <c r="C24" s="1475"/>
      <c r="D24" s="1475"/>
      <c r="E24" s="1475"/>
      <c r="F24" s="1475"/>
      <c r="G24" s="1475"/>
      <c r="H24" s="1475"/>
      <c r="I24" s="1475"/>
      <c r="J24" s="4045"/>
      <c r="K24" s="4045"/>
      <c r="L24" s="4045"/>
      <c r="M24" s="4045"/>
      <c r="N24" s="4045"/>
      <c r="O24" s="4045"/>
      <c r="P24" s="4045"/>
      <c r="Q24" s="4045"/>
      <c r="R24" s="4045"/>
      <c r="S24" s="4045"/>
      <c r="T24" s="4045"/>
      <c r="U24" s="4045"/>
      <c r="V24" s="4045"/>
      <c r="W24" s="4045"/>
      <c r="X24" s="4045"/>
      <c r="Y24" s="4045"/>
      <c r="Z24" s="4045"/>
      <c r="AA24" s="4045"/>
      <c r="AB24" s="4045"/>
      <c r="AC24" s="4045"/>
      <c r="AD24" s="4045"/>
      <c r="AE24" s="4045"/>
      <c r="AF24" s="4045"/>
    </row>
    <row r="25" spans="1:32" x14ac:dyDescent="0.25">
      <c r="B25" s="1475" t="s">
        <v>7</v>
      </c>
      <c r="C25" s="1475"/>
      <c r="D25" s="1475"/>
      <c r="E25" s="1475"/>
      <c r="F25" s="1475"/>
      <c r="G25" s="1475"/>
      <c r="H25" s="1475"/>
      <c r="I25" s="1475"/>
      <c r="J25" s="4045">
        <v>42999</v>
      </c>
      <c r="K25" s="4045"/>
      <c r="L25" s="4045"/>
      <c r="M25" s="4045"/>
      <c r="N25" s="4045"/>
      <c r="O25" s="4045"/>
      <c r="P25" s="4045"/>
      <c r="Q25" s="4045"/>
      <c r="R25" s="4045"/>
      <c r="S25" s="4045"/>
      <c r="T25" s="4045"/>
      <c r="U25" s="4045"/>
      <c r="V25" s="4045"/>
      <c r="W25" s="4045"/>
      <c r="X25" s="4045"/>
      <c r="Y25" s="4045"/>
      <c r="Z25" s="4045"/>
      <c r="AA25" s="4045"/>
      <c r="AB25" s="4045"/>
      <c r="AC25" s="4045"/>
      <c r="AD25" s="4045"/>
      <c r="AE25" s="4045"/>
      <c r="AF25" s="4045"/>
    </row>
    <row r="26" spans="1:32" x14ac:dyDescent="0.25">
      <c r="B26" s="1475" t="s">
        <v>8</v>
      </c>
      <c r="C26" s="1475"/>
      <c r="D26" s="1475"/>
      <c r="E26" s="1475"/>
      <c r="F26" s="1475"/>
      <c r="G26" s="1475"/>
      <c r="H26" s="1475"/>
      <c r="I26" s="1475"/>
      <c r="J26" s="4045">
        <v>40821</v>
      </c>
      <c r="K26" s="4045"/>
      <c r="L26" s="4045"/>
      <c r="M26" s="4045"/>
      <c r="N26" s="4045"/>
      <c r="O26" s="4045"/>
      <c r="P26" s="4045"/>
      <c r="Q26" s="4045"/>
      <c r="R26" s="4045"/>
      <c r="S26" s="4045"/>
      <c r="T26" s="4045"/>
      <c r="U26" s="4045"/>
      <c r="V26" s="4045"/>
      <c r="W26" s="4045"/>
      <c r="X26" s="4045"/>
      <c r="Y26" s="4045"/>
      <c r="Z26" s="4045"/>
      <c r="AA26" s="4045"/>
      <c r="AB26" s="4045"/>
      <c r="AC26" s="4045"/>
      <c r="AD26" s="4045"/>
      <c r="AE26" s="4045"/>
      <c r="AF26" s="4045"/>
    </row>
    <row r="28" spans="1:32" x14ac:dyDescent="0.25">
      <c r="A28" s="1582" t="s">
        <v>9</v>
      </c>
      <c r="B28" s="1582"/>
      <c r="C28" s="1582"/>
      <c r="D28" s="1582"/>
      <c r="E28" s="1582"/>
      <c r="F28" s="1582"/>
      <c r="G28" s="1582"/>
      <c r="H28" s="1582"/>
      <c r="I28" s="1582"/>
      <c r="J28" s="1582"/>
      <c r="K28" s="1582"/>
      <c r="L28" s="1582"/>
      <c r="M28" s="1582"/>
      <c r="N28" s="1582"/>
      <c r="O28" s="1582"/>
      <c r="P28" s="1582"/>
      <c r="Q28" s="1582"/>
      <c r="R28" s="1582"/>
      <c r="S28" s="1582"/>
      <c r="T28" s="1582"/>
      <c r="U28" s="1582"/>
      <c r="V28" s="1582"/>
      <c r="W28" s="1582"/>
      <c r="X28" s="1582"/>
      <c r="Y28" s="1582"/>
      <c r="Z28" s="1582"/>
      <c r="AA28" s="1582"/>
      <c r="AB28" s="1582"/>
      <c r="AC28" s="1582"/>
      <c r="AD28" s="1582"/>
      <c r="AE28" s="1582"/>
      <c r="AF28" s="1582"/>
    </row>
    <row r="29" spans="1:32" x14ac:dyDescent="0.25">
      <c r="B29" s="171" t="s">
        <v>10</v>
      </c>
      <c r="C29" s="171"/>
      <c r="D29" s="171"/>
      <c r="E29" s="171"/>
      <c r="F29" s="171"/>
      <c r="G29" s="171"/>
      <c r="H29" s="171"/>
      <c r="I29" s="171"/>
    </row>
    <row r="30" spans="1:32" s="4" customFormat="1" ht="43.15" customHeight="1" x14ac:dyDescent="0.25">
      <c r="B30" s="1151" t="s">
        <v>709</v>
      </c>
      <c r="C30" s="1151"/>
      <c r="D30" s="1151"/>
      <c r="E30" s="1151"/>
      <c r="F30" s="1151"/>
      <c r="G30" s="1151"/>
      <c r="H30" s="1151"/>
      <c r="I30" s="1151"/>
      <c r="J30" s="1151"/>
      <c r="K30" s="1151"/>
      <c r="L30" s="1151"/>
      <c r="M30" s="1151"/>
      <c r="N30" s="1151"/>
      <c r="O30" s="1151"/>
      <c r="P30" s="1151"/>
      <c r="Q30" s="1151"/>
      <c r="R30" s="1151"/>
      <c r="S30" s="1151"/>
      <c r="T30" s="1151"/>
      <c r="U30" s="1151"/>
      <c r="V30" s="1151"/>
      <c r="W30" s="1151"/>
      <c r="X30" s="1151"/>
      <c r="Y30" s="1151"/>
      <c r="Z30" s="1151"/>
      <c r="AA30" s="1151"/>
      <c r="AB30" s="1151"/>
      <c r="AC30" s="1151"/>
      <c r="AD30" s="1151"/>
      <c r="AE30" s="1151"/>
      <c r="AF30" s="1151"/>
    </row>
    <row r="32" spans="1:32" x14ac:dyDescent="0.25">
      <c r="B32" s="171" t="s">
        <v>11</v>
      </c>
      <c r="C32" s="171"/>
      <c r="D32" s="171"/>
      <c r="E32" s="171"/>
      <c r="F32" s="171"/>
      <c r="G32" s="171"/>
      <c r="H32" s="171"/>
      <c r="I32" s="171"/>
    </row>
    <row r="33" spans="1:32" x14ac:dyDescent="0.25">
      <c r="A33" s="4"/>
    </row>
    <row r="35" spans="1:32" x14ac:dyDescent="0.25">
      <c r="B35" s="171" t="s">
        <v>12</v>
      </c>
      <c r="C35" s="171"/>
      <c r="D35" s="171"/>
      <c r="E35" s="171"/>
      <c r="F35" s="171"/>
      <c r="G35" s="171"/>
      <c r="H35" s="171"/>
      <c r="I35" s="171"/>
    </row>
    <row r="36" spans="1:32" x14ac:dyDescent="0.25">
      <c r="B36" s="1473" t="s">
        <v>706</v>
      </c>
      <c r="C36" s="1473"/>
      <c r="D36" s="1473"/>
      <c r="E36" s="1473"/>
      <c r="F36" s="1473"/>
      <c r="G36" s="1473"/>
      <c r="H36" s="1473"/>
      <c r="I36" s="1473"/>
      <c r="J36" s="1473"/>
      <c r="K36" s="1473"/>
      <c r="L36" s="1473"/>
      <c r="M36" s="1473"/>
      <c r="N36" s="1473"/>
      <c r="O36" s="1473"/>
      <c r="P36" s="1473"/>
      <c r="Q36" s="1473"/>
      <c r="R36" s="1473"/>
      <c r="S36" s="1473"/>
      <c r="T36" s="1473"/>
      <c r="U36" s="1473"/>
      <c r="V36" s="1473"/>
      <c r="W36" s="1473"/>
      <c r="X36" s="1473"/>
      <c r="Y36" s="1473"/>
      <c r="Z36" s="1473"/>
      <c r="AA36" s="1473"/>
      <c r="AB36" s="1473"/>
      <c r="AC36" s="1473"/>
      <c r="AD36" s="1473"/>
      <c r="AE36" s="1473"/>
      <c r="AF36" s="1473"/>
    </row>
    <row r="38" spans="1:32" x14ac:dyDescent="0.25">
      <c r="B38" s="171" t="s">
        <v>13</v>
      </c>
      <c r="C38" s="171"/>
      <c r="D38" s="171"/>
      <c r="E38" s="171"/>
      <c r="F38" s="171"/>
      <c r="G38" s="171"/>
      <c r="H38" s="171"/>
      <c r="I38" s="171"/>
    </row>
    <row r="39" spans="1:32" x14ac:dyDescent="0.25">
      <c r="A39" s="4"/>
      <c r="B39" s="1" t="s">
        <v>246</v>
      </c>
    </row>
    <row r="41" spans="1:32" x14ac:dyDescent="0.25">
      <c r="B41" s="171" t="s">
        <v>20</v>
      </c>
      <c r="C41" s="171"/>
      <c r="D41" s="171"/>
      <c r="E41" s="171"/>
      <c r="F41" s="171"/>
      <c r="G41" s="171"/>
      <c r="H41" s="171"/>
      <c r="I41" s="171"/>
    </row>
    <row r="42" spans="1:32" ht="14.45" customHeight="1" x14ac:dyDescent="0.25">
      <c r="B42" s="1151" t="s">
        <v>710</v>
      </c>
      <c r="C42" s="1151"/>
      <c r="D42" s="1151"/>
      <c r="E42" s="1151"/>
      <c r="F42" s="1151"/>
      <c r="G42" s="1151"/>
      <c r="H42" s="1151"/>
      <c r="I42" s="1151"/>
      <c r="J42" s="1151"/>
      <c r="K42" s="1151"/>
      <c r="L42" s="1151"/>
      <c r="M42" s="1151"/>
      <c r="N42" s="1151"/>
      <c r="O42" s="1151"/>
      <c r="P42" s="1151"/>
      <c r="Q42" s="1151"/>
      <c r="R42" s="1151"/>
      <c r="S42" s="1151"/>
      <c r="T42" s="1151"/>
      <c r="U42" s="1151"/>
      <c r="V42" s="1151"/>
      <c r="W42" s="1151"/>
      <c r="X42" s="1151"/>
      <c r="Y42" s="1151"/>
      <c r="Z42" s="1151"/>
      <c r="AA42" s="1151"/>
      <c r="AB42" s="1151"/>
      <c r="AC42" s="1151"/>
      <c r="AD42" s="1151"/>
      <c r="AE42" s="1151"/>
      <c r="AF42" s="1151"/>
    </row>
    <row r="45" spans="1:32" x14ac:dyDescent="0.25">
      <c r="A45" s="1582" t="s">
        <v>14</v>
      </c>
      <c r="B45" s="1582"/>
      <c r="C45" s="1582"/>
      <c r="D45" s="1582"/>
      <c r="E45" s="1582"/>
      <c r="F45" s="1582"/>
      <c r="G45" s="1582"/>
      <c r="H45" s="1582"/>
      <c r="I45" s="1582"/>
      <c r="J45" s="1582"/>
      <c r="K45" s="1582"/>
      <c r="L45" s="1582"/>
      <c r="M45" s="1582"/>
      <c r="N45" s="1582"/>
      <c r="O45" s="1582"/>
      <c r="P45" s="1582"/>
      <c r="Q45" s="1582"/>
      <c r="R45" s="1582"/>
      <c r="S45" s="1582"/>
      <c r="T45" s="1582"/>
      <c r="U45" s="1582"/>
      <c r="V45" s="1582"/>
      <c r="W45" s="1582"/>
      <c r="X45" s="1582"/>
      <c r="Y45" s="1582"/>
      <c r="Z45" s="1582"/>
      <c r="AA45" s="1582"/>
      <c r="AB45" s="1582"/>
      <c r="AC45" s="1582"/>
      <c r="AD45" s="1582"/>
      <c r="AE45" s="1582"/>
      <c r="AF45" s="1582"/>
    </row>
    <row r="47" spans="1:32" x14ac:dyDescent="0.25">
      <c r="A47" s="3" t="s">
        <v>210</v>
      </c>
      <c r="J47" s="204" t="s">
        <v>860</v>
      </c>
    </row>
    <row r="48" spans="1:32" x14ac:dyDescent="0.25">
      <c r="A48" s="3" t="s">
        <v>211</v>
      </c>
      <c r="J48" s="204" t="s">
        <v>861</v>
      </c>
    </row>
    <row r="49" spans="1:35" x14ac:dyDescent="0.25">
      <c r="A49" s="3"/>
      <c r="I49" s="184"/>
    </row>
    <row r="50" spans="1:35" x14ac:dyDescent="0.25">
      <c r="A50" s="1148" t="s">
        <v>15</v>
      </c>
      <c r="B50" s="1149"/>
      <c r="C50" s="1149"/>
      <c r="D50" s="1149"/>
      <c r="E50" s="1149"/>
      <c r="F50" s="1149"/>
      <c r="G50" s="1149"/>
      <c r="H50" s="1149"/>
      <c r="I50" s="1149"/>
      <c r="J50" s="1149"/>
      <c r="K50" s="1149"/>
      <c r="L50" s="1149"/>
      <c r="M50" s="1149"/>
      <c r="N50" s="1149"/>
      <c r="O50" s="1149"/>
      <c r="P50" s="1149"/>
      <c r="Q50" s="1149"/>
      <c r="R50" s="1149"/>
      <c r="S50" s="1149"/>
      <c r="T50" s="1149"/>
      <c r="U50" s="1149"/>
      <c r="V50" s="1149"/>
      <c r="W50" s="1149"/>
      <c r="X50" s="1149"/>
      <c r="Y50" s="1149"/>
      <c r="Z50" s="1149"/>
      <c r="AA50" s="1149"/>
      <c r="AB50" s="1149"/>
      <c r="AC50" s="1149"/>
      <c r="AD50" s="1149"/>
      <c r="AE50" s="1149"/>
      <c r="AF50" s="1150"/>
    </row>
    <row r="51" spans="1:35" x14ac:dyDescent="0.25">
      <c r="A51" s="1426" t="s">
        <v>16</v>
      </c>
      <c r="B51" s="1427"/>
      <c r="C51" s="1427"/>
      <c r="D51" s="1428"/>
      <c r="E51" s="1426" t="s">
        <v>10</v>
      </c>
      <c r="F51" s="1427"/>
      <c r="G51" s="1427"/>
      <c r="H51" s="1427"/>
      <c r="I51" s="1427"/>
      <c r="J51" s="1427"/>
      <c r="K51" s="1427"/>
      <c r="L51" s="1427"/>
      <c r="M51" s="1427"/>
      <c r="N51" s="1427"/>
      <c r="O51" s="1427"/>
      <c r="P51" s="1428"/>
      <c r="Q51" s="1426" t="s">
        <v>17</v>
      </c>
      <c r="R51" s="1427"/>
      <c r="S51" s="1427"/>
      <c r="T51" s="1428"/>
      <c r="U51" s="1426" t="s">
        <v>18</v>
      </c>
      <c r="V51" s="1427"/>
      <c r="W51" s="1428"/>
      <c r="X51" s="4042" t="s">
        <v>19</v>
      </c>
      <c r="Y51" s="4043"/>
      <c r="Z51" s="4043"/>
      <c r="AA51" s="4043"/>
      <c r="AB51" s="4043"/>
      <c r="AC51" s="4043"/>
      <c r="AD51" s="4043"/>
      <c r="AE51" s="4043"/>
      <c r="AF51" s="4044"/>
    </row>
    <row r="52" spans="1:35" ht="28.9" customHeight="1" x14ac:dyDescent="0.25">
      <c r="A52" s="1763" t="s">
        <v>817</v>
      </c>
      <c r="B52" s="1764"/>
      <c r="C52" s="1764"/>
      <c r="D52" s="1765"/>
      <c r="E52" s="3915" t="s">
        <v>819</v>
      </c>
      <c r="F52" s="1914"/>
      <c r="G52" s="1914"/>
      <c r="H52" s="1914"/>
      <c r="I52" s="1914"/>
      <c r="J52" s="1914"/>
      <c r="K52" s="1914"/>
      <c r="L52" s="1914"/>
      <c r="M52" s="1914"/>
      <c r="N52" s="1914"/>
      <c r="O52" s="1914"/>
      <c r="P52" s="1915"/>
      <c r="Q52" s="3919" t="s">
        <v>31</v>
      </c>
      <c r="R52" s="2781"/>
      <c r="S52" s="2781"/>
      <c r="T52" s="2782"/>
      <c r="U52" s="3919" t="s">
        <v>242</v>
      </c>
      <c r="V52" s="2781"/>
      <c r="W52" s="2782"/>
      <c r="X52" s="4041" t="s">
        <v>246</v>
      </c>
      <c r="Y52" s="1905"/>
      <c r="Z52" s="1905"/>
      <c r="AA52" s="1905"/>
      <c r="AB52" s="1905"/>
      <c r="AC52" s="1905"/>
      <c r="AD52" s="1905"/>
      <c r="AE52" s="1905"/>
      <c r="AF52" s="1906"/>
    </row>
    <row r="53" spans="1:35" ht="57.6" customHeight="1" x14ac:dyDescent="0.25">
      <c r="A53" s="1763" t="s">
        <v>816</v>
      </c>
      <c r="B53" s="1764"/>
      <c r="C53" s="1764"/>
      <c r="D53" s="1765"/>
      <c r="E53" s="3915" t="s">
        <v>820</v>
      </c>
      <c r="F53" s="1914"/>
      <c r="G53" s="1914"/>
      <c r="H53" s="1914"/>
      <c r="I53" s="1914"/>
      <c r="J53" s="1914"/>
      <c r="K53" s="1914"/>
      <c r="L53" s="1914"/>
      <c r="M53" s="1914"/>
      <c r="N53" s="1914"/>
      <c r="O53" s="1914"/>
      <c r="P53" s="1915"/>
      <c r="Q53" s="3919" t="s">
        <v>31</v>
      </c>
      <c r="R53" s="2781"/>
      <c r="S53" s="2781"/>
      <c r="T53" s="2782"/>
      <c r="U53" s="3919" t="s">
        <v>242</v>
      </c>
      <c r="V53" s="2781"/>
      <c r="W53" s="2782"/>
      <c r="X53" s="4041" t="s">
        <v>825</v>
      </c>
      <c r="Y53" s="1905"/>
      <c r="Z53" s="1905"/>
      <c r="AA53" s="1905"/>
      <c r="AB53" s="1905"/>
      <c r="AC53" s="1905"/>
      <c r="AD53" s="1905"/>
      <c r="AE53" s="1905"/>
      <c r="AF53" s="1906"/>
    </row>
    <row r="54" spans="1:35" ht="14.45" customHeight="1" x14ac:dyDescent="0.25">
      <c r="A54" s="1763" t="s">
        <v>818</v>
      </c>
      <c r="B54" s="1764"/>
      <c r="C54" s="1764"/>
      <c r="D54" s="1765"/>
      <c r="E54" s="3915" t="s">
        <v>821</v>
      </c>
      <c r="F54" s="1914"/>
      <c r="G54" s="1914"/>
      <c r="H54" s="1914"/>
      <c r="I54" s="1914"/>
      <c r="J54" s="1914"/>
      <c r="K54" s="1914"/>
      <c r="L54" s="1914"/>
      <c r="M54" s="1914"/>
      <c r="N54" s="1914"/>
      <c r="O54" s="1914"/>
      <c r="P54" s="1915"/>
      <c r="Q54" s="3919" t="s">
        <v>31</v>
      </c>
      <c r="R54" s="2781"/>
      <c r="S54" s="2781"/>
      <c r="T54" s="2782"/>
      <c r="U54" s="3919" t="s">
        <v>242</v>
      </c>
      <c r="V54" s="2781"/>
      <c r="W54" s="2782"/>
      <c r="X54" s="4041"/>
      <c r="Y54" s="1905"/>
      <c r="Z54" s="1905"/>
      <c r="AA54" s="1905"/>
      <c r="AB54" s="1905"/>
      <c r="AC54" s="1905"/>
      <c r="AD54" s="1905"/>
      <c r="AE54" s="1905"/>
      <c r="AF54" s="1906"/>
    </row>
    <row r="55" spans="1:35" ht="28.9" customHeight="1" x14ac:dyDescent="0.25">
      <c r="A55" s="1763" t="s">
        <v>247</v>
      </c>
      <c r="B55" s="1764"/>
      <c r="C55" s="1764"/>
      <c r="D55" s="1765"/>
      <c r="E55" s="3915" t="s">
        <v>822</v>
      </c>
      <c r="F55" s="1914"/>
      <c r="G55" s="1914"/>
      <c r="H55" s="1914"/>
      <c r="I55" s="1914"/>
      <c r="J55" s="1914"/>
      <c r="K55" s="1914"/>
      <c r="L55" s="1914"/>
      <c r="M55" s="1914"/>
      <c r="N55" s="1914"/>
      <c r="O55" s="1914"/>
      <c r="P55" s="1915"/>
      <c r="Q55" s="3919" t="s">
        <v>31</v>
      </c>
      <c r="R55" s="2781"/>
      <c r="S55" s="2781"/>
      <c r="T55" s="2782"/>
      <c r="U55" s="3919" t="s">
        <v>242</v>
      </c>
      <c r="V55" s="2781"/>
      <c r="W55" s="2782"/>
      <c r="X55" s="4041" t="s">
        <v>826</v>
      </c>
      <c r="Y55" s="1905"/>
      <c r="Z55" s="1905"/>
      <c r="AA55" s="1905"/>
      <c r="AB55" s="1905"/>
      <c r="AC55" s="1905"/>
      <c r="AD55" s="1905"/>
      <c r="AE55" s="1905"/>
      <c r="AF55" s="1906"/>
    </row>
    <row r="56" spans="1:35" ht="14.45" customHeight="1" x14ac:dyDescent="0.25">
      <c r="A56" s="1763" t="s">
        <v>218</v>
      </c>
      <c r="B56" s="1764"/>
      <c r="C56" s="1764"/>
      <c r="D56" s="1765"/>
      <c r="E56" s="3915" t="s">
        <v>823</v>
      </c>
      <c r="F56" s="1914"/>
      <c r="G56" s="1914"/>
      <c r="H56" s="1914"/>
      <c r="I56" s="1914"/>
      <c r="J56" s="1914"/>
      <c r="K56" s="1914"/>
      <c r="L56" s="1914"/>
      <c r="M56" s="1914"/>
      <c r="N56" s="1914"/>
      <c r="O56" s="1914"/>
      <c r="P56" s="1915"/>
      <c r="Q56" s="3919">
        <v>12000</v>
      </c>
      <c r="R56" s="2781"/>
      <c r="S56" s="2781"/>
      <c r="T56" s="2782"/>
      <c r="U56" s="3919" t="s">
        <v>824</v>
      </c>
      <c r="V56" s="2781"/>
      <c r="W56" s="2782"/>
      <c r="X56" s="4041"/>
      <c r="Y56" s="1905"/>
      <c r="Z56" s="1905"/>
      <c r="AA56" s="1905"/>
      <c r="AB56" s="1905"/>
      <c r="AC56" s="1905"/>
      <c r="AD56" s="1905"/>
      <c r="AE56" s="1905"/>
      <c r="AF56" s="1906"/>
    </row>
    <row r="57" spans="1:35" x14ac:dyDescent="0.25">
      <c r="A57" s="1763" t="s">
        <v>32</v>
      </c>
      <c r="B57" s="1764"/>
      <c r="C57" s="1764"/>
      <c r="D57" s="1765"/>
      <c r="E57" s="1763" t="s">
        <v>163</v>
      </c>
      <c r="F57" s="1764"/>
      <c r="G57" s="1764"/>
      <c r="H57" s="1764"/>
      <c r="I57" s="1764"/>
      <c r="J57" s="1764"/>
      <c r="K57" s="1764"/>
      <c r="L57" s="1764"/>
      <c r="M57" s="1764"/>
      <c r="N57" s="1764"/>
      <c r="O57" s="1764"/>
      <c r="P57" s="1765"/>
      <c r="Q57" s="3919" t="s">
        <v>31</v>
      </c>
      <c r="R57" s="2781"/>
      <c r="S57" s="2781"/>
      <c r="T57" s="2782"/>
      <c r="U57" s="3919" t="s">
        <v>45</v>
      </c>
      <c r="V57" s="2781"/>
      <c r="W57" s="2782"/>
      <c r="X57" s="4041"/>
      <c r="Y57" s="1905"/>
      <c r="Z57" s="1905"/>
      <c r="AA57" s="1905"/>
      <c r="AB57" s="1905"/>
      <c r="AC57" s="1905"/>
      <c r="AD57" s="1905"/>
      <c r="AE57" s="1905"/>
      <c r="AF57" s="1906"/>
    </row>
    <row r="58" spans="1:35" x14ac:dyDescent="0.25">
      <c r="A58" s="1763" t="s">
        <v>29</v>
      </c>
      <c r="B58" s="1764"/>
      <c r="C58" s="1764"/>
      <c r="D58" s="1765"/>
      <c r="E58" s="1763" t="s">
        <v>104</v>
      </c>
      <c r="F58" s="1764"/>
      <c r="G58" s="1764"/>
      <c r="H58" s="1764"/>
      <c r="I58" s="1764"/>
      <c r="J58" s="1764"/>
      <c r="K58" s="1764"/>
      <c r="L58" s="1764"/>
      <c r="M58" s="1764"/>
      <c r="N58" s="1764"/>
      <c r="O58" s="1764"/>
      <c r="P58" s="1765"/>
      <c r="Q58" s="3919" t="s">
        <v>31</v>
      </c>
      <c r="R58" s="2781"/>
      <c r="S58" s="2781"/>
      <c r="T58" s="2782"/>
      <c r="U58" s="3919" t="s">
        <v>28</v>
      </c>
      <c r="V58" s="2781"/>
      <c r="W58" s="2782"/>
      <c r="X58" s="4041"/>
      <c r="Y58" s="1905"/>
      <c r="Z58" s="1905"/>
      <c r="AA58" s="1905"/>
      <c r="AB58" s="1905"/>
      <c r="AC58" s="1905"/>
      <c r="AD58" s="1905"/>
      <c r="AE58" s="1905"/>
      <c r="AF58" s="1906"/>
    </row>
    <row r="59" spans="1:35" x14ac:dyDescent="0.25">
      <c r="A59" s="1763" t="s">
        <v>34</v>
      </c>
      <c r="B59" s="1764"/>
      <c r="C59" s="1764"/>
      <c r="D59" s="1765"/>
      <c r="E59" s="1763" t="s">
        <v>35</v>
      </c>
      <c r="F59" s="1764"/>
      <c r="G59" s="1764"/>
      <c r="H59" s="1764"/>
      <c r="I59" s="1764"/>
      <c r="J59" s="1764"/>
      <c r="K59" s="1764"/>
      <c r="L59" s="1764"/>
      <c r="M59" s="1764"/>
      <c r="N59" s="1764"/>
      <c r="O59" s="1764"/>
      <c r="P59" s="1765"/>
      <c r="Q59" s="3919">
        <f>'Master EUL'!X76</f>
        <v>22</v>
      </c>
      <c r="R59" s="2781"/>
      <c r="S59" s="2781"/>
      <c r="T59" s="2782"/>
      <c r="U59" s="3919" t="s">
        <v>46</v>
      </c>
      <c r="V59" s="2781"/>
      <c r="W59" s="2782"/>
      <c r="X59" s="4041"/>
      <c r="Y59" s="1905"/>
      <c r="Z59" s="1905"/>
      <c r="AA59" s="1905"/>
      <c r="AB59" s="1905"/>
      <c r="AC59" s="1905"/>
      <c r="AD59" s="1905"/>
      <c r="AE59" s="1905"/>
      <c r="AF59" s="1906"/>
    </row>
    <row r="62" spans="1:35" s="8" customFormat="1" x14ac:dyDescent="0.25">
      <c r="A62" s="247" t="s">
        <v>248</v>
      </c>
      <c r="Q62" s="3"/>
    </row>
    <row r="63" spans="1:35" s="8" customFormat="1" ht="43.15" customHeight="1" x14ac:dyDescent="0.25">
      <c r="A63" s="1391" t="s">
        <v>815</v>
      </c>
      <c r="B63" s="1392"/>
      <c r="C63" s="1393"/>
      <c r="D63" s="1394" t="s">
        <v>241</v>
      </c>
      <c r="E63" s="1395"/>
      <c r="F63" s="1395"/>
      <c r="G63" s="1395"/>
      <c r="H63" s="1396"/>
      <c r="I63" s="1394" t="s">
        <v>240</v>
      </c>
      <c r="J63" s="1395"/>
      <c r="K63" s="1395"/>
      <c r="L63" s="1396"/>
      <c r="M63" s="1391" t="s">
        <v>754</v>
      </c>
      <c r="N63" s="1392"/>
      <c r="O63" s="1392"/>
      <c r="P63" s="1393"/>
      <c r="Q63" s="1391" t="s">
        <v>834</v>
      </c>
      <c r="R63" s="1392"/>
      <c r="S63" s="1392"/>
      <c r="T63" s="1393"/>
      <c r="U63" s="1391" t="s">
        <v>835</v>
      </c>
      <c r="V63" s="1392"/>
      <c r="W63" s="1393"/>
      <c r="X63" s="1391" t="s">
        <v>836</v>
      </c>
      <c r="Y63" s="1392"/>
      <c r="Z63" s="1393"/>
      <c r="AA63" s="1391" t="s">
        <v>837</v>
      </c>
      <c r="AB63" s="1392"/>
      <c r="AC63" s="1393"/>
      <c r="AD63" s="1391" t="s">
        <v>247</v>
      </c>
      <c r="AE63" s="1392"/>
      <c r="AF63" s="1393"/>
      <c r="AG63" s="244"/>
      <c r="AH63" s="244"/>
      <c r="AI63" s="244"/>
    </row>
    <row r="64" spans="1:35" s="8" customFormat="1" x14ac:dyDescent="0.25">
      <c r="A64" s="1365" t="s">
        <v>814</v>
      </c>
      <c r="B64" s="1366"/>
      <c r="C64" s="1367"/>
      <c r="D64" s="1375" t="s">
        <v>25</v>
      </c>
      <c r="E64" s="1376"/>
      <c r="F64" s="1376"/>
      <c r="G64" s="1376"/>
      <c r="H64" s="1377"/>
      <c r="I64" s="1375" t="s">
        <v>762</v>
      </c>
      <c r="J64" s="1376"/>
      <c r="K64" s="1376"/>
      <c r="L64" s="1377"/>
      <c r="M64" s="4020">
        <v>2.8</v>
      </c>
      <c r="N64" s="4021"/>
      <c r="O64" s="4021"/>
      <c r="P64" s="4022"/>
      <c r="Q64" s="4020">
        <v>2.8</v>
      </c>
      <c r="R64" s="4021"/>
      <c r="S64" s="4021"/>
      <c r="T64" s="4022"/>
      <c r="U64" s="4023">
        <f t="shared" ref="U64:U73" si="0">12/($M64*3.412)</f>
        <v>1.2560710098810921</v>
      </c>
      <c r="V64" s="4024"/>
      <c r="W64" s="4025"/>
      <c r="X64" s="4023">
        <f t="shared" ref="X64:X73" si="1">0.85*U64</f>
        <v>1.0676603583989284</v>
      </c>
      <c r="Y64" s="4024"/>
      <c r="Z64" s="4025"/>
      <c r="AA64" s="4023">
        <f t="shared" ref="AA64:AA73" si="2">12/($Q64*3.412)</f>
        <v>1.2560710098810921</v>
      </c>
      <c r="AB64" s="4024"/>
      <c r="AC64" s="4025"/>
      <c r="AD64" s="4023">
        <f t="shared" ref="AD64:AD73" si="3">0.85*AA64</f>
        <v>1.0676603583989284</v>
      </c>
      <c r="AE64" s="4024"/>
      <c r="AF64" s="4025"/>
      <c r="AG64" s="244"/>
      <c r="AH64" s="244"/>
      <c r="AI64" s="244"/>
    </row>
    <row r="65" spans="1:35" s="8" customFormat="1" x14ac:dyDescent="0.25">
      <c r="A65" s="1368"/>
      <c r="B65" s="1369"/>
      <c r="C65" s="1370"/>
      <c r="D65" s="1375" t="s">
        <v>25</v>
      </c>
      <c r="E65" s="1376"/>
      <c r="F65" s="1376"/>
      <c r="G65" s="1376"/>
      <c r="H65" s="1377"/>
      <c r="I65" s="1375" t="s">
        <v>829</v>
      </c>
      <c r="J65" s="1376"/>
      <c r="K65" s="1376"/>
      <c r="L65" s="1377"/>
      <c r="M65" s="4020">
        <v>2.5</v>
      </c>
      <c r="N65" s="4021"/>
      <c r="O65" s="4021"/>
      <c r="P65" s="4022"/>
      <c r="Q65" s="4020">
        <v>2.5</v>
      </c>
      <c r="R65" s="4021"/>
      <c r="S65" s="4021"/>
      <c r="T65" s="4022"/>
      <c r="U65" s="4023">
        <f t="shared" si="0"/>
        <v>1.4067995310668231</v>
      </c>
      <c r="V65" s="4024"/>
      <c r="W65" s="4025"/>
      <c r="X65" s="4023">
        <f t="shared" si="1"/>
        <v>1.1957796014067996</v>
      </c>
      <c r="Y65" s="4024"/>
      <c r="Z65" s="4025"/>
      <c r="AA65" s="4023">
        <f t="shared" si="2"/>
        <v>1.4067995310668231</v>
      </c>
      <c r="AB65" s="4024"/>
      <c r="AC65" s="4025"/>
      <c r="AD65" s="4023">
        <f t="shared" si="3"/>
        <v>1.1957796014067996</v>
      </c>
      <c r="AE65" s="4024"/>
      <c r="AF65" s="4025"/>
      <c r="AG65" s="244"/>
      <c r="AH65" s="244"/>
      <c r="AI65" s="244"/>
    </row>
    <row r="66" spans="1:35" s="8" customFormat="1" x14ac:dyDescent="0.25">
      <c r="A66" s="1371"/>
      <c r="B66" s="1372"/>
      <c r="C66" s="1373"/>
      <c r="D66" s="4035" t="s">
        <v>827</v>
      </c>
      <c r="E66" s="4036"/>
      <c r="F66" s="4036"/>
      <c r="G66" s="4036"/>
      <c r="H66" s="4037"/>
      <c r="I66" s="4035" t="s">
        <v>828</v>
      </c>
      <c r="J66" s="4036"/>
      <c r="K66" s="4036"/>
      <c r="L66" s="4037"/>
      <c r="M66" s="4038">
        <v>3.1</v>
      </c>
      <c r="N66" s="4039"/>
      <c r="O66" s="4039"/>
      <c r="P66" s="4040"/>
      <c r="Q66" s="4038">
        <v>3.1</v>
      </c>
      <c r="R66" s="4039"/>
      <c r="S66" s="4039"/>
      <c r="T66" s="4040"/>
      <c r="U66" s="4032">
        <f t="shared" si="0"/>
        <v>1.1345157508603412</v>
      </c>
      <c r="V66" s="4033"/>
      <c r="W66" s="4034"/>
      <c r="X66" s="4032">
        <f t="shared" si="1"/>
        <v>0.96433838823128992</v>
      </c>
      <c r="Y66" s="4033"/>
      <c r="Z66" s="4034"/>
      <c r="AA66" s="4032">
        <f t="shared" si="2"/>
        <v>1.1345157508603412</v>
      </c>
      <c r="AB66" s="4033"/>
      <c r="AC66" s="4034"/>
      <c r="AD66" s="4032">
        <f t="shared" si="3"/>
        <v>0.96433838823128992</v>
      </c>
      <c r="AE66" s="4033"/>
      <c r="AF66" s="4034"/>
      <c r="AG66" s="244"/>
      <c r="AH66" s="244"/>
    </row>
    <row r="67" spans="1:35" s="8" customFormat="1" x14ac:dyDescent="0.25">
      <c r="A67" s="1365" t="s">
        <v>833</v>
      </c>
      <c r="B67" s="1366"/>
      <c r="C67" s="1367"/>
      <c r="D67" s="1375" t="s">
        <v>233</v>
      </c>
      <c r="E67" s="1376"/>
      <c r="F67" s="1376"/>
      <c r="G67" s="1376"/>
      <c r="H67" s="1377"/>
      <c r="I67" s="1375" t="s">
        <v>828</v>
      </c>
      <c r="J67" s="1376"/>
      <c r="K67" s="1376"/>
      <c r="L67" s="1377"/>
      <c r="M67" s="4020">
        <v>4.2</v>
      </c>
      <c r="N67" s="4021"/>
      <c r="O67" s="4021"/>
      <c r="P67" s="4022"/>
      <c r="Q67" s="4020">
        <v>4.6500000000000004</v>
      </c>
      <c r="R67" s="4021"/>
      <c r="S67" s="4021"/>
      <c r="T67" s="4022"/>
      <c r="U67" s="4023">
        <f t="shared" si="0"/>
        <v>0.83738067325406129</v>
      </c>
      <c r="V67" s="4024"/>
      <c r="W67" s="4025"/>
      <c r="X67" s="4023">
        <f t="shared" si="1"/>
        <v>0.71177357226595206</v>
      </c>
      <c r="Y67" s="4024"/>
      <c r="Z67" s="4025"/>
      <c r="AA67" s="4023">
        <f t="shared" si="2"/>
        <v>0.75634383390689408</v>
      </c>
      <c r="AB67" s="4024"/>
      <c r="AC67" s="4025"/>
      <c r="AD67" s="4023">
        <f t="shared" si="3"/>
        <v>0.64289225882085999</v>
      </c>
      <c r="AE67" s="4024"/>
      <c r="AF67" s="4025"/>
      <c r="AG67" s="244"/>
      <c r="AH67" s="244"/>
      <c r="AI67" s="244"/>
    </row>
    <row r="68" spans="1:35" s="8" customFormat="1" x14ac:dyDescent="0.25">
      <c r="A68" s="1368"/>
      <c r="B68" s="1369"/>
      <c r="C68" s="1370"/>
      <c r="D68" s="1365" t="s">
        <v>830</v>
      </c>
      <c r="E68" s="1366"/>
      <c r="F68" s="1366"/>
      <c r="G68" s="1366"/>
      <c r="H68" s="1367"/>
      <c r="I68" s="1375" t="s">
        <v>762</v>
      </c>
      <c r="J68" s="1376"/>
      <c r="K68" s="1376"/>
      <c r="L68" s="1377"/>
      <c r="M68" s="4020">
        <v>4.45</v>
      </c>
      <c r="N68" s="4021"/>
      <c r="O68" s="4021"/>
      <c r="P68" s="4022"/>
      <c r="Q68" s="4020">
        <v>4.5</v>
      </c>
      <c r="R68" s="4021"/>
      <c r="S68" s="4021"/>
      <c r="T68" s="4022"/>
      <c r="U68" s="4023">
        <f t="shared" si="0"/>
        <v>0.79033681520608023</v>
      </c>
      <c r="V68" s="4024"/>
      <c r="W68" s="4025"/>
      <c r="X68" s="4023">
        <f t="shared" si="1"/>
        <v>0.67178629292516823</v>
      </c>
      <c r="Y68" s="4024"/>
      <c r="Z68" s="4025"/>
      <c r="AA68" s="4023">
        <f t="shared" si="2"/>
        <v>0.78155529503712395</v>
      </c>
      <c r="AB68" s="4024"/>
      <c r="AC68" s="4025"/>
      <c r="AD68" s="4023">
        <f t="shared" si="3"/>
        <v>0.66432200078155534</v>
      </c>
      <c r="AE68" s="4024"/>
      <c r="AF68" s="4025"/>
      <c r="AG68" s="244"/>
      <c r="AH68" s="244"/>
      <c r="AI68" s="244"/>
    </row>
    <row r="69" spans="1:35" s="8" customFormat="1" x14ac:dyDescent="0.25">
      <c r="A69" s="1368"/>
      <c r="B69" s="1369"/>
      <c r="C69" s="1370"/>
      <c r="D69" s="1368"/>
      <c r="E69" s="1369"/>
      <c r="F69" s="1369"/>
      <c r="G69" s="1369"/>
      <c r="H69" s="1370"/>
      <c r="I69" s="1375" t="s">
        <v>831</v>
      </c>
      <c r="J69" s="1376"/>
      <c r="K69" s="1376"/>
      <c r="L69" s="1377"/>
      <c r="M69" s="4020">
        <v>4.9000000000000004</v>
      </c>
      <c r="N69" s="4021"/>
      <c r="O69" s="4021"/>
      <c r="P69" s="4022"/>
      <c r="Q69" s="4020">
        <v>4.95</v>
      </c>
      <c r="R69" s="4021"/>
      <c r="S69" s="4021"/>
      <c r="T69" s="4022"/>
      <c r="U69" s="4023">
        <f t="shared" si="0"/>
        <v>0.71775486278919531</v>
      </c>
      <c r="V69" s="4024"/>
      <c r="W69" s="4025"/>
      <c r="X69" s="4023">
        <f t="shared" si="1"/>
        <v>0.61009163337081596</v>
      </c>
      <c r="Y69" s="4024"/>
      <c r="Z69" s="4025"/>
      <c r="AA69" s="4023">
        <f t="shared" si="2"/>
        <v>0.71050481367011253</v>
      </c>
      <c r="AB69" s="4024"/>
      <c r="AC69" s="4025"/>
      <c r="AD69" s="4023">
        <f t="shared" si="3"/>
        <v>0.60392909161959563</v>
      </c>
      <c r="AE69" s="4024"/>
      <c r="AF69" s="4025"/>
      <c r="AG69" s="244"/>
      <c r="AH69" s="244"/>
      <c r="AI69" s="244"/>
    </row>
    <row r="70" spans="1:35" s="8" customFormat="1" x14ac:dyDescent="0.25">
      <c r="A70" s="1368"/>
      <c r="B70" s="1369"/>
      <c r="C70" s="1370"/>
      <c r="D70" s="1371"/>
      <c r="E70" s="1372"/>
      <c r="F70" s="1372"/>
      <c r="G70" s="1372"/>
      <c r="H70" s="1373"/>
      <c r="I70" s="1375" t="s">
        <v>832</v>
      </c>
      <c r="J70" s="1376"/>
      <c r="K70" s="1376"/>
      <c r="L70" s="1377"/>
      <c r="M70" s="4020">
        <v>5.5</v>
      </c>
      <c r="N70" s="4021"/>
      <c r="O70" s="4021"/>
      <c r="P70" s="4022"/>
      <c r="Q70" s="4020">
        <v>5.6</v>
      </c>
      <c r="R70" s="4021"/>
      <c r="S70" s="4021"/>
      <c r="T70" s="4022"/>
      <c r="U70" s="4023">
        <f t="shared" si="0"/>
        <v>0.63945433230310145</v>
      </c>
      <c r="V70" s="4024"/>
      <c r="W70" s="4025"/>
      <c r="X70" s="4023">
        <f t="shared" si="1"/>
        <v>0.54353618245763624</v>
      </c>
      <c r="Y70" s="4024"/>
      <c r="Z70" s="4025"/>
      <c r="AA70" s="4023">
        <f t="shared" si="2"/>
        <v>0.62803550494054605</v>
      </c>
      <c r="AB70" s="4024"/>
      <c r="AC70" s="4025"/>
      <c r="AD70" s="4023">
        <f t="shared" si="3"/>
        <v>0.53383017919946418</v>
      </c>
      <c r="AE70" s="4024"/>
      <c r="AF70" s="4025"/>
      <c r="AG70" s="244"/>
      <c r="AH70" s="244"/>
      <c r="AI70" s="244"/>
    </row>
    <row r="71" spans="1:35" s="8" customFormat="1" x14ac:dyDescent="0.25">
      <c r="A71" s="1368"/>
      <c r="B71" s="1369"/>
      <c r="C71" s="1370"/>
      <c r="D71" s="1365" t="s">
        <v>235</v>
      </c>
      <c r="E71" s="1366"/>
      <c r="F71" s="1366"/>
      <c r="G71" s="1366"/>
      <c r="H71" s="1367"/>
      <c r="I71" s="1375" t="s">
        <v>762</v>
      </c>
      <c r="J71" s="1376"/>
      <c r="K71" s="1376"/>
      <c r="L71" s="1377"/>
      <c r="M71" s="4020">
        <v>5</v>
      </c>
      <c r="N71" s="4021"/>
      <c r="O71" s="4021"/>
      <c r="P71" s="4022"/>
      <c r="Q71" s="4020">
        <v>5</v>
      </c>
      <c r="R71" s="4021"/>
      <c r="S71" s="4021"/>
      <c r="T71" s="4022"/>
      <c r="U71" s="4023">
        <f t="shared" si="0"/>
        <v>0.70339976553341155</v>
      </c>
      <c r="V71" s="4024"/>
      <c r="W71" s="4025"/>
      <c r="X71" s="4023">
        <f t="shared" si="1"/>
        <v>0.59788980070339981</v>
      </c>
      <c r="Y71" s="4024"/>
      <c r="Z71" s="4025"/>
      <c r="AA71" s="4023">
        <f t="shared" si="2"/>
        <v>0.70339976553341155</v>
      </c>
      <c r="AB71" s="4024"/>
      <c r="AC71" s="4025"/>
      <c r="AD71" s="4023">
        <f t="shared" si="3"/>
        <v>0.59788980070339981</v>
      </c>
      <c r="AE71" s="4024"/>
      <c r="AF71" s="4025"/>
      <c r="AG71" s="244"/>
      <c r="AH71" s="244"/>
      <c r="AI71" s="244"/>
    </row>
    <row r="72" spans="1:35" s="8" customFormat="1" x14ac:dyDescent="0.25">
      <c r="A72" s="1368"/>
      <c r="B72" s="1369"/>
      <c r="C72" s="1370"/>
      <c r="D72" s="1368"/>
      <c r="E72" s="1369"/>
      <c r="F72" s="1369"/>
      <c r="G72" s="1369"/>
      <c r="H72" s="1370"/>
      <c r="I72" s="1375" t="s">
        <v>831</v>
      </c>
      <c r="J72" s="1376"/>
      <c r="K72" s="1376"/>
      <c r="L72" s="1377"/>
      <c r="M72" s="4020">
        <v>5.55</v>
      </c>
      <c r="N72" s="4021"/>
      <c r="O72" s="4021"/>
      <c r="P72" s="4022"/>
      <c r="Q72" s="4020">
        <v>5.55</v>
      </c>
      <c r="R72" s="4021"/>
      <c r="S72" s="4021"/>
      <c r="T72" s="4022"/>
      <c r="U72" s="4023">
        <f t="shared" si="0"/>
        <v>0.63369348246253288</v>
      </c>
      <c r="V72" s="4024"/>
      <c r="W72" s="4025"/>
      <c r="X72" s="4023">
        <f t="shared" si="1"/>
        <v>0.53863946009315289</v>
      </c>
      <c r="Y72" s="4024"/>
      <c r="Z72" s="4025"/>
      <c r="AA72" s="4023">
        <f t="shared" si="2"/>
        <v>0.63369348246253288</v>
      </c>
      <c r="AB72" s="4024"/>
      <c r="AC72" s="4025"/>
      <c r="AD72" s="4023">
        <f t="shared" si="3"/>
        <v>0.53863946009315289</v>
      </c>
      <c r="AE72" s="4024"/>
      <c r="AF72" s="4025"/>
      <c r="AG72" s="244"/>
      <c r="AH72" s="244"/>
      <c r="AI72" s="244"/>
    </row>
    <row r="73" spans="1:35" s="8" customFormat="1" x14ac:dyDescent="0.25">
      <c r="A73" s="1371"/>
      <c r="B73" s="1372"/>
      <c r="C73" s="1373"/>
      <c r="D73" s="1371"/>
      <c r="E73" s="1372"/>
      <c r="F73" s="1372"/>
      <c r="G73" s="1372"/>
      <c r="H73" s="1373"/>
      <c r="I73" s="1375" t="s">
        <v>832</v>
      </c>
      <c r="J73" s="1376"/>
      <c r="K73" s="1376"/>
      <c r="L73" s="1377"/>
      <c r="M73" s="4020">
        <v>6.1</v>
      </c>
      <c r="N73" s="4021"/>
      <c r="O73" s="4021"/>
      <c r="P73" s="4022"/>
      <c r="Q73" s="4020">
        <v>6.1</v>
      </c>
      <c r="R73" s="4021"/>
      <c r="S73" s="4021"/>
      <c r="T73" s="4022"/>
      <c r="U73" s="4023">
        <f t="shared" si="0"/>
        <v>0.57655718486345209</v>
      </c>
      <c r="V73" s="4024"/>
      <c r="W73" s="4025"/>
      <c r="X73" s="4023">
        <f t="shared" si="1"/>
        <v>0.49007360713393427</v>
      </c>
      <c r="Y73" s="4024"/>
      <c r="Z73" s="4025"/>
      <c r="AA73" s="4023">
        <f t="shared" si="2"/>
        <v>0.57655718486345209</v>
      </c>
      <c r="AB73" s="4024"/>
      <c r="AC73" s="4025"/>
      <c r="AD73" s="4023">
        <f t="shared" si="3"/>
        <v>0.49007360713393427</v>
      </c>
      <c r="AE73" s="4024"/>
      <c r="AF73" s="4025"/>
      <c r="AG73" s="244"/>
      <c r="AH73" s="244"/>
      <c r="AI73" s="244"/>
    </row>
    <row r="74" spans="1:35" s="8" customFormat="1" ht="28.9" customHeight="1" x14ac:dyDescent="0.25">
      <c r="A74" s="4029" t="s">
        <v>249</v>
      </c>
      <c r="B74" s="4030"/>
      <c r="C74" s="4030"/>
      <c r="D74" s="4030"/>
      <c r="E74" s="4030"/>
      <c r="F74" s="4030"/>
      <c r="G74" s="4030"/>
      <c r="H74" s="4030"/>
      <c r="I74" s="4030"/>
      <c r="J74" s="4030"/>
      <c r="K74" s="4030"/>
      <c r="L74" s="4030"/>
      <c r="M74" s="4030"/>
      <c r="N74" s="4030"/>
      <c r="O74" s="4030"/>
      <c r="P74" s="4030"/>
      <c r="Q74" s="4030"/>
      <c r="R74" s="4030"/>
      <c r="S74" s="4030"/>
      <c r="T74" s="4030"/>
      <c r="U74" s="4030"/>
      <c r="V74" s="4030"/>
      <c r="W74" s="4030"/>
      <c r="X74" s="4030"/>
      <c r="Y74" s="4030"/>
      <c r="Z74" s="4030"/>
      <c r="AA74" s="4030"/>
      <c r="AB74" s="4030"/>
      <c r="AC74" s="4030"/>
      <c r="AD74" s="4030"/>
      <c r="AE74" s="4030"/>
      <c r="AF74" s="4030"/>
    </row>
    <row r="75" spans="1:35" s="8" customFormat="1" x14ac:dyDescent="0.25">
      <c r="A75" s="4031" t="s">
        <v>806</v>
      </c>
      <c r="B75" s="4031"/>
      <c r="C75" s="4031"/>
      <c r="D75" s="4031"/>
      <c r="E75" s="4031"/>
      <c r="F75" s="4031"/>
      <c r="G75" s="4031"/>
      <c r="H75" s="4031"/>
      <c r="I75" s="4031"/>
      <c r="J75" s="4031"/>
      <c r="K75" s="4031"/>
      <c r="L75" s="4031"/>
      <c r="M75" s="4031"/>
      <c r="N75" s="4031"/>
      <c r="O75" s="4031"/>
      <c r="P75" s="4031"/>
      <c r="Q75" s="4031"/>
      <c r="R75" s="4031"/>
      <c r="S75" s="4031"/>
      <c r="T75" s="4031"/>
      <c r="U75" s="4031"/>
      <c r="V75" s="4031"/>
      <c r="W75" s="4031"/>
      <c r="X75" s="4031"/>
      <c r="Y75" s="4031"/>
      <c r="Z75" s="4031"/>
      <c r="AA75" s="4031"/>
      <c r="AB75" s="4031"/>
      <c r="AC75" s="4031"/>
      <c r="AD75" s="4031"/>
      <c r="AE75" s="4031"/>
      <c r="AF75" s="4031"/>
    </row>
    <row r="76" spans="1:35" s="8" customFormat="1" ht="14.45" customHeight="1" x14ac:dyDescent="0.25"/>
    <row r="77" spans="1:35" s="244" customFormat="1" ht="14.45" customHeight="1" x14ac:dyDescent="0.25">
      <c r="A77" s="247" t="s">
        <v>753</v>
      </c>
      <c r="I77" s="246"/>
    </row>
    <row r="78" spans="1:35" s="244" customFormat="1" ht="43.7" customHeight="1" x14ac:dyDescent="0.25">
      <c r="A78" s="4026" t="s">
        <v>815</v>
      </c>
      <c r="B78" s="4027"/>
      <c r="C78" s="4028"/>
      <c r="D78" s="4026" t="s">
        <v>328</v>
      </c>
      <c r="E78" s="4027"/>
      <c r="F78" s="4027"/>
      <c r="G78" s="4028"/>
      <c r="H78" s="4026" t="s">
        <v>241</v>
      </c>
      <c r="I78" s="4027"/>
      <c r="J78" s="4027"/>
      <c r="K78" s="4028"/>
      <c r="L78" s="4026" t="s">
        <v>843</v>
      </c>
      <c r="M78" s="4027"/>
      <c r="N78" s="4027"/>
      <c r="O78" s="4027"/>
      <c r="P78" s="4027"/>
      <c r="Q78" s="4028"/>
      <c r="R78" s="4026" t="s">
        <v>755</v>
      </c>
      <c r="S78" s="4027"/>
      <c r="T78" s="4028"/>
      <c r="U78" s="4026" t="s">
        <v>756</v>
      </c>
      <c r="V78" s="4027"/>
      <c r="W78" s="4028"/>
      <c r="X78" s="4026" t="s">
        <v>757</v>
      </c>
      <c r="Y78" s="4027"/>
      <c r="Z78" s="4028"/>
      <c r="AA78" s="4026" t="s">
        <v>758</v>
      </c>
      <c r="AB78" s="4027"/>
      <c r="AC78" s="4028"/>
      <c r="AD78" s="4026" t="s">
        <v>759</v>
      </c>
      <c r="AE78" s="4027"/>
      <c r="AF78" s="4028"/>
    </row>
    <row r="79" spans="1:35" s="244" customFormat="1" ht="14.45" customHeight="1" x14ac:dyDescent="0.25">
      <c r="A79" s="4004" t="s">
        <v>814</v>
      </c>
      <c r="B79" s="3703"/>
      <c r="C79" s="4005"/>
      <c r="D79" s="3988"/>
      <c r="E79" s="3989"/>
      <c r="F79" s="3989"/>
      <c r="G79" s="3990"/>
      <c r="H79" s="3988"/>
      <c r="I79" s="3989"/>
      <c r="J79" s="3989"/>
      <c r="K79" s="3990"/>
      <c r="L79" s="3988" t="s">
        <v>237</v>
      </c>
      <c r="M79" s="3989"/>
      <c r="N79" s="3989"/>
      <c r="O79" s="3989"/>
      <c r="P79" s="3989"/>
      <c r="Q79" s="3990"/>
      <c r="R79" s="3988" t="s">
        <v>760</v>
      </c>
      <c r="S79" s="3989"/>
      <c r="T79" s="3990"/>
      <c r="U79" s="4001">
        <v>10.1</v>
      </c>
      <c r="V79" s="4002"/>
      <c r="W79" s="4003"/>
      <c r="X79" s="4001">
        <v>13.7</v>
      </c>
      <c r="Y79" s="4002"/>
      <c r="Z79" s="4003"/>
      <c r="AA79" s="4001">
        <v>9.6999999999999993</v>
      </c>
      <c r="AB79" s="4002"/>
      <c r="AC79" s="4003"/>
      <c r="AD79" s="4001">
        <v>15.8</v>
      </c>
      <c r="AE79" s="4002"/>
      <c r="AF79" s="4003"/>
    </row>
    <row r="80" spans="1:35" s="244" customFormat="1" ht="14.45" customHeight="1" x14ac:dyDescent="0.25">
      <c r="A80" s="4006"/>
      <c r="B80" s="3704"/>
      <c r="C80" s="4007"/>
      <c r="D80" s="3988"/>
      <c r="E80" s="3989"/>
      <c r="F80" s="3989"/>
      <c r="G80" s="3990"/>
      <c r="H80" s="3988"/>
      <c r="I80" s="3989"/>
      <c r="J80" s="3989"/>
      <c r="K80" s="3990"/>
      <c r="L80" s="3988" t="s">
        <v>691</v>
      </c>
      <c r="M80" s="3989"/>
      <c r="N80" s="3989"/>
      <c r="O80" s="3989"/>
      <c r="P80" s="3989"/>
      <c r="Q80" s="3990"/>
      <c r="R80" s="3988" t="s">
        <v>760</v>
      </c>
      <c r="S80" s="3989"/>
      <c r="T80" s="3990"/>
      <c r="U80" s="4001">
        <v>10.1</v>
      </c>
      <c r="V80" s="4002"/>
      <c r="W80" s="4003"/>
      <c r="X80" s="4001">
        <v>13.7</v>
      </c>
      <c r="Y80" s="4002"/>
      <c r="Z80" s="4003"/>
      <c r="AA80" s="4001">
        <v>9.6999999999999993</v>
      </c>
      <c r="AB80" s="4002"/>
      <c r="AC80" s="4003"/>
      <c r="AD80" s="4001">
        <v>16.100000000000001</v>
      </c>
      <c r="AE80" s="4002"/>
      <c r="AF80" s="4003"/>
    </row>
    <row r="81" spans="1:32" s="244" customFormat="1" ht="14.45" customHeight="1" x14ac:dyDescent="0.25">
      <c r="A81" s="4008"/>
      <c r="B81" s="4009"/>
      <c r="C81" s="4010"/>
      <c r="D81" s="3988" t="s">
        <v>839</v>
      </c>
      <c r="E81" s="3989"/>
      <c r="F81" s="3989"/>
      <c r="G81" s="3990"/>
      <c r="H81" s="3988" t="s">
        <v>840</v>
      </c>
      <c r="I81" s="3989"/>
      <c r="J81" s="3989"/>
      <c r="K81" s="3990"/>
      <c r="L81" s="3988" t="s">
        <v>234</v>
      </c>
      <c r="M81" s="3989"/>
      <c r="N81" s="3989"/>
      <c r="O81" s="3989"/>
      <c r="P81" s="3989"/>
      <c r="Q81" s="3990"/>
      <c r="R81" s="3988" t="s">
        <v>243</v>
      </c>
      <c r="S81" s="3989"/>
      <c r="T81" s="3990"/>
      <c r="U81" s="4001">
        <v>0.6</v>
      </c>
      <c r="V81" s="4002"/>
      <c r="W81" s="4003"/>
      <c r="X81" s="4001" t="s">
        <v>252</v>
      </c>
      <c r="Y81" s="4002"/>
      <c r="Z81" s="4003"/>
      <c r="AA81" s="4001" t="s">
        <v>252</v>
      </c>
      <c r="AB81" s="4002"/>
      <c r="AC81" s="4003"/>
      <c r="AD81" s="4001" t="s">
        <v>252</v>
      </c>
      <c r="AE81" s="4002"/>
      <c r="AF81" s="4003"/>
    </row>
    <row r="82" spans="1:32" s="244" customFormat="1" ht="14.45" customHeight="1" x14ac:dyDescent="0.25">
      <c r="A82" s="4004" t="s">
        <v>833</v>
      </c>
      <c r="B82" s="3703"/>
      <c r="C82" s="4005"/>
      <c r="D82" s="4004" t="s">
        <v>838</v>
      </c>
      <c r="E82" s="3703"/>
      <c r="F82" s="3703"/>
      <c r="G82" s="4005"/>
      <c r="H82" s="4011" t="s">
        <v>693</v>
      </c>
      <c r="I82" s="4012"/>
      <c r="J82" s="4012"/>
      <c r="K82" s="4013"/>
      <c r="L82" s="3988" t="s">
        <v>844</v>
      </c>
      <c r="M82" s="3989"/>
      <c r="N82" s="3989"/>
      <c r="O82" s="3989"/>
      <c r="P82" s="3989"/>
      <c r="Q82" s="3990"/>
      <c r="R82" s="3988" t="s">
        <v>242</v>
      </c>
      <c r="S82" s="3989"/>
      <c r="T82" s="3990"/>
      <c r="U82" s="4001">
        <v>0.75</v>
      </c>
      <c r="V82" s="4002"/>
      <c r="W82" s="4003"/>
      <c r="X82" s="4001">
        <v>0.6</v>
      </c>
      <c r="Y82" s="4002"/>
      <c r="Z82" s="4003"/>
      <c r="AA82" s="4001">
        <v>0.78</v>
      </c>
      <c r="AB82" s="4002"/>
      <c r="AC82" s="4003"/>
      <c r="AD82" s="4001">
        <v>0.5</v>
      </c>
      <c r="AE82" s="4002"/>
      <c r="AF82" s="4003"/>
    </row>
    <row r="83" spans="1:32" s="244" customFormat="1" ht="14.45" customHeight="1" x14ac:dyDescent="0.25">
      <c r="A83" s="4006"/>
      <c r="B83" s="3704"/>
      <c r="C83" s="4007"/>
      <c r="D83" s="4006"/>
      <c r="E83" s="3704"/>
      <c r="F83" s="3704"/>
      <c r="G83" s="4007"/>
      <c r="H83" s="4014"/>
      <c r="I83" s="4015"/>
      <c r="J83" s="4015"/>
      <c r="K83" s="4016"/>
      <c r="L83" s="3988" t="s">
        <v>845</v>
      </c>
      <c r="M83" s="3989"/>
      <c r="N83" s="3989"/>
      <c r="O83" s="3989"/>
      <c r="P83" s="3989"/>
      <c r="Q83" s="3990"/>
      <c r="R83" s="3988" t="s">
        <v>242</v>
      </c>
      <c r="S83" s="3989"/>
      <c r="T83" s="3990"/>
      <c r="U83" s="4001">
        <v>0.72</v>
      </c>
      <c r="V83" s="4002"/>
      <c r="W83" s="4003"/>
      <c r="X83" s="4001">
        <v>0.56000000000000005</v>
      </c>
      <c r="Y83" s="4002"/>
      <c r="Z83" s="4003"/>
      <c r="AA83" s="4001">
        <v>0.75</v>
      </c>
      <c r="AB83" s="4002"/>
      <c r="AC83" s="4003"/>
      <c r="AD83" s="4001">
        <v>0.49</v>
      </c>
      <c r="AE83" s="4002"/>
      <c r="AF83" s="4003"/>
    </row>
    <row r="84" spans="1:32" s="244" customFormat="1" ht="14.45" customHeight="1" x14ac:dyDescent="0.25">
      <c r="A84" s="4006"/>
      <c r="B84" s="3704"/>
      <c r="C84" s="4007"/>
      <c r="D84" s="4006"/>
      <c r="E84" s="3704"/>
      <c r="F84" s="3704"/>
      <c r="G84" s="4007"/>
      <c r="H84" s="4014"/>
      <c r="I84" s="4015"/>
      <c r="J84" s="4015"/>
      <c r="K84" s="4016"/>
      <c r="L84" s="3988" t="s">
        <v>846</v>
      </c>
      <c r="M84" s="3989"/>
      <c r="N84" s="3989"/>
      <c r="O84" s="3989"/>
      <c r="P84" s="3989"/>
      <c r="Q84" s="3990"/>
      <c r="R84" s="3988" t="s">
        <v>242</v>
      </c>
      <c r="S84" s="3989"/>
      <c r="T84" s="3990"/>
      <c r="U84" s="4001">
        <v>0.66</v>
      </c>
      <c r="V84" s="4002"/>
      <c r="W84" s="4003"/>
      <c r="X84" s="4001">
        <v>0.54</v>
      </c>
      <c r="Y84" s="4002"/>
      <c r="Z84" s="4003"/>
      <c r="AA84" s="4001">
        <v>0.68</v>
      </c>
      <c r="AB84" s="4002"/>
      <c r="AC84" s="4003"/>
      <c r="AD84" s="4001">
        <v>0.44</v>
      </c>
      <c r="AE84" s="4002"/>
      <c r="AF84" s="4003"/>
    </row>
    <row r="85" spans="1:32" s="244" customFormat="1" ht="14.45" customHeight="1" x14ac:dyDescent="0.25">
      <c r="A85" s="4006"/>
      <c r="B85" s="3704"/>
      <c r="C85" s="4007"/>
      <c r="D85" s="4006"/>
      <c r="E85" s="3704"/>
      <c r="F85" s="3704"/>
      <c r="G85" s="4007"/>
      <c r="H85" s="4014"/>
      <c r="I85" s="4015"/>
      <c r="J85" s="4015"/>
      <c r="K85" s="4016"/>
      <c r="L85" s="3988" t="s">
        <v>847</v>
      </c>
      <c r="M85" s="3989"/>
      <c r="N85" s="3989"/>
      <c r="O85" s="3989"/>
      <c r="P85" s="3989"/>
      <c r="Q85" s="3990"/>
      <c r="R85" s="3988" t="s">
        <v>242</v>
      </c>
      <c r="S85" s="3989"/>
      <c r="T85" s="3990"/>
      <c r="U85" s="4001">
        <v>0.61</v>
      </c>
      <c r="V85" s="4002"/>
      <c r="W85" s="4003"/>
      <c r="X85" s="4001">
        <v>0.52</v>
      </c>
      <c r="Y85" s="4002"/>
      <c r="Z85" s="4003"/>
      <c r="AA85" s="4001">
        <v>0.625</v>
      </c>
      <c r="AB85" s="4002"/>
      <c r="AC85" s="4003"/>
      <c r="AD85" s="4001">
        <v>0.41</v>
      </c>
      <c r="AE85" s="4002"/>
      <c r="AF85" s="4003"/>
    </row>
    <row r="86" spans="1:32" s="244" customFormat="1" ht="14.45" customHeight="1" x14ac:dyDescent="0.25">
      <c r="A86" s="4006"/>
      <c r="B86" s="3704"/>
      <c r="C86" s="4007"/>
      <c r="D86" s="4006"/>
      <c r="E86" s="3704"/>
      <c r="F86" s="3704"/>
      <c r="G86" s="4007"/>
      <c r="H86" s="4017"/>
      <c r="I86" s="4018"/>
      <c r="J86" s="4018"/>
      <c r="K86" s="4019"/>
      <c r="L86" s="3988" t="s">
        <v>692</v>
      </c>
      <c r="M86" s="3989"/>
      <c r="N86" s="3989"/>
      <c r="O86" s="3989"/>
      <c r="P86" s="3989"/>
      <c r="Q86" s="3990"/>
      <c r="R86" s="3988" t="s">
        <v>242</v>
      </c>
      <c r="S86" s="3989"/>
      <c r="T86" s="3990"/>
      <c r="U86" s="4001">
        <v>0.56000000000000005</v>
      </c>
      <c r="V86" s="4002"/>
      <c r="W86" s="4003"/>
      <c r="X86" s="4001">
        <v>0.5</v>
      </c>
      <c r="Y86" s="4002"/>
      <c r="Z86" s="4003"/>
      <c r="AA86" s="4001">
        <v>0.58499999999999996</v>
      </c>
      <c r="AB86" s="4002"/>
      <c r="AC86" s="4003"/>
      <c r="AD86" s="4001">
        <v>0.38</v>
      </c>
      <c r="AE86" s="4002"/>
      <c r="AF86" s="4003"/>
    </row>
    <row r="87" spans="1:32" s="244" customFormat="1" ht="14.45" customHeight="1" x14ac:dyDescent="0.25">
      <c r="A87" s="4006"/>
      <c r="B87" s="3704"/>
      <c r="C87" s="4007"/>
      <c r="D87" s="4006"/>
      <c r="E87" s="3704"/>
      <c r="F87" s="3704"/>
      <c r="G87" s="4007"/>
      <c r="H87" s="4004" t="s">
        <v>235</v>
      </c>
      <c r="I87" s="3703"/>
      <c r="J87" s="3703"/>
      <c r="K87" s="4005"/>
      <c r="L87" s="3988" t="s">
        <v>237</v>
      </c>
      <c r="M87" s="3989"/>
      <c r="N87" s="3989"/>
      <c r="O87" s="3989"/>
      <c r="P87" s="3989"/>
      <c r="Q87" s="3990"/>
      <c r="R87" s="3988" t="s">
        <v>242</v>
      </c>
      <c r="S87" s="3989"/>
      <c r="T87" s="3990"/>
      <c r="U87" s="4001">
        <v>0.61</v>
      </c>
      <c r="V87" s="4002"/>
      <c r="W87" s="4003"/>
      <c r="X87" s="4001">
        <v>0.55000000000000004</v>
      </c>
      <c r="Y87" s="4002"/>
      <c r="Z87" s="4003"/>
      <c r="AA87" s="4001">
        <v>0.69499999999999995</v>
      </c>
      <c r="AB87" s="4002"/>
      <c r="AC87" s="4003"/>
      <c r="AD87" s="4001">
        <v>0.44</v>
      </c>
      <c r="AE87" s="4002"/>
      <c r="AF87" s="4003"/>
    </row>
    <row r="88" spans="1:32" s="244" customFormat="1" ht="14.45" customHeight="1" x14ac:dyDescent="0.25">
      <c r="A88" s="4006"/>
      <c r="B88" s="3704"/>
      <c r="C88" s="4007"/>
      <c r="D88" s="4006"/>
      <c r="E88" s="3704"/>
      <c r="F88" s="3704"/>
      <c r="G88" s="4007"/>
      <c r="H88" s="4006"/>
      <c r="I88" s="3704"/>
      <c r="J88" s="3704"/>
      <c r="K88" s="4007"/>
      <c r="L88" s="3988" t="s">
        <v>846</v>
      </c>
      <c r="M88" s="3989"/>
      <c r="N88" s="3989"/>
      <c r="O88" s="3989"/>
      <c r="P88" s="3989"/>
      <c r="Q88" s="3990"/>
      <c r="R88" s="3988" t="s">
        <v>242</v>
      </c>
      <c r="S88" s="3989"/>
      <c r="T88" s="3990"/>
      <c r="U88" s="4001">
        <v>0.61</v>
      </c>
      <c r="V88" s="4002"/>
      <c r="W88" s="4003"/>
      <c r="X88" s="4001">
        <v>0.55000000000000004</v>
      </c>
      <c r="Y88" s="4002"/>
      <c r="Z88" s="4003"/>
      <c r="AA88" s="4001">
        <v>0.63500000000000001</v>
      </c>
      <c r="AB88" s="4002"/>
      <c r="AC88" s="4003"/>
      <c r="AD88" s="4001">
        <v>0.4</v>
      </c>
      <c r="AE88" s="4002"/>
      <c r="AF88" s="4003"/>
    </row>
    <row r="89" spans="1:32" s="244" customFormat="1" ht="14.45" customHeight="1" x14ac:dyDescent="0.25">
      <c r="A89" s="4006"/>
      <c r="B89" s="3704"/>
      <c r="C89" s="4007"/>
      <c r="D89" s="4006"/>
      <c r="E89" s="3704"/>
      <c r="F89" s="3704"/>
      <c r="G89" s="4007"/>
      <c r="H89" s="4006"/>
      <c r="I89" s="3704"/>
      <c r="J89" s="3704"/>
      <c r="K89" s="4007"/>
      <c r="L89" s="3988" t="s">
        <v>848</v>
      </c>
      <c r="M89" s="3989"/>
      <c r="N89" s="3989"/>
      <c r="O89" s="3989"/>
      <c r="P89" s="3989"/>
      <c r="Q89" s="3990"/>
      <c r="R89" s="3988" t="s">
        <v>242</v>
      </c>
      <c r="S89" s="3989"/>
      <c r="T89" s="3990"/>
      <c r="U89" s="4001">
        <v>0.56000000000000005</v>
      </c>
      <c r="V89" s="4002"/>
      <c r="W89" s="4003"/>
      <c r="X89" s="4001">
        <v>0.52</v>
      </c>
      <c r="Y89" s="4002"/>
      <c r="Z89" s="4003"/>
      <c r="AA89" s="4001">
        <v>0.59499999999999997</v>
      </c>
      <c r="AB89" s="4002"/>
      <c r="AC89" s="4003"/>
      <c r="AD89" s="4001">
        <v>0.39</v>
      </c>
      <c r="AE89" s="4002"/>
      <c r="AF89" s="4003"/>
    </row>
    <row r="90" spans="1:32" s="244" customFormat="1" ht="14.45" customHeight="1" x14ac:dyDescent="0.25">
      <c r="A90" s="4006"/>
      <c r="B90" s="3704"/>
      <c r="C90" s="4007"/>
      <c r="D90" s="4008"/>
      <c r="E90" s="4009"/>
      <c r="F90" s="4009"/>
      <c r="G90" s="4010"/>
      <c r="H90" s="4008"/>
      <c r="I90" s="4009"/>
      <c r="J90" s="4009"/>
      <c r="K90" s="4010"/>
      <c r="L90" s="3988" t="s">
        <v>849</v>
      </c>
      <c r="M90" s="3989"/>
      <c r="N90" s="3989"/>
      <c r="O90" s="3989"/>
      <c r="P90" s="3989"/>
      <c r="Q90" s="3990"/>
      <c r="R90" s="3988" t="s">
        <v>242</v>
      </c>
      <c r="S90" s="3989"/>
      <c r="T90" s="3990"/>
      <c r="U90" s="4001">
        <v>0.56000000000000005</v>
      </c>
      <c r="V90" s="4002"/>
      <c r="W90" s="4003"/>
      <c r="X90" s="4001">
        <v>0.5</v>
      </c>
      <c r="Y90" s="4002"/>
      <c r="Z90" s="4003"/>
      <c r="AA90" s="4001">
        <v>0.58499999999999996</v>
      </c>
      <c r="AB90" s="4002"/>
      <c r="AC90" s="4003"/>
      <c r="AD90" s="4001">
        <v>0.38</v>
      </c>
      <c r="AE90" s="4002"/>
      <c r="AF90" s="4003"/>
    </row>
    <row r="91" spans="1:32" s="244" customFormat="1" ht="14.45" customHeight="1" x14ac:dyDescent="0.25">
      <c r="A91" s="4006"/>
      <c r="B91" s="3704"/>
      <c r="C91" s="4007"/>
      <c r="D91" s="3988" t="s">
        <v>839</v>
      </c>
      <c r="E91" s="3989"/>
      <c r="F91" s="3989"/>
      <c r="G91" s="3990"/>
      <c r="H91" s="3988" t="s">
        <v>840</v>
      </c>
      <c r="I91" s="3989"/>
      <c r="J91" s="3989"/>
      <c r="K91" s="3990"/>
      <c r="L91" s="3988" t="s">
        <v>234</v>
      </c>
      <c r="M91" s="3989"/>
      <c r="N91" s="3989"/>
      <c r="O91" s="3989"/>
      <c r="P91" s="3989"/>
      <c r="Q91" s="3990"/>
      <c r="R91" s="3988" t="s">
        <v>243</v>
      </c>
      <c r="S91" s="3989"/>
      <c r="T91" s="3990"/>
      <c r="U91" s="4001">
        <v>0.7</v>
      </c>
      <c r="V91" s="4002"/>
      <c r="W91" s="4003"/>
      <c r="X91" s="4001" t="s">
        <v>252</v>
      </c>
      <c r="Y91" s="4002"/>
      <c r="Z91" s="4003"/>
      <c r="AA91" s="4001" t="s">
        <v>252</v>
      </c>
      <c r="AB91" s="4002"/>
      <c r="AC91" s="4003"/>
      <c r="AD91" s="4001" t="s">
        <v>252</v>
      </c>
      <c r="AE91" s="4002"/>
      <c r="AF91" s="4003"/>
    </row>
    <row r="92" spans="1:32" s="244" customFormat="1" ht="14.45" customHeight="1" x14ac:dyDescent="0.25">
      <c r="A92" s="4008"/>
      <c r="B92" s="4009"/>
      <c r="C92" s="4010"/>
      <c r="D92" s="3988" t="s">
        <v>839</v>
      </c>
      <c r="E92" s="3989"/>
      <c r="F92" s="3989"/>
      <c r="G92" s="3990"/>
      <c r="H92" s="3988" t="s">
        <v>841</v>
      </c>
      <c r="I92" s="3989"/>
      <c r="J92" s="3989"/>
      <c r="K92" s="3990"/>
      <c r="L92" s="3988" t="s">
        <v>842</v>
      </c>
      <c r="M92" s="3989"/>
      <c r="N92" s="3989"/>
      <c r="O92" s="3989"/>
      <c r="P92" s="3989"/>
      <c r="Q92" s="3990"/>
      <c r="R92" s="3988" t="s">
        <v>243</v>
      </c>
      <c r="S92" s="3989"/>
      <c r="T92" s="3990"/>
      <c r="U92" s="4001">
        <v>1</v>
      </c>
      <c r="V92" s="4002"/>
      <c r="W92" s="4003"/>
      <c r="X92" s="4001">
        <v>1.05</v>
      </c>
      <c r="Y92" s="4002"/>
      <c r="Z92" s="4003"/>
      <c r="AA92" s="4001" t="s">
        <v>252</v>
      </c>
      <c r="AB92" s="4002"/>
      <c r="AC92" s="4003"/>
      <c r="AD92" s="4001" t="s">
        <v>252</v>
      </c>
      <c r="AE92" s="4002"/>
      <c r="AF92" s="4003"/>
    </row>
    <row r="93" spans="1:32" s="8" customFormat="1" ht="28.9" customHeight="1" x14ac:dyDescent="0.25">
      <c r="A93" s="4000" t="s">
        <v>761</v>
      </c>
      <c r="B93" s="4000"/>
      <c r="C93" s="4000"/>
      <c r="D93" s="4000"/>
      <c r="E93" s="4000"/>
      <c r="F93" s="4000"/>
      <c r="G93" s="4000"/>
      <c r="H93" s="4000"/>
      <c r="I93" s="4000"/>
      <c r="J93" s="4000"/>
      <c r="K93" s="4000"/>
      <c r="L93" s="4000"/>
      <c r="M93" s="4000"/>
      <c r="N93" s="4000"/>
      <c r="O93" s="4000"/>
      <c r="P93" s="4000"/>
      <c r="Q93" s="4000"/>
      <c r="R93" s="4000"/>
      <c r="S93" s="4000"/>
      <c r="T93" s="4000"/>
      <c r="U93" s="4000"/>
      <c r="V93" s="4000"/>
      <c r="W93" s="4000"/>
      <c r="X93" s="4000"/>
      <c r="Y93" s="4000"/>
      <c r="Z93" s="4000"/>
      <c r="AA93" s="4000"/>
      <c r="AB93" s="4000"/>
      <c r="AC93" s="4000"/>
      <c r="AD93" s="4000"/>
      <c r="AE93" s="4000"/>
      <c r="AF93" s="4000"/>
    </row>
    <row r="94" spans="1:32" s="8" customFormat="1" ht="14.45" customHeight="1" x14ac:dyDescent="0.25"/>
    <row r="95" spans="1:32" s="8" customFormat="1" x14ac:dyDescent="0.25">
      <c r="A95" s="249" t="s">
        <v>852</v>
      </c>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row>
    <row r="96" spans="1:32" s="8" customFormat="1" ht="14.45" customHeight="1" x14ac:dyDescent="0.25">
      <c r="A96" s="3982" t="s">
        <v>54</v>
      </c>
      <c r="B96" s="3982"/>
      <c r="C96" s="3982"/>
      <c r="D96" s="3982"/>
      <c r="E96" s="2118" t="s">
        <v>233</v>
      </c>
      <c r="F96" s="2118"/>
      <c r="G96" s="2118"/>
      <c r="H96" s="2118"/>
      <c r="I96" s="2119" t="s">
        <v>236</v>
      </c>
      <c r="J96" s="2119"/>
      <c r="K96" s="2119"/>
      <c r="L96" s="2119"/>
      <c r="M96" s="2119"/>
      <c r="N96" s="2119"/>
      <c r="O96" s="2119"/>
      <c r="P96" s="2119"/>
      <c r="Q96" s="2119"/>
      <c r="R96" s="2119"/>
      <c r="S96" s="2119"/>
      <c r="T96" s="2119"/>
      <c r="U96" s="2119" t="s">
        <v>235</v>
      </c>
      <c r="V96" s="2119"/>
      <c r="W96" s="2119"/>
      <c r="X96" s="2119"/>
      <c r="Y96" s="2119"/>
      <c r="Z96" s="2119"/>
      <c r="AA96" s="2119"/>
      <c r="AB96" s="2119"/>
      <c r="AC96" s="2119"/>
      <c r="AD96" s="2119"/>
      <c r="AE96" s="2119"/>
      <c r="AF96" s="2119"/>
    </row>
    <row r="97" spans="1:32" s="8" customFormat="1" x14ac:dyDescent="0.25">
      <c r="A97" s="3982"/>
      <c r="B97" s="3982"/>
      <c r="C97" s="3982"/>
      <c r="D97" s="3982"/>
      <c r="E97" s="2119" t="s">
        <v>234</v>
      </c>
      <c r="F97" s="2119"/>
      <c r="G97" s="2119"/>
      <c r="H97" s="2119"/>
      <c r="I97" s="2119" t="s">
        <v>237</v>
      </c>
      <c r="J97" s="2119"/>
      <c r="K97" s="2119"/>
      <c r="L97" s="2119"/>
      <c r="M97" s="2119" t="s">
        <v>238</v>
      </c>
      <c r="N97" s="2119"/>
      <c r="O97" s="2119"/>
      <c r="P97" s="2119"/>
      <c r="Q97" s="2119" t="s">
        <v>239</v>
      </c>
      <c r="R97" s="2119"/>
      <c r="S97" s="2119"/>
      <c r="T97" s="2119"/>
      <c r="U97" s="2119" t="s">
        <v>237</v>
      </c>
      <c r="V97" s="2119"/>
      <c r="W97" s="2119"/>
      <c r="X97" s="2119"/>
      <c r="Y97" s="2119" t="s">
        <v>238</v>
      </c>
      <c r="Z97" s="2119"/>
      <c r="AA97" s="2119"/>
      <c r="AB97" s="2119"/>
      <c r="AC97" s="2119" t="s">
        <v>239</v>
      </c>
      <c r="AD97" s="2119"/>
      <c r="AE97" s="2119"/>
      <c r="AF97" s="2119"/>
    </row>
    <row r="98" spans="1:32" s="8" customFormat="1" ht="28.9" customHeight="1" x14ac:dyDescent="0.25">
      <c r="A98" s="3974" t="s">
        <v>220</v>
      </c>
      <c r="B98" s="3974"/>
      <c r="C98" s="3974"/>
      <c r="D98" s="3974"/>
      <c r="E98" s="3973">
        <v>0.50952533333333316</v>
      </c>
      <c r="F98" s="3973"/>
      <c r="G98" s="3973"/>
      <c r="H98" s="3973"/>
      <c r="I98" s="3973">
        <v>0.52298377777777794</v>
      </c>
      <c r="J98" s="3973"/>
      <c r="K98" s="3973"/>
      <c r="L98" s="3973"/>
      <c r="M98" s="3973">
        <v>0.53871688888888869</v>
      </c>
      <c r="N98" s="3973"/>
      <c r="O98" s="3973"/>
      <c r="P98" s="3973"/>
      <c r="Q98" s="3973">
        <v>0.54212888888888888</v>
      </c>
      <c r="R98" s="3973"/>
      <c r="S98" s="3973"/>
      <c r="T98" s="3973"/>
      <c r="U98" s="3973">
        <v>0.57814444444444435</v>
      </c>
      <c r="V98" s="3973"/>
      <c r="W98" s="3973"/>
      <c r="X98" s="3973"/>
      <c r="Y98" s="3973">
        <v>0.57861833333333301</v>
      </c>
      <c r="Z98" s="3973"/>
      <c r="AA98" s="3973"/>
      <c r="AB98" s="3973"/>
      <c r="AC98" s="3973">
        <v>0.57814444444444446</v>
      </c>
      <c r="AD98" s="3973"/>
      <c r="AE98" s="3973"/>
      <c r="AF98" s="3973"/>
    </row>
    <row r="99" spans="1:32" s="8" customFormat="1" ht="14.45" customHeight="1" x14ac:dyDescent="0.25">
      <c r="A99" s="3974" t="s">
        <v>221</v>
      </c>
      <c r="B99" s="3974"/>
      <c r="C99" s="3974"/>
      <c r="D99" s="3974"/>
      <c r="E99" s="3973">
        <v>0.57321599999999984</v>
      </c>
      <c r="F99" s="3973"/>
      <c r="G99" s="3973"/>
      <c r="H99" s="3973"/>
      <c r="I99" s="3973">
        <v>0.5904655555555558</v>
      </c>
      <c r="J99" s="3973"/>
      <c r="K99" s="3973"/>
      <c r="L99" s="3973"/>
      <c r="M99" s="3973">
        <v>0.60373444444444424</v>
      </c>
      <c r="N99" s="3973"/>
      <c r="O99" s="3973"/>
      <c r="P99" s="3973"/>
      <c r="Q99" s="3973">
        <v>0.6151077777777777</v>
      </c>
      <c r="R99" s="3973"/>
      <c r="S99" s="3973"/>
      <c r="T99" s="3973"/>
      <c r="U99" s="3973">
        <v>0.65396666666666659</v>
      </c>
      <c r="V99" s="3973"/>
      <c r="W99" s="3973"/>
      <c r="X99" s="3973"/>
      <c r="Y99" s="3973">
        <v>0.65226066666666627</v>
      </c>
      <c r="Z99" s="3973"/>
      <c r="AA99" s="3973"/>
      <c r="AB99" s="3973"/>
      <c r="AC99" s="3973">
        <v>0.65908466666666665</v>
      </c>
      <c r="AD99" s="3973"/>
      <c r="AE99" s="3973"/>
      <c r="AF99" s="3973"/>
    </row>
    <row r="100" spans="1:32" s="8" customFormat="1" ht="14.45" customHeight="1" x14ac:dyDescent="0.25">
      <c r="A100" s="3974" t="s">
        <v>222</v>
      </c>
      <c r="B100" s="3974"/>
      <c r="C100" s="3974"/>
      <c r="D100" s="3974"/>
      <c r="E100" s="3973">
        <v>0.66875199999999979</v>
      </c>
      <c r="F100" s="3973"/>
      <c r="G100" s="3973"/>
      <c r="H100" s="3973"/>
      <c r="I100" s="3973">
        <v>0.69168822222222248</v>
      </c>
      <c r="J100" s="3973"/>
      <c r="K100" s="3973"/>
      <c r="L100" s="3973"/>
      <c r="M100" s="3973">
        <v>0.70590488888888858</v>
      </c>
      <c r="N100" s="3973"/>
      <c r="O100" s="3973"/>
      <c r="P100" s="3973"/>
      <c r="Q100" s="3973">
        <v>0.70893777777777778</v>
      </c>
      <c r="R100" s="3973"/>
      <c r="S100" s="3973"/>
      <c r="T100" s="3973"/>
      <c r="U100" s="3973">
        <v>0.75822222222222213</v>
      </c>
      <c r="V100" s="3973"/>
      <c r="W100" s="3973"/>
      <c r="X100" s="3973"/>
      <c r="Y100" s="3973">
        <v>0.75746399999999947</v>
      </c>
      <c r="Z100" s="3973"/>
      <c r="AA100" s="3973"/>
      <c r="AB100" s="3973"/>
      <c r="AC100" s="3973">
        <v>0.76315066666666664</v>
      </c>
      <c r="AD100" s="3973"/>
      <c r="AE100" s="3973"/>
      <c r="AF100" s="3973"/>
    </row>
    <row r="101" spans="1:32" s="8" customFormat="1" ht="14.45" customHeight="1" x14ac:dyDescent="0.25">
      <c r="A101" s="3974" t="s">
        <v>223</v>
      </c>
      <c r="B101" s="3974"/>
      <c r="C101" s="3974"/>
      <c r="D101" s="3974"/>
      <c r="E101" s="3973">
        <v>0.44583466666666655</v>
      </c>
      <c r="F101" s="3973"/>
      <c r="G101" s="3973"/>
      <c r="H101" s="3973"/>
      <c r="I101" s="3973">
        <v>0.45550200000000013</v>
      </c>
      <c r="J101" s="3973"/>
      <c r="K101" s="3973"/>
      <c r="L101" s="3973"/>
      <c r="M101" s="3973">
        <v>0.46441111111111094</v>
      </c>
      <c r="N101" s="3973"/>
      <c r="O101" s="3973"/>
      <c r="P101" s="3973"/>
      <c r="Q101" s="3973">
        <v>0.46914999999999996</v>
      </c>
      <c r="R101" s="3973"/>
      <c r="S101" s="3973"/>
      <c r="T101" s="3973"/>
      <c r="U101" s="3973">
        <v>0.50232222222222211</v>
      </c>
      <c r="V101" s="3973"/>
      <c r="W101" s="3973"/>
      <c r="X101" s="3973"/>
      <c r="Y101" s="3973">
        <v>0.50497599999999976</v>
      </c>
      <c r="Z101" s="3973"/>
      <c r="AA101" s="3973"/>
      <c r="AB101" s="3973"/>
      <c r="AC101" s="3973">
        <v>0.50876711111111106</v>
      </c>
      <c r="AD101" s="3973"/>
      <c r="AE101" s="3973"/>
      <c r="AF101" s="3973"/>
    </row>
    <row r="102" spans="1:32" s="8" customFormat="1" ht="14.45" customHeight="1" x14ac:dyDescent="0.25">
      <c r="A102" s="3974" t="s">
        <v>224</v>
      </c>
      <c r="B102" s="3974"/>
      <c r="C102" s="3974"/>
      <c r="D102" s="3974"/>
      <c r="E102" s="3973">
        <v>0.56525466666666646</v>
      </c>
      <c r="F102" s="3973"/>
      <c r="G102" s="3973"/>
      <c r="H102" s="3973"/>
      <c r="I102" s="3973">
        <v>0.58203033333333354</v>
      </c>
      <c r="J102" s="3973"/>
      <c r="K102" s="3973"/>
      <c r="L102" s="3973"/>
      <c r="M102" s="3973">
        <v>0.59444622222222199</v>
      </c>
      <c r="N102" s="3973"/>
      <c r="O102" s="3973"/>
      <c r="P102" s="3973"/>
      <c r="Q102" s="3973">
        <v>0.60468222222222223</v>
      </c>
      <c r="R102" s="3973"/>
      <c r="S102" s="3973"/>
      <c r="T102" s="3973"/>
      <c r="U102" s="3973">
        <v>0.64448888888888889</v>
      </c>
      <c r="V102" s="3973"/>
      <c r="W102" s="3973"/>
      <c r="X102" s="3973"/>
      <c r="Y102" s="3973">
        <v>0.64174033333333291</v>
      </c>
      <c r="Z102" s="3973"/>
      <c r="AA102" s="3973"/>
      <c r="AB102" s="3973"/>
      <c r="AC102" s="3973">
        <v>0.64752177777777775</v>
      </c>
      <c r="AD102" s="3973"/>
      <c r="AE102" s="3973"/>
      <c r="AF102" s="3973"/>
    </row>
    <row r="103" spans="1:32" s="8" customFormat="1" ht="14.45" customHeight="1" x14ac:dyDescent="0.25">
      <c r="A103" s="3974" t="s">
        <v>225</v>
      </c>
      <c r="B103" s="3974"/>
      <c r="C103" s="3974"/>
      <c r="D103" s="3974"/>
      <c r="E103" s="3973">
        <v>0.43787333333333323</v>
      </c>
      <c r="F103" s="3973"/>
      <c r="G103" s="3973"/>
      <c r="H103" s="3973"/>
      <c r="I103" s="3973">
        <v>0.44706677777777792</v>
      </c>
      <c r="J103" s="3973"/>
      <c r="K103" s="3973"/>
      <c r="L103" s="3973"/>
      <c r="M103" s="3973">
        <v>0.45512288888888869</v>
      </c>
      <c r="N103" s="3973"/>
      <c r="O103" s="3973"/>
      <c r="P103" s="3973"/>
      <c r="Q103" s="3973">
        <v>0.45872444444444438</v>
      </c>
      <c r="R103" s="3973"/>
      <c r="S103" s="3973"/>
      <c r="T103" s="3973"/>
      <c r="U103" s="3973">
        <v>0.49284444444444436</v>
      </c>
      <c r="V103" s="3973"/>
      <c r="W103" s="3973"/>
      <c r="X103" s="3973"/>
      <c r="Y103" s="3973">
        <v>0.4944556666666664</v>
      </c>
      <c r="Z103" s="3973"/>
      <c r="AA103" s="3973"/>
      <c r="AB103" s="3973"/>
      <c r="AC103" s="3973">
        <v>0.49720422222222216</v>
      </c>
      <c r="AD103" s="3973"/>
      <c r="AE103" s="3973"/>
      <c r="AF103" s="3973"/>
    </row>
    <row r="104" spans="1:32" s="8" customFormat="1" ht="14.45" customHeight="1" x14ac:dyDescent="0.25">
      <c r="A104" s="3974" t="s">
        <v>226</v>
      </c>
      <c r="B104" s="3974"/>
      <c r="C104" s="3974"/>
      <c r="D104" s="3974"/>
      <c r="E104" s="3973">
        <v>0.50952533333333316</v>
      </c>
      <c r="F104" s="3973"/>
      <c r="G104" s="3973"/>
      <c r="H104" s="3973"/>
      <c r="I104" s="3973">
        <v>0.52298377777777794</v>
      </c>
      <c r="J104" s="3973"/>
      <c r="K104" s="3973"/>
      <c r="L104" s="3973"/>
      <c r="M104" s="3973">
        <v>0.53871688888888869</v>
      </c>
      <c r="N104" s="3973"/>
      <c r="O104" s="3973"/>
      <c r="P104" s="3973"/>
      <c r="Q104" s="3973">
        <v>0.54212888888888888</v>
      </c>
      <c r="R104" s="3973"/>
      <c r="S104" s="3973"/>
      <c r="T104" s="3973"/>
      <c r="U104" s="3973">
        <v>0.57814444444444435</v>
      </c>
      <c r="V104" s="3973"/>
      <c r="W104" s="3973"/>
      <c r="X104" s="3973"/>
      <c r="Y104" s="3973">
        <v>0.57861833333333301</v>
      </c>
      <c r="Z104" s="3973"/>
      <c r="AA104" s="3973"/>
      <c r="AB104" s="3973"/>
      <c r="AC104" s="3973">
        <v>0.57814444444444446</v>
      </c>
      <c r="AD104" s="3973"/>
      <c r="AE104" s="3973"/>
      <c r="AF104" s="3973"/>
    </row>
    <row r="105" spans="1:32" s="8" customFormat="1" ht="14.45" customHeight="1" x14ac:dyDescent="0.25">
      <c r="A105" s="3974" t="s">
        <v>55</v>
      </c>
      <c r="B105" s="3974"/>
      <c r="C105" s="3974"/>
      <c r="D105" s="3974"/>
      <c r="E105" s="3973">
        <v>0.38214399999999987</v>
      </c>
      <c r="F105" s="3973"/>
      <c r="G105" s="3973"/>
      <c r="H105" s="3973"/>
      <c r="I105" s="3973">
        <v>0.39645544444444458</v>
      </c>
      <c r="J105" s="3973"/>
      <c r="K105" s="3973"/>
      <c r="L105" s="3973"/>
      <c r="M105" s="3973">
        <v>0.39939355555555534</v>
      </c>
      <c r="N105" s="3973"/>
      <c r="O105" s="3973"/>
      <c r="P105" s="3973"/>
      <c r="Q105" s="3973">
        <v>0.40659666666666666</v>
      </c>
      <c r="R105" s="3973"/>
      <c r="S105" s="3973"/>
      <c r="T105" s="3973"/>
      <c r="U105" s="3973">
        <v>0.43597777777777769</v>
      </c>
      <c r="V105" s="3973"/>
      <c r="W105" s="3973"/>
      <c r="X105" s="3973"/>
      <c r="Y105" s="3973">
        <v>0.43133366666666645</v>
      </c>
      <c r="Z105" s="3973"/>
      <c r="AA105" s="3973"/>
      <c r="AB105" s="3973"/>
      <c r="AC105" s="3973">
        <v>0.43938977777777771</v>
      </c>
      <c r="AD105" s="3973"/>
      <c r="AE105" s="3973"/>
      <c r="AF105" s="3973"/>
    </row>
    <row r="106" spans="1:32" s="8" customFormat="1" ht="14.45" customHeight="1" x14ac:dyDescent="0.25">
      <c r="A106" s="3974" t="s">
        <v>227</v>
      </c>
      <c r="B106" s="3974"/>
      <c r="C106" s="3974"/>
      <c r="D106" s="3974"/>
      <c r="E106" s="3973">
        <v>0.44583466666666655</v>
      </c>
      <c r="F106" s="3973"/>
      <c r="G106" s="3973"/>
      <c r="H106" s="3973"/>
      <c r="I106" s="3973">
        <v>0.45550200000000013</v>
      </c>
      <c r="J106" s="3973"/>
      <c r="K106" s="3973"/>
      <c r="L106" s="3973"/>
      <c r="M106" s="3973">
        <v>0.46441111111111094</v>
      </c>
      <c r="N106" s="3973"/>
      <c r="O106" s="3973"/>
      <c r="P106" s="3973"/>
      <c r="Q106" s="3973">
        <v>0.46914999999999996</v>
      </c>
      <c r="R106" s="3973"/>
      <c r="S106" s="3973"/>
      <c r="T106" s="3973"/>
      <c r="U106" s="3973">
        <v>0.50232222222222211</v>
      </c>
      <c r="V106" s="3973"/>
      <c r="W106" s="3973"/>
      <c r="X106" s="3973"/>
      <c r="Y106" s="3973">
        <v>0.50497599999999976</v>
      </c>
      <c r="Z106" s="3973"/>
      <c r="AA106" s="3973"/>
      <c r="AB106" s="3973"/>
      <c r="AC106" s="3973">
        <v>0.50876711111111106</v>
      </c>
      <c r="AD106" s="3973"/>
      <c r="AE106" s="3973"/>
      <c r="AF106" s="3973"/>
    </row>
    <row r="107" spans="1:32" s="8" customFormat="1" ht="14.45" customHeight="1" x14ac:dyDescent="0.25">
      <c r="A107" s="3974" t="s">
        <v>228</v>
      </c>
      <c r="B107" s="3974"/>
      <c r="C107" s="3974"/>
      <c r="D107" s="3974"/>
      <c r="E107" s="3973">
        <v>0.54933199999999993</v>
      </c>
      <c r="F107" s="3973"/>
      <c r="G107" s="3973"/>
      <c r="H107" s="3973"/>
      <c r="I107" s="3973">
        <v>0.56515988888888913</v>
      </c>
      <c r="J107" s="3973"/>
      <c r="K107" s="3973"/>
      <c r="L107" s="3973"/>
      <c r="M107" s="3973">
        <v>0.57586977777777748</v>
      </c>
      <c r="N107" s="3973"/>
      <c r="O107" s="3973"/>
      <c r="P107" s="3973"/>
      <c r="Q107" s="3973">
        <v>0.58383111111111108</v>
      </c>
      <c r="R107" s="3973"/>
      <c r="S107" s="3973"/>
      <c r="T107" s="3973"/>
      <c r="U107" s="3973">
        <v>0.62553333333333327</v>
      </c>
      <c r="V107" s="3973"/>
      <c r="W107" s="3973"/>
      <c r="X107" s="3973"/>
      <c r="Y107" s="3973">
        <v>0.62069966666666632</v>
      </c>
      <c r="Z107" s="3973"/>
      <c r="AA107" s="3973"/>
      <c r="AB107" s="3973"/>
      <c r="AC107" s="3973">
        <v>0.62439599999999995</v>
      </c>
      <c r="AD107" s="3973"/>
      <c r="AE107" s="3973"/>
      <c r="AF107" s="3973"/>
    </row>
    <row r="108" spans="1:32" s="8" customFormat="1" ht="14.45" customHeight="1" x14ac:dyDescent="0.25">
      <c r="A108" s="3974" t="s">
        <v>229</v>
      </c>
      <c r="B108" s="3974"/>
      <c r="C108" s="3974"/>
      <c r="D108" s="3974"/>
      <c r="E108" s="3973">
        <v>0.5015639999999999</v>
      </c>
      <c r="F108" s="3973"/>
      <c r="G108" s="3973"/>
      <c r="H108" s="3973"/>
      <c r="I108" s="3973">
        <v>0.51454855555555568</v>
      </c>
      <c r="J108" s="3973"/>
      <c r="K108" s="3973"/>
      <c r="L108" s="3973"/>
      <c r="M108" s="3973">
        <v>0.52942866666666644</v>
      </c>
      <c r="N108" s="3973"/>
      <c r="O108" s="3973"/>
      <c r="P108" s="3973"/>
      <c r="Q108" s="3973">
        <v>0.53170333333333331</v>
      </c>
      <c r="R108" s="3973"/>
      <c r="S108" s="3973"/>
      <c r="T108" s="3973"/>
      <c r="U108" s="3973">
        <v>0.56866666666666654</v>
      </c>
      <c r="V108" s="3973"/>
      <c r="W108" s="3973"/>
      <c r="X108" s="3973"/>
      <c r="Y108" s="3973">
        <v>0.56809799999999966</v>
      </c>
      <c r="Z108" s="3973"/>
      <c r="AA108" s="3973"/>
      <c r="AB108" s="3973"/>
      <c r="AC108" s="3973">
        <v>0.57814444444444446</v>
      </c>
      <c r="AD108" s="3973"/>
      <c r="AE108" s="3973"/>
      <c r="AF108" s="3973"/>
    </row>
    <row r="109" spans="1:32" s="8" customFormat="1" x14ac:dyDescent="0.25"/>
    <row r="110" spans="1:32" s="8" customFormat="1" x14ac:dyDescent="0.25">
      <c r="A110" s="247" t="s">
        <v>853</v>
      </c>
    </row>
    <row r="111" spans="1:32" s="8" customFormat="1" x14ac:dyDescent="0.25">
      <c r="A111" s="3976" t="s">
        <v>54</v>
      </c>
      <c r="B111" s="3977"/>
      <c r="C111" s="3977"/>
      <c r="D111" s="3978"/>
      <c r="E111" s="3994" t="s">
        <v>245</v>
      </c>
      <c r="F111" s="3995"/>
      <c r="G111" s="3995"/>
      <c r="H111" s="3995"/>
      <c r="I111" s="3995"/>
      <c r="J111" s="3995"/>
      <c r="K111" s="3995"/>
      <c r="L111" s="3996"/>
    </row>
    <row r="112" spans="1:32" s="8" customFormat="1" x14ac:dyDescent="0.25">
      <c r="A112" s="3979"/>
      <c r="B112" s="3980"/>
      <c r="C112" s="3980"/>
      <c r="D112" s="3981"/>
      <c r="E112" s="3994" t="s">
        <v>762</v>
      </c>
      <c r="F112" s="3995"/>
      <c r="G112" s="3995"/>
      <c r="H112" s="3996"/>
      <c r="I112" s="3994" t="s">
        <v>244</v>
      </c>
      <c r="J112" s="3995"/>
      <c r="K112" s="3995"/>
      <c r="L112" s="3996"/>
    </row>
    <row r="113" spans="1:32" s="8" customFormat="1" ht="28.9" customHeight="1" x14ac:dyDescent="0.25">
      <c r="A113" s="3997" t="s">
        <v>220</v>
      </c>
      <c r="B113" s="3998"/>
      <c r="C113" s="3998"/>
      <c r="D113" s="3999"/>
      <c r="E113" s="3991">
        <v>0.49891022222222237</v>
      </c>
      <c r="F113" s="3992"/>
      <c r="G113" s="3992"/>
      <c r="H113" s="3993"/>
      <c r="I113" s="3991">
        <v>0.50232222222222211</v>
      </c>
      <c r="J113" s="3992"/>
      <c r="K113" s="3992"/>
      <c r="L113" s="3993"/>
    </row>
    <row r="114" spans="1:32" s="8" customFormat="1" x14ac:dyDescent="0.25">
      <c r="A114" s="3988" t="s">
        <v>221</v>
      </c>
      <c r="B114" s="3989"/>
      <c r="C114" s="3989"/>
      <c r="D114" s="3990"/>
      <c r="E114" s="3991">
        <v>0.49891022222222237</v>
      </c>
      <c r="F114" s="3992"/>
      <c r="G114" s="3992"/>
      <c r="H114" s="3993"/>
      <c r="I114" s="3991">
        <v>0.50232222222222211</v>
      </c>
      <c r="J114" s="3992"/>
      <c r="K114" s="3992"/>
      <c r="L114" s="3993"/>
    </row>
    <row r="115" spans="1:32" s="8" customFormat="1" x14ac:dyDescent="0.25">
      <c r="A115" s="3988" t="s">
        <v>222</v>
      </c>
      <c r="B115" s="3989"/>
      <c r="C115" s="3989"/>
      <c r="D115" s="3990"/>
      <c r="E115" s="3991">
        <v>0.20168711111111115</v>
      </c>
      <c r="F115" s="3992"/>
      <c r="G115" s="3992"/>
      <c r="H115" s="3993"/>
      <c r="I115" s="3991">
        <v>0.19903333333333331</v>
      </c>
      <c r="J115" s="3992"/>
      <c r="K115" s="3992"/>
      <c r="L115" s="3993"/>
    </row>
    <row r="116" spans="1:32" s="8" customFormat="1" x14ac:dyDescent="0.25">
      <c r="A116" s="3988" t="s">
        <v>223</v>
      </c>
      <c r="B116" s="3989"/>
      <c r="C116" s="3989"/>
      <c r="D116" s="3990"/>
      <c r="E116" s="3991">
        <v>0.84920888888888912</v>
      </c>
      <c r="F116" s="3992"/>
      <c r="G116" s="3992"/>
      <c r="H116" s="3993"/>
      <c r="I116" s="3991">
        <v>0.84826111111111091</v>
      </c>
      <c r="J116" s="3992"/>
      <c r="K116" s="3992"/>
      <c r="L116" s="3993"/>
    </row>
    <row r="117" spans="1:32" s="8" customFormat="1" x14ac:dyDescent="0.25">
      <c r="A117" s="3988" t="s">
        <v>224</v>
      </c>
      <c r="B117" s="3989"/>
      <c r="C117" s="3989"/>
      <c r="D117" s="3990"/>
      <c r="E117" s="3991">
        <v>0.64752177777777797</v>
      </c>
      <c r="F117" s="3992"/>
      <c r="G117" s="3992"/>
      <c r="H117" s="3993"/>
      <c r="I117" s="3991">
        <v>0.64922777777777774</v>
      </c>
      <c r="J117" s="3992"/>
      <c r="K117" s="3992"/>
      <c r="L117" s="3993"/>
    </row>
    <row r="118" spans="1:32" s="8" customFormat="1" x14ac:dyDescent="0.25">
      <c r="A118" s="3988" t="s">
        <v>225</v>
      </c>
      <c r="B118" s="3989"/>
      <c r="C118" s="3989"/>
      <c r="D118" s="3990"/>
      <c r="E118" s="3991">
        <v>0.59975377777777794</v>
      </c>
      <c r="F118" s="3992"/>
      <c r="G118" s="3992"/>
      <c r="H118" s="3993"/>
      <c r="I118" s="3991">
        <v>0.60183888888888881</v>
      </c>
      <c r="J118" s="3992"/>
      <c r="K118" s="3992"/>
      <c r="L118" s="3993"/>
    </row>
    <row r="119" spans="1:32" s="8" customFormat="1" x14ac:dyDescent="0.25">
      <c r="A119" s="3988" t="s">
        <v>226</v>
      </c>
      <c r="B119" s="3989"/>
      <c r="C119" s="3989"/>
      <c r="D119" s="3990"/>
      <c r="E119" s="3991">
        <v>0.49891022222222237</v>
      </c>
      <c r="F119" s="3992"/>
      <c r="G119" s="3992"/>
      <c r="H119" s="3993"/>
      <c r="I119" s="3991">
        <v>0.50232222222222211</v>
      </c>
      <c r="J119" s="3992"/>
      <c r="K119" s="3992"/>
      <c r="L119" s="3993"/>
    </row>
    <row r="120" spans="1:32" s="8" customFormat="1" x14ac:dyDescent="0.25">
      <c r="A120" s="3988" t="s">
        <v>55</v>
      </c>
      <c r="B120" s="3989"/>
      <c r="C120" s="3989"/>
      <c r="D120" s="3990"/>
      <c r="E120" s="3991">
        <v>0.49891022222222237</v>
      </c>
      <c r="F120" s="3992"/>
      <c r="G120" s="3992"/>
      <c r="H120" s="3993"/>
      <c r="I120" s="3991">
        <v>0.50232222222222211</v>
      </c>
      <c r="J120" s="3992"/>
      <c r="K120" s="3992"/>
      <c r="L120" s="3993"/>
    </row>
    <row r="121" spans="1:32" s="8" customFormat="1" x14ac:dyDescent="0.25">
      <c r="A121" s="3988" t="s">
        <v>227</v>
      </c>
      <c r="B121" s="3989"/>
      <c r="C121" s="3989"/>
      <c r="D121" s="3990"/>
      <c r="E121" s="3991">
        <v>0.74836533333333344</v>
      </c>
      <c r="F121" s="3992"/>
      <c r="G121" s="3992"/>
      <c r="H121" s="3993"/>
      <c r="I121" s="3991">
        <v>0.74874444444444432</v>
      </c>
      <c r="J121" s="3992"/>
      <c r="K121" s="3992"/>
      <c r="L121" s="3993"/>
    </row>
    <row r="122" spans="1:32" s="8" customFormat="1" x14ac:dyDescent="0.25">
      <c r="A122" s="3988" t="s">
        <v>228</v>
      </c>
      <c r="B122" s="3989"/>
      <c r="C122" s="3989"/>
      <c r="D122" s="3990"/>
      <c r="E122" s="3991">
        <v>0.59975377777777794</v>
      </c>
      <c r="F122" s="3992"/>
      <c r="G122" s="3992"/>
      <c r="H122" s="3993"/>
      <c r="I122" s="3991">
        <v>0.60183888888888881</v>
      </c>
      <c r="J122" s="3992"/>
      <c r="K122" s="3992"/>
      <c r="L122" s="3993"/>
    </row>
    <row r="123" spans="1:32" s="8" customFormat="1" x14ac:dyDescent="0.25">
      <c r="A123" s="3988" t="s">
        <v>229</v>
      </c>
      <c r="B123" s="3989"/>
      <c r="C123" s="3989"/>
      <c r="D123" s="3990"/>
      <c r="E123" s="3991">
        <v>0.45114222222222239</v>
      </c>
      <c r="F123" s="3992"/>
      <c r="G123" s="3992"/>
      <c r="H123" s="3993"/>
      <c r="I123" s="3991">
        <v>0.4501944444444444</v>
      </c>
      <c r="J123" s="3992"/>
      <c r="K123" s="3992"/>
      <c r="L123" s="3993"/>
    </row>
    <row r="124" spans="1:32" s="8" customFormat="1" ht="28.9" customHeight="1" x14ac:dyDescent="0.25">
      <c r="A124" s="3987" t="s">
        <v>765</v>
      </c>
      <c r="B124" s="3987"/>
      <c r="C124" s="3987"/>
      <c r="D124" s="3987"/>
      <c r="E124" s="3987"/>
      <c r="F124" s="3987"/>
      <c r="G124" s="3987"/>
      <c r="H124" s="3987"/>
      <c r="I124" s="3987"/>
      <c r="J124" s="3987"/>
      <c r="K124" s="3987"/>
      <c r="L124" s="3987"/>
      <c r="M124" s="3987"/>
      <c r="N124" s="3987"/>
      <c r="O124" s="3987"/>
      <c r="P124" s="3987"/>
      <c r="Q124" s="3987"/>
      <c r="R124" s="3987"/>
      <c r="S124" s="3987"/>
      <c r="T124" s="3987"/>
      <c r="U124" s="3987"/>
      <c r="V124" s="3987"/>
      <c r="W124" s="3987"/>
      <c r="X124" s="3987"/>
      <c r="Y124" s="3987"/>
      <c r="Z124" s="3987"/>
      <c r="AA124" s="3987"/>
      <c r="AB124" s="3987"/>
      <c r="AC124" s="3987"/>
      <c r="AD124" s="3987"/>
      <c r="AE124" s="3987"/>
      <c r="AF124" s="3987"/>
    </row>
    <row r="125" spans="1:32" s="8" customFormat="1" ht="43.15" customHeight="1" x14ac:dyDescent="0.25">
      <c r="A125" s="3987" t="s">
        <v>767</v>
      </c>
      <c r="B125" s="3987"/>
      <c r="C125" s="3987"/>
      <c r="D125" s="3987"/>
      <c r="E125" s="3987"/>
      <c r="F125" s="3987"/>
      <c r="G125" s="3987"/>
      <c r="H125" s="3987"/>
      <c r="I125" s="3987"/>
      <c r="J125" s="3987"/>
      <c r="K125" s="3987"/>
      <c r="L125" s="3987"/>
      <c r="M125" s="3987"/>
      <c r="N125" s="3987"/>
      <c r="O125" s="3987"/>
      <c r="P125" s="3987"/>
      <c r="Q125" s="3987"/>
      <c r="R125" s="3987"/>
      <c r="S125" s="3987"/>
      <c r="T125" s="3987"/>
      <c r="U125" s="3987"/>
      <c r="V125" s="3987"/>
      <c r="W125" s="3987"/>
      <c r="X125" s="3987"/>
      <c r="Y125" s="3987"/>
      <c r="Z125" s="3987"/>
      <c r="AA125" s="3987"/>
      <c r="AB125" s="3987"/>
      <c r="AC125" s="3987"/>
      <c r="AD125" s="3987"/>
      <c r="AE125" s="3987"/>
      <c r="AF125" s="3987"/>
    </row>
    <row r="126" spans="1:32" s="8" customFormat="1" x14ac:dyDescent="0.25">
      <c r="B126" s="244"/>
      <c r="C126" s="244"/>
      <c r="D126" s="244"/>
      <c r="E126" s="244"/>
      <c r="F126" s="244"/>
      <c r="G126" s="244"/>
      <c r="H126" s="244"/>
      <c r="I126" s="244"/>
    </row>
    <row r="127" spans="1:32" s="8" customFormat="1" x14ac:dyDescent="0.25">
      <c r="A127" s="247" t="s">
        <v>763</v>
      </c>
    </row>
    <row r="128" spans="1:32" s="8" customFormat="1" x14ac:dyDescent="0.25">
      <c r="A128" s="3976" t="s">
        <v>54</v>
      </c>
      <c r="B128" s="3977"/>
      <c r="C128" s="3977"/>
      <c r="D128" s="3978"/>
      <c r="E128" s="2119" t="s">
        <v>233</v>
      </c>
      <c r="F128" s="2119"/>
      <c r="G128" s="2119"/>
      <c r="H128" s="2119"/>
      <c r="I128" s="2119" t="s">
        <v>236</v>
      </c>
      <c r="J128" s="2119"/>
      <c r="K128" s="2119"/>
      <c r="L128" s="2119"/>
      <c r="M128" s="2119"/>
      <c r="N128" s="2119"/>
      <c r="O128" s="2119"/>
      <c r="P128" s="2119"/>
      <c r="Q128" s="2119"/>
      <c r="R128" s="2119"/>
      <c r="S128" s="2119"/>
      <c r="T128" s="2119"/>
      <c r="U128" s="2119" t="s">
        <v>235</v>
      </c>
      <c r="V128" s="2119"/>
      <c r="W128" s="2119"/>
      <c r="X128" s="2119"/>
      <c r="Y128" s="2119"/>
      <c r="Z128" s="2119"/>
      <c r="AA128" s="2119"/>
      <c r="AB128" s="2119"/>
      <c r="AC128" s="2119"/>
      <c r="AD128" s="2119"/>
      <c r="AE128" s="2119"/>
      <c r="AF128" s="2119"/>
    </row>
    <row r="129" spans="1:32" s="8" customFormat="1" x14ac:dyDescent="0.25">
      <c r="A129" s="3979"/>
      <c r="B129" s="3980"/>
      <c r="C129" s="3980"/>
      <c r="D129" s="3981"/>
      <c r="E129" s="3982" t="s">
        <v>234</v>
      </c>
      <c r="F129" s="3982"/>
      <c r="G129" s="3982"/>
      <c r="H129" s="3982"/>
      <c r="I129" s="3982" t="s">
        <v>237</v>
      </c>
      <c r="J129" s="3982"/>
      <c r="K129" s="3982"/>
      <c r="L129" s="3982"/>
      <c r="M129" s="3982" t="s">
        <v>238</v>
      </c>
      <c r="N129" s="3982"/>
      <c r="O129" s="3982"/>
      <c r="P129" s="3982"/>
      <c r="Q129" s="3982" t="s">
        <v>239</v>
      </c>
      <c r="R129" s="3982"/>
      <c r="S129" s="3982"/>
      <c r="T129" s="3982"/>
      <c r="U129" s="3982" t="s">
        <v>237</v>
      </c>
      <c r="V129" s="3982"/>
      <c r="W129" s="3982"/>
      <c r="X129" s="3982"/>
      <c r="Y129" s="3982" t="s">
        <v>238</v>
      </c>
      <c r="Z129" s="3982"/>
      <c r="AA129" s="3982"/>
      <c r="AB129" s="3982"/>
      <c r="AC129" s="3982" t="s">
        <v>239</v>
      </c>
      <c r="AD129" s="3982"/>
      <c r="AE129" s="3982"/>
      <c r="AF129" s="3982"/>
    </row>
    <row r="130" spans="1:32" s="8" customFormat="1" ht="28.9" customHeight="1" x14ac:dyDescent="0.25">
      <c r="A130" s="3974" t="s">
        <v>220</v>
      </c>
      <c r="B130" s="3974"/>
      <c r="C130" s="3974"/>
      <c r="D130" s="3974"/>
      <c r="E130" s="3985">
        <v>2487.9166666666661</v>
      </c>
      <c r="F130" s="3985"/>
      <c r="G130" s="3985"/>
      <c r="H130" s="3985"/>
      <c r="I130" s="3985">
        <v>2560.9334666666678</v>
      </c>
      <c r="J130" s="3985"/>
      <c r="K130" s="3985"/>
      <c r="L130" s="3985"/>
      <c r="M130" s="3985">
        <v>2611.8480888888876</v>
      </c>
      <c r="N130" s="3985"/>
      <c r="O130" s="3985"/>
      <c r="P130" s="3985"/>
      <c r="Q130" s="3985">
        <v>2652.2613333333334</v>
      </c>
      <c r="R130" s="3985"/>
      <c r="S130" s="3985"/>
      <c r="T130" s="3985"/>
      <c r="U130" s="3985">
        <v>2834.8033333333333</v>
      </c>
      <c r="V130" s="3985"/>
      <c r="W130" s="3985"/>
      <c r="X130" s="3985"/>
      <c r="Y130" s="3985">
        <v>2817.3452666666653</v>
      </c>
      <c r="Z130" s="3985"/>
      <c r="AA130" s="3985"/>
      <c r="AB130" s="3985"/>
      <c r="AC130" s="3985">
        <v>2838.6892222222218</v>
      </c>
      <c r="AD130" s="3985"/>
      <c r="AE130" s="3985"/>
      <c r="AF130" s="3985"/>
    </row>
    <row r="131" spans="1:32" s="8" customFormat="1" x14ac:dyDescent="0.25">
      <c r="A131" s="3974" t="s">
        <v>221</v>
      </c>
      <c r="B131" s="3974"/>
      <c r="C131" s="3974"/>
      <c r="D131" s="3974"/>
      <c r="E131" s="3985">
        <v>4272.8475999999991</v>
      </c>
      <c r="F131" s="3985"/>
      <c r="G131" s="3985"/>
      <c r="H131" s="3985"/>
      <c r="I131" s="3985">
        <v>4397.2813444444455</v>
      </c>
      <c r="J131" s="3985"/>
      <c r="K131" s="3985"/>
      <c r="L131" s="3985"/>
      <c r="M131" s="3985">
        <v>4486.2113333333309</v>
      </c>
      <c r="N131" s="3985"/>
      <c r="O131" s="3985"/>
      <c r="P131" s="3985"/>
      <c r="Q131" s="3985">
        <v>4555.9677777777779</v>
      </c>
      <c r="R131" s="3985"/>
      <c r="S131" s="3985"/>
      <c r="T131" s="3985"/>
      <c r="U131" s="3985">
        <v>4868.7344444444443</v>
      </c>
      <c r="V131" s="3985"/>
      <c r="W131" s="3985"/>
      <c r="X131" s="3985"/>
      <c r="Y131" s="3985">
        <v>4839.3533333333307</v>
      </c>
      <c r="Z131" s="3985"/>
      <c r="AA131" s="3985"/>
      <c r="AB131" s="3985"/>
      <c r="AC131" s="3985">
        <v>4876.0702444444441</v>
      </c>
      <c r="AD131" s="3985"/>
      <c r="AE131" s="3985"/>
      <c r="AF131" s="3985"/>
    </row>
    <row r="132" spans="1:32" s="8" customFormat="1" x14ac:dyDescent="0.25">
      <c r="A132" s="3974" t="s">
        <v>222</v>
      </c>
      <c r="B132" s="3974"/>
      <c r="C132" s="3974"/>
      <c r="D132" s="3974"/>
      <c r="E132" s="3985">
        <v>2451.2945333333323</v>
      </c>
      <c r="F132" s="3985"/>
      <c r="G132" s="3985"/>
      <c r="H132" s="3985"/>
      <c r="I132" s="3985">
        <v>2522.9749666666676</v>
      </c>
      <c r="J132" s="3985"/>
      <c r="K132" s="3985"/>
      <c r="L132" s="3985"/>
      <c r="M132" s="3985">
        <v>2573.7663777777771</v>
      </c>
      <c r="N132" s="3985"/>
      <c r="O132" s="3985"/>
      <c r="P132" s="3985"/>
      <c r="Q132" s="3985">
        <v>2613.6867777777775</v>
      </c>
      <c r="R132" s="3985"/>
      <c r="S132" s="3985"/>
      <c r="T132" s="3985"/>
      <c r="U132" s="3985">
        <v>2793.1011111111106</v>
      </c>
      <c r="V132" s="3985"/>
      <c r="W132" s="3985"/>
      <c r="X132" s="3985"/>
      <c r="Y132" s="3985">
        <v>2776.3159666666647</v>
      </c>
      <c r="Z132" s="3985"/>
      <c r="AA132" s="3985"/>
      <c r="AB132" s="3985"/>
      <c r="AC132" s="3985">
        <v>2797.0628222222222</v>
      </c>
      <c r="AD132" s="3985"/>
      <c r="AE132" s="3985"/>
      <c r="AF132" s="3985"/>
    </row>
    <row r="133" spans="1:32" s="8" customFormat="1" x14ac:dyDescent="0.25">
      <c r="A133" s="3974" t="s">
        <v>223</v>
      </c>
      <c r="B133" s="3974"/>
      <c r="C133" s="3974"/>
      <c r="D133" s="3974"/>
      <c r="E133" s="3985">
        <v>4272.8475999999991</v>
      </c>
      <c r="F133" s="3985"/>
      <c r="G133" s="3985"/>
      <c r="H133" s="3985"/>
      <c r="I133" s="3985">
        <v>4397.2813444444455</v>
      </c>
      <c r="J133" s="3985"/>
      <c r="K133" s="3985"/>
      <c r="L133" s="3985"/>
      <c r="M133" s="3985">
        <v>4486.2113333333309</v>
      </c>
      <c r="N133" s="3985"/>
      <c r="O133" s="3985"/>
      <c r="P133" s="3985"/>
      <c r="Q133" s="3985">
        <v>4555.9677777777779</v>
      </c>
      <c r="R133" s="3985"/>
      <c r="S133" s="3985"/>
      <c r="T133" s="3985"/>
      <c r="U133" s="3985">
        <v>4868.7344444444443</v>
      </c>
      <c r="V133" s="3985"/>
      <c r="W133" s="3985"/>
      <c r="X133" s="3985"/>
      <c r="Y133" s="3985">
        <v>4839.3533333333307</v>
      </c>
      <c r="Z133" s="3985"/>
      <c r="AA133" s="3985"/>
      <c r="AB133" s="3985"/>
      <c r="AC133" s="3985">
        <v>4876.0702444444441</v>
      </c>
      <c r="AD133" s="3985"/>
      <c r="AE133" s="3985"/>
      <c r="AF133" s="3985"/>
    </row>
    <row r="134" spans="1:32" s="8" customFormat="1" x14ac:dyDescent="0.25">
      <c r="A134" s="3974" t="s">
        <v>224</v>
      </c>
      <c r="B134" s="3974"/>
      <c r="C134" s="3974"/>
      <c r="D134" s="3974"/>
      <c r="E134" s="3985">
        <v>3468.7529333333323</v>
      </c>
      <c r="F134" s="3985"/>
      <c r="G134" s="3985"/>
      <c r="H134" s="3985"/>
      <c r="I134" s="3985">
        <v>3570.6295666666679</v>
      </c>
      <c r="J134" s="3985"/>
      <c r="K134" s="3985"/>
      <c r="L134" s="3985"/>
      <c r="M134" s="3985">
        <v>3641.9119333333319</v>
      </c>
      <c r="N134" s="3985"/>
      <c r="O134" s="3985"/>
      <c r="P134" s="3985"/>
      <c r="Q134" s="3985">
        <v>3698.9871111111111</v>
      </c>
      <c r="R134" s="3985"/>
      <c r="S134" s="3985"/>
      <c r="T134" s="3985"/>
      <c r="U134" s="3985">
        <v>3952.2333333333327</v>
      </c>
      <c r="V134" s="3985"/>
      <c r="W134" s="3985"/>
      <c r="X134" s="3985"/>
      <c r="Y134" s="3985">
        <v>3929.3444999999979</v>
      </c>
      <c r="Z134" s="3985"/>
      <c r="AA134" s="3985"/>
      <c r="AB134" s="3985"/>
      <c r="AC134" s="3985">
        <v>3957.9768666666664</v>
      </c>
      <c r="AD134" s="3985"/>
      <c r="AE134" s="3985"/>
      <c r="AF134" s="3985"/>
    </row>
    <row r="135" spans="1:32" s="8" customFormat="1" x14ac:dyDescent="0.25">
      <c r="A135" s="3974" t="s">
        <v>225</v>
      </c>
      <c r="B135" s="3974"/>
      <c r="C135" s="3974"/>
      <c r="D135" s="3974"/>
      <c r="E135" s="3985">
        <v>2487.1205333333323</v>
      </c>
      <c r="F135" s="3985"/>
      <c r="G135" s="3985"/>
      <c r="H135" s="3985"/>
      <c r="I135" s="3985">
        <v>2560.0899444444453</v>
      </c>
      <c r="J135" s="3985"/>
      <c r="K135" s="3985"/>
      <c r="L135" s="3985"/>
      <c r="M135" s="3985">
        <v>2611.8480888888876</v>
      </c>
      <c r="N135" s="3985"/>
      <c r="O135" s="3985"/>
      <c r="P135" s="3985"/>
      <c r="Q135" s="3985">
        <v>2652.2613333333334</v>
      </c>
      <c r="R135" s="3985"/>
      <c r="S135" s="3985"/>
      <c r="T135" s="3985"/>
      <c r="U135" s="3985">
        <v>2833.8555555555554</v>
      </c>
      <c r="V135" s="3985"/>
      <c r="W135" s="3985"/>
      <c r="X135" s="3985"/>
      <c r="Y135" s="3985">
        <v>2817.3452666666653</v>
      </c>
      <c r="Z135" s="3985"/>
      <c r="AA135" s="3985"/>
      <c r="AB135" s="3985"/>
      <c r="AC135" s="3985">
        <v>2838.6892222222218</v>
      </c>
      <c r="AD135" s="3985"/>
      <c r="AE135" s="3985"/>
      <c r="AF135" s="3985"/>
    </row>
    <row r="136" spans="1:32" s="8" customFormat="1" x14ac:dyDescent="0.25">
      <c r="A136" s="3974" t="s">
        <v>226</v>
      </c>
      <c r="B136" s="3974"/>
      <c r="C136" s="3974"/>
      <c r="D136" s="3974"/>
      <c r="E136" s="3985">
        <v>3468.7529333333323</v>
      </c>
      <c r="F136" s="3985"/>
      <c r="G136" s="3985"/>
      <c r="H136" s="3985"/>
      <c r="I136" s="3985">
        <v>3570.6295666666679</v>
      </c>
      <c r="J136" s="3985"/>
      <c r="K136" s="3985"/>
      <c r="L136" s="3985"/>
      <c r="M136" s="3985">
        <v>3641.9119333333319</v>
      </c>
      <c r="N136" s="3985"/>
      <c r="O136" s="3985"/>
      <c r="P136" s="3985"/>
      <c r="Q136" s="3985">
        <v>3698.9871111111111</v>
      </c>
      <c r="R136" s="3985"/>
      <c r="S136" s="3985"/>
      <c r="T136" s="3985"/>
      <c r="U136" s="3985">
        <v>3952.2333333333327</v>
      </c>
      <c r="V136" s="3985"/>
      <c r="W136" s="3985"/>
      <c r="X136" s="3985"/>
      <c r="Y136" s="3985">
        <v>3929.3444999999979</v>
      </c>
      <c r="Z136" s="3985"/>
      <c r="AA136" s="3985"/>
      <c r="AB136" s="3985"/>
      <c r="AC136" s="3985">
        <v>3957.9768666666664</v>
      </c>
      <c r="AD136" s="3985"/>
      <c r="AE136" s="3985"/>
      <c r="AF136" s="3985"/>
    </row>
    <row r="137" spans="1:32" s="8" customFormat="1" x14ac:dyDescent="0.25">
      <c r="A137" s="3974" t="s">
        <v>55</v>
      </c>
      <c r="B137" s="3974"/>
      <c r="C137" s="3974"/>
      <c r="D137" s="3974"/>
      <c r="E137" s="3985">
        <v>4140.6894666666658</v>
      </c>
      <c r="F137" s="3985"/>
      <c r="G137" s="3985"/>
      <c r="H137" s="3985"/>
      <c r="I137" s="3985">
        <v>4262.3177888888904</v>
      </c>
      <c r="J137" s="3985"/>
      <c r="K137" s="3985"/>
      <c r="L137" s="3985"/>
      <c r="M137" s="3985">
        <v>4347.8168222222203</v>
      </c>
      <c r="N137" s="3985"/>
      <c r="O137" s="3985"/>
      <c r="P137" s="3985"/>
      <c r="Q137" s="3985">
        <v>4415.222777777778</v>
      </c>
      <c r="R137" s="3985"/>
      <c r="S137" s="3985"/>
      <c r="T137" s="3985"/>
      <c r="U137" s="3985">
        <v>4718.0377777777776</v>
      </c>
      <c r="V137" s="3985"/>
      <c r="W137" s="3985"/>
      <c r="X137" s="3985"/>
      <c r="Y137" s="3985">
        <v>4689.9645999999975</v>
      </c>
      <c r="Z137" s="3985"/>
      <c r="AA137" s="3985"/>
      <c r="AB137" s="3985"/>
      <c r="AC137" s="3985">
        <v>4725.7526888888888</v>
      </c>
      <c r="AD137" s="3985"/>
      <c r="AE137" s="3985"/>
      <c r="AF137" s="3985"/>
    </row>
    <row r="138" spans="1:32" s="8" customFormat="1" x14ac:dyDescent="0.25">
      <c r="A138" s="3974" t="s">
        <v>227</v>
      </c>
      <c r="B138" s="3974"/>
      <c r="C138" s="3974"/>
      <c r="D138" s="3974"/>
      <c r="E138" s="3985">
        <v>2778.5053333333326</v>
      </c>
      <c r="F138" s="3985"/>
      <c r="G138" s="3985"/>
      <c r="H138" s="3985"/>
      <c r="I138" s="3985">
        <v>2859.5403333333343</v>
      </c>
      <c r="J138" s="3985"/>
      <c r="K138" s="3985"/>
      <c r="L138" s="3985"/>
      <c r="M138" s="3985">
        <v>2917.4305999999988</v>
      </c>
      <c r="N138" s="3985"/>
      <c r="O138" s="3985"/>
      <c r="P138" s="3985"/>
      <c r="Q138" s="3985">
        <v>2962.9428888888888</v>
      </c>
      <c r="R138" s="3985"/>
      <c r="S138" s="3985"/>
      <c r="T138" s="3985"/>
      <c r="U138" s="3985">
        <v>3166.5255555555555</v>
      </c>
      <c r="V138" s="3985"/>
      <c r="W138" s="3985"/>
      <c r="X138" s="3985"/>
      <c r="Y138" s="3985">
        <v>3147.6837333333315</v>
      </c>
      <c r="Z138" s="3985"/>
      <c r="AA138" s="3985"/>
      <c r="AB138" s="3985"/>
      <c r="AC138" s="3985">
        <v>3170.5441333333329</v>
      </c>
      <c r="AD138" s="3985"/>
      <c r="AE138" s="3985"/>
      <c r="AF138" s="3985"/>
    </row>
    <row r="139" spans="1:32" s="8" customFormat="1" x14ac:dyDescent="0.25">
      <c r="A139" s="3974" t="s">
        <v>228</v>
      </c>
      <c r="B139" s="3974"/>
      <c r="C139" s="3974"/>
      <c r="D139" s="3974"/>
      <c r="E139" s="3985">
        <v>2180.609199999999</v>
      </c>
      <c r="F139" s="3985"/>
      <c r="G139" s="3985"/>
      <c r="H139" s="3985"/>
      <c r="I139" s="3985">
        <v>2244.6126333333341</v>
      </c>
      <c r="J139" s="3985"/>
      <c r="K139" s="3985"/>
      <c r="L139" s="3985"/>
      <c r="M139" s="3985">
        <v>2289.5467777777767</v>
      </c>
      <c r="N139" s="3985"/>
      <c r="O139" s="3985"/>
      <c r="P139" s="3985"/>
      <c r="Q139" s="3985">
        <v>2325.9414444444442</v>
      </c>
      <c r="R139" s="3985"/>
      <c r="S139" s="3985"/>
      <c r="T139" s="3985"/>
      <c r="U139" s="3985">
        <v>2485.0733333333328</v>
      </c>
      <c r="V139" s="3985"/>
      <c r="W139" s="3985"/>
      <c r="X139" s="3985"/>
      <c r="Y139" s="3985">
        <v>2470.1742666666655</v>
      </c>
      <c r="Z139" s="3985"/>
      <c r="AA139" s="3985"/>
      <c r="AB139" s="3985"/>
      <c r="AC139" s="3985">
        <v>2488.3336888888884</v>
      </c>
      <c r="AD139" s="3985"/>
      <c r="AE139" s="3985"/>
      <c r="AF139" s="3985"/>
    </row>
    <row r="140" spans="1:32" s="8" customFormat="1" x14ac:dyDescent="0.25">
      <c r="A140" s="3974" t="s">
        <v>229</v>
      </c>
      <c r="B140" s="3974"/>
      <c r="C140" s="3974"/>
      <c r="D140" s="3974"/>
      <c r="E140" s="3985">
        <v>4272.8475999999991</v>
      </c>
      <c r="F140" s="3985"/>
      <c r="G140" s="3985"/>
      <c r="H140" s="3985"/>
      <c r="I140" s="3985">
        <v>4397.2813444444455</v>
      </c>
      <c r="J140" s="3985"/>
      <c r="K140" s="3985"/>
      <c r="L140" s="3985"/>
      <c r="M140" s="3985">
        <v>4486.2113333333309</v>
      </c>
      <c r="N140" s="3985"/>
      <c r="O140" s="3985"/>
      <c r="P140" s="3985"/>
      <c r="Q140" s="3985">
        <v>4555.9677777777779</v>
      </c>
      <c r="R140" s="3985"/>
      <c r="S140" s="3985"/>
      <c r="T140" s="3985"/>
      <c r="U140" s="3985">
        <v>4868.7344444444443</v>
      </c>
      <c r="V140" s="3985"/>
      <c r="W140" s="3985"/>
      <c r="X140" s="3985"/>
      <c r="Y140" s="3985">
        <v>4839.3533333333307</v>
      </c>
      <c r="Z140" s="3985"/>
      <c r="AA140" s="3985"/>
      <c r="AB140" s="3985"/>
      <c r="AC140" s="3985">
        <v>4876.0702444444441</v>
      </c>
      <c r="AD140" s="3985"/>
      <c r="AE140" s="3985"/>
      <c r="AF140" s="3985"/>
    </row>
    <row r="141" spans="1:32" s="8" customFormat="1" x14ac:dyDescent="0.25"/>
    <row r="142" spans="1:32" s="8" customFormat="1" x14ac:dyDescent="0.25">
      <c r="A142" s="247" t="s">
        <v>764</v>
      </c>
    </row>
    <row r="143" spans="1:32" s="8" customFormat="1" x14ac:dyDescent="0.25">
      <c r="A143" s="3982" t="s">
        <v>54</v>
      </c>
      <c r="B143" s="3982"/>
      <c r="C143" s="3982"/>
      <c r="D143" s="3982"/>
      <c r="E143" s="3982" t="s">
        <v>245</v>
      </c>
      <c r="F143" s="3982"/>
      <c r="G143" s="3982"/>
      <c r="H143" s="3982"/>
      <c r="I143" s="3982"/>
      <c r="J143" s="3982"/>
      <c r="K143" s="3982"/>
      <c r="L143" s="3982"/>
    </row>
    <row r="144" spans="1:32" s="8" customFormat="1" x14ac:dyDescent="0.25">
      <c r="A144" s="3982"/>
      <c r="B144" s="3982"/>
      <c r="C144" s="3982"/>
      <c r="D144" s="3982"/>
      <c r="E144" s="3982" t="s">
        <v>762</v>
      </c>
      <c r="F144" s="3982"/>
      <c r="G144" s="3982"/>
      <c r="H144" s="3982"/>
      <c r="I144" s="3982" t="s">
        <v>244</v>
      </c>
      <c r="J144" s="3982"/>
      <c r="K144" s="3982"/>
      <c r="L144" s="3982"/>
    </row>
    <row r="145" spans="1:32" s="8" customFormat="1" ht="28.9" customHeight="1" x14ac:dyDescent="0.25">
      <c r="A145" s="3974" t="s">
        <v>220</v>
      </c>
      <c r="B145" s="3974"/>
      <c r="C145" s="3974"/>
      <c r="D145" s="3974"/>
      <c r="E145" s="3985">
        <v>2969.5773333333341</v>
      </c>
      <c r="F145" s="3985"/>
      <c r="G145" s="3985"/>
      <c r="H145" s="3985"/>
      <c r="I145" s="3985">
        <v>2975.5483333333327</v>
      </c>
      <c r="J145" s="3985"/>
      <c r="K145" s="3985"/>
      <c r="L145" s="3985"/>
    </row>
    <row r="146" spans="1:32" s="8" customFormat="1" x14ac:dyDescent="0.25">
      <c r="A146" s="3974" t="s">
        <v>221</v>
      </c>
      <c r="B146" s="3974"/>
      <c r="C146" s="3974"/>
      <c r="D146" s="3974"/>
      <c r="E146" s="3985">
        <v>5100.0301333333346</v>
      </c>
      <c r="F146" s="3985"/>
      <c r="G146" s="3985"/>
      <c r="H146" s="3985"/>
      <c r="I146" s="3985">
        <v>5110.8916666666664</v>
      </c>
      <c r="J146" s="3985"/>
      <c r="K146" s="3985"/>
      <c r="L146" s="3985"/>
    </row>
    <row r="147" spans="1:32" s="8" customFormat="1" x14ac:dyDescent="0.25">
      <c r="A147" s="3974" t="s">
        <v>222</v>
      </c>
      <c r="B147" s="3974"/>
      <c r="C147" s="3974"/>
      <c r="D147" s="3974"/>
      <c r="E147" s="3985">
        <v>2925.5246222222231</v>
      </c>
      <c r="F147" s="3985"/>
      <c r="G147" s="3985"/>
      <c r="H147" s="3985"/>
      <c r="I147" s="3985">
        <v>2931.9505555555552</v>
      </c>
      <c r="J147" s="3985"/>
      <c r="K147" s="3985"/>
      <c r="L147" s="3985"/>
    </row>
    <row r="148" spans="1:32" s="8" customFormat="1" x14ac:dyDescent="0.25">
      <c r="A148" s="3974" t="s">
        <v>223</v>
      </c>
      <c r="B148" s="3974"/>
      <c r="C148" s="3974"/>
      <c r="D148" s="3974"/>
      <c r="E148" s="3985">
        <v>5100.0301333333346</v>
      </c>
      <c r="F148" s="3985"/>
      <c r="G148" s="3985"/>
      <c r="H148" s="3985"/>
      <c r="I148" s="3985">
        <v>5110.8916666666664</v>
      </c>
      <c r="J148" s="3985"/>
      <c r="K148" s="3985"/>
      <c r="L148" s="3985"/>
    </row>
    <row r="149" spans="1:32" s="8" customFormat="1" x14ac:dyDescent="0.25">
      <c r="A149" s="3974" t="s">
        <v>224</v>
      </c>
      <c r="B149" s="3974"/>
      <c r="C149" s="3974"/>
      <c r="D149" s="3974"/>
      <c r="E149" s="3985">
        <v>4140.4240888888899</v>
      </c>
      <c r="F149" s="3985"/>
      <c r="G149" s="3985"/>
      <c r="H149" s="3985"/>
      <c r="I149" s="3985">
        <v>4149.3711111111106</v>
      </c>
      <c r="J149" s="3985"/>
      <c r="K149" s="3985"/>
      <c r="L149" s="3985"/>
    </row>
    <row r="150" spans="1:32" s="8" customFormat="1" x14ac:dyDescent="0.25">
      <c r="A150" s="3974" t="s">
        <v>225</v>
      </c>
      <c r="B150" s="3974"/>
      <c r="C150" s="3974"/>
      <c r="D150" s="3974"/>
      <c r="E150" s="3985">
        <v>2968.5158222222231</v>
      </c>
      <c r="F150" s="3985"/>
      <c r="G150" s="3985"/>
      <c r="H150" s="3985"/>
      <c r="I150" s="3985">
        <v>2975.074444444444</v>
      </c>
      <c r="J150" s="3985"/>
      <c r="K150" s="3985"/>
      <c r="L150" s="3985"/>
    </row>
    <row r="151" spans="1:32" s="8" customFormat="1" x14ac:dyDescent="0.25">
      <c r="A151" s="3974" t="s">
        <v>226</v>
      </c>
      <c r="B151" s="3974"/>
      <c r="C151" s="3974"/>
      <c r="D151" s="3974"/>
      <c r="E151" s="3985">
        <v>4140.4240888888899</v>
      </c>
      <c r="F151" s="3985"/>
      <c r="G151" s="3985"/>
      <c r="H151" s="3985"/>
      <c r="I151" s="3985">
        <v>4149.3711111111106</v>
      </c>
      <c r="J151" s="3985"/>
      <c r="K151" s="3985"/>
      <c r="L151" s="3985"/>
    </row>
    <row r="152" spans="1:32" s="8" customFormat="1" x14ac:dyDescent="0.25">
      <c r="A152" s="3974" t="s">
        <v>55</v>
      </c>
      <c r="B152" s="3974"/>
      <c r="C152" s="3974"/>
      <c r="D152" s="3974"/>
      <c r="E152" s="3985">
        <v>4942.9264888888902</v>
      </c>
      <c r="F152" s="3985"/>
      <c r="G152" s="3985"/>
      <c r="H152" s="3985"/>
      <c r="I152" s="3985">
        <v>4953.0866666666661</v>
      </c>
      <c r="J152" s="3985"/>
      <c r="K152" s="3985"/>
      <c r="L152" s="3985"/>
    </row>
    <row r="153" spans="1:32" s="8" customFormat="1" x14ac:dyDescent="0.25">
      <c r="A153" s="3974" t="s">
        <v>227</v>
      </c>
      <c r="B153" s="3974"/>
      <c r="C153" s="3974"/>
      <c r="D153" s="3974"/>
      <c r="E153" s="3985">
        <v>3316.6914666666676</v>
      </c>
      <c r="F153" s="3985"/>
      <c r="G153" s="3985"/>
      <c r="H153" s="3985"/>
      <c r="I153" s="3985">
        <v>3323.8566666666661</v>
      </c>
      <c r="J153" s="3985"/>
      <c r="K153" s="3985"/>
      <c r="L153" s="3985"/>
    </row>
    <row r="154" spans="1:32" s="8" customFormat="1" x14ac:dyDescent="0.25">
      <c r="A154" s="3974" t="s">
        <v>228</v>
      </c>
      <c r="B154" s="3974"/>
      <c r="C154" s="3974"/>
      <c r="D154" s="3974"/>
      <c r="E154" s="3985">
        <v>2603.3560000000007</v>
      </c>
      <c r="F154" s="3985"/>
      <c r="G154" s="3985"/>
      <c r="H154" s="3985"/>
      <c r="I154" s="3985">
        <v>2608.7583333333328</v>
      </c>
      <c r="J154" s="3985"/>
      <c r="K154" s="3985"/>
      <c r="L154" s="3985"/>
    </row>
    <row r="155" spans="1:32" s="8" customFormat="1" x14ac:dyDescent="0.25">
      <c r="A155" s="3974" t="s">
        <v>229</v>
      </c>
      <c r="B155" s="3974"/>
      <c r="C155" s="3974"/>
      <c r="D155" s="3974"/>
      <c r="E155" s="3985">
        <v>5100.0301333333346</v>
      </c>
      <c r="F155" s="3985"/>
      <c r="G155" s="3985"/>
      <c r="H155" s="3985"/>
      <c r="I155" s="3985">
        <v>5110.8916666666664</v>
      </c>
      <c r="J155" s="3985"/>
      <c r="K155" s="3985"/>
      <c r="L155" s="3985"/>
    </row>
    <row r="156" spans="1:32" s="8" customFormat="1" ht="28.9" customHeight="1" x14ac:dyDescent="0.25">
      <c r="A156" s="3986" t="s">
        <v>766</v>
      </c>
      <c r="B156" s="3986"/>
      <c r="C156" s="3986"/>
      <c r="D156" s="3986"/>
      <c r="E156" s="3986"/>
      <c r="F156" s="3986"/>
      <c r="G156" s="3986"/>
      <c r="H156" s="3986"/>
      <c r="I156" s="3986"/>
      <c r="J156" s="3986"/>
      <c r="K156" s="3986"/>
      <c r="L156" s="3986"/>
      <c r="M156" s="3986"/>
      <c r="N156" s="3986"/>
      <c r="O156" s="3986"/>
      <c r="P156" s="3986"/>
      <c r="Q156" s="3986"/>
      <c r="R156" s="3986"/>
      <c r="S156" s="3986"/>
      <c r="T156" s="3986"/>
      <c r="U156" s="3986"/>
      <c r="V156" s="3986"/>
      <c r="W156" s="3986"/>
      <c r="X156" s="3986"/>
      <c r="Y156" s="3986"/>
      <c r="Z156" s="3986"/>
      <c r="AA156" s="3986"/>
      <c r="AB156" s="3986"/>
      <c r="AC156" s="3986"/>
      <c r="AD156" s="3986"/>
      <c r="AE156" s="3986"/>
      <c r="AF156" s="3986"/>
    </row>
    <row r="157" spans="1:32" s="8" customFormat="1" x14ac:dyDescent="0.25">
      <c r="A157" s="184"/>
      <c r="B157" s="184"/>
      <c r="C157" s="184"/>
      <c r="D157" s="184"/>
      <c r="E157" s="184"/>
      <c r="F157" s="184"/>
      <c r="G157" s="184"/>
      <c r="H157" s="184"/>
    </row>
    <row r="158" spans="1:32" s="8" customFormat="1" x14ac:dyDescent="0.25">
      <c r="A158" s="184"/>
      <c r="B158" s="184"/>
      <c r="C158" s="184"/>
      <c r="D158" s="184"/>
      <c r="E158" s="184"/>
      <c r="F158" s="184"/>
      <c r="G158" s="184"/>
      <c r="H158" s="184"/>
    </row>
    <row r="159" spans="1:32" x14ac:dyDescent="0.25">
      <c r="A159" s="1582" t="s">
        <v>21</v>
      </c>
      <c r="B159" s="1582"/>
      <c r="C159" s="1582"/>
      <c r="D159" s="1582"/>
      <c r="E159" s="1582"/>
      <c r="F159" s="1582"/>
      <c r="G159" s="1582"/>
      <c r="H159" s="1582"/>
      <c r="I159" s="1582"/>
      <c r="J159" s="1582"/>
      <c r="K159" s="1582"/>
      <c r="L159" s="1582"/>
      <c r="M159" s="1582"/>
      <c r="N159" s="1582"/>
      <c r="O159" s="1582"/>
      <c r="P159" s="1582"/>
      <c r="Q159" s="1582"/>
      <c r="R159" s="1582"/>
      <c r="S159" s="1582"/>
      <c r="T159" s="1582"/>
      <c r="U159" s="1582"/>
      <c r="V159" s="1582"/>
      <c r="W159" s="1582"/>
      <c r="X159" s="1582"/>
      <c r="Y159" s="1582"/>
      <c r="Z159" s="1582"/>
      <c r="AA159" s="1582"/>
      <c r="AB159" s="1582"/>
      <c r="AC159" s="1582"/>
      <c r="AD159" s="1582"/>
      <c r="AE159" s="1582"/>
      <c r="AF159" s="1582"/>
    </row>
    <row r="160" spans="1:32" s="8" customFormat="1" x14ac:dyDescent="0.25">
      <c r="A160" s="247" t="s">
        <v>850</v>
      </c>
      <c r="J160" s="279"/>
    </row>
    <row r="161" spans="1:12" s="8" customFormat="1" x14ac:dyDescent="0.25">
      <c r="A161" s="2120" t="s">
        <v>54</v>
      </c>
      <c r="B161" s="2120"/>
      <c r="C161" s="2120"/>
      <c r="D161" s="2120"/>
      <c r="E161" s="3982" t="s">
        <v>245</v>
      </c>
      <c r="F161" s="3982"/>
      <c r="G161" s="3982"/>
      <c r="H161" s="3982"/>
      <c r="I161" s="3982"/>
      <c r="J161" s="3982"/>
      <c r="K161" s="3982"/>
      <c r="L161" s="3982"/>
    </row>
    <row r="162" spans="1:12" s="8" customFormat="1" x14ac:dyDescent="0.25">
      <c r="A162" s="2120"/>
      <c r="B162" s="2120"/>
      <c r="C162" s="2120"/>
      <c r="D162" s="2120"/>
      <c r="E162" s="3982" t="s">
        <v>762</v>
      </c>
      <c r="F162" s="3982"/>
      <c r="G162" s="3982"/>
      <c r="H162" s="3982"/>
      <c r="I162" s="3982" t="s">
        <v>244</v>
      </c>
      <c r="J162" s="3982"/>
      <c r="K162" s="3982"/>
      <c r="L162" s="3982"/>
    </row>
    <row r="163" spans="1:12" s="8" customFormat="1" ht="28.9" customHeight="1" x14ac:dyDescent="0.25">
      <c r="A163" s="3974" t="s">
        <v>220</v>
      </c>
      <c r="B163" s="3974"/>
      <c r="C163" s="3974"/>
      <c r="D163" s="3974"/>
      <c r="E163" s="3984">
        <f t="shared" ref="E163:E173" si="4">ROUND(1*($U$64-$X$64)*E113,3)</f>
        <v>9.4E-2</v>
      </c>
      <c r="F163" s="3984"/>
      <c r="G163" s="3984"/>
      <c r="H163" s="3984"/>
      <c r="I163" s="3984">
        <f t="shared" ref="I163:I173" si="5">ROUND(1*($U$65-$X$65)*I113,3)</f>
        <v>0.106</v>
      </c>
      <c r="J163" s="3984"/>
      <c r="K163" s="3984"/>
      <c r="L163" s="3984"/>
    </row>
    <row r="164" spans="1:12" s="8" customFormat="1" ht="14.45" customHeight="1" x14ac:dyDescent="0.25">
      <c r="A164" s="3974" t="s">
        <v>221</v>
      </c>
      <c r="B164" s="3974"/>
      <c r="C164" s="3974"/>
      <c r="D164" s="3974"/>
      <c r="E164" s="3984">
        <f t="shared" si="4"/>
        <v>9.4E-2</v>
      </c>
      <c r="F164" s="3984"/>
      <c r="G164" s="3984"/>
      <c r="H164" s="3984"/>
      <c r="I164" s="3984">
        <f t="shared" si="5"/>
        <v>0.106</v>
      </c>
      <c r="J164" s="3984"/>
      <c r="K164" s="3984"/>
      <c r="L164" s="3984"/>
    </row>
    <row r="165" spans="1:12" s="8" customFormat="1" ht="14.45" customHeight="1" x14ac:dyDescent="0.25">
      <c r="A165" s="3974" t="s">
        <v>222</v>
      </c>
      <c r="B165" s="3974"/>
      <c r="C165" s="3974"/>
      <c r="D165" s="3974"/>
      <c r="E165" s="3984">
        <f t="shared" si="4"/>
        <v>3.7999999999999999E-2</v>
      </c>
      <c r="F165" s="3984"/>
      <c r="G165" s="3984"/>
      <c r="H165" s="3984"/>
      <c r="I165" s="3984">
        <f t="shared" si="5"/>
        <v>4.2000000000000003E-2</v>
      </c>
      <c r="J165" s="3984"/>
      <c r="K165" s="3984"/>
      <c r="L165" s="3984"/>
    </row>
    <row r="166" spans="1:12" s="8" customFormat="1" ht="14.45" customHeight="1" x14ac:dyDescent="0.25">
      <c r="A166" s="3974" t="s">
        <v>223</v>
      </c>
      <c r="B166" s="3974"/>
      <c r="C166" s="3974"/>
      <c r="D166" s="3974"/>
      <c r="E166" s="3984">
        <f t="shared" si="4"/>
        <v>0.16</v>
      </c>
      <c r="F166" s="3984"/>
      <c r="G166" s="3984"/>
      <c r="H166" s="3984"/>
      <c r="I166" s="3984">
        <f t="shared" si="5"/>
        <v>0.17899999999999999</v>
      </c>
      <c r="J166" s="3984"/>
      <c r="K166" s="3984"/>
      <c r="L166" s="3984"/>
    </row>
    <row r="167" spans="1:12" s="8" customFormat="1" ht="14.45" customHeight="1" x14ac:dyDescent="0.25">
      <c r="A167" s="3974" t="s">
        <v>224</v>
      </c>
      <c r="B167" s="3974"/>
      <c r="C167" s="3974"/>
      <c r="D167" s="3974"/>
      <c r="E167" s="3984">
        <f t="shared" si="4"/>
        <v>0.122</v>
      </c>
      <c r="F167" s="3984"/>
      <c r="G167" s="3984"/>
      <c r="H167" s="3984"/>
      <c r="I167" s="3984">
        <f t="shared" si="5"/>
        <v>0.13700000000000001</v>
      </c>
      <c r="J167" s="3984"/>
      <c r="K167" s="3984"/>
      <c r="L167" s="3984"/>
    </row>
    <row r="168" spans="1:12" s="8" customFormat="1" ht="14.45" customHeight="1" x14ac:dyDescent="0.25">
      <c r="A168" s="3974" t="s">
        <v>225</v>
      </c>
      <c r="B168" s="3974"/>
      <c r="C168" s="3974"/>
      <c r="D168" s="3974"/>
      <c r="E168" s="3984">
        <f t="shared" si="4"/>
        <v>0.113</v>
      </c>
      <c r="F168" s="3984"/>
      <c r="G168" s="3984"/>
      <c r="H168" s="3984"/>
      <c r="I168" s="3984">
        <f t="shared" si="5"/>
        <v>0.127</v>
      </c>
      <c r="J168" s="3984"/>
      <c r="K168" s="3984"/>
      <c r="L168" s="3984"/>
    </row>
    <row r="169" spans="1:12" s="8" customFormat="1" ht="14.45" customHeight="1" x14ac:dyDescent="0.25">
      <c r="A169" s="3974" t="s">
        <v>226</v>
      </c>
      <c r="B169" s="3974"/>
      <c r="C169" s="3974"/>
      <c r="D169" s="3974"/>
      <c r="E169" s="3984">
        <f t="shared" si="4"/>
        <v>9.4E-2</v>
      </c>
      <c r="F169" s="3984"/>
      <c r="G169" s="3984"/>
      <c r="H169" s="3984"/>
      <c r="I169" s="3984">
        <f t="shared" si="5"/>
        <v>0.106</v>
      </c>
      <c r="J169" s="3984"/>
      <c r="K169" s="3984"/>
      <c r="L169" s="3984"/>
    </row>
    <row r="170" spans="1:12" s="8" customFormat="1" ht="14.45" customHeight="1" x14ac:dyDescent="0.25">
      <c r="A170" s="3974" t="s">
        <v>55</v>
      </c>
      <c r="B170" s="3974"/>
      <c r="C170" s="3974"/>
      <c r="D170" s="3974"/>
      <c r="E170" s="3984">
        <f t="shared" si="4"/>
        <v>9.4E-2</v>
      </c>
      <c r="F170" s="3984"/>
      <c r="G170" s="3984"/>
      <c r="H170" s="3984"/>
      <c r="I170" s="3984">
        <f t="shared" si="5"/>
        <v>0.106</v>
      </c>
      <c r="J170" s="3984"/>
      <c r="K170" s="3984"/>
      <c r="L170" s="3984"/>
    </row>
    <row r="171" spans="1:12" s="8" customFormat="1" ht="14.45" customHeight="1" x14ac:dyDescent="0.25">
      <c r="A171" s="3974" t="s">
        <v>227</v>
      </c>
      <c r="B171" s="3974"/>
      <c r="C171" s="3974"/>
      <c r="D171" s="3974"/>
      <c r="E171" s="3984">
        <f t="shared" si="4"/>
        <v>0.14099999999999999</v>
      </c>
      <c r="F171" s="3984"/>
      <c r="G171" s="3984"/>
      <c r="H171" s="3984"/>
      <c r="I171" s="3984">
        <f t="shared" si="5"/>
        <v>0.158</v>
      </c>
      <c r="J171" s="3984"/>
      <c r="K171" s="3984"/>
      <c r="L171" s="3984"/>
    </row>
    <row r="172" spans="1:12" s="8" customFormat="1" ht="14.45" customHeight="1" x14ac:dyDescent="0.25">
      <c r="A172" s="3974" t="s">
        <v>228</v>
      </c>
      <c r="B172" s="3974"/>
      <c r="C172" s="3974"/>
      <c r="D172" s="3974"/>
      <c r="E172" s="3984">
        <f t="shared" si="4"/>
        <v>0.113</v>
      </c>
      <c r="F172" s="3984"/>
      <c r="G172" s="3984"/>
      <c r="H172" s="3984"/>
      <c r="I172" s="3984">
        <f t="shared" si="5"/>
        <v>0.127</v>
      </c>
      <c r="J172" s="3984"/>
      <c r="K172" s="3984"/>
      <c r="L172" s="3984"/>
    </row>
    <row r="173" spans="1:12" s="8" customFormat="1" ht="14.45" customHeight="1" x14ac:dyDescent="0.25">
      <c r="A173" s="3974" t="s">
        <v>229</v>
      </c>
      <c r="B173" s="3974"/>
      <c r="C173" s="3974"/>
      <c r="D173" s="3974"/>
      <c r="E173" s="3984">
        <f t="shared" si="4"/>
        <v>8.5000000000000006E-2</v>
      </c>
      <c r="F173" s="3984"/>
      <c r="G173" s="3984"/>
      <c r="H173" s="3984"/>
      <c r="I173" s="3984">
        <f t="shared" si="5"/>
        <v>9.5000000000000001E-2</v>
      </c>
      <c r="J173" s="3984"/>
      <c r="K173" s="3984"/>
      <c r="L173" s="3984"/>
    </row>
    <row r="174" spans="1:12" s="8" customFormat="1" x14ac:dyDescent="0.25"/>
    <row r="175" spans="1:12" s="8" customFormat="1" x14ac:dyDescent="0.25">
      <c r="A175" s="247" t="s">
        <v>851</v>
      </c>
    </row>
    <row r="176" spans="1:12" s="8" customFormat="1" ht="15" customHeight="1" x14ac:dyDescent="0.25">
      <c r="A176" s="2120" t="s">
        <v>54</v>
      </c>
      <c r="B176" s="2120"/>
      <c r="C176" s="2120"/>
      <c r="D176" s="2120"/>
      <c r="E176" s="3982" t="s">
        <v>245</v>
      </c>
      <c r="F176" s="3982"/>
      <c r="G176" s="3982"/>
      <c r="H176" s="3982"/>
      <c r="I176" s="3982" t="s">
        <v>245</v>
      </c>
      <c r="J176" s="3982"/>
      <c r="K176" s="3982"/>
      <c r="L176" s="3982"/>
    </row>
    <row r="177" spans="1:32" s="8" customFormat="1" ht="14.45" customHeight="1" x14ac:dyDescent="0.25">
      <c r="A177" s="2120"/>
      <c r="B177" s="2120"/>
      <c r="C177" s="2120"/>
      <c r="D177" s="2120"/>
      <c r="E177" s="3982" t="s">
        <v>762</v>
      </c>
      <c r="F177" s="3982"/>
      <c r="G177" s="3982"/>
      <c r="H177" s="3982"/>
      <c r="I177" s="3982" t="s">
        <v>244</v>
      </c>
      <c r="J177" s="3982"/>
      <c r="K177" s="3982"/>
      <c r="L177" s="3982"/>
    </row>
    <row r="178" spans="1:32" s="8" customFormat="1" ht="28.9" customHeight="1" x14ac:dyDescent="0.25">
      <c r="A178" s="3974" t="s">
        <v>220</v>
      </c>
      <c r="B178" s="3974"/>
      <c r="C178" s="3974"/>
      <c r="D178" s="3974"/>
      <c r="E178" s="3983">
        <f t="shared" ref="E178:E188" si="6">ROUND(1*($AA$64-$AD$64)*E145,2)</f>
        <v>559.5</v>
      </c>
      <c r="F178" s="3983"/>
      <c r="G178" s="3983"/>
      <c r="H178" s="3983"/>
      <c r="I178" s="3983">
        <f t="shared" ref="I178:I188" si="7">ROUND(1*($AA$65-$AD$65)*I145,2)</f>
        <v>627.9</v>
      </c>
      <c r="J178" s="3983"/>
      <c r="K178" s="3983"/>
      <c r="L178" s="3983"/>
    </row>
    <row r="179" spans="1:32" s="8" customFormat="1" x14ac:dyDescent="0.25">
      <c r="A179" s="3974" t="s">
        <v>221</v>
      </c>
      <c r="B179" s="3974"/>
      <c r="C179" s="3974"/>
      <c r="D179" s="3974"/>
      <c r="E179" s="3983">
        <f t="shared" si="6"/>
        <v>960.9</v>
      </c>
      <c r="F179" s="3983"/>
      <c r="G179" s="3983"/>
      <c r="H179" s="3983"/>
      <c r="I179" s="3983">
        <f t="shared" si="7"/>
        <v>1078.5</v>
      </c>
      <c r="J179" s="3983"/>
      <c r="K179" s="3983"/>
      <c r="L179" s="3983"/>
    </row>
    <row r="180" spans="1:32" s="8" customFormat="1" x14ac:dyDescent="0.25">
      <c r="A180" s="3974" t="s">
        <v>222</v>
      </c>
      <c r="B180" s="3974"/>
      <c r="C180" s="3974"/>
      <c r="D180" s="3974"/>
      <c r="E180" s="3983">
        <f t="shared" si="6"/>
        <v>551.20000000000005</v>
      </c>
      <c r="F180" s="3983"/>
      <c r="G180" s="3983"/>
      <c r="H180" s="3983"/>
      <c r="I180" s="3983">
        <f t="shared" si="7"/>
        <v>618.70000000000005</v>
      </c>
      <c r="J180" s="3983"/>
      <c r="K180" s="3983"/>
      <c r="L180" s="3983"/>
    </row>
    <row r="181" spans="1:32" s="8" customFormat="1" x14ac:dyDescent="0.25">
      <c r="A181" s="3974" t="s">
        <v>223</v>
      </c>
      <c r="B181" s="3974"/>
      <c r="C181" s="3974"/>
      <c r="D181" s="3974"/>
      <c r="E181" s="3983">
        <f t="shared" si="6"/>
        <v>960.9</v>
      </c>
      <c r="F181" s="3983"/>
      <c r="G181" s="3983"/>
      <c r="H181" s="3983"/>
      <c r="I181" s="3983">
        <f t="shared" si="7"/>
        <v>1078.5</v>
      </c>
      <c r="J181" s="3983"/>
      <c r="K181" s="3983"/>
      <c r="L181" s="3983"/>
    </row>
    <row r="182" spans="1:32" s="8" customFormat="1" x14ac:dyDescent="0.25">
      <c r="A182" s="3974" t="s">
        <v>224</v>
      </c>
      <c r="B182" s="3974"/>
      <c r="C182" s="3974"/>
      <c r="D182" s="3974"/>
      <c r="E182" s="3983">
        <f t="shared" si="6"/>
        <v>780.1</v>
      </c>
      <c r="F182" s="3983"/>
      <c r="G182" s="3983"/>
      <c r="H182" s="3983"/>
      <c r="I182" s="3983">
        <f t="shared" si="7"/>
        <v>875.6</v>
      </c>
      <c r="J182" s="3983"/>
      <c r="K182" s="3983"/>
      <c r="L182" s="3983"/>
    </row>
    <row r="183" spans="1:32" s="8" customFormat="1" x14ac:dyDescent="0.25">
      <c r="A183" s="3974" t="s">
        <v>225</v>
      </c>
      <c r="B183" s="3974"/>
      <c r="C183" s="3974"/>
      <c r="D183" s="3974"/>
      <c r="E183" s="3983">
        <f t="shared" si="6"/>
        <v>559.29999999999995</v>
      </c>
      <c r="F183" s="3983"/>
      <c r="G183" s="3983"/>
      <c r="H183" s="3983"/>
      <c r="I183" s="3983">
        <f t="shared" si="7"/>
        <v>627.79999999999995</v>
      </c>
      <c r="J183" s="3983"/>
      <c r="K183" s="3983"/>
      <c r="L183" s="3983"/>
    </row>
    <row r="184" spans="1:32" s="8" customFormat="1" x14ac:dyDescent="0.25">
      <c r="A184" s="3974" t="s">
        <v>226</v>
      </c>
      <c r="B184" s="3974"/>
      <c r="C184" s="3974"/>
      <c r="D184" s="3974"/>
      <c r="E184" s="3983">
        <f t="shared" si="6"/>
        <v>780.1</v>
      </c>
      <c r="F184" s="3983"/>
      <c r="G184" s="3983"/>
      <c r="H184" s="3983"/>
      <c r="I184" s="3983">
        <f t="shared" si="7"/>
        <v>875.6</v>
      </c>
      <c r="J184" s="3983"/>
      <c r="K184" s="3983"/>
      <c r="L184" s="3983"/>
    </row>
    <row r="185" spans="1:32" s="8" customFormat="1" x14ac:dyDescent="0.25">
      <c r="A185" s="3974" t="s">
        <v>55</v>
      </c>
      <c r="B185" s="3974"/>
      <c r="C185" s="3974"/>
      <c r="D185" s="3974"/>
      <c r="E185" s="3983">
        <f t="shared" si="6"/>
        <v>931.3</v>
      </c>
      <c r="F185" s="3983"/>
      <c r="G185" s="3983"/>
      <c r="H185" s="3983"/>
      <c r="I185" s="3983">
        <f t="shared" si="7"/>
        <v>1045.2</v>
      </c>
      <c r="J185" s="3983"/>
      <c r="K185" s="3983"/>
      <c r="L185" s="3983"/>
    </row>
    <row r="186" spans="1:32" s="8" customFormat="1" x14ac:dyDescent="0.25">
      <c r="A186" s="3974" t="s">
        <v>227</v>
      </c>
      <c r="B186" s="3974"/>
      <c r="C186" s="3974"/>
      <c r="D186" s="3974"/>
      <c r="E186" s="3983">
        <f t="shared" si="6"/>
        <v>624.9</v>
      </c>
      <c r="F186" s="3983"/>
      <c r="G186" s="3983"/>
      <c r="H186" s="3983"/>
      <c r="I186" s="3983">
        <f t="shared" si="7"/>
        <v>701.4</v>
      </c>
      <c r="J186" s="3983"/>
      <c r="K186" s="3983"/>
      <c r="L186" s="3983"/>
    </row>
    <row r="187" spans="1:32" s="8" customFormat="1" x14ac:dyDescent="0.25">
      <c r="A187" s="3974" t="s">
        <v>228</v>
      </c>
      <c r="B187" s="3974"/>
      <c r="C187" s="3974"/>
      <c r="D187" s="3974"/>
      <c r="E187" s="3983">
        <f t="shared" si="6"/>
        <v>490.5</v>
      </c>
      <c r="F187" s="3983"/>
      <c r="G187" s="3983"/>
      <c r="H187" s="3983"/>
      <c r="I187" s="3983">
        <f t="shared" si="7"/>
        <v>550.5</v>
      </c>
      <c r="J187" s="3983"/>
      <c r="K187" s="3983"/>
      <c r="L187" s="3983"/>
    </row>
    <row r="188" spans="1:32" s="8" customFormat="1" x14ac:dyDescent="0.25">
      <c r="A188" s="3974" t="s">
        <v>229</v>
      </c>
      <c r="B188" s="3974"/>
      <c r="C188" s="3974"/>
      <c r="D188" s="3974"/>
      <c r="E188" s="3983">
        <f t="shared" si="6"/>
        <v>960.9</v>
      </c>
      <c r="F188" s="3983"/>
      <c r="G188" s="3983"/>
      <c r="H188" s="3983"/>
      <c r="I188" s="3983">
        <f t="shared" si="7"/>
        <v>1078.5</v>
      </c>
      <c r="J188" s="3983"/>
      <c r="K188" s="3983"/>
      <c r="L188" s="3983"/>
    </row>
    <row r="189" spans="1:32" s="8" customFormat="1" x14ac:dyDescent="0.25"/>
    <row r="190" spans="1:32" s="8" customFormat="1" x14ac:dyDescent="0.25"/>
    <row r="191" spans="1:32" s="8" customFormat="1" x14ac:dyDescent="0.25">
      <c r="A191" s="247" t="s">
        <v>854</v>
      </c>
      <c r="B191" s="3"/>
    </row>
    <row r="192" spans="1:32" s="8" customFormat="1" x14ac:dyDescent="0.25">
      <c r="A192" s="3976" t="s">
        <v>54</v>
      </c>
      <c r="B192" s="3977"/>
      <c r="C192" s="3977"/>
      <c r="D192" s="3978"/>
      <c r="E192" s="2119" t="s">
        <v>233</v>
      </c>
      <c r="F192" s="2119"/>
      <c r="G192" s="2119"/>
      <c r="H192" s="2119"/>
      <c r="I192" s="2119" t="s">
        <v>236</v>
      </c>
      <c r="J192" s="2119"/>
      <c r="K192" s="2119"/>
      <c r="L192" s="2119"/>
      <c r="M192" s="2119"/>
      <c r="N192" s="2119"/>
      <c r="O192" s="2119"/>
      <c r="P192" s="2119"/>
      <c r="Q192" s="2119"/>
      <c r="R192" s="2119"/>
      <c r="S192" s="2119"/>
      <c r="T192" s="2119"/>
      <c r="U192" s="2119" t="s">
        <v>235</v>
      </c>
      <c r="V192" s="2119"/>
      <c r="W192" s="2119"/>
      <c r="X192" s="2119"/>
      <c r="Y192" s="2119"/>
      <c r="Z192" s="2119"/>
      <c r="AA192" s="2119"/>
      <c r="AB192" s="2119"/>
      <c r="AC192" s="2119"/>
      <c r="AD192" s="2119"/>
      <c r="AE192" s="2119"/>
      <c r="AF192" s="2119"/>
    </row>
    <row r="193" spans="1:32" s="8" customFormat="1" x14ac:dyDescent="0.25">
      <c r="A193" s="3979"/>
      <c r="B193" s="3980"/>
      <c r="C193" s="3980"/>
      <c r="D193" s="3981"/>
      <c r="E193" s="3982" t="s">
        <v>234</v>
      </c>
      <c r="F193" s="3982"/>
      <c r="G193" s="3982"/>
      <c r="H193" s="3982"/>
      <c r="I193" s="3982" t="s">
        <v>237</v>
      </c>
      <c r="J193" s="3982"/>
      <c r="K193" s="3982"/>
      <c r="L193" s="3982"/>
      <c r="M193" s="3982" t="s">
        <v>238</v>
      </c>
      <c r="N193" s="3982"/>
      <c r="O193" s="3982"/>
      <c r="P193" s="3982"/>
      <c r="Q193" s="3982" t="s">
        <v>239</v>
      </c>
      <c r="R193" s="3982"/>
      <c r="S193" s="3982"/>
      <c r="T193" s="3982"/>
      <c r="U193" s="3982" t="s">
        <v>237</v>
      </c>
      <c r="V193" s="3982"/>
      <c r="W193" s="3982"/>
      <c r="X193" s="3982"/>
      <c r="Y193" s="3982" t="s">
        <v>238</v>
      </c>
      <c r="Z193" s="3982"/>
      <c r="AA193" s="3982"/>
      <c r="AB193" s="3982"/>
      <c r="AC193" s="3982" t="s">
        <v>239</v>
      </c>
      <c r="AD193" s="3982"/>
      <c r="AE193" s="3982"/>
      <c r="AF193" s="3982"/>
    </row>
    <row r="194" spans="1:32" s="8" customFormat="1" ht="28.9" customHeight="1" x14ac:dyDescent="0.25">
      <c r="A194" s="3974" t="s">
        <v>220</v>
      </c>
      <c r="B194" s="3974"/>
      <c r="C194" s="3974"/>
      <c r="D194" s="3974"/>
      <c r="E194" s="3975">
        <f t="shared" ref="E194:E204" si="8">ROUND(1*(U$67-X$67)*E98,3)</f>
        <v>6.4000000000000001E-2</v>
      </c>
      <c r="F194" s="3975"/>
      <c r="G194" s="3975"/>
      <c r="H194" s="3975"/>
      <c r="I194" s="3975">
        <f t="shared" ref="I194:I204" si="9">ROUND(1*(U$68-X$68)*I98,3)</f>
        <v>6.2E-2</v>
      </c>
      <c r="J194" s="3975"/>
      <c r="K194" s="3975"/>
      <c r="L194" s="3975"/>
      <c r="M194" s="3975">
        <f t="shared" ref="M194:M204" si="10">ROUND(1*(U$69-X$69)*M98,3)</f>
        <v>5.8000000000000003E-2</v>
      </c>
      <c r="N194" s="3975"/>
      <c r="O194" s="3975"/>
      <c r="P194" s="3975"/>
      <c r="Q194" s="3975">
        <f t="shared" ref="Q194:Q204" si="11">ROUND(1*(U$70-X$70)*Q98,3)</f>
        <v>5.1999999999999998E-2</v>
      </c>
      <c r="R194" s="3975"/>
      <c r="S194" s="3975"/>
      <c r="T194" s="3975"/>
      <c r="U194" s="3975">
        <f t="shared" ref="U194:U204" si="12">ROUND(1*(U$71-X$71)*U98,3)</f>
        <v>6.0999999999999999E-2</v>
      </c>
      <c r="V194" s="3975"/>
      <c r="W194" s="3975"/>
      <c r="X194" s="3975"/>
      <c r="Y194" s="3975">
        <f t="shared" ref="Y194:Y204" si="13">ROUND(1*(U$72-X$72)*Y98,3)</f>
        <v>5.5E-2</v>
      </c>
      <c r="Z194" s="3975"/>
      <c r="AA194" s="3975"/>
      <c r="AB194" s="3975"/>
      <c r="AC194" s="3975">
        <f t="shared" ref="AC194:AC204" si="14">ROUND(1*(U$73-X$73)*AC98,3)</f>
        <v>0.05</v>
      </c>
      <c r="AD194" s="3975"/>
      <c r="AE194" s="3975"/>
      <c r="AF194" s="3975"/>
    </row>
    <row r="195" spans="1:32" s="8" customFormat="1" x14ac:dyDescent="0.25">
      <c r="A195" s="3974" t="s">
        <v>221</v>
      </c>
      <c r="B195" s="3974"/>
      <c r="C195" s="3974"/>
      <c r="D195" s="3974"/>
      <c r="E195" s="3975">
        <f t="shared" si="8"/>
        <v>7.1999999999999995E-2</v>
      </c>
      <c r="F195" s="3975"/>
      <c r="G195" s="3975"/>
      <c r="H195" s="3975"/>
      <c r="I195" s="3975">
        <f t="shared" si="9"/>
        <v>7.0000000000000007E-2</v>
      </c>
      <c r="J195" s="3975"/>
      <c r="K195" s="3975"/>
      <c r="L195" s="3975"/>
      <c r="M195" s="3975">
        <f t="shared" si="10"/>
        <v>6.5000000000000002E-2</v>
      </c>
      <c r="N195" s="3975"/>
      <c r="O195" s="3975"/>
      <c r="P195" s="3975"/>
      <c r="Q195" s="3975">
        <f t="shared" si="11"/>
        <v>5.8999999999999997E-2</v>
      </c>
      <c r="R195" s="3975"/>
      <c r="S195" s="3975"/>
      <c r="T195" s="3975"/>
      <c r="U195" s="3975">
        <f t="shared" si="12"/>
        <v>6.9000000000000006E-2</v>
      </c>
      <c r="V195" s="3975"/>
      <c r="W195" s="3975"/>
      <c r="X195" s="3975"/>
      <c r="Y195" s="3975">
        <f t="shared" si="13"/>
        <v>6.2E-2</v>
      </c>
      <c r="Z195" s="3975"/>
      <c r="AA195" s="3975"/>
      <c r="AB195" s="3975"/>
      <c r="AC195" s="3975">
        <f t="shared" si="14"/>
        <v>5.7000000000000002E-2</v>
      </c>
      <c r="AD195" s="3975"/>
      <c r="AE195" s="3975"/>
      <c r="AF195" s="3975"/>
    </row>
    <row r="196" spans="1:32" s="8" customFormat="1" x14ac:dyDescent="0.25">
      <c r="A196" s="3974" t="s">
        <v>222</v>
      </c>
      <c r="B196" s="3974"/>
      <c r="C196" s="3974"/>
      <c r="D196" s="3974"/>
      <c r="E196" s="3975">
        <f t="shared" si="8"/>
        <v>8.4000000000000005E-2</v>
      </c>
      <c r="F196" s="3975"/>
      <c r="G196" s="3975"/>
      <c r="H196" s="3975"/>
      <c r="I196" s="3975">
        <f t="shared" si="9"/>
        <v>8.2000000000000003E-2</v>
      </c>
      <c r="J196" s="3975"/>
      <c r="K196" s="3975"/>
      <c r="L196" s="3975"/>
      <c r="M196" s="3975">
        <f t="shared" si="10"/>
        <v>7.5999999999999998E-2</v>
      </c>
      <c r="N196" s="3975"/>
      <c r="O196" s="3975"/>
      <c r="P196" s="3975"/>
      <c r="Q196" s="3975">
        <f t="shared" si="11"/>
        <v>6.8000000000000005E-2</v>
      </c>
      <c r="R196" s="3975"/>
      <c r="S196" s="3975"/>
      <c r="T196" s="3975"/>
      <c r="U196" s="3975">
        <f t="shared" si="12"/>
        <v>0.08</v>
      </c>
      <c r="V196" s="3975"/>
      <c r="W196" s="3975"/>
      <c r="X196" s="3975"/>
      <c r="Y196" s="3975">
        <f t="shared" si="13"/>
        <v>7.1999999999999995E-2</v>
      </c>
      <c r="Z196" s="3975"/>
      <c r="AA196" s="3975"/>
      <c r="AB196" s="3975"/>
      <c r="AC196" s="3975">
        <f t="shared" si="14"/>
        <v>6.6000000000000003E-2</v>
      </c>
      <c r="AD196" s="3975"/>
      <c r="AE196" s="3975"/>
      <c r="AF196" s="3975"/>
    </row>
    <row r="197" spans="1:32" s="8" customFormat="1" x14ac:dyDescent="0.25">
      <c r="A197" s="3974" t="s">
        <v>223</v>
      </c>
      <c r="B197" s="3974"/>
      <c r="C197" s="3974"/>
      <c r="D197" s="3974"/>
      <c r="E197" s="3975">
        <f t="shared" si="8"/>
        <v>5.6000000000000001E-2</v>
      </c>
      <c r="F197" s="3975"/>
      <c r="G197" s="3975"/>
      <c r="H197" s="3975"/>
      <c r="I197" s="3975">
        <f t="shared" si="9"/>
        <v>5.3999999999999999E-2</v>
      </c>
      <c r="J197" s="3975"/>
      <c r="K197" s="3975"/>
      <c r="L197" s="3975"/>
      <c r="M197" s="3975">
        <f t="shared" si="10"/>
        <v>0.05</v>
      </c>
      <c r="N197" s="3975"/>
      <c r="O197" s="3975"/>
      <c r="P197" s="3975"/>
      <c r="Q197" s="3975">
        <f t="shared" si="11"/>
        <v>4.4999999999999998E-2</v>
      </c>
      <c r="R197" s="3975"/>
      <c r="S197" s="3975"/>
      <c r="T197" s="3975"/>
      <c r="U197" s="3975">
        <f t="shared" si="12"/>
        <v>5.2999999999999999E-2</v>
      </c>
      <c r="V197" s="3975"/>
      <c r="W197" s="3975"/>
      <c r="X197" s="3975"/>
      <c r="Y197" s="3975">
        <f t="shared" si="13"/>
        <v>4.8000000000000001E-2</v>
      </c>
      <c r="Z197" s="3975"/>
      <c r="AA197" s="3975"/>
      <c r="AB197" s="3975"/>
      <c r="AC197" s="3975">
        <f t="shared" si="14"/>
        <v>4.3999999999999997E-2</v>
      </c>
      <c r="AD197" s="3975"/>
      <c r="AE197" s="3975"/>
      <c r="AF197" s="3975"/>
    </row>
    <row r="198" spans="1:32" s="8" customFormat="1" x14ac:dyDescent="0.25">
      <c r="A198" s="3974" t="s">
        <v>224</v>
      </c>
      <c r="B198" s="3974"/>
      <c r="C198" s="3974"/>
      <c r="D198" s="3974"/>
      <c r="E198" s="3975">
        <f t="shared" si="8"/>
        <v>7.0999999999999994E-2</v>
      </c>
      <c r="F198" s="3975"/>
      <c r="G198" s="3975"/>
      <c r="H198" s="3975"/>
      <c r="I198" s="3975">
        <f t="shared" si="9"/>
        <v>6.9000000000000006E-2</v>
      </c>
      <c r="J198" s="3975"/>
      <c r="K198" s="3975"/>
      <c r="L198" s="3975"/>
      <c r="M198" s="3975">
        <f t="shared" si="10"/>
        <v>6.4000000000000001E-2</v>
      </c>
      <c r="N198" s="3975"/>
      <c r="O198" s="3975"/>
      <c r="P198" s="3975"/>
      <c r="Q198" s="3975">
        <f t="shared" si="11"/>
        <v>5.8000000000000003E-2</v>
      </c>
      <c r="R198" s="3975"/>
      <c r="S198" s="3975"/>
      <c r="T198" s="3975"/>
      <c r="U198" s="3975">
        <f t="shared" si="12"/>
        <v>6.8000000000000005E-2</v>
      </c>
      <c r="V198" s="3975"/>
      <c r="W198" s="3975"/>
      <c r="X198" s="3975"/>
      <c r="Y198" s="3975">
        <f t="shared" si="13"/>
        <v>6.0999999999999999E-2</v>
      </c>
      <c r="Z198" s="3975"/>
      <c r="AA198" s="3975"/>
      <c r="AB198" s="3975"/>
      <c r="AC198" s="3975">
        <f t="shared" si="14"/>
        <v>5.6000000000000001E-2</v>
      </c>
      <c r="AD198" s="3975"/>
      <c r="AE198" s="3975"/>
      <c r="AF198" s="3975"/>
    </row>
    <row r="199" spans="1:32" s="8" customFormat="1" x14ac:dyDescent="0.25">
      <c r="A199" s="3974" t="s">
        <v>225</v>
      </c>
      <c r="B199" s="3974"/>
      <c r="C199" s="3974"/>
      <c r="D199" s="3974"/>
      <c r="E199" s="3975">
        <f t="shared" si="8"/>
        <v>5.5E-2</v>
      </c>
      <c r="F199" s="3975"/>
      <c r="G199" s="3975"/>
      <c r="H199" s="3975"/>
      <c r="I199" s="3975">
        <f t="shared" si="9"/>
        <v>5.2999999999999999E-2</v>
      </c>
      <c r="J199" s="3975"/>
      <c r="K199" s="3975"/>
      <c r="L199" s="3975"/>
      <c r="M199" s="3975">
        <f t="shared" si="10"/>
        <v>4.9000000000000002E-2</v>
      </c>
      <c r="N199" s="3975"/>
      <c r="O199" s="3975"/>
      <c r="P199" s="3975"/>
      <c r="Q199" s="3975">
        <f t="shared" si="11"/>
        <v>4.3999999999999997E-2</v>
      </c>
      <c r="R199" s="3975"/>
      <c r="S199" s="3975"/>
      <c r="T199" s="3975"/>
      <c r="U199" s="3975">
        <f t="shared" si="12"/>
        <v>5.1999999999999998E-2</v>
      </c>
      <c r="V199" s="3975"/>
      <c r="W199" s="3975"/>
      <c r="X199" s="3975"/>
      <c r="Y199" s="3975">
        <f t="shared" si="13"/>
        <v>4.7E-2</v>
      </c>
      <c r="Z199" s="3975"/>
      <c r="AA199" s="3975"/>
      <c r="AB199" s="3975"/>
      <c r="AC199" s="3975">
        <f t="shared" si="14"/>
        <v>4.2999999999999997E-2</v>
      </c>
      <c r="AD199" s="3975"/>
      <c r="AE199" s="3975"/>
      <c r="AF199" s="3975"/>
    </row>
    <row r="200" spans="1:32" s="8" customFormat="1" x14ac:dyDescent="0.25">
      <c r="A200" s="3974" t="s">
        <v>226</v>
      </c>
      <c r="B200" s="3974"/>
      <c r="C200" s="3974"/>
      <c r="D200" s="3974"/>
      <c r="E200" s="3975">
        <f t="shared" si="8"/>
        <v>6.4000000000000001E-2</v>
      </c>
      <c r="F200" s="3975"/>
      <c r="G200" s="3975"/>
      <c r="H200" s="3975"/>
      <c r="I200" s="3975">
        <f t="shared" si="9"/>
        <v>6.2E-2</v>
      </c>
      <c r="J200" s="3975"/>
      <c r="K200" s="3975"/>
      <c r="L200" s="3975"/>
      <c r="M200" s="3975">
        <f t="shared" si="10"/>
        <v>5.8000000000000003E-2</v>
      </c>
      <c r="N200" s="3975"/>
      <c r="O200" s="3975"/>
      <c r="P200" s="3975"/>
      <c r="Q200" s="3975">
        <f t="shared" si="11"/>
        <v>5.1999999999999998E-2</v>
      </c>
      <c r="R200" s="3975"/>
      <c r="S200" s="3975"/>
      <c r="T200" s="3975"/>
      <c r="U200" s="3975">
        <f t="shared" si="12"/>
        <v>6.0999999999999999E-2</v>
      </c>
      <c r="V200" s="3975"/>
      <c r="W200" s="3975"/>
      <c r="X200" s="3975"/>
      <c r="Y200" s="3975">
        <f t="shared" si="13"/>
        <v>5.5E-2</v>
      </c>
      <c r="Z200" s="3975"/>
      <c r="AA200" s="3975"/>
      <c r="AB200" s="3975"/>
      <c r="AC200" s="3975">
        <f t="shared" si="14"/>
        <v>0.05</v>
      </c>
      <c r="AD200" s="3975"/>
      <c r="AE200" s="3975"/>
      <c r="AF200" s="3975"/>
    </row>
    <row r="201" spans="1:32" s="8" customFormat="1" x14ac:dyDescent="0.25">
      <c r="A201" s="3974" t="s">
        <v>55</v>
      </c>
      <c r="B201" s="3974"/>
      <c r="C201" s="3974"/>
      <c r="D201" s="3974"/>
      <c r="E201" s="3975">
        <f t="shared" si="8"/>
        <v>4.8000000000000001E-2</v>
      </c>
      <c r="F201" s="3975"/>
      <c r="G201" s="3975"/>
      <c r="H201" s="3975"/>
      <c r="I201" s="3975">
        <f t="shared" si="9"/>
        <v>4.7E-2</v>
      </c>
      <c r="J201" s="3975"/>
      <c r="K201" s="3975"/>
      <c r="L201" s="3975"/>
      <c r="M201" s="3975">
        <f t="shared" si="10"/>
        <v>4.2999999999999997E-2</v>
      </c>
      <c r="N201" s="3975"/>
      <c r="O201" s="3975"/>
      <c r="P201" s="3975"/>
      <c r="Q201" s="3975">
        <f t="shared" si="11"/>
        <v>3.9E-2</v>
      </c>
      <c r="R201" s="3975"/>
      <c r="S201" s="3975"/>
      <c r="T201" s="3975"/>
      <c r="U201" s="3975">
        <f t="shared" si="12"/>
        <v>4.5999999999999999E-2</v>
      </c>
      <c r="V201" s="3975"/>
      <c r="W201" s="3975"/>
      <c r="X201" s="3975"/>
      <c r="Y201" s="3975">
        <f t="shared" si="13"/>
        <v>4.1000000000000002E-2</v>
      </c>
      <c r="Z201" s="3975"/>
      <c r="AA201" s="3975"/>
      <c r="AB201" s="3975"/>
      <c r="AC201" s="3975">
        <f t="shared" si="14"/>
        <v>3.7999999999999999E-2</v>
      </c>
      <c r="AD201" s="3975"/>
      <c r="AE201" s="3975"/>
      <c r="AF201" s="3975"/>
    </row>
    <row r="202" spans="1:32" s="8" customFormat="1" x14ac:dyDescent="0.25">
      <c r="A202" s="3974" t="s">
        <v>227</v>
      </c>
      <c r="B202" s="3974"/>
      <c r="C202" s="3974"/>
      <c r="D202" s="3974"/>
      <c r="E202" s="3975">
        <f t="shared" si="8"/>
        <v>5.6000000000000001E-2</v>
      </c>
      <c r="F202" s="3975"/>
      <c r="G202" s="3975"/>
      <c r="H202" s="3975"/>
      <c r="I202" s="3975">
        <f t="shared" si="9"/>
        <v>5.3999999999999999E-2</v>
      </c>
      <c r="J202" s="3975"/>
      <c r="K202" s="3975"/>
      <c r="L202" s="3975"/>
      <c r="M202" s="3975">
        <f t="shared" si="10"/>
        <v>0.05</v>
      </c>
      <c r="N202" s="3975"/>
      <c r="O202" s="3975"/>
      <c r="P202" s="3975"/>
      <c r="Q202" s="3975">
        <f t="shared" si="11"/>
        <v>4.4999999999999998E-2</v>
      </c>
      <c r="R202" s="3975"/>
      <c r="S202" s="3975"/>
      <c r="T202" s="3975"/>
      <c r="U202" s="3975">
        <f t="shared" si="12"/>
        <v>5.2999999999999999E-2</v>
      </c>
      <c r="V202" s="3975"/>
      <c r="W202" s="3975"/>
      <c r="X202" s="3975"/>
      <c r="Y202" s="3975">
        <f t="shared" si="13"/>
        <v>4.8000000000000001E-2</v>
      </c>
      <c r="Z202" s="3975"/>
      <c r="AA202" s="3975"/>
      <c r="AB202" s="3975"/>
      <c r="AC202" s="3975">
        <f t="shared" si="14"/>
        <v>4.3999999999999997E-2</v>
      </c>
      <c r="AD202" s="3975"/>
      <c r="AE202" s="3975"/>
      <c r="AF202" s="3975"/>
    </row>
    <row r="203" spans="1:32" s="8" customFormat="1" x14ac:dyDescent="0.25">
      <c r="A203" s="3974" t="s">
        <v>228</v>
      </c>
      <c r="B203" s="3974"/>
      <c r="C203" s="3974"/>
      <c r="D203" s="3974"/>
      <c r="E203" s="3975">
        <f t="shared" si="8"/>
        <v>6.9000000000000006E-2</v>
      </c>
      <c r="F203" s="3975"/>
      <c r="G203" s="3975"/>
      <c r="H203" s="3975"/>
      <c r="I203" s="3975">
        <f t="shared" si="9"/>
        <v>6.7000000000000004E-2</v>
      </c>
      <c r="J203" s="3975"/>
      <c r="K203" s="3975"/>
      <c r="L203" s="3975"/>
      <c r="M203" s="3975">
        <f t="shared" si="10"/>
        <v>6.2E-2</v>
      </c>
      <c r="N203" s="3975"/>
      <c r="O203" s="3975"/>
      <c r="P203" s="3975"/>
      <c r="Q203" s="3975">
        <f t="shared" si="11"/>
        <v>5.6000000000000001E-2</v>
      </c>
      <c r="R203" s="3975"/>
      <c r="S203" s="3975"/>
      <c r="T203" s="3975"/>
      <c r="U203" s="3975">
        <f t="shared" si="12"/>
        <v>6.6000000000000003E-2</v>
      </c>
      <c r="V203" s="3975"/>
      <c r="W203" s="3975"/>
      <c r="X203" s="3975"/>
      <c r="Y203" s="3975">
        <f t="shared" si="13"/>
        <v>5.8999999999999997E-2</v>
      </c>
      <c r="Z203" s="3975"/>
      <c r="AA203" s="3975"/>
      <c r="AB203" s="3975"/>
      <c r="AC203" s="3975">
        <f t="shared" si="14"/>
        <v>5.3999999999999999E-2</v>
      </c>
      <c r="AD203" s="3975"/>
      <c r="AE203" s="3975"/>
      <c r="AF203" s="3975"/>
    </row>
    <row r="204" spans="1:32" s="8" customFormat="1" x14ac:dyDescent="0.25">
      <c r="A204" s="3974" t="s">
        <v>229</v>
      </c>
      <c r="B204" s="3974"/>
      <c r="C204" s="3974"/>
      <c r="D204" s="3974"/>
      <c r="E204" s="3975">
        <f t="shared" si="8"/>
        <v>6.3E-2</v>
      </c>
      <c r="F204" s="3975"/>
      <c r="G204" s="3975"/>
      <c r="H204" s="3975"/>
      <c r="I204" s="3975">
        <f t="shared" si="9"/>
        <v>6.0999999999999999E-2</v>
      </c>
      <c r="J204" s="3975"/>
      <c r="K204" s="3975"/>
      <c r="L204" s="3975"/>
      <c r="M204" s="3975">
        <f t="shared" si="10"/>
        <v>5.7000000000000002E-2</v>
      </c>
      <c r="N204" s="3975"/>
      <c r="O204" s="3975"/>
      <c r="P204" s="3975"/>
      <c r="Q204" s="3975">
        <f t="shared" si="11"/>
        <v>5.0999999999999997E-2</v>
      </c>
      <c r="R204" s="3975"/>
      <c r="S204" s="3975"/>
      <c r="T204" s="3975"/>
      <c r="U204" s="3975">
        <f t="shared" si="12"/>
        <v>0.06</v>
      </c>
      <c r="V204" s="3975"/>
      <c r="W204" s="3975"/>
      <c r="X204" s="3975"/>
      <c r="Y204" s="3975">
        <f t="shared" si="13"/>
        <v>5.3999999999999999E-2</v>
      </c>
      <c r="Z204" s="3975"/>
      <c r="AA204" s="3975"/>
      <c r="AB204" s="3975"/>
      <c r="AC204" s="3975">
        <f t="shared" si="14"/>
        <v>0.05</v>
      </c>
      <c r="AD204" s="3975"/>
      <c r="AE204" s="3975"/>
      <c r="AF204" s="3975"/>
    </row>
    <row r="205" spans="1:32" s="8" customFormat="1" x14ac:dyDescent="0.25"/>
    <row r="206" spans="1:32" s="8" customFormat="1" x14ac:dyDescent="0.25">
      <c r="A206" s="247" t="s">
        <v>855</v>
      </c>
    </row>
    <row r="207" spans="1:32" s="8" customFormat="1" x14ac:dyDescent="0.25">
      <c r="A207" s="3976" t="s">
        <v>54</v>
      </c>
      <c r="B207" s="3977"/>
      <c r="C207" s="3977"/>
      <c r="D207" s="3978"/>
      <c r="E207" s="2119" t="s">
        <v>233</v>
      </c>
      <c r="F207" s="2119"/>
      <c r="G207" s="2119"/>
      <c r="H207" s="2119"/>
      <c r="I207" s="2119" t="s">
        <v>236</v>
      </c>
      <c r="J207" s="2119"/>
      <c r="K207" s="2119"/>
      <c r="L207" s="2119"/>
      <c r="M207" s="2119"/>
      <c r="N207" s="2119"/>
      <c r="O207" s="2119"/>
      <c r="P207" s="2119"/>
      <c r="Q207" s="2119"/>
      <c r="R207" s="2119"/>
      <c r="S207" s="2119"/>
      <c r="T207" s="2119"/>
      <c r="U207" s="2119" t="s">
        <v>235</v>
      </c>
      <c r="V207" s="2119"/>
      <c r="W207" s="2119"/>
      <c r="X207" s="2119"/>
      <c r="Y207" s="2119"/>
      <c r="Z207" s="2119"/>
      <c r="AA207" s="2119"/>
      <c r="AB207" s="2119"/>
      <c r="AC207" s="2119"/>
      <c r="AD207" s="2119"/>
      <c r="AE207" s="2119"/>
      <c r="AF207" s="2119"/>
    </row>
    <row r="208" spans="1:32" s="8" customFormat="1" x14ac:dyDescent="0.25">
      <c r="A208" s="3979"/>
      <c r="B208" s="3980"/>
      <c r="C208" s="3980"/>
      <c r="D208" s="3981"/>
      <c r="E208" s="3982" t="s">
        <v>234</v>
      </c>
      <c r="F208" s="3982"/>
      <c r="G208" s="3982"/>
      <c r="H208" s="3982"/>
      <c r="I208" s="3982" t="s">
        <v>237</v>
      </c>
      <c r="J208" s="3982"/>
      <c r="K208" s="3982"/>
      <c r="L208" s="3982"/>
      <c r="M208" s="3982" t="s">
        <v>238</v>
      </c>
      <c r="N208" s="3982"/>
      <c r="O208" s="3982"/>
      <c r="P208" s="3982"/>
      <c r="Q208" s="3982" t="s">
        <v>239</v>
      </c>
      <c r="R208" s="3982"/>
      <c r="S208" s="3982"/>
      <c r="T208" s="3982"/>
      <c r="U208" s="3982" t="s">
        <v>237</v>
      </c>
      <c r="V208" s="3982"/>
      <c r="W208" s="3982"/>
      <c r="X208" s="3982"/>
      <c r="Y208" s="3982" t="s">
        <v>238</v>
      </c>
      <c r="Z208" s="3982"/>
      <c r="AA208" s="3982"/>
      <c r="AB208" s="3982"/>
      <c r="AC208" s="3982" t="s">
        <v>239</v>
      </c>
      <c r="AD208" s="3982"/>
      <c r="AE208" s="3982"/>
      <c r="AF208" s="3982"/>
    </row>
    <row r="209" spans="1:32" s="8" customFormat="1" ht="28.9" customHeight="1" x14ac:dyDescent="0.25">
      <c r="A209" s="3974" t="s">
        <v>220</v>
      </c>
      <c r="B209" s="3974"/>
      <c r="C209" s="3974"/>
      <c r="D209" s="3974"/>
      <c r="E209" s="3973">
        <f t="shared" ref="E209:E219" si="15">ROUND(1*(AA$67-AD$67)*E130,2)</f>
        <v>282.26</v>
      </c>
      <c r="F209" s="3973"/>
      <c r="G209" s="3973"/>
      <c r="H209" s="3973"/>
      <c r="I209" s="3973">
        <f>ROUND(1*(AA$68-AD$68)*I130,2)</f>
        <v>300.23</v>
      </c>
      <c r="J209" s="3973"/>
      <c r="K209" s="3973"/>
      <c r="L209" s="3973"/>
      <c r="M209" s="3973">
        <f>ROUND(1*(AA$69-AD$69)*M130,2)</f>
        <v>278.36</v>
      </c>
      <c r="N209" s="3973"/>
      <c r="O209" s="3973"/>
      <c r="P209" s="3973"/>
      <c r="Q209" s="3973">
        <f>ROUND(1*(AA$70-AD$70)*Q130,2)</f>
        <v>249.86</v>
      </c>
      <c r="R209" s="3973"/>
      <c r="S209" s="3973"/>
      <c r="T209" s="3973"/>
      <c r="U209" s="3973">
        <f>ROUND(1*(AA$71-AD$71)*U130,2)</f>
        <v>299.10000000000002</v>
      </c>
      <c r="V209" s="3973"/>
      <c r="W209" s="3973"/>
      <c r="X209" s="3973"/>
      <c r="Y209" s="3973">
        <f>ROUND(1*(AA$72-AD$72)*Y130,2)</f>
        <v>267.8</v>
      </c>
      <c r="Z209" s="3973"/>
      <c r="AA209" s="3973"/>
      <c r="AB209" s="3973"/>
      <c r="AC209" s="3973">
        <f>ROUND(1*(AA$73-AD$73)*AC130,2)</f>
        <v>245.5</v>
      </c>
      <c r="AD209" s="3973"/>
      <c r="AE209" s="3973"/>
      <c r="AF209" s="3973"/>
    </row>
    <row r="210" spans="1:32" s="8" customFormat="1" x14ac:dyDescent="0.25">
      <c r="A210" s="3974" t="s">
        <v>221</v>
      </c>
      <c r="B210" s="3974"/>
      <c r="C210" s="3974"/>
      <c r="D210" s="3974"/>
      <c r="E210" s="3973">
        <f t="shared" si="15"/>
        <v>484.76</v>
      </c>
      <c r="F210" s="3973"/>
      <c r="G210" s="3973"/>
      <c r="H210" s="3973"/>
      <c r="I210" s="3973">
        <f t="shared" ref="I210:I219" si="16">ROUND(1*(AA$68-AD$68)*E131,2)</f>
        <v>500.92</v>
      </c>
      <c r="J210" s="3973"/>
      <c r="K210" s="3973"/>
      <c r="L210" s="3973"/>
      <c r="M210" s="3973">
        <f t="shared" ref="M210:M219" si="17">ROUND(1*(AA$69-AD$69)*E131,2)</f>
        <v>455.38</v>
      </c>
      <c r="N210" s="3973"/>
      <c r="O210" s="3973"/>
      <c r="P210" s="3973"/>
      <c r="Q210" s="3973">
        <f t="shared" ref="Q210:Q219" si="18">ROUND(1*(AA$70-AD$70)*E131,2)</f>
        <v>402.53</v>
      </c>
      <c r="R210" s="3973"/>
      <c r="S210" s="3973"/>
      <c r="T210" s="3973"/>
      <c r="U210" s="3973">
        <f t="shared" ref="U210:U219" si="19">ROUND(1*(AA$71-AD$71)*E131,2)</f>
        <v>450.83</v>
      </c>
      <c r="V210" s="3973"/>
      <c r="W210" s="3973"/>
      <c r="X210" s="3973"/>
      <c r="Y210" s="3973">
        <f t="shared" ref="Y210:Y219" si="20">ROUND(1*(AA$72-AD$72)*E131,2)</f>
        <v>406.15</v>
      </c>
      <c r="Z210" s="3973"/>
      <c r="AA210" s="3973"/>
      <c r="AB210" s="3973"/>
      <c r="AC210" s="3973">
        <f t="shared" ref="AC210:AC219" si="21">ROUND(1*(AA$73-AD$73)*E131,2)</f>
        <v>369.53</v>
      </c>
      <c r="AD210" s="3973"/>
      <c r="AE210" s="3973"/>
      <c r="AF210" s="3973"/>
    </row>
    <row r="211" spans="1:32" s="8" customFormat="1" x14ac:dyDescent="0.25">
      <c r="A211" s="3974" t="s">
        <v>222</v>
      </c>
      <c r="B211" s="3974"/>
      <c r="C211" s="3974"/>
      <c r="D211" s="3974"/>
      <c r="E211" s="3973">
        <f t="shared" si="15"/>
        <v>278.10000000000002</v>
      </c>
      <c r="F211" s="3973"/>
      <c r="G211" s="3973"/>
      <c r="H211" s="3973"/>
      <c r="I211" s="3973">
        <f t="shared" si="16"/>
        <v>287.37</v>
      </c>
      <c r="J211" s="3973"/>
      <c r="K211" s="3973"/>
      <c r="L211" s="3973"/>
      <c r="M211" s="3973">
        <f t="shared" si="17"/>
        <v>261.25</v>
      </c>
      <c r="N211" s="3973"/>
      <c r="O211" s="3973"/>
      <c r="P211" s="3973"/>
      <c r="Q211" s="3973">
        <f t="shared" si="18"/>
        <v>230.93</v>
      </c>
      <c r="R211" s="3973"/>
      <c r="S211" s="3973"/>
      <c r="T211" s="3973"/>
      <c r="U211" s="3973">
        <f t="shared" si="19"/>
        <v>258.64</v>
      </c>
      <c r="V211" s="3973"/>
      <c r="W211" s="3973"/>
      <c r="X211" s="3973"/>
      <c r="Y211" s="3973">
        <f t="shared" si="20"/>
        <v>233.01</v>
      </c>
      <c r="Z211" s="3973"/>
      <c r="AA211" s="3973"/>
      <c r="AB211" s="3973"/>
      <c r="AC211" s="3973">
        <f t="shared" si="21"/>
        <v>212</v>
      </c>
      <c r="AD211" s="3973"/>
      <c r="AE211" s="3973"/>
      <c r="AF211" s="3973"/>
    </row>
    <row r="212" spans="1:32" s="8" customFormat="1" x14ac:dyDescent="0.25">
      <c r="A212" s="3974" t="s">
        <v>223</v>
      </c>
      <c r="B212" s="3974"/>
      <c r="C212" s="3974"/>
      <c r="D212" s="3974"/>
      <c r="E212" s="3973">
        <f t="shared" si="15"/>
        <v>484.76</v>
      </c>
      <c r="F212" s="3973"/>
      <c r="G212" s="3973"/>
      <c r="H212" s="3973"/>
      <c r="I212" s="3973">
        <f t="shared" si="16"/>
        <v>500.92</v>
      </c>
      <c r="J212" s="3973"/>
      <c r="K212" s="3973"/>
      <c r="L212" s="3973"/>
      <c r="M212" s="3973">
        <f t="shared" si="17"/>
        <v>455.38</v>
      </c>
      <c r="N212" s="3973"/>
      <c r="O212" s="3973"/>
      <c r="P212" s="3973"/>
      <c r="Q212" s="3973">
        <f t="shared" si="18"/>
        <v>402.53</v>
      </c>
      <c r="R212" s="3973"/>
      <c r="S212" s="3973"/>
      <c r="T212" s="3973"/>
      <c r="U212" s="3973">
        <f t="shared" si="19"/>
        <v>450.83</v>
      </c>
      <c r="V212" s="3973"/>
      <c r="W212" s="3973"/>
      <c r="X212" s="3973"/>
      <c r="Y212" s="3973">
        <f t="shared" si="20"/>
        <v>406.15</v>
      </c>
      <c r="Z212" s="3973"/>
      <c r="AA212" s="3973"/>
      <c r="AB212" s="3973"/>
      <c r="AC212" s="3973">
        <f t="shared" si="21"/>
        <v>369.53</v>
      </c>
      <c r="AD212" s="3973"/>
      <c r="AE212" s="3973"/>
      <c r="AF212" s="3973"/>
    </row>
    <row r="213" spans="1:32" s="8" customFormat="1" x14ac:dyDescent="0.25">
      <c r="A213" s="3974" t="s">
        <v>224</v>
      </c>
      <c r="B213" s="3974"/>
      <c r="C213" s="3974"/>
      <c r="D213" s="3974"/>
      <c r="E213" s="3973">
        <f t="shared" si="15"/>
        <v>393.54</v>
      </c>
      <c r="F213" s="3973"/>
      <c r="G213" s="3973"/>
      <c r="H213" s="3973"/>
      <c r="I213" s="3973">
        <f t="shared" si="16"/>
        <v>406.65</v>
      </c>
      <c r="J213" s="3973"/>
      <c r="K213" s="3973"/>
      <c r="L213" s="3973"/>
      <c r="M213" s="3973">
        <f t="shared" si="17"/>
        <v>369.68</v>
      </c>
      <c r="N213" s="3973"/>
      <c r="O213" s="3973"/>
      <c r="P213" s="3973"/>
      <c r="Q213" s="3973">
        <f t="shared" si="18"/>
        <v>326.77999999999997</v>
      </c>
      <c r="R213" s="3973"/>
      <c r="S213" s="3973"/>
      <c r="T213" s="3973"/>
      <c r="U213" s="3973">
        <f t="shared" si="19"/>
        <v>365.99</v>
      </c>
      <c r="V213" s="3973"/>
      <c r="W213" s="3973"/>
      <c r="X213" s="3973"/>
      <c r="Y213" s="3973">
        <f t="shared" si="20"/>
        <v>329.72</v>
      </c>
      <c r="Z213" s="3973"/>
      <c r="AA213" s="3973"/>
      <c r="AB213" s="3973"/>
      <c r="AC213" s="3973">
        <f t="shared" si="21"/>
        <v>299.99</v>
      </c>
      <c r="AD213" s="3973"/>
      <c r="AE213" s="3973"/>
      <c r="AF213" s="3973"/>
    </row>
    <row r="214" spans="1:32" s="8" customFormat="1" x14ac:dyDescent="0.25">
      <c r="A214" s="3974" t="s">
        <v>225</v>
      </c>
      <c r="B214" s="3974"/>
      <c r="C214" s="3974"/>
      <c r="D214" s="3974"/>
      <c r="E214" s="3973">
        <f t="shared" si="15"/>
        <v>282.17</v>
      </c>
      <c r="F214" s="3973"/>
      <c r="G214" s="3973"/>
      <c r="H214" s="3973"/>
      <c r="I214" s="3973">
        <f t="shared" si="16"/>
        <v>291.57</v>
      </c>
      <c r="J214" s="3973"/>
      <c r="K214" s="3973"/>
      <c r="L214" s="3973"/>
      <c r="M214" s="3973">
        <f t="shared" si="17"/>
        <v>265.07</v>
      </c>
      <c r="N214" s="3973"/>
      <c r="O214" s="3973"/>
      <c r="P214" s="3973"/>
      <c r="Q214" s="3973">
        <f t="shared" si="18"/>
        <v>234.3</v>
      </c>
      <c r="R214" s="3973"/>
      <c r="S214" s="3973"/>
      <c r="T214" s="3973"/>
      <c r="U214" s="3973">
        <f t="shared" si="19"/>
        <v>262.42</v>
      </c>
      <c r="V214" s="3973"/>
      <c r="W214" s="3973"/>
      <c r="X214" s="3973"/>
      <c r="Y214" s="3973">
        <f t="shared" si="20"/>
        <v>236.41</v>
      </c>
      <c r="Z214" s="3973"/>
      <c r="AA214" s="3973"/>
      <c r="AB214" s="3973"/>
      <c r="AC214" s="3973">
        <f t="shared" si="21"/>
        <v>215.1</v>
      </c>
      <c r="AD214" s="3973"/>
      <c r="AE214" s="3973"/>
      <c r="AF214" s="3973"/>
    </row>
    <row r="215" spans="1:32" s="8" customFormat="1" x14ac:dyDescent="0.25">
      <c r="A215" s="3974" t="s">
        <v>226</v>
      </c>
      <c r="B215" s="3974"/>
      <c r="C215" s="3974"/>
      <c r="D215" s="3974"/>
      <c r="E215" s="3973">
        <f t="shared" si="15"/>
        <v>393.54</v>
      </c>
      <c r="F215" s="3973"/>
      <c r="G215" s="3973"/>
      <c r="H215" s="3973"/>
      <c r="I215" s="3973">
        <f t="shared" si="16"/>
        <v>406.65</v>
      </c>
      <c r="J215" s="3973"/>
      <c r="K215" s="3973"/>
      <c r="L215" s="3973"/>
      <c r="M215" s="3973">
        <f t="shared" si="17"/>
        <v>369.68</v>
      </c>
      <c r="N215" s="3973"/>
      <c r="O215" s="3973"/>
      <c r="P215" s="3973"/>
      <c r="Q215" s="3973">
        <f t="shared" si="18"/>
        <v>326.77999999999997</v>
      </c>
      <c r="R215" s="3973"/>
      <c r="S215" s="3973"/>
      <c r="T215" s="3973"/>
      <c r="U215" s="3973">
        <f t="shared" si="19"/>
        <v>365.99</v>
      </c>
      <c r="V215" s="3973"/>
      <c r="W215" s="3973"/>
      <c r="X215" s="3973"/>
      <c r="Y215" s="3973">
        <f t="shared" si="20"/>
        <v>329.72</v>
      </c>
      <c r="Z215" s="3973"/>
      <c r="AA215" s="3973"/>
      <c r="AB215" s="3973"/>
      <c r="AC215" s="3973">
        <f t="shared" si="21"/>
        <v>299.99</v>
      </c>
      <c r="AD215" s="3973"/>
      <c r="AE215" s="3973"/>
      <c r="AF215" s="3973"/>
    </row>
    <row r="216" spans="1:32" s="8" customFormat="1" x14ac:dyDescent="0.25">
      <c r="A216" s="3974" t="s">
        <v>55</v>
      </c>
      <c r="B216" s="3974"/>
      <c r="C216" s="3974"/>
      <c r="D216" s="3974"/>
      <c r="E216" s="3973">
        <f t="shared" si="15"/>
        <v>469.77</v>
      </c>
      <c r="F216" s="3973"/>
      <c r="G216" s="3973"/>
      <c r="H216" s="3973"/>
      <c r="I216" s="3973">
        <f t="shared" si="16"/>
        <v>485.43</v>
      </c>
      <c r="J216" s="3973"/>
      <c r="K216" s="3973"/>
      <c r="L216" s="3973"/>
      <c r="M216" s="3973">
        <f t="shared" si="17"/>
        <v>441.3</v>
      </c>
      <c r="N216" s="3973"/>
      <c r="O216" s="3973"/>
      <c r="P216" s="3973"/>
      <c r="Q216" s="3973">
        <f t="shared" si="18"/>
        <v>390.08</v>
      </c>
      <c r="R216" s="3973"/>
      <c r="S216" s="3973"/>
      <c r="T216" s="3973"/>
      <c r="U216" s="3973">
        <f t="shared" si="19"/>
        <v>436.88</v>
      </c>
      <c r="V216" s="3973"/>
      <c r="W216" s="3973"/>
      <c r="X216" s="3973"/>
      <c r="Y216" s="3973">
        <f t="shared" si="20"/>
        <v>393.59</v>
      </c>
      <c r="Z216" s="3973"/>
      <c r="AA216" s="3973"/>
      <c r="AB216" s="3973"/>
      <c r="AC216" s="3973">
        <f t="shared" si="21"/>
        <v>358.1</v>
      </c>
      <c r="AD216" s="3973"/>
      <c r="AE216" s="3973"/>
      <c r="AF216" s="3973"/>
    </row>
    <row r="217" spans="1:32" s="8" customFormat="1" x14ac:dyDescent="0.25">
      <c r="A217" s="3974" t="s">
        <v>227</v>
      </c>
      <c r="B217" s="3974"/>
      <c r="C217" s="3974"/>
      <c r="D217" s="3974"/>
      <c r="E217" s="3973">
        <f t="shared" si="15"/>
        <v>315.23</v>
      </c>
      <c r="F217" s="3973"/>
      <c r="G217" s="3973"/>
      <c r="H217" s="3973"/>
      <c r="I217" s="3973">
        <f t="shared" si="16"/>
        <v>325.73</v>
      </c>
      <c r="J217" s="3973"/>
      <c r="K217" s="3973"/>
      <c r="L217" s="3973"/>
      <c r="M217" s="3973">
        <f t="shared" si="17"/>
        <v>296.12</v>
      </c>
      <c r="N217" s="3973"/>
      <c r="O217" s="3973"/>
      <c r="P217" s="3973"/>
      <c r="Q217" s="3973">
        <f t="shared" si="18"/>
        <v>261.75</v>
      </c>
      <c r="R217" s="3973"/>
      <c r="S217" s="3973"/>
      <c r="T217" s="3973"/>
      <c r="U217" s="3973">
        <f t="shared" si="19"/>
        <v>293.16000000000003</v>
      </c>
      <c r="V217" s="3973"/>
      <c r="W217" s="3973"/>
      <c r="X217" s="3973"/>
      <c r="Y217" s="3973">
        <f t="shared" si="20"/>
        <v>264.11</v>
      </c>
      <c r="Z217" s="3973"/>
      <c r="AA217" s="3973"/>
      <c r="AB217" s="3973"/>
      <c r="AC217" s="3973">
        <f t="shared" si="21"/>
        <v>240.3</v>
      </c>
      <c r="AD217" s="3973"/>
      <c r="AE217" s="3973"/>
      <c r="AF217" s="3973"/>
    </row>
    <row r="218" spans="1:32" s="8" customFormat="1" x14ac:dyDescent="0.25">
      <c r="A218" s="3974" t="s">
        <v>228</v>
      </c>
      <c r="B218" s="3974"/>
      <c r="C218" s="3974"/>
      <c r="D218" s="3974"/>
      <c r="E218" s="3973">
        <f t="shared" si="15"/>
        <v>247.39</v>
      </c>
      <c r="F218" s="3973"/>
      <c r="G218" s="3973"/>
      <c r="H218" s="3973"/>
      <c r="I218" s="3973">
        <f t="shared" si="16"/>
        <v>255.64</v>
      </c>
      <c r="J218" s="3973"/>
      <c r="K218" s="3973"/>
      <c r="L218" s="3973"/>
      <c r="M218" s="3973">
        <f t="shared" si="17"/>
        <v>232.4</v>
      </c>
      <c r="N218" s="3973"/>
      <c r="O218" s="3973"/>
      <c r="P218" s="3973"/>
      <c r="Q218" s="3973">
        <f t="shared" si="18"/>
        <v>205.43</v>
      </c>
      <c r="R218" s="3973"/>
      <c r="S218" s="3973"/>
      <c r="T218" s="3973"/>
      <c r="U218" s="3973">
        <f t="shared" si="19"/>
        <v>230.08</v>
      </c>
      <c r="V218" s="3973"/>
      <c r="W218" s="3973"/>
      <c r="X218" s="3973"/>
      <c r="Y218" s="3973">
        <f t="shared" si="20"/>
        <v>207.28</v>
      </c>
      <c r="Z218" s="3973"/>
      <c r="AA218" s="3973"/>
      <c r="AB218" s="3973"/>
      <c r="AC218" s="3973">
        <f t="shared" si="21"/>
        <v>188.59</v>
      </c>
      <c r="AD218" s="3973"/>
      <c r="AE218" s="3973"/>
      <c r="AF218" s="3973"/>
    </row>
    <row r="219" spans="1:32" s="8" customFormat="1" x14ac:dyDescent="0.25">
      <c r="A219" s="3974" t="s">
        <v>229</v>
      </c>
      <c r="B219" s="3974"/>
      <c r="C219" s="3974"/>
      <c r="D219" s="3974"/>
      <c r="E219" s="3973">
        <f t="shared" si="15"/>
        <v>484.76</v>
      </c>
      <c r="F219" s="3973"/>
      <c r="G219" s="3973"/>
      <c r="H219" s="3973"/>
      <c r="I219" s="3973">
        <f t="shared" si="16"/>
        <v>500.92</v>
      </c>
      <c r="J219" s="3973"/>
      <c r="K219" s="3973"/>
      <c r="L219" s="3973"/>
      <c r="M219" s="3973">
        <f t="shared" si="17"/>
        <v>455.38</v>
      </c>
      <c r="N219" s="3973"/>
      <c r="O219" s="3973"/>
      <c r="P219" s="3973"/>
      <c r="Q219" s="3973">
        <f t="shared" si="18"/>
        <v>402.53</v>
      </c>
      <c r="R219" s="3973"/>
      <c r="S219" s="3973"/>
      <c r="T219" s="3973"/>
      <c r="U219" s="3973">
        <f t="shared" si="19"/>
        <v>450.83</v>
      </c>
      <c r="V219" s="3973"/>
      <c r="W219" s="3973"/>
      <c r="X219" s="3973"/>
      <c r="Y219" s="3973">
        <f t="shared" si="20"/>
        <v>406.15</v>
      </c>
      <c r="Z219" s="3973"/>
      <c r="AA219" s="3973"/>
      <c r="AB219" s="3973"/>
      <c r="AC219" s="3973">
        <f t="shared" si="21"/>
        <v>369.53</v>
      </c>
      <c r="AD219" s="3973"/>
      <c r="AE219" s="3973"/>
      <c r="AF219" s="3973"/>
    </row>
    <row r="220" spans="1:32" s="8" customFormat="1" x14ac:dyDescent="0.25"/>
    <row r="221" spans="1:32" s="8" customFormat="1" x14ac:dyDescent="0.25"/>
    <row r="222" spans="1:32" s="8" customFormat="1" x14ac:dyDescent="0.25">
      <c r="A222" s="8" t="s">
        <v>231</v>
      </c>
    </row>
    <row r="223" spans="1:32" s="8" customFormat="1" ht="67.150000000000006" customHeight="1" x14ac:dyDescent="0.25">
      <c r="A223" s="1390" t="s">
        <v>768</v>
      </c>
      <c r="B223" s="1390"/>
      <c r="C223" s="1390"/>
      <c r="D223" s="1390"/>
      <c r="E223" s="1390"/>
      <c r="F223" s="1390"/>
      <c r="G223" s="1390"/>
      <c r="H223" s="1390"/>
      <c r="I223" s="1390"/>
      <c r="J223" s="1390"/>
      <c r="K223" s="1390"/>
      <c r="L223" s="1390"/>
      <c r="M223" s="1390"/>
      <c r="N223" s="1390"/>
      <c r="O223" s="1390"/>
      <c r="P223" s="1390"/>
      <c r="Q223" s="1390"/>
      <c r="R223" s="1390"/>
      <c r="S223" s="1390"/>
      <c r="T223" s="1390"/>
      <c r="U223" s="1390"/>
      <c r="V223" s="1390"/>
      <c r="W223" s="1390"/>
      <c r="X223" s="1390"/>
      <c r="Y223" s="1390"/>
      <c r="Z223" s="1390"/>
      <c r="AA223" s="1390"/>
      <c r="AB223" s="1390"/>
      <c r="AC223" s="1390"/>
      <c r="AD223" s="1390"/>
      <c r="AE223" s="1390"/>
      <c r="AF223" s="1390"/>
    </row>
    <row r="224" spans="1:32" s="8" customFormat="1" ht="38.450000000000003" customHeight="1" x14ac:dyDescent="0.25">
      <c r="A224" s="3972" t="s">
        <v>769</v>
      </c>
      <c r="B224" s="3972"/>
      <c r="C224" s="3972"/>
      <c r="D224" s="3972"/>
      <c r="E224" s="3972"/>
      <c r="F224" s="3972"/>
      <c r="G224" s="3972"/>
      <c r="H224" s="3972"/>
      <c r="I224" s="3972"/>
      <c r="J224" s="3972"/>
      <c r="K224" s="3972"/>
      <c r="L224" s="3972"/>
      <c r="M224" s="3972"/>
      <c r="N224" s="3972"/>
      <c r="O224" s="3972"/>
      <c r="P224" s="3972"/>
      <c r="Q224" s="3972"/>
      <c r="R224" s="3972"/>
      <c r="S224" s="3972"/>
      <c r="T224" s="3972"/>
      <c r="U224" s="3972"/>
      <c r="V224" s="3972"/>
      <c r="W224" s="3972"/>
      <c r="X224" s="3972"/>
      <c r="Y224" s="3972"/>
      <c r="Z224" s="3972"/>
      <c r="AA224" s="3972"/>
      <c r="AB224" s="3972"/>
      <c r="AC224" s="3972"/>
      <c r="AD224" s="3972"/>
      <c r="AE224" s="3972"/>
      <c r="AF224" s="3972"/>
    </row>
    <row r="225" spans="1:32" s="8" customFormat="1" ht="28.9" customHeight="1" x14ac:dyDescent="0.25">
      <c r="A225" s="3972" t="s">
        <v>770</v>
      </c>
      <c r="B225" s="3972"/>
      <c r="C225" s="3972"/>
      <c r="D225" s="3972"/>
      <c r="E225" s="3972"/>
      <c r="F225" s="3972"/>
      <c r="G225" s="3972"/>
      <c r="H225" s="3972"/>
      <c r="I225" s="3972"/>
      <c r="J225" s="3972"/>
      <c r="K225" s="3972"/>
      <c r="L225" s="3972"/>
      <c r="M225" s="3972"/>
      <c r="N225" s="3972"/>
      <c r="O225" s="3972"/>
      <c r="P225" s="3972"/>
      <c r="Q225" s="3972"/>
      <c r="R225" s="3972"/>
      <c r="S225" s="3972"/>
      <c r="T225" s="3972"/>
      <c r="U225" s="3972"/>
      <c r="V225" s="3972"/>
      <c r="W225" s="3972"/>
      <c r="X225" s="3972"/>
      <c r="Y225" s="3972"/>
      <c r="Z225" s="3972"/>
      <c r="AA225" s="3972"/>
      <c r="AB225" s="3972"/>
      <c r="AC225" s="3972"/>
      <c r="AD225" s="3972"/>
      <c r="AE225" s="3972"/>
      <c r="AF225" s="3972"/>
    </row>
    <row r="226" spans="1:32" s="8" customFormat="1" ht="25.9" customHeight="1" x14ac:dyDescent="0.25">
      <c r="A226" s="3972" t="s">
        <v>771</v>
      </c>
      <c r="B226" s="3972"/>
      <c r="C226" s="3972"/>
      <c r="D226" s="3972"/>
      <c r="E226" s="3972"/>
      <c r="F226" s="3972"/>
      <c r="G226" s="3972"/>
      <c r="H226" s="3972"/>
      <c r="I226" s="3972"/>
      <c r="J226" s="3972"/>
      <c r="K226" s="3972"/>
      <c r="L226" s="3972"/>
      <c r="M226" s="3972"/>
      <c r="N226" s="3972"/>
      <c r="O226" s="3972"/>
      <c r="P226" s="3972"/>
      <c r="Q226" s="3972"/>
      <c r="R226" s="3972"/>
      <c r="S226" s="3972"/>
      <c r="T226" s="3972"/>
      <c r="U226" s="3972"/>
      <c r="V226" s="3972"/>
      <c r="W226" s="3972"/>
      <c r="X226" s="3972"/>
      <c r="Y226" s="3972"/>
      <c r="Z226" s="3972"/>
      <c r="AA226" s="3972"/>
      <c r="AB226" s="3972"/>
      <c r="AC226" s="3972"/>
      <c r="AD226" s="3972"/>
      <c r="AE226" s="3972"/>
      <c r="AF226" s="3972"/>
    </row>
  </sheetData>
  <sheetProtection algorithmName="SHA-512" hashValue="EeAxwZ3GyhabYX1Hv96UvUwJxKhEHXY+B39QV24MB448mVe6BScjgE/qPaKig56+4gU1iS23v3lGBEWUaCjvog==" saltValue="fChT+F1dqsO+6Rd/LyeeeQ==" spinCount="100000" sheet="1" objects="1" scenarios="1"/>
  <mergeCells count="811">
    <mergeCell ref="B25:I25"/>
    <mergeCell ref="J25:AF25"/>
    <mergeCell ref="B26:I26"/>
    <mergeCell ref="J26:AF26"/>
    <mergeCell ref="A28:AF28"/>
    <mergeCell ref="B30:AF30"/>
    <mergeCell ref="A1:AF1"/>
    <mergeCell ref="A3:AF3"/>
    <mergeCell ref="Q6:AE6"/>
    <mergeCell ref="A23:AF23"/>
    <mergeCell ref="B24:I24"/>
    <mergeCell ref="J24:AF24"/>
    <mergeCell ref="B36:AF36"/>
    <mergeCell ref="B42:AF42"/>
    <mergeCell ref="A45:AF45"/>
    <mergeCell ref="A50:AF50"/>
    <mergeCell ref="A51:D51"/>
    <mergeCell ref="E51:P51"/>
    <mergeCell ref="Q51:T51"/>
    <mergeCell ref="U51:W51"/>
    <mergeCell ref="X51:AF51"/>
    <mergeCell ref="A52:D52"/>
    <mergeCell ref="E52:P52"/>
    <mergeCell ref="Q52:T52"/>
    <mergeCell ref="U52:W52"/>
    <mergeCell ref="X52:AF52"/>
    <mergeCell ref="A53:D53"/>
    <mergeCell ref="E53:P53"/>
    <mergeCell ref="Q53:T53"/>
    <mergeCell ref="U53:W53"/>
    <mergeCell ref="X53:AF53"/>
    <mergeCell ref="A54:D54"/>
    <mergeCell ref="E54:P54"/>
    <mergeCell ref="Q54:T54"/>
    <mergeCell ref="U54:W54"/>
    <mergeCell ref="X54:AF54"/>
    <mergeCell ref="A55:D55"/>
    <mergeCell ref="E55:P55"/>
    <mergeCell ref="Q55:T55"/>
    <mergeCell ref="U55:W55"/>
    <mergeCell ref="X55:AF55"/>
    <mergeCell ref="A56:D56"/>
    <mergeCell ref="E56:P56"/>
    <mergeCell ref="Q56:T56"/>
    <mergeCell ref="U56:W56"/>
    <mergeCell ref="X56:AF56"/>
    <mergeCell ref="A57:D57"/>
    <mergeCell ref="E57:P57"/>
    <mergeCell ref="Q57:T57"/>
    <mergeCell ref="U57:W57"/>
    <mergeCell ref="X57:AF57"/>
    <mergeCell ref="A58:D58"/>
    <mergeCell ref="E58:P58"/>
    <mergeCell ref="Q58:T58"/>
    <mergeCell ref="U58:W58"/>
    <mergeCell ref="X58:AF58"/>
    <mergeCell ref="A59:D59"/>
    <mergeCell ref="E59:P59"/>
    <mergeCell ref="Q59:T59"/>
    <mergeCell ref="U59:W59"/>
    <mergeCell ref="X59:AF59"/>
    <mergeCell ref="X63:Z63"/>
    <mergeCell ref="AA63:AC63"/>
    <mergeCell ref="AD63:AF63"/>
    <mergeCell ref="A64:C66"/>
    <mergeCell ref="D64:H64"/>
    <mergeCell ref="I64:L64"/>
    <mergeCell ref="M64:P64"/>
    <mergeCell ref="Q64:T64"/>
    <mergeCell ref="U64:W64"/>
    <mergeCell ref="X64:Z64"/>
    <mergeCell ref="A63:C63"/>
    <mergeCell ref="D63:H63"/>
    <mergeCell ref="I63:L63"/>
    <mergeCell ref="M63:P63"/>
    <mergeCell ref="Q63:T63"/>
    <mergeCell ref="U63:W63"/>
    <mergeCell ref="AA64:AC64"/>
    <mergeCell ref="AD64:AF64"/>
    <mergeCell ref="D65:H65"/>
    <mergeCell ref="I65:L65"/>
    <mergeCell ref="M65:P65"/>
    <mergeCell ref="Q65:T65"/>
    <mergeCell ref="U65:W65"/>
    <mergeCell ref="X65:Z65"/>
    <mergeCell ref="AA65:AC65"/>
    <mergeCell ref="AD65:AF65"/>
    <mergeCell ref="AA66:AC66"/>
    <mergeCell ref="AD66:AF66"/>
    <mergeCell ref="A67:C73"/>
    <mergeCell ref="D67:H67"/>
    <mergeCell ref="I67:L67"/>
    <mergeCell ref="M67:P67"/>
    <mergeCell ref="Q67:T67"/>
    <mergeCell ref="U67:W67"/>
    <mergeCell ref="X67:Z67"/>
    <mergeCell ref="AA67:AC67"/>
    <mergeCell ref="D66:H66"/>
    <mergeCell ref="I66:L66"/>
    <mergeCell ref="M66:P66"/>
    <mergeCell ref="Q66:T66"/>
    <mergeCell ref="U66:W66"/>
    <mergeCell ref="X66:Z66"/>
    <mergeCell ref="M69:P69"/>
    <mergeCell ref="Q69:T69"/>
    <mergeCell ref="U69:W69"/>
    <mergeCell ref="X69:Z69"/>
    <mergeCell ref="AA69:AC69"/>
    <mergeCell ref="AD69:AF69"/>
    <mergeCell ref="AD67:AF67"/>
    <mergeCell ref="D68:H70"/>
    <mergeCell ref="I68:L68"/>
    <mergeCell ref="M68:P68"/>
    <mergeCell ref="Q68:T68"/>
    <mergeCell ref="U68:W68"/>
    <mergeCell ref="X68:Z68"/>
    <mergeCell ref="AA68:AC68"/>
    <mergeCell ref="AD68:AF68"/>
    <mergeCell ref="I69:L69"/>
    <mergeCell ref="M72:P72"/>
    <mergeCell ref="Q72:T72"/>
    <mergeCell ref="U72:W72"/>
    <mergeCell ref="X72:Z72"/>
    <mergeCell ref="AA72:AC72"/>
    <mergeCell ref="AD72:AF72"/>
    <mergeCell ref="AD70:AF70"/>
    <mergeCell ref="D71:H73"/>
    <mergeCell ref="I71:L71"/>
    <mergeCell ref="M71:P71"/>
    <mergeCell ref="Q71:T71"/>
    <mergeCell ref="U71:W71"/>
    <mergeCell ref="X71:Z71"/>
    <mergeCell ref="AA71:AC71"/>
    <mergeCell ref="AD71:AF71"/>
    <mergeCell ref="I72:L72"/>
    <mergeCell ref="I70:L70"/>
    <mergeCell ref="M70:P70"/>
    <mergeCell ref="Q70:T70"/>
    <mergeCell ref="U70:W70"/>
    <mergeCell ref="X70:Z70"/>
    <mergeCell ref="AA70:AC70"/>
    <mergeCell ref="AD73:AF73"/>
    <mergeCell ref="I73:L73"/>
    <mergeCell ref="A74:AF74"/>
    <mergeCell ref="A75:AF75"/>
    <mergeCell ref="A78:C78"/>
    <mergeCell ref="D78:G78"/>
    <mergeCell ref="H78:K78"/>
    <mergeCell ref="L78:Q78"/>
    <mergeCell ref="R78:T78"/>
    <mergeCell ref="U78:W78"/>
    <mergeCell ref="X78:Z78"/>
    <mergeCell ref="M73:P73"/>
    <mergeCell ref="Q73:T73"/>
    <mergeCell ref="U73:W73"/>
    <mergeCell ref="X73:Z73"/>
    <mergeCell ref="AA73:AC73"/>
    <mergeCell ref="AA78:AC78"/>
    <mergeCell ref="AD78:AF78"/>
    <mergeCell ref="A79:C81"/>
    <mergeCell ref="D79:G79"/>
    <mergeCell ref="H79:K79"/>
    <mergeCell ref="L79:Q79"/>
    <mergeCell ref="R79:T79"/>
    <mergeCell ref="U79:W79"/>
    <mergeCell ref="X79:Z79"/>
    <mergeCell ref="AA79:AC79"/>
    <mergeCell ref="AD79:AF79"/>
    <mergeCell ref="D80:G80"/>
    <mergeCell ref="H80:K80"/>
    <mergeCell ref="L80:Q80"/>
    <mergeCell ref="R80:T80"/>
    <mergeCell ref="U80:W80"/>
    <mergeCell ref="X80:Z80"/>
    <mergeCell ref="AA80:AC80"/>
    <mergeCell ref="AD80:AF80"/>
    <mergeCell ref="AA81:AC81"/>
    <mergeCell ref="AD81:AF81"/>
    <mergeCell ref="A82:C92"/>
    <mergeCell ref="D82:G90"/>
    <mergeCell ref="H82:K86"/>
    <mergeCell ref="L82:Q82"/>
    <mergeCell ref="R82:T82"/>
    <mergeCell ref="U82:W82"/>
    <mergeCell ref="X82:Z82"/>
    <mergeCell ref="AA82:AC82"/>
    <mergeCell ref="D81:G81"/>
    <mergeCell ref="H81:K81"/>
    <mergeCell ref="L81:Q81"/>
    <mergeCell ref="R81:T81"/>
    <mergeCell ref="U81:W81"/>
    <mergeCell ref="X81:Z81"/>
    <mergeCell ref="L84:Q84"/>
    <mergeCell ref="R84:T84"/>
    <mergeCell ref="U84:W84"/>
    <mergeCell ref="X84:Z84"/>
    <mergeCell ref="AA84:AC84"/>
    <mergeCell ref="AD84:AF84"/>
    <mergeCell ref="AD82:AF82"/>
    <mergeCell ref="L83:Q83"/>
    <mergeCell ref="R83:T83"/>
    <mergeCell ref="U83:W83"/>
    <mergeCell ref="X83:Z83"/>
    <mergeCell ref="AA83:AC83"/>
    <mergeCell ref="AD83:AF83"/>
    <mergeCell ref="L86:Q86"/>
    <mergeCell ref="R86:T86"/>
    <mergeCell ref="U86:W86"/>
    <mergeCell ref="X86:Z86"/>
    <mergeCell ref="AA86:AC86"/>
    <mergeCell ref="AD86:AF86"/>
    <mergeCell ref="L85:Q85"/>
    <mergeCell ref="R85:T85"/>
    <mergeCell ref="U85:W85"/>
    <mergeCell ref="X85:Z85"/>
    <mergeCell ref="AA85:AC85"/>
    <mergeCell ref="AD85:AF85"/>
    <mergeCell ref="H87:K90"/>
    <mergeCell ref="L87:Q87"/>
    <mergeCell ref="R87:T87"/>
    <mergeCell ref="U87:W87"/>
    <mergeCell ref="X87:Z87"/>
    <mergeCell ref="AA87:AC87"/>
    <mergeCell ref="L89:Q89"/>
    <mergeCell ref="R89:T89"/>
    <mergeCell ref="U89:W89"/>
    <mergeCell ref="X89:Z89"/>
    <mergeCell ref="AA89:AC89"/>
    <mergeCell ref="AD89:AF89"/>
    <mergeCell ref="L90:Q90"/>
    <mergeCell ref="R90:T90"/>
    <mergeCell ref="U90:W90"/>
    <mergeCell ref="X90:Z90"/>
    <mergeCell ref="AA90:AC90"/>
    <mergeCell ref="AD90:AF90"/>
    <mergeCell ref="AD87:AF87"/>
    <mergeCell ref="L88:Q88"/>
    <mergeCell ref="R88:T88"/>
    <mergeCell ref="U88:W88"/>
    <mergeCell ref="X88:Z88"/>
    <mergeCell ref="AA88:AC88"/>
    <mergeCell ref="AD88:AF88"/>
    <mergeCell ref="AA91:AC91"/>
    <mergeCell ref="AD91:AF91"/>
    <mergeCell ref="D92:G92"/>
    <mergeCell ref="H92:K92"/>
    <mergeCell ref="L92:Q92"/>
    <mergeCell ref="R92:T92"/>
    <mergeCell ref="U92:W92"/>
    <mergeCell ref="X92:Z92"/>
    <mergeCell ref="AA92:AC92"/>
    <mergeCell ref="AD92:AF92"/>
    <mergeCell ref="D91:G91"/>
    <mergeCell ref="H91:K91"/>
    <mergeCell ref="L91:Q91"/>
    <mergeCell ref="R91:T91"/>
    <mergeCell ref="U91:W91"/>
    <mergeCell ref="X91:Z91"/>
    <mergeCell ref="A93:AF93"/>
    <mergeCell ref="A96:D97"/>
    <mergeCell ref="E96:H96"/>
    <mergeCell ref="I96:T96"/>
    <mergeCell ref="U96:AF96"/>
    <mergeCell ref="E97:H97"/>
    <mergeCell ref="I97:L97"/>
    <mergeCell ref="M97:P97"/>
    <mergeCell ref="Q97:T97"/>
    <mergeCell ref="U97:X97"/>
    <mergeCell ref="Y97:AB97"/>
    <mergeCell ref="AC97:AF97"/>
    <mergeCell ref="A98:D98"/>
    <mergeCell ref="E98:H98"/>
    <mergeCell ref="I98:L98"/>
    <mergeCell ref="M98:P98"/>
    <mergeCell ref="Q98:T98"/>
    <mergeCell ref="U98:X98"/>
    <mergeCell ref="Y98:AB98"/>
    <mergeCell ref="AC98:AF98"/>
    <mergeCell ref="Y99:AB99"/>
    <mergeCell ref="AC99:AF99"/>
    <mergeCell ref="A100:D100"/>
    <mergeCell ref="E100:H100"/>
    <mergeCell ref="I100:L100"/>
    <mergeCell ref="M100:P100"/>
    <mergeCell ref="Q100:T100"/>
    <mergeCell ref="U100:X100"/>
    <mergeCell ref="Y100:AB100"/>
    <mergeCell ref="AC100:AF100"/>
    <mergeCell ref="A99:D99"/>
    <mergeCell ref="E99:H99"/>
    <mergeCell ref="I99:L99"/>
    <mergeCell ref="M99:P99"/>
    <mergeCell ref="Q99:T99"/>
    <mergeCell ref="U99:X99"/>
    <mergeCell ref="Y101:AB101"/>
    <mergeCell ref="AC101:AF101"/>
    <mergeCell ref="A102:D102"/>
    <mergeCell ref="E102:H102"/>
    <mergeCell ref="I102:L102"/>
    <mergeCell ref="M102:P102"/>
    <mergeCell ref="Q102:T102"/>
    <mergeCell ref="U102:X102"/>
    <mergeCell ref="Y102:AB102"/>
    <mergeCell ref="AC102:AF102"/>
    <mergeCell ref="A101:D101"/>
    <mergeCell ref="E101:H101"/>
    <mergeCell ref="I101:L101"/>
    <mergeCell ref="M101:P101"/>
    <mergeCell ref="Q101:T101"/>
    <mergeCell ref="U101:X101"/>
    <mergeCell ref="Y103:AB103"/>
    <mergeCell ref="AC103:AF103"/>
    <mergeCell ref="A104:D104"/>
    <mergeCell ref="E104:H104"/>
    <mergeCell ref="I104:L104"/>
    <mergeCell ref="M104:P104"/>
    <mergeCell ref="Q104:T104"/>
    <mergeCell ref="U104:X104"/>
    <mergeCell ref="Y104:AB104"/>
    <mergeCell ref="AC104:AF104"/>
    <mergeCell ref="A103:D103"/>
    <mergeCell ref="E103:H103"/>
    <mergeCell ref="I103:L103"/>
    <mergeCell ref="M103:P103"/>
    <mergeCell ref="Q103:T103"/>
    <mergeCell ref="U103:X103"/>
    <mergeCell ref="Y105:AB105"/>
    <mergeCell ref="AC105:AF105"/>
    <mergeCell ref="A106:D106"/>
    <mergeCell ref="E106:H106"/>
    <mergeCell ref="I106:L106"/>
    <mergeCell ref="M106:P106"/>
    <mergeCell ref="Q106:T106"/>
    <mergeCell ref="U106:X106"/>
    <mergeCell ref="Y106:AB106"/>
    <mergeCell ref="AC106:AF106"/>
    <mergeCell ref="A105:D105"/>
    <mergeCell ref="E105:H105"/>
    <mergeCell ref="I105:L105"/>
    <mergeCell ref="M105:P105"/>
    <mergeCell ref="Q105:T105"/>
    <mergeCell ref="U105:X105"/>
    <mergeCell ref="Y107:AB107"/>
    <mergeCell ref="AC107:AF107"/>
    <mergeCell ref="A108:D108"/>
    <mergeCell ref="E108:H108"/>
    <mergeCell ref="I108:L108"/>
    <mergeCell ref="M108:P108"/>
    <mergeCell ref="Q108:T108"/>
    <mergeCell ref="U108:X108"/>
    <mergeCell ref="Y108:AB108"/>
    <mergeCell ref="AC108:AF108"/>
    <mergeCell ref="A107:D107"/>
    <mergeCell ref="E107:H107"/>
    <mergeCell ref="I107:L107"/>
    <mergeCell ref="M107:P107"/>
    <mergeCell ref="Q107:T107"/>
    <mergeCell ref="U107:X107"/>
    <mergeCell ref="A114:D114"/>
    <mergeCell ref="E114:H114"/>
    <mergeCell ref="I114:L114"/>
    <mergeCell ref="A115:D115"/>
    <mergeCell ref="E115:H115"/>
    <mergeCell ref="I115:L115"/>
    <mergeCell ref="A111:D112"/>
    <mergeCell ref="E111:L111"/>
    <mergeCell ref="E112:H112"/>
    <mergeCell ref="I112:L112"/>
    <mergeCell ref="A113:D113"/>
    <mergeCell ref="E113:H113"/>
    <mergeCell ref="I113:L113"/>
    <mergeCell ref="A118:D118"/>
    <mergeCell ref="E118:H118"/>
    <mergeCell ref="I118:L118"/>
    <mergeCell ref="A119:D119"/>
    <mergeCell ref="E119:H119"/>
    <mergeCell ref="I119:L119"/>
    <mergeCell ref="A116:D116"/>
    <mergeCell ref="E116:H116"/>
    <mergeCell ref="I116:L116"/>
    <mergeCell ref="A117:D117"/>
    <mergeCell ref="E117:H117"/>
    <mergeCell ref="I117:L117"/>
    <mergeCell ref="A122:D122"/>
    <mergeCell ref="E122:H122"/>
    <mergeCell ref="I122:L122"/>
    <mergeCell ref="A123:D123"/>
    <mergeCell ref="E123:H123"/>
    <mergeCell ref="I123:L123"/>
    <mergeCell ref="A120:D120"/>
    <mergeCell ref="E120:H120"/>
    <mergeCell ref="I120:L120"/>
    <mergeCell ref="A121:D121"/>
    <mergeCell ref="E121:H121"/>
    <mergeCell ref="I121:L121"/>
    <mergeCell ref="A124:AF124"/>
    <mergeCell ref="A125:AF125"/>
    <mergeCell ref="A128:D129"/>
    <mergeCell ref="E128:H128"/>
    <mergeCell ref="I128:T128"/>
    <mergeCell ref="U128:AF128"/>
    <mergeCell ref="E129:H129"/>
    <mergeCell ref="I129:L129"/>
    <mergeCell ref="M129:P129"/>
    <mergeCell ref="Q129:T129"/>
    <mergeCell ref="U129:X129"/>
    <mergeCell ref="Y129:AB129"/>
    <mergeCell ref="AC129:AF129"/>
    <mergeCell ref="A130:D130"/>
    <mergeCell ref="E130:H130"/>
    <mergeCell ref="I130:L130"/>
    <mergeCell ref="M130:P130"/>
    <mergeCell ref="Q130:T130"/>
    <mergeCell ref="U130:X130"/>
    <mergeCell ref="Y130:AB130"/>
    <mergeCell ref="AC130:AF130"/>
    <mergeCell ref="A131:D131"/>
    <mergeCell ref="E131:H131"/>
    <mergeCell ref="I131:L131"/>
    <mergeCell ref="M131:P131"/>
    <mergeCell ref="Q131:T131"/>
    <mergeCell ref="U131:X131"/>
    <mergeCell ref="Y131:AB131"/>
    <mergeCell ref="AC131:AF131"/>
    <mergeCell ref="Y132:AB132"/>
    <mergeCell ref="AC132:AF132"/>
    <mergeCell ref="A133:D133"/>
    <mergeCell ref="E133:H133"/>
    <mergeCell ref="I133:L133"/>
    <mergeCell ref="M133:P133"/>
    <mergeCell ref="Q133:T133"/>
    <mergeCell ref="U133:X133"/>
    <mergeCell ref="Y133:AB133"/>
    <mergeCell ref="AC133:AF133"/>
    <mergeCell ref="A132:D132"/>
    <mergeCell ref="E132:H132"/>
    <mergeCell ref="I132:L132"/>
    <mergeCell ref="M132:P132"/>
    <mergeCell ref="Q132:T132"/>
    <mergeCell ref="U132:X132"/>
    <mergeCell ref="Y134:AB134"/>
    <mergeCell ref="AC134:AF134"/>
    <mergeCell ref="A135:D135"/>
    <mergeCell ref="E135:H135"/>
    <mergeCell ref="I135:L135"/>
    <mergeCell ref="M135:P135"/>
    <mergeCell ref="Q135:T135"/>
    <mergeCell ref="U135:X135"/>
    <mergeCell ref="Y135:AB135"/>
    <mergeCell ref="AC135:AF135"/>
    <mergeCell ref="A134:D134"/>
    <mergeCell ref="E134:H134"/>
    <mergeCell ref="I134:L134"/>
    <mergeCell ref="M134:P134"/>
    <mergeCell ref="Q134:T134"/>
    <mergeCell ref="U134:X134"/>
    <mergeCell ref="Y136:AB136"/>
    <mergeCell ref="AC136:AF136"/>
    <mergeCell ref="A137:D137"/>
    <mergeCell ref="E137:H137"/>
    <mergeCell ref="I137:L137"/>
    <mergeCell ref="M137:P137"/>
    <mergeCell ref="Q137:T137"/>
    <mergeCell ref="U137:X137"/>
    <mergeCell ref="Y137:AB137"/>
    <mergeCell ref="AC137:AF137"/>
    <mergeCell ref="A136:D136"/>
    <mergeCell ref="E136:H136"/>
    <mergeCell ref="I136:L136"/>
    <mergeCell ref="M136:P136"/>
    <mergeCell ref="Q136:T136"/>
    <mergeCell ref="U136:X136"/>
    <mergeCell ref="Y138:AB138"/>
    <mergeCell ref="AC138:AF138"/>
    <mergeCell ref="A139:D139"/>
    <mergeCell ref="E139:H139"/>
    <mergeCell ref="I139:L139"/>
    <mergeCell ref="M139:P139"/>
    <mergeCell ref="Q139:T139"/>
    <mergeCell ref="U139:X139"/>
    <mergeCell ref="Y139:AB139"/>
    <mergeCell ref="AC139:AF139"/>
    <mergeCell ref="A138:D138"/>
    <mergeCell ref="E138:H138"/>
    <mergeCell ref="I138:L138"/>
    <mergeCell ref="M138:P138"/>
    <mergeCell ref="Q138:T138"/>
    <mergeCell ref="U138:X138"/>
    <mergeCell ref="A145:D145"/>
    <mergeCell ref="E145:H145"/>
    <mergeCell ref="I145:L145"/>
    <mergeCell ref="A146:D146"/>
    <mergeCell ref="E146:H146"/>
    <mergeCell ref="I146:L146"/>
    <mergeCell ref="Y140:AB140"/>
    <mergeCell ref="AC140:AF140"/>
    <mergeCell ref="A143:D144"/>
    <mergeCell ref="E143:L143"/>
    <mergeCell ref="E144:H144"/>
    <mergeCell ref="I144:L144"/>
    <mergeCell ref="A140:D140"/>
    <mergeCell ref="E140:H140"/>
    <mergeCell ref="I140:L140"/>
    <mergeCell ref="M140:P140"/>
    <mergeCell ref="Q140:T140"/>
    <mergeCell ref="U140:X140"/>
    <mergeCell ref="A149:D149"/>
    <mergeCell ref="E149:H149"/>
    <mergeCell ref="I149:L149"/>
    <mergeCell ref="A150:D150"/>
    <mergeCell ref="E150:H150"/>
    <mergeCell ref="I150:L150"/>
    <mergeCell ref="A147:D147"/>
    <mergeCell ref="E147:H147"/>
    <mergeCell ref="I147:L147"/>
    <mergeCell ref="A148:D148"/>
    <mergeCell ref="E148:H148"/>
    <mergeCell ref="I148:L148"/>
    <mergeCell ref="A153:D153"/>
    <mergeCell ref="E153:H153"/>
    <mergeCell ref="I153:L153"/>
    <mergeCell ref="A154:D154"/>
    <mergeCell ref="E154:H154"/>
    <mergeCell ref="I154:L154"/>
    <mergeCell ref="A151:D151"/>
    <mergeCell ref="E151:H151"/>
    <mergeCell ref="I151:L151"/>
    <mergeCell ref="A152:D152"/>
    <mergeCell ref="E152:H152"/>
    <mergeCell ref="I152:L152"/>
    <mergeCell ref="A163:D163"/>
    <mergeCell ref="E163:H163"/>
    <mergeCell ref="I163:L163"/>
    <mergeCell ref="A164:D164"/>
    <mergeCell ref="E164:H164"/>
    <mergeCell ref="I164:L164"/>
    <mergeCell ref="A155:D155"/>
    <mergeCell ref="E155:H155"/>
    <mergeCell ref="I155:L155"/>
    <mergeCell ref="A156:AF156"/>
    <mergeCell ref="A159:AF159"/>
    <mergeCell ref="A161:D162"/>
    <mergeCell ref="E161:L161"/>
    <mergeCell ref="E162:H162"/>
    <mergeCell ref="I162:L162"/>
    <mergeCell ref="A167:D167"/>
    <mergeCell ref="E167:H167"/>
    <mergeCell ref="I167:L167"/>
    <mergeCell ref="A168:D168"/>
    <mergeCell ref="E168:H168"/>
    <mergeCell ref="I168:L168"/>
    <mergeCell ref="A165:D165"/>
    <mergeCell ref="E165:H165"/>
    <mergeCell ref="I165:L165"/>
    <mergeCell ref="A166:D166"/>
    <mergeCell ref="E166:H166"/>
    <mergeCell ref="I166:L166"/>
    <mergeCell ref="A171:D171"/>
    <mergeCell ref="E171:H171"/>
    <mergeCell ref="I171:L171"/>
    <mergeCell ref="A172:D172"/>
    <mergeCell ref="E172:H172"/>
    <mergeCell ref="I172:L172"/>
    <mergeCell ref="A169:D169"/>
    <mergeCell ref="E169:H169"/>
    <mergeCell ref="I169:L169"/>
    <mergeCell ref="A170:D170"/>
    <mergeCell ref="E170:H170"/>
    <mergeCell ref="I170:L170"/>
    <mergeCell ref="A178:D178"/>
    <mergeCell ref="E178:H178"/>
    <mergeCell ref="I178:L178"/>
    <mergeCell ref="A179:D179"/>
    <mergeCell ref="E179:H179"/>
    <mergeCell ref="I179:L179"/>
    <mergeCell ref="A173:D173"/>
    <mergeCell ref="E173:H173"/>
    <mergeCell ref="I173:L173"/>
    <mergeCell ref="A176:D177"/>
    <mergeCell ref="E176:L176"/>
    <mergeCell ref="E177:H177"/>
    <mergeCell ref="I177:L177"/>
    <mergeCell ref="A182:D182"/>
    <mergeCell ref="E182:H182"/>
    <mergeCell ref="I182:L182"/>
    <mergeCell ref="A183:D183"/>
    <mergeCell ref="E183:H183"/>
    <mergeCell ref="I183:L183"/>
    <mergeCell ref="A180:D180"/>
    <mergeCell ref="E180:H180"/>
    <mergeCell ref="I180:L180"/>
    <mergeCell ref="A181:D181"/>
    <mergeCell ref="E181:H181"/>
    <mergeCell ref="I181:L181"/>
    <mergeCell ref="A186:D186"/>
    <mergeCell ref="E186:H186"/>
    <mergeCell ref="I186:L186"/>
    <mergeCell ref="A187:D187"/>
    <mergeCell ref="E187:H187"/>
    <mergeCell ref="I187:L187"/>
    <mergeCell ref="A184:D184"/>
    <mergeCell ref="E184:H184"/>
    <mergeCell ref="I184:L184"/>
    <mergeCell ref="A185:D185"/>
    <mergeCell ref="E185:H185"/>
    <mergeCell ref="I185:L185"/>
    <mergeCell ref="U192:AF192"/>
    <mergeCell ref="E193:H193"/>
    <mergeCell ref="I193:L193"/>
    <mergeCell ref="M193:P193"/>
    <mergeCell ref="Q193:T193"/>
    <mergeCell ref="U193:X193"/>
    <mergeCell ref="Y193:AB193"/>
    <mergeCell ref="AC193:AF193"/>
    <mergeCell ref="A188:D188"/>
    <mergeCell ref="E188:H188"/>
    <mergeCell ref="I188:L188"/>
    <mergeCell ref="A192:D193"/>
    <mergeCell ref="E192:H192"/>
    <mergeCell ref="I192:T192"/>
    <mergeCell ref="Y194:AB194"/>
    <mergeCell ref="AC194:AF194"/>
    <mergeCell ref="A195:D195"/>
    <mergeCell ref="E195:H195"/>
    <mergeCell ref="I195:L195"/>
    <mergeCell ref="M195:P195"/>
    <mergeCell ref="Q195:T195"/>
    <mergeCell ref="U195:X195"/>
    <mergeCell ref="Y195:AB195"/>
    <mergeCell ref="AC195:AF195"/>
    <mergeCell ref="A194:D194"/>
    <mergeCell ref="E194:H194"/>
    <mergeCell ref="I194:L194"/>
    <mergeCell ref="M194:P194"/>
    <mergeCell ref="Q194:T194"/>
    <mergeCell ref="U194:X194"/>
    <mergeCell ref="Y196:AB196"/>
    <mergeCell ref="AC196:AF196"/>
    <mergeCell ref="A197:D197"/>
    <mergeCell ref="E197:H197"/>
    <mergeCell ref="I197:L197"/>
    <mergeCell ref="M197:P197"/>
    <mergeCell ref="Q197:T197"/>
    <mergeCell ref="U197:X197"/>
    <mergeCell ref="Y197:AB197"/>
    <mergeCell ref="AC197:AF197"/>
    <mergeCell ref="A196:D196"/>
    <mergeCell ref="E196:H196"/>
    <mergeCell ref="I196:L196"/>
    <mergeCell ref="M196:P196"/>
    <mergeCell ref="Q196:T196"/>
    <mergeCell ref="U196:X196"/>
    <mergeCell ref="Y198:AB198"/>
    <mergeCell ref="AC198:AF198"/>
    <mergeCell ref="A199:D199"/>
    <mergeCell ref="E199:H199"/>
    <mergeCell ref="I199:L199"/>
    <mergeCell ref="M199:P199"/>
    <mergeCell ref="Q199:T199"/>
    <mergeCell ref="U199:X199"/>
    <mergeCell ref="Y199:AB199"/>
    <mergeCell ref="AC199:AF199"/>
    <mergeCell ref="A198:D198"/>
    <mergeCell ref="E198:H198"/>
    <mergeCell ref="I198:L198"/>
    <mergeCell ref="M198:P198"/>
    <mergeCell ref="Q198:T198"/>
    <mergeCell ref="U198:X198"/>
    <mergeCell ref="Y200:AB200"/>
    <mergeCell ref="AC200:AF200"/>
    <mergeCell ref="A201:D201"/>
    <mergeCell ref="E201:H201"/>
    <mergeCell ref="I201:L201"/>
    <mergeCell ref="M201:P201"/>
    <mergeCell ref="Q201:T201"/>
    <mergeCell ref="U201:X201"/>
    <mergeCell ref="Y201:AB201"/>
    <mergeCell ref="AC201:AF201"/>
    <mergeCell ref="A200:D200"/>
    <mergeCell ref="E200:H200"/>
    <mergeCell ref="I200:L200"/>
    <mergeCell ref="M200:P200"/>
    <mergeCell ref="Q200:T200"/>
    <mergeCell ref="U200:X200"/>
    <mergeCell ref="Y202:AB202"/>
    <mergeCell ref="AC202:AF202"/>
    <mergeCell ref="A203:D203"/>
    <mergeCell ref="E203:H203"/>
    <mergeCell ref="I203:L203"/>
    <mergeCell ref="M203:P203"/>
    <mergeCell ref="Q203:T203"/>
    <mergeCell ref="U203:X203"/>
    <mergeCell ref="Y203:AB203"/>
    <mergeCell ref="AC203:AF203"/>
    <mergeCell ref="A202:D202"/>
    <mergeCell ref="E202:H202"/>
    <mergeCell ref="I202:L202"/>
    <mergeCell ref="M202:P202"/>
    <mergeCell ref="Q202:T202"/>
    <mergeCell ref="U202:X202"/>
    <mergeCell ref="Y204:AB204"/>
    <mergeCell ref="AC204:AF204"/>
    <mergeCell ref="A207:D208"/>
    <mergeCell ref="E207:H207"/>
    <mergeCell ref="I207:T207"/>
    <mergeCell ref="U207:AF207"/>
    <mergeCell ref="E208:H208"/>
    <mergeCell ref="I208:L208"/>
    <mergeCell ref="M208:P208"/>
    <mergeCell ref="Q208:T208"/>
    <mergeCell ref="A204:D204"/>
    <mergeCell ref="E204:H204"/>
    <mergeCell ref="I204:L204"/>
    <mergeCell ref="M204:P204"/>
    <mergeCell ref="Q204:T204"/>
    <mergeCell ref="U204:X204"/>
    <mergeCell ref="U208:X208"/>
    <mergeCell ref="Y208:AB208"/>
    <mergeCell ref="AC208:AF208"/>
    <mergeCell ref="A209:D209"/>
    <mergeCell ref="E209:H209"/>
    <mergeCell ref="I209:L209"/>
    <mergeCell ref="M209:P209"/>
    <mergeCell ref="Q209:T209"/>
    <mergeCell ref="U209:X209"/>
    <mergeCell ref="Y209:AB209"/>
    <mergeCell ref="AC209:AF209"/>
    <mergeCell ref="A210:D210"/>
    <mergeCell ref="E210:H210"/>
    <mergeCell ref="I210:L210"/>
    <mergeCell ref="M210:P210"/>
    <mergeCell ref="Q210:T210"/>
    <mergeCell ref="U210:X210"/>
    <mergeCell ref="Y210:AB210"/>
    <mergeCell ref="AC210:AF210"/>
    <mergeCell ref="Y211:AB211"/>
    <mergeCell ref="AC211:AF211"/>
    <mergeCell ref="A212:D212"/>
    <mergeCell ref="E212:H212"/>
    <mergeCell ref="I212:L212"/>
    <mergeCell ref="M212:P212"/>
    <mergeCell ref="Q212:T212"/>
    <mergeCell ref="U212:X212"/>
    <mergeCell ref="Y212:AB212"/>
    <mergeCell ref="AC212:AF212"/>
    <mergeCell ref="A211:D211"/>
    <mergeCell ref="E211:H211"/>
    <mergeCell ref="I211:L211"/>
    <mergeCell ref="M211:P211"/>
    <mergeCell ref="Q211:T211"/>
    <mergeCell ref="U211:X211"/>
    <mergeCell ref="Y213:AB213"/>
    <mergeCell ref="AC213:AF213"/>
    <mergeCell ref="A214:D214"/>
    <mergeCell ref="E214:H214"/>
    <mergeCell ref="I214:L214"/>
    <mergeCell ref="M214:P214"/>
    <mergeCell ref="Q214:T214"/>
    <mergeCell ref="U214:X214"/>
    <mergeCell ref="Y214:AB214"/>
    <mergeCell ref="AC214:AF214"/>
    <mergeCell ref="A213:D213"/>
    <mergeCell ref="E213:H213"/>
    <mergeCell ref="I213:L213"/>
    <mergeCell ref="M213:P213"/>
    <mergeCell ref="Q213:T213"/>
    <mergeCell ref="U213:X213"/>
    <mergeCell ref="Y215:AB215"/>
    <mergeCell ref="AC215:AF215"/>
    <mergeCell ref="A216:D216"/>
    <mergeCell ref="E216:H216"/>
    <mergeCell ref="I216:L216"/>
    <mergeCell ref="M216:P216"/>
    <mergeCell ref="Q216:T216"/>
    <mergeCell ref="U216:X216"/>
    <mergeCell ref="Y216:AB216"/>
    <mergeCell ref="AC216:AF216"/>
    <mergeCell ref="A215:D215"/>
    <mergeCell ref="E215:H215"/>
    <mergeCell ref="I215:L215"/>
    <mergeCell ref="M215:P215"/>
    <mergeCell ref="Q215:T215"/>
    <mergeCell ref="U215:X215"/>
    <mergeCell ref="Y217:AB217"/>
    <mergeCell ref="AC217:AF217"/>
    <mergeCell ref="A218:D218"/>
    <mergeCell ref="E218:H218"/>
    <mergeCell ref="I218:L218"/>
    <mergeCell ref="M218:P218"/>
    <mergeCell ref="Q218:T218"/>
    <mergeCell ref="U218:X218"/>
    <mergeCell ref="Y218:AB218"/>
    <mergeCell ref="AC218:AF218"/>
    <mergeCell ref="A217:D217"/>
    <mergeCell ref="E217:H217"/>
    <mergeCell ref="I217:L217"/>
    <mergeCell ref="M217:P217"/>
    <mergeCell ref="Q217:T217"/>
    <mergeCell ref="U217:X217"/>
    <mergeCell ref="A223:AF223"/>
    <mergeCell ref="A224:AF224"/>
    <mergeCell ref="A225:AF225"/>
    <mergeCell ref="A226:AF226"/>
    <mergeCell ref="Y219:AB219"/>
    <mergeCell ref="AC219:AF219"/>
    <mergeCell ref="A219:D219"/>
    <mergeCell ref="E219:H219"/>
    <mergeCell ref="I219:L219"/>
    <mergeCell ref="M219:P219"/>
    <mergeCell ref="Q219:T219"/>
    <mergeCell ref="U219:X219"/>
  </mergeCells>
  <dataValidations count="1">
    <dataValidation type="list" allowBlank="1" showInputMessage="1" sqref="Q6" xr:uid="{00000000-0002-0000-6A00-000000000000}">
      <formula1>#REF!</formula1>
    </dataValidation>
  </dataValidations>
  <pageMargins left="0.7" right="0.7" top="0.75" bottom="0.75" header="0.3" footer="0.3"/>
  <pageSetup orientation="portrait" r:id="rId1"/>
  <headerFooter>
    <oddHeader>&amp;C&amp;"Arial,Regular"&amp;09&amp;I&amp;K000000Leidos Proprietary</oddHeader>
    <oddFooter>&amp;C&amp;"Calibri,Regular"&amp;11</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34">
    <tabColor theme="4" tint="0.39997558519241921"/>
    <pageSetUpPr autoPageBreaks="0"/>
  </sheetPr>
  <dimension ref="A1:AH76"/>
  <sheetViews>
    <sheetView topLeftCell="A52" zoomScaleNormal="100" workbookViewId="0">
      <selection activeCell="A159" sqref="A159:AF159"/>
    </sheetView>
  </sheetViews>
  <sheetFormatPr defaultColWidth="2.7109375" defaultRowHeight="14.45" customHeight="1" x14ac:dyDescent="0.25"/>
  <cols>
    <col min="1" max="16384" width="2.7109375" style="1"/>
  </cols>
  <sheetData>
    <row r="1" spans="1:32" ht="18.75" x14ac:dyDescent="0.25">
      <c r="A1" s="1464" t="s">
        <v>1151</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284"/>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ht="14.45" customHeight="1" x14ac:dyDescent="0.25">
      <c r="A3" s="1582" t="s">
        <v>0</v>
      </c>
      <c r="B3" s="1582"/>
      <c r="C3" s="1582"/>
      <c r="D3" s="1582"/>
      <c r="E3" s="1582"/>
      <c r="F3" s="1582"/>
      <c r="G3" s="1582"/>
      <c r="H3" s="1582"/>
      <c r="I3" s="1582"/>
      <c r="J3" s="1582"/>
      <c r="K3" s="1582"/>
      <c r="L3" s="1582"/>
      <c r="M3" s="1582"/>
      <c r="N3" s="1582"/>
      <c r="O3" s="1582"/>
      <c r="P3" s="1582"/>
      <c r="Q3" s="1582"/>
      <c r="R3" s="1582"/>
      <c r="S3" s="1582"/>
      <c r="T3" s="1582"/>
      <c r="U3" s="1582"/>
      <c r="V3" s="1582"/>
      <c r="W3" s="1582"/>
      <c r="X3" s="1582"/>
      <c r="Y3" s="1582"/>
      <c r="Z3" s="1582"/>
      <c r="AA3" s="1582"/>
      <c r="AB3" s="1582"/>
      <c r="AC3" s="1582"/>
      <c r="AD3" s="1582"/>
      <c r="AE3" s="1582"/>
      <c r="AF3" s="1582"/>
    </row>
    <row r="4" spans="1:32" ht="14.45" customHeight="1" thickBot="1"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ht="14.45" customHeight="1" x14ac:dyDescent="0.25">
      <c r="A5" s="171"/>
      <c r="B5" s="175" t="s">
        <v>797</v>
      </c>
      <c r="C5" s="176"/>
      <c r="D5" s="176"/>
      <c r="E5" s="176"/>
      <c r="F5" s="176"/>
      <c r="G5" s="176"/>
      <c r="H5" s="176"/>
      <c r="I5" s="177"/>
      <c r="J5" s="178" t="s">
        <v>241</v>
      </c>
      <c r="K5" s="176"/>
      <c r="L5" s="176"/>
      <c r="M5" s="176"/>
      <c r="N5" s="176"/>
      <c r="O5" s="176"/>
      <c r="P5" s="176"/>
      <c r="Q5" s="179"/>
      <c r="R5" s="171"/>
      <c r="S5" s="171"/>
      <c r="T5" s="171"/>
      <c r="U5" s="171"/>
      <c r="V5" s="171"/>
      <c r="W5" s="171"/>
      <c r="X5" s="171"/>
    </row>
    <row r="6" spans="1:32" ht="14.45" customHeight="1" thickBot="1" x14ac:dyDescent="0.3">
      <c r="A6" s="171"/>
      <c r="B6" s="182" t="str">
        <f>IF(J6=0, "", IFERROR(INDEX(#REF!, MATCH(J6,#REF!, 0)), "Not found in MSL"))</f>
        <v>Not found in MSL</v>
      </c>
      <c r="C6" s="180"/>
      <c r="D6" s="180"/>
      <c r="E6" s="180"/>
      <c r="F6" s="180"/>
      <c r="G6" s="180"/>
      <c r="H6" s="180"/>
      <c r="I6" s="181"/>
      <c r="J6" s="3872" t="s">
        <v>690</v>
      </c>
      <c r="K6" s="3873"/>
      <c r="L6" s="3873"/>
      <c r="M6" s="3873"/>
      <c r="N6" s="3873"/>
      <c r="O6" s="3873"/>
      <c r="P6" s="3873"/>
      <c r="Q6" s="3874"/>
    </row>
    <row r="7" spans="1:32" ht="14.45" customHeight="1" thickBot="1" x14ac:dyDescent="0.3">
      <c r="A7" s="171"/>
      <c r="B7" s="171"/>
      <c r="C7" s="171"/>
      <c r="D7" s="171"/>
      <c r="E7" s="171"/>
      <c r="F7" s="171"/>
      <c r="G7" s="171"/>
      <c r="H7" s="171"/>
    </row>
    <row r="8" spans="1:32" ht="14.45" customHeight="1" x14ac:dyDescent="0.25">
      <c r="B8" s="172" t="s">
        <v>798</v>
      </c>
      <c r="C8" s="173"/>
      <c r="D8" s="173"/>
      <c r="E8" s="173"/>
      <c r="F8" s="173"/>
      <c r="G8" s="173"/>
      <c r="H8" s="173"/>
      <c r="I8" s="174"/>
      <c r="J8" s="172" t="s">
        <v>240</v>
      </c>
      <c r="K8" s="173"/>
      <c r="L8" s="173"/>
      <c r="M8" s="173"/>
      <c r="N8" s="173"/>
      <c r="O8" s="173"/>
      <c r="P8" s="173"/>
      <c r="Q8" s="174"/>
      <c r="R8" s="172" t="s">
        <v>799</v>
      </c>
      <c r="S8" s="173"/>
      <c r="T8" s="173"/>
      <c r="U8" s="173"/>
      <c r="V8" s="173"/>
      <c r="W8" s="173"/>
      <c r="X8" s="173"/>
      <c r="Y8" s="174"/>
    </row>
    <row r="9" spans="1:32" ht="14.45" customHeight="1" x14ac:dyDescent="0.25">
      <c r="B9" s="159" t="str">
        <f t="array" ref="B9">IF(ISERROR(INDEX(#REF!,SMALL(IF(#REF!=$J$6,ROW(#REF!)),ROW(3:3)) - 1,2)), "", INDEX(#REF!,SMALL(IF(#REF!=$J$6,ROW(#REF!)),ROW(3:3)) - 1,2))</f>
        <v/>
      </c>
      <c r="I9" s="160"/>
      <c r="J9" s="159" t="str">
        <f t="array" ref="J9">IF(ISERROR(INDEX(#REF!,SMALL(IF(#REF!=$J$6,ROW(#REF!)),ROW(3:3)) - 1,3)), "", INDEX(#REF!,SMALL(IF(#REF!=$J$6,ROW(#REF!)),ROW(3:3)) - 1,3))</f>
        <v/>
      </c>
      <c r="Q9" s="160"/>
      <c r="R9" s="159" t="str">
        <f t="array" ref="R9">IF(ISERROR(INDEX(#REF!,SMALL(IF(#REF!=$J$6,ROW(#REF!)),ROW(3:3)) - 1,4)), "", CONCATENATE("$ ", INDEX(#REF!,SMALL(IF(#REF!=$J$6,ROW(#REF!)),ROW(3:3)) - 1,4)))</f>
        <v/>
      </c>
      <c r="Y9" s="160"/>
    </row>
    <row r="10" spans="1:32" ht="14.45" customHeight="1" x14ac:dyDescent="0.25">
      <c r="B10" s="159" t="str">
        <f t="array" ref="B10">IF(ISERROR(INDEX(#REF!,SMALL(IF(#REF!=$J$6,ROW(#REF!)),ROW(4:4)) - 1,2)), "", INDEX(#REF!,SMALL(IF(#REF!=$J$6,ROW(#REF!)),ROW(4:4)) - 1,2))</f>
        <v/>
      </c>
      <c r="I10" s="160"/>
      <c r="J10" s="159" t="str">
        <f t="array" ref="J10">IF(ISERROR(INDEX(#REF!,SMALL(IF(#REF!=$J$6,ROW(#REF!)),ROW(4:4)) - 1,3)), "", INDEX(#REF!,SMALL(IF(#REF!=$J$6,ROW(#REF!)),ROW(4:4)) - 1,3))</f>
        <v/>
      </c>
      <c r="Q10" s="160"/>
      <c r="R10" s="159" t="str">
        <f t="array" ref="R10">IF(ISERROR(INDEX(#REF!,SMALL(IF(#REF!=$J$6,ROW(#REF!)),ROW(4:4)) - 1,4)), "", CONCATENATE("$ ", INDEX(#REF!,SMALL(IF(#REF!=$J$6,ROW(#REF!)),ROW(4:4)) - 1,4)))</f>
        <v/>
      </c>
      <c r="Y10" s="160"/>
    </row>
    <row r="11" spans="1:32" ht="14.45" customHeight="1" x14ac:dyDescent="0.25">
      <c r="B11" s="159" t="str">
        <f t="array" ref="B11">IF(ISERROR(INDEX(#REF!,SMALL(IF(#REF!=$J$6,ROW(#REF!)),ROW(5:5)) - 1,2)), "", INDEX(#REF!,SMALL(IF(#REF!=$J$6,ROW(#REF!)),ROW(5:5)) - 1,2))</f>
        <v/>
      </c>
      <c r="I11" s="160"/>
      <c r="J11" s="159" t="str">
        <f t="array" ref="J11">IF(ISERROR(INDEX(#REF!,SMALL(IF(#REF!=$J$6,ROW(#REF!)),ROW(5:5)) - 1,3)), "", INDEX(#REF!,SMALL(IF(#REF!=$J$6,ROW(#REF!)),ROW(5:5)) - 1,3))</f>
        <v/>
      </c>
      <c r="Q11" s="160"/>
      <c r="R11" s="159" t="str">
        <f t="array" ref="R11">IF(ISERROR(INDEX(#REF!,SMALL(IF(#REF!=$J$6,ROW(#REF!)),ROW(5:5)) - 1,4)), "", CONCATENATE("$ ", INDEX(#REF!,SMALL(IF(#REF!=$J$6,ROW(#REF!)),ROW(5:5)) - 1,4)))</f>
        <v/>
      </c>
      <c r="Y11" s="160"/>
    </row>
    <row r="12" spans="1:32" ht="14.45" customHeight="1" x14ac:dyDescent="0.25">
      <c r="B12" s="159" t="str">
        <f t="array" ref="B12">IF(ISERROR(INDEX(#REF!,SMALL(IF(#REF!=$J$6,ROW(#REF!)),ROW(6:6)) - 1,2)), "", INDEX(#REF!,SMALL(IF(#REF!=$J$6,ROW(#REF!)),ROW(6:6)) - 1,2))</f>
        <v/>
      </c>
      <c r="I12" s="160"/>
      <c r="J12" s="159" t="str">
        <f t="array" ref="J12">IF(ISERROR(INDEX(#REF!,SMALL(IF(#REF!=$J$6,ROW(#REF!)),ROW(6:6)) - 1,3)), "", INDEX(#REF!,SMALL(IF(#REF!=$J$6,ROW(#REF!)),ROW(6:6)) - 1,3))</f>
        <v/>
      </c>
      <c r="Q12" s="160"/>
      <c r="R12" s="159" t="str">
        <f t="array" ref="R12">IF(ISERROR(INDEX(#REF!,SMALL(IF(#REF!=$J$6,ROW(#REF!)),ROW(6:6)) - 1,4)), "", CONCATENATE("$ ", INDEX(#REF!,SMALL(IF(#REF!=$J$6,ROW(#REF!)),ROW(6:6)) - 1,4)))</f>
        <v/>
      </c>
      <c r="Y12" s="160"/>
    </row>
    <row r="13" spans="1:32" ht="14.45" customHeight="1" x14ac:dyDescent="0.25">
      <c r="B13" s="159" t="str">
        <f t="array" ref="B13">IF(ISERROR(INDEX(#REF!,SMALL(IF(#REF!=$J$6,ROW(#REF!)),ROW(7:7)) - 1,2)), "", INDEX(#REF!,SMALL(IF(#REF!=$J$6,ROW(#REF!)),ROW(7:7)) - 1,2))</f>
        <v/>
      </c>
      <c r="I13" s="160"/>
      <c r="J13" s="159" t="str">
        <f t="array" ref="J13">IF(ISERROR(INDEX(#REF!,SMALL(IF(#REF!=$J$6,ROW(#REF!)),ROW(7:7)) - 1,3)), "", INDEX(#REF!,SMALL(IF(#REF!=$J$6,ROW(#REF!)),ROW(7:7)) - 1,3))</f>
        <v/>
      </c>
      <c r="Q13" s="160"/>
      <c r="R13" s="159" t="str">
        <f t="array" ref="R13">IF(ISERROR(INDEX(#REF!,SMALL(IF(#REF!=$J$6,ROW(#REF!)),ROW(7:7)) - 1,4)), "", CONCATENATE("$ ", INDEX(#REF!,SMALL(IF(#REF!=$J$6,ROW(#REF!)),ROW(7:7)) - 1,4)))</f>
        <v/>
      </c>
      <c r="Y13" s="160"/>
    </row>
    <row r="14" spans="1:32" ht="14.45" customHeight="1" x14ac:dyDescent="0.25">
      <c r="B14" s="159" t="str">
        <f t="array" ref="B14">IF(ISERROR(INDEX(#REF!,SMALL(IF(#REF!=$J$6,ROW(#REF!)),ROW(8:8)) - 1,2)), "", INDEX(#REF!,SMALL(IF(#REF!=$J$6,ROW(#REF!)),ROW(8:8)) - 1,2))</f>
        <v/>
      </c>
      <c r="I14" s="160"/>
      <c r="J14" s="159" t="str">
        <f t="array" ref="J14">IF(ISERROR(INDEX(#REF!,SMALL(IF(#REF!=$J$6,ROW(#REF!)),ROW(8:8)) - 1,3)), "", INDEX(#REF!,SMALL(IF(#REF!=$J$6,ROW(#REF!)),ROW(8:8)) - 1,3))</f>
        <v/>
      </c>
      <c r="Q14" s="160"/>
      <c r="R14" s="159" t="str">
        <f t="array" ref="R14">IF(ISERROR(INDEX(#REF!,SMALL(IF(#REF!=$J$6,ROW(#REF!)),ROW(8:8)) - 1,4)), "", CONCATENATE("$ ", INDEX(#REF!,SMALL(IF(#REF!=$J$6,ROW(#REF!)),ROW(8:8)) - 1,4)))</f>
        <v/>
      </c>
      <c r="Y14" s="160"/>
    </row>
    <row r="15" spans="1:32" ht="14.45" customHeight="1" x14ac:dyDescent="0.25">
      <c r="B15" s="159" t="str">
        <f t="array" ref="B15">IF(ISERROR(INDEX(#REF!,SMALL(IF(#REF!=$J$6,ROW(#REF!)),ROW(9:9)) - 1,2)), "", INDEX(#REF!,SMALL(IF(#REF!=$J$6,ROW(#REF!)),ROW(9:9)) - 1,2))</f>
        <v/>
      </c>
      <c r="I15" s="160"/>
      <c r="J15" s="159" t="str">
        <f t="array" ref="J15">IF(ISERROR(INDEX(#REF!,SMALL(IF(#REF!=$J$6,ROW(#REF!)),ROW(9:9)) - 1,3)), "", INDEX(#REF!,SMALL(IF(#REF!=$J$6,ROW(#REF!)),ROW(9:9)) - 1,3))</f>
        <v/>
      </c>
      <c r="Q15" s="160"/>
      <c r="R15" s="159" t="str">
        <f t="array" ref="R15">IF(ISERROR(INDEX(#REF!,SMALL(IF(#REF!=$J$6,ROW(#REF!)),ROW(9:9)) - 1,4)), "", CONCATENATE("$ ", INDEX(#REF!,SMALL(IF(#REF!=$J$6,ROW(#REF!)),ROW(9:9)) - 1,4)))</f>
        <v/>
      </c>
      <c r="Y15" s="160"/>
    </row>
    <row r="16" spans="1:32" ht="14.45" customHeight="1" x14ac:dyDescent="0.25">
      <c r="B16" s="159" t="str">
        <f t="array" ref="B16">IF(ISERROR(INDEX(#REF!,SMALL(IF(#REF!=$J$6,ROW(#REF!)),ROW(10:10)) - 1,2)), "", INDEX(#REF!,SMALL(IF(#REF!=$J$6,ROW(#REF!)),ROW(10:10)) - 1,2))</f>
        <v/>
      </c>
      <c r="I16" s="160"/>
      <c r="J16" s="159" t="str">
        <f t="array" ref="J16">IF(ISERROR(INDEX(#REF!,SMALL(IF(#REF!=$J$6,ROW(#REF!)),ROW(10:10)) - 1,3)), "", INDEX(#REF!,SMALL(IF(#REF!=$J$6,ROW(#REF!)),ROW(10:10)) - 1,3))</f>
        <v/>
      </c>
      <c r="Q16" s="160"/>
      <c r="R16" s="159" t="str">
        <f t="array" ref="R16">IF(ISERROR(INDEX(#REF!,SMALL(IF(#REF!=$J$6,ROW(#REF!)),ROW(10:10)) - 1,4)), "", CONCATENATE("$ ", INDEX(#REF!,SMALL(IF(#REF!=$J$6,ROW(#REF!)),ROW(10:10)) - 1,4)))</f>
        <v/>
      </c>
      <c r="Y16" s="160"/>
    </row>
    <row r="17" spans="1:32" ht="14.45" customHeight="1" x14ac:dyDescent="0.25">
      <c r="B17" s="159" t="str">
        <f t="array" ref="B17">IF(ISERROR(INDEX(#REF!,SMALL(IF(#REF!=$J$6,ROW(#REF!)),ROW(11:11)) - 1,2)), "", INDEX(#REF!,SMALL(IF(#REF!=$J$6,ROW(#REF!)),ROW(11:11)) - 1,2))</f>
        <v/>
      </c>
      <c r="I17" s="160"/>
      <c r="J17" s="159" t="str">
        <f t="array" ref="J17">IF(ISERROR(INDEX(#REF!,SMALL(IF(#REF!=$J$6,ROW(#REF!)),ROW(11:11)) - 1,3)), "", INDEX(#REF!,SMALL(IF(#REF!=$J$6,ROW(#REF!)),ROW(11:11)) - 1,3))</f>
        <v/>
      </c>
      <c r="Q17" s="160"/>
      <c r="R17" s="159" t="str">
        <f t="array" ref="R17">IF(ISERROR(INDEX(#REF!,SMALL(IF(#REF!=$J$6,ROW(#REF!)),ROW(11:11)) - 1,4)), "", CONCATENATE("$ ", INDEX(#REF!,SMALL(IF(#REF!=$J$6,ROW(#REF!)),ROW(11:11)) - 1,4)))</f>
        <v/>
      </c>
      <c r="Y17" s="160"/>
    </row>
    <row r="18" spans="1:32" ht="14.45" customHeight="1" x14ac:dyDescent="0.25">
      <c r="B18" s="159" t="str">
        <f t="array" ref="B18">IF(ISERROR(INDEX(#REF!,SMALL(IF(#REF!=$J$6,ROW(#REF!)),ROW(12:12)) - 1,2)), "", INDEX(#REF!,SMALL(IF(#REF!=$J$6,ROW(#REF!)),ROW(12:12)) - 1,2))</f>
        <v/>
      </c>
      <c r="I18" s="160"/>
      <c r="J18" s="159" t="str">
        <f t="array" ref="J18">IF(ISERROR(INDEX(#REF!,SMALL(IF(#REF!=$J$6,ROW(#REF!)),ROW(12:12)) - 1,3)), "", INDEX(#REF!,SMALL(IF(#REF!=$J$6,ROW(#REF!)),ROW(12:12)) - 1,3))</f>
        <v/>
      </c>
      <c r="Q18" s="160"/>
      <c r="R18" s="159" t="str">
        <f t="array" ref="R18">IF(ISERROR(INDEX(#REF!,SMALL(IF(#REF!=$J$6,ROW(#REF!)),ROW(12:12)) - 1,4)), "", CONCATENATE("$ ", INDEX(#REF!,SMALL(IF(#REF!=$J$6,ROW(#REF!)),ROW(12:12)) - 1,4)))</f>
        <v/>
      </c>
      <c r="Y18" s="160"/>
    </row>
    <row r="19" spans="1:32" ht="14.45" customHeight="1" x14ac:dyDescent="0.25">
      <c r="B19" s="159" t="str">
        <f t="array" ref="B19">IF(ISERROR(INDEX(#REF!,SMALL(IF(#REF!=$J$6,ROW(#REF!)),ROW(13:13)) - 1,2)), "", INDEX(#REF!,SMALL(IF(#REF!=$J$6,ROW(#REF!)),ROW(13:13)) - 1,2))</f>
        <v/>
      </c>
      <c r="I19" s="160"/>
      <c r="J19" s="159" t="str">
        <f t="array" ref="J19">IF(ISERROR(INDEX(#REF!,SMALL(IF(#REF!=$J$6,ROW(#REF!)),ROW(13:13)) - 1,3)), "", INDEX(#REF!,SMALL(IF(#REF!=$J$6,ROW(#REF!)),ROW(13:13)) - 1,3))</f>
        <v/>
      </c>
      <c r="Q19" s="160"/>
      <c r="R19" s="159" t="str">
        <f t="array" ref="R19">IF(ISERROR(INDEX(#REF!,SMALL(IF(#REF!=$J$6,ROW(#REF!)),ROW(13:13)) - 1,4)), "", CONCATENATE("$ ", INDEX(#REF!,SMALL(IF(#REF!=$J$6,ROW(#REF!)),ROW(13:13)) - 1,4)))</f>
        <v/>
      </c>
      <c r="Y19" s="160"/>
    </row>
    <row r="20" spans="1:32" ht="14.45" customHeight="1" x14ac:dyDescent="0.25">
      <c r="B20" s="159" t="str">
        <f t="array" ref="B20">IF(ISERROR(INDEX(#REF!,SMALL(IF(#REF!=$J$6,ROW(#REF!)),ROW(14:14)) - 1,2)), "", INDEX(#REF!,SMALL(IF(#REF!=$J$6,ROW(#REF!)),ROW(14:14)) - 1,2))</f>
        <v/>
      </c>
      <c r="I20" s="160"/>
      <c r="J20" s="159" t="str">
        <f t="array" ref="J20">IF(ISERROR(INDEX(#REF!,SMALL(IF(#REF!=$J$6,ROW(#REF!)),ROW(14:14)) - 1,3)), "", INDEX(#REF!,SMALL(IF(#REF!=$J$6,ROW(#REF!)),ROW(14:14)) - 1,3))</f>
        <v/>
      </c>
      <c r="Q20" s="160"/>
      <c r="R20" s="159" t="str">
        <f t="array" ref="R20">IF(ISERROR(INDEX(#REF!,SMALL(IF(#REF!=$J$6,ROW(#REF!)),ROW(14:14)) - 1,4)), "", CONCATENATE("$ ", INDEX(#REF!,SMALL(IF(#REF!=$J$6,ROW(#REF!)),ROW(14:14)) - 1,4)))</f>
        <v/>
      </c>
      <c r="Y20" s="160"/>
    </row>
    <row r="21" spans="1:32" ht="14.45" customHeight="1" thickBot="1" x14ac:dyDescent="0.3">
      <c r="B21" s="161" t="str">
        <f t="array" ref="B21">IF(ISERROR(INDEX(#REF!,SMALL(IF(#REF!=$J$6,ROW(#REF!)),ROW(15:15)) - 1,2)), "", INDEX(#REF!,SMALL(IF(#REF!=$J$6,ROW(#REF!)),ROW(15:15)) - 1,2))</f>
        <v/>
      </c>
      <c r="C21" s="162"/>
      <c r="D21" s="162"/>
      <c r="E21" s="162"/>
      <c r="F21" s="162"/>
      <c r="G21" s="162"/>
      <c r="H21" s="162"/>
      <c r="I21" s="163"/>
      <c r="J21" s="161" t="str">
        <f t="array" ref="J21">IF(ISERROR(INDEX(#REF!,SMALL(IF(#REF!=$J$6,ROW(#REF!)),ROW(15:15)) - 1,3)), "", INDEX(#REF!,SMALL(IF(#REF!=$J$6,ROW(#REF!)),ROW(15:15)) - 1,3))</f>
        <v/>
      </c>
      <c r="K21" s="162"/>
      <c r="L21" s="162"/>
      <c r="M21" s="162"/>
      <c r="N21" s="162"/>
      <c r="O21" s="162"/>
      <c r="P21" s="162"/>
      <c r="Q21" s="163"/>
      <c r="R21" s="161" t="str">
        <f t="array" ref="R21">IF(ISERROR(INDEX(#REF!,SMALL(IF(#REF!=$J$6,ROW(#REF!)),ROW(15:15)) - 1,4)), "", CONCATENATE("$ ", INDEX(#REF!,SMALL(IF(#REF!=$J$6,ROW(#REF!)),ROW(15:15)) - 1,4)))</f>
        <v/>
      </c>
      <c r="S21" s="162"/>
      <c r="T21" s="162"/>
      <c r="U21" s="162"/>
      <c r="V21" s="162"/>
      <c r="W21" s="162"/>
      <c r="X21" s="162"/>
      <c r="Y21" s="163"/>
    </row>
    <row r="23" spans="1:32" ht="14.45" customHeight="1" x14ac:dyDescent="0.25">
      <c r="A23" s="1582" t="s">
        <v>9</v>
      </c>
      <c r="B23" s="1582"/>
      <c r="C23" s="1582"/>
      <c r="D23" s="1582"/>
      <c r="E23" s="1582"/>
      <c r="F23" s="1582"/>
      <c r="G23" s="1582"/>
      <c r="H23" s="1582"/>
      <c r="I23" s="1582"/>
      <c r="J23" s="1582"/>
      <c r="K23" s="1582"/>
      <c r="L23" s="1582"/>
      <c r="M23" s="1582"/>
      <c r="N23" s="1582"/>
      <c r="O23" s="1582"/>
      <c r="P23" s="1582"/>
      <c r="Q23" s="1582"/>
      <c r="R23" s="1582"/>
      <c r="S23" s="1582"/>
      <c r="T23" s="1582"/>
      <c r="U23" s="1582"/>
      <c r="V23" s="1582"/>
      <c r="W23" s="1582"/>
      <c r="X23" s="1582"/>
      <c r="Y23" s="1582"/>
      <c r="Z23" s="1582"/>
      <c r="AA23" s="1582"/>
      <c r="AB23" s="1582"/>
      <c r="AC23" s="1582"/>
      <c r="AD23" s="1582"/>
      <c r="AE23" s="1582"/>
      <c r="AF23" s="1582"/>
    </row>
    <row r="24" spans="1:32" ht="14.45" customHeight="1" x14ac:dyDescent="0.25">
      <c r="B24" s="171" t="s">
        <v>10</v>
      </c>
      <c r="C24" s="171"/>
      <c r="D24" s="171"/>
      <c r="E24" s="171"/>
      <c r="F24" s="171"/>
      <c r="G24" s="171"/>
      <c r="H24" s="171"/>
      <c r="I24" s="171"/>
    </row>
    <row r="25" spans="1:32" ht="28.9" customHeight="1" x14ac:dyDescent="0.25">
      <c r="B25" s="1151" t="s">
        <v>694</v>
      </c>
      <c r="C25" s="1151"/>
      <c r="D25" s="1151"/>
      <c r="E25" s="1151"/>
      <c r="F25" s="1151"/>
      <c r="G25" s="1151"/>
      <c r="H25" s="1151"/>
      <c r="I25" s="1151"/>
      <c r="J25" s="1151"/>
      <c r="K25" s="1151"/>
      <c r="L25" s="1151"/>
      <c r="M25" s="1151"/>
      <c r="N25" s="1151"/>
      <c r="O25" s="1151"/>
      <c r="P25" s="1151"/>
      <c r="Q25" s="1151"/>
      <c r="R25" s="1151"/>
      <c r="S25" s="1151"/>
      <c r="T25" s="1151"/>
      <c r="U25" s="1151"/>
      <c r="V25" s="1151"/>
      <c r="W25" s="1151"/>
      <c r="X25" s="1151"/>
      <c r="Y25" s="1151"/>
      <c r="Z25" s="1151"/>
      <c r="AA25" s="1151"/>
      <c r="AB25" s="1151"/>
      <c r="AC25" s="1151"/>
      <c r="AD25" s="1151"/>
      <c r="AE25" s="1151"/>
      <c r="AF25" s="1151"/>
    </row>
    <row r="27" spans="1:32" ht="14.45" customHeight="1" x14ac:dyDescent="0.25">
      <c r="B27" s="171" t="s">
        <v>11</v>
      </c>
      <c r="C27" s="171"/>
      <c r="D27" s="171"/>
      <c r="E27" s="171"/>
      <c r="F27" s="171"/>
      <c r="G27" s="171"/>
      <c r="H27" s="171"/>
      <c r="I27" s="171"/>
    </row>
    <row r="28" spans="1:32" s="4" customFormat="1" ht="14.45" customHeight="1" x14ac:dyDescent="0.25">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row>
    <row r="30" spans="1:32" ht="14.45" customHeight="1" x14ac:dyDescent="0.25">
      <c r="B30" s="171" t="s">
        <v>12</v>
      </c>
      <c r="C30" s="171"/>
      <c r="D30" s="171"/>
      <c r="E30" s="171"/>
      <c r="F30" s="171"/>
      <c r="G30" s="171"/>
      <c r="H30" s="171"/>
      <c r="I30" s="171"/>
    </row>
    <row r="31" spans="1:32" ht="14.45" customHeight="1" x14ac:dyDescent="0.25">
      <c r="B31" s="1" t="s">
        <v>695</v>
      </c>
    </row>
    <row r="33" spans="1:32" ht="14.45" customHeight="1" x14ac:dyDescent="0.25">
      <c r="B33" s="171" t="s">
        <v>13</v>
      </c>
      <c r="C33" s="171"/>
      <c r="D33" s="171"/>
      <c r="E33" s="171"/>
      <c r="F33" s="171"/>
      <c r="G33" s="171"/>
      <c r="H33" s="171"/>
      <c r="I33" s="171"/>
    </row>
    <row r="34" spans="1:32" ht="14.45" customHeight="1" x14ac:dyDescent="0.25">
      <c r="B34" s="1" t="s">
        <v>696</v>
      </c>
    </row>
    <row r="36" spans="1:32" ht="14.45" customHeight="1" x14ac:dyDescent="0.25">
      <c r="B36" s="171" t="s">
        <v>20</v>
      </c>
      <c r="C36" s="171"/>
      <c r="D36" s="171"/>
      <c r="E36" s="171"/>
      <c r="F36" s="171"/>
      <c r="G36" s="171"/>
      <c r="H36" s="171"/>
      <c r="I36" s="171"/>
    </row>
    <row r="37" spans="1:32" ht="14.45" customHeight="1" x14ac:dyDescent="0.25">
      <c r="B37" s="1" t="s">
        <v>697</v>
      </c>
    </row>
    <row r="40" spans="1:32" ht="14.45" customHeight="1" x14ac:dyDescent="0.25">
      <c r="A40" s="1582" t="s">
        <v>14</v>
      </c>
      <c r="B40" s="1582"/>
      <c r="C40" s="1582"/>
      <c r="D40" s="1582"/>
      <c r="E40" s="1582"/>
      <c r="F40" s="1582"/>
      <c r="G40" s="1582"/>
      <c r="H40" s="1582"/>
      <c r="I40" s="1582"/>
      <c r="J40" s="1582"/>
      <c r="K40" s="1582"/>
      <c r="L40" s="1582"/>
      <c r="M40" s="1582"/>
      <c r="N40" s="1582"/>
      <c r="O40" s="1582"/>
      <c r="P40" s="1582"/>
      <c r="Q40" s="1582"/>
      <c r="R40" s="1582"/>
      <c r="S40" s="1582"/>
      <c r="T40" s="1582"/>
      <c r="U40" s="1582"/>
      <c r="V40" s="1582"/>
      <c r="W40" s="1582"/>
      <c r="X40" s="1582"/>
      <c r="Y40" s="1582"/>
      <c r="Z40" s="1582"/>
      <c r="AA40" s="1582"/>
      <c r="AB40" s="1582"/>
      <c r="AC40" s="1582"/>
      <c r="AD40" s="1582"/>
      <c r="AE40" s="1582"/>
      <c r="AF40" s="1582"/>
    </row>
    <row r="41" spans="1:32" ht="14.4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row>
    <row r="42" spans="1:32" ht="14.45" customHeight="1" x14ac:dyDescent="0.25">
      <c r="A42" s="2875" t="s">
        <v>421</v>
      </c>
      <c r="B42" s="2875"/>
      <c r="C42" s="2875"/>
      <c r="D42" s="2875"/>
      <c r="E42" s="2875"/>
      <c r="F42" s="2875"/>
      <c r="G42" s="2875"/>
      <c r="H42" s="2875"/>
      <c r="I42" s="204" t="s">
        <v>1051</v>
      </c>
    </row>
    <row r="43" spans="1:32" ht="14.45" customHeight="1" x14ac:dyDescent="0.25">
      <c r="A43" s="2875" t="s">
        <v>422</v>
      </c>
      <c r="B43" s="2875"/>
      <c r="C43" s="2875"/>
      <c r="D43" s="2875"/>
      <c r="E43" s="2875"/>
      <c r="F43" s="2875"/>
      <c r="G43" s="2875"/>
      <c r="H43" s="2875"/>
      <c r="I43" s="204" t="s">
        <v>1052</v>
      </c>
    </row>
    <row r="44" spans="1:32" ht="14.45" customHeight="1" x14ac:dyDescent="0.25">
      <c r="A44" s="2875" t="s">
        <v>423</v>
      </c>
      <c r="B44" s="2875"/>
      <c r="C44" s="2875"/>
      <c r="D44" s="2875"/>
      <c r="E44" s="2875"/>
      <c r="F44" s="2875"/>
      <c r="G44" s="2875"/>
      <c r="H44" s="2875"/>
      <c r="I44" s="204" t="s">
        <v>1053</v>
      </c>
    </row>
    <row r="45" spans="1:32" ht="14.45" customHeight="1" x14ac:dyDescent="0.25">
      <c r="A45" s="2875" t="s">
        <v>424</v>
      </c>
      <c r="B45" s="2875"/>
      <c r="C45" s="2875"/>
      <c r="D45" s="2875"/>
      <c r="E45" s="2875"/>
      <c r="F45" s="2875"/>
      <c r="G45" s="2875"/>
      <c r="H45" s="2875"/>
      <c r="I45" s="204" t="s">
        <v>1054</v>
      </c>
      <c r="T45" s="184"/>
    </row>
    <row r="46" spans="1:32" ht="14.45" customHeight="1" x14ac:dyDescent="0.25">
      <c r="A46" s="3"/>
      <c r="I46" s="184"/>
    </row>
    <row r="47" spans="1:32" ht="15" x14ac:dyDescent="0.25">
      <c r="A47" s="1148" t="s">
        <v>15</v>
      </c>
      <c r="B47" s="1149"/>
      <c r="C47" s="1149"/>
      <c r="D47" s="1149"/>
      <c r="E47" s="1149"/>
      <c r="F47" s="1149"/>
      <c r="G47" s="1149"/>
      <c r="H47" s="1149"/>
      <c r="I47" s="1149"/>
      <c r="J47" s="1149"/>
      <c r="K47" s="1149"/>
      <c r="L47" s="1149"/>
      <c r="M47" s="1149"/>
      <c r="N47" s="1149"/>
      <c r="O47" s="1149"/>
      <c r="P47" s="1149"/>
      <c r="Q47" s="1149"/>
      <c r="R47" s="1149"/>
      <c r="S47" s="1149"/>
      <c r="T47" s="1149"/>
      <c r="U47" s="1149"/>
      <c r="V47" s="1149"/>
      <c r="W47" s="1149"/>
      <c r="X47" s="1149"/>
      <c r="Y47" s="1149"/>
      <c r="Z47" s="1149"/>
      <c r="AA47" s="1149"/>
      <c r="AB47" s="1149"/>
      <c r="AC47" s="1149"/>
      <c r="AD47" s="1149"/>
      <c r="AE47" s="1149"/>
      <c r="AF47" s="1150"/>
    </row>
    <row r="48" spans="1:32" ht="15" x14ac:dyDescent="0.25">
      <c r="A48" s="1303" t="s">
        <v>16</v>
      </c>
      <c r="B48" s="1303"/>
      <c r="C48" s="1303"/>
      <c r="D48" s="1303"/>
      <c r="E48" s="1303" t="s">
        <v>10</v>
      </c>
      <c r="F48" s="1303"/>
      <c r="G48" s="1303"/>
      <c r="H48" s="1303"/>
      <c r="I48" s="1303"/>
      <c r="J48" s="1303"/>
      <c r="K48" s="1303"/>
      <c r="L48" s="1303"/>
      <c r="M48" s="1303"/>
      <c r="N48" s="1303"/>
      <c r="O48" s="1303"/>
      <c r="P48" s="1303"/>
      <c r="Q48" s="1303" t="s">
        <v>17</v>
      </c>
      <c r="R48" s="1303"/>
      <c r="S48" s="1303"/>
      <c r="T48" s="1303" t="s">
        <v>18</v>
      </c>
      <c r="U48" s="1303"/>
      <c r="V48" s="1303"/>
      <c r="W48" s="1303" t="s">
        <v>19</v>
      </c>
      <c r="X48" s="1303"/>
      <c r="Y48" s="1303"/>
      <c r="Z48" s="1303"/>
      <c r="AA48" s="1303"/>
      <c r="AB48" s="1303"/>
      <c r="AC48" s="1303"/>
      <c r="AD48" s="1303"/>
      <c r="AE48" s="1303"/>
      <c r="AF48" s="1303"/>
    </row>
    <row r="49" spans="1:32" ht="43.15" customHeight="1" x14ac:dyDescent="0.25">
      <c r="A49" s="1912" t="s">
        <v>425</v>
      </c>
      <c r="B49" s="1912"/>
      <c r="C49" s="1912"/>
      <c r="D49" s="1912"/>
      <c r="E49" s="1912" t="s">
        <v>426</v>
      </c>
      <c r="F49" s="1912"/>
      <c r="G49" s="1912"/>
      <c r="H49" s="1912"/>
      <c r="I49" s="1912"/>
      <c r="J49" s="1912"/>
      <c r="K49" s="1912"/>
      <c r="L49" s="1912"/>
      <c r="M49" s="1912"/>
      <c r="N49" s="1912"/>
      <c r="O49" s="1912"/>
      <c r="P49" s="1912"/>
      <c r="Q49" s="1920">
        <v>22981</v>
      </c>
      <c r="R49" s="1920"/>
      <c r="S49" s="1920"/>
      <c r="T49" s="1243" t="s">
        <v>1055</v>
      </c>
      <c r="U49" s="1243"/>
      <c r="V49" s="1243"/>
      <c r="W49" s="1920" t="s">
        <v>427</v>
      </c>
      <c r="X49" s="1920"/>
      <c r="Y49" s="1920"/>
      <c r="Z49" s="1920"/>
      <c r="AA49" s="1920"/>
      <c r="AB49" s="1920"/>
      <c r="AC49" s="1920"/>
      <c r="AD49" s="1920"/>
      <c r="AE49" s="1920"/>
      <c r="AF49" s="1920"/>
    </row>
    <row r="50" spans="1:32" ht="28.9" customHeight="1" x14ac:dyDescent="0.25">
      <c r="A50" s="1912" t="s">
        <v>428</v>
      </c>
      <c r="B50" s="1912" t="s">
        <v>428</v>
      </c>
      <c r="C50" s="1912" t="s">
        <v>428</v>
      </c>
      <c r="D50" s="1912" t="s">
        <v>428</v>
      </c>
      <c r="E50" s="1912" t="s">
        <v>429</v>
      </c>
      <c r="F50" s="1912" t="s">
        <v>429</v>
      </c>
      <c r="G50" s="1912" t="s">
        <v>429</v>
      </c>
      <c r="H50" s="1912" t="s">
        <v>429</v>
      </c>
      <c r="I50" s="1912" t="s">
        <v>429</v>
      </c>
      <c r="J50" s="1912" t="s">
        <v>429</v>
      </c>
      <c r="K50" s="1912" t="s">
        <v>429</v>
      </c>
      <c r="L50" s="1912" t="s">
        <v>429</v>
      </c>
      <c r="M50" s="1912" t="s">
        <v>429</v>
      </c>
      <c r="N50" s="1912" t="s">
        <v>429</v>
      </c>
      <c r="O50" s="1912" t="s">
        <v>429</v>
      </c>
      <c r="P50" s="1912" t="s">
        <v>429</v>
      </c>
      <c r="Q50" s="1920">
        <f t="shared" ref="Q50:S50" si="0">12000/3412</f>
        <v>3.5169988276670576</v>
      </c>
      <c r="R50" s="1920">
        <f t="shared" si="0"/>
        <v>3.5169988276670576</v>
      </c>
      <c r="S50" s="1920">
        <f t="shared" si="0"/>
        <v>3.5169988276670576</v>
      </c>
      <c r="T50" s="1243" t="s">
        <v>26</v>
      </c>
      <c r="U50" s="1243"/>
      <c r="V50" s="1243"/>
      <c r="W50" s="1920" t="s">
        <v>427</v>
      </c>
      <c r="X50" s="1920"/>
      <c r="Y50" s="1920"/>
      <c r="Z50" s="1920"/>
      <c r="AA50" s="1920"/>
      <c r="AB50" s="1920"/>
      <c r="AC50" s="1920"/>
      <c r="AD50" s="1920"/>
      <c r="AE50" s="1920"/>
      <c r="AF50" s="1920"/>
    </row>
    <row r="51" spans="1:32" ht="15" x14ac:dyDescent="0.25">
      <c r="A51" s="1912" t="s">
        <v>430</v>
      </c>
      <c r="B51" s="1912" t="s">
        <v>430</v>
      </c>
      <c r="C51" s="1912" t="s">
        <v>430</v>
      </c>
      <c r="D51" s="1912" t="s">
        <v>430</v>
      </c>
      <c r="E51" s="1912"/>
      <c r="F51" s="1912"/>
      <c r="G51" s="1912"/>
      <c r="H51" s="1912"/>
      <c r="I51" s="1912"/>
      <c r="J51" s="1912"/>
      <c r="K51" s="1912"/>
      <c r="L51" s="1912"/>
      <c r="M51" s="1912"/>
      <c r="N51" s="1912"/>
      <c r="O51" s="1912"/>
      <c r="P51" s="1912"/>
      <c r="Q51" s="1920">
        <v>365</v>
      </c>
      <c r="R51" s="1920">
        <v>365</v>
      </c>
      <c r="S51" s="1920">
        <v>365</v>
      </c>
      <c r="T51" s="1243" t="s">
        <v>74</v>
      </c>
      <c r="U51" s="1243"/>
      <c r="V51" s="1243"/>
      <c r="W51" s="1920"/>
      <c r="X51" s="1920"/>
      <c r="Y51" s="1920"/>
      <c r="Z51" s="1920"/>
      <c r="AA51" s="1920"/>
      <c r="AB51" s="1920"/>
      <c r="AC51" s="1920"/>
      <c r="AD51" s="1920"/>
      <c r="AE51" s="1920"/>
      <c r="AF51" s="1920"/>
    </row>
    <row r="52" spans="1:32" ht="28.9" customHeight="1" x14ac:dyDescent="0.25">
      <c r="A52" s="1912" t="s">
        <v>431</v>
      </c>
      <c r="B52" s="1912" t="s">
        <v>431</v>
      </c>
      <c r="C52" s="1912" t="s">
        <v>431</v>
      </c>
      <c r="D52" s="1912" t="s">
        <v>431</v>
      </c>
      <c r="E52" s="1912"/>
      <c r="F52" s="1912"/>
      <c r="G52" s="1912"/>
      <c r="H52" s="1912"/>
      <c r="I52" s="1912"/>
      <c r="J52" s="1912"/>
      <c r="K52" s="1912"/>
      <c r="L52" s="1912"/>
      <c r="M52" s="1912"/>
      <c r="N52" s="1912"/>
      <c r="O52" s="1912"/>
      <c r="P52" s="1912"/>
      <c r="Q52" s="1920" t="s">
        <v>1056</v>
      </c>
      <c r="R52" s="1920" t="s">
        <v>215</v>
      </c>
      <c r="S52" s="1920" t="s">
        <v>215</v>
      </c>
      <c r="T52" s="1243" t="s">
        <v>28</v>
      </c>
      <c r="U52" s="1243"/>
      <c r="V52" s="1243"/>
      <c r="W52" s="1920"/>
      <c r="X52" s="1920"/>
      <c r="Y52" s="1920"/>
      <c r="Z52" s="1920"/>
      <c r="AA52" s="1920"/>
      <c r="AB52" s="1920"/>
      <c r="AC52" s="1920"/>
      <c r="AD52" s="1920"/>
      <c r="AE52" s="1920"/>
      <c r="AF52" s="1920"/>
    </row>
    <row r="53" spans="1:32" ht="15" x14ac:dyDescent="0.25">
      <c r="A53" s="1912" t="s">
        <v>432</v>
      </c>
      <c r="B53" s="1912" t="s">
        <v>432</v>
      </c>
      <c r="C53" s="1912" t="s">
        <v>432</v>
      </c>
      <c r="D53" s="1912" t="s">
        <v>432</v>
      </c>
      <c r="E53" s="1912"/>
      <c r="F53" s="1912"/>
      <c r="G53" s="1912"/>
      <c r="H53" s="1912"/>
      <c r="I53" s="1912"/>
      <c r="J53" s="1912"/>
      <c r="K53" s="1912"/>
      <c r="L53" s="1912"/>
      <c r="M53" s="1912"/>
      <c r="N53" s="1912"/>
      <c r="O53" s="1912"/>
      <c r="P53" s="1912"/>
      <c r="Q53" s="1920" t="s">
        <v>1056</v>
      </c>
      <c r="R53" s="1920" t="s">
        <v>215</v>
      </c>
      <c r="S53" s="1920" t="s">
        <v>215</v>
      </c>
      <c r="T53" s="1243" t="s">
        <v>28</v>
      </c>
      <c r="U53" s="1243"/>
      <c r="V53" s="1243"/>
      <c r="W53" s="1920"/>
      <c r="X53" s="1920"/>
      <c r="Y53" s="1920"/>
      <c r="Z53" s="1920"/>
      <c r="AA53" s="1920"/>
      <c r="AB53" s="1920"/>
      <c r="AC53" s="1920"/>
      <c r="AD53" s="1920"/>
      <c r="AE53" s="1920"/>
      <c r="AF53" s="1920"/>
    </row>
    <row r="54" spans="1:32" ht="14.45" customHeight="1" x14ac:dyDescent="0.25">
      <c r="A54" s="1912" t="s">
        <v>433</v>
      </c>
      <c r="B54" s="1912" t="s">
        <v>433</v>
      </c>
      <c r="C54" s="1912" t="s">
        <v>433</v>
      </c>
      <c r="D54" s="1912" t="s">
        <v>433</v>
      </c>
      <c r="E54" s="1912"/>
      <c r="F54" s="1912"/>
      <c r="G54" s="1912"/>
      <c r="H54" s="1912"/>
      <c r="I54" s="1912"/>
      <c r="J54" s="1912"/>
      <c r="K54" s="1912"/>
      <c r="L54" s="1912"/>
      <c r="M54" s="1912"/>
      <c r="N54" s="1912"/>
      <c r="O54" s="1912"/>
      <c r="P54" s="1912"/>
      <c r="Q54" s="1920" t="s">
        <v>1056</v>
      </c>
      <c r="R54" s="1920" t="s">
        <v>215</v>
      </c>
      <c r="S54" s="1920" t="s">
        <v>215</v>
      </c>
      <c r="T54" s="1243" t="s">
        <v>28</v>
      </c>
      <c r="U54" s="1243"/>
      <c r="V54" s="1243"/>
      <c r="W54" s="1920"/>
      <c r="X54" s="1920"/>
      <c r="Y54" s="1920"/>
      <c r="Z54" s="1920"/>
      <c r="AA54" s="1920"/>
      <c r="AB54" s="1920"/>
      <c r="AC54" s="1920"/>
      <c r="AD54" s="1920"/>
      <c r="AE54" s="1920"/>
      <c r="AF54" s="1920"/>
    </row>
    <row r="55" spans="1:32" ht="14.45" customHeight="1" x14ac:dyDescent="0.25">
      <c r="A55" s="1912" t="s">
        <v>434</v>
      </c>
      <c r="B55" s="1912" t="s">
        <v>434</v>
      </c>
      <c r="C55" s="1912" t="s">
        <v>434</v>
      </c>
      <c r="D55" s="1912" t="s">
        <v>434</v>
      </c>
      <c r="E55" s="1912"/>
      <c r="F55" s="1912"/>
      <c r="G55" s="1912"/>
      <c r="H55" s="1912"/>
      <c r="I55" s="1912"/>
      <c r="J55" s="1912"/>
      <c r="K55" s="1912"/>
      <c r="L55" s="1912"/>
      <c r="M55" s="1912"/>
      <c r="N55" s="1912"/>
      <c r="O55" s="1912"/>
      <c r="P55" s="1912"/>
      <c r="Q55" s="1920" t="s">
        <v>1056</v>
      </c>
      <c r="R55" s="1920" t="s">
        <v>215</v>
      </c>
      <c r="S55" s="1920" t="s">
        <v>215</v>
      </c>
      <c r="T55" s="1243" t="s">
        <v>28</v>
      </c>
      <c r="U55" s="1243"/>
      <c r="V55" s="1243"/>
      <c r="W55" s="1920"/>
      <c r="X55" s="1920"/>
      <c r="Y55" s="1920"/>
      <c r="Z55" s="1920"/>
      <c r="AA55" s="1920"/>
      <c r="AB55" s="1920"/>
      <c r="AC55" s="1920"/>
      <c r="AD55" s="1920"/>
      <c r="AE55" s="1920"/>
      <c r="AF55" s="1920"/>
    </row>
    <row r="56" spans="1:32" ht="28.9" customHeight="1" x14ac:dyDescent="0.25">
      <c r="A56" s="1912" t="s">
        <v>435</v>
      </c>
      <c r="B56" s="1912" t="s">
        <v>435</v>
      </c>
      <c r="C56" s="1912" t="s">
        <v>435</v>
      </c>
      <c r="D56" s="1912" t="s">
        <v>435</v>
      </c>
      <c r="E56" s="1912" t="s">
        <v>436</v>
      </c>
      <c r="F56" s="1912" t="s">
        <v>436</v>
      </c>
      <c r="G56" s="1912" t="s">
        <v>436</v>
      </c>
      <c r="H56" s="1912" t="s">
        <v>436</v>
      </c>
      <c r="I56" s="1912" t="s">
        <v>436</v>
      </c>
      <c r="J56" s="1912" t="s">
        <v>436</v>
      </c>
      <c r="K56" s="1912" t="s">
        <v>436</v>
      </c>
      <c r="L56" s="1912" t="s">
        <v>436</v>
      </c>
      <c r="M56" s="1912" t="s">
        <v>436</v>
      </c>
      <c r="N56" s="1912" t="s">
        <v>436</v>
      </c>
      <c r="O56" s="1912" t="s">
        <v>436</v>
      </c>
      <c r="P56" s="1912" t="s">
        <v>436</v>
      </c>
      <c r="Q56" s="1920" t="s">
        <v>1056</v>
      </c>
      <c r="R56" s="1920" t="s">
        <v>215</v>
      </c>
      <c r="S56" s="1920" t="s">
        <v>215</v>
      </c>
      <c r="T56" s="1243" t="s">
        <v>26</v>
      </c>
      <c r="U56" s="1243"/>
      <c r="V56" s="1243"/>
      <c r="W56" s="1920" t="s">
        <v>437</v>
      </c>
      <c r="X56" s="1920"/>
      <c r="Y56" s="1920"/>
      <c r="Z56" s="1920"/>
      <c r="AA56" s="1920"/>
      <c r="AB56" s="1920"/>
      <c r="AC56" s="1920"/>
      <c r="AD56" s="1920"/>
      <c r="AE56" s="1920"/>
      <c r="AF56" s="1920"/>
    </row>
    <row r="57" spans="1:32" ht="28.9" customHeight="1" x14ac:dyDescent="0.25">
      <c r="A57" s="1912" t="s">
        <v>438</v>
      </c>
      <c r="B57" s="1912" t="s">
        <v>438</v>
      </c>
      <c r="C57" s="1912" t="s">
        <v>438</v>
      </c>
      <c r="D57" s="1912" t="s">
        <v>438</v>
      </c>
      <c r="E57" s="1912" t="s">
        <v>439</v>
      </c>
      <c r="F57" s="1912" t="s">
        <v>439</v>
      </c>
      <c r="G57" s="1912" t="s">
        <v>439</v>
      </c>
      <c r="H57" s="1912" t="s">
        <v>439</v>
      </c>
      <c r="I57" s="1912" t="s">
        <v>439</v>
      </c>
      <c r="J57" s="1912" t="s">
        <v>439</v>
      </c>
      <c r="K57" s="1912" t="s">
        <v>439</v>
      </c>
      <c r="L57" s="1912" t="s">
        <v>439</v>
      </c>
      <c r="M57" s="1912" t="s">
        <v>439</v>
      </c>
      <c r="N57" s="1912" t="s">
        <v>439</v>
      </c>
      <c r="O57" s="1912" t="s">
        <v>439</v>
      </c>
      <c r="P57" s="1912" t="s">
        <v>439</v>
      </c>
      <c r="Q57" s="1920" t="s">
        <v>1056</v>
      </c>
      <c r="R57" s="1920" t="s">
        <v>215</v>
      </c>
      <c r="S57" s="1920" t="s">
        <v>215</v>
      </c>
      <c r="T57" s="1243" t="s">
        <v>26</v>
      </c>
      <c r="U57" s="1243"/>
      <c r="V57" s="1243"/>
      <c r="W57" s="1920" t="s">
        <v>440</v>
      </c>
      <c r="X57" s="1920"/>
      <c r="Y57" s="1920"/>
      <c r="Z57" s="1920"/>
      <c r="AA57" s="1920"/>
      <c r="AB57" s="1920"/>
      <c r="AC57" s="1920"/>
      <c r="AD57" s="1920"/>
      <c r="AE57" s="1920"/>
      <c r="AF57" s="1920"/>
    </row>
    <row r="58" spans="1:32" ht="15" x14ac:dyDescent="0.25">
      <c r="A58" s="1912" t="s">
        <v>34</v>
      </c>
      <c r="B58" s="1912" t="s">
        <v>34</v>
      </c>
      <c r="C58" s="1912" t="s">
        <v>34</v>
      </c>
      <c r="D58" s="1912" t="s">
        <v>34</v>
      </c>
      <c r="E58" s="1912" t="s">
        <v>219</v>
      </c>
      <c r="F58" s="1912" t="s">
        <v>219</v>
      </c>
      <c r="G58" s="1912" t="s">
        <v>219</v>
      </c>
      <c r="H58" s="1912" t="s">
        <v>219</v>
      </c>
      <c r="I58" s="1912" t="s">
        <v>219</v>
      </c>
      <c r="J58" s="1912" t="s">
        <v>219</v>
      </c>
      <c r="K58" s="1912" t="s">
        <v>219</v>
      </c>
      <c r="L58" s="1912" t="s">
        <v>219</v>
      </c>
      <c r="M58" s="1912" t="s">
        <v>219</v>
      </c>
      <c r="N58" s="1912" t="s">
        <v>219</v>
      </c>
      <c r="O58" s="1912" t="s">
        <v>219</v>
      </c>
      <c r="P58" s="1912" t="s">
        <v>219</v>
      </c>
      <c r="Q58" s="1920">
        <f>'Master EUL'!X65</f>
        <v>10</v>
      </c>
      <c r="R58" s="1920" t="s">
        <v>441</v>
      </c>
      <c r="S58" s="1920" t="s">
        <v>441</v>
      </c>
      <c r="T58" s="1243" t="s">
        <v>46</v>
      </c>
      <c r="U58" s="1243"/>
      <c r="V58" s="1243"/>
      <c r="W58" s="1920"/>
      <c r="X58" s="1920"/>
      <c r="Y58" s="1920"/>
      <c r="Z58" s="1920"/>
      <c r="AA58" s="1920"/>
      <c r="AB58" s="1920"/>
      <c r="AC58" s="1920"/>
      <c r="AD58" s="1920"/>
      <c r="AE58" s="1920"/>
      <c r="AF58" s="1920"/>
    </row>
    <row r="60" spans="1:32" ht="14.45" customHeight="1" x14ac:dyDescent="0.25">
      <c r="A60" s="10" t="s">
        <v>442</v>
      </c>
    </row>
    <row r="61" spans="1:32" ht="14.45" customHeight="1" x14ac:dyDescent="0.25">
      <c r="A61" s="1363"/>
      <c r="B61" s="1363"/>
      <c r="C61" s="1363"/>
      <c r="D61" s="1363"/>
      <c r="E61" s="1363"/>
      <c r="F61" s="1363"/>
      <c r="G61" s="1363"/>
      <c r="H61" s="1363"/>
      <c r="I61" s="1404" t="s">
        <v>431</v>
      </c>
      <c r="J61" s="1404"/>
      <c r="K61" s="1404"/>
      <c r="L61" s="1404"/>
      <c r="M61" s="1404" t="s">
        <v>432</v>
      </c>
      <c r="N61" s="1404"/>
      <c r="O61" s="1404"/>
      <c r="P61" s="1404"/>
      <c r="Q61" s="1404" t="s">
        <v>433</v>
      </c>
      <c r="R61" s="1404"/>
      <c r="S61" s="1404"/>
      <c r="T61" s="1404"/>
      <c r="U61" s="1404" t="s">
        <v>434</v>
      </c>
      <c r="V61" s="1404"/>
      <c r="W61" s="1404"/>
      <c r="X61" s="1404"/>
      <c r="Y61" s="1404" t="s">
        <v>443</v>
      </c>
      <c r="Z61" s="1404"/>
      <c r="AA61" s="1404"/>
      <c r="AB61" s="1404"/>
      <c r="AC61" s="1404" t="s">
        <v>1059</v>
      </c>
      <c r="AD61" s="1404"/>
      <c r="AE61" s="1404"/>
      <c r="AF61" s="1404"/>
    </row>
    <row r="62" spans="1:32" ht="14.45" customHeight="1" x14ac:dyDescent="0.25">
      <c r="A62" s="1381" t="s">
        <v>1057</v>
      </c>
      <c r="B62" s="1381"/>
      <c r="C62" s="1381"/>
      <c r="D62" s="1381"/>
      <c r="E62" s="1381"/>
      <c r="F62" s="1381"/>
      <c r="G62" s="1381"/>
      <c r="H62" s="1381"/>
      <c r="I62" s="4047">
        <v>0.98</v>
      </c>
      <c r="J62" s="4047"/>
      <c r="K62" s="4047"/>
      <c r="L62" s="4047"/>
      <c r="M62" s="4047" t="s">
        <v>252</v>
      </c>
      <c r="N62" s="4047"/>
      <c r="O62" s="4047"/>
      <c r="P62" s="4047"/>
      <c r="Q62" s="1363">
        <v>0.14299999999999999</v>
      </c>
      <c r="R62" s="1363"/>
      <c r="S62" s="1363"/>
      <c r="T62" s="1363"/>
      <c r="U62" s="1363" t="s">
        <v>252</v>
      </c>
      <c r="V62" s="1363"/>
      <c r="W62" s="1363"/>
      <c r="X62" s="1363"/>
      <c r="Y62" s="4047">
        <v>0.4</v>
      </c>
      <c r="Z62" s="4047"/>
      <c r="AA62" s="4047"/>
      <c r="AB62" s="4047"/>
      <c r="AC62" s="4047" t="s">
        <v>252</v>
      </c>
      <c r="AD62" s="4047"/>
      <c r="AE62" s="4047"/>
      <c r="AF62" s="4047"/>
    </row>
    <row r="63" spans="1:32" ht="14.45" customHeight="1" x14ac:dyDescent="0.25">
      <c r="A63" s="1381" t="s">
        <v>1058</v>
      </c>
      <c r="B63" s="1381"/>
      <c r="C63" s="1381"/>
      <c r="D63" s="1381"/>
      <c r="E63" s="1381"/>
      <c r="F63" s="1381"/>
      <c r="G63" s="1381"/>
      <c r="H63" s="1381"/>
      <c r="I63" s="4047" t="s">
        <v>444</v>
      </c>
      <c r="J63" s="4047"/>
      <c r="K63" s="4047"/>
      <c r="L63" s="4047"/>
      <c r="M63" s="4047">
        <v>3.5</v>
      </c>
      <c r="N63" s="4047"/>
      <c r="O63" s="4047"/>
      <c r="P63" s="4047"/>
      <c r="Q63" s="1363">
        <v>0.08</v>
      </c>
      <c r="R63" s="1363"/>
      <c r="S63" s="1363"/>
      <c r="T63" s="1363"/>
      <c r="U63" s="1363">
        <v>0.08</v>
      </c>
      <c r="V63" s="1363"/>
      <c r="W63" s="1363"/>
      <c r="X63" s="1363"/>
      <c r="Y63" s="4047" t="s">
        <v>444</v>
      </c>
      <c r="Z63" s="4047"/>
      <c r="AA63" s="4047"/>
      <c r="AB63" s="4047"/>
      <c r="AC63" s="4047">
        <v>0.3</v>
      </c>
      <c r="AD63" s="4047"/>
      <c r="AE63" s="4047"/>
      <c r="AF63" s="4047"/>
    </row>
    <row r="64" spans="1:32" ht="28.9" customHeight="1" x14ac:dyDescent="0.25">
      <c r="A64" s="2438" t="s">
        <v>374</v>
      </c>
      <c r="B64" s="2438"/>
      <c r="C64" s="3283" t="s">
        <v>1060</v>
      </c>
      <c r="D64" s="3283"/>
      <c r="E64" s="3283"/>
      <c r="F64" s="3283"/>
      <c r="G64" s="3283"/>
      <c r="H64" s="3283"/>
      <c r="I64" s="3283"/>
      <c r="J64" s="3283"/>
      <c r="K64" s="3283"/>
      <c r="L64" s="3283"/>
      <c r="M64" s="3283"/>
      <c r="N64" s="3283"/>
      <c r="O64" s="3283"/>
      <c r="P64" s="3283"/>
      <c r="Q64" s="3283"/>
      <c r="R64" s="3283"/>
      <c r="S64" s="3283"/>
      <c r="T64" s="3283"/>
      <c r="U64" s="3283"/>
      <c r="V64" s="3283"/>
      <c r="W64" s="3283"/>
      <c r="X64" s="3283"/>
      <c r="Y64" s="3283"/>
      <c r="Z64" s="3283"/>
      <c r="AA64" s="3283"/>
      <c r="AB64" s="3283"/>
      <c r="AC64" s="3283"/>
      <c r="AD64" s="3283"/>
      <c r="AE64" s="3283"/>
      <c r="AF64" s="3283"/>
    </row>
    <row r="65" spans="1:34" ht="28.9" customHeight="1" x14ac:dyDescent="0.25">
      <c r="A65" s="3935" t="s">
        <v>1048</v>
      </c>
      <c r="B65" s="3935"/>
      <c r="C65" s="3936" t="s">
        <v>1061</v>
      </c>
      <c r="D65" s="3936"/>
      <c r="E65" s="3936"/>
      <c r="F65" s="3936"/>
      <c r="G65" s="3936"/>
      <c r="H65" s="3936"/>
      <c r="I65" s="3936"/>
      <c r="J65" s="3936"/>
      <c r="K65" s="3936"/>
      <c r="L65" s="3936"/>
      <c r="M65" s="3936"/>
      <c r="N65" s="3936"/>
      <c r="O65" s="3936"/>
      <c r="P65" s="3936"/>
      <c r="Q65" s="3936"/>
      <c r="R65" s="3936"/>
      <c r="S65" s="3936"/>
      <c r="T65" s="3936"/>
      <c r="U65" s="3936"/>
      <c r="V65" s="3936"/>
      <c r="W65" s="3936"/>
      <c r="X65" s="3936"/>
      <c r="Y65" s="3936"/>
      <c r="Z65" s="3936"/>
      <c r="AA65" s="3936"/>
      <c r="AB65" s="3936"/>
      <c r="AC65" s="3936"/>
      <c r="AD65" s="3936"/>
      <c r="AE65" s="3936"/>
      <c r="AF65" s="3936"/>
    </row>
    <row r="68" spans="1:34" ht="15" x14ac:dyDescent="0.25">
      <c r="A68" s="1582" t="s">
        <v>21</v>
      </c>
      <c r="B68" s="1582"/>
      <c r="C68" s="1582"/>
      <c r="D68" s="1582"/>
      <c r="E68" s="1582"/>
      <c r="F68" s="1582"/>
      <c r="G68" s="1582"/>
      <c r="H68" s="1582"/>
      <c r="I68" s="1582"/>
      <c r="J68" s="1582"/>
      <c r="K68" s="1582"/>
      <c r="L68" s="1582"/>
      <c r="M68" s="1582"/>
      <c r="N68" s="1582"/>
      <c r="O68" s="1582"/>
      <c r="P68" s="1582"/>
      <c r="Q68" s="1582"/>
      <c r="R68" s="1582"/>
      <c r="S68" s="1582"/>
      <c r="T68" s="1582"/>
      <c r="U68" s="1582"/>
      <c r="V68" s="1582"/>
      <c r="W68" s="1582"/>
      <c r="X68" s="1582"/>
      <c r="Y68" s="1582"/>
      <c r="Z68" s="1582"/>
      <c r="AA68" s="1582"/>
      <c r="AB68" s="1582"/>
      <c r="AC68" s="1582"/>
      <c r="AD68" s="1582"/>
      <c r="AE68" s="1582"/>
      <c r="AF68" s="1582"/>
    </row>
    <row r="70" spans="1:34" ht="14.45" customHeight="1" x14ac:dyDescent="0.25">
      <c r="N70" s="1303" t="s">
        <v>1063</v>
      </c>
      <c r="O70" s="1303"/>
      <c r="P70" s="1303"/>
      <c r="Q70" s="1303"/>
      <c r="R70" s="1303"/>
      <c r="S70" s="1303"/>
      <c r="T70" s="1303" t="s">
        <v>1062</v>
      </c>
      <c r="U70" s="1303"/>
      <c r="V70" s="1303"/>
      <c r="W70" s="1303"/>
      <c r="X70" s="1303"/>
      <c r="Y70" s="1303"/>
      <c r="AD70" s="187"/>
    </row>
    <row r="71" spans="1:34" ht="14.45" customHeight="1" x14ac:dyDescent="0.25">
      <c r="A71" s="1303" t="s">
        <v>445</v>
      </c>
      <c r="B71" s="1303"/>
      <c r="C71" s="1303"/>
      <c r="D71" s="1303"/>
      <c r="E71" s="1303"/>
      <c r="F71" s="1303"/>
      <c r="G71" s="1303"/>
      <c r="H71" s="1303"/>
      <c r="I71" s="1303"/>
      <c r="J71" s="1303"/>
      <c r="K71" s="1303"/>
      <c r="L71" s="1303"/>
      <c r="M71" s="1303"/>
      <c r="N71" s="4048">
        <f>Y62*Q62-AC63*U63</f>
        <v>3.32E-2</v>
      </c>
      <c r="O71" s="4048"/>
      <c r="P71" s="4048"/>
      <c r="Q71" s="4048"/>
      <c r="R71" s="4048"/>
      <c r="S71" s="4048"/>
      <c r="T71" s="4046">
        <f>Q50*30.4*12/I62-Q50*30.4*12/M63</f>
        <v>942.61310620379459</v>
      </c>
      <c r="U71" s="4046"/>
      <c r="V71" s="4046"/>
      <c r="W71" s="4046"/>
      <c r="X71" s="4046"/>
      <c r="Y71" s="4046"/>
      <c r="AD71" s="188"/>
    </row>
    <row r="72" spans="1:34" ht="14.45" customHeight="1" x14ac:dyDescent="0.25">
      <c r="AD72" s="186"/>
      <c r="AE72" s="186"/>
      <c r="AF72" s="186"/>
      <c r="AG72" s="186"/>
      <c r="AH72" s="186"/>
    </row>
    <row r="74" spans="1:34" ht="14.45" customHeight="1" x14ac:dyDescent="0.25">
      <c r="A74" s="1582" t="s">
        <v>231</v>
      </c>
      <c r="B74" s="1582"/>
      <c r="C74" s="1582"/>
      <c r="D74" s="1582"/>
      <c r="E74" s="1582"/>
      <c r="F74" s="1582"/>
      <c r="G74" s="1582"/>
      <c r="H74" s="1582"/>
      <c r="I74" s="1582"/>
      <c r="J74" s="1582"/>
      <c r="K74" s="1582"/>
      <c r="L74" s="1582"/>
      <c r="M74" s="1582"/>
      <c r="N74" s="1582"/>
      <c r="O74" s="1582"/>
      <c r="P74" s="1582"/>
      <c r="Q74" s="1582"/>
      <c r="R74" s="1582"/>
      <c r="S74" s="1582"/>
      <c r="T74" s="1582"/>
      <c r="U74" s="1582"/>
      <c r="V74" s="1582"/>
      <c r="W74" s="1582"/>
      <c r="X74" s="1582"/>
      <c r="Y74" s="1582"/>
      <c r="Z74" s="1582"/>
      <c r="AA74" s="1582"/>
      <c r="AB74" s="1582"/>
      <c r="AC74" s="1582"/>
      <c r="AD74" s="1582"/>
      <c r="AE74" s="1582"/>
      <c r="AF74" s="1582"/>
    </row>
    <row r="75" spans="1:34" ht="14.45" customHeight="1" x14ac:dyDescent="0.25">
      <c r="A75" s="1390" t="s">
        <v>446</v>
      </c>
      <c r="B75" s="1390"/>
      <c r="C75" s="1390"/>
      <c r="D75" s="1390"/>
      <c r="E75" s="1390"/>
      <c r="F75" s="1390"/>
      <c r="G75" s="1390"/>
      <c r="H75" s="1390"/>
    </row>
    <row r="76" spans="1:34" ht="14.45" customHeight="1" x14ac:dyDescent="0.25">
      <c r="A76" s="1" t="s">
        <v>447</v>
      </c>
    </row>
  </sheetData>
  <sheetProtection algorithmName="SHA-512" hashValue="fd8EWxIy4IT6PfPJn/hTu9hBW+iLmG/MvFSG8mvKB9mF0ZAasABpAz5OP2DuGWo/prBeEwZPk8bTg/OF86jPGw==" saltValue="IK5TwpkJCOIllzqyodWH1Q==" spinCount="100000" sheet="1" objects="1" scenarios="1"/>
  <mergeCells count="99">
    <mergeCell ref="N71:S71"/>
    <mergeCell ref="Y61:AB61"/>
    <mergeCell ref="AC61:AF61"/>
    <mergeCell ref="I62:L62"/>
    <mergeCell ref="M62:P62"/>
    <mergeCell ref="Q62:T62"/>
    <mergeCell ref="U62:X62"/>
    <mergeCell ref="Y62:AB62"/>
    <mergeCell ref="U63:X63"/>
    <mergeCell ref="Y63:AB63"/>
    <mergeCell ref="AC62:AF62"/>
    <mergeCell ref="I61:L61"/>
    <mergeCell ref="T70:Y70"/>
    <mergeCell ref="A61:H61"/>
    <mergeCell ref="A57:D57"/>
    <mergeCell ref="E57:P57"/>
    <mergeCell ref="Q57:S57"/>
    <mergeCell ref="T57:V57"/>
    <mergeCell ref="A58:D58"/>
    <mergeCell ref="E58:P58"/>
    <mergeCell ref="Q58:S58"/>
    <mergeCell ref="T58:V58"/>
    <mergeCell ref="M61:P61"/>
    <mergeCell ref="Q61:T61"/>
    <mergeCell ref="U61:X61"/>
    <mergeCell ref="W57:AF57"/>
    <mergeCell ref="W58:AF58"/>
    <mergeCell ref="A56:D56"/>
    <mergeCell ref="E56:P56"/>
    <mergeCell ref="Q56:S56"/>
    <mergeCell ref="T56:V56"/>
    <mergeCell ref="W56:AF56"/>
    <mergeCell ref="A55:D55"/>
    <mergeCell ref="E55:P55"/>
    <mergeCell ref="Q55:S55"/>
    <mergeCell ref="T55:V55"/>
    <mergeCell ref="W55:AF55"/>
    <mergeCell ref="A54:D54"/>
    <mergeCell ref="E54:P54"/>
    <mergeCell ref="Q54:S54"/>
    <mergeCell ref="T54:V54"/>
    <mergeCell ref="W54:AF54"/>
    <mergeCell ref="T51:V51"/>
    <mergeCell ref="W51:AF51"/>
    <mergeCell ref="A50:D50"/>
    <mergeCell ref="E50:P50"/>
    <mergeCell ref="Q50:S50"/>
    <mergeCell ref="T50:V50"/>
    <mergeCell ref="W50:AF50"/>
    <mergeCell ref="A51:D51"/>
    <mergeCell ref="E51:P51"/>
    <mergeCell ref="Q51:S51"/>
    <mergeCell ref="A53:D53"/>
    <mergeCell ref="E53:P53"/>
    <mergeCell ref="Q53:S53"/>
    <mergeCell ref="T53:V53"/>
    <mergeCell ref="W53:AF53"/>
    <mergeCell ref="A52:D52"/>
    <mergeCell ref="E52:P52"/>
    <mergeCell ref="Q52:S52"/>
    <mergeCell ref="T52:V52"/>
    <mergeCell ref="W52:AF52"/>
    <mergeCell ref="A42:H42"/>
    <mergeCell ref="A43:H43"/>
    <mergeCell ref="A44:H44"/>
    <mergeCell ref="A45:H45"/>
    <mergeCell ref="A47:AF47"/>
    <mergeCell ref="A75:H75"/>
    <mergeCell ref="A62:H62"/>
    <mergeCell ref="A63:H63"/>
    <mergeCell ref="A68:AF68"/>
    <mergeCell ref="A71:M71"/>
    <mergeCell ref="N70:S70"/>
    <mergeCell ref="T71:Y71"/>
    <mergeCell ref="A74:AF74"/>
    <mergeCell ref="AC63:AF63"/>
    <mergeCell ref="A64:B64"/>
    <mergeCell ref="C64:AF64"/>
    <mergeCell ref="A65:B65"/>
    <mergeCell ref="C65:AF65"/>
    <mergeCell ref="I63:L63"/>
    <mergeCell ref="M63:P63"/>
    <mergeCell ref="Q63:T63"/>
    <mergeCell ref="A49:D49"/>
    <mergeCell ref="E49:P49"/>
    <mergeCell ref="Q49:S49"/>
    <mergeCell ref="T49:V49"/>
    <mergeCell ref="W49:AF49"/>
    <mergeCell ref="A48:D48"/>
    <mergeCell ref="E48:P48"/>
    <mergeCell ref="Q48:S48"/>
    <mergeCell ref="T48:V48"/>
    <mergeCell ref="W48:AF48"/>
    <mergeCell ref="A1:AF1"/>
    <mergeCell ref="A40:AF40"/>
    <mergeCell ref="A23:AF23"/>
    <mergeCell ref="A3:AF3"/>
    <mergeCell ref="J6:Q6"/>
    <mergeCell ref="B25:AF25"/>
  </mergeCells>
  <dataValidations count="1">
    <dataValidation type="list" allowBlank="1" showInputMessage="1" sqref="J6:Q6" xr:uid="{00000000-0002-0000-6B00-000000000000}">
      <formula1>#REF!</formula1>
    </dataValidation>
  </dataValidations>
  <pageMargins left="0.7" right="0.7" top="0.75" bottom="0.75" header="0.3" footer="0.3"/>
  <pageSetup orientation="portrait" r:id="rId1"/>
  <headerFooter>
    <oddHeader>&amp;C&amp;"Arial,Regular"&amp;09&amp;I&amp;K000000Leidos Proprietary</oddHeader>
    <oddFooter>&amp;C&amp;"Calibri,Regular"&amp;11</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9">
    <pageSetUpPr autoPageBreaks="0"/>
  </sheetPr>
  <dimension ref="A1:BK45"/>
  <sheetViews>
    <sheetView showWhiteSpace="0" zoomScaleNormal="100" workbookViewId="0">
      <selection activeCell="A2" sqref="A2"/>
    </sheetView>
  </sheetViews>
  <sheetFormatPr defaultColWidth="2.7109375" defaultRowHeight="15" x14ac:dyDescent="0.25"/>
  <sheetData>
    <row r="1" spans="1:32" ht="18" customHeight="1" thickBot="1" x14ac:dyDescent="0.3">
      <c r="A1" s="1272" t="s">
        <v>1032</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row>
    <row r="2" spans="1:32" x14ac:dyDescent="0.25">
      <c r="A2" s="376" t="s">
        <v>1702</v>
      </c>
    </row>
    <row r="3" spans="1:32"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5" customHeight="1" x14ac:dyDescent="0.25">
      <c r="A5" s="262"/>
      <c r="B5" s="1151" t="s">
        <v>2713</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ht="14.45" customHeight="1" x14ac:dyDescent="0.25">
      <c r="A6" s="376"/>
    </row>
    <row r="7" spans="1:32" x14ac:dyDescent="0.25">
      <c r="A7" s="1148" t="s">
        <v>2688</v>
      </c>
      <c r="B7" s="1149"/>
      <c r="C7" s="1149"/>
      <c r="D7" s="1149"/>
      <c r="E7" s="1149"/>
      <c r="F7" s="1149"/>
      <c r="G7" s="1149"/>
      <c r="H7" s="1149"/>
      <c r="I7" s="1149"/>
      <c r="J7" s="1149"/>
      <c r="K7" s="1149"/>
      <c r="L7" s="1149"/>
      <c r="M7" s="1149"/>
      <c r="N7" s="1149"/>
      <c r="O7" s="1149"/>
      <c r="P7" s="1149"/>
      <c r="Q7" s="1149"/>
      <c r="R7" s="1149"/>
      <c r="S7" s="1149"/>
      <c r="T7" s="1149"/>
      <c r="U7" s="1149"/>
      <c r="V7" s="1149"/>
      <c r="W7" s="1149"/>
      <c r="X7" s="1149"/>
      <c r="Y7" s="1149"/>
      <c r="Z7" s="1149"/>
      <c r="AA7" s="1149"/>
      <c r="AB7" s="1149"/>
      <c r="AC7" s="1149"/>
      <c r="AD7" s="1149"/>
      <c r="AE7" s="1149"/>
      <c r="AF7" s="1150"/>
    </row>
    <row r="8" spans="1:32" ht="46.5" customHeight="1" x14ac:dyDescent="0.25">
      <c r="A8" s="1147" t="s">
        <v>2687</v>
      </c>
      <c r="B8" s="1147"/>
      <c r="C8" s="1147"/>
      <c r="D8" s="1147"/>
      <c r="E8" s="1147"/>
      <c r="F8" s="1147"/>
      <c r="G8" s="1147"/>
      <c r="H8" s="1147"/>
      <c r="I8" s="1147"/>
      <c r="J8" s="1147"/>
      <c r="K8" s="1147"/>
      <c r="L8" s="1147"/>
      <c r="M8" s="1147"/>
      <c r="N8" s="1147"/>
      <c r="O8" s="1147"/>
      <c r="P8" s="1147"/>
      <c r="Q8" s="1147"/>
      <c r="R8" s="1147"/>
      <c r="S8" s="1147"/>
      <c r="T8" s="1147"/>
      <c r="U8" s="1147"/>
      <c r="V8" s="1147"/>
      <c r="W8" s="1147"/>
      <c r="X8" s="1147"/>
      <c r="Y8" s="1147"/>
      <c r="Z8" s="1147"/>
      <c r="AA8" s="1147"/>
      <c r="AB8" s="1147"/>
      <c r="AC8" s="1147"/>
      <c r="AD8" s="1147"/>
      <c r="AE8" s="1147"/>
      <c r="AF8" s="1147"/>
    </row>
    <row r="9" spans="1:32" x14ac:dyDescent="0.25">
      <c r="A9" s="270"/>
      <c r="B9" s="270"/>
      <c r="C9" s="270"/>
      <c r="D9" s="270"/>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2" ht="63" customHeight="1" x14ac:dyDescent="0.25">
      <c r="A10" s="1142" t="s">
        <v>2935</v>
      </c>
      <c r="B10" s="1142"/>
      <c r="C10" s="1142"/>
      <c r="D10" s="1142"/>
      <c r="E10" s="1142"/>
      <c r="F10" s="1142"/>
      <c r="G10" s="1142"/>
      <c r="H10" s="1142"/>
      <c r="I10" s="1142"/>
      <c r="J10" s="1142"/>
      <c r="K10" s="1142"/>
      <c r="L10" s="1142"/>
      <c r="M10" s="1142"/>
      <c r="N10" s="1142"/>
      <c r="O10" s="1142"/>
      <c r="P10" s="1142"/>
      <c r="Q10" s="1142"/>
      <c r="R10" s="1142"/>
      <c r="S10" s="1142"/>
      <c r="T10" s="1142"/>
      <c r="U10" s="1142"/>
      <c r="V10" s="1142"/>
      <c r="W10" s="1142"/>
      <c r="X10" s="1142"/>
      <c r="Y10" s="1142"/>
      <c r="Z10" s="1142"/>
      <c r="AA10" s="1142"/>
      <c r="AB10" s="1142"/>
      <c r="AC10" s="1142"/>
      <c r="AD10" s="1142"/>
      <c r="AE10" s="1142"/>
      <c r="AF10" s="1142"/>
    </row>
    <row r="11" spans="1:32" x14ac:dyDescent="0.25">
      <c r="A11" s="270"/>
      <c r="B11" s="270"/>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2" ht="94.5" customHeight="1" x14ac:dyDescent="0.25">
      <c r="A12" s="1142" t="s">
        <v>2936</v>
      </c>
      <c r="B12" s="1142"/>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3" spans="1:32" x14ac:dyDescent="0.25">
      <c r="A13" s="270"/>
      <c r="B13" s="270"/>
      <c r="C13" s="270"/>
      <c r="D13" s="270"/>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row>
    <row r="14" spans="1:32" x14ac:dyDescent="0.25">
      <c r="A14" s="1148" t="s">
        <v>2689</v>
      </c>
      <c r="B14" s="1149"/>
      <c r="C14" s="1149"/>
      <c r="D14" s="1149"/>
      <c r="E14" s="1149"/>
      <c r="F14" s="1149"/>
      <c r="G14" s="1149"/>
      <c r="H14" s="1149"/>
      <c r="I14" s="1149"/>
      <c r="J14" s="1149"/>
      <c r="K14" s="1149"/>
      <c r="L14" s="1149"/>
      <c r="M14" s="1149"/>
      <c r="N14" s="1149"/>
      <c r="O14" s="1149"/>
      <c r="P14" s="1149"/>
      <c r="Q14" s="1149"/>
      <c r="R14" s="1149"/>
      <c r="S14" s="1149"/>
      <c r="T14" s="1149"/>
      <c r="U14" s="1149"/>
      <c r="V14" s="1149"/>
      <c r="W14" s="1149"/>
      <c r="X14" s="1149"/>
      <c r="Y14" s="1149"/>
      <c r="Z14" s="1149"/>
      <c r="AA14" s="1149"/>
      <c r="AB14" s="1149"/>
      <c r="AC14" s="1149"/>
      <c r="AD14" s="1149"/>
      <c r="AE14" s="1149"/>
      <c r="AF14" s="1150"/>
    </row>
    <row r="15" spans="1:32"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row>
    <row r="16" spans="1:32" ht="49.5" customHeight="1" x14ac:dyDescent="0.25">
      <c r="A16" s="1142" t="s">
        <v>2693</v>
      </c>
      <c r="B16" s="1142"/>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7" spans="1:63" x14ac:dyDescent="0.25">
      <c r="A17" s="270"/>
      <c r="B17" s="270"/>
      <c r="C17" s="270"/>
      <c r="D17" s="270"/>
      <c r="E17" s="270"/>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63" ht="19.5" customHeight="1" x14ac:dyDescent="0.25">
      <c r="A18" s="1167" t="s">
        <v>2692</v>
      </c>
      <c r="B18" s="1422"/>
      <c r="C18" s="1422"/>
      <c r="D18" s="1422"/>
      <c r="E18" s="1422"/>
      <c r="F18" s="1422"/>
      <c r="G18" s="1422"/>
      <c r="H18" s="1422"/>
      <c r="I18" s="1422"/>
      <c r="J18" s="1422"/>
      <c r="K18" s="1422"/>
      <c r="L18" s="1422"/>
      <c r="M18" s="1422"/>
      <c r="N18" s="1422"/>
      <c r="O18" s="1422"/>
      <c r="P18" s="1422"/>
      <c r="Q18" s="1422"/>
      <c r="R18" s="1422"/>
      <c r="S18" s="1422"/>
      <c r="T18" s="1422"/>
      <c r="U18" s="1422"/>
      <c r="V18" s="1422"/>
      <c r="W18" s="1422"/>
      <c r="X18" s="1422"/>
      <c r="Y18" s="1422"/>
      <c r="Z18" s="1422"/>
      <c r="AA18" s="1422"/>
      <c r="AB18" s="1422"/>
      <c r="AC18" s="1422"/>
      <c r="AD18" s="1422"/>
      <c r="AE18" s="1422"/>
      <c r="AF18" s="1422"/>
    </row>
    <row r="19" spans="1:63" ht="47.25" customHeight="1" x14ac:dyDescent="0.25">
      <c r="A19" s="1426" t="s">
        <v>54</v>
      </c>
      <c r="B19" s="1427"/>
      <c r="C19" s="1427"/>
      <c r="D19" s="1427"/>
      <c r="E19" s="1427"/>
      <c r="F19" s="1427"/>
      <c r="G19" s="1427"/>
      <c r="H19" s="1428"/>
      <c r="I19" s="1418" t="s">
        <v>1901</v>
      </c>
      <c r="J19" s="1419"/>
      <c r="K19" s="1419"/>
      <c r="L19" s="1419"/>
      <c r="M19" s="1419"/>
      <c r="N19" s="1419"/>
      <c r="O19" s="1419"/>
      <c r="P19" s="1420"/>
      <c r="Q19" s="1418" t="s">
        <v>1924</v>
      </c>
      <c r="R19" s="1419"/>
      <c r="S19" s="1419"/>
      <c r="T19" s="1419"/>
      <c r="U19" s="1419"/>
      <c r="V19" s="1419"/>
      <c r="W19" s="1419"/>
      <c r="X19" s="1420"/>
      <c r="Y19" s="1"/>
      <c r="Z19" s="1"/>
      <c r="AA19" s="1"/>
      <c r="AB19" s="1"/>
      <c r="AC19" s="1"/>
      <c r="AD19" s="1"/>
      <c r="AE19" s="1"/>
      <c r="AF19" s="1"/>
      <c r="AG19" s="1"/>
      <c r="AH19" s="1"/>
      <c r="AR19" s="477"/>
      <c r="AS19" s="477"/>
      <c r="AT19" s="477"/>
      <c r="AU19" s="477"/>
      <c r="AV19" s="477"/>
      <c r="AW19" s="477"/>
      <c r="AX19" s="477"/>
      <c r="AY19" s="477"/>
      <c r="AZ19" s="477"/>
      <c r="BA19" s="477"/>
      <c r="BB19" s="477"/>
      <c r="BC19" s="477"/>
      <c r="BD19" s="477"/>
      <c r="BE19" s="477"/>
      <c r="BF19" s="477"/>
      <c r="BG19" s="477"/>
      <c r="BH19" s="477"/>
      <c r="BI19" s="477"/>
      <c r="BJ19" s="477"/>
      <c r="BK19" s="477"/>
    </row>
    <row r="20" spans="1:63" ht="18" x14ac:dyDescent="0.25">
      <c r="A20" s="472"/>
      <c r="B20" s="473"/>
      <c r="C20" s="473"/>
      <c r="D20" s="473"/>
      <c r="E20" s="473"/>
      <c r="F20" s="473"/>
      <c r="G20" s="473"/>
      <c r="H20" s="474"/>
      <c r="I20" s="1423" t="s">
        <v>2690</v>
      </c>
      <c r="J20" s="1424"/>
      <c r="K20" s="1424"/>
      <c r="L20" s="1425"/>
      <c r="M20" s="1423" t="s">
        <v>2691</v>
      </c>
      <c r="N20" s="1424"/>
      <c r="O20" s="1424"/>
      <c r="P20" s="1425"/>
      <c r="Q20" s="1423" t="s">
        <v>2690</v>
      </c>
      <c r="R20" s="1424"/>
      <c r="S20" s="1424"/>
      <c r="T20" s="1425"/>
      <c r="U20" s="1423" t="s">
        <v>2691</v>
      </c>
      <c r="V20" s="1424"/>
      <c r="W20" s="1424"/>
      <c r="X20" s="1425"/>
      <c r="Y20" s="1"/>
      <c r="Z20" s="1"/>
      <c r="AA20" s="1"/>
      <c r="AB20" s="1"/>
      <c r="AC20" s="1"/>
      <c r="AD20" s="1"/>
      <c r="AE20" s="1"/>
      <c r="AF20" s="1"/>
      <c r="AG20" s="1"/>
      <c r="AH20" s="1"/>
      <c r="AR20" s="477"/>
      <c r="AS20" s="477"/>
      <c r="AT20" s="477"/>
      <c r="AU20" s="477"/>
      <c r="AV20" s="477"/>
      <c r="AW20" s="477"/>
      <c r="AX20" s="477"/>
      <c r="AY20" s="477"/>
      <c r="AZ20" s="477"/>
      <c r="BA20" s="477"/>
      <c r="BB20" s="477"/>
      <c r="BC20" s="477"/>
      <c r="BD20" s="477"/>
      <c r="BE20" s="477"/>
      <c r="BF20" s="477"/>
      <c r="BG20" s="477"/>
      <c r="BH20" s="477"/>
      <c r="BI20" s="477"/>
      <c r="BJ20" s="477"/>
      <c r="BK20" s="477"/>
    </row>
    <row r="21" spans="1:63" x14ac:dyDescent="0.25">
      <c r="A21" s="1409" t="s">
        <v>2683</v>
      </c>
      <c r="B21" s="1410"/>
      <c r="C21" s="1410"/>
      <c r="D21" s="1410"/>
      <c r="E21" s="1410"/>
      <c r="F21" s="1410"/>
      <c r="G21" s="1410"/>
      <c r="H21" s="1411"/>
      <c r="I21" s="1412">
        <v>1.25</v>
      </c>
      <c r="J21" s="1413"/>
      <c r="K21" s="1413"/>
      <c r="L21" s="1414"/>
      <c r="M21" s="1412">
        <v>1.1299999999999999</v>
      </c>
      <c r="N21" s="1413"/>
      <c r="O21" s="1413"/>
      <c r="P21" s="1414"/>
      <c r="Q21" s="1412">
        <v>1.26</v>
      </c>
      <c r="R21" s="1413"/>
      <c r="S21" s="1413"/>
      <c r="T21" s="1414"/>
      <c r="U21" s="1412">
        <v>1.1299999999999999</v>
      </c>
      <c r="V21" s="1413"/>
      <c r="W21" s="1413"/>
      <c r="X21" s="1414"/>
      <c r="Y21" s="1"/>
      <c r="Z21" s="1"/>
      <c r="AA21" s="1"/>
      <c r="AB21" s="1"/>
      <c r="AC21" s="1"/>
      <c r="AD21" s="1"/>
      <c r="AE21" s="1"/>
      <c r="AF21" s="1"/>
      <c r="AG21" s="1"/>
      <c r="AH21" s="1"/>
      <c r="AR21" s="477"/>
      <c r="AS21" s="477"/>
      <c r="AT21" s="477"/>
      <c r="AU21" s="477"/>
      <c r="AV21" s="477"/>
      <c r="AW21" s="477"/>
      <c r="AX21" s="477"/>
      <c r="AY21" s="477"/>
      <c r="AZ21" s="477"/>
      <c r="BA21" s="477"/>
      <c r="BB21" s="477"/>
      <c r="BC21" s="477"/>
      <c r="BD21" s="477"/>
      <c r="BE21" s="477"/>
      <c r="BF21" s="477"/>
      <c r="BG21" s="477"/>
      <c r="BH21" s="477"/>
      <c r="BI21" s="477"/>
      <c r="BJ21" s="477"/>
      <c r="BK21" s="477"/>
    </row>
    <row r="22" spans="1:63" x14ac:dyDescent="0.25">
      <c r="A22" s="1409" t="s">
        <v>221</v>
      </c>
      <c r="B22" s="1410"/>
      <c r="C22" s="1410"/>
      <c r="D22" s="1410"/>
      <c r="E22" s="1410"/>
      <c r="F22" s="1410"/>
      <c r="G22" s="1410"/>
      <c r="H22" s="1411"/>
      <c r="I22" s="1412">
        <v>1.26</v>
      </c>
      <c r="J22" s="1413"/>
      <c r="K22" s="1413"/>
      <c r="L22" s="1414"/>
      <c r="M22" s="1412">
        <v>1.56</v>
      </c>
      <c r="N22" s="1413"/>
      <c r="O22" s="1413"/>
      <c r="P22" s="1414"/>
      <c r="Q22" s="1412">
        <v>1.25</v>
      </c>
      <c r="R22" s="1413"/>
      <c r="S22" s="1413"/>
      <c r="T22" s="1414"/>
      <c r="U22" s="1412">
        <v>1.62</v>
      </c>
      <c r="V22" s="1413"/>
      <c r="W22" s="1413"/>
      <c r="X22" s="1414"/>
      <c r="Y22" s="1"/>
      <c r="Z22" s="1"/>
      <c r="AA22" s="1"/>
      <c r="AB22" s="1"/>
      <c r="AC22" s="1"/>
      <c r="AD22" s="1"/>
      <c r="AE22" s="1"/>
      <c r="AF22" s="1"/>
      <c r="AG22" s="1"/>
      <c r="AH22" s="1"/>
      <c r="AR22" s="489"/>
      <c r="AS22" s="489"/>
      <c r="AT22" s="489"/>
      <c r="AU22" s="489"/>
      <c r="AV22" s="489"/>
      <c r="AW22" s="489"/>
      <c r="AX22" s="489"/>
      <c r="AY22" s="489"/>
      <c r="AZ22" s="489"/>
      <c r="BA22" s="489"/>
      <c r="BB22" s="489"/>
      <c r="BC22" s="489"/>
      <c r="BD22" s="489"/>
      <c r="BE22" s="489"/>
      <c r="BF22" s="489"/>
      <c r="BG22" s="489"/>
      <c r="BH22" s="489"/>
      <c r="BI22" s="489"/>
      <c r="BJ22" s="489"/>
      <c r="BK22" s="489"/>
    </row>
    <row r="23" spans="1:63" x14ac:dyDescent="0.25">
      <c r="A23" s="1409" t="s">
        <v>222</v>
      </c>
      <c r="B23" s="1410"/>
      <c r="C23" s="1410"/>
      <c r="D23" s="1410"/>
      <c r="E23" s="1410"/>
      <c r="F23" s="1410"/>
      <c r="G23" s="1410"/>
      <c r="H23" s="1411"/>
      <c r="I23" s="1412">
        <v>1.3</v>
      </c>
      <c r="J23" s="1413"/>
      <c r="K23" s="1413"/>
      <c r="L23" s="1414"/>
      <c r="M23" s="1412">
        <v>1.25</v>
      </c>
      <c r="N23" s="1413"/>
      <c r="O23" s="1413"/>
      <c r="P23" s="1414"/>
      <c r="Q23" s="1412">
        <v>1.31</v>
      </c>
      <c r="R23" s="1413"/>
      <c r="S23" s="1413"/>
      <c r="T23" s="1414"/>
      <c r="U23" s="1412">
        <v>1.25</v>
      </c>
      <c r="V23" s="1413"/>
      <c r="W23" s="1413"/>
      <c r="X23" s="1414"/>
      <c r="Y23" s="1"/>
      <c r="Z23" s="1"/>
      <c r="AA23" s="1"/>
      <c r="AB23" s="1"/>
      <c r="AC23" s="1"/>
      <c r="AD23" s="1"/>
      <c r="AE23" s="1"/>
      <c r="AF23" s="1"/>
      <c r="AG23" s="1"/>
      <c r="AH23" s="1"/>
      <c r="AR23" s="489"/>
      <c r="AS23" s="489"/>
      <c r="AT23" s="489"/>
      <c r="AU23" s="489"/>
      <c r="AV23" s="494"/>
      <c r="AW23" s="494"/>
      <c r="AX23" s="494"/>
      <c r="AY23" s="494"/>
      <c r="AZ23" s="494"/>
      <c r="BA23" s="494"/>
      <c r="BB23" s="494"/>
      <c r="BC23" s="494"/>
      <c r="BD23" s="494"/>
      <c r="BE23" s="494"/>
      <c r="BF23" s="494"/>
      <c r="BG23" s="494"/>
      <c r="BH23" s="494"/>
      <c r="BI23" s="494"/>
      <c r="BJ23" s="494"/>
      <c r="BK23" s="494"/>
    </row>
    <row r="24" spans="1:63" x14ac:dyDescent="0.25">
      <c r="A24" s="1409" t="s">
        <v>223</v>
      </c>
      <c r="B24" s="1410"/>
      <c r="C24" s="1410"/>
      <c r="D24" s="1410"/>
      <c r="E24" s="1410"/>
      <c r="F24" s="1410"/>
      <c r="G24" s="1410"/>
      <c r="H24" s="1411"/>
      <c r="I24" s="1412">
        <v>1.1100000000000001</v>
      </c>
      <c r="J24" s="1413"/>
      <c r="K24" s="1413"/>
      <c r="L24" s="1414"/>
      <c r="M24" s="1412">
        <v>1.1399999999999999</v>
      </c>
      <c r="N24" s="1413"/>
      <c r="O24" s="1413"/>
      <c r="P24" s="1414"/>
      <c r="Q24" s="1412">
        <v>1.0900000000000001</v>
      </c>
      <c r="R24" s="1413"/>
      <c r="S24" s="1413"/>
      <c r="T24" s="1414"/>
      <c r="U24" s="1412">
        <v>1.1399999999999999</v>
      </c>
      <c r="V24" s="1413"/>
      <c r="W24" s="1413"/>
      <c r="X24" s="1414"/>
      <c r="Y24" s="1"/>
      <c r="Z24" s="1"/>
      <c r="AA24" s="1"/>
      <c r="AB24" s="1"/>
      <c r="AC24" s="1"/>
      <c r="AD24" s="1"/>
      <c r="AE24" s="1"/>
      <c r="AF24" s="1"/>
      <c r="AG24" s="1"/>
      <c r="AH24" s="1"/>
      <c r="AR24" s="490"/>
      <c r="AS24" s="490"/>
      <c r="AT24" s="490"/>
      <c r="AU24" s="490"/>
      <c r="AV24" s="491"/>
      <c r="AW24" s="491"/>
      <c r="AX24" s="491"/>
      <c r="AY24" s="491"/>
      <c r="AZ24" s="491"/>
      <c r="BA24" s="491"/>
      <c r="BB24" s="491"/>
      <c r="BC24" s="491"/>
      <c r="BD24" s="491"/>
      <c r="BE24" s="491"/>
      <c r="BF24" s="491"/>
      <c r="BG24" s="491"/>
      <c r="BH24" s="491"/>
      <c r="BI24" s="491"/>
      <c r="BJ24" s="491"/>
      <c r="BK24" s="491"/>
    </row>
    <row r="25" spans="1:63" x14ac:dyDescent="0.25">
      <c r="A25" s="1409" t="s">
        <v>224</v>
      </c>
      <c r="B25" s="1410"/>
      <c r="C25" s="1410"/>
      <c r="D25" s="1410"/>
      <c r="E25" s="1410"/>
      <c r="F25" s="1410"/>
      <c r="G25" s="1410"/>
      <c r="H25" s="1411"/>
      <c r="I25" s="1412">
        <v>1.23</v>
      </c>
      <c r="J25" s="1413"/>
      <c r="K25" s="1413"/>
      <c r="L25" s="1414"/>
      <c r="M25" s="1412">
        <v>1.1399999999999999</v>
      </c>
      <c r="N25" s="1413"/>
      <c r="O25" s="1413"/>
      <c r="P25" s="1414"/>
      <c r="Q25" s="1412">
        <v>1.24</v>
      </c>
      <c r="R25" s="1413"/>
      <c r="S25" s="1413"/>
      <c r="T25" s="1414"/>
      <c r="U25" s="1412">
        <v>1.1499999999999999</v>
      </c>
      <c r="V25" s="1413"/>
      <c r="W25" s="1413"/>
      <c r="X25" s="1414"/>
      <c r="Y25" s="1"/>
      <c r="Z25" s="1"/>
      <c r="AA25" s="1"/>
      <c r="AB25" s="1"/>
      <c r="AC25" s="1"/>
      <c r="AD25" s="1"/>
      <c r="AE25" s="1"/>
      <c r="AF25" s="1"/>
      <c r="AG25" s="1"/>
      <c r="AH25" s="1"/>
      <c r="AR25" s="490"/>
      <c r="AS25" s="490"/>
      <c r="AT25" s="490"/>
      <c r="AU25" s="490"/>
      <c r="AV25" s="491"/>
      <c r="AW25" s="491"/>
      <c r="AX25" s="491"/>
      <c r="AY25" s="491"/>
      <c r="AZ25" s="491"/>
      <c r="BA25" s="491"/>
      <c r="BB25" s="491"/>
      <c r="BC25" s="491"/>
      <c r="BD25" s="491"/>
      <c r="BE25" s="491"/>
      <c r="BF25" s="491"/>
      <c r="BG25" s="491"/>
      <c r="BH25" s="491"/>
      <c r="BI25" s="491"/>
      <c r="BJ25" s="491"/>
      <c r="BK25" s="491"/>
    </row>
    <row r="26" spans="1:63" x14ac:dyDescent="0.25">
      <c r="A26" s="1409" t="s">
        <v>225</v>
      </c>
      <c r="B26" s="1410"/>
      <c r="C26" s="1410"/>
      <c r="D26" s="1410"/>
      <c r="E26" s="1410"/>
      <c r="F26" s="1410"/>
      <c r="G26" s="1410"/>
      <c r="H26" s="1411"/>
      <c r="I26" s="1412">
        <v>1.27</v>
      </c>
      <c r="J26" s="1413"/>
      <c r="K26" s="1413"/>
      <c r="L26" s="1414"/>
      <c r="M26" s="1412">
        <v>1.38</v>
      </c>
      <c r="N26" s="1413"/>
      <c r="O26" s="1413"/>
      <c r="P26" s="1414"/>
      <c r="Q26" s="1412">
        <v>1.27</v>
      </c>
      <c r="R26" s="1413"/>
      <c r="S26" s="1413"/>
      <c r="T26" s="1414"/>
      <c r="U26" s="1412">
        <v>1.36</v>
      </c>
      <c r="V26" s="1413"/>
      <c r="W26" s="1413"/>
      <c r="X26" s="1414"/>
      <c r="Y26" s="1"/>
      <c r="Z26" s="1"/>
      <c r="AA26" s="1"/>
      <c r="AB26" s="1"/>
      <c r="AC26" s="1"/>
      <c r="AD26" s="1"/>
      <c r="AE26" s="1"/>
      <c r="AF26" s="1"/>
      <c r="AG26" s="1"/>
      <c r="AH26" s="1"/>
      <c r="AR26" s="490"/>
      <c r="AS26" s="490"/>
      <c r="AT26" s="490"/>
      <c r="AU26" s="490"/>
      <c r="AV26" s="491"/>
      <c r="AW26" s="491"/>
      <c r="AX26" s="491"/>
      <c r="AY26" s="491"/>
      <c r="AZ26" s="491"/>
      <c r="BA26" s="491"/>
      <c r="BB26" s="491"/>
      <c r="BC26" s="491"/>
      <c r="BD26" s="491"/>
      <c r="BE26" s="491"/>
      <c r="BF26" s="491"/>
      <c r="BG26" s="491"/>
      <c r="BH26" s="491"/>
      <c r="BI26" s="491"/>
      <c r="BJ26" s="491"/>
      <c r="BK26" s="491"/>
    </row>
    <row r="27" spans="1:63" x14ac:dyDescent="0.25">
      <c r="A27" s="1409" t="s">
        <v>226</v>
      </c>
      <c r="B27" s="1410"/>
      <c r="C27" s="1410"/>
      <c r="D27" s="1410"/>
      <c r="E27" s="1410"/>
      <c r="F27" s="1410"/>
      <c r="G27" s="1410"/>
      <c r="H27" s="1411"/>
      <c r="I27" s="1412">
        <v>1.19</v>
      </c>
      <c r="J27" s="1413"/>
      <c r="K27" s="1413"/>
      <c r="L27" s="1414"/>
      <c r="M27" s="1412">
        <v>1.1200000000000001</v>
      </c>
      <c r="N27" s="1413"/>
      <c r="O27" s="1413"/>
      <c r="P27" s="1414"/>
      <c r="Q27" s="1412">
        <v>1.2</v>
      </c>
      <c r="R27" s="1413"/>
      <c r="S27" s="1413"/>
      <c r="T27" s="1414"/>
      <c r="U27" s="1412">
        <v>1.1299999999999999</v>
      </c>
      <c r="V27" s="1413"/>
      <c r="W27" s="1413"/>
      <c r="X27" s="1414"/>
      <c r="Y27" s="1"/>
      <c r="Z27" s="1"/>
      <c r="AA27" s="1"/>
      <c r="AB27" s="1"/>
      <c r="AC27" s="1"/>
      <c r="AD27" s="1"/>
      <c r="AE27" s="1"/>
      <c r="AF27" s="1"/>
      <c r="AG27" s="1"/>
      <c r="AH27" s="1"/>
      <c r="AR27" s="490"/>
      <c r="AS27" s="490"/>
      <c r="AT27" s="490"/>
      <c r="AU27" s="490"/>
      <c r="AV27" s="491"/>
      <c r="AW27" s="491"/>
      <c r="AX27" s="491"/>
      <c r="AY27" s="491"/>
      <c r="AZ27" s="491"/>
      <c r="BA27" s="491"/>
      <c r="BB27" s="491"/>
      <c r="BC27" s="491"/>
      <c r="BD27" s="491"/>
      <c r="BE27" s="491"/>
      <c r="BF27" s="491"/>
      <c r="BG27" s="491"/>
      <c r="BH27" s="491"/>
      <c r="BI27" s="491"/>
      <c r="BJ27" s="491"/>
      <c r="BK27" s="491"/>
    </row>
    <row r="28" spans="1:63" x14ac:dyDescent="0.25">
      <c r="A28" s="1409" t="s">
        <v>55</v>
      </c>
      <c r="B28" s="1410"/>
      <c r="C28" s="1410"/>
      <c r="D28" s="1410"/>
      <c r="E28" s="1410"/>
      <c r="F28" s="1410"/>
      <c r="G28" s="1410"/>
      <c r="H28" s="1411"/>
      <c r="I28" s="1412">
        <v>1.08</v>
      </c>
      <c r="J28" s="1413"/>
      <c r="K28" s="1413"/>
      <c r="L28" s="1414"/>
      <c r="M28" s="1412">
        <v>1.25</v>
      </c>
      <c r="N28" s="1413"/>
      <c r="O28" s="1413"/>
      <c r="P28" s="1414"/>
      <c r="Q28" s="1412">
        <v>1.07</v>
      </c>
      <c r="R28" s="1413"/>
      <c r="S28" s="1413"/>
      <c r="T28" s="1414"/>
      <c r="U28" s="1412">
        <v>1.26</v>
      </c>
      <c r="V28" s="1413"/>
      <c r="W28" s="1413"/>
      <c r="X28" s="1414"/>
      <c r="Y28" s="1"/>
      <c r="Z28" s="1"/>
      <c r="AA28" s="1"/>
      <c r="AB28" s="1"/>
      <c r="AC28" s="1"/>
      <c r="AD28" s="1"/>
      <c r="AE28" s="1"/>
      <c r="AF28" s="1"/>
      <c r="AG28" s="1"/>
      <c r="AH28" s="1"/>
      <c r="AR28" s="490"/>
      <c r="AS28" s="490"/>
      <c r="AT28" s="490"/>
      <c r="AU28" s="490"/>
      <c r="AV28" s="491"/>
      <c r="AW28" s="491"/>
      <c r="AX28" s="491"/>
      <c r="AY28" s="491"/>
      <c r="AZ28" s="491"/>
      <c r="BA28" s="491"/>
      <c r="BB28" s="491"/>
      <c r="BC28" s="491"/>
      <c r="BD28" s="491"/>
      <c r="BE28" s="491"/>
      <c r="BF28" s="491"/>
      <c r="BG28" s="491"/>
      <c r="BH28" s="491"/>
      <c r="BI28" s="491"/>
      <c r="BJ28" s="491"/>
      <c r="BK28" s="491"/>
    </row>
    <row r="29" spans="1:63" x14ac:dyDescent="0.25">
      <c r="A29" s="1409" t="s">
        <v>227</v>
      </c>
      <c r="B29" s="1410"/>
      <c r="C29" s="1410"/>
      <c r="D29" s="1410"/>
      <c r="E29" s="1410"/>
      <c r="F29" s="1410"/>
      <c r="G29" s="1410"/>
      <c r="H29" s="1411"/>
      <c r="I29" s="1412">
        <v>1.22</v>
      </c>
      <c r="J29" s="1413"/>
      <c r="K29" s="1413"/>
      <c r="L29" s="1414"/>
      <c r="M29" s="1412">
        <v>1.28</v>
      </c>
      <c r="N29" s="1413"/>
      <c r="O29" s="1413"/>
      <c r="P29" s="1414"/>
      <c r="Q29" s="1412">
        <v>1.24</v>
      </c>
      <c r="R29" s="1413"/>
      <c r="S29" s="1413"/>
      <c r="T29" s="1414"/>
      <c r="U29" s="1412">
        <v>1.28</v>
      </c>
      <c r="V29" s="1413"/>
      <c r="W29" s="1413"/>
      <c r="X29" s="1414"/>
      <c r="Y29" s="1"/>
      <c r="Z29" s="1"/>
      <c r="AA29" s="1"/>
      <c r="AB29" s="1"/>
      <c r="AC29" s="1"/>
      <c r="AD29" s="1"/>
      <c r="AE29" s="1"/>
      <c r="AF29" s="1"/>
      <c r="AG29" s="1"/>
      <c r="AH29" s="1"/>
      <c r="AR29" s="490"/>
      <c r="AS29" s="490"/>
      <c r="AT29" s="490"/>
      <c r="AU29" s="490"/>
      <c r="AV29" s="491"/>
      <c r="AW29" s="491"/>
      <c r="AX29" s="491"/>
      <c r="AY29" s="491"/>
      <c r="AZ29" s="491"/>
      <c r="BA29" s="491"/>
      <c r="BB29" s="491"/>
      <c r="BC29" s="491"/>
      <c r="BD29" s="491"/>
      <c r="BE29" s="491"/>
      <c r="BF29" s="491"/>
      <c r="BG29" s="491"/>
      <c r="BH29" s="491"/>
      <c r="BI29" s="491"/>
      <c r="BJ29" s="491"/>
      <c r="BK29" s="491"/>
    </row>
    <row r="30" spans="1:63" x14ac:dyDescent="0.25">
      <c r="A30" s="1409" t="s">
        <v>228</v>
      </c>
      <c r="B30" s="1410"/>
      <c r="C30" s="1410"/>
      <c r="D30" s="1410"/>
      <c r="E30" s="1410"/>
      <c r="F30" s="1410"/>
      <c r="G30" s="1410"/>
      <c r="H30" s="1411"/>
      <c r="I30" s="1412">
        <v>1.39</v>
      </c>
      <c r="J30" s="1413"/>
      <c r="K30" s="1413"/>
      <c r="L30" s="1414"/>
      <c r="M30" s="1412">
        <v>1.1399999999999999</v>
      </c>
      <c r="N30" s="1413"/>
      <c r="O30" s="1413"/>
      <c r="P30" s="1414"/>
      <c r="Q30" s="1412">
        <v>1.36</v>
      </c>
      <c r="R30" s="1413"/>
      <c r="S30" s="1413"/>
      <c r="T30" s="1414"/>
      <c r="U30" s="1412">
        <v>1.1499999999999999</v>
      </c>
      <c r="V30" s="1413"/>
      <c r="W30" s="1413"/>
      <c r="X30" s="1414"/>
      <c r="Y30" s="1"/>
      <c r="Z30" s="1"/>
      <c r="AA30" s="1"/>
      <c r="AB30" s="1"/>
      <c r="AC30" s="1"/>
      <c r="AD30" s="1"/>
      <c r="AE30" s="1"/>
      <c r="AF30" s="1"/>
      <c r="AG30" s="1"/>
      <c r="AH30" s="1"/>
      <c r="AR30" s="490"/>
      <c r="AS30" s="490"/>
      <c r="AT30" s="490"/>
      <c r="AU30" s="490"/>
      <c r="AV30" s="491"/>
      <c r="AW30" s="491"/>
      <c r="AX30" s="491"/>
      <c r="AY30" s="491"/>
      <c r="AZ30" s="491"/>
      <c r="BA30" s="491"/>
      <c r="BB30" s="491"/>
      <c r="BC30" s="491"/>
      <c r="BD30" s="491"/>
      <c r="BE30" s="491"/>
      <c r="BF30" s="491"/>
      <c r="BG30" s="491"/>
      <c r="BH30" s="491"/>
      <c r="BI30" s="491"/>
      <c r="BJ30" s="491"/>
      <c r="BK30" s="491"/>
    </row>
    <row r="31" spans="1:63" x14ac:dyDescent="0.25">
      <c r="A31" s="1409" t="s">
        <v>229</v>
      </c>
      <c r="B31" s="1410"/>
      <c r="C31" s="1410"/>
      <c r="D31" s="1410"/>
      <c r="E31" s="1410"/>
      <c r="F31" s="1410"/>
      <c r="G31" s="1410"/>
      <c r="H31" s="1411"/>
      <c r="I31" s="1412">
        <v>1.1499999999999999</v>
      </c>
      <c r="J31" s="1413"/>
      <c r="K31" s="1413"/>
      <c r="L31" s="1414"/>
      <c r="M31" s="1412">
        <v>1.01</v>
      </c>
      <c r="N31" s="1413"/>
      <c r="O31" s="1413"/>
      <c r="P31" s="1414"/>
      <c r="Q31" s="1412">
        <v>1.1599999999999999</v>
      </c>
      <c r="R31" s="1413"/>
      <c r="S31" s="1413"/>
      <c r="T31" s="1414"/>
      <c r="U31" s="1412">
        <v>1.01</v>
      </c>
      <c r="V31" s="1413"/>
      <c r="W31" s="1413"/>
      <c r="X31" s="1414"/>
      <c r="Y31" s="1"/>
      <c r="Z31" s="1"/>
      <c r="AA31" s="1"/>
      <c r="AB31" s="1"/>
      <c r="AC31" s="1"/>
      <c r="AD31" s="1"/>
      <c r="AE31" s="1"/>
      <c r="AF31" s="1"/>
      <c r="AG31" s="1"/>
      <c r="AH31" s="1"/>
      <c r="AR31" s="490"/>
      <c r="AS31" s="490"/>
      <c r="AT31" s="490"/>
      <c r="AU31" s="490"/>
      <c r="AV31" s="491"/>
      <c r="AW31" s="491"/>
      <c r="AX31" s="491"/>
      <c r="AY31" s="491"/>
      <c r="AZ31" s="491"/>
      <c r="BA31" s="491"/>
      <c r="BB31" s="491"/>
      <c r="BC31" s="491"/>
      <c r="BD31" s="491"/>
      <c r="BE31" s="491"/>
      <c r="BF31" s="491"/>
      <c r="BG31" s="491"/>
      <c r="BH31" s="491"/>
      <c r="BI31" s="491"/>
      <c r="BJ31" s="491"/>
      <c r="BK31" s="491"/>
    </row>
    <row r="32" spans="1:63" x14ac:dyDescent="0.25">
      <c r="A32" s="1416" t="s">
        <v>1047</v>
      </c>
      <c r="B32" s="1416"/>
      <c r="C32" s="1416"/>
      <c r="D32" s="1416"/>
      <c r="E32" s="1416"/>
      <c r="F32" s="1416"/>
      <c r="G32" s="1416"/>
      <c r="H32" s="1416"/>
      <c r="I32" s="1416"/>
      <c r="J32" s="1416"/>
      <c r="K32" s="1416"/>
      <c r="L32" s="1416"/>
      <c r="M32" s="1416"/>
      <c r="N32" s="1416"/>
      <c r="O32" s="1416"/>
      <c r="P32" s="1416"/>
      <c r="Q32" s="1416"/>
      <c r="R32" s="1416"/>
      <c r="S32" s="1416"/>
      <c r="T32" s="1416"/>
      <c r="U32" s="272"/>
      <c r="V32" s="272"/>
      <c r="W32" s="272"/>
      <c r="X32" s="272"/>
      <c r="Y32" s="1"/>
      <c r="Z32" s="1"/>
      <c r="AA32" s="1"/>
      <c r="AB32" s="1"/>
      <c r="AC32" s="1"/>
      <c r="AD32" s="1"/>
      <c r="AE32" s="1"/>
      <c r="AF32" s="1"/>
      <c r="AG32" s="1"/>
      <c r="AH32" s="1"/>
      <c r="AR32" s="495"/>
      <c r="AS32" s="495"/>
      <c r="AT32" s="495"/>
      <c r="AU32" s="495"/>
      <c r="AV32" s="496"/>
      <c r="AW32" s="496"/>
      <c r="AX32" s="496"/>
      <c r="AY32" s="496"/>
      <c r="AZ32" s="496"/>
      <c r="BA32" s="496"/>
      <c r="BB32" s="496"/>
      <c r="BC32" s="496"/>
      <c r="BD32" s="496"/>
      <c r="BE32" s="496"/>
      <c r="BF32" s="496"/>
      <c r="BG32" s="496"/>
      <c r="BH32" s="496"/>
      <c r="BI32" s="496"/>
      <c r="BJ32" s="496"/>
      <c r="BK32" s="496"/>
    </row>
    <row r="33" spans="1:63" x14ac:dyDescent="0.25">
      <c r="A33" s="1417" t="s">
        <v>1912</v>
      </c>
      <c r="B33" s="1417"/>
      <c r="C33" s="1417"/>
      <c r="D33" s="1417"/>
      <c r="E33" s="1417"/>
      <c r="F33" s="1417"/>
      <c r="G33" s="1417"/>
      <c r="H33" s="1417"/>
      <c r="I33" s="1417"/>
      <c r="J33" s="1417"/>
      <c r="K33" s="1417"/>
      <c r="L33" s="1417"/>
      <c r="M33" s="1417"/>
      <c r="N33" s="1417"/>
      <c r="O33" s="1417"/>
      <c r="P33" s="1417"/>
      <c r="Q33" s="1417"/>
      <c r="R33" s="1417"/>
      <c r="S33" s="1417"/>
      <c r="T33" s="1417"/>
      <c r="U33" s="1417"/>
      <c r="V33" s="1417"/>
      <c r="W33" s="1417"/>
      <c r="X33" s="1417"/>
      <c r="Y33" s="1"/>
      <c r="Z33" s="1"/>
      <c r="AA33" s="1"/>
      <c r="AB33" s="1"/>
      <c r="AC33" s="1"/>
      <c r="AD33" s="1"/>
      <c r="AE33" s="1"/>
      <c r="AF33" s="1"/>
      <c r="AG33" s="1"/>
      <c r="AH33" s="1"/>
      <c r="AR33" s="495"/>
      <c r="AS33" s="495"/>
      <c r="AT33" s="495"/>
      <c r="AU33" s="495"/>
      <c r="AV33" s="496"/>
      <c r="AW33" s="496"/>
      <c r="AX33" s="496"/>
      <c r="AY33" s="496"/>
      <c r="AZ33" s="496"/>
      <c r="BA33" s="496"/>
      <c r="BB33" s="496"/>
      <c r="BC33" s="496"/>
      <c r="BD33" s="496"/>
      <c r="BE33" s="496"/>
      <c r="BF33" s="496"/>
      <c r="BG33" s="496"/>
      <c r="BH33" s="496"/>
      <c r="BI33" s="496"/>
      <c r="BJ33" s="496"/>
      <c r="BK33" s="496"/>
    </row>
    <row r="34" spans="1:63" x14ac:dyDescent="0.25">
      <c r="A34" s="498"/>
      <c r="B34" s="1415" t="s">
        <v>1911</v>
      </c>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
      <c r="Z34" s="1"/>
      <c r="AA34" s="1"/>
      <c r="AB34" s="1"/>
      <c r="AC34" s="1"/>
      <c r="AD34" s="1"/>
      <c r="AE34" s="1"/>
      <c r="AF34" s="1"/>
      <c r="AG34" s="1"/>
      <c r="AH34" s="1"/>
      <c r="AR34" s="495"/>
      <c r="AS34" s="495"/>
      <c r="AT34" s="495"/>
      <c r="AU34" s="495"/>
      <c r="AV34" s="496"/>
      <c r="AW34" s="496"/>
      <c r="AX34" s="496"/>
      <c r="AY34" s="496"/>
      <c r="AZ34" s="496"/>
      <c r="BA34" s="496"/>
      <c r="BB34" s="496"/>
      <c r="BC34" s="496"/>
      <c r="BD34" s="496"/>
      <c r="BE34" s="496"/>
      <c r="BF34" s="496"/>
      <c r="BG34" s="496"/>
      <c r="BH34" s="496"/>
      <c r="BI34" s="496"/>
      <c r="BJ34" s="496"/>
      <c r="BK34" s="496"/>
    </row>
    <row r="35" spans="1:63" x14ac:dyDescent="0.25">
      <c r="A35" s="498"/>
      <c r="B35" s="1415" t="s">
        <v>2415</v>
      </c>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
      <c r="Z35" s="1"/>
      <c r="AA35" s="1"/>
      <c r="AB35" s="1"/>
      <c r="AC35" s="1"/>
      <c r="AD35" s="1"/>
      <c r="AE35" s="1"/>
      <c r="AF35" s="1"/>
      <c r="AG35" s="1"/>
      <c r="AH35" s="1"/>
      <c r="AR35" s="495"/>
      <c r="AS35" s="495"/>
      <c r="AT35" s="495"/>
      <c r="AU35" s="495"/>
      <c r="AV35" s="496"/>
      <c r="AW35" s="496"/>
      <c r="AX35" s="496"/>
      <c r="AY35" s="496"/>
      <c r="AZ35" s="496"/>
      <c r="BA35" s="496"/>
      <c r="BB35" s="496"/>
      <c r="BC35" s="496"/>
      <c r="BD35" s="496"/>
      <c r="BE35" s="496"/>
      <c r="BF35" s="496"/>
      <c r="BG35" s="496"/>
      <c r="BH35" s="496"/>
      <c r="BI35" s="496"/>
      <c r="BJ35" s="496"/>
      <c r="BK35" s="496"/>
    </row>
    <row r="36" spans="1:63" ht="27" customHeight="1" x14ac:dyDescent="0.25">
      <c r="A36" s="498"/>
      <c r="B36" s="1415" t="s">
        <v>2937</v>
      </c>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
      <c r="Z36" s="1"/>
      <c r="AA36" s="1"/>
      <c r="AB36" s="1"/>
      <c r="AC36" s="1"/>
      <c r="AD36" s="1"/>
      <c r="AE36" s="1"/>
      <c r="AF36" s="1"/>
      <c r="AG36" s="1"/>
      <c r="AH36" s="1"/>
      <c r="AR36" s="495"/>
      <c r="AS36" s="495"/>
      <c r="AT36" s="495"/>
      <c r="AU36" s="495"/>
      <c r="AV36" s="496"/>
      <c r="AW36" s="496"/>
      <c r="AX36" s="496"/>
      <c r="AY36" s="496"/>
      <c r="AZ36" s="496"/>
      <c r="BA36" s="496"/>
      <c r="BB36" s="496"/>
      <c r="BC36" s="496"/>
      <c r="BD36" s="496"/>
      <c r="BE36" s="496"/>
      <c r="BF36" s="496"/>
      <c r="BG36" s="496"/>
      <c r="BH36" s="496"/>
      <c r="BI36" s="496"/>
      <c r="BJ36" s="496"/>
      <c r="BK36" s="496"/>
    </row>
    <row r="37" spans="1:63" ht="43.5" customHeight="1" x14ac:dyDescent="0.25">
      <c r="A37" s="498"/>
      <c r="B37" s="1415" t="s">
        <v>2938</v>
      </c>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
      <c r="Z37" s="1"/>
      <c r="AA37" s="1"/>
      <c r="AB37" s="1"/>
      <c r="AC37" s="1"/>
      <c r="AD37" s="1"/>
      <c r="AE37" s="1"/>
      <c r="AF37" s="1"/>
      <c r="AG37" s="1"/>
      <c r="AH37" s="1"/>
      <c r="AR37" s="495"/>
      <c r="AS37" s="495"/>
      <c r="AT37" s="495"/>
      <c r="AU37" s="495"/>
      <c r="AV37" s="496"/>
      <c r="AW37" s="496"/>
      <c r="AX37" s="496"/>
      <c r="AY37" s="496"/>
      <c r="AZ37" s="496"/>
      <c r="BA37" s="496"/>
      <c r="BB37" s="496"/>
      <c r="BC37" s="496"/>
      <c r="BD37" s="496"/>
      <c r="BE37" s="496"/>
      <c r="BF37" s="496"/>
      <c r="BG37" s="496"/>
      <c r="BH37" s="496"/>
      <c r="BI37" s="496"/>
      <c r="BJ37" s="496"/>
      <c r="BK37" s="496"/>
    </row>
    <row r="38" spans="1:63" ht="15" customHeight="1" x14ac:dyDescent="0.25">
      <c r="A38" s="1415" t="s">
        <v>2698</v>
      </c>
      <c r="B38" s="1415"/>
      <c r="C38" s="1415"/>
      <c r="D38" s="1415"/>
      <c r="E38" s="1415"/>
      <c r="F38" s="1415"/>
      <c r="G38" s="1415"/>
      <c r="H38" s="1415"/>
      <c r="I38" s="1415"/>
      <c r="J38" s="1415"/>
      <c r="K38" s="1415"/>
      <c r="L38" s="1415"/>
      <c r="M38" s="1415"/>
      <c r="N38" s="1415"/>
      <c r="O38" s="1415"/>
      <c r="P38" s="1415"/>
      <c r="Q38" s="1415"/>
      <c r="R38" s="1415"/>
      <c r="S38" s="1415"/>
      <c r="T38" s="1415"/>
      <c r="U38" s="1415"/>
      <c r="V38" s="1415"/>
      <c r="W38" s="1415"/>
      <c r="X38" s="1415"/>
      <c r="Y38" s="1"/>
      <c r="Z38" s="1"/>
      <c r="AA38" s="1"/>
      <c r="AB38" s="1"/>
      <c r="AC38" s="1"/>
      <c r="AD38" s="1"/>
      <c r="AE38" s="1"/>
      <c r="AF38" s="1"/>
      <c r="AG38" s="1"/>
      <c r="AH38" s="1"/>
      <c r="AR38" s="495"/>
      <c r="AS38" s="495"/>
      <c r="AT38" s="495"/>
      <c r="AU38" s="495"/>
      <c r="AV38" s="496"/>
      <c r="AW38" s="496"/>
      <c r="AX38" s="496"/>
      <c r="AY38" s="496"/>
      <c r="AZ38" s="496"/>
      <c r="BA38" s="496"/>
      <c r="BB38" s="496"/>
      <c r="BC38" s="496"/>
      <c r="BD38" s="496"/>
      <c r="BE38" s="496"/>
      <c r="BF38" s="496"/>
      <c r="BG38" s="496"/>
      <c r="BH38" s="496"/>
      <c r="BI38" s="496"/>
      <c r="BJ38" s="496"/>
      <c r="BK38" s="496"/>
    </row>
    <row r="39" spans="1:63" x14ac:dyDescent="0.25">
      <c r="AP39" s="393"/>
      <c r="AQ39" s="393"/>
      <c r="AR39" s="393"/>
      <c r="AS39" s="393"/>
      <c r="AT39" s="393"/>
      <c r="AU39" s="393"/>
      <c r="AV39" s="393"/>
      <c r="AW39" s="393"/>
      <c r="AX39" s="393"/>
      <c r="AY39" s="393"/>
      <c r="AZ39" s="393"/>
      <c r="BA39" s="393"/>
      <c r="BB39" s="393"/>
      <c r="BC39" s="393"/>
      <c r="BD39" s="393"/>
      <c r="BE39" s="393"/>
      <c r="BF39" s="393"/>
      <c r="BG39" s="393"/>
      <c r="BH39" s="393"/>
      <c r="BI39" s="393"/>
    </row>
    <row r="40" spans="1:63" x14ac:dyDescent="0.25">
      <c r="A40" s="1252" t="s">
        <v>462</v>
      </c>
      <c r="B40" s="1253"/>
      <c r="C40" s="1253"/>
      <c r="D40" s="1253"/>
      <c r="E40" s="1253"/>
      <c r="F40" s="1253"/>
      <c r="G40" s="1253"/>
      <c r="H40" s="1253"/>
      <c r="I40" s="1253"/>
      <c r="J40" s="1253"/>
      <c r="K40" s="1253"/>
      <c r="L40" s="1253"/>
      <c r="M40" s="1253"/>
      <c r="N40" s="1253"/>
      <c r="O40" s="1253"/>
      <c r="P40" s="1253"/>
      <c r="Q40" s="1253"/>
      <c r="R40" s="1253"/>
      <c r="S40" s="1253"/>
      <c r="T40" s="1253"/>
      <c r="U40" s="1253"/>
      <c r="V40" s="1253"/>
      <c r="W40" s="1253"/>
      <c r="X40" s="1253"/>
      <c r="Y40" s="1253"/>
      <c r="Z40" s="1253"/>
      <c r="AA40" s="1253"/>
      <c r="AB40" s="1253"/>
      <c r="AC40" s="1253"/>
      <c r="AD40" s="1253"/>
      <c r="AE40" s="1253"/>
      <c r="AF40" s="1254"/>
      <c r="AP40" s="393"/>
      <c r="AQ40" s="393"/>
      <c r="AR40" s="393"/>
      <c r="AS40" s="393"/>
      <c r="AT40" s="393"/>
      <c r="AU40" s="393"/>
      <c r="AV40" s="393"/>
      <c r="AW40" s="393"/>
      <c r="AX40" s="393"/>
      <c r="AY40" s="393"/>
      <c r="AZ40" s="393"/>
      <c r="BA40" s="393"/>
      <c r="BB40" s="393"/>
      <c r="BC40" s="393"/>
      <c r="BD40" s="393"/>
      <c r="BE40" s="393"/>
      <c r="BF40" s="393"/>
      <c r="BG40" s="393"/>
      <c r="BH40" s="393"/>
      <c r="BI40" s="393"/>
    </row>
    <row r="41" spans="1:63" ht="65.25" customHeight="1" x14ac:dyDescent="0.25">
      <c r="A41" s="1147" t="s">
        <v>2694</v>
      </c>
      <c r="B41" s="1147"/>
      <c r="C41" s="1147"/>
      <c r="D41" s="1147"/>
      <c r="E41" s="1147"/>
      <c r="F41" s="1147"/>
      <c r="G41" s="1147"/>
      <c r="H41" s="1147"/>
      <c r="I41" s="1147"/>
      <c r="J41" s="1147"/>
      <c r="K41" s="1147"/>
      <c r="L41" s="1147"/>
      <c r="M41" s="1147"/>
      <c r="N41" s="1147"/>
      <c r="O41" s="1147"/>
      <c r="P41" s="1147"/>
      <c r="Q41" s="1147"/>
      <c r="R41" s="1147"/>
      <c r="S41" s="1147"/>
      <c r="T41" s="1147"/>
      <c r="U41" s="1147"/>
      <c r="V41" s="1147"/>
      <c r="W41" s="1147"/>
      <c r="X41" s="1147"/>
      <c r="Y41" s="1147"/>
      <c r="Z41" s="1147"/>
      <c r="AA41" s="1147"/>
      <c r="AB41" s="1147"/>
      <c r="AC41" s="1147"/>
      <c r="AD41" s="1147"/>
      <c r="AE41" s="1147"/>
      <c r="AF41" s="1147"/>
      <c r="AP41" s="248"/>
      <c r="AQ41" s="497"/>
      <c r="AR41" s="497"/>
      <c r="AS41" s="497"/>
      <c r="AT41" s="497"/>
      <c r="AU41" s="497"/>
      <c r="AV41" s="497"/>
      <c r="AW41" s="497"/>
      <c r="AX41" s="497"/>
      <c r="AY41" s="497"/>
      <c r="AZ41" s="497"/>
      <c r="BA41" s="497"/>
      <c r="BB41" s="497"/>
      <c r="BC41" s="497"/>
      <c r="BD41" s="497"/>
      <c r="BE41" s="497"/>
      <c r="BF41" s="497"/>
      <c r="BG41" s="497"/>
      <c r="BH41" s="497"/>
      <c r="BI41" s="497"/>
    </row>
    <row r="42" spans="1:63" x14ac:dyDescent="0.25">
      <c r="A42" s="266"/>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P42" s="248"/>
      <c r="AQ42" s="497"/>
      <c r="AR42" s="497"/>
      <c r="AS42" s="497"/>
      <c r="AT42" s="497"/>
      <c r="AU42" s="497"/>
      <c r="AV42" s="497"/>
      <c r="AW42" s="497"/>
      <c r="AX42" s="497"/>
      <c r="AY42" s="497"/>
      <c r="AZ42" s="497"/>
      <c r="BA42" s="497"/>
      <c r="BB42" s="497"/>
      <c r="BC42" s="497"/>
      <c r="BD42" s="497"/>
      <c r="BE42" s="497"/>
      <c r="BF42" s="497"/>
      <c r="BG42" s="497"/>
      <c r="BH42" s="497"/>
      <c r="BI42" s="497"/>
    </row>
    <row r="43" spans="1:63" ht="46.5" customHeight="1" x14ac:dyDescent="0.25">
      <c r="A43" s="1142" t="s">
        <v>2695</v>
      </c>
      <c r="B43" s="1142"/>
      <c r="C43" s="1142"/>
      <c r="D43" s="1142"/>
      <c r="E43" s="1142"/>
      <c r="F43" s="1142"/>
      <c r="G43" s="1142"/>
      <c r="H43" s="1142"/>
      <c r="I43" s="1142"/>
      <c r="J43" s="1142"/>
      <c r="K43" s="1142"/>
      <c r="L43" s="1142"/>
      <c r="M43" s="1142"/>
      <c r="N43" s="1142"/>
      <c r="O43" s="1142"/>
      <c r="P43" s="1142"/>
      <c r="Q43" s="1142"/>
      <c r="R43" s="1142"/>
      <c r="S43" s="1142"/>
      <c r="T43" s="1142"/>
      <c r="U43" s="1142"/>
      <c r="V43" s="1142"/>
      <c r="W43" s="1142"/>
      <c r="X43" s="1142"/>
      <c r="Y43" s="1142"/>
      <c r="Z43" s="1142"/>
      <c r="AA43" s="1142"/>
      <c r="AB43" s="1142"/>
      <c r="AC43" s="1142"/>
      <c r="AD43" s="1142"/>
      <c r="AE43" s="1142"/>
      <c r="AF43" s="1142"/>
      <c r="AP43" s="497"/>
      <c r="AQ43" s="497"/>
      <c r="AR43" s="497"/>
      <c r="AS43" s="497"/>
      <c r="AT43" s="497"/>
      <c r="AU43" s="497"/>
      <c r="AV43" s="497"/>
      <c r="AW43" s="497"/>
      <c r="AX43" s="497"/>
      <c r="AY43" s="497"/>
      <c r="AZ43" s="497"/>
      <c r="BA43" s="497"/>
      <c r="BB43" s="497"/>
      <c r="BC43" s="497"/>
      <c r="BD43" s="497"/>
      <c r="BE43" s="497"/>
      <c r="BF43" s="497"/>
      <c r="BG43" s="497"/>
      <c r="BH43" s="497"/>
      <c r="BI43" s="497"/>
    </row>
    <row r="45" spans="1:63" x14ac:dyDescent="0.25">
      <c r="C45" s="271"/>
    </row>
  </sheetData>
  <sheetProtection algorithmName="SHA-512" hashValue="Hr6vkV9jr6ECpVet3sdJJJbqMh5gXPVNpVusREj8ZRNZRuLJdVb4eBTRkzDrZaHgxMdVkXhtUfZg/Yq8LosjQw==" saltValue="eQbrR4Ub1Ap741+aMZ0IBg==" spinCount="100000" sheet="1" objects="1" scenarios="1"/>
  <mergeCells count="82">
    <mergeCell ref="Q23:T23"/>
    <mergeCell ref="U23:X23"/>
    <mergeCell ref="Q24:T24"/>
    <mergeCell ref="U24:X24"/>
    <mergeCell ref="U25:X25"/>
    <mergeCell ref="Q25:T25"/>
    <mergeCell ref="Q26:T26"/>
    <mergeCell ref="U26:X26"/>
    <mergeCell ref="Q27:T27"/>
    <mergeCell ref="A30:H30"/>
    <mergeCell ref="U27:X27"/>
    <mergeCell ref="I26:L26"/>
    <mergeCell ref="M26:P26"/>
    <mergeCell ref="A26:H26"/>
    <mergeCell ref="Q28:T28"/>
    <mergeCell ref="U28:X28"/>
    <mergeCell ref="Q29:T29"/>
    <mergeCell ref="U30:X30"/>
    <mergeCell ref="Q22:T22"/>
    <mergeCell ref="Q21:T21"/>
    <mergeCell ref="U21:X21"/>
    <mergeCell ref="I21:L21"/>
    <mergeCell ref="M21:P21"/>
    <mergeCell ref="I22:L22"/>
    <mergeCell ref="M22:P22"/>
    <mergeCell ref="U22:X22"/>
    <mergeCell ref="A14:AF14"/>
    <mergeCell ref="A18:AF18"/>
    <mergeCell ref="I20:L20"/>
    <mergeCell ref="M20:P20"/>
    <mergeCell ref="A19:H19"/>
    <mergeCell ref="A16:AF16"/>
    <mergeCell ref="Q19:X19"/>
    <mergeCell ref="Q20:T20"/>
    <mergeCell ref="U20:X20"/>
    <mergeCell ref="A1:AF1"/>
    <mergeCell ref="A7:AF7"/>
    <mergeCell ref="A8:AF8"/>
    <mergeCell ref="A10:AF10"/>
    <mergeCell ref="A12:AF12"/>
    <mergeCell ref="A3:AF3"/>
    <mergeCell ref="B5:AF5"/>
    <mergeCell ref="A21:H21"/>
    <mergeCell ref="I19:P19"/>
    <mergeCell ref="M24:P24"/>
    <mergeCell ref="A24:H24"/>
    <mergeCell ref="A25:H25"/>
    <mergeCell ref="I25:L25"/>
    <mergeCell ref="M25:P25"/>
    <mergeCell ref="A23:H23"/>
    <mergeCell ref="I23:L23"/>
    <mergeCell ref="M23:P23"/>
    <mergeCell ref="I24:L24"/>
    <mergeCell ref="A22:H22"/>
    <mergeCell ref="A40:AF40"/>
    <mergeCell ref="A41:AF41"/>
    <mergeCell ref="A38:X38"/>
    <mergeCell ref="Q31:T31"/>
    <mergeCell ref="U31:X31"/>
    <mergeCell ref="A32:T32"/>
    <mergeCell ref="A33:X33"/>
    <mergeCell ref="B34:X34"/>
    <mergeCell ref="B35:X35"/>
    <mergeCell ref="B36:X36"/>
    <mergeCell ref="B37:X37"/>
    <mergeCell ref="A31:H31"/>
    <mergeCell ref="A43:AF43"/>
    <mergeCell ref="A27:H27"/>
    <mergeCell ref="I31:L31"/>
    <mergeCell ref="M31:P31"/>
    <mergeCell ref="I27:L27"/>
    <mergeCell ref="M27:P27"/>
    <mergeCell ref="I28:L28"/>
    <mergeCell ref="M28:P28"/>
    <mergeCell ref="I29:L29"/>
    <mergeCell ref="M29:P29"/>
    <mergeCell ref="I30:L30"/>
    <mergeCell ref="M30:P30"/>
    <mergeCell ref="A28:H28"/>
    <mergeCell ref="A29:H29"/>
    <mergeCell ref="U29:X29"/>
    <mergeCell ref="Q30:T30"/>
  </mergeCells>
  <hyperlinks>
    <hyperlink ref="A2" location="TOC!A1" display="Return to TOC" xr:uid="{00000000-0004-0000-0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0">
    <pageSetUpPr autoPageBreaks="0"/>
  </sheetPr>
  <dimension ref="A1:BM85"/>
  <sheetViews>
    <sheetView zoomScaleNormal="100" workbookViewId="0">
      <selection sqref="A1:AF1"/>
    </sheetView>
  </sheetViews>
  <sheetFormatPr defaultColWidth="2.7109375" defaultRowHeight="15" x14ac:dyDescent="0.25"/>
  <cols>
    <col min="9" max="9" width="2.7109375" customWidth="1"/>
    <col min="13" max="13" width="2.7109375" customWidth="1"/>
  </cols>
  <sheetData>
    <row r="1" spans="1:65" s="1" customFormat="1" ht="18" customHeight="1" thickBot="1" x14ac:dyDescent="0.3">
      <c r="A1" s="1272" t="s">
        <v>2675</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row>
    <row r="2" spans="1:65" s="1" customFormat="1"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65"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65"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65" ht="14.45" customHeight="1" x14ac:dyDescent="0.25">
      <c r="A5" s="262"/>
      <c r="B5" s="1151" t="s">
        <v>2713</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65" ht="14.45" customHeight="1" x14ac:dyDescent="0.25">
      <c r="A6" s="376"/>
    </row>
    <row r="7" spans="1:65" x14ac:dyDescent="0.25">
      <c r="A7" s="1252" t="s">
        <v>2676</v>
      </c>
      <c r="B7" s="1253"/>
      <c r="C7" s="1253"/>
      <c r="D7" s="1253"/>
      <c r="E7" s="125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4"/>
    </row>
    <row r="9" spans="1:65" ht="49.5" customHeight="1" x14ac:dyDescent="0.25">
      <c r="A9" s="1142" t="s">
        <v>2674</v>
      </c>
      <c r="B9" s="1142"/>
      <c r="C9" s="1142"/>
      <c r="D9" s="1142"/>
      <c r="E9" s="1142"/>
      <c r="F9" s="1142"/>
      <c r="G9" s="1142"/>
      <c r="H9" s="1142"/>
      <c r="I9" s="1142"/>
      <c r="J9" s="1142"/>
      <c r="K9" s="1142"/>
      <c r="L9" s="1142"/>
      <c r="M9" s="1142"/>
      <c r="N9" s="1142"/>
      <c r="O9" s="1142"/>
      <c r="P9" s="1142"/>
      <c r="Q9" s="1142"/>
      <c r="R9" s="1142"/>
      <c r="S9" s="1142"/>
      <c r="T9" s="1142"/>
      <c r="U9" s="1142"/>
      <c r="V9" s="1142"/>
      <c r="W9" s="1142"/>
      <c r="X9" s="1142"/>
      <c r="Y9" s="1142"/>
      <c r="Z9" s="1142"/>
      <c r="AA9" s="1142"/>
      <c r="AB9" s="1142"/>
      <c r="AC9" s="1142"/>
      <c r="AD9" s="1142"/>
      <c r="AE9" s="1142"/>
      <c r="AF9" s="1142"/>
    </row>
    <row r="11" spans="1:65" s="8" customFormat="1" x14ac:dyDescent="0.25">
      <c r="A11" s="1167" t="s">
        <v>2685</v>
      </c>
      <c r="B11" s="1422"/>
      <c r="C11" s="1422"/>
      <c r="D11" s="1422"/>
      <c r="E11" s="1422"/>
      <c r="F11" s="1422"/>
      <c r="G11" s="1422"/>
      <c r="H11" s="1422"/>
      <c r="I11" s="1422"/>
      <c r="J11" s="1422"/>
      <c r="K11" s="1422"/>
      <c r="L11" s="1422"/>
      <c r="M11" s="1422"/>
      <c r="N11" s="1422"/>
      <c r="O11" s="1422"/>
      <c r="P11" s="1422"/>
      <c r="Q11" s="1422"/>
      <c r="R11" s="1422"/>
      <c r="S11" s="1422"/>
      <c r="T11" s="1422"/>
      <c r="U11" s="1422"/>
      <c r="V11" s="1422"/>
      <c r="W11" s="1422"/>
      <c r="X11" s="1422"/>
      <c r="Y11" s="1422"/>
      <c r="Z11" s="1422"/>
      <c r="AA11" s="1422"/>
      <c r="AB11" s="1422"/>
      <c r="AC11" s="1422"/>
      <c r="AD11" s="1422"/>
      <c r="AE11" s="1422"/>
      <c r="AF11" s="1422"/>
      <c r="AP11" s="487"/>
      <c r="AQ11" s="487"/>
      <c r="AR11" s="487"/>
      <c r="AS11" s="487"/>
      <c r="AT11" s="488"/>
      <c r="AU11" s="488"/>
      <c r="AV11" s="488"/>
      <c r="AW11" s="488"/>
      <c r="AX11" s="488"/>
      <c r="AY11" s="488"/>
      <c r="AZ11" s="488"/>
      <c r="BA11" s="488"/>
      <c r="BB11" s="488"/>
      <c r="BC11" s="488"/>
      <c r="BD11" s="488"/>
      <c r="BE11" s="488"/>
      <c r="BF11" s="488"/>
    </row>
    <row r="12" spans="1:65" s="244" customFormat="1" ht="87.75" customHeight="1" x14ac:dyDescent="0.25">
      <c r="A12" s="1418" t="s">
        <v>54</v>
      </c>
      <c r="B12" s="1419"/>
      <c r="C12" s="1419"/>
      <c r="D12" s="1419"/>
      <c r="E12" s="1419"/>
      <c r="F12" s="1419"/>
      <c r="G12" s="1419"/>
      <c r="H12" s="1420"/>
      <c r="I12" s="1439" t="s">
        <v>1900</v>
      </c>
      <c r="J12" s="1440"/>
      <c r="K12" s="1440"/>
      <c r="L12" s="1440"/>
      <c r="M12" s="1441"/>
      <c r="N12" s="1439" t="s">
        <v>1901</v>
      </c>
      <c r="O12" s="1440"/>
      <c r="P12" s="1440"/>
      <c r="Q12" s="1440"/>
      <c r="R12" s="1441"/>
      <c r="S12" s="1439" t="s">
        <v>1902</v>
      </c>
      <c r="T12" s="1440"/>
      <c r="U12" s="1440"/>
      <c r="V12" s="1440"/>
      <c r="W12" s="1441"/>
      <c r="X12" s="1439" t="s">
        <v>1923</v>
      </c>
      <c r="Y12" s="1440"/>
      <c r="Z12" s="1440"/>
      <c r="AA12" s="1440"/>
      <c r="AB12" s="1441"/>
      <c r="AW12" s="486"/>
      <c r="AX12" s="486"/>
      <c r="AY12" s="486"/>
      <c r="AZ12" s="486"/>
      <c r="BA12" s="483"/>
      <c r="BB12" s="483"/>
      <c r="BC12" s="483"/>
      <c r="BD12" s="483"/>
      <c r="BE12" s="483"/>
      <c r="BF12" s="483"/>
      <c r="BG12" s="483"/>
      <c r="BH12" s="483"/>
      <c r="BI12" s="483"/>
      <c r="BJ12" s="483"/>
      <c r="BK12" s="483"/>
      <c r="BL12" s="483"/>
      <c r="BM12" s="483"/>
    </row>
    <row r="13" spans="1:65" s="244" customFormat="1" ht="15" customHeight="1" x14ac:dyDescent="0.25">
      <c r="A13" s="1442" t="s">
        <v>2683</v>
      </c>
      <c r="B13" s="1443"/>
      <c r="C13" s="1443"/>
      <c r="D13" s="1443"/>
      <c r="E13" s="1443"/>
      <c r="F13" s="1443"/>
      <c r="G13" s="1443"/>
      <c r="H13" s="1444"/>
      <c r="I13" s="1436">
        <v>8760</v>
      </c>
      <c r="J13" s="1437"/>
      <c r="K13" s="1437"/>
      <c r="L13" s="1437"/>
      <c r="M13" s="1438"/>
      <c r="N13" s="1436">
        <v>1831</v>
      </c>
      <c r="O13" s="1437"/>
      <c r="P13" s="1437"/>
      <c r="Q13" s="1437"/>
      <c r="R13" s="1438"/>
      <c r="S13" s="1436">
        <v>3047</v>
      </c>
      <c r="T13" s="1437"/>
      <c r="U13" s="1437"/>
      <c r="V13" s="1437"/>
      <c r="W13" s="1438"/>
      <c r="X13" s="1436">
        <v>1963</v>
      </c>
      <c r="Y13" s="1437"/>
      <c r="Z13" s="1437"/>
      <c r="AA13" s="1437"/>
      <c r="AB13" s="1438"/>
      <c r="AW13" s="485"/>
      <c r="AX13" s="485"/>
      <c r="AY13" s="485"/>
      <c r="AZ13" s="485"/>
      <c r="BA13" s="483"/>
      <c r="BB13" s="483"/>
      <c r="BC13" s="483"/>
      <c r="BD13" s="483"/>
      <c r="BE13" s="483"/>
      <c r="BF13" s="483"/>
      <c r="BG13" s="483"/>
      <c r="BH13" s="483"/>
      <c r="BI13" s="483"/>
      <c r="BJ13" s="483"/>
      <c r="BK13" s="483"/>
      <c r="BL13" s="483"/>
      <c r="BM13" s="483"/>
    </row>
    <row r="14" spans="1:65" s="244" customFormat="1" x14ac:dyDescent="0.25">
      <c r="A14" s="1442" t="s">
        <v>221</v>
      </c>
      <c r="B14" s="1443"/>
      <c r="C14" s="1443"/>
      <c r="D14" s="1443"/>
      <c r="E14" s="1443"/>
      <c r="F14" s="1443"/>
      <c r="G14" s="1443"/>
      <c r="H14" s="1444"/>
      <c r="I14" s="1436">
        <v>8760</v>
      </c>
      <c r="J14" s="1437"/>
      <c r="K14" s="1437"/>
      <c r="L14" s="1437"/>
      <c r="M14" s="1438"/>
      <c r="N14" s="1436">
        <v>4710</v>
      </c>
      <c r="O14" s="1437"/>
      <c r="P14" s="1437"/>
      <c r="Q14" s="1437"/>
      <c r="R14" s="1438"/>
      <c r="S14" s="1436">
        <v>4820</v>
      </c>
      <c r="T14" s="1437"/>
      <c r="U14" s="1437"/>
      <c r="V14" s="1437"/>
      <c r="W14" s="1438"/>
      <c r="X14" s="1436">
        <v>4700</v>
      </c>
      <c r="Y14" s="1437"/>
      <c r="Z14" s="1437"/>
      <c r="AA14" s="1437"/>
      <c r="AB14" s="1438"/>
      <c r="AW14" s="485"/>
      <c r="AX14" s="485"/>
      <c r="AY14" s="485"/>
      <c r="AZ14" s="485"/>
      <c r="BA14" s="483"/>
      <c r="BB14" s="483"/>
      <c r="BC14" s="483"/>
      <c r="BD14" s="483"/>
      <c r="BE14" s="483"/>
      <c r="BF14" s="483"/>
      <c r="BG14" s="483"/>
      <c r="BH14" s="483"/>
      <c r="BI14" s="483"/>
      <c r="BJ14" s="483"/>
      <c r="BK14" s="483"/>
      <c r="BL14" s="483"/>
      <c r="BM14" s="483"/>
    </row>
    <row r="15" spans="1:65" s="244" customFormat="1" x14ac:dyDescent="0.25">
      <c r="A15" s="1442" t="s">
        <v>222</v>
      </c>
      <c r="B15" s="1443"/>
      <c r="C15" s="1443"/>
      <c r="D15" s="1443"/>
      <c r="E15" s="1443"/>
      <c r="F15" s="1443"/>
      <c r="G15" s="1443"/>
      <c r="H15" s="1444"/>
      <c r="I15" s="1436">
        <v>8760</v>
      </c>
      <c r="J15" s="1437"/>
      <c r="K15" s="1437"/>
      <c r="L15" s="1437"/>
      <c r="M15" s="1438"/>
      <c r="N15" s="1436">
        <v>1498</v>
      </c>
      <c r="O15" s="1437"/>
      <c r="P15" s="1437"/>
      <c r="Q15" s="1437"/>
      <c r="R15" s="1438"/>
      <c r="S15" s="1436">
        <v>2176</v>
      </c>
      <c r="T15" s="1437"/>
      <c r="U15" s="1437"/>
      <c r="V15" s="1437"/>
      <c r="W15" s="1438"/>
      <c r="X15" s="1436">
        <v>1702</v>
      </c>
      <c r="Y15" s="1437"/>
      <c r="Z15" s="1437"/>
      <c r="AA15" s="1437"/>
      <c r="AB15" s="1438"/>
      <c r="AW15" s="485"/>
      <c r="AX15" s="485"/>
      <c r="AY15" s="485"/>
      <c r="AZ15" s="485"/>
      <c r="BA15" s="483"/>
      <c r="BB15" s="483"/>
      <c r="BC15" s="483"/>
      <c r="BD15" s="483"/>
      <c r="BE15" s="483"/>
      <c r="BF15" s="483"/>
      <c r="BG15" s="483"/>
      <c r="BH15" s="483"/>
      <c r="BI15" s="483"/>
      <c r="BJ15" s="483"/>
      <c r="BK15" s="483"/>
      <c r="BL15" s="483"/>
      <c r="BM15" s="483"/>
    </row>
    <row r="16" spans="1:65" s="244" customFormat="1" x14ac:dyDescent="0.25">
      <c r="A16" s="1442" t="s">
        <v>223</v>
      </c>
      <c r="B16" s="1443"/>
      <c r="C16" s="1443"/>
      <c r="D16" s="1443"/>
      <c r="E16" s="1443"/>
      <c r="F16" s="1443"/>
      <c r="G16" s="1443"/>
      <c r="H16" s="1444"/>
      <c r="I16" s="1436">
        <v>8760</v>
      </c>
      <c r="J16" s="1437"/>
      <c r="K16" s="1437"/>
      <c r="L16" s="1437"/>
      <c r="M16" s="1438"/>
      <c r="N16" s="1436">
        <v>4900</v>
      </c>
      <c r="O16" s="1437"/>
      <c r="P16" s="1437"/>
      <c r="Q16" s="1437"/>
      <c r="R16" s="1438"/>
      <c r="S16" s="1436">
        <v>5450</v>
      </c>
      <c r="T16" s="1437"/>
      <c r="U16" s="1437"/>
      <c r="V16" s="1437"/>
      <c r="W16" s="1438"/>
      <c r="X16" s="1436">
        <v>4770</v>
      </c>
      <c r="Y16" s="1437"/>
      <c r="Z16" s="1437"/>
      <c r="AA16" s="1437"/>
      <c r="AB16" s="1438"/>
      <c r="AW16" s="485"/>
      <c r="AX16" s="485"/>
      <c r="AY16" s="485"/>
      <c r="AZ16" s="485"/>
      <c r="BA16" s="483"/>
      <c r="BB16" s="483"/>
      <c r="BC16" s="483"/>
      <c r="BD16" s="483"/>
      <c r="BE16" s="483"/>
      <c r="BF16" s="483"/>
      <c r="BG16" s="483"/>
      <c r="BH16" s="483"/>
      <c r="BI16" s="483"/>
      <c r="BJ16" s="483"/>
      <c r="BK16" s="483"/>
      <c r="BL16" s="483"/>
      <c r="BM16" s="483"/>
    </row>
    <row r="17" spans="1:65" s="244" customFormat="1" x14ac:dyDescent="0.25">
      <c r="A17" s="1442" t="s">
        <v>224</v>
      </c>
      <c r="B17" s="1443"/>
      <c r="C17" s="1443"/>
      <c r="D17" s="1443"/>
      <c r="E17" s="1443"/>
      <c r="F17" s="1443"/>
      <c r="G17" s="1443"/>
      <c r="H17" s="1444"/>
      <c r="I17" s="1436">
        <v>8760</v>
      </c>
      <c r="J17" s="1437"/>
      <c r="K17" s="1437"/>
      <c r="L17" s="1437"/>
      <c r="M17" s="1438"/>
      <c r="N17" s="1436">
        <v>5370</v>
      </c>
      <c r="O17" s="1437"/>
      <c r="P17" s="1437"/>
      <c r="Q17" s="1437"/>
      <c r="R17" s="1438"/>
      <c r="S17" s="1436">
        <v>5870</v>
      </c>
      <c r="T17" s="1437"/>
      <c r="U17" s="1437"/>
      <c r="V17" s="1437"/>
      <c r="W17" s="1438"/>
      <c r="X17" s="1436">
        <v>5100</v>
      </c>
      <c r="Y17" s="1437"/>
      <c r="Z17" s="1437"/>
      <c r="AA17" s="1437"/>
      <c r="AB17" s="1438"/>
      <c r="AW17" s="485"/>
      <c r="AX17" s="485"/>
      <c r="AY17" s="485"/>
      <c r="AZ17" s="485"/>
      <c r="BA17" s="483"/>
      <c r="BB17" s="483"/>
      <c r="BC17" s="483"/>
      <c r="BD17" s="483"/>
      <c r="BE17" s="483"/>
      <c r="BF17" s="483"/>
      <c r="BG17" s="483"/>
      <c r="BH17" s="483"/>
      <c r="BI17" s="483"/>
      <c r="BJ17" s="483"/>
      <c r="BK17" s="483"/>
      <c r="BL17" s="483"/>
      <c r="BM17" s="483"/>
    </row>
    <row r="18" spans="1:65" s="244" customFormat="1" x14ac:dyDescent="0.25">
      <c r="A18" s="1442" t="s">
        <v>225</v>
      </c>
      <c r="B18" s="1443"/>
      <c r="C18" s="1443"/>
      <c r="D18" s="1443"/>
      <c r="E18" s="1443"/>
      <c r="F18" s="1443"/>
      <c r="G18" s="1443"/>
      <c r="H18" s="1444"/>
      <c r="I18" s="1436">
        <v>8760</v>
      </c>
      <c r="J18" s="1437"/>
      <c r="K18" s="1437"/>
      <c r="L18" s="1437"/>
      <c r="M18" s="1438"/>
      <c r="N18" s="1436">
        <v>1284</v>
      </c>
      <c r="O18" s="1437"/>
      <c r="P18" s="1437"/>
      <c r="Q18" s="1437"/>
      <c r="R18" s="1438"/>
      <c r="S18" s="1436">
        <v>4775</v>
      </c>
      <c r="T18" s="1437"/>
      <c r="U18" s="1437"/>
      <c r="V18" s="1437"/>
      <c r="W18" s="1438"/>
      <c r="X18" s="1436">
        <v>1130</v>
      </c>
      <c r="Y18" s="1437"/>
      <c r="Z18" s="1437"/>
      <c r="AA18" s="1437"/>
      <c r="AB18" s="1438"/>
      <c r="AW18" s="485"/>
      <c r="AX18" s="485"/>
      <c r="AY18" s="485"/>
      <c r="AZ18" s="485"/>
      <c r="BA18" s="483"/>
      <c r="BB18" s="483"/>
      <c r="BC18" s="483"/>
      <c r="BD18" s="483"/>
      <c r="BE18" s="483"/>
      <c r="BF18" s="483"/>
      <c r="BG18" s="483"/>
      <c r="BH18" s="483"/>
      <c r="BI18" s="483"/>
      <c r="BJ18" s="483"/>
      <c r="BK18" s="483"/>
      <c r="BL18" s="483"/>
      <c r="BM18" s="483"/>
    </row>
    <row r="19" spans="1:65" s="244" customFormat="1" x14ac:dyDescent="0.25">
      <c r="A19" s="1442" t="s">
        <v>226</v>
      </c>
      <c r="B19" s="1443"/>
      <c r="C19" s="1443"/>
      <c r="D19" s="1443"/>
      <c r="E19" s="1443"/>
      <c r="F19" s="1443"/>
      <c r="G19" s="1443"/>
      <c r="H19" s="1444"/>
      <c r="I19" s="1436">
        <v>8760</v>
      </c>
      <c r="J19" s="1437"/>
      <c r="K19" s="1437"/>
      <c r="L19" s="1437"/>
      <c r="M19" s="1438"/>
      <c r="N19" s="1436">
        <v>2145</v>
      </c>
      <c r="O19" s="1437"/>
      <c r="P19" s="1437"/>
      <c r="Q19" s="1437"/>
      <c r="R19" s="1438"/>
      <c r="S19" s="1436">
        <v>2860</v>
      </c>
      <c r="T19" s="1437"/>
      <c r="U19" s="1437"/>
      <c r="V19" s="1437"/>
      <c r="W19" s="1438"/>
      <c r="X19" s="1436">
        <v>2305</v>
      </c>
      <c r="Y19" s="1437"/>
      <c r="Z19" s="1437"/>
      <c r="AA19" s="1437"/>
      <c r="AB19" s="1438"/>
      <c r="AW19" s="485"/>
      <c r="AX19" s="485"/>
      <c r="AY19" s="485"/>
      <c r="AZ19" s="485"/>
      <c r="BA19" s="483"/>
      <c r="BB19" s="483"/>
      <c r="BC19" s="483"/>
      <c r="BD19" s="483"/>
      <c r="BE19" s="483"/>
      <c r="BF19" s="483"/>
      <c r="BG19" s="483"/>
      <c r="BH19" s="483"/>
      <c r="BI19" s="483"/>
      <c r="BJ19" s="483"/>
      <c r="BK19" s="483"/>
      <c r="BL19" s="483"/>
      <c r="BM19" s="483"/>
    </row>
    <row r="20" spans="1:65" s="244" customFormat="1" x14ac:dyDescent="0.25">
      <c r="A20" s="1442" t="s">
        <v>55</v>
      </c>
      <c r="B20" s="1443"/>
      <c r="C20" s="1443"/>
      <c r="D20" s="1443"/>
      <c r="E20" s="1443"/>
      <c r="F20" s="1443"/>
      <c r="G20" s="1443"/>
      <c r="H20" s="1444"/>
      <c r="I20" s="1436">
        <v>8760</v>
      </c>
      <c r="J20" s="1437"/>
      <c r="K20" s="1437"/>
      <c r="L20" s="1437"/>
      <c r="M20" s="1438"/>
      <c r="N20" s="1436">
        <v>1780</v>
      </c>
      <c r="O20" s="1437"/>
      <c r="P20" s="1437"/>
      <c r="Q20" s="1437"/>
      <c r="R20" s="1438"/>
      <c r="S20" s="1436">
        <v>2480</v>
      </c>
      <c r="T20" s="1437"/>
      <c r="U20" s="1437"/>
      <c r="V20" s="1437"/>
      <c r="W20" s="1438"/>
      <c r="X20" s="1436">
        <v>1980</v>
      </c>
      <c r="Y20" s="1437"/>
      <c r="Z20" s="1437"/>
      <c r="AA20" s="1437"/>
      <c r="AB20" s="1438"/>
      <c r="AW20" s="485"/>
      <c r="AX20" s="485"/>
      <c r="AY20" s="485"/>
      <c r="AZ20" s="485"/>
      <c r="BA20" s="483"/>
      <c r="BB20" s="483"/>
      <c r="BC20" s="483"/>
      <c r="BD20" s="483"/>
      <c r="BE20" s="483"/>
      <c r="BF20" s="483"/>
      <c r="BG20" s="483"/>
      <c r="BH20" s="483"/>
      <c r="BI20" s="483"/>
      <c r="BJ20" s="483"/>
      <c r="BK20" s="483"/>
      <c r="BL20" s="483"/>
      <c r="BM20" s="483"/>
    </row>
    <row r="21" spans="1:65" s="244" customFormat="1" x14ac:dyDescent="0.25">
      <c r="A21" s="1442" t="s">
        <v>227</v>
      </c>
      <c r="B21" s="1443"/>
      <c r="C21" s="1443"/>
      <c r="D21" s="1443"/>
      <c r="E21" s="1443"/>
      <c r="F21" s="1443"/>
      <c r="G21" s="1443"/>
      <c r="H21" s="1444"/>
      <c r="I21" s="1436">
        <v>8760</v>
      </c>
      <c r="J21" s="1437"/>
      <c r="K21" s="1437"/>
      <c r="L21" s="1437"/>
      <c r="M21" s="1438"/>
      <c r="N21" s="1436">
        <v>3700</v>
      </c>
      <c r="O21" s="1437"/>
      <c r="P21" s="1437"/>
      <c r="Q21" s="1437"/>
      <c r="R21" s="1438"/>
      <c r="S21" s="1436">
        <v>3610</v>
      </c>
      <c r="T21" s="1437"/>
      <c r="U21" s="1437"/>
      <c r="V21" s="1437"/>
      <c r="W21" s="1438"/>
      <c r="X21" s="1436">
        <v>3500</v>
      </c>
      <c r="Y21" s="1437"/>
      <c r="Z21" s="1437"/>
      <c r="AA21" s="1437"/>
      <c r="AB21" s="1438"/>
      <c r="AW21" s="485"/>
      <c r="AX21" s="485"/>
      <c r="AY21" s="485"/>
      <c r="AZ21" s="485"/>
      <c r="BA21" s="483"/>
      <c r="BB21" s="483"/>
      <c r="BC21" s="483"/>
      <c r="BD21" s="483"/>
      <c r="BE21" s="483"/>
      <c r="BF21" s="483"/>
      <c r="BG21" s="483"/>
      <c r="BH21" s="483"/>
      <c r="BI21" s="483"/>
      <c r="BJ21" s="483"/>
      <c r="BK21" s="483"/>
      <c r="BL21" s="483"/>
      <c r="BM21" s="483"/>
    </row>
    <row r="22" spans="1:65" s="244" customFormat="1" x14ac:dyDescent="0.25">
      <c r="A22" s="1442" t="s">
        <v>228</v>
      </c>
      <c r="B22" s="1443"/>
      <c r="C22" s="1443"/>
      <c r="D22" s="1443"/>
      <c r="E22" s="1443"/>
      <c r="F22" s="1443"/>
      <c r="G22" s="1443"/>
      <c r="H22" s="1444"/>
      <c r="I22" s="1436">
        <v>8760</v>
      </c>
      <c r="J22" s="1437"/>
      <c r="K22" s="1437"/>
      <c r="L22" s="1437"/>
      <c r="M22" s="1438"/>
      <c r="N22" s="1436">
        <v>2363</v>
      </c>
      <c r="O22" s="1437"/>
      <c r="P22" s="1437"/>
      <c r="Q22" s="1437"/>
      <c r="R22" s="1438"/>
      <c r="S22" s="1436">
        <v>3983</v>
      </c>
      <c r="T22" s="1437"/>
      <c r="U22" s="1437"/>
      <c r="V22" s="1437"/>
      <c r="W22" s="1438"/>
      <c r="X22" s="1436">
        <v>3690</v>
      </c>
      <c r="Y22" s="1437"/>
      <c r="Z22" s="1437"/>
      <c r="AA22" s="1437"/>
      <c r="AB22" s="1438"/>
      <c r="AW22" s="485"/>
      <c r="AX22" s="485"/>
      <c r="AY22" s="485"/>
      <c r="AZ22" s="485"/>
      <c r="BA22" s="483"/>
      <c r="BB22" s="483"/>
      <c r="BC22" s="483"/>
      <c r="BD22" s="483"/>
      <c r="BE22" s="483"/>
      <c r="BF22" s="483"/>
      <c r="BG22" s="483"/>
      <c r="BH22" s="483"/>
      <c r="BI22" s="483"/>
      <c r="BJ22" s="483"/>
      <c r="BK22" s="483"/>
      <c r="BL22" s="483"/>
      <c r="BM22" s="483"/>
    </row>
    <row r="23" spans="1:65" s="244" customFormat="1" x14ac:dyDescent="0.25">
      <c r="A23" s="1442" t="s">
        <v>229</v>
      </c>
      <c r="B23" s="1443"/>
      <c r="C23" s="1443"/>
      <c r="D23" s="1443"/>
      <c r="E23" s="1443"/>
      <c r="F23" s="1443"/>
      <c r="G23" s="1443"/>
      <c r="H23" s="1444"/>
      <c r="I23" s="1436">
        <v>8760</v>
      </c>
      <c r="J23" s="1437"/>
      <c r="K23" s="1437"/>
      <c r="L23" s="1437"/>
      <c r="M23" s="1438"/>
      <c r="N23" s="1436">
        <v>1690</v>
      </c>
      <c r="O23" s="1437"/>
      <c r="P23" s="1437"/>
      <c r="Q23" s="1437"/>
      <c r="R23" s="1438"/>
      <c r="S23" s="1436">
        <v>2245</v>
      </c>
      <c r="T23" s="1437"/>
      <c r="U23" s="1437"/>
      <c r="V23" s="1437"/>
      <c r="W23" s="1438"/>
      <c r="X23" s="1436">
        <v>1970</v>
      </c>
      <c r="Y23" s="1437"/>
      <c r="Z23" s="1437"/>
      <c r="AA23" s="1437"/>
      <c r="AB23" s="1438"/>
      <c r="AP23" s="184"/>
      <c r="AQ23" s="184"/>
      <c r="AR23" s="184"/>
      <c r="AS23" s="184"/>
      <c r="AT23" s="184"/>
      <c r="AU23" s="184"/>
      <c r="AV23" s="184"/>
      <c r="AW23" s="484"/>
      <c r="AX23" s="484"/>
      <c r="AY23" s="484"/>
      <c r="AZ23" s="484"/>
      <c r="BA23" s="484"/>
      <c r="BB23" s="484"/>
      <c r="BC23" s="484"/>
      <c r="BD23" s="484"/>
      <c r="BE23" s="484"/>
      <c r="BF23" s="484"/>
      <c r="BG23" s="484"/>
      <c r="BH23" s="484"/>
      <c r="BI23" s="484"/>
      <c r="BJ23" s="484"/>
      <c r="BK23" s="484"/>
      <c r="BL23" s="484"/>
      <c r="BM23" s="8"/>
    </row>
    <row r="24" spans="1:65" s="244" customFormat="1" ht="27.75" customHeight="1" x14ac:dyDescent="0.25">
      <c r="A24" s="1460" t="s">
        <v>1921</v>
      </c>
      <c r="B24" s="1460"/>
      <c r="C24" s="1460"/>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P24" s="489"/>
      <c r="AQ24" s="489"/>
      <c r="AR24" s="489"/>
      <c r="AS24" s="489"/>
      <c r="AT24" s="489"/>
      <c r="AU24" s="489"/>
      <c r="AV24" s="489"/>
      <c r="AW24" s="489"/>
      <c r="AX24" s="489"/>
      <c r="AY24" s="489"/>
      <c r="AZ24" s="489"/>
      <c r="BA24" s="489"/>
      <c r="BB24" s="489"/>
      <c r="BC24" s="489"/>
      <c r="BD24" s="489"/>
      <c r="BE24" s="489"/>
      <c r="BF24" s="489"/>
      <c r="BG24" s="489"/>
      <c r="BH24" s="489"/>
      <c r="BI24" s="489"/>
    </row>
    <row r="25" spans="1:65" x14ac:dyDescent="0.25">
      <c r="AP25" s="490"/>
      <c r="AQ25" s="490"/>
      <c r="AR25" s="490"/>
      <c r="AS25" s="490"/>
      <c r="AT25" s="491"/>
      <c r="AU25" s="491"/>
      <c r="AV25" s="491"/>
      <c r="AW25" s="491"/>
      <c r="AX25" s="491"/>
      <c r="AY25" s="491"/>
      <c r="AZ25" s="491"/>
      <c r="BA25" s="491"/>
      <c r="BB25" s="491"/>
      <c r="BC25" s="491"/>
      <c r="BD25" s="491"/>
      <c r="BE25" s="491"/>
      <c r="BF25" s="491"/>
      <c r="BG25" s="491"/>
      <c r="BH25" s="491"/>
      <c r="BI25" s="491"/>
    </row>
    <row r="26" spans="1:65" s="8" customFormat="1" x14ac:dyDescent="0.25">
      <c r="A26" s="1167" t="s">
        <v>2686</v>
      </c>
      <c r="B26" s="1422"/>
      <c r="C26" s="1422"/>
      <c r="D26" s="1422"/>
      <c r="E26" s="1422"/>
      <c r="F26" s="1422"/>
      <c r="G26" s="1422"/>
      <c r="H26" s="1422"/>
      <c r="I26" s="1422"/>
      <c r="J26" s="1422"/>
      <c r="K26" s="1422"/>
      <c r="L26" s="1422"/>
      <c r="M26" s="1422"/>
      <c r="N26" s="1422"/>
      <c r="O26" s="1422"/>
      <c r="P26" s="1422"/>
      <c r="Q26" s="1422"/>
      <c r="R26" s="1422"/>
      <c r="S26" s="1422"/>
      <c r="T26" s="1422"/>
      <c r="U26" s="1422"/>
      <c r="V26" s="1422"/>
      <c r="W26" s="1422"/>
      <c r="X26" s="1422"/>
      <c r="Y26" s="1422"/>
      <c r="Z26" s="1422"/>
      <c r="AA26" s="1422"/>
      <c r="AB26" s="1422"/>
      <c r="AC26" s="1422"/>
      <c r="AD26" s="1422"/>
      <c r="AE26" s="1422"/>
      <c r="AF26" s="1422"/>
      <c r="AP26" s="490"/>
      <c r="AQ26" s="490"/>
      <c r="AR26" s="490"/>
      <c r="AS26" s="490"/>
      <c r="AT26" s="491"/>
      <c r="AU26" s="491"/>
      <c r="AV26" s="491"/>
      <c r="AW26" s="491"/>
      <c r="AX26" s="491"/>
      <c r="AY26" s="491"/>
      <c r="AZ26" s="491"/>
      <c r="BA26" s="491"/>
      <c r="BB26" s="491"/>
      <c r="BC26" s="491"/>
      <c r="BD26" s="491"/>
      <c r="BE26" s="491"/>
      <c r="BF26" s="491"/>
      <c r="BG26" s="491"/>
      <c r="BH26" s="491"/>
      <c r="BI26" s="491"/>
    </row>
    <row r="27" spans="1:65" s="244" customFormat="1" ht="82.5" customHeight="1" x14ac:dyDescent="0.25">
      <c r="A27" s="1418" t="s">
        <v>54</v>
      </c>
      <c r="B27" s="1419"/>
      <c r="C27" s="1419"/>
      <c r="D27" s="1419"/>
      <c r="E27" s="1419"/>
      <c r="F27" s="1419"/>
      <c r="G27" s="1419"/>
      <c r="H27" s="1420"/>
      <c r="I27" s="1439" t="s">
        <v>1900</v>
      </c>
      <c r="J27" s="1440"/>
      <c r="K27" s="1440"/>
      <c r="L27" s="1440"/>
      <c r="M27" s="1441"/>
      <c r="N27" s="1439" t="s">
        <v>1901</v>
      </c>
      <c r="O27" s="1440"/>
      <c r="P27" s="1440"/>
      <c r="Q27" s="1440"/>
      <c r="R27" s="1441"/>
      <c r="S27" s="1439" t="s">
        <v>1902</v>
      </c>
      <c r="T27" s="1440"/>
      <c r="U27" s="1440"/>
      <c r="V27" s="1440"/>
      <c r="W27" s="1441"/>
      <c r="X27" s="1439" t="s">
        <v>1925</v>
      </c>
      <c r="Y27" s="1440"/>
      <c r="Z27" s="1440"/>
      <c r="AA27" s="1440"/>
      <c r="AB27" s="1441"/>
      <c r="AP27" s="490"/>
      <c r="AQ27" s="490"/>
      <c r="AR27" s="490"/>
      <c r="AS27" s="490"/>
      <c r="AT27" s="491"/>
      <c r="AU27" s="491"/>
      <c r="AV27" s="491"/>
      <c r="AW27" s="491"/>
      <c r="AX27" s="491"/>
      <c r="AY27" s="491"/>
      <c r="AZ27" s="491"/>
      <c r="BA27" s="491"/>
      <c r="BB27" s="491"/>
      <c r="BC27" s="491"/>
      <c r="BD27" s="491"/>
      <c r="BE27" s="491"/>
      <c r="BF27" s="491"/>
      <c r="BG27" s="491"/>
      <c r="BH27" s="491"/>
      <c r="BI27" s="491"/>
    </row>
    <row r="28" spans="1:65" s="244" customFormat="1" ht="15" customHeight="1" x14ac:dyDescent="0.25">
      <c r="A28" s="1442" t="s">
        <v>2683</v>
      </c>
      <c r="B28" s="1443"/>
      <c r="C28" s="1443"/>
      <c r="D28" s="1443"/>
      <c r="E28" s="1443"/>
      <c r="F28" s="1443"/>
      <c r="G28" s="1443"/>
      <c r="H28" s="1444"/>
      <c r="I28" s="1445">
        <v>1</v>
      </c>
      <c r="J28" s="1446"/>
      <c r="K28" s="1446"/>
      <c r="L28" s="1446"/>
      <c r="M28" s="1447"/>
      <c r="N28" s="1445">
        <v>0.31</v>
      </c>
      <c r="O28" s="1446"/>
      <c r="P28" s="1446"/>
      <c r="Q28" s="1446"/>
      <c r="R28" s="1447"/>
      <c r="S28" s="1445">
        <v>0.53</v>
      </c>
      <c r="T28" s="1446"/>
      <c r="U28" s="1446"/>
      <c r="V28" s="1446"/>
      <c r="W28" s="1447"/>
      <c r="X28" s="1445">
        <v>0.34</v>
      </c>
      <c r="Y28" s="1446"/>
      <c r="Z28" s="1446"/>
      <c r="AA28" s="1446"/>
      <c r="AB28" s="1447"/>
      <c r="AP28" s="490"/>
      <c r="AQ28" s="490"/>
      <c r="AR28" s="490"/>
      <c r="AS28" s="490"/>
      <c r="AT28" s="491"/>
      <c r="AU28" s="491"/>
      <c r="AV28" s="491"/>
      <c r="AW28" s="491"/>
      <c r="AX28" s="491"/>
      <c r="AY28" s="491"/>
      <c r="AZ28" s="491"/>
      <c r="BA28" s="491"/>
      <c r="BB28" s="491"/>
      <c r="BC28" s="491"/>
      <c r="BD28" s="491"/>
      <c r="BE28" s="491"/>
      <c r="BF28" s="491"/>
      <c r="BG28" s="491"/>
      <c r="BH28" s="491"/>
      <c r="BI28" s="491"/>
    </row>
    <row r="29" spans="1:65" s="244" customFormat="1" x14ac:dyDescent="0.25">
      <c r="A29" s="1442" t="s">
        <v>221</v>
      </c>
      <c r="B29" s="1443"/>
      <c r="C29" s="1443"/>
      <c r="D29" s="1443"/>
      <c r="E29" s="1443"/>
      <c r="F29" s="1443"/>
      <c r="G29" s="1443"/>
      <c r="H29" s="1444"/>
      <c r="I29" s="1445">
        <v>1</v>
      </c>
      <c r="J29" s="1446"/>
      <c r="K29" s="1446"/>
      <c r="L29" s="1446"/>
      <c r="M29" s="1447"/>
      <c r="N29" s="1445">
        <v>0.2</v>
      </c>
      <c r="O29" s="1446"/>
      <c r="P29" s="1446"/>
      <c r="Q29" s="1446"/>
      <c r="R29" s="1447"/>
      <c r="S29" s="1445">
        <v>0.2</v>
      </c>
      <c r="T29" s="1446"/>
      <c r="U29" s="1446"/>
      <c r="V29" s="1446"/>
      <c r="W29" s="1447"/>
      <c r="X29" s="1445">
        <v>0.2</v>
      </c>
      <c r="Y29" s="1446"/>
      <c r="Z29" s="1446"/>
      <c r="AA29" s="1446"/>
      <c r="AB29" s="1447"/>
      <c r="AP29" s="490"/>
      <c r="AQ29" s="490"/>
      <c r="AR29" s="490"/>
      <c r="AS29" s="490"/>
      <c r="AT29" s="491"/>
      <c r="AU29" s="491"/>
      <c r="AV29" s="491"/>
      <c r="AW29" s="491"/>
      <c r="AX29" s="491"/>
      <c r="AY29" s="491"/>
      <c r="AZ29" s="491"/>
      <c r="BA29" s="491"/>
      <c r="BB29" s="491"/>
      <c r="BC29" s="491"/>
      <c r="BD29" s="491"/>
      <c r="BE29" s="491"/>
      <c r="BF29" s="491"/>
      <c r="BG29" s="491"/>
      <c r="BH29" s="491"/>
      <c r="BI29" s="491"/>
    </row>
    <row r="30" spans="1:65" s="244" customFormat="1" x14ac:dyDescent="0.25">
      <c r="A30" s="1442" t="s">
        <v>222</v>
      </c>
      <c r="B30" s="1443"/>
      <c r="C30" s="1443"/>
      <c r="D30" s="1443"/>
      <c r="E30" s="1443"/>
      <c r="F30" s="1443"/>
      <c r="G30" s="1443"/>
      <c r="H30" s="1444"/>
      <c r="I30" s="1445">
        <v>1</v>
      </c>
      <c r="J30" s="1446"/>
      <c r="K30" s="1446"/>
      <c r="L30" s="1446"/>
      <c r="M30" s="1447"/>
      <c r="N30" s="1445">
        <v>0.28000000000000003</v>
      </c>
      <c r="O30" s="1446"/>
      <c r="P30" s="1446"/>
      <c r="Q30" s="1446"/>
      <c r="R30" s="1447"/>
      <c r="S30" s="1445">
        <v>0.4</v>
      </c>
      <c r="T30" s="1446"/>
      <c r="U30" s="1446"/>
      <c r="V30" s="1446"/>
      <c r="W30" s="1447"/>
      <c r="X30" s="1445">
        <v>0.32</v>
      </c>
      <c r="Y30" s="1446"/>
      <c r="Z30" s="1446"/>
      <c r="AA30" s="1446"/>
      <c r="AB30" s="1447"/>
      <c r="AP30" s="490"/>
      <c r="AQ30" s="490"/>
      <c r="AR30" s="490"/>
      <c r="AS30" s="490"/>
      <c r="AT30" s="491"/>
      <c r="AU30" s="491"/>
      <c r="AV30" s="491"/>
      <c r="AW30" s="491"/>
      <c r="AX30" s="491"/>
      <c r="AY30" s="491"/>
      <c r="AZ30" s="491"/>
      <c r="BA30" s="491"/>
      <c r="BB30" s="491"/>
      <c r="BC30" s="491"/>
      <c r="BD30" s="491"/>
      <c r="BE30" s="491"/>
      <c r="BF30" s="491"/>
      <c r="BG30" s="491"/>
      <c r="BH30" s="491"/>
      <c r="BI30" s="491"/>
    </row>
    <row r="31" spans="1:65" s="244" customFormat="1" x14ac:dyDescent="0.25">
      <c r="A31" s="1442" t="s">
        <v>223</v>
      </c>
      <c r="B31" s="1443"/>
      <c r="C31" s="1443"/>
      <c r="D31" s="1443"/>
      <c r="E31" s="1443"/>
      <c r="F31" s="1443"/>
      <c r="G31" s="1443"/>
      <c r="H31" s="1444"/>
      <c r="I31" s="1445">
        <v>1</v>
      </c>
      <c r="J31" s="1446"/>
      <c r="K31" s="1446"/>
      <c r="L31" s="1446"/>
      <c r="M31" s="1447"/>
      <c r="N31" s="1445">
        <v>0.7</v>
      </c>
      <c r="O31" s="1446"/>
      <c r="P31" s="1446"/>
      <c r="Q31" s="1446"/>
      <c r="R31" s="1447"/>
      <c r="S31" s="1445">
        <v>0.78</v>
      </c>
      <c r="T31" s="1446"/>
      <c r="U31" s="1446"/>
      <c r="V31" s="1446"/>
      <c r="W31" s="1447"/>
      <c r="X31" s="1445">
        <v>0.68</v>
      </c>
      <c r="Y31" s="1446"/>
      <c r="Z31" s="1446"/>
      <c r="AA31" s="1446"/>
      <c r="AB31" s="1447"/>
      <c r="AP31" s="490"/>
      <c r="AQ31" s="490"/>
      <c r="AR31" s="490"/>
      <c r="AS31" s="490"/>
      <c r="AT31" s="491"/>
      <c r="AU31" s="491"/>
      <c r="AV31" s="491"/>
      <c r="AW31" s="491"/>
      <c r="AX31" s="491"/>
      <c r="AY31" s="491"/>
      <c r="AZ31" s="491"/>
      <c r="BA31" s="491"/>
      <c r="BB31" s="491"/>
      <c r="BC31" s="491"/>
      <c r="BD31" s="491"/>
      <c r="BE31" s="491"/>
      <c r="BF31" s="491"/>
      <c r="BG31" s="491"/>
      <c r="BH31" s="491"/>
      <c r="BI31" s="491"/>
    </row>
    <row r="32" spans="1:65" s="244" customFormat="1" x14ac:dyDescent="0.25">
      <c r="A32" s="1442" t="s">
        <v>224</v>
      </c>
      <c r="B32" s="1443"/>
      <c r="C32" s="1443"/>
      <c r="D32" s="1443"/>
      <c r="E32" s="1443"/>
      <c r="F32" s="1443"/>
      <c r="G32" s="1443"/>
      <c r="H32" s="1444"/>
      <c r="I32" s="1445">
        <v>1</v>
      </c>
      <c r="J32" s="1446"/>
      <c r="K32" s="1446"/>
      <c r="L32" s="1446"/>
      <c r="M32" s="1447"/>
      <c r="N32" s="1445">
        <v>0.66</v>
      </c>
      <c r="O32" s="1446"/>
      <c r="P32" s="1446"/>
      <c r="Q32" s="1446"/>
      <c r="R32" s="1447"/>
      <c r="S32" s="1445">
        <v>0.72</v>
      </c>
      <c r="T32" s="1446"/>
      <c r="U32" s="1446"/>
      <c r="V32" s="1446"/>
      <c r="W32" s="1447"/>
      <c r="X32" s="1445">
        <v>0.63</v>
      </c>
      <c r="Y32" s="1446"/>
      <c r="Z32" s="1446"/>
      <c r="AA32" s="1446"/>
      <c r="AB32" s="1447"/>
      <c r="AP32" s="490"/>
      <c r="AQ32" s="490"/>
      <c r="AR32" s="490"/>
      <c r="AS32" s="490"/>
      <c r="AT32" s="491"/>
      <c r="AU32" s="491"/>
      <c r="AV32" s="491"/>
      <c r="AW32" s="491"/>
      <c r="AX32" s="491"/>
      <c r="AY32" s="491"/>
      <c r="AZ32" s="491"/>
      <c r="BA32" s="491"/>
      <c r="BB32" s="491"/>
      <c r="BC32" s="491"/>
      <c r="BD32" s="491"/>
      <c r="BE32" s="491"/>
      <c r="BF32" s="491"/>
      <c r="BG32" s="491"/>
      <c r="BH32" s="491"/>
      <c r="BI32" s="491"/>
    </row>
    <row r="33" spans="1:61" s="244" customFormat="1" x14ac:dyDescent="0.25">
      <c r="A33" s="1442" t="s">
        <v>225</v>
      </c>
      <c r="B33" s="1443"/>
      <c r="C33" s="1443"/>
      <c r="D33" s="1443"/>
      <c r="E33" s="1443"/>
      <c r="F33" s="1443"/>
      <c r="G33" s="1443"/>
      <c r="H33" s="1444"/>
      <c r="I33" s="1445">
        <v>1</v>
      </c>
      <c r="J33" s="1446"/>
      <c r="K33" s="1446"/>
      <c r="L33" s="1446"/>
      <c r="M33" s="1447"/>
      <c r="N33" s="1445">
        <v>0.26</v>
      </c>
      <c r="O33" s="1446"/>
      <c r="P33" s="1446"/>
      <c r="Q33" s="1446"/>
      <c r="R33" s="1447"/>
      <c r="S33" s="1445">
        <v>0.96</v>
      </c>
      <c r="T33" s="1446"/>
      <c r="U33" s="1446"/>
      <c r="V33" s="1446"/>
      <c r="W33" s="1447"/>
      <c r="X33" s="1445">
        <v>0.23</v>
      </c>
      <c r="Y33" s="1446"/>
      <c r="Z33" s="1446"/>
      <c r="AA33" s="1446"/>
      <c r="AB33" s="1447"/>
      <c r="AP33" s="490"/>
      <c r="AQ33" s="490"/>
      <c r="AR33" s="490"/>
      <c r="AS33" s="490"/>
      <c r="AT33" s="491"/>
      <c r="AU33" s="491"/>
      <c r="AV33" s="491"/>
      <c r="AW33" s="491"/>
      <c r="AX33" s="491"/>
      <c r="AY33" s="491"/>
      <c r="AZ33" s="491"/>
      <c r="BA33" s="491"/>
      <c r="BB33" s="491"/>
      <c r="BC33" s="491"/>
      <c r="BD33" s="491"/>
      <c r="BE33" s="491"/>
      <c r="BF33" s="491"/>
      <c r="BG33" s="491"/>
      <c r="BH33" s="491"/>
      <c r="BI33" s="491"/>
    </row>
    <row r="34" spans="1:61" s="244" customFormat="1" x14ac:dyDescent="0.25">
      <c r="A34" s="1442" t="s">
        <v>226</v>
      </c>
      <c r="B34" s="1443"/>
      <c r="C34" s="1443"/>
      <c r="D34" s="1443"/>
      <c r="E34" s="1443"/>
      <c r="F34" s="1443"/>
      <c r="G34" s="1443"/>
      <c r="H34" s="1444"/>
      <c r="I34" s="1445">
        <v>1</v>
      </c>
      <c r="J34" s="1446"/>
      <c r="K34" s="1446"/>
      <c r="L34" s="1446"/>
      <c r="M34" s="1447"/>
      <c r="N34" s="1445">
        <v>0.53</v>
      </c>
      <c r="O34" s="1446"/>
      <c r="P34" s="1446"/>
      <c r="Q34" s="1446"/>
      <c r="R34" s="1447"/>
      <c r="S34" s="1445">
        <v>0.57999999999999996</v>
      </c>
      <c r="T34" s="1446"/>
      <c r="U34" s="1446"/>
      <c r="V34" s="1446"/>
      <c r="W34" s="1447"/>
      <c r="X34" s="1445">
        <v>0.59</v>
      </c>
      <c r="Y34" s="1446"/>
      <c r="Z34" s="1446"/>
      <c r="AA34" s="1446"/>
      <c r="AB34" s="1447"/>
      <c r="AP34" s="490"/>
      <c r="AQ34" s="490"/>
      <c r="AR34" s="490"/>
      <c r="AS34" s="490"/>
      <c r="AT34" s="491"/>
      <c r="AU34" s="491"/>
      <c r="AV34" s="491"/>
      <c r="AW34" s="491"/>
      <c r="AX34" s="491"/>
      <c r="AY34" s="491"/>
      <c r="AZ34" s="491"/>
      <c r="BA34" s="491"/>
      <c r="BB34" s="491"/>
      <c r="BC34" s="491"/>
      <c r="BD34" s="491"/>
      <c r="BE34" s="491"/>
      <c r="BF34" s="491"/>
      <c r="BG34" s="491"/>
      <c r="BH34" s="491"/>
      <c r="BI34" s="491"/>
    </row>
    <row r="35" spans="1:61" s="244" customFormat="1" x14ac:dyDescent="0.25">
      <c r="A35" s="1442" t="s">
        <v>55</v>
      </c>
      <c r="B35" s="1443"/>
      <c r="C35" s="1443"/>
      <c r="D35" s="1443"/>
      <c r="E35" s="1443"/>
      <c r="F35" s="1443"/>
      <c r="G35" s="1443"/>
      <c r="H35" s="1444"/>
      <c r="I35" s="1445">
        <v>1</v>
      </c>
      <c r="J35" s="1446"/>
      <c r="K35" s="1446"/>
      <c r="L35" s="1446"/>
      <c r="M35" s="1447"/>
      <c r="N35" s="1445">
        <v>0.22</v>
      </c>
      <c r="O35" s="1446"/>
      <c r="P35" s="1446"/>
      <c r="Q35" s="1446"/>
      <c r="R35" s="1447"/>
      <c r="S35" s="1445">
        <v>0.31</v>
      </c>
      <c r="T35" s="1446"/>
      <c r="U35" s="1446"/>
      <c r="V35" s="1446"/>
      <c r="W35" s="1447"/>
      <c r="X35" s="1445">
        <v>0.25</v>
      </c>
      <c r="Y35" s="1446"/>
      <c r="Z35" s="1446"/>
      <c r="AA35" s="1446"/>
      <c r="AB35" s="1447"/>
      <c r="AP35" s="490"/>
      <c r="AQ35" s="490"/>
      <c r="AR35" s="490"/>
      <c r="AS35" s="490"/>
      <c r="AT35" s="491"/>
      <c r="AU35" s="491"/>
      <c r="AV35" s="491"/>
      <c r="AW35" s="491"/>
      <c r="AX35" s="491"/>
      <c r="AY35" s="491"/>
      <c r="AZ35" s="491"/>
      <c r="BA35" s="491"/>
      <c r="BB35" s="491"/>
      <c r="BC35" s="491"/>
      <c r="BD35" s="491"/>
      <c r="BE35" s="491"/>
      <c r="BF35" s="491"/>
      <c r="BG35" s="491"/>
      <c r="BH35" s="491"/>
      <c r="BI35" s="491"/>
    </row>
    <row r="36" spans="1:61" s="244" customFormat="1" x14ac:dyDescent="0.25">
      <c r="A36" s="1442" t="s">
        <v>227</v>
      </c>
      <c r="B36" s="1443"/>
      <c r="C36" s="1443"/>
      <c r="D36" s="1443"/>
      <c r="E36" s="1443"/>
      <c r="F36" s="1443"/>
      <c r="G36" s="1443"/>
      <c r="H36" s="1444"/>
      <c r="I36" s="1445">
        <v>1</v>
      </c>
      <c r="J36" s="1446"/>
      <c r="K36" s="1446"/>
      <c r="L36" s="1446"/>
      <c r="M36" s="1447"/>
      <c r="N36" s="1445">
        <v>0.52</v>
      </c>
      <c r="O36" s="1446"/>
      <c r="P36" s="1446"/>
      <c r="Q36" s="1446"/>
      <c r="R36" s="1447"/>
      <c r="S36" s="1445">
        <v>0.5</v>
      </c>
      <c r="T36" s="1446"/>
      <c r="U36" s="1446"/>
      <c r="V36" s="1446"/>
      <c r="W36" s="1447"/>
      <c r="X36" s="1445">
        <v>0.49</v>
      </c>
      <c r="Y36" s="1446"/>
      <c r="Z36" s="1446"/>
      <c r="AA36" s="1446"/>
      <c r="AB36" s="1447"/>
      <c r="AP36" s="397"/>
      <c r="AQ36" s="397"/>
      <c r="AR36" s="397"/>
      <c r="AS36" s="397"/>
      <c r="AT36" s="397"/>
      <c r="AU36" s="397"/>
      <c r="AV36" s="397"/>
      <c r="AW36" s="397"/>
      <c r="AX36" s="397"/>
      <c r="AY36" s="397"/>
      <c r="AZ36" s="397"/>
      <c r="BA36" s="397"/>
      <c r="BB36" s="397"/>
      <c r="BC36" s="397"/>
      <c r="BD36" s="397"/>
      <c r="BE36" s="397"/>
      <c r="BF36" s="397"/>
      <c r="BG36" s="397"/>
      <c r="BH36" s="397"/>
      <c r="BI36" s="397"/>
    </row>
    <row r="37" spans="1:61" s="244" customFormat="1" x14ac:dyDescent="0.25">
      <c r="A37" s="1442" t="s">
        <v>228</v>
      </c>
      <c r="B37" s="1443"/>
      <c r="C37" s="1443"/>
      <c r="D37" s="1443"/>
      <c r="E37" s="1443"/>
      <c r="F37" s="1443"/>
      <c r="G37" s="1443"/>
      <c r="H37" s="1444"/>
      <c r="I37" s="1445">
        <v>1</v>
      </c>
      <c r="J37" s="1446"/>
      <c r="K37" s="1446"/>
      <c r="L37" s="1446"/>
      <c r="M37" s="1447"/>
      <c r="N37" s="1445">
        <v>0.32</v>
      </c>
      <c r="O37" s="1446"/>
      <c r="P37" s="1446"/>
      <c r="Q37" s="1446"/>
      <c r="R37" s="1447"/>
      <c r="S37" s="1445">
        <v>0.54</v>
      </c>
      <c r="T37" s="1446"/>
      <c r="U37" s="1446"/>
      <c r="V37" s="1446"/>
      <c r="W37" s="1447"/>
      <c r="X37" s="1445">
        <v>0.5</v>
      </c>
      <c r="Y37" s="1446"/>
      <c r="Z37" s="1446"/>
      <c r="AA37" s="1446"/>
      <c r="AB37" s="1447"/>
      <c r="AP37" s="397"/>
      <c r="AQ37" s="397"/>
      <c r="AR37" s="397"/>
      <c r="AS37" s="397"/>
      <c r="AT37" s="397"/>
      <c r="AU37" s="397"/>
      <c r="AV37" s="397"/>
      <c r="AW37" s="397"/>
      <c r="AX37" s="397"/>
      <c r="AY37" s="397"/>
      <c r="AZ37" s="397"/>
      <c r="BA37" s="397"/>
      <c r="BB37" s="397"/>
      <c r="BC37" s="397"/>
      <c r="BD37" s="397"/>
      <c r="BE37" s="397"/>
      <c r="BF37" s="397"/>
      <c r="BG37" s="397"/>
      <c r="BH37" s="397"/>
      <c r="BI37" s="397"/>
    </row>
    <row r="38" spans="1:61" s="244" customFormat="1" x14ac:dyDescent="0.25">
      <c r="A38" s="1442" t="s">
        <v>229</v>
      </c>
      <c r="B38" s="1443"/>
      <c r="C38" s="1443"/>
      <c r="D38" s="1443"/>
      <c r="E38" s="1443"/>
      <c r="F38" s="1443"/>
      <c r="G38" s="1443"/>
      <c r="H38" s="1444"/>
      <c r="I38" s="1445">
        <v>1</v>
      </c>
      <c r="J38" s="1446"/>
      <c r="K38" s="1446"/>
      <c r="L38" s="1446"/>
      <c r="M38" s="1447"/>
      <c r="N38" s="1445">
        <v>7.0000000000000007E-2</v>
      </c>
      <c r="O38" s="1446"/>
      <c r="P38" s="1446"/>
      <c r="Q38" s="1446"/>
      <c r="R38" s="1447"/>
      <c r="S38" s="1445">
        <v>0.1</v>
      </c>
      <c r="T38" s="1446"/>
      <c r="U38" s="1446"/>
      <c r="V38" s="1446"/>
      <c r="W38" s="1447"/>
      <c r="X38" s="1445">
        <v>0.08</v>
      </c>
      <c r="Y38" s="1446"/>
      <c r="Z38" s="1446"/>
      <c r="AA38" s="1446"/>
      <c r="AB38" s="1447"/>
      <c r="AP38" s="8"/>
      <c r="AQ38" s="397"/>
      <c r="AR38" s="397"/>
      <c r="AS38" s="397"/>
      <c r="AT38" s="397"/>
      <c r="AU38" s="397"/>
      <c r="AV38" s="397"/>
      <c r="AW38" s="397"/>
      <c r="AX38" s="397"/>
      <c r="AY38" s="397"/>
      <c r="AZ38" s="397"/>
      <c r="BA38" s="397"/>
      <c r="BB38" s="397"/>
      <c r="BC38" s="397"/>
      <c r="BD38" s="397"/>
      <c r="BE38" s="397"/>
      <c r="BF38" s="397"/>
      <c r="BG38" s="397"/>
      <c r="BH38" s="397"/>
      <c r="BI38" s="397"/>
    </row>
    <row r="39" spans="1:61" s="244" customFormat="1" x14ac:dyDescent="0.25">
      <c r="A39" s="1461" t="s">
        <v>1047</v>
      </c>
      <c r="B39" s="1461"/>
      <c r="C39" s="1461"/>
      <c r="D39" s="1461"/>
      <c r="E39" s="1461"/>
      <c r="F39" s="1461"/>
      <c r="G39" s="1461"/>
      <c r="H39" s="1461"/>
      <c r="I39" s="1461"/>
      <c r="J39" s="1461"/>
      <c r="K39" s="1461"/>
      <c r="L39" s="1461"/>
      <c r="M39" s="1461"/>
      <c r="N39" s="1461"/>
      <c r="O39" s="1461"/>
      <c r="P39" s="1461"/>
      <c r="Q39" s="1461"/>
      <c r="R39" s="1461"/>
      <c r="S39" s="1461"/>
      <c r="T39" s="1461"/>
      <c r="U39" s="1461"/>
      <c r="V39" s="1461"/>
      <c r="W39" s="1461"/>
      <c r="X39" s="1461"/>
      <c r="Y39" s="1461"/>
      <c r="Z39" s="1461"/>
      <c r="AA39" s="1461"/>
      <c r="AB39" s="1461"/>
      <c r="AP39" s="8"/>
      <c r="AQ39" s="397"/>
      <c r="AR39" s="397"/>
      <c r="AS39" s="397"/>
      <c r="AT39" s="397"/>
      <c r="AU39" s="397"/>
      <c r="AV39" s="397"/>
      <c r="AW39" s="397"/>
      <c r="AX39" s="397"/>
      <c r="AY39" s="397"/>
      <c r="AZ39" s="397"/>
      <c r="BA39" s="397"/>
      <c r="BB39" s="397"/>
      <c r="BC39" s="397"/>
      <c r="BD39" s="397"/>
      <c r="BE39" s="397"/>
      <c r="BF39" s="397"/>
      <c r="BG39" s="397"/>
      <c r="BH39" s="397"/>
      <c r="BI39" s="397"/>
    </row>
    <row r="40" spans="1:61" s="244" customFormat="1" ht="15" customHeight="1" x14ac:dyDescent="0.25">
      <c r="A40" s="1462" t="s">
        <v>1903</v>
      </c>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2"/>
      <c r="AA40" s="1462"/>
      <c r="AB40" s="1462"/>
      <c r="AP40" s="8"/>
      <c r="AQ40" s="397"/>
      <c r="AR40" s="397"/>
      <c r="AS40" s="397"/>
      <c r="AT40" s="397"/>
      <c r="AU40" s="397"/>
      <c r="AV40" s="397"/>
      <c r="AW40" s="397"/>
      <c r="AX40" s="397"/>
      <c r="AY40" s="397"/>
      <c r="AZ40" s="397"/>
      <c r="BA40" s="397"/>
      <c r="BB40" s="397"/>
      <c r="BC40" s="397"/>
      <c r="BD40" s="397"/>
      <c r="BE40" s="397"/>
      <c r="BF40" s="397"/>
      <c r="BG40" s="397"/>
      <c r="BH40" s="397"/>
      <c r="BI40" s="397"/>
    </row>
    <row r="41" spans="1:61" s="244" customFormat="1" ht="70.5" customHeight="1" x14ac:dyDescent="0.25">
      <c r="A41" s="272"/>
      <c r="B41" s="1463" t="s">
        <v>2941</v>
      </c>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3"/>
      <c r="AA41" s="1463"/>
      <c r="AB41" s="1463"/>
      <c r="AP41" s="8"/>
      <c r="AQ41" s="397"/>
      <c r="AR41" s="397"/>
      <c r="AS41" s="397"/>
      <c r="AT41" s="397"/>
      <c r="AU41" s="397"/>
      <c r="AV41" s="397"/>
      <c r="AW41" s="397"/>
      <c r="AX41" s="397"/>
      <c r="AY41" s="397"/>
      <c r="AZ41" s="397"/>
      <c r="BA41" s="397"/>
      <c r="BB41" s="397"/>
      <c r="BC41" s="397"/>
      <c r="BD41" s="397"/>
      <c r="BE41" s="397"/>
      <c r="BF41" s="397"/>
      <c r="BG41" s="397"/>
      <c r="BH41" s="397"/>
      <c r="BI41" s="397"/>
    </row>
    <row r="42" spans="1:61" s="244" customFormat="1" ht="30" customHeight="1" x14ac:dyDescent="0.25">
      <c r="A42" s="272"/>
      <c r="B42" s="1463" t="s">
        <v>2939</v>
      </c>
      <c r="C42" s="1463"/>
      <c r="D42" s="1463"/>
      <c r="E42" s="1463"/>
      <c r="F42" s="1463"/>
      <c r="G42" s="1463"/>
      <c r="H42" s="1463"/>
      <c r="I42" s="1463"/>
      <c r="J42" s="1463"/>
      <c r="K42" s="1463"/>
      <c r="L42" s="1463"/>
      <c r="M42" s="1463"/>
      <c r="N42" s="1463"/>
      <c r="O42" s="1463"/>
      <c r="P42" s="1463"/>
      <c r="Q42" s="1463"/>
      <c r="R42" s="1463"/>
      <c r="S42" s="1463"/>
      <c r="T42" s="1463"/>
      <c r="U42" s="1463"/>
      <c r="V42" s="1463"/>
      <c r="W42" s="1463"/>
      <c r="X42" s="1463"/>
      <c r="Y42" s="1463"/>
      <c r="Z42" s="1463"/>
      <c r="AA42" s="1463"/>
      <c r="AB42" s="1463"/>
      <c r="AP42" s="8"/>
      <c r="AQ42" s="397"/>
      <c r="AR42" s="397"/>
      <c r="AS42" s="397"/>
      <c r="AT42" s="397"/>
      <c r="AU42" s="397"/>
      <c r="AV42" s="397"/>
      <c r="AW42" s="397"/>
      <c r="AX42" s="397"/>
      <c r="AY42" s="397"/>
      <c r="AZ42" s="397"/>
      <c r="BA42" s="397"/>
      <c r="BB42" s="397"/>
      <c r="BC42" s="397"/>
      <c r="BD42" s="397"/>
      <c r="BE42" s="397"/>
      <c r="BF42" s="397"/>
      <c r="BG42" s="397"/>
      <c r="BH42" s="397"/>
      <c r="BI42" s="397"/>
    </row>
    <row r="43" spans="1:61" s="244" customFormat="1" ht="47.25" customHeight="1" x14ac:dyDescent="0.25">
      <c r="A43" s="272"/>
      <c r="B43" s="1463" t="s">
        <v>1904</v>
      </c>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3"/>
      <c r="AA43" s="1463"/>
      <c r="AB43" s="1463"/>
      <c r="AP43" s="8"/>
      <c r="AQ43" s="397"/>
      <c r="AR43" s="397"/>
      <c r="AS43" s="397"/>
      <c r="AT43" s="397"/>
      <c r="AU43" s="397"/>
      <c r="AV43" s="397"/>
      <c r="AW43" s="397"/>
      <c r="AX43" s="397"/>
      <c r="AY43" s="397"/>
      <c r="AZ43" s="397"/>
      <c r="BA43" s="397"/>
      <c r="BB43" s="397"/>
      <c r="BC43" s="397"/>
      <c r="BD43" s="397"/>
      <c r="BE43" s="397"/>
      <c r="BF43" s="397"/>
      <c r="BG43" s="397"/>
      <c r="BH43" s="397"/>
      <c r="BI43" s="397"/>
    </row>
    <row r="44" spans="1:61" s="244" customFormat="1" ht="45.75" customHeight="1" x14ac:dyDescent="0.25">
      <c r="A44" s="1462" t="s">
        <v>2989</v>
      </c>
      <c r="B44" s="14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2"/>
      <c r="AA44" s="1462"/>
      <c r="AB44" s="1462"/>
      <c r="AP44" s="8"/>
      <c r="AQ44" s="397"/>
      <c r="AR44" s="397"/>
      <c r="AS44" s="397"/>
      <c r="AT44" s="397"/>
      <c r="AU44" s="397"/>
      <c r="AV44" s="397"/>
      <c r="AW44" s="397"/>
      <c r="AX44" s="397"/>
      <c r="AY44" s="397"/>
      <c r="AZ44" s="397"/>
      <c r="BA44" s="397"/>
      <c r="BB44" s="397"/>
      <c r="BC44" s="397"/>
      <c r="BD44" s="397"/>
      <c r="BE44" s="397"/>
      <c r="BF44" s="397"/>
      <c r="BG44" s="397"/>
      <c r="BH44" s="397"/>
      <c r="BI44" s="397"/>
    </row>
    <row r="45" spans="1:61" x14ac:dyDescent="0.25">
      <c r="AP45" s="8"/>
      <c r="AQ45" s="397"/>
      <c r="AR45" s="397"/>
      <c r="AS45" s="397"/>
      <c r="AT45" s="397"/>
      <c r="AU45" s="397"/>
      <c r="AV45" s="397"/>
      <c r="AW45" s="397"/>
      <c r="AX45" s="397"/>
      <c r="AY45" s="397"/>
      <c r="AZ45" s="397"/>
      <c r="BA45" s="397"/>
      <c r="BB45" s="397"/>
      <c r="BC45" s="397"/>
      <c r="BD45" s="397"/>
      <c r="BE45" s="397"/>
      <c r="BF45" s="397"/>
      <c r="BG45" s="397"/>
      <c r="BH45" s="397"/>
      <c r="BI45" s="397"/>
    </row>
    <row r="46" spans="1:61" x14ac:dyDescent="0.25">
      <c r="AP46" s="8"/>
      <c r="AQ46" s="397"/>
      <c r="AR46" s="397"/>
      <c r="AS46" s="397"/>
      <c r="AT46" s="397"/>
      <c r="AU46" s="397"/>
      <c r="AV46" s="397"/>
      <c r="AW46" s="397"/>
      <c r="AX46" s="397"/>
      <c r="AY46" s="397"/>
      <c r="AZ46" s="397"/>
      <c r="BA46" s="397"/>
      <c r="BB46" s="397"/>
      <c r="BC46" s="397"/>
      <c r="BD46" s="397"/>
      <c r="BE46" s="397"/>
      <c r="BF46" s="397"/>
      <c r="BG46" s="397"/>
      <c r="BH46" s="397"/>
      <c r="BI46" s="397"/>
    </row>
    <row r="47" spans="1:61" x14ac:dyDescent="0.25">
      <c r="A47" s="1252" t="s">
        <v>2678</v>
      </c>
      <c r="B47" s="1253"/>
      <c r="C47" s="1253"/>
      <c r="D47" s="1253"/>
      <c r="E47" s="1253"/>
      <c r="F47" s="1253"/>
      <c r="G47" s="1253"/>
      <c r="H47" s="1253"/>
      <c r="I47" s="1253"/>
      <c r="J47" s="1253"/>
      <c r="K47" s="1253"/>
      <c r="L47" s="1253"/>
      <c r="M47" s="1253"/>
      <c r="N47" s="1253"/>
      <c r="O47" s="1253"/>
      <c r="P47" s="1253"/>
      <c r="Q47" s="1253"/>
      <c r="R47" s="1253"/>
      <c r="S47" s="1253"/>
      <c r="T47" s="1253"/>
      <c r="U47" s="1253"/>
      <c r="V47" s="1253"/>
      <c r="W47" s="1253"/>
      <c r="X47" s="1253"/>
      <c r="Y47" s="1253"/>
      <c r="Z47" s="1253"/>
      <c r="AA47" s="1253"/>
      <c r="AB47" s="1253"/>
      <c r="AC47" s="1253"/>
      <c r="AD47" s="1253"/>
      <c r="AE47" s="1253"/>
      <c r="AF47" s="1254"/>
      <c r="AP47" s="397"/>
      <c r="AQ47" s="397"/>
      <c r="AR47" s="397"/>
      <c r="AS47" s="397"/>
      <c r="AT47" s="397"/>
      <c r="AU47" s="397"/>
      <c r="AV47" s="397"/>
      <c r="AW47" s="397"/>
      <c r="AX47" s="397"/>
      <c r="AY47" s="397"/>
      <c r="AZ47" s="397"/>
      <c r="BA47" s="397"/>
      <c r="BB47" s="397"/>
      <c r="BC47" s="397"/>
      <c r="BD47" s="397"/>
      <c r="BE47" s="397"/>
      <c r="BF47" s="397"/>
      <c r="BG47" s="397"/>
      <c r="BH47" s="397"/>
      <c r="BI47" s="397"/>
    </row>
    <row r="49" spans="1:57" ht="49.5" customHeight="1" x14ac:dyDescent="0.25">
      <c r="A49" s="1142" t="s">
        <v>2677</v>
      </c>
      <c r="B49" s="1142"/>
      <c r="C49" s="1142"/>
      <c r="D49" s="1142"/>
      <c r="E49" s="1142"/>
      <c r="F49" s="1142"/>
      <c r="G49" s="1142"/>
      <c r="H49" s="1142"/>
      <c r="I49" s="1142"/>
      <c r="J49" s="1142"/>
      <c r="K49" s="1142"/>
      <c r="L49" s="1142"/>
      <c r="M49" s="1142"/>
      <c r="N49" s="1142"/>
      <c r="O49" s="1142"/>
      <c r="P49" s="1142"/>
      <c r="Q49" s="1142"/>
      <c r="R49" s="1142"/>
      <c r="S49" s="1142"/>
      <c r="T49" s="1142"/>
      <c r="U49" s="1142"/>
      <c r="V49" s="1142"/>
      <c r="W49" s="1142"/>
      <c r="X49" s="1142"/>
      <c r="Y49" s="1142"/>
      <c r="Z49" s="1142"/>
      <c r="AA49" s="1142"/>
      <c r="AB49" s="1142"/>
      <c r="AC49" s="1142"/>
      <c r="AD49" s="1142"/>
      <c r="AE49" s="1142"/>
      <c r="AF49" s="1142"/>
    </row>
    <row r="51" spans="1:57" s="8" customFormat="1" x14ac:dyDescent="0.25">
      <c r="A51" s="1167" t="s">
        <v>2681</v>
      </c>
      <c r="B51" s="1422"/>
      <c r="C51" s="1422"/>
      <c r="D51" s="1422"/>
      <c r="E51" s="1422"/>
      <c r="F51" s="1422"/>
      <c r="G51" s="1422"/>
      <c r="H51" s="1422"/>
      <c r="I51" s="1422"/>
      <c r="J51" s="1422"/>
      <c r="K51" s="1422"/>
      <c r="L51" s="1422"/>
      <c r="M51" s="1422"/>
      <c r="N51" s="1422"/>
      <c r="O51" s="1422"/>
      <c r="P51" s="1422"/>
      <c r="Q51" s="1422"/>
      <c r="R51" s="1422"/>
      <c r="S51" s="1422"/>
      <c r="T51" s="1422"/>
      <c r="U51" s="1422"/>
      <c r="V51" s="1422"/>
      <c r="W51" s="1422"/>
      <c r="X51" s="1422"/>
      <c r="Y51" s="1422"/>
      <c r="Z51" s="1422"/>
      <c r="AA51" s="1422"/>
      <c r="AB51" s="1422"/>
      <c r="AC51" s="1422"/>
      <c r="AD51" s="1422"/>
      <c r="AE51" s="1422"/>
      <c r="AF51" s="1422"/>
    </row>
    <row r="52" spans="1:57" x14ac:dyDescent="0.25">
      <c r="A52" s="1457" t="s">
        <v>54</v>
      </c>
      <c r="B52" s="1458"/>
      <c r="C52" s="1458"/>
      <c r="D52" s="1458"/>
      <c r="E52" s="1458"/>
      <c r="F52" s="1458"/>
      <c r="G52" s="1458"/>
      <c r="H52" s="1459"/>
      <c r="I52" s="1435" t="s">
        <v>257</v>
      </c>
      <c r="J52" s="1435"/>
      <c r="K52" s="1435"/>
      <c r="L52" s="1435"/>
      <c r="M52" s="1435" t="s">
        <v>29</v>
      </c>
      <c r="N52" s="1435"/>
      <c r="O52" s="1435"/>
      <c r="P52" s="1435"/>
    </row>
    <row r="53" spans="1:57" x14ac:dyDescent="0.25">
      <c r="A53" s="1453" t="s">
        <v>2683</v>
      </c>
      <c r="B53" s="1454"/>
      <c r="C53" s="1454"/>
      <c r="D53" s="1454"/>
      <c r="E53" s="1454"/>
      <c r="F53" s="1454"/>
      <c r="G53" s="1454"/>
      <c r="H53" s="1455"/>
      <c r="I53" s="1429">
        <v>2594</v>
      </c>
      <c r="J53" s="1430"/>
      <c r="K53" s="1430"/>
      <c r="L53" s="1431"/>
      <c r="M53" s="1432">
        <v>0.38</v>
      </c>
      <c r="N53" s="1433"/>
      <c r="O53" s="1433"/>
      <c r="P53" s="1434"/>
    </row>
    <row r="54" spans="1:57" x14ac:dyDescent="0.25">
      <c r="A54" s="1453" t="s">
        <v>221</v>
      </c>
      <c r="B54" s="1454"/>
      <c r="C54" s="1454"/>
      <c r="D54" s="1454"/>
      <c r="E54" s="1454"/>
      <c r="F54" s="1454"/>
      <c r="G54" s="1454"/>
      <c r="H54" s="1455"/>
      <c r="I54" s="1429" t="s">
        <v>2075</v>
      </c>
      <c r="J54" s="1430"/>
      <c r="K54" s="1430"/>
      <c r="L54" s="1431"/>
      <c r="M54" s="1432" t="s">
        <v>2075</v>
      </c>
      <c r="N54" s="1433"/>
      <c r="O54" s="1433"/>
      <c r="P54" s="1434"/>
    </row>
    <row r="55" spans="1:57" x14ac:dyDescent="0.25">
      <c r="A55" s="1453" t="s">
        <v>222</v>
      </c>
      <c r="B55" s="1454"/>
      <c r="C55" s="1454"/>
      <c r="D55" s="1454"/>
      <c r="E55" s="1454"/>
      <c r="F55" s="1454"/>
      <c r="G55" s="1454"/>
      <c r="H55" s="1455"/>
      <c r="I55" s="1429">
        <v>2549</v>
      </c>
      <c r="J55" s="1430"/>
      <c r="K55" s="1430"/>
      <c r="L55" s="1431"/>
      <c r="M55" s="1432">
        <v>0.43</v>
      </c>
      <c r="N55" s="1433"/>
      <c r="O55" s="1433"/>
      <c r="P55" s="1434"/>
    </row>
    <row r="56" spans="1:57" x14ac:dyDescent="0.25">
      <c r="A56" s="1453" t="s">
        <v>223</v>
      </c>
      <c r="B56" s="1454"/>
      <c r="C56" s="1454"/>
      <c r="D56" s="1454"/>
      <c r="E56" s="1454"/>
      <c r="F56" s="1454"/>
      <c r="G56" s="1454"/>
      <c r="H56" s="1455"/>
      <c r="I56" s="1429">
        <v>1531</v>
      </c>
      <c r="J56" s="1430"/>
      <c r="K56" s="1430"/>
      <c r="L56" s="1431"/>
      <c r="M56" s="1432">
        <v>0.27</v>
      </c>
      <c r="N56" s="1433"/>
      <c r="O56" s="1433"/>
      <c r="P56" s="1434"/>
    </row>
    <row r="57" spans="1:57" x14ac:dyDescent="0.25">
      <c r="A57" s="1453" t="s">
        <v>224</v>
      </c>
      <c r="B57" s="1454"/>
      <c r="C57" s="1454"/>
      <c r="D57" s="1454"/>
      <c r="E57" s="1454"/>
      <c r="F57" s="1454"/>
      <c r="G57" s="1454"/>
      <c r="H57" s="1455"/>
      <c r="I57" s="1429">
        <v>4891</v>
      </c>
      <c r="J57" s="1430"/>
      <c r="K57" s="1430"/>
      <c r="L57" s="1431"/>
      <c r="M57" s="1432">
        <v>0.55000000000000004</v>
      </c>
      <c r="N57" s="1433"/>
      <c r="O57" s="1433"/>
      <c r="P57" s="1434"/>
    </row>
    <row r="58" spans="1:57" x14ac:dyDescent="0.25">
      <c r="A58" s="1453" t="s">
        <v>225</v>
      </c>
      <c r="B58" s="1454"/>
      <c r="C58" s="1454"/>
      <c r="D58" s="1454"/>
      <c r="E58" s="1454"/>
      <c r="F58" s="1454"/>
      <c r="G58" s="1454"/>
      <c r="H58" s="1455"/>
      <c r="I58" s="1429">
        <v>4910</v>
      </c>
      <c r="J58" s="1430"/>
      <c r="K58" s="1430"/>
      <c r="L58" s="1431"/>
      <c r="M58" s="1432">
        <v>0.6</v>
      </c>
      <c r="N58" s="1433"/>
      <c r="O58" s="1433"/>
      <c r="P58" s="1434"/>
    </row>
    <row r="59" spans="1:57" x14ac:dyDescent="0.25">
      <c r="A59" s="1453" t="s">
        <v>226</v>
      </c>
      <c r="B59" s="1454"/>
      <c r="C59" s="1454"/>
      <c r="D59" s="1454"/>
      <c r="E59" s="1454"/>
      <c r="F59" s="1454"/>
      <c r="G59" s="1454"/>
      <c r="H59" s="1455"/>
      <c r="I59" s="1429" t="s">
        <v>2075</v>
      </c>
      <c r="J59" s="1430"/>
      <c r="K59" s="1430"/>
      <c r="L59" s="1431"/>
      <c r="M59" s="1432" t="s">
        <v>2075</v>
      </c>
      <c r="N59" s="1433"/>
      <c r="O59" s="1433"/>
      <c r="P59" s="1434"/>
    </row>
    <row r="60" spans="1:57" x14ac:dyDescent="0.25">
      <c r="A60" s="1453" t="s">
        <v>55</v>
      </c>
      <c r="B60" s="1454"/>
      <c r="C60" s="1454"/>
      <c r="D60" s="1454"/>
      <c r="E60" s="1454"/>
      <c r="F60" s="1454"/>
      <c r="G60" s="1454"/>
      <c r="H60" s="1455"/>
      <c r="I60" s="1429">
        <v>2754</v>
      </c>
      <c r="J60" s="1430"/>
      <c r="K60" s="1430"/>
      <c r="L60" s="1431"/>
      <c r="M60" s="1432">
        <v>0.48</v>
      </c>
      <c r="N60" s="1433"/>
      <c r="O60" s="1433"/>
      <c r="P60" s="1434"/>
    </row>
    <row r="61" spans="1:57" x14ac:dyDescent="0.25">
      <c r="A61" s="1453" t="s">
        <v>227</v>
      </c>
      <c r="B61" s="1454"/>
      <c r="C61" s="1454"/>
      <c r="D61" s="1454"/>
      <c r="E61" s="1454"/>
      <c r="F61" s="1454"/>
      <c r="G61" s="1454"/>
      <c r="H61" s="1455"/>
      <c r="I61" s="1429">
        <v>2451</v>
      </c>
      <c r="J61" s="1430"/>
      <c r="K61" s="1430"/>
      <c r="L61" s="1431"/>
      <c r="M61" s="1432">
        <v>0.4</v>
      </c>
      <c r="N61" s="1433"/>
      <c r="O61" s="1433"/>
      <c r="P61" s="1434"/>
    </row>
    <row r="62" spans="1:57" x14ac:dyDescent="0.25">
      <c r="A62" s="1453" t="s">
        <v>228</v>
      </c>
      <c r="B62" s="1454"/>
      <c r="C62" s="1454"/>
      <c r="D62" s="1454"/>
      <c r="E62" s="1454"/>
      <c r="F62" s="1454"/>
      <c r="G62" s="1454"/>
      <c r="H62" s="1455"/>
      <c r="I62" s="1429">
        <v>1913</v>
      </c>
      <c r="J62" s="1430"/>
      <c r="K62" s="1430"/>
      <c r="L62" s="1431"/>
      <c r="M62" s="1432">
        <v>0.28999999999999998</v>
      </c>
      <c r="N62" s="1433"/>
      <c r="O62" s="1433"/>
      <c r="P62" s="1434"/>
    </row>
    <row r="63" spans="1:57" x14ac:dyDescent="0.25">
      <c r="A63" s="1453" t="s">
        <v>229</v>
      </c>
      <c r="B63" s="1454"/>
      <c r="C63" s="1454"/>
      <c r="D63" s="1454"/>
      <c r="E63" s="1454"/>
      <c r="F63" s="1454"/>
      <c r="G63" s="1454"/>
      <c r="H63" s="1455"/>
      <c r="I63" s="1429">
        <v>1033</v>
      </c>
      <c r="J63" s="1430"/>
      <c r="K63" s="1430"/>
      <c r="L63" s="1431"/>
      <c r="M63" s="1432">
        <v>0.01</v>
      </c>
      <c r="N63" s="1433"/>
      <c r="O63" s="1433"/>
      <c r="P63" s="1434"/>
    </row>
    <row r="64" spans="1:57" x14ac:dyDescent="0.25">
      <c r="A64" s="1456" t="s">
        <v>2684</v>
      </c>
      <c r="B64" s="1456"/>
      <c r="C64" s="1456"/>
      <c r="D64" s="1456"/>
      <c r="E64" s="1456"/>
      <c r="F64" s="1456"/>
      <c r="G64" s="1456"/>
      <c r="H64" s="1456"/>
      <c r="I64" s="1456"/>
      <c r="J64" s="1456"/>
      <c r="K64" s="1456"/>
      <c r="L64" s="1456"/>
      <c r="M64" s="1456"/>
      <c r="N64" s="1456"/>
      <c r="O64" s="1456"/>
      <c r="P64" s="1456"/>
      <c r="Q64" s="1456"/>
      <c r="R64" s="1456"/>
      <c r="S64" s="1456"/>
      <c r="T64" s="1456"/>
      <c r="U64" s="1456"/>
      <c r="V64" s="1456"/>
      <c r="W64" s="1456"/>
      <c r="X64" s="1456"/>
      <c r="Y64" s="1456"/>
      <c r="Z64" s="1456"/>
      <c r="AA64" s="1456"/>
      <c r="AB64" s="1456"/>
      <c r="AC64" s="1456"/>
      <c r="AD64" s="1456"/>
      <c r="AE64" s="1456"/>
      <c r="AF64" s="1456"/>
      <c r="AG64" s="263"/>
      <c r="AH64" s="263"/>
      <c r="AI64" s="263"/>
      <c r="AJ64" s="263"/>
      <c r="AK64" s="263"/>
      <c r="AL64" s="263"/>
      <c r="AM64" s="263"/>
      <c r="AN64" s="478"/>
      <c r="AO64" s="478"/>
      <c r="AP64" s="478"/>
      <c r="AQ64" s="478"/>
      <c r="AR64" s="478"/>
      <c r="AS64" s="478"/>
      <c r="AT64" s="478"/>
      <c r="AU64" s="478"/>
      <c r="AV64" s="478"/>
      <c r="AW64" s="479"/>
      <c r="AX64" s="479"/>
      <c r="AY64" s="479"/>
      <c r="AZ64" s="479"/>
      <c r="BA64" s="479"/>
      <c r="BB64" s="479"/>
      <c r="BC64" s="479"/>
      <c r="BD64" s="479"/>
      <c r="BE64" s="479"/>
    </row>
    <row r="65" spans="1:58" ht="29.25" customHeight="1" x14ac:dyDescent="0.25">
      <c r="A65" s="1238" t="s">
        <v>2940</v>
      </c>
      <c r="B65" s="1238"/>
      <c r="C65" s="1238"/>
      <c r="D65" s="1238"/>
      <c r="E65" s="1238"/>
      <c r="F65" s="1238"/>
      <c r="G65" s="1238"/>
      <c r="H65" s="1238"/>
      <c r="I65" s="1238"/>
      <c r="J65" s="1238"/>
      <c r="K65" s="1238"/>
      <c r="L65" s="1238"/>
      <c r="M65" s="1238"/>
      <c r="N65" s="1238"/>
      <c r="O65" s="1238"/>
      <c r="P65" s="1238"/>
      <c r="Q65" s="1238"/>
      <c r="R65" s="1238"/>
      <c r="S65" s="1238"/>
      <c r="T65" s="1238"/>
      <c r="U65" s="1238"/>
      <c r="V65" s="1238"/>
      <c r="W65" s="1238"/>
      <c r="X65" s="1238"/>
      <c r="Y65" s="1238"/>
      <c r="Z65" s="1238"/>
      <c r="AA65" s="1238"/>
      <c r="AB65" s="1238"/>
      <c r="AC65" s="1238"/>
      <c r="AD65" s="1238"/>
      <c r="AE65" s="1238"/>
      <c r="AF65" s="1238"/>
      <c r="AG65" s="31"/>
      <c r="AH65" s="31"/>
      <c r="AI65" s="31"/>
      <c r="AJ65" s="31"/>
      <c r="AK65" s="31"/>
      <c r="AL65" s="31"/>
      <c r="AM65" s="31"/>
      <c r="AN65" s="31"/>
      <c r="AO65" s="31"/>
      <c r="AP65" s="31"/>
      <c r="AQ65" s="31"/>
      <c r="AR65" s="31"/>
      <c r="AS65" s="31"/>
    </row>
    <row r="67" spans="1:58" x14ac:dyDescent="0.25">
      <c r="A67" s="1252" t="s">
        <v>2679</v>
      </c>
      <c r="B67" s="1253"/>
      <c r="C67" s="1253"/>
      <c r="D67" s="1253"/>
      <c r="E67" s="1253"/>
      <c r="F67" s="1253"/>
      <c r="G67" s="1253"/>
      <c r="H67" s="1253"/>
      <c r="I67" s="1253"/>
      <c r="J67" s="1253"/>
      <c r="K67" s="1253"/>
      <c r="L67" s="1253"/>
      <c r="M67" s="1253"/>
      <c r="N67" s="1253"/>
      <c r="O67" s="1253"/>
      <c r="P67" s="1253"/>
      <c r="Q67" s="1253"/>
      <c r="R67" s="1253"/>
      <c r="S67" s="1253"/>
      <c r="T67" s="1253"/>
      <c r="U67" s="1253"/>
      <c r="V67" s="1253"/>
      <c r="W67" s="1253"/>
      <c r="X67" s="1253"/>
      <c r="Y67" s="1253"/>
      <c r="Z67" s="1253"/>
      <c r="AA67" s="1253"/>
      <c r="AB67" s="1253"/>
      <c r="AC67" s="1253"/>
      <c r="AD67" s="1253"/>
      <c r="AE67" s="1253"/>
      <c r="AF67" s="1254"/>
    </row>
    <row r="69" spans="1:58" ht="62.25" customHeight="1" x14ac:dyDescent="0.25">
      <c r="A69" s="1142" t="s">
        <v>2680</v>
      </c>
      <c r="B69" s="1142"/>
      <c r="C69" s="1142"/>
      <c r="D69" s="1142"/>
      <c r="E69" s="1142"/>
      <c r="F69" s="1142"/>
      <c r="G69" s="1142"/>
      <c r="H69" s="1142"/>
      <c r="I69" s="1142"/>
      <c r="J69" s="1142"/>
      <c r="K69" s="1142"/>
      <c r="L69" s="1142"/>
      <c r="M69" s="1142"/>
      <c r="N69" s="1142"/>
      <c r="O69" s="1142"/>
      <c r="P69" s="1142"/>
      <c r="Q69" s="1142"/>
      <c r="R69" s="1142"/>
      <c r="S69" s="1142"/>
      <c r="T69" s="1142"/>
      <c r="U69" s="1142"/>
      <c r="V69" s="1142"/>
      <c r="W69" s="1142"/>
      <c r="X69" s="1142"/>
      <c r="Y69" s="1142"/>
      <c r="Z69" s="1142"/>
      <c r="AA69" s="1142"/>
      <c r="AB69" s="1142"/>
      <c r="AC69" s="1142"/>
      <c r="AD69" s="1142"/>
      <c r="AE69" s="1142"/>
      <c r="AF69" s="1142"/>
    </row>
    <row r="71" spans="1:58" s="8" customFormat="1" x14ac:dyDescent="0.25">
      <c r="A71" s="1167" t="s">
        <v>2682</v>
      </c>
      <c r="B71" s="1422"/>
      <c r="C71" s="1422"/>
      <c r="D71" s="1422"/>
      <c r="E71" s="1422"/>
      <c r="F71" s="1422"/>
      <c r="G71" s="1422"/>
      <c r="H71" s="1422"/>
      <c r="I71" s="1422"/>
      <c r="J71" s="1422"/>
      <c r="K71" s="1422"/>
      <c r="L71" s="1422"/>
      <c r="M71" s="1422"/>
      <c r="N71" s="1422"/>
      <c r="O71" s="1422"/>
      <c r="P71" s="1422"/>
      <c r="Q71" s="1422"/>
      <c r="R71" s="1422"/>
      <c r="S71" s="1422"/>
      <c r="T71" s="1422"/>
      <c r="U71" s="1422"/>
      <c r="V71" s="1422"/>
      <c r="W71" s="1422"/>
      <c r="X71" s="1422"/>
      <c r="Y71" s="1422"/>
      <c r="Z71" s="1422"/>
      <c r="AA71" s="1422"/>
      <c r="AB71" s="1422"/>
      <c r="AC71" s="1422"/>
      <c r="AD71" s="1422"/>
      <c r="AE71" s="1422"/>
      <c r="AF71" s="1422"/>
    </row>
    <row r="72" spans="1:58" x14ac:dyDescent="0.25">
      <c r="A72" s="1457" t="s">
        <v>54</v>
      </c>
      <c r="B72" s="1458"/>
      <c r="C72" s="1458"/>
      <c r="D72" s="1458"/>
      <c r="E72" s="1458"/>
      <c r="F72" s="1458"/>
      <c r="G72" s="1458"/>
      <c r="H72" s="1459"/>
      <c r="I72" s="1435" t="s">
        <v>257</v>
      </c>
      <c r="J72" s="1435"/>
      <c r="K72" s="1435"/>
      <c r="L72" s="1435"/>
      <c r="M72" s="1435" t="s">
        <v>29</v>
      </c>
      <c r="N72" s="1435"/>
      <c r="O72" s="1435"/>
      <c r="P72" s="1435"/>
      <c r="AH72" s="23"/>
      <c r="AI72" s="23"/>
      <c r="AJ72" s="23"/>
      <c r="AK72" s="23"/>
      <c r="AL72" s="23"/>
      <c r="AM72" s="23"/>
      <c r="AN72" s="23"/>
      <c r="AO72" s="23"/>
      <c r="AP72" s="23"/>
      <c r="AQ72" s="23"/>
      <c r="AR72" s="482"/>
      <c r="AS72" s="482"/>
      <c r="AT72" s="482"/>
      <c r="AU72" s="482"/>
      <c r="AV72" s="482"/>
      <c r="AW72" s="23"/>
      <c r="AX72" s="23"/>
      <c r="AY72" s="23"/>
      <c r="AZ72" s="23"/>
      <c r="BA72" s="23"/>
      <c r="BB72" s="23"/>
      <c r="BC72" s="23"/>
      <c r="BD72" s="23"/>
      <c r="BE72" s="23"/>
      <c r="BF72" s="23"/>
    </row>
    <row r="73" spans="1:58" x14ac:dyDescent="0.25">
      <c r="A73" s="1453" t="s">
        <v>2683</v>
      </c>
      <c r="B73" s="1454"/>
      <c r="C73" s="1454"/>
      <c r="D73" s="1454"/>
      <c r="E73" s="1454"/>
      <c r="F73" s="1454"/>
      <c r="G73" s="1454"/>
      <c r="H73" s="1455"/>
      <c r="I73" s="1448">
        <v>2322</v>
      </c>
      <c r="J73" s="1449"/>
      <c r="K73" s="1449"/>
      <c r="L73" s="1450"/>
      <c r="M73" s="1451">
        <v>0.28999999999999998</v>
      </c>
      <c r="N73" s="1452"/>
      <c r="O73" s="1452"/>
      <c r="P73" s="1452"/>
      <c r="AR73" s="332"/>
      <c r="AS73" s="332"/>
      <c r="AT73" s="332"/>
      <c r="AU73" s="332"/>
      <c r="AV73" s="332"/>
      <c r="AW73" s="480"/>
      <c r="AX73" s="480"/>
      <c r="AY73" s="480"/>
      <c r="AZ73" s="480"/>
      <c r="BA73" s="480"/>
      <c r="BB73" s="481"/>
      <c r="BC73" s="481"/>
      <c r="BD73" s="481"/>
      <c r="BE73" s="481"/>
      <c r="BF73" s="481"/>
    </row>
    <row r="74" spans="1:58" x14ac:dyDescent="0.25">
      <c r="A74" s="1453" t="s">
        <v>221</v>
      </c>
      <c r="B74" s="1454"/>
      <c r="C74" s="1454"/>
      <c r="D74" s="1454"/>
      <c r="E74" s="1454"/>
      <c r="F74" s="1454"/>
      <c r="G74" s="1454"/>
      <c r="H74" s="1455"/>
      <c r="I74" s="1429" t="s">
        <v>2075</v>
      </c>
      <c r="J74" s="1430"/>
      <c r="K74" s="1430"/>
      <c r="L74" s="1431"/>
      <c r="M74" s="1429" t="s">
        <v>2075</v>
      </c>
      <c r="N74" s="1430"/>
      <c r="O74" s="1430"/>
      <c r="P74" s="1431"/>
      <c r="AR74" s="332"/>
      <c r="AS74" s="332"/>
      <c r="AT74" s="332"/>
      <c r="AU74" s="332"/>
      <c r="AV74" s="332"/>
      <c r="AW74" s="480"/>
      <c r="AX74" s="480"/>
      <c r="AY74" s="480"/>
      <c r="AZ74" s="480"/>
      <c r="BA74" s="480"/>
      <c r="BB74" s="481"/>
      <c r="BC74" s="481"/>
      <c r="BD74" s="481"/>
      <c r="BE74" s="481"/>
      <c r="BF74" s="481"/>
    </row>
    <row r="75" spans="1:58" x14ac:dyDescent="0.25">
      <c r="A75" s="1453" t="s">
        <v>222</v>
      </c>
      <c r="B75" s="1454"/>
      <c r="C75" s="1454"/>
      <c r="D75" s="1454"/>
      <c r="E75" s="1454"/>
      <c r="F75" s="1454"/>
      <c r="G75" s="1454"/>
      <c r="H75" s="1455"/>
      <c r="I75" s="1448">
        <v>1916</v>
      </c>
      <c r="J75" s="1449"/>
      <c r="K75" s="1449"/>
      <c r="L75" s="1450"/>
      <c r="M75" s="1451">
        <v>0.25</v>
      </c>
      <c r="N75" s="1452"/>
      <c r="O75" s="1452"/>
      <c r="P75" s="1452"/>
      <c r="AR75" s="332"/>
      <c r="AS75" s="332"/>
      <c r="AT75" s="332"/>
      <c r="AU75" s="332"/>
      <c r="AV75" s="332"/>
      <c r="AW75" s="480"/>
      <c r="AX75" s="480"/>
      <c r="AY75" s="480"/>
      <c r="AZ75" s="480"/>
      <c r="BA75" s="480"/>
      <c r="BB75" s="481"/>
      <c r="BC75" s="481"/>
      <c r="BD75" s="481"/>
      <c r="BE75" s="481"/>
      <c r="BF75" s="481"/>
    </row>
    <row r="76" spans="1:58" x14ac:dyDescent="0.25">
      <c r="A76" s="1453" t="s">
        <v>223</v>
      </c>
      <c r="B76" s="1454"/>
      <c r="C76" s="1454"/>
      <c r="D76" s="1454"/>
      <c r="E76" s="1454"/>
      <c r="F76" s="1454"/>
      <c r="G76" s="1454"/>
      <c r="H76" s="1455"/>
      <c r="I76" s="1448">
        <v>4406</v>
      </c>
      <c r="J76" s="1449"/>
      <c r="K76" s="1449"/>
      <c r="L76" s="1450"/>
      <c r="M76" s="1451">
        <v>0.6</v>
      </c>
      <c r="N76" s="1452"/>
      <c r="O76" s="1452"/>
      <c r="P76" s="1452"/>
      <c r="AR76" s="332"/>
      <c r="AS76" s="332"/>
      <c r="AT76" s="332"/>
      <c r="AU76" s="332"/>
      <c r="AV76" s="332"/>
      <c r="AW76" s="480"/>
      <c r="AX76" s="480"/>
      <c r="AY76" s="480"/>
      <c r="AZ76" s="480"/>
      <c r="BA76" s="480"/>
      <c r="BB76" s="481"/>
      <c r="BC76" s="481"/>
      <c r="BD76" s="481"/>
      <c r="BE76" s="481"/>
      <c r="BF76" s="481"/>
    </row>
    <row r="77" spans="1:58" x14ac:dyDescent="0.25">
      <c r="A77" s="1453" t="s">
        <v>224</v>
      </c>
      <c r="B77" s="1454"/>
      <c r="C77" s="1454"/>
      <c r="D77" s="1454"/>
      <c r="E77" s="1454"/>
      <c r="F77" s="1454"/>
      <c r="G77" s="1454"/>
      <c r="H77" s="1455"/>
      <c r="I77" s="1448">
        <v>2247</v>
      </c>
      <c r="J77" s="1449"/>
      <c r="K77" s="1449"/>
      <c r="L77" s="1450"/>
      <c r="M77" s="1451">
        <v>0.2</v>
      </c>
      <c r="N77" s="1452"/>
      <c r="O77" s="1452"/>
      <c r="P77" s="1452"/>
      <c r="AR77" s="332"/>
      <c r="AS77" s="332"/>
      <c r="AT77" s="332"/>
      <c r="AU77" s="332"/>
      <c r="AV77" s="332"/>
      <c r="AW77" s="480"/>
      <c r="AX77" s="480"/>
      <c r="AY77" s="480"/>
      <c r="AZ77" s="480"/>
      <c r="BA77" s="480"/>
      <c r="BB77" s="481"/>
      <c r="BC77" s="481"/>
      <c r="BD77" s="481"/>
      <c r="BE77" s="481"/>
      <c r="BF77" s="481"/>
    </row>
    <row r="78" spans="1:58" x14ac:dyDescent="0.25">
      <c r="A78" s="1453" t="s">
        <v>225</v>
      </c>
      <c r="B78" s="1454"/>
      <c r="C78" s="1454"/>
      <c r="D78" s="1454"/>
      <c r="E78" s="1454"/>
      <c r="F78" s="1454"/>
      <c r="G78" s="1454"/>
      <c r="H78" s="1455"/>
      <c r="I78" s="1448">
        <v>3008</v>
      </c>
      <c r="J78" s="1449"/>
      <c r="K78" s="1449"/>
      <c r="L78" s="1450"/>
      <c r="M78" s="1451">
        <v>0.35</v>
      </c>
      <c r="N78" s="1452"/>
      <c r="O78" s="1452"/>
      <c r="P78" s="1452"/>
      <c r="AR78" s="332"/>
      <c r="AS78" s="332"/>
      <c r="AT78" s="332"/>
      <c r="AU78" s="332"/>
      <c r="AV78" s="332"/>
      <c r="AW78" s="480"/>
      <c r="AX78" s="480"/>
      <c r="AY78" s="480"/>
      <c r="AZ78" s="480"/>
      <c r="BA78" s="480"/>
      <c r="BB78" s="481"/>
      <c r="BC78" s="481"/>
      <c r="BD78" s="481"/>
      <c r="BE78" s="481"/>
      <c r="BF78" s="481"/>
    </row>
    <row r="79" spans="1:58" x14ac:dyDescent="0.25">
      <c r="A79" s="1453" t="s">
        <v>226</v>
      </c>
      <c r="B79" s="1454"/>
      <c r="C79" s="1454"/>
      <c r="D79" s="1454"/>
      <c r="E79" s="1454"/>
      <c r="F79" s="1454"/>
      <c r="G79" s="1454"/>
      <c r="H79" s="1455"/>
      <c r="I79" s="1429" t="s">
        <v>2075</v>
      </c>
      <c r="J79" s="1430"/>
      <c r="K79" s="1430"/>
      <c r="L79" s="1431"/>
      <c r="M79" s="1429" t="s">
        <v>2075</v>
      </c>
      <c r="N79" s="1430"/>
      <c r="O79" s="1430"/>
      <c r="P79" s="1431"/>
      <c r="AR79" s="332"/>
      <c r="AS79" s="332"/>
      <c r="AT79" s="332"/>
      <c r="AU79" s="332"/>
      <c r="AV79" s="332"/>
      <c r="AW79" s="480"/>
      <c r="AX79" s="480"/>
      <c r="AY79" s="480"/>
      <c r="AZ79" s="480"/>
      <c r="BA79" s="480"/>
      <c r="BB79" s="481"/>
      <c r="BC79" s="481"/>
      <c r="BD79" s="481"/>
      <c r="BE79" s="481"/>
      <c r="BF79" s="481"/>
    </row>
    <row r="80" spans="1:58" x14ac:dyDescent="0.25">
      <c r="A80" s="1453" t="s">
        <v>55</v>
      </c>
      <c r="B80" s="1454"/>
      <c r="C80" s="1454"/>
      <c r="D80" s="1454"/>
      <c r="E80" s="1454"/>
      <c r="F80" s="1454"/>
      <c r="G80" s="1454"/>
      <c r="H80" s="1455"/>
      <c r="I80" s="1448">
        <v>2632</v>
      </c>
      <c r="J80" s="1449"/>
      <c r="K80" s="1449"/>
      <c r="L80" s="1450"/>
      <c r="M80" s="1451">
        <v>0.3</v>
      </c>
      <c r="N80" s="1452"/>
      <c r="O80" s="1452"/>
      <c r="P80" s="1452"/>
      <c r="AR80" s="332"/>
      <c r="AS80" s="332"/>
      <c r="AT80" s="332"/>
      <c r="AU80" s="332"/>
      <c r="AV80" s="332"/>
      <c r="AW80" s="480"/>
      <c r="AX80" s="480"/>
      <c r="AY80" s="480"/>
      <c r="AZ80" s="480"/>
      <c r="BA80" s="480"/>
      <c r="BB80" s="481"/>
      <c r="BC80" s="481"/>
      <c r="BD80" s="481"/>
      <c r="BE80" s="481"/>
      <c r="BF80" s="481"/>
    </row>
    <row r="81" spans="1:58" x14ac:dyDescent="0.25">
      <c r="A81" s="1453" t="s">
        <v>227</v>
      </c>
      <c r="B81" s="1454"/>
      <c r="C81" s="1454"/>
      <c r="D81" s="1454"/>
      <c r="E81" s="1454"/>
      <c r="F81" s="1454"/>
      <c r="G81" s="1454"/>
      <c r="H81" s="1455"/>
      <c r="I81" s="1448">
        <v>3947</v>
      </c>
      <c r="J81" s="1449"/>
      <c r="K81" s="1449"/>
      <c r="L81" s="1450"/>
      <c r="M81" s="1451">
        <v>0.74</v>
      </c>
      <c r="N81" s="1452"/>
      <c r="O81" s="1452"/>
      <c r="P81" s="1452"/>
      <c r="AR81" s="332"/>
      <c r="AS81" s="332"/>
      <c r="AT81" s="332"/>
      <c r="AU81" s="332"/>
      <c r="AV81" s="332"/>
      <c r="AW81" s="480"/>
      <c r="AX81" s="480"/>
      <c r="AY81" s="480"/>
      <c r="AZ81" s="480"/>
      <c r="BA81" s="480"/>
      <c r="BB81" s="481"/>
      <c r="BC81" s="481"/>
      <c r="BD81" s="481"/>
      <c r="BE81" s="481"/>
      <c r="BF81" s="481"/>
    </row>
    <row r="82" spans="1:58" x14ac:dyDescent="0.25">
      <c r="A82" s="1453" t="s">
        <v>228</v>
      </c>
      <c r="B82" s="1454"/>
      <c r="C82" s="1454"/>
      <c r="D82" s="1454"/>
      <c r="E82" s="1454"/>
      <c r="F82" s="1454"/>
      <c r="G82" s="1454"/>
      <c r="H82" s="1455"/>
      <c r="I82" s="1429" t="s">
        <v>2075</v>
      </c>
      <c r="J82" s="1430"/>
      <c r="K82" s="1430"/>
      <c r="L82" s="1431"/>
      <c r="M82" s="1429" t="s">
        <v>2075</v>
      </c>
      <c r="N82" s="1430"/>
      <c r="O82" s="1430"/>
      <c r="P82" s="1431"/>
      <c r="AR82" s="332"/>
      <c r="AS82" s="332"/>
      <c r="AT82" s="332"/>
      <c r="AU82" s="332"/>
      <c r="AV82" s="332"/>
      <c r="AW82" s="480"/>
      <c r="AX82" s="480"/>
      <c r="AY82" s="480"/>
      <c r="AZ82" s="480"/>
      <c r="BA82" s="480"/>
      <c r="BB82" s="481"/>
      <c r="BC82" s="481"/>
      <c r="BD82" s="481"/>
      <c r="BE82" s="481"/>
      <c r="BF82" s="481"/>
    </row>
    <row r="83" spans="1:58" x14ac:dyDescent="0.25">
      <c r="A83" s="1453" t="s">
        <v>229</v>
      </c>
      <c r="B83" s="1454"/>
      <c r="C83" s="1454"/>
      <c r="D83" s="1454"/>
      <c r="E83" s="1454"/>
      <c r="F83" s="1454"/>
      <c r="G83" s="1454"/>
      <c r="H83" s="1455"/>
      <c r="I83" s="1429" t="s">
        <v>2075</v>
      </c>
      <c r="J83" s="1430"/>
      <c r="K83" s="1430"/>
      <c r="L83" s="1431"/>
      <c r="M83" s="1429" t="s">
        <v>2075</v>
      </c>
      <c r="N83" s="1430"/>
      <c r="O83" s="1430"/>
      <c r="P83" s="1431"/>
      <c r="AR83" s="332"/>
      <c r="AS83" s="332"/>
      <c r="AT83" s="332"/>
      <c r="AU83" s="332"/>
      <c r="AV83" s="332"/>
      <c r="AW83" s="480"/>
      <c r="AX83" s="480"/>
      <c r="AY83" s="480"/>
      <c r="AZ83" s="480"/>
      <c r="BA83" s="480"/>
      <c r="BB83" s="481"/>
      <c r="BC83" s="481"/>
      <c r="BD83" s="481"/>
      <c r="BE83" s="481"/>
      <c r="BF83" s="481"/>
    </row>
    <row r="84" spans="1:58" x14ac:dyDescent="0.25">
      <c r="A84" s="1456" t="s">
        <v>2684</v>
      </c>
      <c r="B84" s="1456"/>
      <c r="C84" s="1456"/>
      <c r="D84" s="1456"/>
      <c r="E84" s="1456"/>
      <c r="F84" s="1456"/>
      <c r="G84" s="1456"/>
      <c r="H84" s="1456"/>
      <c r="I84" s="1456"/>
      <c r="J84" s="1456"/>
      <c r="K84" s="1456"/>
      <c r="L84" s="1456"/>
      <c r="M84" s="1456"/>
      <c r="N84" s="1456"/>
      <c r="O84" s="1456"/>
      <c r="P84" s="1456"/>
      <c r="Q84" s="1456"/>
      <c r="R84" s="1456"/>
      <c r="S84" s="1456"/>
      <c r="T84" s="1456"/>
      <c r="U84" s="1456"/>
      <c r="V84" s="1456"/>
      <c r="W84" s="1456"/>
      <c r="X84" s="1456"/>
      <c r="Y84" s="1456"/>
      <c r="Z84" s="1456"/>
      <c r="AA84" s="1456"/>
      <c r="AB84" s="1456"/>
      <c r="AC84" s="1456"/>
      <c r="AD84" s="1456"/>
      <c r="AE84" s="1456"/>
      <c r="AF84" s="1456"/>
      <c r="AH84" s="465"/>
    </row>
    <row r="85" spans="1:58" ht="31.5" customHeight="1" x14ac:dyDescent="0.25">
      <c r="A85" s="1238" t="s">
        <v>2940</v>
      </c>
      <c r="B85" s="1238"/>
      <c r="C85" s="1238"/>
      <c r="D85" s="1238"/>
      <c r="E85" s="1238"/>
      <c r="F85" s="1238"/>
      <c r="G85" s="1238"/>
      <c r="H85" s="1238"/>
      <c r="I85" s="1238"/>
      <c r="J85" s="1238"/>
      <c r="K85" s="1238"/>
      <c r="L85" s="1238"/>
      <c r="M85" s="1238"/>
      <c r="N85" s="1238"/>
      <c r="O85" s="1238"/>
      <c r="P85" s="1238"/>
      <c r="Q85" s="1238"/>
      <c r="R85" s="1238"/>
      <c r="S85" s="1238"/>
      <c r="T85" s="1238"/>
      <c r="U85" s="1238"/>
      <c r="V85" s="1238"/>
      <c r="W85" s="1238"/>
      <c r="X85" s="1238"/>
      <c r="Y85" s="1238"/>
      <c r="Z85" s="1238"/>
      <c r="AA85" s="1238"/>
      <c r="AB85" s="1238"/>
      <c r="AC85" s="1238"/>
      <c r="AD85" s="1238"/>
      <c r="AE85" s="1238"/>
      <c r="AF85" s="1238"/>
      <c r="AH85" s="465"/>
    </row>
  </sheetData>
  <sheetProtection algorithmName="SHA-512" hashValue="avGGNaxAY+FrjVIj9/Cgn0Tt3LYYoXMVemeB5mnc0xmGAIRK0orzlzPBXo5f95HBj49ml9GQbJsR8Ax4T3igsQ==" saltValue="CTn7+PsZYMTP8rf76+su1g==" spinCount="100000" sheet="1" objects="1" scenarios="1"/>
  <mergeCells count="216">
    <mergeCell ref="X31:AB31"/>
    <mergeCell ref="X37:AB37"/>
    <mergeCell ref="A38:H38"/>
    <mergeCell ref="I38:M38"/>
    <mergeCell ref="N38:R38"/>
    <mergeCell ref="S38:W38"/>
    <mergeCell ref="A31:H31"/>
    <mergeCell ref="I31:M31"/>
    <mergeCell ref="A30:H30"/>
    <mergeCell ref="I30:M30"/>
    <mergeCell ref="X38:AB38"/>
    <mergeCell ref="A36:H36"/>
    <mergeCell ref="I36:M36"/>
    <mergeCell ref="S34:W34"/>
    <mergeCell ref="S35:W35"/>
    <mergeCell ref="X34:AB34"/>
    <mergeCell ref="X35:AB35"/>
    <mergeCell ref="X36:AB36"/>
    <mergeCell ref="N32:R32"/>
    <mergeCell ref="S32:W32"/>
    <mergeCell ref="N36:R36"/>
    <mergeCell ref="N37:R37"/>
    <mergeCell ref="N34:R34"/>
    <mergeCell ref="N35:R35"/>
    <mergeCell ref="A85:AF85"/>
    <mergeCell ref="A84:AF84"/>
    <mergeCell ref="A39:AB39"/>
    <mergeCell ref="A40:AB40"/>
    <mergeCell ref="B41:AB41"/>
    <mergeCell ref="B42:AB42"/>
    <mergeCell ref="B43:AB43"/>
    <mergeCell ref="A44:AB44"/>
    <mergeCell ref="A83:H83"/>
    <mergeCell ref="A52:H52"/>
    <mergeCell ref="A53:H53"/>
    <mergeCell ref="A54:H54"/>
    <mergeCell ref="A55:H55"/>
    <mergeCell ref="A56:H56"/>
    <mergeCell ref="A57:H57"/>
    <mergeCell ref="A58:H58"/>
    <mergeCell ref="A59:H59"/>
    <mergeCell ref="I78:L78"/>
    <mergeCell ref="M78:P78"/>
    <mergeCell ref="A77:H77"/>
    <mergeCell ref="A78:H78"/>
    <mergeCell ref="I75:L75"/>
    <mergeCell ref="M75:P75"/>
    <mergeCell ref="I73:L73"/>
    <mergeCell ref="N12:R12"/>
    <mergeCell ref="S12:W12"/>
    <mergeCell ref="X12:AB12"/>
    <mergeCell ref="A24:AB24"/>
    <mergeCell ref="X18:AB18"/>
    <mergeCell ref="X19:AB19"/>
    <mergeCell ref="X20:AB20"/>
    <mergeCell ref="X21:AB21"/>
    <mergeCell ref="X22:AB22"/>
    <mergeCell ref="X13:AB13"/>
    <mergeCell ref="X14:AB14"/>
    <mergeCell ref="X15:AB15"/>
    <mergeCell ref="X16:AB16"/>
    <mergeCell ref="X17:AB17"/>
    <mergeCell ref="S13:W13"/>
    <mergeCell ref="S14:W14"/>
    <mergeCell ref="S22:W22"/>
    <mergeCell ref="N19:R19"/>
    <mergeCell ref="N20:R20"/>
    <mergeCell ref="S19:W19"/>
    <mergeCell ref="S20:W20"/>
    <mergeCell ref="N15:R15"/>
    <mergeCell ref="N16:R16"/>
    <mergeCell ref="S15:W15"/>
    <mergeCell ref="X32:AB32"/>
    <mergeCell ref="N33:R33"/>
    <mergeCell ref="N23:R23"/>
    <mergeCell ref="S23:W23"/>
    <mergeCell ref="N21:R21"/>
    <mergeCell ref="N22:R22"/>
    <mergeCell ref="S21:W21"/>
    <mergeCell ref="X29:AB29"/>
    <mergeCell ref="I33:M33"/>
    <mergeCell ref="A26:AF26"/>
    <mergeCell ref="A27:H27"/>
    <mergeCell ref="I27:M27"/>
    <mergeCell ref="A28:H28"/>
    <mergeCell ref="S29:W29"/>
    <mergeCell ref="X23:AB23"/>
    <mergeCell ref="N27:R27"/>
    <mergeCell ref="S27:W27"/>
    <mergeCell ref="X27:AB27"/>
    <mergeCell ref="N28:R28"/>
    <mergeCell ref="S28:W28"/>
    <mergeCell ref="X28:AB28"/>
    <mergeCell ref="N30:R30"/>
    <mergeCell ref="S30:W30"/>
    <mergeCell ref="X30:AB30"/>
    <mergeCell ref="N31:R31"/>
    <mergeCell ref="S31:W31"/>
    <mergeCell ref="A37:H37"/>
    <mergeCell ref="I37:M37"/>
    <mergeCell ref="A29:H29"/>
    <mergeCell ref="I29:M29"/>
    <mergeCell ref="N29:R29"/>
    <mergeCell ref="I28:M28"/>
    <mergeCell ref="I83:L83"/>
    <mergeCell ref="M83:P83"/>
    <mergeCell ref="A51:AF51"/>
    <mergeCell ref="A71:AF71"/>
    <mergeCell ref="I81:L81"/>
    <mergeCell ref="M81:P81"/>
    <mergeCell ref="I82:L82"/>
    <mergeCell ref="M82:P82"/>
    <mergeCell ref="A81:H81"/>
    <mergeCell ref="A82:H82"/>
    <mergeCell ref="I79:L79"/>
    <mergeCell ref="M79:P79"/>
    <mergeCell ref="I80:L80"/>
    <mergeCell ref="M80:P80"/>
    <mergeCell ref="A79:H79"/>
    <mergeCell ref="A80:H80"/>
    <mergeCell ref="S36:W36"/>
    <mergeCell ref="S37:W37"/>
    <mergeCell ref="I77:L77"/>
    <mergeCell ref="M77:P77"/>
    <mergeCell ref="I76:L76"/>
    <mergeCell ref="M76:P76"/>
    <mergeCell ref="A75:H75"/>
    <mergeCell ref="A76:H76"/>
    <mergeCell ref="A64:AF64"/>
    <mergeCell ref="A60:H60"/>
    <mergeCell ref="M73:P73"/>
    <mergeCell ref="I74:L74"/>
    <mergeCell ref="M74:P74"/>
    <mergeCell ref="A73:H73"/>
    <mergeCell ref="A74:H74"/>
    <mergeCell ref="A67:AF67"/>
    <mergeCell ref="A69:AF69"/>
    <mergeCell ref="I72:L72"/>
    <mergeCell ref="M72:P72"/>
    <mergeCell ref="A72:H72"/>
    <mergeCell ref="A61:H61"/>
    <mergeCell ref="A62:H62"/>
    <mergeCell ref="A63:H63"/>
    <mergeCell ref="A65:AF65"/>
    <mergeCell ref="A49:AF49"/>
    <mergeCell ref="A12:H12"/>
    <mergeCell ref="A13:H13"/>
    <mergeCell ref="A14:H14"/>
    <mergeCell ref="A15:H15"/>
    <mergeCell ref="A16:H16"/>
    <mergeCell ref="A17:H17"/>
    <mergeCell ref="A18:H18"/>
    <mergeCell ref="A19:H19"/>
    <mergeCell ref="A20:H20"/>
    <mergeCell ref="A47:AF47"/>
    <mergeCell ref="I17:M17"/>
    <mergeCell ref="N17:R17"/>
    <mergeCell ref="N18:R18"/>
    <mergeCell ref="S18:W18"/>
    <mergeCell ref="S33:W33"/>
    <mergeCell ref="X33:AB33"/>
    <mergeCell ref="A34:H34"/>
    <mergeCell ref="I34:M34"/>
    <mergeCell ref="A32:H32"/>
    <mergeCell ref="I32:M32"/>
    <mergeCell ref="A33:H33"/>
    <mergeCell ref="A35:H35"/>
    <mergeCell ref="I35:M35"/>
    <mergeCell ref="A1:AF1"/>
    <mergeCell ref="A11:AF11"/>
    <mergeCell ref="A9:AF9"/>
    <mergeCell ref="I21:M21"/>
    <mergeCell ref="I22:M22"/>
    <mergeCell ref="I16:M16"/>
    <mergeCell ref="I23:M23"/>
    <mergeCell ref="I18:M18"/>
    <mergeCell ref="I19:M19"/>
    <mergeCell ref="I20:M20"/>
    <mergeCell ref="I14:M14"/>
    <mergeCell ref="I15:M15"/>
    <mergeCell ref="N14:R14"/>
    <mergeCell ref="I12:M12"/>
    <mergeCell ref="I13:M13"/>
    <mergeCell ref="N13:R13"/>
    <mergeCell ref="A21:H21"/>
    <mergeCell ref="A22:H22"/>
    <mergeCell ref="A23:H23"/>
    <mergeCell ref="A3:AF3"/>
    <mergeCell ref="B5:AF5"/>
    <mergeCell ref="A7:AF7"/>
    <mergeCell ref="S16:W16"/>
    <mergeCell ref="S17:W17"/>
    <mergeCell ref="I57:L57"/>
    <mergeCell ref="I58:L58"/>
    <mergeCell ref="I59:L59"/>
    <mergeCell ref="I60:L60"/>
    <mergeCell ref="M60:P60"/>
    <mergeCell ref="M62:P62"/>
    <mergeCell ref="M63:P63"/>
    <mergeCell ref="I52:L52"/>
    <mergeCell ref="M52:P52"/>
    <mergeCell ref="I61:L61"/>
    <mergeCell ref="I62:L62"/>
    <mergeCell ref="I63:L63"/>
    <mergeCell ref="M53:P53"/>
    <mergeCell ref="M54:P54"/>
    <mergeCell ref="M55:P55"/>
    <mergeCell ref="M56:P56"/>
    <mergeCell ref="M57:P57"/>
    <mergeCell ref="M58:P58"/>
    <mergeCell ref="M59:P59"/>
    <mergeCell ref="I53:L53"/>
    <mergeCell ref="I54:L54"/>
    <mergeCell ref="I55:L55"/>
    <mergeCell ref="I56:L56"/>
    <mergeCell ref="M61:P61"/>
  </mergeCells>
  <hyperlinks>
    <hyperlink ref="A2" location="TOC!A1" display="Return to TOC" xr:uid="{00000000-0004-0000-0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1">
    <pageSetUpPr autoPageBreaks="0"/>
  </sheetPr>
  <dimension ref="A1:CX58"/>
  <sheetViews>
    <sheetView showGridLines="0" zoomScaleNormal="100" workbookViewId="0">
      <selection sqref="A1:AF1"/>
    </sheetView>
  </sheetViews>
  <sheetFormatPr defaultColWidth="2.7109375" defaultRowHeight="14.45" customHeight="1" x14ac:dyDescent="0.25"/>
  <cols>
    <col min="1" max="31" width="2.7109375" style="299"/>
    <col min="32" max="32" width="2.7109375" style="299" customWidth="1"/>
    <col min="33" max="16384" width="2.7109375" style="299"/>
  </cols>
  <sheetData>
    <row r="1" spans="1:32" s="298" customFormat="1" ht="18" customHeight="1" x14ac:dyDescent="0.25">
      <c r="A1" s="1464" t="s">
        <v>1180</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s="298" customFormat="1" ht="15" x14ac:dyDescent="0.25">
      <c r="A2" s="376" t="s">
        <v>1702</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row>
    <row r="3" spans="1:32"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29.25" customHeight="1" x14ac:dyDescent="0.25">
      <c r="A5" s="262"/>
      <c r="B5" s="1151" t="s">
        <v>7038</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customFormat="1" ht="14.45" customHeight="1" x14ac:dyDescent="0.25">
      <c r="A6" s="376"/>
    </row>
    <row r="7" spans="1:32" ht="14.45" customHeight="1" x14ac:dyDescent="0.25">
      <c r="A7" s="1148" t="s">
        <v>1629</v>
      </c>
      <c r="B7" s="1149"/>
      <c r="C7" s="1149"/>
      <c r="D7" s="1149"/>
      <c r="E7" s="1149"/>
      <c r="F7" s="1149"/>
      <c r="G7" s="1149"/>
      <c r="H7" s="1149"/>
      <c r="I7" s="1149"/>
      <c r="J7" s="1149"/>
      <c r="K7" s="1149"/>
      <c r="L7" s="1149"/>
      <c r="M7" s="1149"/>
      <c r="N7" s="1149"/>
      <c r="O7" s="1149"/>
      <c r="P7" s="1149"/>
      <c r="Q7" s="1149"/>
      <c r="R7" s="1149"/>
      <c r="S7" s="1149"/>
      <c r="T7" s="1149"/>
      <c r="U7" s="1149"/>
      <c r="V7" s="1149"/>
      <c r="W7" s="1149"/>
      <c r="X7" s="1149"/>
      <c r="Y7" s="1149"/>
      <c r="Z7" s="1149"/>
      <c r="AA7" s="1149"/>
      <c r="AB7" s="1149"/>
      <c r="AC7" s="1149"/>
      <c r="AD7" s="1149"/>
      <c r="AE7" s="1149"/>
      <c r="AF7" s="1150"/>
    </row>
    <row r="8" spans="1:32" ht="14.45" customHeight="1" x14ac:dyDescent="0.25">
      <c r="A8" s="301"/>
      <c r="B8" s="302"/>
      <c r="C8" s="302"/>
      <c r="D8" s="302"/>
      <c r="E8" s="302"/>
      <c r="F8" s="302"/>
      <c r="G8" s="302"/>
      <c r="H8" s="302"/>
      <c r="I8" s="302"/>
      <c r="J8" s="302"/>
      <c r="K8" s="302"/>
      <c r="L8" s="302"/>
      <c r="M8" s="302"/>
      <c r="N8" s="302"/>
      <c r="O8" s="302"/>
      <c r="P8" s="302"/>
      <c r="Q8" s="302"/>
      <c r="R8" s="302"/>
      <c r="S8" s="302"/>
      <c r="T8" s="302"/>
      <c r="U8" s="302"/>
      <c r="V8" s="302"/>
      <c r="W8" s="302"/>
      <c r="X8" s="302"/>
      <c r="Y8" s="302"/>
      <c r="Z8" s="302"/>
      <c r="AA8" s="302"/>
      <c r="AB8" s="302"/>
      <c r="AC8" s="302"/>
      <c r="AD8" s="302"/>
      <c r="AE8" s="302"/>
      <c r="AF8" s="302"/>
    </row>
    <row r="9" spans="1:32" ht="77.25" customHeight="1" x14ac:dyDescent="0.25">
      <c r="A9" s="1465" t="s">
        <v>1179</v>
      </c>
      <c r="B9" s="1465"/>
      <c r="C9" s="1465"/>
      <c r="D9" s="1465"/>
      <c r="E9" s="1465"/>
      <c r="F9" s="1465"/>
      <c r="G9" s="1465"/>
      <c r="H9" s="1465"/>
      <c r="I9" s="1465"/>
      <c r="J9" s="1465"/>
      <c r="K9" s="1465"/>
      <c r="L9" s="1465"/>
      <c r="M9" s="1465"/>
      <c r="N9" s="1465"/>
      <c r="O9" s="1465"/>
      <c r="P9" s="1465"/>
      <c r="Q9" s="1465"/>
      <c r="R9" s="1465"/>
      <c r="S9" s="1465"/>
      <c r="T9" s="1465"/>
      <c r="U9" s="1465"/>
      <c r="V9" s="1465"/>
      <c r="W9" s="1465"/>
      <c r="X9" s="1465"/>
      <c r="Y9" s="1465"/>
      <c r="Z9" s="1465"/>
      <c r="AA9" s="1465"/>
      <c r="AB9" s="1465"/>
      <c r="AC9" s="1465"/>
      <c r="AD9" s="1465"/>
      <c r="AE9" s="1465"/>
      <c r="AF9" s="1465"/>
    </row>
    <row r="10" spans="1:32" ht="15" x14ac:dyDescent="0.25">
      <c r="A10" s="515" t="s">
        <v>1013</v>
      </c>
      <c r="B10" s="1465" t="s">
        <v>1246</v>
      </c>
      <c r="C10" s="1465"/>
      <c r="D10" s="1465"/>
      <c r="E10" s="1465"/>
      <c r="F10" s="1465"/>
      <c r="G10" s="1465"/>
      <c r="H10" s="1465"/>
      <c r="I10" s="1465"/>
      <c r="J10" s="1465"/>
      <c r="K10" s="1465"/>
      <c r="L10" s="1465"/>
      <c r="M10" s="1465"/>
      <c r="N10" s="1465"/>
      <c r="O10" s="1465"/>
      <c r="P10" s="1465"/>
      <c r="Q10" s="1465"/>
      <c r="R10" s="1465"/>
      <c r="S10" s="1465"/>
      <c r="T10" s="1465"/>
      <c r="U10" s="1465"/>
      <c r="V10" s="1465"/>
      <c r="W10" s="1465"/>
      <c r="X10" s="1465"/>
      <c r="Y10" s="1465"/>
      <c r="Z10" s="1465"/>
      <c r="AA10" s="1465"/>
      <c r="AB10" s="1465"/>
      <c r="AC10" s="1465"/>
      <c r="AD10" s="1465"/>
      <c r="AE10" s="1465"/>
      <c r="AF10" s="1465"/>
    </row>
    <row r="11" spans="1:32" ht="33" customHeight="1" x14ac:dyDescent="0.25">
      <c r="A11" s="515" t="s">
        <v>1013</v>
      </c>
      <c r="B11" s="1465" t="s">
        <v>1247</v>
      </c>
      <c r="C11" s="1465"/>
      <c r="D11" s="1465"/>
      <c r="E11" s="1465"/>
      <c r="F11" s="1465"/>
      <c r="G11" s="1465"/>
      <c r="H11" s="1465"/>
      <c r="I11" s="1465"/>
      <c r="J11" s="1465"/>
      <c r="K11" s="1465"/>
      <c r="L11" s="1465"/>
      <c r="M11" s="1465"/>
      <c r="N11" s="1465"/>
      <c r="O11" s="1465"/>
      <c r="P11" s="1465"/>
      <c r="Q11" s="1465"/>
      <c r="R11" s="1465"/>
      <c r="S11" s="1465"/>
      <c r="T11" s="1465"/>
      <c r="U11" s="1465"/>
      <c r="V11" s="1465"/>
      <c r="W11" s="1465"/>
      <c r="X11" s="1465"/>
      <c r="Y11" s="1465"/>
      <c r="Z11" s="1465"/>
      <c r="AA11" s="1465"/>
      <c r="AB11" s="1465"/>
      <c r="AC11" s="1465"/>
      <c r="AD11" s="1465"/>
      <c r="AE11" s="1465"/>
      <c r="AF11" s="1465"/>
    </row>
    <row r="12" spans="1:32" ht="15" x14ac:dyDescent="0.25">
      <c r="A12" s="515" t="s">
        <v>1013</v>
      </c>
      <c r="B12" s="1465" t="s">
        <v>1248</v>
      </c>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row>
    <row r="13" spans="1:32" ht="14.45" customHeight="1" x14ac:dyDescent="0.25">
      <c r="A13" s="301"/>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row>
    <row r="14" spans="1:32" ht="78" customHeight="1" x14ac:dyDescent="0.25">
      <c r="A14" s="1465" t="s">
        <v>7028</v>
      </c>
      <c r="B14" s="1465"/>
      <c r="C14" s="1465"/>
      <c r="D14" s="1465"/>
      <c r="E14" s="1465"/>
      <c r="F14" s="1465"/>
      <c r="G14" s="1465"/>
      <c r="H14" s="1465"/>
      <c r="I14" s="1465"/>
      <c r="J14" s="1465"/>
      <c r="K14" s="1465"/>
      <c r="L14" s="1465"/>
      <c r="M14" s="1465"/>
      <c r="N14" s="1465"/>
      <c r="O14" s="1465"/>
      <c r="P14" s="1465"/>
      <c r="Q14" s="1465"/>
      <c r="R14" s="1465"/>
      <c r="S14" s="1465"/>
      <c r="T14" s="1465"/>
      <c r="U14" s="1465"/>
      <c r="V14" s="1465"/>
      <c r="W14" s="1465"/>
      <c r="X14" s="1465"/>
      <c r="Y14" s="1465"/>
      <c r="Z14" s="1465"/>
      <c r="AA14" s="1465"/>
      <c r="AB14" s="1465"/>
      <c r="AC14" s="1465"/>
      <c r="AD14" s="1465"/>
      <c r="AE14" s="1465"/>
      <c r="AF14" s="1465"/>
    </row>
    <row r="15" spans="1:32" ht="15" x14ac:dyDescent="0.25">
      <c r="A15" s="302"/>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row>
    <row r="16" spans="1:32" ht="15" x14ac:dyDescent="0.25">
      <c r="A16" s="1148" t="s">
        <v>5125</v>
      </c>
      <c r="B16" s="1149"/>
      <c r="C16" s="1149"/>
      <c r="D16" s="1149"/>
      <c r="E16" s="1149"/>
      <c r="F16" s="1149"/>
      <c r="G16" s="1149"/>
      <c r="H16" s="1149"/>
      <c r="I16" s="1149"/>
      <c r="J16" s="1149"/>
      <c r="K16" s="1149"/>
      <c r="L16" s="1149"/>
      <c r="M16" s="1149"/>
      <c r="N16" s="1149"/>
      <c r="O16" s="1149"/>
      <c r="P16" s="1149"/>
      <c r="Q16" s="1149"/>
      <c r="R16" s="1149"/>
      <c r="S16" s="1149"/>
      <c r="T16" s="1149"/>
      <c r="U16" s="1149"/>
      <c r="V16" s="1149"/>
      <c r="W16" s="1149"/>
      <c r="X16" s="1149"/>
      <c r="Y16" s="1149"/>
      <c r="Z16" s="1149"/>
      <c r="AA16" s="1149"/>
      <c r="AB16" s="1149"/>
      <c r="AC16" s="1149"/>
      <c r="AD16" s="1149"/>
      <c r="AE16" s="1149"/>
      <c r="AF16" s="1150"/>
    </row>
    <row r="17" spans="1:32" ht="15" x14ac:dyDescent="0.25">
      <c r="A17" s="302"/>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302"/>
    </row>
    <row r="18" spans="1:32" ht="138" customHeight="1" x14ac:dyDescent="0.25">
      <c r="A18" s="1142" t="s">
        <v>5126</v>
      </c>
      <c r="B18" s="1142"/>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2"/>
      <c r="AB18" s="1142"/>
      <c r="AC18" s="1142"/>
      <c r="AD18" s="1142"/>
      <c r="AE18" s="1142"/>
      <c r="AF18" s="1142"/>
    </row>
    <row r="19" spans="1:32" ht="15" x14ac:dyDescent="0.25">
      <c r="A19" s="270"/>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0"/>
    </row>
    <row r="20" spans="1:32" ht="33.75" customHeight="1" x14ac:dyDescent="0.25">
      <c r="A20" s="1142" t="s">
        <v>5127</v>
      </c>
      <c r="B20" s="1142"/>
      <c r="C20" s="1142"/>
      <c r="D20" s="1142"/>
      <c r="E20" s="1142"/>
      <c r="F20" s="1142"/>
      <c r="G20" s="1142"/>
      <c r="H20" s="1142"/>
      <c r="I20" s="1142"/>
      <c r="J20" s="1142"/>
      <c r="K20" s="1142"/>
      <c r="L20" s="1142"/>
      <c r="M20" s="1142"/>
      <c r="N20" s="1142"/>
      <c r="O20" s="1142"/>
      <c r="P20" s="1142"/>
      <c r="Q20" s="1142"/>
      <c r="R20" s="1142"/>
      <c r="S20" s="1142"/>
      <c r="T20" s="1142"/>
      <c r="U20" s="1142"/>
      <c r="V20" s="1142"/>
      <c r="W20" s="1142"/>
      <c r="X20" s="1142"/>
      <c r="Y20" s="1142"/>
      <c r="Z20" s="1142"/>
      <c r="AA20" s="1142"/>
      <c r="AB20" s="1142"/>
      <c r="AC20" s="1142"/>
      <c r="AD20" s="1142"/>
      <c r="AE20" s="1142"/>
      <c r="AF20" s="1142"/>
    </row>
    <row r="22" spans="1:32" ht="17.25" x14ac:dyDescent="0.25">
      <c r="A22" s="1469" t="s">
        <v>7029</v>
      </c>
      <c r="B22" s="1469"/>
      <c r="C22" s="1469"/>
      <c r="D22" s="1469"/>
      <c r="E22" s="1469"/>
      <c r="F22" s="1469"/>
      <c r="G22" s="1469"/>
      <c r="H22" s="1469"/>
      <c r="I22" s="1469"/>
      <c r="J22" s="1469"/>
      <c r="K22" s="1469"/>
      <c r="L22" s="1469"/>
      <c r="M22" s="1469"/>
      <c r="N22" s="1469"/>
      <c r="O22" s="1469"/>
      <c r="P22" s="1469"/>
      <c r="Q22" s="1469"/>
      <c r="R22" s="1469"/>
      <c r="S22" s="1469"/>
      <c r="T22" s="1469"/>
      <c r="U22" s="1469"/>
      <c r="V22" s="1469"/>
      <c r="W22" s="1469"/>
      <c r="X22" s="1469"/>
      <c r="Y22" s="1469"/>
      <c r="Z22" s="1469"/>
      <c r="AA22" s="1469"/>
      <c r="AB22" s="1469"/>
      <c r="AC22" s="1469"/>
      <c r="AD22" s="1469"/>
      <c r="AE22" s="1469"/>
      <c r="AF22" s="1469"/>
    </row>
    <row r="24" spans="1:32" ht="14.45" customHeight="1" x14ac:dyDescent="0.25">
      <c r="A24" s="1468" t="s">
        <v>1631</v>
      </c>
      <c r="B24" s="1468"/>
      <c r="C24" s="1468"/>
      <c r="D24" s="1468"/>
      <c r="E24" s="1468"/>
      <c r="F24" s="1468"/>
      <c r="G24" s="1468"/>
      <c r="H24" s="1468"/>
      <c r="I24" s="1468"/>
      <c r="J24" s="1468"/>
      <c r="K24" s="1468"/>
      <c r="L24" s="1468"/>
      <c r="M24" s="1468"/>
      <c r="N24" s="1468"/>
      <c r="O24" s="1468"/>
      <c r="P24" s="1468"/>
      <c r="Q24" s="1468"/>
      <c r="R24" s="1468"/>
      <c r="S24" s="1468"/>
      <c r="T24" s="1468"/>
      <c r="U24" s="1468"/>
      <c r="V24" s="1468"/>
      <c r="W24" s="1468"/>
      <c r="X24" s="1468"/>
      <c r="Y24" s="1468"/>
      <c r="Z24" s="1468"/>
      <c r="AA24" s="1468"/>
      <c r="AB24" s="1468"/>
      <c r="AC24" s="1468"/>
      <c r="AD24" s="1468"/>
      <c r="AE24" s="1468"/>
      <c r="AF24" s="1468"/>
    </row>
    <row r="25" spans="1:32" ht="93" customHeight="1" x14ac:dyDescent="0.25">
      <c r="A25" s="1465" t="s">
        <v>3065</v>
      </c>
      <c r="B25" s="1465"/>
      <c r="C25" s="1465"/>
      <c r="D25" s="1465"/>
      <c r="E25" s="1465"/>
      <c r="F25" s="1465"/>
      <c r="G25" s="1465"/>
      <c r="H25" s="1465"/>
      <c r="I25" s="1465"/>
      <c r="J25" s="1465"/>
      <c r="K25" s="1465"/>
      <c r="L25" s="1465"/>
      <c r="M25" s="1465"/>
      <c r="N25" s="1465"/>
      <c r="O25" s="1465"/>
      <c r="P25" s="1465"/>
      <c r="Q25" s="1465"/>
      <c r="R25" s="1465"/>
      <c r="S25" s="1465"/>
      <c r="T25" s="1465"/>
      <c r="U25" s="1465"/>
      <c r="V25" s="1465"/>
      <c r="W25" s="1465"/>
      <c r="X25" s="1465"/>
      <c r="Y25" s="1465"/>
      <c r="Z25" s="1465"/>
      <c r="AA25" s="1465"/>
      <c r="AB25" s="1465"/>
      <c r="AC25" s="1465"/>
      <c r="AD25" s="1465"/>
      <c r="AE25" s="1465"/>
      <c r="AF25" s="1465"/>
    </row>
    <row r="26" spans="1:32" ht="14.45" customHeight="1" x14ac:dyDescent="0.25">
      <c r="A26" s="302"/>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row>
    <row r="27" spans="1:32" ht="15" x14ac:dyDescent="0.25">
      <c r="A27" s="1468" t="s">
        <v>923</v>
      </c>
      <c r="B27" s="1468"/>
      <c r="C27" s="1468"/>
      <c r="D27" s="1468"/>
      <c r="E27" s="1468"/>
      <c r="F27" s="1468"/>
      <c r="G27" s="1468"/>
      <c r="H27" s="1468"/>
      <c r="I27" s="1468"/>
      <c r="J27" s="1468"/>
      <c r="K27" s="1468"/>
      <c r="L27" s="1468"/>
      <c r="M27" s="1468"/>
      <c r="N27" s="1468"/>
      <c r="O27" s="1468"/>
      <c r="P27" s="1468"/>
      <c r="Q27" s="1468"/>
      <c r="R27" s="1468"/>
      <c r="S27" s="1468"/>
      <c r="T27" s="1468"/>
      <c r="U27" s="1468"/>
      <c r="V27" s="1468"/>
      <c r="W27" s="1468"/>
      <c r="X27" s="1468"/>
      <c r="Y27" s="1468"/>
      <c r="Z27" s="1468"/>
      <c r="AA27" s="1468"/>
      <c r="AB27" s="1468"/>
      <c r="AC27" s="1468"/>
      <c r="AD27" s="1468"/>
      <c r="AE27" s="1468"/>
      <c r="AF27" s="1468"/>
    </row>
    <row r="28" spans="1:32" ht="95.25" customHeight="1" x14ac:dyDescent="0.25">
      <c r="A28" s="1465" t="s">
        <v>2867</v>
      </c>
      <c r="B28" s="1465"/>
      <c r="C28" s="1465"/>
      <c r="D28" s="1465"/>
      <c r="E28" s="1465"/>
      <c r="F28" s="1465"/>
      <c r="G28" s="1465"/>
      <c r="H28" s="1465"/>
      <c r="I28" s="1465"/>
      <c r="J28" s="1465"/>
      <c r="K28" s="1465"/>
      <c r="L28" s="1465"/>
      <c r="M28" s="1465"/>
      <c r="N28" s="1465"/>
      <c r="O28" s="1465"/>
      <c r="P28" s="1465"/>
      <c r="Q28" s="1465"/>
      <c r="R28" s="1465"/>
      <c r="S28" s="1465"/>
      <c r="T28" s="1465"/>
      <c r="U28" s="1465"/>
      <c r="V28" s="1465"/>
      <c r="W28" s="1465"/>
      <c r="X28" s="1465"/>
      <c r="Y28" s="1465"/>
      <c r="Z28" s="1465"/>
      <c r="AA28" s="1465"/>
      <c r="AB28" s="1465"/>
      <c r="AC28" s="1465"/>
      <c r="AD28" s="1465"/>
      <c r="AE28" s="1465"/>
      <c r="AF28" s="1465"/>
    </row>
    <row r="29" spans="1:32" ht="62.25" customHeight="1" x14ac:dyDescent="0.25">
      <c r="A29" s="515" t="s">
        <v>1013</v>
      </c>
      <c r="B29" s="1465" t="s">
        <v>1249</v>
      </c>
      <c r="C29" s="1465"/>
      <c r="D29" s="1465"/>
      <c r="E29" s="1465"/>
      <c r="F29" s="1465"/>
      <c r="G29" s="1465"/>
      <c r="H29" s="1465"/>
      <c r="I29" s="1465"/>
      <c r="J29" s="1465"/>
      <c r="K29" s="1465"/>
      <c r="L29" s="1465"/>
      <c r="M29" s="1465"/>
      <c r="N29" s="1465"/>
      <c r="O29" s="1465"/>
      <c r="P29" s="1465"/>
      <c r="Q29" s="1465"/>
      <c r="R29" s="1465"/>
      <c r="S29" s="1465"/>
      <c r="T29" s="1465"/>
      <c r="U29" s="1465"/>
      <c r="V29" s="1465"/>
      <c r="W29" s="1465"/>
      <c r="X29" s="1465"/>
      <c r="Y29" s="1465"/>
      <c r="Z29" s="1465"/>
      <c r="AA29" s="1465"/>
      <c r="AB29" s="1465"/>
      <c r="AC29" s="1465"/>
      <c r="AD29" s="1465"/>
      <c r="AE29" s="1465"/>
      <c r="AF29" s="1465"/>
    </row>
    <row r="30" spans="1:32" ht="63.75" customHeight="1" x14ac:dyDescent="0.25">
      <c r="A30" s="515" t="s">
        <v>1013</v>
      </c>
      <c r="B30" s="1465" t="s">
        <v>1250</v>
      </c>
      <c r="C30" s="1465"/>
      <c r="D30" s="1465"/>
      <c r="E30" s="1465"/>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row>
    <row r="31" spans="1:32" ht="32.450000000000003" customHeight="1" x14ac:dyDescent="0.25">
      <c r="A31" s="515" t="s">
        <v>1013</v>
      </c>
      <c r="B31" s="1465" t="s">
        <v>2868</v>
      </c>
      <c r="C31" s="1465"/>
      <c r="D31" s="1465"/>
      <c r="E31" s="1465"/>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row>
    <row r="32" spans="1:32" ht="15" x14ac:dyDescent="0.25">
      <c r="A32" s="300"/>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row>
    <row r="33" spans="1:102" ht="15" x14ac:dyDescent="0.25">
      <c r="A33" s="516" t="s">
        <v>7030</v>
      </c>
      <c r="B33" s="371"/>
      <c r="C33" s="371"/>
      <c r="D33" s="371"/>
      <c r="E33" s="371"/>
      <c r="F33" s="371"/>
      <c r="G33" s="371"/>
      <c r="H33" s="371"/>
      <c r="I33" s="371"/>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1"/>
    </row>
    <row r="34" spans="1:102" ht="111.75" customHeight="1" x14ac:dyDescent="0.25">
      <c r="A34" s="1471" t="s">
        <v>2869</v>
      </c>
      <c r="B34" s="1471"/>
      <c r="C34" s="1471"/>
      <c r="D34" s="1471"/>
      <c r="E34" s="1471"/>
      <c r="F34" s="1471"/>
      <c r="G34" s="1471"/>
      <c r="H34" s="1471"/>
      <c r="I34" s="1471"/>
      <c r="J34" s="1471"/>
      <c r="K34" s="1471"/>
      <c r="L34" s="1471"/>
      <c r="M34" s="1471"/>
      <c r="N34" s="1471"/>
      <c r="O34" s="1471"/>
      <c r="P34" s="1471"/>
      <c r="Q34" s="1471"/>
      <c r="R34" s="1471"/>
      <c r="S34" s="1471"/>
      <c r="T34" s="1471"/>
      <c r="U34" s="1471"/>
      <c r="V34" s="1471"/>
      <c r="W34" s="1471"/>
      <c r="X34" s="1471"/>
      <c r="Y34" s="1471"/>
      <c r="Z34" s="1471"/>
      <c r="AA34" s="1471"/>
      <c r="AB34" s="1471"/>
      <c r="AC34" s="1471"/>
      <c r="AD34" s="1471"/>
      <c r="AE34" s="1471"/>
      <c r="AF34" s="1471"/>
      <c r="AM34" s="370"/>
    </row>
    <row r="36" spans="1:102" ht="14.45" customHeight="1" x14ac:dyDescent="0.25">
      <c r="A36" s="1468" t="s">
        <v>7033</v>
      </c>
      <c r="B36" s="1468"/>
      <c r="C36" s="1468"/>
      <c r="D36" s="1468"/>
      <c r="E36" s="1468"/>
      <c r="F36" s="1468"/>
      <c r="G36" s="1468"/>
      <c r="H36" s="1468"/>
      <c r="I36" s="1468"/>
      <c r="J36" s="1468"/>
      <c r="K36" s="1468"/>
      <c r="L36" s="1468"/>
      <c r="M36" s="1468"/>
      <c r="N36" s="1468"/>
      <c r="O36" s="1468"/>
      <c r="P36" s="1468"/>
      <c r="Q36" s="1468"/>
      <c r="R36" s="1468"/>
      <c r="S36" s="1468"/>
      <c r="T36" s="1468"/>
      <c r="U36" s="1468"/>
      <c r="V36" s="1468"/>
      <c r="W36" s="1468"/>
      <c r="X36" s="1468"/>
      <c r="Y36" s="1468"/>
      <c r="Z36" s="1468"/>
      <c r="AA36" s="1468"/>
      <c r="AB36" s="1468"/>
      <c r="AC36" s="1468"/>
      <c r="AD36" s="1468"/>
      <c r="AE36" s="1468"/>
      <c r="AF36" s="1468"/>
    </row>
    <row r="37" spans="1:102" ht="137.25" customHeight="1" x14ac:dyDescent="0.25">
      <c r="A37" s="1465" t="s">
        <v>2657</v>
      </c>
      <c r="B37" s="1465"/>
      <c r="C37" s="1465"/>
      <c r="D37" s="1465"/>
      <c r="E37" s="1465"/>
      <c r="F37" s="1465"/>
      <c r="G37" s="1465"/>
      <c r="H37" s="1465"/>
      <c r="I37" s="1465"/>
      <c r="J37" s="1465"/>
      <c r="K37" s="1465"/>
      <c r="L37" s="1465"/>
      <c r="M37" s="1465"/>
      <c r="N37" s="1465"/>
      <c r="O37" s="1465"/>
      <c r="P37" s="1465"/>
      <c r="Q37" s="1465"/>
      <c r="R37" s="1465"/>
      <c r="S37" s="1465"/>
      <c r="T37" s="1465"/>
      <c r="U37" s="1465"/>
      <c r="V37" s="1465"/>
      <c r="W37" s="1465"/>
      <c r="X37" s="1465"/>
      <c r="Y37" s="1465"/>
      <c r="Z37" s="1465"/>
      <c r="AA37" s="1465"/>
      <c r="AB37" s="1465"/>
      <c r="AC37" s="1465"/>
      <c r="AD37" s="1465"/>
      <c r="AE37" s="1465"/>
      <c r="AF37" s="1465"/>
    </row>
    <row r="39" spans="1:102" ht="14.45" customHeight="1" x14ac:dyDescent="0.25">
      <c r="A39" s="1043" t="s">
        <v>7031</v>
      </c>
    </row>
    <row r="40" spans="1:102" ht="32.25" customHeight="1" x14ac:dyDescent="0.25">
      <c r="A40" s="1465" t="s">
        <v>7032</v>
      </c>
      <c r="B40" s="1465"/>
      <c r="C40" s="1465"/>
      <c r="D40" s="1465"/>
      <c r="E40" s="1465"/>
      <c r="F40" s="1465"/>
      <c r="G40" s="1465"/>
      <c r="H40" s="1465"/>
      <c r="I40" s="1465"/>
      <c r="J40" s="1465"/>
      <c r="K40" s="1465"/>
      <c r="L40" s="1465"/>
      <c r="M40" s="1465"/>
      <c r="N40" s="1465"/>
      <c r="O40" s="1465"/>
      <c r="P40" s="1465"/>
      <c r="Q40" s="1465"/>
      <c r="R40" s="1465"/>
      <c r="S40" s="1465"/>
      <c r="T40" s="1465"/>
      <c r="U40" s="1465"/>
      <c r="V40" s="1465"/>
      <c r="W40" s="1465"/>
      <c r="X40" s="1465"/>
      <c r="Y40" s="1465"/>
      <c r="Z40" s="1465"/>
      <c r="AA40" s="1465"/>
      <c r="AB40" s="1465"/>
      <c r="AC40" s="1465"/>
      <c r="AD40" s="1465"/>
      <c r="AE40" s="1465"/>
      <c r="AF40" s="1465"/>
    </row>
    <row r="41" spans="1:102" s="1" customFormat="1" ht="15" x14ac:dyDescent="0.25">
      <c r="A41" s="515" t="s">
        <v>1013</v>
      </c>
      <c r="B41" s="1470" t="s">
        <v>7034</v>
      </c>
      <c r="C41" s="1466"/>
      <c r="D41" s="1466"/>
      <c r="E41" s="1466"/>
      <c r="F41" s="1466"/>
      <c r="G41" s="1466"/>
      <c r="H41" s="1466"/>
      <c r="I41" s="1466"/>
      <c r="J41" s="1466"/>
      <c r="K41" s="1466"/>
      <c r="L41" s="1466"/>
      <c r="M41" s="1466"/>
      <c r="N41" s="1466"/>
      <c r="O41" s="1466"/>
      <c r="P41" s="1466"/>
      <c r="Q41" s="1466"/>
      <c r="R41" s="1466"/>
      <c r="S41" s="1466"/>
      <c r="T41" s="1466"/>
      <c r="U41" s="1466"/>
      <c r="V41" s="1466"/>
      <c r="W41" s="1466"/>
      <c r="X41" s="1466"/>
      <c r="Y41" s="1466"/>
      <c r="Z41" s="1466"/>
      <c r="AA41" s="1466"/>
      <c r="AB41" s="1466"/>
      <c r="AC41" s="1466"/>
      <c r="AD41" s="1466"/>
      <c r="AE41" s="1466"/>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262"/>
      <c r="BT41" s="262"/>
      <c r="BU41" s="262"/>
      <c r="BV41" s="262"/>
      <c r="BW41" s="262"/>
      <c r="BX41" s="262"/>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2"/>
      <c r="CV41" s="262"/>
      <c r="CW41" s="262"/>
      <c r="CX41" s="262"/>
    </row>
    <row r="42" spans="1:102" s="1" customFormat="1" ht="15" customHeight="1" x14ac:dyDescent="0.25">
      <c r="A42" s="515" t="s">
        <v>1013</v>
      </c>
      <c r="B42" s="1466" t="s">
        <v>7035</v>
      </c>
      <c r="C42" s="1466"/>
      <c r="D42" s="1466"/>
      <c r="E42" s="1466"/>
      <c r="F42" s="1466"/>
      <c r="G42" s="1466"/>
      <c r="H42" s="1466"/>
      <c r="I42" s="1466"/>
      <c r="J42" s="1466"/>
      <c r="K42" s="1466"/>
      <c r="L42" s="1466"/>
      <c r="M42" s="1466"/>
      <c r="N42" s="1466"/>
      <c r="O42" s="1466"/>
      <c r="P42" s="1466"/>
      <c r="Q42" s="1466"/>
      <c r="R42" s="1466"/>
      <c r="S42" s="1466"/>
      <c r="T42" s="1466"/>
      <c r="U42" s="1466"/>
      <c r="V42" s="1466"/>
      <c r="W42" s="1466"/>
      <c r="X42" s="1466"/>
      <c r="Y42" s="1466"/>
      <c r="Z42" s="1466"/>
      <c r="AA42" s="1466"/>
      <c r="AB42" s="1466"/>
      <c r="AC42" s="1466"/>
      <c r="AD42" s="1466"/>
      <c r="AE42" s="1466"/>
      <c r="AK42" s="683"/>
    </row>
    <row r="43" spans="1:102" s="1" customFormat="1" ht="15" x14ac:dyDescent="0.25">
      <c r="A43" s="515" t="s">
        <v>1013</v>
      </c>
      <c r="B43" s="1466" t="s">
        <v>7036</v>
      </c>
      <c r="C43" s="1466"/>
      <c r="D43" s="1466"/>
      <c r="E43" s="1466"/>
      <c r="F43" s="1466"/>
      <c r="G43" s="1466"/>
      <c r="H43" s="1466"/>
      <c r="I43" s="1466"/>
      <c r="J43" s="1466"/>
      <c r="K43" s="1466"/>
      <c r="L43" s="1466"/>
      <c r="M43" s="1466"/>
      <c r="N43" s="1466"/>
      <c r="O43" s="1466"/>
      <c r="P43" s="1466"/>
      <c r="Q43" s="1466"/>
      <c r="R43" s="1466"/>
      <c r="S43" s="1466"/>
      <c r="T43" s="1466"/>
      <c r="U43" s="1466"/>
      <c r="V43" s="1466"/>
      <c r="W43" s="1466"/>
      <c r="X43" s="1466"/>
      <c r="Y43" s="1466"/>
      <c r="Z43" s="1466"/>
      <c r="AA43" s="1466"/>
      <c r="AB43" s="1466"/>
      <c r="AC43" s="1466"/>
      <c r="AD43" s="1466"/>
      <c r="AE43" s="1466"/>
      <c r="AK43" s="683"/>
    </row>
    <row r="44" spans="1:102" s="266" customFormat="1" ht="31.5" customHeight="1" x14ac:dyDescent="0.25">
      <c r="A44" s="515" t="s">
        <v>1013</v>
      </c>
      <c r="B44" s="1466" t="s">
        <v>7037</v>
      </c>
      <c r="C44" s="1466"/>
      <c r="D44" s="1466"/>
      <c r="E44" s="1466"/>
      <c r="F44" s="1466"/>
      <c r="G44" s="1466"/>
      <c r="H44" s="1466"/>
      <c r="I44" s="1466"/>
      <c r="J44" s="1466"/>
      <c r="K44" s="1466"/>
      <c r="L44" s="1466"/>
      <c r="M44" s="1466"/>
      <c r="N44" s="1466"/>
      <c r="O44" s="1466"/>
      <c r="P44" s="1466"/>
      <c r="Q44" s="1466"/>
      <c r="R44" s="1466"/>
      <c r="S44" s="1466"/>
      <c r="T44" s="1466"/>
      <c r="U44" s="1466"/>
      <c r="V44" s="1466"/>
      <c r="W44" s="1466"/>
      <c r="X44" s="1466"/>
      <c r="Y44" s="1466"/>
      <c r="Z44" s="1466"/>
      <c r="AA44" s="1466"/>
      <c r="AB44" s="1466"/>
      <c r="AC44" s="1466"/>
      <c r="AD44" s="1466"/>
      <c r="AE44" s="1466"/>
      <c r="AF44" s="647"/>
      <c r="AH44" s="647"/>
      <c r="AI44" s="647"/>
      <c r="AJ44" s="647"/>
      <c r="AK44" s="647"/>
      <c r="AL44" s="647"/>
      <c r="AM44" s="647"/>
      <c r="AN44" s="647"/>
      <c r="AO44" s="647"/>
      <c r="AP44" s="647"/>
      <c r="AQ44" s="647"/>
      <c r="AR44" s="647"/>
      <c r="AS44" s="647"/>
      <c r="AT44" s="647"/>
      <c r="AU44" s="647"/>
      <c r="AV44" s="647"/>
      <c r="AW44" s="647"/>
      <c r="AX44" s="647"/>
      <c r="AY44" s="647"/>
      <c r="AZ44" s="647"/>
      <c r="BA44" s="647"/>
      <c r="BB44" s="647"/>
      <c r="BC44" s="647"/>
      <c r="BD44" s="647"/>
      <c r="BE44" s="647"/>
      <c r="BF44" s="647"/>
      <c r="BG44" s="647"/>
      <c r="BH44" s="647"/>
      <c r="BI44" s="647"/>
      <c r="BJ44" s="647"/>
      <c r="BK44" s="647"/>
      <c r="BL44" s="647"/>
      <c r="BM44" s="647"/>
    </row>
    <row r="46" spans="1:102" ht="14.45" customHeight="1" x14ac:dyDescent="0.25">
      <c r="A46" s="1468" t="s">
        <v>1632</v>
      </c>
      <c r="B46" s="1468"/>
      <c r="C46" s="1468"/>
      <c r="D46" s="1468"/>
      <c r="E46" s="1468"/>
      <c r="F46" s="1468"/>
      <c r="G46" s="1468"/>
      <c r="H46" s="1468"/>
      <c r="I46" s="1468"/>
      <c r="J46" s="1468"/>
      <c r="K46" s="1468"/>
      <c r="L46" s="1468"/>
      <c r="M46" s="1468"/>
      <c r="N46" s="1468"/>
      <c r="O46" s="1468"/>
      <c r="P46" s="1468"/>
      <c r="Q46" s="1468"/>
      <c r="R46" s="1468"/>
      <c r="S46" s="1468"/>
      <c r="T46" s="1468"/>
      <c r="U46" s="1468"/>
      <c r="V46" s="1468"/>
      <c r="W46" s="1468"/>
      <c r="X46" s="1468"/>
      <c r="Y46" s="1468"/>
      <c r="Z46" s="1468"/>
      <c r="AA46" s="1468"/>
      <c r="AB46" s="1468"/>
      <c r="AC46" s="1468"/>
      <c r="AD46" s="1468"/>
      <c r="AE46" s="1468"/>
      <c r="AF46" s="1468"/>
    </row>
    <row r="47" spans="1:102" ht="32.25" customHeight="1" x14ac:dyDescent="0.25">
      <c r="A47" s="1465" t="s">
        <v>1251</v>
      </c>
      <c r="B47" s="1465"/>
      <c r="C47" s="1465"/>
      <c r="D47" s="1465"/>
      <c r="E47" s="1465"/>
      <c r="F47" s="1465"/>
      <c r="G47" s="1465"/>
      <c r="H47" s="1465"/>
      <c r="I47" s="1465"/>
      <c r="J47" s="1465"/>
      <c r="K47" s="1465"/>
      <c r="L47" s="1465"/>
      <c r="M47" s="1465"/>
      <c r="N47" s="1465"/>
      <c r="O47" s="1465"/>
      <c r="P47" s="1465"/>
      <c r="Q47" s="1465"/>
      <c r="R47" s="1465"/>
      <c r="S47" s="1465"/>
      <c r="T47" s="1465"/>
      <c r="U47" s="1465"/>
      <c r="V47" s="1465"/>
      <c r="W47" s="1465"/>
      <c r="X47" s="1465"/>
      <c r="Y47" s="1465"/>
      <c r="Z47" s="1465"/>
      <c r="AA47" s="1465"/>
      <c r="AB47" s="1465"/>
      <c r="AC47" s="1465"/>
      <c r="AD47" s="1465"/>
      <c r="AE47" s="1465"/>
      <c r="AF47" s="1465"/>
    </row>
    <row r="48" spans="1:102" ht="15" x14ac:dyDescent="0.25">
      <c r="A48" s="515" t="s">
        <v>1013</v>
      </c>
      <c r="B48" s="1467" t="s">
        <v>1252</v>
      </c>
      <c r="C48" s="1467"/>
      <c r="D48" s="1467"/>
      <c r="E48" s="1467"/>
      <c r="F48" s="1467"/>
      <c r="G48" s="1467"/>
      <c r="H48" s="1467"/>
      <c r="I48" s="1467"/>
      <c r="J48" s="1467"/>
      <c r="K48" s="1467"/>
      <c r="L48" s="1467"/>
      <c r="M48" s="1467"/>
      <c r="N48" s="1467"/>
      <c r="O48" s="1467"/>
      <c r="P48" s="1467"/>
      <c r="Q48" s="1467"/>
      <c r="R48" s="1467"/>
      <c r="S48" s="1467"/>
      <c r="T48" s="1467"/>
      <c r="U48" s="1467"/>
      <c r="V48" s="1467"/>
      <c r="W48" s="1467"/>
      <c r="X48" s="1467"/>
      <c r="Y48" s="1467"/>
      <c r="Z48" s="1467"/>
      <c r="AA48" s="1467"/>
      <c r="AB48" s="1467"/>
      <c r="AC48" s="1467"/>
      <c r="AD48" s="1467"/>
      <c r="AE48" s="1467"/>
      <c r="AF48" s="1467"/>
    </row>
    <row r="49" spans="1:32" ht="14.45" customHeight="1" x14ac:dyDescent="0.25">
      <c r="A49" s="515" t="s">
        <v>1013</v>
      </c>
      <c r="B49" s="1467" t="s">
        <v>1253</v>
      </c>
      <c r="C49" s="1467"/>
      <c r="D49" s="1467"/>
      <c r="E49" s="1467"/>
      <c r="F49" s="1467"/>
      <c r="G49" s="1467"/>
      <c r="H49" s="1467"/>
      <c r="I49" s="1467"/>
      <c r="J49" s="1467"/>
      <c r="K49" s="1467"/>
      <c r="L49" s="1467"/>
      <c r="M49" s="1467"/>
      <c r="N49" s="1467"/>
      <c r="O49" s="1467"/>
      <c r="P49" s="1467"/>
      <c r="Q49" s="1467"/>
      <c r="R49" s="1467"/>
      <c r="S49" s="1467"/>
      <c r="T49" s="1467"/>
      <c r="U49" s="1467"/>
      <c r="V49" s="1467"/>
      <c r="W49" s="1467"/>
      <c r="X49" s="1467"/>
      <c r="Y49" s="1467"/>
      <c r="Z49" s="1467"/>
      <c r="AA49" s="1467"/>
      <c r="AB49" s="1467"/>
      <c r="AC49" s="1467"/>
      <c r="AD49" s="1467"/>
      <c r="AE49" s="1467"/>
      <c r="AF49" s="1467"/>
    </row>
    <row r="50" spans="1:32" ht="14.45" customHeight="1" x14ac:dyDescent="0.25">
      <c r="A50" s="515" t="s">
        <v>1013</v>
      </c>
      <c r="B50" s="1467" t="s">
        <v>1254</v>
      </c>
      <c r="C50" s="1467"/>
      <c r="D50" s="1467"/>
      <c r="E50" s="1467"/>
      <c r="F50" s="1467"/>
      <c r="G50" s="1467"/>
      <c r="H50" s="1467"/>
      <c r="I50" s="1467"/>
      <c r="J50" s="1467"/>
      <c r="K50" s="1467"/>
      <c r="L50" s="1467"/>
      <c r="M50" s="1467"/>
      <c r="N50" s="1467"/>
      <c r="O50" s="1467"/>
      <c r="P50" s="1467"/>
      <c r="Q50" s="1467"/>
      <c r="R50" s="1467"/>
      <c r="S50" s="1467"/>
      <c r="T50" s="1467"/>
      <c r="U50" s="1467"/>
      <c r="V50" s="1467"/>
      <c r="W50" s="1467"/>
      <c r="X50" s="1467"/>
      <c r="Y50" s="1467"/>
      <c r="Z50" s="1467"/>
      <c r="AA50" s="1467"/>
      <c r="AB50" s="1467"/>
      <c r="AC50" s="1467"/>
      <c r="AD50" s="1467"/>
      <c r="AE50" s="1467"/>
      <c r="AF50" s="1467"/>
    </row>
    <row r="51" spans="1:32" ht="14.45" customHeight="1" x14ac:dyDescent="0.25">
      <c r="A51" s="303"/>
    </row>
    <row r="52" spans="1:32" ht="33" customHeight="1" x14ac:dyDescent="0.25">
      <c r="A52" s="1465" t="s">
        <v>1255</v>
      </c>
      <c r="B52" s="1465"/>
      <c r="C52" s="1465"/>
      <c r="D52" s="1465"/>
      <c r="E52" s="1465"/>
      <c r="F52" s="1465"/>
      <c r="G52" s="1465"/>
      <c r="H52" s="1465"/>
      <c r="I52" s="1465"/>
      <c r="J52" s="1465"/>
      <c r="K52" s="1465"/>
      <c r="L52" s="1465"/>
      <c r="M52" s="1465"/>
      <c r="N52" s="1465"/>
      <c r="O52" s="1465"/>
      <c r="P52" s="1465"/>
      <c r="Q52" s="1465"/>
      <c r="R52" s="1465"/>
      <c r="S52" s="1465"/>
      <c r="T52" s="1465"/>
      <c r="U52" s="1465"/>
      <c r="V52" s="1465"/>
      <c r="W52" s="1465"/>
      <c r="X52" s="1465"/>
      <c r="Y52" s="1465"/>
      <c r="Z52" s="1465"/>
      <c r="AA52" s="1465"/>
      <c r="AB52" s="1465"/>
      <c r="AC52" s="1465"/>
      <c r="AD52" s="1465"/>
      <c r="AE52" s="1465"/>
      <c r="AF52" s="1465"/>
    </row>
    <row r="53" spans="1:32" ht="63.75" customHeight="1" x14ac:dyDescent="0.25">
      <c r="A53" s="515" t="s">
        <v>1013</v>
      </c>
      <c r="B53" s="1465" t="s">
        <v>1256</v>
      </c>
      <c r="C53" s="1465"/>
      <c r="D53" s="1465"/>
      <c r="E53" s="1465"/>
      <c r="F53" s="1465"/>
      <c r="G53" s="1465"/>
      <c r="H53" s="1465"/>
      <c r="I53" s="1465"/>
      <c r="J53" s="1465"/>
      <c r="K53" s="1465"/>
      <c r="L53" s="1465"/>
      <c r="M53" s="1465"/>
      <c r="N53" s="1465"/>
      <c r="O53" s="1465"/>
      <c r="P53" s="1465"/>
      <c r="Q53" s="1465"/>
      <c r="R53" s="1465"/>
      <c r="S53" s="1465"/>
      <c r="T53" s="1465"/>
      <c r="U53" s="1465"/>
      <c r="V53" s="1465"/>
      <c r="W53" s="1465"/>
      <c r="X53" s="1465"/>
      <c r="Y53" s="1465"/>
      <c r="Z53" s="1465"/>
      <c r="AA53" s="1465"/>
      <c r="AB53" s="1465"/>
      <c r="AC53" s="1465"/>
      <c r="AD53" s="1465"/>
      <c r="AE53" s="1465"/>
      <c r="AF53" s="1465"/>
    </row>
    <row r="54" spans="1:32" ht="78.75" customHeight="1" x14ac:dyDescent="0.25">
      <c r="A54" s="515" t="s">
        <v>1013</v>
      </c>
      <c r="B54" s="1465" t="s">
        <v>1633</v>
      </c>
      <c r="C54" s="1465"/>
      <c r="D54" s="1465"/>
      <c r="E54" s="1465"/>
      <c r="F54" s="1465"/>
      <c r="G54" s="1465"/>
      <c r="H54" s="1465"/>
      <c r="I54" s="1465"/>
      <c r="J54" s="1465"/>
      <c r="K54" s="1465"/>
      <c r="L54" s="1465"/>
      <c r="M54" s="1465"/>
      <c r="N54" s="1465"/>
      <c r="O54" s="1465"/>
      <c r="P54" s="1465"/>
      <c r="Q54" s="1465"/>
      <c r="R54" s="1465"/>
      <c r="S54" s="1465"/>
      <c r="T54" s="1465"/>
      <c r="U54" s="1465"/>
      <c r="V54" s="1465"/>
      <c r="W54" s="1465"/>
      <c r="X54" s="1465"/>
      <c r="Y54" s="1465"/>
      <c r="Z54" s="1465"/>
      <c r="AA54" s="1465"/>
      <c r="AB54" s="1465"/>
      <c r="AC54" s="1465"/>
      <c r="AD54" s="1465"/>
      <c r="AE54" s="1465"/>
      <c r="AF54" s="1465"/>
    </row>
    <row r="55" spans="1:32" ht="65.25" customHeight="1" x14ac:dyDescent="0.25">
      <c r="A55" s="515" t="s">
        <v>1013</v>
      </c>
      <c r="B55" s="1465" t="s">
        <v>1634</v>
      </c>
      <c r="C55" s="1465"/>
      <c r="D55" s="1465"/>
      <c r="E55" s="1465"/>
      <c r="F55" s="1465"/>
      <c r="G55" s="1465"/>
      <c r="H55" s="1465"/>
      <c r="I55" s="1465"/>
      <c r="J55" s="1465"/>
      <c r="K55" s="1465"/>
      <c r="L55" s="1465"/>
      <c r="M55" s="1465"/>
      <c r="N55" s="1465"/>
      <c r="O55" s="1465"/>
      <c r="P55" s="1465"/>
      <c r="Q55" s="1465"/>
      <c r="R55" s="1465"/>
      <c r="S55" s="1465"/>
      <c r="T55" s="1465"/>
      <c r="U55" s="1465"/>
      <c r="V55" s="1465"/>
      <c r="W55" s="1465"/>
      <c r="X55" s="1465"/>
      <c r="Y55" s="1465"/>
      <c r="Z55" s="1465"/>
      <c r="AA55" s="1465"/>
      <c r="AB55" s="1465"/>
      <c r="AC55" s="1465"/>
      <c r="AD55" s="1465"/>
      <c r="AE55" s="1465"/>
      <c r="AF55" s="1465"/>
    </row>
    <row r="56" spans="1:32" ht="60" customHeight="1" x14ac:dyDescent="0.25">
      <c r="A56" s="515" t="s">
        <v>1013</v>
      </c>
      <c r="B56" s="1465" t="s">
        <v>1257</v>
      </c>
      <c r="C56" s="1465"/>
      <c r="D56" s="1465"/>
      <c r="E56" s="1465"/>
      <c r="F56" s="1465"/>
      <c r="G56" s="1465"/>
      <c r="H56" s="1465"/>
      <c r="I56" s="1465"/>
      <c r="J56" s="1465"/>
      <c r="K56" s="1465"/>
      <c r="L56" s="1465"/>
      <c r="M56" s="1465"/>
      <c r="N56" s="1465"/>
      <c r="O56" s="1465"/>
      <c r="P56" s="1465"/>
      <c r="Q56" s="1465"/>
      <c r="R56" s="1465"/>
      <c r="S56" s="1465"/>
      <c r="T56" s="1465"/>
      <c r="U56" s="1465"/>
      <c r="V56" s="1465"/>
      <c r="W56" s="1465"/>
      <c r="X56" s="1465"/>
      <c r="Y56" s="1465"/>
      <c r="Z56" s="1465"/>
      <c r="AA56" s="1465"/>
      <c r="AB56" s="1465"/>
      <c r="AC56" s="1465"/>
      <c r="AD56" s="1465"/>
      <c r="AE56" s="1465"/>
      <c r="AF56" s="1465"/>
    </row>
    <row r="58" spans="1:32" ht="45.75" customHeight="1" x14ac:dyDescent="0.25">
      <c r="A58" s="1465" t="s">
        <v>1258</v>
      </c>
      <c r="B58" s="1465"/>
      <c r="C58" s="1465"/>
      <c r="D58" s="1465"/>
      <c r="E58" s="1465"/>
      <c r="F58" s="1465"/>
      <c r="G58" s="1465"/>
      <c r="H58" s="1465"/>
      <c r="I58" s="1465"/>
      <c r="J58" s="1465"/>
      <c r="K58" s="1465"/>
      <c r="L58" s="1465"/>
      <c r="M58" s="1465"/>
      <c r="N58" s="1465"/>
      <c r="O58" s="1465"/>
      <c r="P58" s="1465"/>
      <c r="Q58" s="1465"/>
      <c r="R58" s="1465"/>
      <c r="S58" s="1465"/>
      <c r="T58" s="1465"/>
      <c r="U58" s="1465"/>
      <c r="V58" s="1465"/>
      <c r="W58" s="1465"/>
      <c r="X58" s="1465"/>
      <c r="Y58" s="1465"/>
      <c r="Z58" s="1465"/>
      <c r="AA58" s="1465"/>
      <c r="AB58" s="1465"/>
      <c r="AC58" s="1465"/>
      <c r="AD58" s="1465"/>
      <c r="AE58" s="1465"/>
      <c r="AF58" s="1465"/>
    </row>
  </sheetData>
  <sheetProtection algorithmName="SHA-512" hashValue="WCALraPXKlCHsIQTmWQZ+bpWZWqCQEtoZ5ME6U4CWJugn4uZUSEi/XvO3T+AsEHMFTav0j/6aCXD5MxQs4mNBg==" saltValue="XtJX6SH9sHRYVhGALGoCWw==" spinCount="100000" sheet="1" objects="1" scenarios="1"/>
  <mergeCells count="39">
    <mergeCell ref="A22:AF22"/>
    <mergeCell ref="A40:AF40"/>
    <mergeCell ref="B41:AE41"/>
    <mergeCell ref="B42:AE42"/>
    <mergeCell ref="B43:AE43"/>
    <mergeCell ref="A27:AF27"/>
    <mergeCell ref="A28:AF28"/>
    <mergeCell ref="B29:AF29"/>
    <mergeCell ref="B30:AF30"/>
    <mergeCell ref="B31:AF31"/>
    <mergeCell ref="A36:AF36"/>
    <mergeCell ref="A37:AF37"/>
    <mergeCell ref="A34:AF34"/>
    <mergeCell ref="A24:AF24"/>
    <mergeCell ref="A25:AF25"/>
    <mergeCell ref="B44:AE44"/>
    <mergeCell ref="A58:AF58"/>
    <mergeCell ref="B50:AF50"/>
    <mergeCell ref="A52:AF52"/>
    <mergeCell ref="B53:AF53"/>
    <mergeCell ref="B54:AF54"/>
    <mergeCell ref="B55:AF55"/>
    <mergeCell ref="B56:AF56"/>
    <mergeCell ref="B49:AF49"/>
    <mergeCell ref="A46:AF46"/>
    <mergeCell ref="A47:AF47"/>
    <mergeCell ref="B48:AF48"/>
    <mergeCell ref="A3:AF3"/>
    <mergeCell ref="B5:AF5"/>
    <mergeCell ref="A16:AF16"/>
    <mergeCell ref="A20:AF20"/>
    <mergeCell ref="A1:AF1"/>
    <mergeCell ref="A9:AF9"/>
    <mergeCell ref="B10:AF10"/>
    <mergeCell ref="B11:AF11"/>
    <mergeCell ref="B12:AF12"/>
    <mergeCell ref="A14:AF14"/>
    <mergeCell ref="A7:AF7"/>
    <mergeCell ref="A18:AF18"/>
  </mergeCells>
  <hyperlinks>
    <hyperlink ref="A2" location="TOC!A1" display="Return to TOC" xr:uid="{00000000-0004-0000-0C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5">
    <tabColor theme="1"/>
    <pageSetUpPr autoPageBreaks="0"/>
  </sheetPr>
  <dimension ref="A1"/>
  <sheetViews>
    <sheetView workbookViewId="0">
      <selection sqref="A1:AF1"/>
    </sheetView>
  </sheetViews>
  <sheetFormatPr defaultRowHeight="15" x14ac:dyDescent="0.25"/>
  <sheetData/>
  <sheetProtection algorithmName="SHA-512" hashValue="5d0HzPsp7itRtUVMRariPWxE3Ev9qYQubucGuWfA+eNcxYNeL3AIgj7vJfEAog5+Ye5x2EBXdeWALp7s3AeXMg==" saltValue="MraxqDpnEV3zSYm90TyVgA==" spinCount="100000" sheet="1" objects="1" scenarios="1"/>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theme="4" tint="0.79998168889431442"/>
    <pageSetUpPr autoPageBreaks="0"/>
  </sheetPr>
  <dimension ref="A1:CH263"/>
  <sheetViews>
    <sheetView zoomScaleNormal="100" workbookViewId="0">
      <selection sqref="A1:AF1"/>
    </sheetView>
  </sheetViews>
  <sheetFormatPr defaultColWidth="2.7109375" defaultRowHeight="15" x14ac:dyDescent="0.25"/>
  <cols>
    <col min="1" max="7" width="2.7109375" style="1"/>
    <col min="8" max="8" width="2.85546875" style="1"/>
    <col min="9" max="16384" width="2.7109375" style="1"/>
  </cols>
  <sheetData>
    <row r="1" spans="1:86" ht="18.75" x14ac:dyDescent="0.25">
      <c r="A1" s="1464" t="s">
        <v>5138</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86" ht="14.45" customHeight="1" x14ac:dyDescent="0.25">
      <c r="A2" s="655"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row>
    <row r="3" spans="1:86" customForma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c r="AG3" s="1"/>
      <c r="AK3" s="227"/>
      <c r="AL3" s="840"/>
      <c r="AM3" s="227"/>
      <c r="AN3" s="227"/>
      <c r="AO3" s="227"/>
      <c r="AP3" s="227"/>
      <c r="AQ3" s="523"/>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row>
    <row r="4" spans="1:86" customForma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1"/>
      <c r="AK4" s="227"/>
      <c r="AL4" s="638"/>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row>
    <row r="5" spans="1:86" customFormat="1" ht="33.75" customHeight="1" x14ac:dyDescent="0.25">
      <c r="A5" s="262"/>
      <c r="B5" s="1173" t="s">
        <v>5135</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
      <c r="AK5" s="227"/>
      <c r="AL5" s="638"/>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row>
    <row r="6" spans="1:86" customFormat="1" x14ac:dyDescent="0.25">
      <c r="A6" s="376"/>
      <c r="AG6" s="1"/>
      <c r="AK6" s="227"/>
      <c r="AL6" s="638"/>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row>
    <row r="7" spans="1:86"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row>
    <row r="8" spans="1:86"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K8" s="262"/>
      <c r="AL8" s="262"/>
      <c r="AM8" s="262"/>
      <c r="AN8" s="262"/>
      <c r="AO8" s="262"/>
      <c r="AP8" s="262"/>
      <c r="AQ8" s="262"/>
      <c r="AR8" s="262"/>
      <c r="AS8" s="262"/>
      <c r="AT8" s="262"/>
      <c r="AU8" s="262"/>
      <c r="AV8" s="262"/>
      <c r="AW8" s="262"/>
      <c r="AX8" s="262"/>
      <c r="AY8" s="262"/>
      <c r="AZ8" s="262"/>
      <c r="BA8" s="262"/>
      <c r="BB8" s="262"/>
      <c r="BC8" s="262"/>
      <c r="BD8" s="262"/>
      <c r="BE8" s="262"/>
      <c r="BF8" s="262"/>
      <c r="BG8" s="262"/>
      <c r="BH8" s="262"/>
      <c r="BI8" s="262"/>
      <c r="BJ8" s="262"/>
      <c r="BK8" s="262"/>
      <c r="BL8" s="262"/>
      <c r="BM8" s="262"/>
      <c r="BN8" s="262"/>
      <c r="BO8" s="262"/>
      <c r="BP8" s="262"/>
      <c r="BQ8" s="262"/>
      <c r="BR8" s="262"/>
      <c r="BS8" s="262"/>
      <c r="BT8" s="262"/>
      <c r="BU8" s="262"/>
      <c r="BV8" s="262"/>
      <c r="BW8" s="262"/>
      <c r="BX8" s="262"/>
      <c r="BY8" s="262"/>
      <c r="BZ8" s="262"/>
      <c r="CA8" s="262"/>
      <c r="CB8" s="262"/>
      <c r="CC8" s="262"/>
      <c r="CD8" s="262"/>
      <c r="CE8" s="262"/>
      <c r="CF8" s="262"/>
      <c r="CG8" s="262"/>
      <c r="CH8" s="262"/>
    </row>
    <row r="9" spans="1:86" x14ac:dyDescent="0.25">
      <c r="B9" s="1475" t="s">
        <v>10</v>
      </c>
      <c r="C9" s="1475"/>
      <c r="D9" s="1475"/>
      <c r="E9" s="1475"/>
      <c r="F9" s="1475"/>
      <c r="G9" s="1475"/>
      <c r="H9" s="1475"/>
      <c r="I9" s="1475"/>
      <c r="AK9" s="262"/>
      <c r="AL9" s="262"/>
      <c r="AM9" s="262"/>
      <c r="AN9" s="262"/>
      <c r="AO9" s="262"/>
      <c r="AP9" s="262"/>
      <c r="AQ9" s="262"/>
      <c r="AR9" s="262"/>
      <c r="AS9" s="262"/>
      <c r="AT9" s="262"/>
      <c r="AU9" s="262"/>
      <c r="AV9" s="262"/>
      <c r="AW9" s="262"/>
      <c r="AX9" s="262"/>
      <c r="AY9" s="262"/>
      <c r="AZ9" s="262"/>
      <c r="BA9" s="262"/>
      <c r="BB9" s="262"/>
      <c r="BC9" s="262"/>
      <c r="BD9" s="262"/>
      <c r="BE9" s="262"/>
      <c r="BF9" s="262"/>
      <c r="BG9" s="262"/>
      <c r="BH9" s="262"/>
      <c r="BI9" s="262"/>
      <c r="BJ9" s="262"/>
      <c r="BK9" s="262"/>
      <c r="BL9" s="262"/>
      <c r="BM9" s="262"/>
      <c r="BN9" s="262"/>
      <c r="BO9" s="262"/>
      <c r="BP9" s="262"/>
      <c r="BQ9" s="262"/>
      <c r="BR9" s="262"/>
      <c r="BS9" s="262"/>
      <c r="BT9" s="262"/>
      <c r="BU9" s="262"/>
      <c r="BV9" s="262"/>
      <c r="BW9" s="262"/>
      <c r="BX9" s="262"/>
      <c r="BY9" s="262"/>
      <c r="BZ9" s="262"/>
      <c r="CA9" s="262"/>
      <c r="CB9" s="262"/>
      <c r="CC9" s="262"/>
      <c r="CD9" s="262"/>
      <c r="CE9" s="262"/>
      <c r="CF9" s="262"/>
      <c r="CG9" s="262"/>
      <c r="CH9" s="262"/>
    </row>
    <row r="10" spans="1:86" ht="52.5" customHeight="1" x14ac:dyDescent="0.25">
      <c r="A10" s="4"/>
      <c r="B10" s="1173" t="s">
        <v>5136</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row>
    <row r="12" spans="1:86" x14ac:dyDescent="0.25">
      <c r="B12" s="1475" t="s">
        <v>11</v>
      </c>
      <c r="C12" s="1475"/>
      <c r="D12" s="1475"/>
      <c r="E12" s="1475"/>
      <c r="F12" s="1475"/>
      <c r="G12" s="1475"/>
      <c r="H12" s="1475"/>
      <c r="I12" s="1475"/>
    </row>
    <row r="13" spans="1:86" ht="64.5" customHeight="1" x14ac:dyDescent="0.25">
      <c r="B13" s="1173" t="s">
        <v>5137</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row>
    <row r="15" spans="1:86" x14ac:dyDescent="0.25">
      <c r="B15" s="1475" t="s">
        <v>12</v>
      </c>
      <c r="C15" s="1475"/>
      <c r="D15" s="1475"/>
      <c r="E15" s="1475"/>
      <c r="F15" s="1475"/>
      <c r="G15" s="1475"/>
      <c r="H15" s="1475"/>
      <c r="I15" s="1475"/>
    </row>
    <row r="16" spans="1:86" x14ac:dyDescent="0.25">
      <c r="B16" s="1473" t="s">
        <v>3201</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row>
    <row r="18" spans="1:32" x14ac:dyDescent="0.25">
      <c r="B18" s="1475" t="s">
        <v>13</v>
      </c>
      <c r="C18" s="1475"/>
      <c r="D18" s="1475"/>
      <c r="E18" s="1475"/>
      <c r="F18" s="1475"/>
      <c r="G18" s="1475"/>
      <c r="H18" s="1475"/>
      <c r="I18" s="1475"/>
    </row>
    <row r="19" spans="1:32" ht="47.25" customHeight="1" x14ac:dyDescent="0.25">
      <c r="A19" s="4"/>
      <c r="B19" s="1247" t="s">
        <v>3118</v>
      </c>
      <c r="C19" s="1247"/>
      <c r="D19" s="1247"/>
      <c r="E19" s="1247"/>
      <c r="F19" s="1247"/>
      <c r="G19" s="1247"/>
      <c r="H19" s="1247"/>
      <c r="I19" s="1247"/>
      <c r="J19" s="1247"/>
      <c r="K19" s="1247"/>
      <c r="L19" s="1247"/>
      <c r="M19" s="1247"/>
      <c r="N19" s="1247"/>
      <c r="O19" s="1247"/>
      <c r="P19" s="1247"/>
      <c r="Q19" s="1247"/>
      <c r="R19" s="1247"/>
      <c r="S19" s="1247"/>
      <c r="T19" s="1247"/>
      <c r="U19" s="1247"/>
      <c r="V19" s="1247"/>
      <c r="W19" s="1247"/>
      <c r="X19" s="1247"/>
      <c r="Y19" s="1247"/>
      <c r="Z19" s="1247"/>
      <c r="AA19" s="1247"/>
      <c r="AB19" s="1247"/>
      <c r="AC19" s="1247"/>
      <c r="AD19" s="1247"/>
      <c r="AE19" s="1247"/>
      <c r="AF19" s="1247"/>
    </row>
    <row r="21" spans="1:32" x14ac:dyDescent="0.25">
      <c r="B21" s="171" t="s">
        <v>20</v>
      </c>
      <c r="C21" s="171"/>
      <c r="D21" s="171"/>
      <c r="E21" s="171"/>
      <c r="F21" s="171"/>
      <c r="G21" s="171"/>
      <c r="H21" s="171"/>
      <c r="I21" s="171"/>
    </row>
    <row r="22" spans="1:32" ht="32.25" customHeight="1" x14ac:dyDescent="0.25">
      <c r="B22" s="1247" t="s">
        <v>3119</v>
      </c>
      <c r="C22" s="1476"/>
      <c r="D22" s="1476"/>
      <c r="E22" s="1476"/>
      <c r="F22" s="1476"/>
      <c r="G22" s="1476"/>
      <c r="H22" s="1476"/>
      <c r="I22" s="1476"/>
      <c r="J22" s="1476"/>
      <c r="K22" s="1476"/>
      <c r="L22" s="1476"/>
      <c r="M22" s="1476"/>
      <c r="N22" s="1476"/>
      <c r="O22" s="1476"/>
      <c r="P22" s="1476"/>
      <c r="Q22" s="1476"/>
      <c r="R22" s="1476"/>
      <c r="S22" s="1476"/>
      <c r="T22" s="1476"/>
      <c r="U22" s="1476"/>
      <c r="V22" s="1476"/>
      <c r="W22" s="1476"/>
      <c r="X22" s="1476"/>
      <c r="Y22" s="1476"/>
      <c r="Z22" s="1476"/>
      <c r="AA22" s="1476"/>
      <c r="AB22" s="1476"/>
      <c r="AC22" s="1476"/>
      <c r="AD22" s="1476"/>
      <c r="AE22" s="1476"/>
      <c r="AF22" s="1476"/>
    </row>
    <row r="23" spans="1:32" x14ac:dyDescent="0.25">
      <c r="B23" s="268"/>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row>
    <row r="24" spans="1:32" ht="63.75" customHeight="1" x14ac:dyDescent="0.25">
      <c r="B24" s="1477" t="s">
        <v>5139</v>
      </c>
      <c r="C24" s="1478"/>
      <c r="D24" s="1478"/>
      <c r="E24" s="1478"/>
      <c r="F24" s="1478"/>
      <c r="G24" s="1478"/>
      <c r="H24" s="1478"/>
      <c r="I24" s="1478"/>
      <c r="J24" s="1478"/>
      <c r="K24" s="1478"/>
      <c r="L24" s="1478"/>
      <c r="M24" s="1478"/>
      <c r="N24" s="1478"/>
      <c r="O24" s="1478"/>
      <c r="P24" s="1478"/>
      <c r="Q24" s="1478"/>
      <c r="R24" s="1478"/>
      <c r="S24" s="1478"/>
      <c r="T24" s="1478"/>
      <c r="U24" s="1478"/>
      <c r="V24" s="1478"/>
      <c r="W24" s="1478"/>
      <c r="X24" s="1478"/>
      <c r="Y24" s="1478"/>
      <c r="Z24" s="1478"/>
      <c r="AA24" s="1478"/>
      <c r="AB24" s="1478"/>
      <c r="AC24" s="1478"/>
      <c r="AD24" s="1478"/>
      <c r="AE24" s="1478"/>
      <c r="AF24" s="1478"/>
    </row>
    <row r="26" spans="1:32" x14ac:dyDescent="0.25">
      <c r="A26" s="1472" t="s">
        <v>14</v>
      </c>
      <c r="B26" s="1472"/>
      <c r="C26" s="1472"/>
      <c r="D26" s="1472"/>
      <c r="E26" s="1472"/>
      <c r="F26" s="1472"/>
      <c r="G26" s="1472"/>
      <c r="H26" s="1472"/>
      <c r="I26" s="1472"/>
      <c r="J26" s="1472"/>
      <c r="K26" s="1472"/>
      <c r="L26" s="1472"/>
      <c r="M26" s="1472"/>
      <c r="N26" s="1472"/>
      <c r="O26" s="1472"/>
      <c r="P26" s="1472"/>
      <c r="Q26" s="1472"/>
      <c r="R26" s="1472"/>
      <c r="S26" s="1472"/>
      <c r="T26" s="1472"/>
      <c r="U26" s="1472"/>
      <c r="V26" s="1472"/>
      <c r="W26" s="1472"/>
      <c r="X26" s="1472"/>
      <c r="Y26" s="1472"/>
      <c r="Z26" s="1472"/>
      <c r="AA26" s="1472"/>
      <c r="AB26" s="1472"/>
      <c r="AC26" s="1472"/>
      <c r="AD26" s="1472"/>
      <c r="AE26" s="1472"/>
      <c r="AF26" s="1472"/>
    </row>
    <row r="28" spans="1:32" ht="51" customHeight="1" x14ac:dyDescent="0.25">
      <c r="B28" s="1247" t="s">
        <v>3120</v>
      </c>
      <c r="C28" s="1247"/>
      <c r="D28" s="1247"/>
      <c r="E28" s="1247"/>
      <c r="F28" s="1247"/>
      <c r="G28" s="1247"/>
      <c r="H28" s="1247"/>
      <c r="I28" s="1247"/>
      <c r="J28" s="1247"/>
      <c r="K28" s="1247"/>
      <c r="L28" s="1247"/>
      <c r="M28" s="1247"/>
      <c r="N28" s="1247"/>
      <c r="O28" s="1247"/>
      <c r="P28" s="1247"/>
      <c r="Q28" s="1247"/>
      <c r="R28" s="1247"/>
      <c r="S28" s="1247"/>
      <c r="T28" s="1247"/>
      <c r="U28" s="1247"/>
      <c r="V28" s="1247"/>
      <c r="W28" s="1247"/>
      <c r="X28" s="1247"/>
      <c r="Y28" s="1247"/>
      <c r="Z28" s="1247"/>
      <c r="AA28" s="1247"/>
      <c r="AB28" s="1247"/>
      <c r="AC28" s="1247"/>
      <c r="AD28" s="1247"/>
      <c r="AE28" s="1247"/>
      <c r="AF28" s="1247"/>
    </row>
    <row r="30" spans="1:32" x14ac:dyDescent="0.25">
      <c r="B30" s="171" t="s">
        <v>2702</v>
      </c>
    </row>
    <row r="32" spans="1:32" x14ac:dyDescent="0.25">
      <c r="AF32" s="471" t="s">
        <v>1705</v>
      </c>
    </row>
    <row r="33" spans="2:32" x14ac:dyDescent="0.25">
      <c r="AF33" s="188"/>
    </row>
    <row r="34" spans="2:32" x14ac:dyDescent="0.25">
      <c r="B34" s="171" t="s">
        <v>2703</v>
      </c>
      <c r="AF34" s="188"/>
    </row>
    <row r="35" spans="2:32" x14ac:dyDescent="0.25">
      <c r="AF35" s="188"/>
    </row>
    <row r="36" spans="2:32" x14ac:dyDescent="0.25">
      <c r="AF36" s="471" t="s">
        <v>1706</v>
      </c>
    </row>
    <row r="37" spans="2:32" x14ac:dyDescent="0.25">
      <c r="AF37" s="188"/>
    </row>
    <row r="38" spans="2:32" x14ac:dyDescent="0.25">
      <c r="B38" s="171" t="s">
        <v>2419</v>
      </c>
      <c r="AF38" s="188"/>
    </row>
    <row r="39" spans="2:32" x14ac:dyDescent="0.25">
      <c r="AF39" s="188"/>
    </row>
    <row r="40" spans="2:32" x14ac:dyDescent="0.25">
      <c r="AF40" s="471" t="s">
        <v>1707</v>
      </c>
    </row>
    <row r="41" spans="2:32" x14ac:dyDescent="0.25">
      <c r="AF41" s="188"/>
    </row>
    <row r="42" spans="2:32" ht="15" customHeight="1" x14ac:dyDescent="0.25">
      <c r="B42" s="171" t="s">
        <v>2420</v>
      </c>
      <c r="AF42" s="188"/>
    </row>
    <row r="43" spans="2:32" x14ac:dyDescent="0.25">
      <c r="AF43" s="188"/>
    </row>
    <row r="44" spans="2:32" ht="15" customHeight="1" x14ac:dyDescent="0.25">
      <c r="AF44" s="471" t="s">
        <v>1756</v>
      </c>
    </row>
    <row r="45" spans="2:32" ht="15" customHeight="1" x14ac:dyDescent="0.25">
      <c r="AF45" s="188"/>
    </row>
    <row r="46" spans="2:32" x14ac:dyDescent="0.25">
      <c r="B46" s="171" t="s">
        <v>2423</v>
      </c>
      <c r="AF46" s="188"/>
    </row>
    <row r="47" spans="2:32" x14ac:dyDescent="0.25">
      <c r="AF47" s="188"/>
    </row>
    <row r="48" spans="2:32" x14ac:dyDescent="0.25">
      <c r="AF48" s="471" t="s">
        <v>1788</v>
      </c>
    </row>
    <row r="49" spans="2:32" x14ac:dyDescent="0.25">
      <c r="AF49" s="188"/>
    </row>
    <row r="50" spans="2:32" ht="15" customHeight="1" x14ac:dyDescent="0.25">
      <c r="B50" s="171" t="s">
        <v>3748</v>
      </c>
      <c r="AF50" s="188"/>
    </row>
    <row r="51" spans="2:32" x14ac:dyDescent="0.25">
      <c r="AF51" s="188"/>
    </row>
    <row r="52" spans="2:32" x14ac:dyDescent="0.25">
      <c r="AF52" s="471" t="s">
        <v>1789</v>
      </c>
    </row>
    <row r="53" spans="2:32" x14ac:dyDescent="0.25">
      <c r="AF53" s="188"/>
    </row>
    <row r="54" spans="2:32" x14ac:dyDescent="0.25">
      <c r="B54" s="171" t="s">
        <v>2421</v>
      </c>
      <c r="AF54" s="188"/>
    </row>
    <row r="55" spans="2:32" x14ac:dyDescent="0.25">
      <c r="AF55" s="188"/>
    </row>
    <row r="56" spans="2:32" x14ac:dyDescent="0.25">
      <c r="AF56" s="471" t="s">
        <v>1826</v>
      </c>
    </row>
    <row r="57" spans="2:32" x14ac:dyDescent="0.25">
      <c r="AF57" s="188"/>
    </row>
    <row r="58" spans="2:32" x14ac:dyDescent="0.25">
      <c r="B58" s="171" t="s">
        <v>2424</v>
      </c>
      <c r="AF58" s="188"/>
    </row>
    <row r="59" spans="2:32" x14ac:dyDescent="0.25">
      <c r="AF59" s="188"/>
    </row>
    <row r="60" spans="2:32" x14ac:dyDescent="0.25">
      <c r="AF60" s="471" t="s">
        <v>1827</v>
      </c>
    </row>
    <row r="61" spans="2:32" x14ac:dyDescent="0.25">
      <c r="AF61" s="188"/>
    </row>
    <row r="62" spans="2:32" x14ac:dyDescent="0.25">
      <c r="B62" s="171" t="s">
        <v>3749</v>
      </c>
      <c r="AF62" s="188"/>
    </row>
    <row r="63" spans="2:32" x14ac:dyDescent="0.25">
      <c r="AF63" s="188"/>
    </row>
    <row r="64" spans="2:32" x14ac:dyDescent="0.25">
      <c r="AF64" s="471" t="s">
        <v>2116</v>
      </c>
    </row>
    <row r="65" spans="1:32" x14ac:dyDescent="0.25">
      <c r="AF65" s="188"/>
    </row>
    <row r="66" spans="1:32" x14ac:dyDescent="0.25">
      <c r="B66" s="171" t="s">
        <v>2422</v>
      </c>
      <c r="AF66" s="188"/>
    </row>
    <row r="67" spans="1:32" x14ac:dyDescent="0.25">
      <c r="AF67" s="188"/>
    </row>
    <row r="68" spans="1:32" x14ac:dyDescent="0.25">
      <c r="AF68" s="471" t="s">
        <v>2118</v>
      </c>
    </row>
    <row r="69" spans="1:32" x14ac:dyDescent="0.25">
      <c r="AF69" s="188"/>
    </row>
    <row r="70" spans="1:32" x14ac:dyDescent="0.25">
      <c r="A70" s="262"/>
      <c r="B70" s="171" t="s">
        <v>2425</v>
      </c>
      <c r="AF70" s="188"/>
    </row>
    <row r="71" spans="1:32" x14ac:dyDescent="0.25">
      <c r="A71" s="262"/>
      <c r="B71" s="262"/>
      <c r="AF71" s="188"/>
    </row>
    <row r="72" spans="1:32" x14ac:dyDescent="0.25">
      <c r="A72" s="262"/>
      <c r="B72" s="262"/>
      <c r="AF72" s="471" t="s">
        <v>2119</v>
      </c>
    </row>
    <row r="74" spans="1:32" x14ac:dyDescent="0.25">
      <c r="A74" s="1472" t="s">
        <v>15</v>
      </c>
      <c r="B74" s="1472"/>
      <c r="C74" s="1472"/>
      <c r="D74" s="1472"/>
      <c r="E74" s="1472"/>
      <c r="F74" s="1472"/>
      <c r="G74" s="1472"/>
      <c r="H74" s="1472"/>
      <c r="I74" s="1472"/>
      <c r="J74" s="1472"/>
      <c r="K74" s="1472"/>
      <c r="L74" s="1472"/>
      <c r="M74" s="1472"/>
      <c r="N74" s="1472"/>
      <c r="O74" s="1472"/>
      <c r="P74" s="1472"/>
      <c r="Q74" s="1472"/>
      <c r="R74" s="1472"/>
      <c r="S74" s="1472"/>
      <c r="T74" s="1472"/>
      <c r="U74" s="1472"/>
      <c r="V74" s="1472"/>
      <c r="W74" s="1472"/>
      <c r="X74" s="1472"/>
      <c r="Y74" s="1472"/>
      <c r="Z74" s="1472"/>
      <c r="AA74" s="1472"/>
      <c r="AB74" s="1472"/>
      <c r="AC74" s="1472"/>
      <c r="AD74" s="1472"/>
      <c r="AE74" s="1472"/>
      <c r="AF74" s="1472"/>
    </row>
    <row r="75" spans="1:32" x14ac:dyDescent="0.25">
      <c r="A75" s="1474" t="s">
        <v>16</v>
      </c>
      <c r="B75" s="1474"/>
      <c r="C75" s="1474"/>
      <c r="D75" s="1474"/>
      <c r="E75" s="1474" t="s">
        <v>10</v>
      </c>
      <c r="F75" s="1474"/>
      <c r="G75" s="1474"/>
      <c r="H75" s="1474"/>
      <c r="I75" s="1474"/>
      <c r="J75" s="1474"/>
      <c r="K75" s="1474"/>
      <c r="L75" s="1474"/>
      <c r="M75" s="1474"/>
      <c r="N75" s="1474"/>
      <c r="O75" s="1474"/>
      <c r="P75" s="1474"/>
      <c r="Q75" s="1474" t="s">
        <v>17</v>
      </c>
      <c r="R75" s="1474"/>
      <c r="S75" s="1474"/>
      <c r="T75" s="1474"/>
      <c r="U75" s="1474" t="s">
        <v>18</v>
      </c>
      <c r="V75" s="1474"/>
      <c r="W75" s="1474" t="s">
        <v>1708</v>
      </c>
      <c r="X75" s="1474"/>
      <c r="Y75" s="1474"/>
      <c r="Z75" s="1474"/>
      <c r="AA75" s="1474"/>
      <c r="AB75" s="1474"/>
      <c r="AC75" s="1474"/>
      <c r="AD75" s="1474"/>
      <c r="AE75" s="1474"/>
      <c r="AF75" s="1474"/>
    </row>
    <row r="76" spans="1:32" ht="30" customHeight="1" x14ac:dyDescent="0.25">
      <c r="A76" s="1479" t="s">
        <v>2442</v>
      </c>
      <c r="B76" s="1480"/>
      <c r="C76" s="1480"/>
      <c r="D76" s="1481"/>
      <c r="E76" s="1479" t="s">
        <v>2859</v>
      </c>
      <c r="F76" s="1480"/>
      <c r="G76" s="1480"/>
      <c r="H76" s="1480"/>
      <c r="I76" s="1480"/>
      <c r="J76" s="1480"/>
      <c r="K76" s="1480"/>
      <c r="L76" s="1480"/>
      <c r="M76" s="1480"/>
      <c r="N76" s="1480"/>
      <c r="O76" s="1480"/>
      <c r="P76" s="1481"/>
      <c r="Q76" s="1482" t="s">
        <v>2852</v>
      </c>
      <c r="R76" s="1483"/>
      <c r="S76" s="1483"/>
      <c r="T76" s="1484"/>
      <c r="U76" s="1482" t="s">
        <v>2436</v>
      </c>
      <c r="V76" s="1484"/>
      <c r="W76" s="1479" t="s">
        <v>2446</v>
      </c>
      <c r="X76" s="1480"/>
      <c r="Y76" s="1480"/>
      <c r="Z76" s="1480"/>
      <c r="AA76" s="1480"/>
      <c r="AB76" s="1480"/>
      <c r="AC76" s="1480"/>
      <c r="AD76" s="1480"/>
      <c r="AE76" s="1480"/>
      <c r="AF76" s="1481"/>
    </row>
    <row r="77" spans="1:32" ht="30" customHeight="1" x14ac:dyDescent="0.25">
      <c r="A77" s="1479" t="s">
        <v>2441</v>
      </c>
      <c r="B77" s="1480"/>
      <c r="C77" s="1480"/>
      <c r="D77" s="1481"/>
      <c r="E77" s="1479" t="s">
        <v>2860</v>
      </c>
      <c r="F77" s="1480"/>
      <c r="G77" s="1480"/>
      <c r="H77" s="1480"/>
      <c r="I77" s="1480"/>
      <c r="J77" s="1480"/>
      <c r="K77" s="1480"/>
      <c r="L77" s="1480"/>
      <c r="M77" s="1480"/>
      <c r="N77" s="1480"/>
      <c r="O77" s="1480"/>
      <c r="P77" s="1481"/>
      <c r="Q77" s="1482" t="s">
        <v>2440</v>
      </c>
      <c r="R77" s="1483"/>
      <c r="S77" s="1483"/>
      <c r="T77" s="1484"/>
      <c r="U77" s="1482" t="s">
        <v>2436</v>
      </c>
      <c r="V77" s="1484"/>
      <c r="W77" s="1479" t="s">
        <v>2853</v>
      </c>
      <c r="X77" s="1480"/>
      <c r="Y77" s="1480"/>
      <c r="Z77" s="1480"/>
      <c r="AA77" s="1480"/>
      <c r="AB77" s="1480"/>
      <c r="AC77" s="1480"/>
      <c r="AD77" s="1480"/>
      <c r="AE77" s="1480"/>
      <c r="AF77" s="1481"/>
    </row>
    <row r="78" spans="1:32" ht="30" customHeight="1" x14ac:dyDescent="0.25">
      <c r="A78" s="1479" t="s">
        <v>2434</v>
      </c>
      <c r="B78" s="1480"/>
      <c r="C78" s="1480"/>
      <c r="D78" s="1481"/>
      <c r="E78" s="1479" t="s">
        <v>2437</v>
      </c>
      <c r="F78" s="1480"/>
      <c r="G78" s="1480"/>
      <c r="H78" s="1480"/>
      <c r="I78" s="1480"/>
      <c r="J78" s="1480"/>
      <c r="K78" s="1480"/>
      <c r="L78" s="1480"/>
      <c r="M78" s="1480"/>
      <c r="N78" s="1480"/>
      <c r="O78" s="1480"/>
      <c r="P78" s="1481"/>
      <c r="Q78" s="1482" t="s">
        <v>2439</v>
      </c>
      <c r="R78" s="1483"/>
      <c r="S78" s="1483"/>
      <c r="T78" s="1484"/>
      <c r="U78" s="1482" t="s">
        <v>2436</v>
      </c>
      <c r="V78" s="1484"/>
      <c r="W78" s="1479" t="s">
        <v>2444</v>
      </c>
      <c r="X78" s="1480"/>
      <c r="Y78" s="1480"/>
      <c r="Z78" s="1480"/>
      <c r="AA78" s="1480"/>
      <c r="AB78" s="1480"/>
      <c r="AC78" s="1480"/>
      <c r="AD78" s="1480"/>
      <c r="AE78" s="1480"/>
      <c r="AF78" s="1481"/>
    </row>
    <row r="79" spans="1:32" ht="30" customHeight="1" x14ac:dyDescent="0.25">
      <c r="A79" s="1479" t="s">
        <v>2435</v>
      </c>
      <c r="B79" s="1480"/>
      <c r="C79" s="1480"/>
      <c r="D79" s="1481"/>
      <c r="E79" s="1479" t="s">
        <v>2438</v>
      </c>
      <c r="F79" s="1480"/>
      <c r="G79" s="1480"/>
      <c r="H79" s="1480"/>
      <c r="I79" s="1480"/>
      <c r="J79" s="1480"/>
      <c r="K79" s="1480"/>
      <c r="L79" s="1480"/>
      <c r="M79" s="1480"/>
      <c r="N79" s="1480"/>
      <c r="O79" s="1480"/>
      <c r="P79" s="1481"/>
      <c r="Q79" s="1482" t="s">
        <v>2439</v>
      </c>
      <c r="R79" s="1483"/>
      <c r="S79" s="1483"/>
      <c r="T79" s="1484"/>
      <c r="U79" s="1482" t="s">
        <v>2436</v>
      </c>
      <c r="V79" s="1484"/>
      <c r="W79" s="1479" t="s">
        <v>2443</v>
      </c>
      <c r="X79" s="1480"/>
      <c r="Y79" s="1480"/>
      <c r="Z79" s="1480"/>
      <c r="AA79" s="1480"/>
      <c r="AB79" s="1480"/>
      <c r="AC79" s="1480"/>
      <c r="AD79" s="1480"/>
      <c r="AE79" s="1480"/>
      <c r="AF79" s="1481"/>
    </row>
    <row r="80" spans="1:32" ht="30" customHeight="1" x14ac:dyDescent="0.25">
      <c r="A80" s="1485" t="s">
        <v>2431</v>
      </c>
      <c r="B80" s="1486"/>
      <c r="C80" s="1486"/>
      <c r="D80" s="1487"/>
      <c r="E80" s="1479" t="s">
        <v>2447</v>
      </c>
      <c r="F80" s="1480"/>
      <c r="G80" s="1480"/>
      <c r="H80" s="1480"/>
      <c r="I80" s="1480"/>
      <c r="J80" s="1480"/>
      <c r="K80" s="1480"/>
      <c r="L80" s="1480"/>
      <c r="M80" s="1480"/>
      <c r="N80" s="1480"/>
      <c r="O80" s="1480"/>
      <c r="P80" s="1481"/>
      <c r="Q80" s="1482" t="s">
        <v>2432</v>
      </c>
      <c r="R80" s="1483"/>
      <c r="S80" s="1483"/>
      <c r="T80" s="1484"/>
      <c r="U80" s="1482" t="s">
        <v>44</v>
      </c>
      <c r="V80" s="1484"/>
      <c r="W80" s="1479" t="s">
        <v>3121</v>
      </c>
      <c r="X80" s="1480"/>
      <c r="Y80" s="1480"/>
      <c r="Z80" s="1480"/>
      <c r="AA80" s="1480"/>
      <c r="AB80" s="1480"/>
      <c r="AC80" s="1480"/>
      <c r="AD80" s="1480"/>
      <c r="AE80" s="1480"/>
      <c r="AF80" s="1481"/>
    </row>
    <row r="81" spans="1:32" ht="30" customHeight="1" x14ac:dyDescent="0.25">
      <c r="A81" s="1485" t="s">
        <v>2430</v>
      </c>
      <c r="B81" s="1486"/>
      <c r="C81" s="1486"/>
      <c r="D81" s="1487"/>
      <c r="E81" s="1479" t="s">
        <v>2448</v>
      </c>
      <c r="F81" s="1480"/>
      <c r="G81" s="1480"/>
      <c r="H81" s="1480"/>
      <c r="I81" s="1480"/>
      <c r="J81" s="1480"/>
      <c r="K81" s="1480"/>
      <c r="L81" s="1480"/>
      <c r="M81" s="1480"/>
      <c r="N81" s="1480"/>
      <c r="O81" s="1480"/>
      <c r="P81" s="1481"/>
      <c r="Q81" s="1482" t="s">
        <v>2432</v>
      </c>
      <c r="R81" s="1483"/>
      <c r="S81" s="1483"/>
      <c r="T81" s="1484"/>
      <c r="U81" s="1482" t="s">
        <v>44</v>
      </c>
      <c r="V81" s="1484"/>
      <c r="W81" s="1479" t="s">
        <v>2445</v>
      </c>
      <c r="X81" s="1480"/>
      <c r="Y81" s="1480"/>
      <c r="Z81" s="1480"/>
      <c r="AA81" s="1480"/>
      <c r="AB81" s="1480"/>
      <c r="AC81" s="1480"/>
      <c r="AD81" s="1480"/>
      <c r="AE81" s="1480"/>
      <c r="AF81" s="1481"/>
    </row>
    <row r="82" spans="1:32" ht="30" customHeight="1" x14ac:dyDescent="0.25">
      <c r="A82" s="1488" t="s">
        <v>3850</v>
      </c>
      <c r="B82" s="1489"/>
      <c r="C82" s="1489"/>
      <c r="D82" s="1490"/>
      <c r="E82" s="1494" t="s">
        <v>3843</v>
      </c>
      <c r="F82" s="1495"/>
      <c r="G82" s="1495"/>
      <c r="H82" s="1495"/>
      <c r="I82" s="1495"/>
      <c r="J82" s="1495"/>
      <c r="K82" s="1495"/>
      <c r="L82" s="1495"/>
      <c r="M82" s="1495"/>
      <c r="N82" s="1495"/>
      <c r="O82" s="1495"/>
      <c r="P82" s="1496"/>
      <c r="Q82" s="1497">
        <v>758</v>
      </c>
      <c r="R82" s="1498"/>
      <c r="S82" s="1498"/>
      <c r="T82" s="1499"/>
      <c r="U82" s="1497" t="s">
        <v>44</v>
      </c>
      <c r="V82" s="1499"/>
      <c r="W82" s="1494" t="s">
        <v>3851</v>
      </c>
      <c r="X82" s="1495"/>
      <c r="Y82" s="1495"/>
      <c r="Z82" s="1495"/>
      <c r="AA82" s="1495"/>
      <c r="AB82" s="1495"/>
      <c r="AC82" s="1495"/>
      <c r="AD82" s="1495"/>
      <c r="AE82" s="1495"/>
      <c r="AF82" s="1496"/>
    </row>
    <row r="83" spans="1:32" ht="30" customHeight="1" x14ac:dyDescent="0.25">
      <c r="A83" s="1491"/>
      <c r="B83" s="1492"/>
      <c r="C83" s="1492"/>
      <c r="D83" s="1493"/>
      <c r="E83" s="1494" t="s">
        <v>3844</v>
      </c>
      <c r="F83" s="1495"/>
      <c r="G83" s="1495"/>
      <c r="H83" s="1495"/>
      <c r="I83" s="1495"/>
      <c r="J83" s="1495"/>
      <c r="K83" s="1495"/>
      <c r="L83" s="1495"/>
      <c r="M83" s="1495"/>
      <c r="N83" s="1495"/>
      <c r="O83" s="1495"/>
      <c r="P83" s="1496"/>
      <c r="Q83" s="1497">
        <v>574</v>
      </c>
      <c r="R83" s="1498"/>
      <c r="S83" s="1498"/>
      <c r="T83" s="1499"/>
      <c r="U83" s="1497" t="s">
        <v>44</v>
      </c>
      <c r="V83" s="1499"/>
      <c r="W83" s="1494" t="s">
        <v>3851</v>
      </c>
      <c r="X83" s="1495"/>
      <c r="Y83" s="1495"/>
      <c r="Z83" s="1495"/>
      <c r="AA83" s="1495"/>
      <c r="AB83" s="1495"/>
      <c r="AC83" s="1495"/>
      <c r="AD83" s="1495"/>
      <c r="AE83" s="1495"/>
      <c r="AF83" s="1496"/>
    </row>
    <row r="84" spans="1:32" ht="30" customHeight="1" x14ac:dyDescent="0.25">
      <c r="A84" s="1485" t="s">
        <v>42</v>
      </c>
      <c r="B84" s="1486"/>
      <c r="C84" s="1486"/>
      <c r="D84" s="1487"/>
      <c r="E84" s="1479" t="s">
        <v>865</v>
      </c>
      <c r="F84" s="1480"/>
      <c r="G84" s="1480"/>
      <c r="H84" s="1480"/>
      <c r="I84" s="1480"/>
      <c r="J84" s="1480"/>
      <c r="K84" s="1480"/>
      <c r="L84" s="1480"/>
      <c r="M84" s="1480"/>
      <c r="N84" s="1480"/>
      <c r="O84" s="1480"/>
      <c r="P84" s="1481"/>
      <c r="Q84" s="1500">
        <v>1</v>
      </c>
      <c r="R84" s="1501"/>
      <c r="S84" s="1501"/>
      <c r="T84" s="1502"/>
      <c r="U84" s="1482" t="s">
        <v>28</v>
      </c>
      <c r="V84" s="1484"/>
      <c r="W84" s="1479" t="s">
        <v>2854</v>
      </c>
      <c r="X84" s="1480"/>
      <c r="Y84" s="1480"/>
      <c r="Z84" s="1480"/>
      <c r="AA84" s="1480"/>
      <c r="AB84" s="1480"/>
      <c r="AC84" s="1480"/>
      <c r="AD84" s="1480"/>
      <c r="AE84" s="1480"/>
      <c r="AF84" s="1481"/>
    </row>
    <row r="85" spans="1:32" ht="30" customHeight="1" x14ac:dyDescent="0.25">
      <c r="A85" s="1485" t="s">
        <v>32</v>
      </c>
      <c r="B85" s="1486"/>
      <c r="C85" s="1486"/>
      <c r="D85" s="1487"/>
      <c r="E85" s="1479" t="s">
        <v>163</v>
      </c>
      <c r="F85" s="1480"/>
      <c r="G85" s="1480"/>
      <c r="H85" s="1480"/>
      <c r="I85" s="1480"/>
      <c r="J85" s="1480"/>
      <c r="K85" s="1480"/>
      <c r="L85" s="1480"/>
      <c r="M85" s="1480"/>
      <c r="N85" s="1480"/>
      <c r="O85" s="1480"/>
      <c r="P85" s="1481"/>
      <c r="Q85" s="1482">
        <v>8760</v>
      </c>
      <c r="R85" s="1483"/>
      <c r="S85" s="1483"/>
      <c r="T85" s="1484"/>
      <c r="U85" s="1482" t="s">
        <v>45</v>
      </c>
      <c r="V85" s="1484"/>
      <c r="W85" s="1503" t="s">
        <v>2433</v>
      </c>
      <c r="X85" s="1504"/>
      <c r="Y85" s="1504"/>
      <c r="Z85" s="1504"/>
      <c r="AA85" s="1504"/>
      <c r="AB85" s="1504"/>
      <c r="AC85" s="1504"/>
      <c r="AD85" s="1504"/>
      <c r="AE85" s="1504"/>
      <c r="AF85" s="1505"/>
    </row>
    <row r="86" spans="1:32" ht="30" customHeight="1" x14ac:dyDescent="0.25">
      <c r="A86" s="1485" t="s">
        <v>29</v>
      </c>
      <c r="B86" s="1486"/>
      <c r="C86" s="1486"/>
      <c r="D86" s="1487"/>
      <c r="E86" s="1479" t="s">
        <v>104</v>
      </c>
      <c r="F86" s="1480"/>
      <c r="G86" s="1480"/>
      <c r="H86" s="1480"/>
      <c r="I86" s="1480"/>
      <c r="J86" s="1480"/>
      <c r="K86" s="1480"/>
      <c r="L86" s="1480"/>
      <c r="M86" s="1480"/>
      <c r="N86" s="1480"/>
      <c r="O86" s="1480"/>
      <c r="P86" s="1481"/>
      <c r="Q86" s="1500">
        <v>1</v>
      </c>
      <c r="R86" s="1501"/>
      <c r="S86" s="1501"/>
      <c r="T86" s="1502"/>
      <c r="U86" s="1482" t="s">
        <v>28</v>
      </c>
      <c r="V86" s="1484"/>
      <c r="W86" s="1479" t="s">
        <v>2846</v>
      </c>
      <c r="X86" s="1480"/>
      <c r="Y86" s="1480"/>
      <c r="Z86" s="1480"/>
      <c r="AA86" s="1480"/>
      <c r="AB86" s="1480"/>
      <c r="AC86" s="1480"/>
      <c r="AD86" s="1480"/>
      <c r="AE86" s="1480"/>
      <c r="AF86" s="1481"/>
    </row>
    <row r="87" spans="1:32" ht="30" customHeight="1" x14ac:dyDescent="0.25">
      <c r="A87" s="1485" t="s">
        <v>2849</v>
      </c>
      <c r="B87" s="1486"/>
      <c r="C87" s="1486"/>
      <c r="D87" s="1487"/>
      <c r="E87" s="1479" t="s">
        <v>2426</v>
      </c>
      <c r="F87" s="1480"/>
      <c r="G87" s="1480"/>
      <c r="H87" s="1480"/>
      <c r="I87" s="1480"/>
      <c r="J87" s="1480"/>
      <c r="K87" s="1480"/>
      <c r="L87" s="1480"/>
      <c r="M87" s="1480"/>
      <c r="N87" s="1480"/>
      <c r="O87" s="1480"/>
      <c r="P87" s="1481"/>
      <c r="Q87" s="1482">
        <f>'Master EUL'!X26</f>
        <v>14</v>
      </c>
      <c r="R87" s="1483"/>
      <c r="S87" s="1483"/>
      <c r="T87" s="1484"/>
      <c r="U87" s="1482" t="s">
        <v>46</v>
      </c>
      <c r="V87" s="1484"/>
      <c r="W87" s="1479" t="s">
        <v>2855</v>
      </c>
      <c r="X87" s="1480"/>
      <c r="Y87" s="1480"/>
      <c r="Z87" s="1480"/>
      <c r="AA87" s="1480"/>
      <c r="AB87" s="1480"/>
      <c r="AC87" s="1480"/>
      <c r="AD87" s="1480"/>
      <c r="AE87" s="1480"/>
      <c r="AF87" s="1481"/>
    </row>
    <row r="88" spans="1:32" ht="30" customHeight="1" x14ac:dyDescent="0.25">
      <c r="A88" s="1485" t="s">
        <v>2850</v>
      </c>
      <c r="B88" s="1486"/>
      <c r="C88" s="1486"/>
      <c r="D88" s="1487"/>
      <c r="E88" s="1479" t="s">
        <v>2427</v>
      </c>
      <c r="F88" s="1480"/>
      <c r="G88" s="1480"/>
      <c r="H88" s="1480"/>
      <c r="I88" s="1480"/>
      <c r="J88" s="1480"/>
      <c r="K88" s="1480"/>
      <c r="L88" s="1480"/>
      <c r="M88" s="1480"/>
      <c r="N88" s="1480"/>
      <c r="O88" s="1480"/>
      <c r="P88" s="1481"/>
      <c r="Q88" s="1482">
        <f>'Master EUL'!X27</f>
        <v>17</v>
      </c>
      <c r="R88" s="1483"/>
      <c r="S88" s="1483"/>
      <c r="T88" s="1484"/>
      <c r="U88" s="1482" t="s">
        <v>46</v>
      </c>
      <c r="V88" s="1484"/>
      <c r="W88" s="1479" t="s">
        <v>1757</v>
      </c>
      <c r="X88" s="1480"/>
      <c r="Y88" s="1480"/>
      <c r="Z88" s="1480"/>
      <c r="AA88" s="1480"/>
      <c r="AB88" s="1480"/>
      <c r="AC88" s="1480"/>
      <c r="AD88" s="1480"/>
      <c r="AE88" s="1480"/>
      <c r="AF88" s="1481"/>
    </row>
    <row r="89" spans="1:32" ht="30" customHeight="1" x14ac:dyDescent="0.25">
      <c r="A89" s="1485" t="s">
        <v>2847</v>
      </c>
      <c r="B89" s="1486"/>
      <c r="C89" s="1486"/>
      <c r="D89" s="1487"/>
      <c r="E89" s="1479" t="s">
        <v>2428</v>
      </c>
      <c r="F89" s="1480"/>
      <c r="G89" s="1480"/>
      <c r="H89" s="1480"/>
      <c r="I89" s="1480"/>
      <c r="J89" s="1480"/>
      <c r="K89" s="1480"/>
      <c r="L89" s="1480"/>
      <c r="M89" s="1480"/>
      <c r="N89" s="1480"/>
      <c r="O89" s="1480"/>
      <c r="P89" s="1481"/>
      <c r="Q89" s="1482">
        <f>'Master EUL'!X28</f>
        <v>8</v>
      </c>
      <c r="R89" s="1483"/>
      <c r="S89" s="1483"/>
      <c r="T89" s="1484"/>
      <c r="U89" s="1482" t="s">
        <v>46</v>
      </c>
      <c r="V89" s="1484"/>
      <c r="W89" s="1479" t="s">
        <v>1757</v>
      </c>
      <c r="X89" s="1480"/>
      <c r="Y89" s="1480"/>
      <c r="Z89" s="1480"/>
      <c r="AA89" s="1480"/>
      <c r="AB89" s="1480"/>
      <c r="AC89" s="1480"/>
      <c r="AD89" s="1480"/>
      <c r="AE89" s="1480"/>
      <c r="AF89" s="1481"/>
    </row>
    <row r="90" spans="1:32" ht="30" customHeight="1" x14ac:dyDescent="0.25">
      <c r="A90" s="1485" t="s">
        <v>2848</v>
      </c>
      <c r="B90" s="1486"/>
      <c r="C90" s="1486"/>
      <c r="D90" s="1487"/>
      <c r="E90" s="1479" t="s">
        <v>2429</v>
      </c>
      <c r="F90" s="1480"/>
      <c r="G90" s="1480"/>
      <c r="H90" s="1480"/>
      <c r="I90" s="1480"/>
      <c r="J90" s="1480"/>
      <c r="K90" s="1480"/>
      <c r="L90" s="1480"/>
      <c r="M90" s="1480"/>
      <c r="N90" s="1480"/>
      <c r="O90" s="1480"/>
      <c r="P90" s="1481"/>
      <c r="Q90" s="1482">
        <f>'Master EUL'!X29</f>
        <v>7</v>
      </c>
      <c r="R90" s="1483"/>
      <c r="S90" s="1483"/>
      <c r="T90" s="1484"/>
      <c r="U90" s="1482" t="s">
        <v>46</v>
      </c>
      <c r="V90" s="1484"/>
      <c r="W90" s="1479" t="s">
        <v>1757</v>
      </c>
      <c r="X90" s="1480"/>
      <c r="Y90" s="1480"/>
      <c r="Z90" s="1480"/>
      <c r="AA90" s="1480"/>
      <c r="AB90" s="1480"/>
      <c r="AC90" s="1480"/>
      <c r="AD90" s="1480"/>
      <c r="AE90" s="1480"/>
      <c r="AF90" s="1481"/>
    </row>
    <row r="91" spans="1:32" ht="39.75" customHeight="1" x14ac:dyDescent="0.25">
      <c r="A91" s="1290" t="s">
        <v>2858</v>
      </c>
      <c r="B91" s="1290"/>
      <c r="C91" s="1290"/>
      <c r="D91" s="1290"/>
      <c r="E91" s="1290"/>
      <c r="F91" s="1290"/>
      <c r="G91" s="1290"/>
      <c r="H91" s="1290"/>
      <c r="I91" s="1290"/>
      <c r="J91" s="1290"/>
      <c r="K91" s="1290"/>
      <c r="L91" s="1290"/>
      <c r="M91" s="1290"/>
      <c r="N91" s="1290"/>
      <c r="O91" s="1290"/>
      <c r="P91" s="1290"/>
      <c r="Q91" s="1290"/>
      <c r="R91" s="1290"/>
      <c r="S91" s="1290"/>
      <c r="T91" s="1290"/>
      <c r="U91" s="1290"/>
      <c r="V91" s="1290"/>
      <c r="W91" s="1290"/>
      <c r="X91" s="1290"/>
      <c r="Y91" s="1290"/>
      <c r="Z91" s="1290"/>
      <c r="AA91" s="1290"/>
      <c r="AB91" s="1290"/>
      <c r="AC91" s="1290"/>
      <c r="AD91" s="1290"/>
      <c r="AE91" s="1290"/>
      <c r="AF91" s="1290"/>
    </row>
    <row r="92" spans="1:32" ht="52.5" customHeight="1" x14ac:dyDescent="0.25">
      <c r="A92" s="1290" t="s">
        <v>3036</v>
      </c>
      <c r="B92" s="1290"/>
      <c r="C92" s="1290"/>
      <c r="D92" s="1290"/>
      <c r="E92" s="1290"/>
      <c r="F92" s="1290"/>
      <c r="G92" s="1290"/>
      <c r="H92" s="1290"/>
      <c r="I92" s="1290"/>
      <c r="J92" s="1290"/>
      <c r="K92" s="1290"/>
      <c r="L92" s="1290"/>
      <c r="M92" s="1290"/>
      <c r="N92" s="1290"/>
      <c r="O92" s="1290"/>
      <c r="P92" s="1290"/>
      <c r="Q92" s="1290"/>
      <c r="R92" s="1290"/>
      <c r="S92" s="1290"/>
      <c r="T92" s="1290"/>
      <c r="U92" s="1290"/>
      <c r="V92" s="1290"/>
      <c r="W92" s="1290"/>
      <c r="X92" s="1290"/>
      <c r="Y92" s="1290"/>
      <c r="Z92" s="1290"/>
      <c r="AA92" s="1290"/>
      <c r="AB92" s="1290"/>
      <c r="AC92" s="1290"/>
      <c r="AD92" s="1290"/>
      <c r="AE92" s="1290"/>
      <c r="AF92" s="1290"/>
    </row>
    <row r="93" spans="1:32" ht="42" customHeight="1" x14ac:dyDescent="0.25">
      <c r="A93" s="1290" t="s">
        <v>3037</v>
      </c>
      <c r="B93" s="1290"/>
      <c r="C93" s="1290"/>
      <c r="D93" s="1290"/>
      <c r="E93" s="1290"/>
      <c r="F93" s="1290"/>
      <c r="G93" s="1290"/>
      <c r="H93" s="1290"/>
      <c r="I93" s="1290"/>
      <c r="J93" s="1290"/>
      <c r="K93" s="1290"/>
      <c r="L93" s="1290"/>
      <c r="M93" s="1290"/>
      <c r="N93" s="1290"/>
      <c r="O93" s="1290"/>
      <c r="P93" s="1290"/>
      <c r="Q93" s="1290"/>
      <c r="R93" s="1290"/>
      <c r="S93" s="1290"/>
      <c r="T93" s="1290"/>
      <c r="U93" s="1290"/>
      <c r="V93" s="1290"/>
      <c r="W93" s="1290"/>
      <c r="X93" s="1290"/>
      <c r="Y93" s="1290"/>
      <c r="Z93" s="1290"/>
      <c r="AA93" s="1290"/>
      <c r="AB93" s="1290"/>
      <c r="AC93" s="1290"/>
      <c r="AD93" s="1290"/>
      <c r="AE93" s="1290"/>
      <c r="AF93" s="1290"/>
    </row>
    <row r="94" spans="1:32" ht="68.25" customHeight="1" x14ac:dyDescent="0.25">
      <c r="A94" s="1290" t="s">
        <v>3852</v>
      </c>
      <c r="B94" s="1290"/>
      <c r="C94" s="1290"/>
      <c r="D94" s="1290"/>
      <c r="E94" s="1290"/>
      <c r="F94" s="1290"/>
      <c r="G94" s="1290"/>
      <c r="H94" s="1290"/>
      <c r="I94" s="1290"/>
      <c r="J94" s="1290"/>
      <c r="K94" s="1290"/>
      <c r="L94" s="1290"/>
      <c r="M94" s="1290"/>
      <c r="N94" s="1290"/>
      <c r="O94" s="1290"/>
      <c r="P94" s="1290"/>
      <c r="Q94" s="1290"/>
      <c r="R94" s="1290"/>
      <c r="S94" s="1290"/>
      <c r="T94" s="1290"/>
      <c r="U94" s="1290"/>
      <c r="V94" s="1290"/>
      <c r="W94" s="1290"/>
      <c r="X94" s="1290"/>
      <c r="Y94" s="1290"/>
      <c r="Z94" s="1290"/>
      <c r="AA94" s="1290"/>
      <c r="AB94" s="1290"/>
      <c r="AC94" s="1290"/>
      <c r="AD94" s="1290"/>
      <c r="AE94" s="1290"/>
      <c r="AF94" s="1290"/>
    </row>
    <row r="95" spans="1:32" ht="30" customHeight="1" x14ac:dyDescent="0.25">
      <c r="A95" s="1290" t="s">
        <v>2856</v>
      </c>
      <c r="B95" s="1290"/>
      <c r="C95" s="1290"/>
      <c r="D95" s="1290"/>
      <c r="E95" s="1290"/>
      <c r="F95" s="1290"/>
      <c r="G95" s="1290"/>
      <c r="H95" s="1290"/>
      <c r="I95" s="1290"/>
      <c r="J95" s="1290"/>
      <c r="K95" s="1290"/>
      <c r="L95" s="1290"/>
      <c r="M95" s="1290"/>
      <c r="N95" s="1290"/>
      <c r="O95" s="1290"/>
      <c r="P95" s="1290"/>
      <c r="Q95" s="1290"/>
      <c r="R95" s="1290"/>
      <c r="S95" s="1290"/>
      <c r="T95" s="1290"/>
      <c r="U95" s="1290"/>
      <c r="V95" s="1290"/>
      <c r="W95" s="1290"/>
      <c r="X95" s="1290"/>
      <c r="Y95" s="1290"/>
      <c r="Z95" s="1290"/>
      <c r="AA95" s="1290"/>
      <c r="AB95" s="1290"/>
      <c r="AC95" s="1290"/>
      <c r="AD95" s="1290"/>
      <c r="AE95" s="1290"/>
      <c r="AF95" s="1290"/>
    </row>
    <row r="96" spans="1:32" x14ac:dyDescent="0.25">
      <c r="A96" s="470" t="s">
        <v>2857</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row>
    <row r="97" spans="1:32" x14ac:dyDescent="0.2">
      <c r="A97" s="146"/>
    </row>
    <row r="98" spans="1:32" ht="31.5" customHeight="1" x14ac:dyDescent="0.25">
      <c r="A98" s="1167" t="s">
        <v>2483</v>
      </c>
      <c r="B98" s="1167"/>
      <c r="C98" s="1167"/>
      <c r="D98" s="1167"/>
      <c r="E98" s="1167"/>
      <c r="F98" s="1167"/>
      <c r="G98" s="1167"/>
      <c r="H98" s="1167"/>
      <c r="I98" s="1167"/>
      <c r="J98" s="1167"/>
      <c r="K98" s="1167"/>
      <c r="L98" s="1167"/>
      <c r="M98" s="1167"/>
      <c r="N98" s="1167"/>
      <c r="O98" s="1167"/>
      <c r="P98" s="1167"/>
      <c r="Q98" s="1167"/>
      <c r="R98" s="1167"/>
      <c r="S98" s="1167"/>
      <c r="T98" s="1167"/>
      <c r="U98" s="1167"/>
      <c r="V98" s="1167"/>
      <c r="W98" s="1167"/>
      <c r="X98" s="1167"/>
      <c r="Y98" s="1167"/>
      <c r="Z98" s="1167"/>
      <c r="AA98" s="1167"/>
      <c r="AB98" s="1167"/>
      <c r="AC98" s="1167"/>
      <c r="AD98" s="1167"/>
      <c r="AE98" s="1167"/>
      <c r="AF98" s="1167"/>
    </row>
    <row r="99" spans="1:32" ht="36" customHeight="1" x14ac:dyDescent="0.25">
      <c r="A99" s="1506" t="s">
        <v>2449</v>
      </c>
      <c r="B99" s="1506"/>
      <c r="C99" s="1506"/>
      <c r="D99" s="1506"/>
      <c r="E99" s="1506"/>
      <c r="F99" s="1506"/>
      <c r="G99" s="1506"/>
      <c r="H99" s="1506"/>
      <c r="I99" s="1506"/>
      <c r="J99" s="1506"/>
      <c r="K99" s="1506"/>
      <c r="L99" s="1506"/>
      <c r="M99" s="1506"/>
      <c r="N99" s="1506"/>
      <c r="O99" s="1506"/>
      <c r="P99" s="1506"/>
      <c r="Q99" s="1311" t="s">
        <v>2484</v>
      </c>
      <c r="R99" s="1311"/>
      <c r="S99" s="1311"/>
      <c r="T99" s="1311"/>
      <c r="U99" s="1311"/>
      <c r="V99" s="1311"/>
      <c r="W99" s="1311"/>
      <c r="X99" s="1311"/>
      <c r="Y99" s="1311" t="s">
        <v>2485</v>
      </c>
      <c r="Z99" s="1311"/>
      <c r="AA99" s="1311"/>
      <c r="AB99" s="1311"/>
      <c r="AC99" s="1311"/>
      <c r="AD99" s="1311"/>
      <c r="AE99" s="1311"/>
      <c r="AF99" s="1311"/>
    </row>
    <row r="100" spans="1:32" x14ac:dyDescent="0.25">
      <c r="A100" s="1507" t="s">
        <v>2450</v>
      </c>
      <c r="B100" s="1507"/>
      <c r="C100" s="1507"/>
      <c r="D100" s="1507"/>
      <c r="E100" s="1507"/>
      <c r="F100" s="1507"/>
      <c r="G100" s="1507"/>
      <c r="H100" s="1507"/>
      <c r="I100" s="1507"/>
      <c r="J100" s="1507"/>
      <c r="K100" s="1507"/>
      <c r="L100" s="1507"/>
      <c r="M100" s="1507"/>
      <c r="N100" s="1507"/>
      <c r="O100" s="1507"/>
      <c r="P100" s="1507"/>
      <c r="Q100" s="1311" t="s">
        <v>2458</v>
      </c>
      <c r="R100" s="1311"/>
      <c r="S100" s="1311"/>
      <c r="T100" s="1311"/>
      <c r="U100" s="1311" t="s">
        <v>2459</v>
      </c>
      <c r="V100" s="1311"/>
      <c r="W100" s="1311"/>
      <c r="X100" s="1311"/>
      <c r="Y100" s="1311" t="s">
        <v>2458</v>
      </c>
      <c r="Z100" s="1311"/>
      <c r="AA100" s="1311"/>
      <c r="AB100" s="1311"/>
      <c r="AC100" s="1311" t="s">
        <v>2459</v>
      </c>
      <c r="AD100" s="1311"/>
      <c r="AE100" s="1311"/>
      <c r="AF100" s="1311"/>
    </row>
    <row r="101" spans="1:32" ht="30" customHeight="1" x14ac:dyDescent="0.25">
      <c r="A101" s="1508" t="s">
        <v>2451</v>
      </c>
      <c r="B101" s="1508"/>
      <c r="C101" s="1508"/>
      <c r="D101" s="1508"/>
      <c r="E101" s="1508"/>
      <c r="F101" s="1508"/>
      <c r="G101" s="1508"/>
      <c r="H101" s="1508"/>
      <c r="I101" s="1508"/>
      <c r="J101" s="1508"/>
      <c r="K101" s="1508"/>
      <c r="L101" s="1508"/>
      <c r="M101" s="1508"/>
      <c r="N101" s="1508"/>
      <c r="O101" s="1508"/>
      <c r="P101" s="1508"/>
      <c r="Q101" s="1509">
        <v>6.79</v>
      </c>
      <c r="R101" s="1509"/>
      <c r="S101" s="1509"/>
      <c r="T101" s="1509"/>
      <c r="U101" s="1510">
        <v>193.6</v>
      </c>
      <c r="V101" s="1510"/>
      <c r="W101" s="1510"/>
      <c r="X101" s="1510"/>
      <c r="Y101" s="1509">
        <v>6.11</v>
      </c>
      <c r="Z101" s="1509"/>
      <c r="AA101" s="1509"/>
      <c r="AB101" s="1509"/>
      <c r="AC101" s="1510">
        <v>174.2</v>
      </c>
      <c r="AD101" s="1510"/>
      <c r="AE101" s="1510"/>
      <c r="AF101" s="1510"/>
    </row>
    <row r="102" spans="1:32" ht="30" customHeight="1" x14ac:dyDescent="0.25">
      <c r="A102" s="1508" t="s">
        <v>2452</v>
      </c>
      <c r="B102" s="1508"/>
      <c r="C102" s="1508"/>
      <c r="D102" s="1508"/>
      <c r="E102" s="1508"/>
      <c r="F102" s="1508"/>
      <c r="G102" s="1508"/>
      <c r="H102" s="1508"/>
      <c r="I102" s="1508"/>
      <c r="J102" s="1508"/>
      <c r="K102" s="1508"/>
      <c r="L102" s="1508"/>
      <c r="M102" s="1508"/>
      <c r="N102" s="1508"/>
      <c r="O102" s="1508"/>
      <c r="P102" s="1508"/>
      <c r="Q102" s="1509">
        <v>8.07</v>
      </c>
      <c r="R102" s="1509"/>
      <c r="S102" s="1509"/>
      <c r="T102" s="1509"/>
      <c r="U102" s="1510">
        <v>233.7</v>
      </c>
      <c r="V102" s="1510"/>
      <c r="W102" s="1510"/>
      <c r="X102" s="1510"/>
      <c r="Y102" s="1509">
        <v>7.26</v>
      </c>
      <c r="Z102" s="1509"/>
      <c r="AA102" s="1509"/>
      <c r="AB102" s="1509"/>
      <c r="AC102" s="1510">
        <v>210.3</v>
      </c>
      <c r="AD102" s="1510"/>
      <c r="AE102" s="1510"/>
      <c r="AF102" s="1510"/>
    </row>
    <row r="103" spans="1:32" ht="30" customHeight="1" x14ac:dyDescent="0.25">
      <c r="A103" s="1508" t="s">
        <v>2453</v>
      </c>
      <c r="B103" s="1508"/>
      <c r="C103" s="1508"/>
      <c r="D103" s="1508"/>
      <c r="E103" s="1508"/>
      <c r="F103" s="1508"/>
      <c r="G103" s="1508"/>
      <c r="H103" s="1508"/>
      <c r="I103" s="1508"/>
      <c r="J103" s="1508"/>
      <c r="K103" s="1508"/>
      <c r="L103" s="1508"/>
      <c r="M103" s="1508"/>
      <c r="N103" s="1508"/>
      <c r="O103" s="1508"/>
      <c r="P103" s="1508"/>
      <c r="Q103" s="1509">
        <v>8.51</v>
      </c>
      <c r="R103" s="1509"/>
      <c r="S103" s="1509"/>
      <c r="T103" s="1509"/>
      <c r="U103" s="1510">
        <v>297.8</v>
      </c>
      <c r="V103" s="1510"/>
      <c r="W103" s="1510"/>
      <c r="X103" s="1510"/>
      <c r="Y103" s="1509">
        <v>7.66</v>
      </c>
      <c r="Z103" s="1509"/>
      <c r="AA103" s="1509"/>
      <c r="AB103" s="1509"/>
      <c r="AC103" s="1510">
        <v>268</v>
      </c>
      <c r="AD103" s="1510"/>
      <c r="AE103" s="1510"/>
      <c r="AF103" s="1510"/>
    </row>
    <row r="104" spans="1:32" ht="30" customHeight="1" x14ac:dyDescent="0.25">
      <c r="A104" s="1508" t="s">
        <v>2454</v>
      </c>
      <c r="B104" s="1508"/>
      <c r="C104" s="1508"/>
      <c r="D104" s="1508"/>
      <c r="E104" s="1508"/>
      <c r="F104" s="1508"/>
      <c r="G104" s="1508"/>
      <c r="H104" s="1508"/>
      <c r="I104" s="1508"/>
      <c r="J104" s="1508"/>
      <c r="K104" s="1508"/>
      <c r="L104" s="1508"/>
      <c r="M104" s="1508"/>
      <c r="N104" s="1508"/>
      <c r="O104" s="1508"/>
      <c r="P104" s="1508"/>
      <c r="Q104" s="1509">
        <v>8.85</v>
      </c>
      <c r="R104" s="1509"/>
      <c r="S104" s="1509"/>
      <c r="T104" s="1509"/>
      <c r="U104" s="1510">
        <v>317</v>
      </c>
      <c r="V104" s="1510"/>
      <c r="W104" s="1510"/>
      <c r="X104" s="1510"/>
      <c r="Y104" s="1509">
        <v>7.97</v>
      </c>
      <c r="Z104" s="1509"/>
      <c r="AA104" s="1509"/>
      <c r="AB104" s="1509"/>
      <c r="AC104" s="1510">
        <v>285.3</v>
      </c>
      <c r="AD104" s="1510"/>
      <c r="AE104" s="1510"/>
      <c r="AF104" s="1510"/>
    </row>
    <row r="105" spans="1:32" ht="30" customHeight="1" x14ac:dyDescent="0.25">
      <c r="A105" s="1508" t="s">
        <v>2455</v>
      </c>
      <c r="B105" s="1508"/>
      <c r="C105" s="1508"/>
      <c r="D105" s="1508"/>
      <c r="E105" s="1508"/>
      <c r="F105" s="1508"/>
      <c r="G105" s="1508"/>
      <c r="H105" s="1508"/>
      <c r="I105" s="1508"/>
      <c r="J105" s="1508"/>
      <c r="K105" s="1508"/>
      <c r="L105" s="1508"/>
      <c r="M105" s="1508"/>
      <c r="N105" s="1508"/>
      <c r="O105" s="1508"/>
      <c r="P105" s="1508"/>
      <c r="Q105" s="1509">
        <v>9.25</v>
      </c>
      <c r="R105" s="1509"/>
      <c r="S105" s="1509"/>
      <c r="T105" s="1509"/>
      <c r="U105" s="1510">
        <v>475.4</v>
      </c>
      <c r="V105" s="1510"/>
      <c r="W105" s="1510"/>
      <c r="X105" s="1510"/>
      <c r="Y105" s="1509">
        <v>8.33</v>
      </c>
      <c r="Z105" s="1509"/>
      <c r="AA105" s="1509"/>
      <c r="AB105" s="1509"/>
      <c r="AC105" s="1510">
        <v>436.3</v>
      </c>
      <c r="AD105" s="1510"/>
      <c r="AE105" s="1510"/>
      <c r="AF105" s="1510"/>
    </row>
    <row r="106" spans="1:32" ht="30" customHeight="1" x14ac:dyDescent="0.25">
      <c r="A106" s="1508" t="s">
        <v>2456</v>
      </c>
      <c r="B106" s="1508"/>
      <c r="C106" s="1508"/>
      <c r="D106" s="1508"/>
      <c r="E106" s="1508"/>
      <c r="F106" s="1508"/>
      <c r="G106" s="1508"/>
      <c r="H106" s="1508"/>
      <c r="I106" s="1508"/>
      <c r="J106" s="1508"/>
      <c r="K106" s="1508"/>
      <c r="L106" s="1508"/>
      <c r="M106" s="1508"/>
      <c r="N106" s="1508"/>
      <c r="O106" s="1508"/>
      <c r="P106" s="1508"/>
      <c r="Q106" s="1509">
        <v>8.4</v>
      </c>
      <c r="R106" s="1509"/>
      <c r="S106" s="1509"/>
      <c r="T106" s="1509"/>
      <c r="U106" s="1510">
        <v>385.4</v>
      </c>
      <c r="V106" s="1510"/>
      <c r="W106" s="1510"/>
      <c r="X106" s="1510"/>
      <c r="Y106" s="1509">
        <v>7.56</v>
      </c>
      <c r="Z106" s="1509"/>
      <c r="AA106" s="1509"/>
      <c r="AB106" s="1509"/>
      <c r="AC106" s="1510">
        <v>355.3</v>
      </c>
      <c r="AD106" s="1510"/>
      <c r="AE106" s="1510"/>
      <c r="AF106" s="1510"/>
    </row>
    <row r="107" spans="1:32" ht="30" customHeight="1" x14ac:dyDescent="0.25">
      <c r="A107" s="1508" t="s">
        <v>2503</v>
      </c>
      <c r="B107" s="1508"/>
      <c r="C107" s="1508"/>
      <c r="D107" s="1508"/>
      <c r="E107" s="1508"/>
      <c r="F107" s="1508"/>
      <c r="G107" s="1508"/>
      <c r="H107" s="1508"/>
      <c r="I107" s="1508"/>
      <c r="J107" s="1508"/>
      <c r="K107" s="1508"/>
      <c r="L107" s="1508"/>
      <c r="M107" s="1508"/>
      <c r="N107" s="1508"/>
      <c r="O107" s="1508"/>
      <c r="P107" s="1508"/>
      <c r="Q107" s="1509">
        <v>8.5399999999999991</v>
      </c>
      <c r="R107" s="1509"/>
      <c r="S107" s="1509"/>
      <c r="T107" s="1509"/>
      <c r="U107" s="1510">
        <v>432.8</v>
      </c>
      <c r="V107" s="1510"/>
      <c r="W107" s="1510"/>
      <c r="X107" s="1510"/>
      <c r="Y107" s="1509">
        <v>7.69</v>
      </c>
      <c r="Z107" s="1509"/>
      <c r="AA107" s="1509"/>
      <c r="AB107" s="1509"/>
      <c r="AC107" s="1510">
        <v>397.9</v>
      </c>
      <c r="AD107" s="1510"/>
      <c r="AE107" s="1510"/>
      <c r="AF107" s="1510"/>
    </row>
    <row r="108" spans="1:32" ht="30" customHeight="1" x14ac:dyDescent="0.25">
      <c r="A108" s="1508" t="s">
        <v>2475</v>
      </c>
      <c r="B108" s="1508"/>
      <c r="C108" s="1508"/>
      <c r="D108" s="1508"/>
      <c r="E108" s="1508"/>
      <c r="F108" s="1508"/>
      <c r="G108" s="1508"/>
      <c r="H108" s="1508"/>
      <c r="I108" s="1508"/>
      <c r="J108" s="1508"/>
      <c r="K108" s="1508"/>
      <c r="L108" s="1508"/>
      <c r="M108" s="1508"/>
      <c r="N108" s="1508"/>
      <c r="O108" s="1508"/>
      <c r="P108" s="1508"/>
      <c r="Q108" s="1509">
        <f>AVERAGE(Q101:Q107)</f>
        <v>8.3442857142857143</v>
      </c>
      <c r="R108" s="1509"/>
      <c r="S108" s="1509"/>
      <c r="T108" s="1509"/>
      <c r="U108" s="1510">
        <f>AVERAGE(U101:U107)</f>
        <v>333.67142857142863</v>
      </c>
      <c r="V108" s="1510"/>
      <c r="W108" s="1510"/>
      <c r="X108" s="1510"/>
      <c r="Y108" s="1509">
        <f t="shared" ref="Y108" si="0">AVERAGE(Y101:Y107)</f>
        <v>7.5114285714285716</v>
      </c>
      <c r="Z108" s="1509"/>
      <c r="AA108" s="1509"/>
      <c r="AB108" s="1509"/>
      <c r="AC108" s="1510">
        <f t="shared" ref="AC108" si="1">AVERAGE(AC101:AC107)</f>
        <v>303.89999999999998</v>
      </c>
      <c r="AD108" s="1510"/>
      <c r="AE108" s="1510"/>
      <c r="AF108" s="1510"/>
    </row>
    <row r="109" spans="1:32" ht="54.75" customHeight="1" x14ac:dyDescent="0.25">
      <c r="A109" s="1290" t="s">
        <v>2469</v>
      </c>
      <c r="B109" s="1290"/>
      <c r="C109" s="1290"/>
      <c r="D109" s="1290"/>
      <c r="E109" s="1290"/>
      <c r="F109" s="1290"/>
      <c r="G109" s="1290"/>
      <c r="H109" s="1290"/>
      <c r="I109" s="1290"/>
      <c r="J109" s="1290"/>
      <c r="K109" s="1290"/>
      <c r="L109" s="1290"/>
      <c r="M109" s="1290"/>
      <c r="N109" s="1290"/>
      <c r="O109" s="1290"/>
      <c r="P109" s="1290"/>
      <c r="Q109" s="1290"/>
      <c r="R109" s="1290"/>
      <c r="S109" s="1290"/>
      <c r="T109" s="1290"/>
      <c r="U109" s="1290"/>
      <c r="V109" s="1290"/>
      <c r="W109" s="1290"/>
      <c r="X109" s="1290"/>
      <c r="Y109" s="1290"/>
      <c r="Z109" s="1290"/>
      <c r="AA109" s="1290"/>
      <c r="AB109" s="1290"/>
      <c r="AC109" s="1290"/>
      <c r="AD109" s="1290"/>
      <c r="AE109" s="1290"/>
      <c r="AF109" s="1290"/>
    </row>
    <row r="110" spans="1:32" ht="44.25" customHeight="1" x14ac:dyDescent="0.25">
      <c r="A110" s="1290" t="s">
        <v>2468</v>
      </c>
      <c r="B110" s="1290"/>
      <c r="C110" s="1290"/>
      <c r="D110" s="1290"/>
      <c r="E110" s="1290"/>
      <c r="F110" s="1290"/>
      <c r="G110" s="1290"/>
      <c r="H110" s="1290"/>
      <c r="I110" s="1290"/>
      <c r="J110" s="1290"/>
      <c r="K110" s="1290"/>
      <c r="L110" s="1290"/>
      <c r="M110" s="1290"/>
      <c r="N110" s="1290"/>
      <c r="O110" s="1290"/>
      <c r="P110" s="1290"/>
      <c r="Q110" s="1290"/>
      <c r="R110" s="1290"/>
      <c r="S110" s="1290"/>
      <c r="T110" s="1290"/>
      <c r="U110" s="1290"/>
      <c r="V110" s="1290"/>
      <c r="W110" s="1290"/>
      <c r="X110" s="1290"/>
      <c r="Y110" s="1290"/>
      <c r="Z110" s="1290"/>
      <c r="AA110" s="1290"/>
      <c r="AB110" s="1290"/>
      <c r="AC110" s="1290"/>
      <c r="AD110" s="1290"/>
      <c r="AE110" s="1290"/>
      <c r="AF110" s="1290"/>
    </row>
    <row r="111" spans="1:32" ht="30" customHeight="1" x14ac:dyDescent="0.25">
      <c r="A111" s="1290" t="s">
        <v>2471</v>
      </c>
      <c r="B111" s="1290"/>
      <c r="C111" s="1290"/>
      <c r="D111" s="1290"/>
      <c r="E111" s="1290"/>
      <c r="F111" s="1290"/>
      <c r="G111" s="1290"/>
      <c r="H111" s="1290"/>
      <c r="I111" s="1290"/>
      <c r="J111" s="1290"/>
      <c r="K111" s="1290"/>
      <c r="L111" s="1290"/>
      <c r="M111" s="1290"/>
      <c r="N111" s="1290"/>
      <c r="O111" s="1290"/>
      <c r="P111" s="1290"/>
      <c r="Q111" s="1290"/>
      <c r="R111" s="1290"/>
      <c r="S111" s="1290"/>
      <c r="T111" s="1290"/>
      <c r="U111" s="1290"/>
      <c r="V111" s="1290"/>
      <c r="W111" s="1290"/>
      <c r="X111" s="1290"/>
      <c r="Y111" s="1290"/>
      <c r="Z111" s="1290"/>
      <c r="AA111" s="1290"/>
      <c r="AB111" s="1290"/>
      <c r="AC111" s="1290"/>
      <c r="AD111" s="1290"/>
      <c r="AE111" s="1290"/>
      <c r="AF111" s="1290"/>
    </row>
    <row r="112" spans="1:32" x14ac:dyDescent="0.2">
      <c r="A112" s="146"/>
    </row>
    <row r="113" spans="1:32" ht="32.25" customHeight="1" x14ac:dyDescent="0.25">
      <c r="A113" s="1511" t="s">
        <v>2482</v>
      </c>
      <c r="B113" s="1511"/>
      <c r="C113" s="1511"/>
      <c r="D113" s="1511"/>
      <c r="E113" s="1511"/>
      <c r="F113" s="1511"/>
      <c r="G113" s="1511"/>
      <c r="H113" s="1511"/>
      <c r="I113" s="1511"/>
      <c r="J113" s="1511"/>
      <c r="K113" s="1511"/>
      <c r="L113" s="1511"/>
      <c r="M113" s="1511"/>
      <c r="N113" s="1511"/>
      <c r="O113" s="1511"/>
      <c r="P113" s="1511"/>
      <c r="Q113" s="1511"/>
      <c r="R113" s="1511"/>
      <c r="S113" s="1511"/>
      <c r="T113" s="1511"/>
      <c r="U113" s="1511"/>
      <c r="V113" s="1511"/>
      <c r="W113" s="1511"/>
      <c r="X113" s="1511"/>
      <c r="Y113" s="1511"/>
      <c r="Z113" s="1511"/>
      <c r="AA113" s="1511"/>
      <c r="AB113" s="1511"/>
      <c r="AC113" s="1511"/>
      <c r="AD113" s="1511"/>
      <c r="AE113" s="1511"/>
      <c r="AF113" s="1511"/>
    </row>
    <row r="114" spans="1:32" ht="34.5" customHeight="1" x14ac:dyDescent="0.25">
      <c r="A114" s="1506" t="s">
        <v>2449</v>
      </c>
      <c r="B114" s="1506"/>
      <c r="C114" s="1506"/>
      <c r="D114" s="1506"/>
      <c r="E114" s="1506"/>
      <c r="F114" s="1506"/>
      <c r="G114" s="1506"/>
      <c r="H114" s="1506"/>
      <c r="I114" s="1506"/>
      <c r="J114" s="1506"/>
      <c r="K114" s="1506"/>
      <c r="L114" s="1506"/>
      <c r="M114" s="1506"/>
      <c r="N114" s="1506"/>
      <c r="O114" s="1506"/>
      <c r="P114" s="1506"/>
      <c r="Q114" s="1311" t="s">
        <v>2484</v>
      </c>
      <c r="R114" s="1311"/>
      <c r="S114" s="1311"/>
      <c r="T114" s="1311"/>
      <c r="U114" s="1311"/>
      <c r="V114" s="1311"/>
      <c r="W114" s="1311"/>
      <c r="X114" s="1311"/>
      <c r="Y114" s="1311" t="s">
        <v>2485</v>
      </c>
      <c r="Z114" s="1311"/>
      <c r="AA114" s="1311"/>
      <c r="AB114" s="1311"/>
      <c r="AC114" s="1311"/>
      <c r="AD114" s="1311"/>
      <c r="AE114" s="1311"/>
      <c r="AF114" s="1311"/>
    </row>
    <row r="115" spans="1:32" x14ac:dyDescent="0.25">
      <c r="A115" s="1507" t="s">
        <v>2450</v>
      </c>
      <c r="B115" s="1507"/>
      <c r="C115" s="1507"/>
      <c r="D115" s="1507"/>
      <c r="E115" s="1507"/>
      <c r="F115" s="1507"/>
      <c r="G115" s="1507"/>
      <c r="H115" s="1507"/>
      <c r="I115" s="1507"/>
      <c r="J115" s="1507"/>
      <c r="K115" s="1507"/>
      <c r="L115" s="1507"/>
      <c r="M115" s="1507"/>
      <c r="N115" s="1507"/>
      <c r="O115" s="1507"/>
      <c r="P115" s="1507"/>
      <c r="Q115" s="1311" t="s">
        <v>2458</v>
      </c>
      <c r="R115" s="1311"/>
      <c r="S115" s="1311"/>
      <c r="T115" s="1311"/>
      <c r="U115" s="1311" t="s">
        <v>2459</v>
      </c>
      <c r="V115" s="1311"/>
      <c r="W115" s="1311"/>
      <c r="X115" s="1311"/>
      <c r="Y115" s="1311" t="s">
        <v>2458</v>
      </c>
      <c r="Z115" s="1311"/>
      <c r="AA115" s="1311"/>
      <c r="AB115" s="1311"/>
      <c r="AC115" s="1311" t="s">
        <v>2459</v>
      </c>
      <c r="AD115" s="1311"/>
      <c r="AE115" s="1311"/>
      <c r="AF115" s="1311"/>
    </row>
    <row r="116" spans="1:32" ht="30" customHeight="1" x14ac:dyDescent="0.25">
      <c r="A116" s="1508" t="s">
        <v>2460</v>
      </c>
      <c r="B116" s="1508"/>
      <c r="C116" s="1508"/>
      <c r="D116" s="1508"/>
      <c r="E116" s="1508"/>
      <c r="F116" s="1508"/>
      <c r="G116" s="1508"/>
      <c r="H116" s="1508"/>
      <c r="I116" s="1508"/>
      <c r="J116" s="1508"/>
      <c r="K116" s="1508"/>
      <c r="L116" s="1508"/>
      <c r="M116" s="1508"/>
      <c r="N116" s="1508"/>
      <c r="O116" s="1508"/>
      <c r="P116" s="1508"/>
      <c r="Q116" s="1509">
        <v>5.57</v>
      </c>
      <c r="R116" s="1509"/>
      <c r="S116" s="1509"/>
      <c r="T116" s="1509"/>
      <c r="U116" s="1510">
        <v>193.7</v>
      </c>
      <c r="V116" s="1510"/>
      <c r="W116" s="1510"/>
      <c r="X116" s="1510"/>
      <c r="Y116" s="1509">
        <v>5.01</v>
      </c>
      <c r="Z116" s="1509"/>
      <c r="AA116" s="1509"/>
      <c r="AB116" s="1509"/>
      <c r="AC116" s="1510">
        <v>174.3</v>
      </c>
      <c r="AD116" s="1510"/>
      <c r="AE116" s="1510"/>
      <c r="AF116" s="1510"/>
    </row>
    <row r="117" spans="1:32" ht="30" customHeight="1" x14ac:dyDescent="0.25">
      <c r="A117" s="1508" t="s">
        <v>2461</v>
      </c>
      <c r="B117" s="1508"/>
      <c r="C117" s="1508"/>
      <c r="D117" s="1508"/>
      <c r="E117" s="1508"/>
      <c r="F117" s="1508"/>
      <c r="G117" s="1508"/>
      <c r="H117" s="1508"/>
      <c r="I117" s="1508"/>
      <c r="J117" s="1508"/>
      <c r="K117" s="1508"/>
      <c r="L117" s="1508"/>
      <c r="M117" s="1508"/>
      <c r="N117" s="1508"/>
      <c r="O117" s="1508"/>
      <c r="P117" s="1508"/>
      <c r="Q117" s="1509">
        <v>8.6199999999999992</v>
      </c>
      <c r="R117" s="1509"/>
      <c r="S117" s="1509"/>
      <c r="T117" s="1509"/>
      <c r="U117" s="1510">
        <v>228.3</v>
      </c>
      <c r="V117" s="1510"/>
      <c r="W117" s="1510"/>
      <c r="X117" s="1510"/>
      <c r="Y117" s="1509">
        <v>7.76</v>
      </c>
      <c r="Z117" s="1509"/>
      <c r="AA117" s="1509"/>
      <c r="AB117" s="1509"/>
      <c r="AC117" s="1510">
        <v>205.5</v>
      </c>
      <c r="AD117" s="1510"/>
      <c r="AE117" s="1510"/>
      <c r="AF117" s="1510"/>
    </row>
    <row r="118" spans="1:32" ht="30" customHeight="1" x14ac:dyDescent="0.25">
      <c r="A118" s="1508" t="s">
        <v>2462</v>
      </c>
      <c r="B118" s="1508"/>
      <c r="C118" s="1508"/>
      <c r="D118" s="1508"/>
      <c r="E118" s="1508"/>
      <c r="F118" s="1508"/>
      <c r="G118" s="1508"/>
      <c r="H118" s="1508"/>
      <c r="I118" s="1508"/>
      <c r="J118" s="1508"/>
      <c r="K118" s="1508"/>
      <c r="L118" s="1508"/>
      <c r="M118" s="1508"/>
      <c r="N118" s="1508"/>
      <c r="O118" s="1508"/>
      <c r="P118" s="1508"/>
      <c r="Q118" s="1509">
        <v>8.6199999999999992</v>
      </c>
      <c r="R118" s="1509"/>
      <c r="S118" s="1509"/>
      <c r="T118" s="1509"/>
      <c r="U118" s="1510">
        <v>312.3</v>
      </c>
      <c r="V118" s="1510"/>
      <c r="W118" s="1510"/>
      <c r="X118" s="1510"/>
      <c r="Y118" s="1509">
        <v>7.76</v>
      </c>
      <c r="Z118" s="1509"/>
      <c r="AA118" s="1509"/>
      <c r="AB118" s="1509"/>
      <c r="AC118" s="1510">
        <v>289.5</v>
      </c>
      <c r="AD118" s="1510"/>
      <c r="AE118" s="1510"/>
      <c r="AF118" s="1510"/>
    </row>
    <row r="119" spans="1:32" ht="30" customHeight="1" x14ac:dyDescent="0.25">
      <c r="A119" s="1508" t="s">
        <v>2463</v>
      </c>
      <c r="B119" s="1508"/>
      <c r="C119" s="1508"/>
      <c r="D119" s="1508"/>
      <c r="E119" s="1508"/>
      <c r="F119" s="1508"/>
      <c r="G119" s="1508"/>
      <c r="H119" s="1508"/>
      <c r="I119" s="1508"/>
      <c r="J119" s="1508"/>
      <c r="K119" s="1508"/>
      <c r="L119" s="1508"/>
      <c r="M119" s="1508"/>
      <c r="N119" s="1508"/>
      <c r="O119" s="1508"/>
      <c r="P119" s="1508"/>
      <c r="Q119" s="1509">
        <v>9.86</v>
      </c>
      <c r="R119" s="1509"/>
      <c r="S119" s="1509"/>
      <c r="T119" s="1509"/>
      <c r="U119" s="1510">
        <v>260.89999999999998</v>
      </c>
      <c r="V119" s="1510"/>
      <c r="W119" s="1510"/>
      <c r="X119" s="1510"/>
      <c r="Y119" s="1509">
        <v>8.8699999999999992</v>
      </c>
      <c r="Z119" s="1509"/>
      <c r="AA119" s="1509"/>
      <c r="AB119" s="1509"/>
      <c r="AC119" s="1510">
        <v>234.8</v>
      </c>
      <c r="AD119" s="1510"/>
      <c r="AE119" s="1510"/>
      <c r="AF119" s="1510"/>
    </row>
    <row r="120" spans="1:32" ht="30" customHeight="1" x14ac:dyDescent="0.25">
      <c r="A120" s="1508" t="s">
        <v>2464</v>
      </c>
      <c r="B120" s="1508"/>
      <c r="C120" s="1508"/>
      <c r="D120" s="1508"/>
      <c r="E120" s="1508"/>
      <c r="F120" s="1508"/>
      <c r="G120" s="1508"/>
      <c r="H120" s="1508"/>
      <c r="I120" s="1508"/>
      <c r="J120" s="1508"/>
      <c r="K120" s="1508"/>
      <c r="L120" s="1508"/>
      <c r="M120" s="1508"/>
      <c r="N120" s="1508"/>
      <c r="O120" s="1508"/>
      <c r="P120" s="1508"/>
      <c r="Q120" s="1509">
        <v>9.86</v>
      </c>
      <c r="R120" s="1509"/>
      <c r="S120" s="1509"/>
      <c r="T120" s="1509"/>
      <c r="U120" s="1510">
        <v>344.9</v>
      </c>
      <c r="V120" s="1510"/>
      <c r="W120" s="1510"/>
      <c r="X120" s="1510"/>
      <c r="Y120" s="1509">
        <v>8.8699999999999992</v>
      </c>
      <c r="Z120" s="1509"/>
      <c r="AA120" s="1509"/>
      <c r="AB120" s="1509"/>
      <c r="AC120" s="1510">
        <v>318.8</v>
      </c>
      <c r="AD120" s="1510"/>
      <c r="AE120" s="1510"/>
      <c r="AF120" s="1510"/>
    </row>
    <row r="121" spans="1:32" ht="30" customHeight="1" x14ac:dyDescent="0.25">
      <c r="A121" s="1508" t="s">
        <v>2465</v>
      </c>
      <c r="B121" s="1508"/>
      <c r="C121" s="1508"/>
      <c r="D121" s="1508"/>
      <c r="E121" s="1508"/>
      <c r="F121" s="1508"/>
      <c r="G121" s="1508"/>
      <c r="H121" s="1508"/>
      <c r="I121" s="1508"/>
      <c r="J121" s="1508"/>
      <c r="K121" s="1508"/>
      <c r="L121" s="1508"/>
      <c r="M121" s="1508"/>
      <c r="N121" s="1508"/>
      <c r="O121" s="1508"/>
      <c r="P121" s="1508"/>
      <c r="Q121" s="1509">
        <v>7.29</v>
      </c>
      <c r="R121" s="1509"/>
      <c r="S121" s="1509"/>
      <c r="T121" s="1509"/>
      <c r="U121" s="1510">
        <v>107.8</v>
      </c>
      <c r="V121" s="1510"/>
      <c r="W121" s="1510"/>
      <c r="X121" s="1510"/>
      <c r="Y121" s="1509">
        <v>6.56</v>
      </c>
      <c r="Z121" s="1509"/>
      <c r="AA121" s="1509"/>
      <c r="AB121" s="1509"/>
      <c r="AC121" s="1510">
        <v>97</v>
      </c>
      <c r="AD121" s="1510"/>
      <c r="AE121" s="1510"/>
      <c r="AF121" s="1510"/>
    </row>
    <row r="122" spans="1:32" ht="30" customHeight="1" x14ac:dyDescent="0.25">
      <c r="A122" s="1508" t="s">
        <v>2466</v>
      </c>
      <c r="B122" s="1508"/>
      <c r="C122" s="1508"/>
      <c r="D122" s="1508"/>
      <c r="E122" s="1508"/>
      <c r="F122" s="1508"/>
      <c r="G122" s="1508"/>
      <c r="H122" s="1508"/>
      <c r="I122" s="1508"/>
      <c r="J122" s="1508"/>
      <c r="K122" s="1508"/>
      <c r="L122" s="1508"/>
      <c r="M122" s="1508"/>
      <c r="N122" s="1508"/>
      <c r="O122" s="1508"/>
      <c r="P122" s="1508"/>
      <c r="Q122" s="1509">
        <v>10.24</v>
      </c>
      <c r="R122" s="1509"/>
      <c r="S122" s="1509"/>
      <c r="T122" s="1509"/>
      <c r="U122" s="1510">
        <v>148.1</v>
      </c>
      <c r="V122" s="1510"/>
      <c r="W122" s="1510"/>
      <c r="X122" s="1510"/>
      <c r="Y122" s="1509">
        <v>9.2200000000000006</v>
      </c>
      <c r="Z122" s="1509"/>
      <c r="AA122" s="1509"/>
      <c r="AB122" s="1509"/>
      <c r="AC122" s="1510">
        <v>133.30000000000001</v>
      </c>
      <c r="AD122" s="1510"/>
      <c r="AE122" s="1510"/>
      <c r="AF122" s="1510"/>
    </row>
    <row r="123" spans="1:32" ht="30" customHeight="1" x14ac:dyDescent="0.25">
      <c r="A123" s="1508" t="s">
        <v>2470</v>
      </c>
      <c r="B123" s="1508"/>
      <c r="C123" s="1508"/>
      <c r="D123" s="1508"/>
      <c r="E123" s="1508"/>
      <c r="F123" s="1508"/>
      <c r="G123" s="1508"/>
      <c r="H123" s="1508"/>
      <c r="I123" s="1508"/>
      <c r="J123" s="1508"/>
      <c r="K123" s="1508"/>
      <c r="L123" s="1508"/>
      <c r="M123" s="1508"/>
      <c r="N123" s="1508"/>
      <c r="O123" s="1508"/>
      <c r="P123" s="1508"/>
      <c r="Q123" s="1509">
        <f>AVERAGE(Q116:Q122)</f>
        <v>8.58</v>
      </c>
      <c r="R123" s="1509"/>
      <c r="S123" s="1509"/>
      <c r="T123" s="1509"/>
      <c r="U123" s="1510">
        <f>AVERAGE(U116:U122)</f>
        <v>227.99999999999997</v>
      </c>
      <c r="V123" s="1510"/>
      <c r="W123" s="1510"/>
      <c r="X123" s="1510"/>
      <c r="Y123" s="1509">
        <f t="shared" ref="Y123" si="2">AVERAGE(Y116:Y122)</f>
        <v>7.7214285714285706</v>
      </c>
      <c r="Z123" s="1509"/>
      <c r="AA123" s="1509"/>
      <c r="AB123" s="1509"/>
      <c r="AC123" s="1510">
        <f t="shared" ref="AC123" si="3">AVERAGE(AC116:AC122)</f>
        <v>207.59999999999997</v>
      </c>
      <c r="AD123" s="1510"/>
      <c r="AE123" s="1510"/>
      <c r="AF123" s="1510"/>
    </row>
    <row r="124" spans="1:32" ht="55.5" customHeight="1" x14ac:dyDescent="0.25">
      <c r="A124" s="1290" t="s">
        <v>2469</v>
      </c>
      <c r="B124" s="1290"/>
      <c r="C124" s="1290"/>
      <c r="D124" s="1290"/>
      <c r="E124" s="1290"/>
      <c r="F124" s="1290"/>
      <c r="G124" s="1290"/>
      <c r="H124" s="1290"/>
      <c r="I124" s="1290"/>
      <c r="J124" s="1290"/>
      <c r="K124" s="1290"/>
      <c r="L124" s="1290"/>
      <c r="M124" s="1290"/>
      <c r="N124" s="1290"/>
      <c r="O124" s="1290"/>
      <c r="P124" s="1290"/>
      <c r="Q124" s="1290"/>
      <c r="R124" s="1290"/>
      <c r="S124" s="1290"/>
      <c r="T124" s="1290"/>
      <c r="U124" s="1290"/>
      <c r="V124" s="1290"/>
      <c r="W124" s="1290"/>
      <c r="X124" s="1290"/>
      <c r="Y124" s="1290"/>
      <c r="Z124" s="1290"/>
      <c r="AA124" s="1290"/>
      <c r="AB124" s="1290"/>
      <c r="AC124" s="1290"/>
      <c r="AD124" s="1290"/>
      <c r="AE124" s="1290"/>
      <c r="AF124" s="1290"/>
    </row>
    <row r="125" spans="1:32" ht="45" customHeight="1" x14ac:dyDescent="0.25">
      <c r="A125" s="1290" t="s">
        <v>2468</v>
      </c>
      <c r="B125" s="1290"/>
      <c r="C125" s="1290"/>
      <c r="D125" s="1290"/>
      <c r="E125" s="1290"/>
      <c r="F125" s="1290"/>
      <c r="G125" s="1290"/>
      <c r="H125" s="1290"/>
      <c r="I125" s="1290"/>
      <c r="J125" s="1290"/>
      <c r="K125" s="1290"/>
      <c r="L125" s="1290"/>
      <c r="M125" s="1290"/>
      <c r="N125" s="1290"/>
      <c r="O125" s="1290"/>
      <c r="P125" s="1290"/>
      <c r="Q125" s="1290"/>
      <c r="R125" s="1290"/>
      <c r="S125" s="1290"/>
      <c r="T125" s="1290"/>
      <c r="U125" s="1290"/>
      <c r="V125" s="1290"/>
      <c r="W125" s="1290"/>
      <c r="X125" s="1290"/>
      <c r="Y125" s="1290"/>
      <c r="Z125" s="1290"/>
      <c r="AA125" s="1290"/>
      <c r="AB125" s="1290"/>
      <c r="AC125" s="1290"/>
      <c r="AD125" s="1290"/>
      <c r="AE125" s="1290"/>
      <c r="AF125" s="1290"/>
    </row>
    <row r="126" spans="1:32" ht="30" customHeight="1" x14ac:dyDescent="0.25">
      <c r="A126" s="1290" t="s">
        <v>2471</v>
      </c>
      <c r="B126" s="1290"/>
      <c r="C126" s="1290"/>
      <c r="D126" s="1290"/>
      <c r="E126" s="1290"/>
      <c r="F126" s="1290"/>
      <c r="G126" s="1290"/>
      <c r="H126" s="1290"/>
      <c r="I126" s="1290"/>
      <c r="J126" s="1290"/>
      <c r="K126" s="1290"/>
      <c r="L126" s="1290"/>
      <c r="M126" s="1290"/>
      <c r="N126" s="1290"/>
      <c r="O126" s="1290"/>
      <c r="P126" s="1290"/>
      <c r="Q126" s="1290"/>
      <c r="R126" s="1290"/>
      <c r="S126" s="1290"/>
      <c r="T126" s="1290"/>
      <c r="U126" s="1290"/>
      <c r="V126" s="1290"/>
      <c r="W126" s="1290"/>
      <c r="X126" s="1290"/>
      <c r="Y126" s="1290"/>
      <c r="Z126" s="1290"/>
      <c r="AA126" s="1290"/>
      <c r="AB126" s="1290"/>
      <c r="AC126" s="1290"/>
      <c r="AD126" s="1290"/>
      <c r="AE126" s="1290"/>
      <c r="AF126" s="1290"/>
    </row>
    <row r="127" spans="1:32" x14ac:dyDescent="0.2">
      <c r="A127" s="146"/>
    </row>
    <row r="128" spans="1:32" x14ac:dyDescent="0.25">
      <c r="A128" s="1472" t="s">
        <v>2490</v>
      </c>
      <c r="B128" s="1472"/>
      <c r="C128" s="1472"/>
      <c r="D128" s="1472"/>
      <c r="E128" s="1472"/>
      <c r="F128" s="1472"/>
      <c r="G128" s="1472"/>
      <c r="H128" s="1472"/>
      <c r="I128" s="1472"/>
      <c r="J128" s="1472"/>
      <c r="K128" s="1472"/>
      <c r="L128" s="1472"/>
      <c r="M128" s="1472"/>
      <c r="N128" s="1472"/>
      <c r="O128" s="1472"/>
      <c r="P128" s="1472"/>
      <c r="Q128" s="1472"/>
      <c r="R128" s="1472"/>
      <c r="S128" s="1472"/>
      <c r="T128" s="1472"/>
      <c r="U128" s="1472"/>
      <c r="V128" s="1472"/>
      <c r="W128" s="1472"/>
      <c r="X128" s="1472"/>
      <c r="Y128" s="1472"/>
      <c r="Z128" s="1472"/>
      <c r="AA128" s="1472"/>
      <c r="AB128" s="1472"/>
      <c r="AC128" s="1472"/>
      <c r="AD128" s="1472"/>
      <c r="AE128" s="1472"/>
      <c r="AF128" s="1472"/>
    </row>
    <row r="130" spans="2:32" x14ac:dyDescent="0.25">
      <c r="B130" s="171" t="s">
        <v>2472</v>
      </c>
    </row>
    <row r="132" spans="2:32" ht="30" customHeight="1" x14ac:dyDescent="0.25">
      <c r="B132" s="1512" t="s">
        <v>2861</v>
      </c>
      <c r="C132" s="1513"/>
      <c r="D132" s="1513"/>
      <c r="E132" s="1513"/>
      <c r="F132" s="1513"/>
      <c r="G132" s="1513"/>
      <c r="H132" s="1513"/>
      <c r="I132" s="1513"/>
      <c r="J132" s="1513"/>
      <c r="K132" s="1513"/>
      <c r="L132" s="1513"/>
      <c r="M132" s="1513"/>
      <c r="N132" s="1513"/>
      <c r="O132" s="1513"/>
      <c r="P132" s="1513"/>
      <c r="Q132" s="1513"/>
      <c r="R132" s="1514" t="s">
        <v>2924</v>
      </c>
      <c r="S132" s="1515"/>
      <c r="T132" s="1515"/>
      <c r="U132" s="1515"/>
      <c r="V132" s="1516"/>
      <c r="W132" s="1514" t="s">
        <v>24</v>
      </c>
      <c r="X132" s="1515"/>
      <c r="Y132" s="1515"/>
      <c r="Z132" s="1515"/>
      <c r="AA132" s="1516"/>
      <c r="AB132" s="1514" t="s">
        <v>2012</v>
      </c>
      <c r="AC132" s="1515"/>
      <c r="AD132" s="1515"/>
      <c r="AE132" s="1515"/>
      <c r="AF132" s="1516"/>
    </row>
    <row r="133" spans="2:32" ht="30" customHeight="1" x14ac:dyDescent="0.25">
      <c r="B133" s="1517" t="s">
        <v>2451</v>
      </c>
      <c r="C133" s="1517"/>
      <c r="D133" s="1517"/>
      <c r="E133" s="1517"/>
      <c r="F133" s="1517"/>
      <c r="G133" s="1517"/>
      <c r="H133" s="1517"/>
      <c r="I133" s="1517"/>
      <c r="J133" s="1517"/>
      <c r="K133" s="1517"/>
      <c r="L133" s="1517"/>
      <c r="M133" s="1517"/>
      <c r="N133" s="1517"/>
      <c r="O133" s="1517"/>
      <c r="P133" s="1517"/>
      <c r="Q133" s="1517"/>
      <c r="R133" s="1518">
        <f>ROUND(W133*$Q$86/$Q$85,3)</f>
        <v>4.0000000000000001E-3</v>
      </c>
      <c r="S133" s="1519"/>
      <c r="T133" s="1519"/>
      <c r="U133" s="1519"/>
      <c r="V133" s="1520"/>
      <c r="W133" s="1521">
        <f t="shared" ref="W133:W139" si="4">ROUND(((Q101*25.4+U101)-(Y101*25.4+AC101))*$Q$84,2)</f>
        <v>36.67</v>
      </c>
      <c r="X133" s="1522"/>
      <c r="Y133" s="1522"/>
      <c r="Z133" s="1522"/>
      <c r="AA133" s="1523"/>
      <c r="AB133" s="1524">
        <f>ROUND(W133*$Q$87,3)</f>
        <v>513.38</v>
      </c>
      <c r="AC133" s="1525"/>
      <c r="AD133" s="1525"/>
      <c r="AE133" s="1525"/>
      <c r="AF133" s="1526"/>
    </row>
    <row r="134" spans="2:32" ht="30" customHeight="1" x14ac:dyDescent="0.25">
      <c r="B134" s="1517" t="s">
        <v>2452</v>
      </c>
      <c r="C134" s="1517"/>
      <c r="D134" s="1517"/>
      <c r="E134" s="1517"/>
      <c r="F134" s="1517"/>
      <c r="G134" s="1517"/>
      <c r="H134" s="1517"/>
      <c r="I134" s="1517"/>
      <c r="J134" s="1517"/>
      <c r="K134" s="1517"/>
      <c r="L134" s="1517"/>
      <c r="M134" s="1517"/>
      <c r="N134" s="1517"/>
      <c r="O134" s="1517"/>
      <c r="P134" s="1517"/>
      <c r="Q134" s="1517"/>
      <c r="R134" s="1518">
        <f t="shared" ref="R134:R138" si="5">ROUND(W134*$Q$86/$Q$85,3)</f>
        <v>5.0000000000000001E-3</v>
      </c>
      <c r="S134" s="1519"/>
      <c r="T134" s="1519"/>
      <c r="U134" s="1519"/>
      <c r="V134" s="1520"/>
      <c r="W134" s="1521">
        <f>ROUND(((Q102*25.4+U102)-(Y102*25.4+AC102))*$Q$84,2)</f>
        <v>43.97</v>
      </c>
      <c r="X134" s="1522"/>
      <c r="Y134" s="1522"/>
      <c r="Z134" s="1522"/>
      <c r="AA134" s="1523"/>
      <c r="AB134" s="1524">
        <f t="shared" ref="AB134:AB140" si="6">ROUND(W134*$Q$87,3)</f>
        <v>615.58000000000004</v>
      </c>
      <c r="AC134" s="1525"/>
      <c r="AD134" s="1525"/>
      <c r="AE134" s="1525"/>
      <c r="AF134" s="1526"/>
    </row>
    <row r="135" spans="2:32" ht="30" customHeight="1" x14ac:dyDescent="0.25">
      <c r="B135" s="1517" t="s">
        <v>2453</v>
      </c>
      <c r="C135" s="1517"/>
      <c r="D135" s="1517"/>
      <c r="E135" s="1517"/>
      <c r="F135" s="1517"/>
      <c r="G135" s="1517"/>
      <c r="H135" s="1517"/>
      <c r="I135" s="1517"/>
      <c r="J135" s="1517"/>
      <c r="K135" s="1517"/>
      <c r="L135" s="1517"/>
      <c r="M135" s="1517"/>
      <c r="N135" s="1517"/>
      <c r="O135" s="1517"/>
      <c r="P135" s="1517"/>
      <c r="Q135" s="1517"/>
      <c r="R135" s="1518">
        <f t="shared" si="5"/>
        <v>6.0000000000000001E-3</v>
      </c>
      <c r="S135" s="1519"/>
      <c r="T135" s="1519"/>
      <c r="U135" s="1519"/>
      <c r="V135" s="1520"/>
      <c r="W135" s="1521">
        <f t="shared" si="4"/>
        <v>51.39</v>
      </c>
      <c r="X135" s="1522"/>
      <c r="Y135" s="1522"/>
      <c r="Z135" s="1522"/>
      <c r="AA135" s="1523"/>
      <c r="AB135" s="1524">
        <f t="shared" si="6"/>
        <v>719.46</v>
      </c>
      <c r="AC135" s="1525"/>
      <c r="AD135" s="1525"/>
      <c r="AE135" s="1525"/>
      <c r="AF135" s="1526"/>
    </row>
    <row r="136" spans="2:32" ht="30" customHeight="1" x14ac:dyDescent="0.25">
      <c r="B136" s="1517" t="s">
        <v>2454</v>
      </c>
      <c r="C136" s="1517"/>
      <c r="D136" s="1517"/>
      <c r="E136" s="1517"/>
      <c r="F136" s="1517"/>
      <c r="G136" s="1517"/>
      <c r="H136" s="1517"/>
      <c r="I136" s="1517"/>
      <c r="J136" s="1517"/>
      <c r="K136" s="1517"/>
      <c r="L136" s="1517"/>
      <c r="M136" s="1517"/>
      <c r="N136" s="1517"/>
      <c r="O136" s="1517"/>
      <c r="P136" s="1517"/>
      <c r="Q136" s="1517"/>
      <c r="R136" s="1518">
        <f t="shared" si="5"/>
        <v>6.0000000000000001E-3</v>
      </c>
      <c r="S136" s="1519"/>
      <c r="T136" s="1519"/>
      <c r="U136" s="1519"/>
      <c r="V136" s="1520"/>
      <c r="W136" s="1521">
        <f t="shared" si="4"/>
        <v>54.05</v>
      </c>
      <c r="X136" s="1522"/>
      <c r="Y136" s="1522"/>
      <c r="Z136" s="1522"/>
      <c r="AA136" s="1523"/>
      <c r="AB136" s="1524">
        <f t="shared" si="6"/>
        <v>756.7</v>
      </c>
      <c r="AC136" s="1525"/>
      <c r="AD136" s="1525"/>
      <c r="AE136" s="1525"/>
      <c r="AF136" s="1526"/>
    </row>
    <row r="137" spans="2:32" ht="30" customHeight="1" x14ac:dyDescent="0.25">
      <c r="B137" s="1517" t="s">
        <v>2455</v>
      </c>
      <c r="C137" s="1517"/>
      <c r="D137" s="1517"/>
      <c r="E137" s="1517"/>
      <c r="F137" s="1517"/>
      <c r="G137" s="1517"/>
      <c r="H137" s="1517"/>
      <c r="I137" s="1517"/>
      <c r="J137" s="1517"/>
      <c r="K137" s="1517"/>
      <c r="L137" s="1517"/>
      <c r="M137" s="1517"/>
      <c r="N137" s="1517"/>
      <c r="O137" s="1517"/>
      <c r="P137" s="1517"/>
      <c r="Q137" s="1517"/>
      <c r="R137" s="1518">
        <f t="shared" si="5"/>
        <v>7.0000000000000001E-3</v>
      </c>
      <c r="S137" s="1519"/>
      <c r="T137" s="1519"/>
      <c r="U137" s="1519"/>
      <c r="V137" s="1520"/>
      <c r="W137" s="1521">
        <f t="shared" si="4"/>
        <v>62.47</v>
      </c>
      <c r="X137" s="1522"/>
      <c r="Y137" s="1522"/>
      <c r="Z137" s="1522"/>
      <c r="AA137" s="1523"/>
      <c r="AB137" s="1524">
        <f t="shared" si="6"/>
        <v>874.58</v>
      </c>
      <c r="AC137" s="1525"/>
      <c r="AD137" s="1525"/>
      <c r="AE137" s="1525"/>
      <c r="AF137" s="1526"/>
    </row>
    <row r="138" spans="2:32" ht="30" customHeight="1" x14ac:dyDescent="0.25">
      <c r="B138" s="1517" t="s">
        <v>2456</v>
      </c>
      <c r="C138" s="1517"/>
      <c r="D138" s="1517"/>
      <c r="E138" s="1517"/>
      <c r="F138" s="1517"/>
      <c r="G138" s="1517"/>
      <c r="H138" s="1517"/>
      <c r="I138" s="1517"/>
      <c r="J138" s="1517"/>
      <c r="K138" s="1517"/>
      <c r="L138" s="1517"/>
      <c r="M138" s="1517"/>
      <c r="N138" s="1517"/>
      <c r="O138" s="1517"/>
      <c r="P138" s="1517"/>
      <c r="Q138" s="1517"/>
      <c r="R138" s="1518">
        <f t="shared" si="5"/>
        <v>6.0000000000000001E-3</v>
      </c>
      <c r="S138" s="1519"/>
      <c r="T138" s="1519"/>
      <c r="U138" s="1519"/>
      <c r="V138" s="1520"/>
      <c r="W138" s="1521">
        <f t="shared" si="4"/>
        <v>51.44</v>
      </c>
      <c r="X138" s="1522"/>
      <c r="Y138" s="1522"/>
      <c r="Z138" s="1522"/>
      <c r="AA138" s="1523"/>
      <c r="AB138" s="1524">
        <f t="shared" si="6"/>
        <v>720.16</v>
      </c>
      <c r="AC138" s="1525"/>
      <c r="AD138" s="1525"/>
      <c r="AE138" s="1525"/>
      <c r="AF138" s="1526"/>
    </row>
    <row r="139" spans="2:32" ht="30" customHeight="1" x14ac:dyDescent="0.25">
      <c r="B139" s="1517" t="s">
        <v>2503</v>
      </c>
      <c r="C139" s="1517"/>
      <c r="D139" s="1517"/>
      <c r="E139" s="1517"/>
      <c r="F139" s="1517"/>
      <c r="G139" s="1517"/>
      <c r="H139" s="1517"/>
      <c r="I139" s="1517"/>
      <c r="J139" s="1517"/>
      <c r="K139" s="1517"/>
      <c r="L139" s="1517"/>
      <c r="M139" s="1517"/>
      <c r="N139" s="1517"/>
      <c r="O139" s="1517"/>
      <c r="P139" s="1517"/>
      <c r="Q139" s="1517"/>
      <c r="R139" s="1518">
        <f>ROUND(W139*$Q$86/$Q$85,3)</f>
        <v>6.0000000000000001E-3</v>
      </c>
      <c r="S139" s="1519"/>
      <c r="T139" s="1519"/>
      <c r="U139" s="1519"/>
      <c r="V139" s="1520"/>
      <c r="W139" s="1521">
        <f t="shared" si="4"/>
        <v>56.49</v>
      </c>
      <c r="X139" s="1522"/>
      <c r="Y139" s="1522"/>
      <c r="Z139" s="1522"/>
      <c r="AA139" s="1523"/>
      <c r="AB139" s="1524">
        <f>ROUND(W139*$Q$87,3)</f>
        <v>790.86</v>
      </c>
      <c r="AC139" s="1525"/>
      <c r="AD139" s="1525"/>
      <c r="AE139" s="1525"/>
      <c r="AF139" s="1526"/>
    </row>
    <row r="140" spans="2:32" ht="30" customHeight="1" x14ac:dyDescent="0.25">
      <c r="B140" s="1517" t="s">
        <v>2457</v>
      </c>
      <c r="C140" s="1517"/>
      <c r="D140" s="1517"/>
      <c r="E140" s="1517"/>
      <c r="F140" s="1517"/>
      <c r="G140" s="1517"/>
      <c r="H140" s="1517"/>
      <c r="I140" s="1517"/>
      <c r="J140" s="1517"/>
      <c r="K140" s="1517"/>
      <c r="L140" s="1517"/>
      <c r="M140" s="1517"/>
      <c r="N140" s="1517"/>
      <c r="O140" s="1517"/>
      <c r="P140" s="1517"/>
      <c r="Q140" s="1517"/>
      <c r="R140" s="1518">
        <f>ROUND(W140*$Q$86/$Q$85,3)</f>
        <v>6.0000000000000001E-3</v>
      </c>
      <c r="S140" s="1519"/>
      <c r="T140" s="1519"/>
      <c r="U140" s="1519"/>
      <c r="V140" s="1520"/>
      <c r="W140" s="1521">
        <f>ROUND(((Q108*25.4+U108)-(Y108*25.4+AC108))*$Q$84,2)</f>
        <v>50.93</v>
      </c>
      <c r="X140" s="1522"/>
      <c r="Y140" s="1522"/>
      <c r="Z140" s="1522"/>
      <c r="AA140" s="1523"/>
      <c r="AB140" s="1524">
        <f t="shared" si="6"/>
        <v>713.02</v>
      </c>
      <c r="AC140" s="1525"/>
      <c r="AD140" s="1525"/>
      <c r="AE140" s="1525"/>
      <c r="AF140" s="1526"/>
    </row>
    <row r="142" spans="2:32" x14ac:dyDescent="0.25">
      <c r="B142" s="171" t="s">
        <v>2476</v>
      </c>
    </row>
    <row r="144" spans="2:32" ht="30" customHeight="1" x14ac:dyDescent="0.25">
      <c r="B144" s="1512" t="s">
        <v>2491</v>
      </c>
      <c r="C144" s="1513"/>
      <c r="D144" s="1513"/>
      <c r="E144" s="1513"/>
      <c r="F144" s="1513"/>
      <c r="G144" s="1513"/>
      <c r="H144" s="1513"/>
      <c r="I144" s="1513"/>
      <c r="J144" s="1513"/>
      <c r="K144" s="1513"/>
      <c r="L144" s="1513"/>
      <c r="M144" s="1513"/>
      <c r="N144" s="1513"/>
      <c r="O144" s="1513"/>
      <c r="P144" s="1513"/>
      <c r="Q144" s="1513"/>
      <c r="R144" s="1514" t="s">
        <v>2924</v>
      </c>
      <c r="S144" s="1515"/>
      <c r="T144" s="1515"/>
      <c r="U144" s="1515"/>
      <c r="V144" s="1516"/>
      <c r="W144" s="1514" t="s">
        <v>24</v>
      </c>
      <c r="X144" s="1515"/>
      <c r="Y144" s="1515"/>
      <c r="Z144" s="1515"/>
      <c r="AA144" s="1516"/>
      <c r="AB144" s="1514" t="s">
        <v>2012</v>
      </c>
      <c r="AC144" s="1515"/>
      <c r="AD144" s="1515"/>
      <c r="AE144" s="1515"/>
      <c r="AF144" s="1516"/>
    </row>
    <row r="145" spans="2:32" ht="30" customHeight="1" x14ac:dyDescent="0.25">
      <c r="B145" s="1517" t="s">
        <v>2460</v>
      </c>
      <c r="C145" s="1517"/>
      <c r="D145" s="1517"/>
      <c r="E145" s="1517"/>
      <c r="F145" s="1517"/>
      <c r="G145" s="1517"/>
      <c r="H145" s="1517"/>
      <c r="I145" s="1517"/>
      <c r="J145" s="1517"/>
      <c r="K145" s="1517"/>
      <c r="L145" s="1517"/>
      <c r="M145" s="1517"/>
      <c r="N145" s="1517"/>
      <c r="O145" s="1517"/>
      <c r="P145" s="1517"/>
      <c r="Q145" s="1517"/>
      <c r="R145" s="1518">
        <f>ROUND(W145*$Q$86/$Q$85,3)</f>
        <v>4.0000000000000001E-3</v>
      </c>
      <c r="S145" s="1519"/>
      <c r="T145" s="1519"/>
      <c r="U145" s="1519"/>
      <c r="V145" s="1520"/>
      <c r="W145" s="1521">
        <f t="shared" ref="W145:W151" si="7">ROUND(((Q116*26+U116)-(Y116*26+AC116))*$Q$84,2)</f>
        <v>33.96</v>
      </c>
      <c r="X145" s="1522"/>
      <c r="Y145" s="1522"/>
      <c r="Z145" s="1522"/>
      <c r="AA145" s="1523"/>
      <c r="AB145" s="1524">
        <f>ROUND(W145*$Q$88,3)</f>
        <v>577.32000000000005</v>
      </c>
      <c r="AC145" s="1525"/>
      <c r="AD145" s="1525"/>
      <c r="AE145" s="1525"/>
      <c r="AF145" s="1526"/>
    </row>
    <row r="146" spans="2:32" ht="30" customHeight="1" x14ac:dyDescent="0.25">
      <c r="B146" s="1517" t="s">
        <v>2461</v>
      </c>
      <c r="C146" s="1517"/>
      <c r="D146" s="1517"/>
      <c r="E146" s="1517"/>
      <c r="F146" s="1517"/>
      <c r="G146" s="1517"/>
      <c r="H146" s="1517"/>
      <c r="I146" s="1517"/>
      <c r="J146" s="1517"/>
      <c r="K146" s="1517"/>
      <c r="L146" s="1517"/>
      <c r="M146" s="1517"/>
      <c r="N146" s="1517"/>
      <c r="O146" s="1517"/>
      <c r="P146" s="1517"/>
      <c r="Q146" s="1517"/>
      <c r="R146" s="1518">
        <f t="shared" ref="R146:R149" si="8">ROUND(W146*$Q$86/$Q$85,3)</f>
        <v>5.0000000000000001E-3</v>
      </c>
      <c r="S146" s="1519"/>
      <c r="T146" s="1519"/>
      <c r="U146" s="1519"/>
      <c r="V146" s="1520"/>
      <c r="W146" s="1521">
        <f t="shared" si="7"/>
        <v>45.16</v>
      </c>
      <c r="X146" s="1522"/>
      <c r="Y146" s="1522"/>
      <c r="Z146" s="1522"/>
      <c r="AA146" s="1523"/>
      <c r="AB146" s="1524">
        <f t="shared" ref="AB146:AB151" si="9">ROUND(W146*$Q$88,3)</f>
        <v>767.72</v>
      </c>
      <c r="AC146" s="1525"/>
      <c r="AD146" s="1525"/>
      <c r="AE146" s="1525"/>
      <c r="AF146" s="1526"/>
    </row>
    <row r="147" spans="2:32" ht="30" customHeight="1" x14ac:dyDescent="0.25">
      <c r="B147" s="1517" t="s">
        <v>2462</v>
      </c>
      <c r="C147" s="1517"/>
      <c r="D147" s="1517"/>
      <c r="E147" s="1517"/>
      <c r="F147" s="1517"/>
      <c r="G147" s="1517"/>
      <c r="H147" s="1517"/>
      <c r="I147" s="1517"/>
      <c r="J147" s="1517"/>
      <c r="K147" s="1517"/>
      <c r="L147" s="1517"/>
      <c r="M147" s="1517"/>
      <c r="N147" s="1517"/>
      <c r="O147" s="1517"/>
      <c r="P147" s="1517"/>
      <c r="Q147" s="1517"/>
      <c r="R147" s="1518">
        <f t="shared" si="8"/>
        <v>5.0000000000000001E-3</v>
      </c>
      <c r="S147" s="1519"/>
      <c r="T147" s="1519"/>
      <c r="U147" s="1519"/>
      <c r="V147" s="1520"/>
      <c r="W147" s="1521">
        <f t="shared" si="7"/>
        <v>45.16</v>
      </c>
      <c r="X147" s="1522"/>
      <c r="Y147" s="1522"/>
      <c r="Z147" s="1522"/>
      <c r="AA147" s="1523"/>
      <c r="AB147" s="1524">
        <f>ROUND(W147*$Q$88,3)</f>
        <v>767.72</v>
      </c>
      <c r="AC147" s="1525"/>
      <c r="AD147" s="1525"/>
      <c r="AE147" s="1525"/>
      <c r="AF147" s="1526"/>
    </row>
    <row r="148" spans="2:32" ht="30" customHeight="1" x14ac:dyDescent="0.25">
      <c r="B148" s="1517" t="s">
        <v>2463</v>
      </c>
      <c r="C148" s="1517"/>
      <c r="D148" s="1517"/>
      <c r="E148" s="1517"/>
      <c r="F148" s="1517"/>
      <c r="G148" s="1517"/>
      <c r="H148" s="1517"/>
      <c r="I148" s="1517"/>
      <c r="J148" s="1517"/>
      <c r="K148" s="1517"/>
      <c r="L148" s="1517"/>
      <c r="M148" s="1517"/>
      <c r="N148" s="1517"/>
      <c r="O148" s="1517"/>
      <c r="P148" s="1517"/>
      <c r="Q148" s="1517"/>
      <c r="R148" s="1518">
        <f t="shared" si="8"/>
        <v>6.0000000000000001E-3</v>
      </c>
      <c r="S148" s="1519"/>
      <c r="T148" s="1519"/>
      <c r="U148" s="1519"/>
      <c r="V148" s="1520"/>
      <c r="W148" s="1521">
        <f t="shared" si="7"/>
        <v>51.84</v>
      </c>
      <c r="X148" s="1522"/>
      <c r="Y148" s="1522"/>
      <c r="Z148" s="1522"/>
      <c r="AA148" s="1523"/>
      <c r="AB148" s="1524">
        <f t="shared" si="9"/>
        <v>881.28</v>
      </c>
      <c r="AC148" s="1525"/>
      <c r="AD148" s="1525"/>
      <c r="AE148" s="1525"/>
      <c r="AF148" s="1526"/>
    </row>
    <row r="149" spans="2:32" ht="30" customHeight="1" x14ac:dyDescent="0.25">
      <c r="B149" s="1517" t="s">
        <v>2464</v>
      </c>
      <c r="C149" s="1517"/>
      <c r="D149" s="1517"/>
      <c r="E149" s="1517"/>
      <c r="F149" s="1517"/>
      <c r="G149" s="1517"/>
      <c r="H149" s="1517"/>
      <c r="I149" s="1517"/>
      <c r="J149" s="1517"/>
      <c r="K149" s="1517"/>
      <c r="L149" s="1517"/>
      <c r="M149" s="1517"/>
      <c r="N149" s="1517"/>
      <c r="O149" s="1517"/>
      <c r="P149" s="1517"/>
      <c r="Q149" s="1517"/>
      <c r="R149" s="1518">
        <f t="shared" si="8"/>
        <v>6.0000000000000001E-3</v>
      </c>
      <c r="S149" s="1519"/>
      <c r="T149" s="1519"/>
      <c r="U149" s="1519"/>
      <c r="V149" s="1520"/>
      <c r="W149" s="1521">
        <f t="shared" si="7"/>
        <v>51.84</v>
      </c>
      <c r="X149" s="1522"/>
      <c r="Y149" s="1522"/>
      <c r="Z149" s="1522"/>
      <c r="AA149" s="1523"/>
      <c r="AB149" s="1524">
        <f t="shared" si="9"/>
        <v>881.28</v>
      </c>
      <c r="AC149" s="1525"/>
      <c r="AD149" s="1525"/>
      <c r="AE149" s="1525"/>
      <c r="AF149" s="1526"/>
    </row>
    <row r="150" spans="2:32" ht="30" customHeight="1" x14ac:dyDescent="0.25">
      <c r="B150" s="1517" t="s">
        <v>2465</v>
      </c>
      <c r="C150" s="1517"/>
      <c r="D150" s="1517"/>
      <c r="E150" s="1517"/>
      <c r="F150" s="1517"/>
      <c r="G150" s="1517"/>
      <c r="H150" s="1517"/>
      <c r="I150" s="1517"/>
      <c r="J150" s="1517"/>
      <c r="K150" s="1517"/>
      <c r="L150" s="1517"/>
      <c r="M150" s="1517"/>
      <c r="N150" s="1517"/>
      <c r="O150" s="1517"/>
      <c r="P150" s="1517"/>
      <c r="Q150" s="1517"/>
      <c r="R150" s="1518">
        <f>ROUND(W150*$Q$86/$Q$85,3)</f>
        <v>3.0000000000000001E-3</v>
      </c>
      <c r="S150" s="1519"/>
      <c r="T150" s="1519"/>
      <c r="U150" s="1519"/>
      <c r="V150" s="1520"/>
      <c r="W150" s="1521">
        <f t="shared" si="7"/>
        <v>29.78</v>
      </c>
      <c r="X150" s="1522"/>
      <c r="Y150" s="1522"/>
      <c r="Z150" s="1522"/>
      <c r="AA150" s="1523"/>
      <c r="AB150" s="1524">
        <f t="shared" si="9"/>
        <v>506.26</v>
      </c>
      <c r="AC150" s="1525"/>
      <c r="AD150" s="1525"/>
      <c r="AE150" s="1525"/>
      <c r="AF150" s="1526"/>
    </row>
    <row r="151" spans="2:32" ht="30" customHeight="1" x14ac:dyDescent="0.25">
      <c r="B151" s="1517" t="s">
        <v>2466</v>
      </c>
      <c r="C151" s="1517"/>
      <c r="D151" s="1517"/>
      <c r="E151" s="1517"/>
      <c r="F151" s="1517"/>
      <c r="G151" s="1517"/>
      <c r="H151" s="1517"/>
      <c r="I151" s="1517"/>
      <c r="J151" s="1517"/>
      <c r="K151" s="1517"/>
      <c r="L151" s="1517"/>
      <c r="M151" s="1517"/>
      <c r="N151" s="1517"/>
      <c r="O151" s="1517"/>
      <c r="P151" s="1517"/>
      <c r="Q151" s="1517"/>
      <c r="R151" s="1518">
        <f>ROUND(W151*$Q$86/$Q$85,3)</f>
        <v>5.0000000000000001E-3</v>
      </c>
      <c r="S151" s="1519"/>
      <c r="T151" s="1519"/>
      <c r="U151" s="1519"/>
      <c r="V151" s="1520"/>
      <c r="W151" s="1521">
        <f t="shared" si="7"/>
        <v>41.32</v>
      </c>
      <c r="X151" s="1522"/>
      <c r="Y151" s="1522"/>
      <c r="Z151" s="1522"/>
      <c r="AA151" s="1523"/>
      <c r="AB151" s="1524">
        <f t="shared" si="9"/>
        <v>702.44</v>
      </c>
      <c r="AC151" s="1525"/>
      <c r="AD151" s="1525"/>
      <c r="AE151" s="1525"/>
      <c r="AF151" s="1526"/>
    </row>
    <row r="152" spans="2:32" ht="30" customHeight="1" x14ac:dyDescent="0.25">
      <c r="B152" s="1517" t="s">
        <v>2467</v>
      </c>
      <c r="C152" s="1517"/>
      <c r="D152" s="1517"/>
      <c r="E152" s="1517"/>
      <c r="F152" s="1517"/>
      <c r="G152" s="1517"/>
      <c r="H152" s="1517"/>
      <c r="I152" s="1517"/>
      <c r="J152" s="1517"/>
      <c r="K152" s="1517"/>
      <c r="L152" s="1517"/>
      <c r="M152" s="1517"/>
      <c r="N152" s="1517"/>
      <c r="O152" s="1517"/>
      <c r="P152" s="1517"/>
      <c r="Q152" s="1517"/>
      <c r="R152" s="1518">
        <f>ROUND(W152*$Q$86/$Q$85,3)</f>
        <v>5.0000000000000001E-3</v>
      </c>
      <c r="S152" s="1519"/>
      <c r="T152" s="1519"/>
      <c r="U152" s="1519"/>
      <c r="V152" s="1520"/>
      <c r="W152" s="1521">
        <f>ROUND(((Q123*26+U123)-(Y123*26+AC123))*$Q$84,2)</f>
        <v>42.72</v>
      </c>
      <c r="X152" s="1522"/>
      <c r="Y152" s="1522"/>
      <c r="Z152" s="1522"/>
      <c r="AA152" s="1523"/>
      <c r="AB152" s="1524">
        <f>ROUND(W152*$Q$88,3)</f>
        <v>726.24</v>
      </c>
      <c r="AC152" s="1525"/>
      <c r="AD152" s="1525"/>
      <c r="AE152" s="1525"/>
      <c r="AF152" s="1526"/>
    </row>
    <row r="154" spans="2:32" x14ac:dyDescent="0.25">
      <c r="B154" s="171" t="s">
        <v>2477</v>
      </c>
    </row>
    <row r="155" spans="2:32" ht="30" customHeight="1" x14ac:dyDescent="0.25">
      <c r="B155" s="1527" t="s">
        <v>3845</v>
      </c>
      <c r="C155" s="1527"/>
      <c r="D155" s="1527"/>
      <c r="E155" s="1527"/>
      <c r="F155" s="1527"/>
      <c r="G155" s="1527"/>
      <c r="H155" s="1527"/>
      <c r="I155" s="1527"/>
      <c r="J155" s="1527"/>
      <c r="K155" s="1527"/>
      <c r="L155" s="1527"/>
      <c r="M155" s="1527"/>
      <c r="N155" s="1527"/>
      <c r="O155" s="1527"/>
      <c r="P155" s="1527"/>
      <c r="Q155" s="1527"/>
      <c r="R155" s="1527"/>
      <c r="S155" s="1527"/>
      <c r="T155" s="1527"/>
      <c r="U155" s="1527"/>
      <c r="V155" s="1527"/>
      <c r="W155" s="1527"/>
      <c r="X155" s="1527"/>
      <c r="Y155" s="1527"/>
      <c r="Z155" s="1527"/>
      <c r="AA155" s="1527"/>
      <c r="AB155" s="1527"/>
      <c r="AC155" s="1527"/>
      <c r="AD155" s="1527"/>
      <c r="AE155" s="1527"/>
      <c r="AF155" s="1527"/>
    </row>
    <row r="156" spans="2:32" ht="30" customHeight="1" x14ac:dyDescent="0.25">
      <c r="B156" s="1528" t="s">
        <v>2862</v>
      </c>
      <c r="C156" s="1529"/>
      <c r="D156" s="1529"/>
      <c r="E156" s="1529"/>
      <c r="F156" s="1529"/>
      <c r="G156" s="1529"/>
      <c r="H156" s="1529"/>
      <c r="I156" s="1529"/>
      <c r="J156" s="1529"/>
      <c r="K156" s="1529"/>
      <c r="L156" s="1529"/>
      <c r="M156" s="1529"/>
      <c r="N156" s="1529"/>
      <c r="O156" s="1530"/>
      <c r="P156" s="1534" t="s">
        <v>3846</v>
      </c>
      <c r="Q156" s="1535"/>
      <c r="R156" s="1535"/>
      <c r="S156" s="1535"/>
      <c r="T156" s="1535"/>
      <c r="U156" s="1536"/>
      <c r="V156" s="1534" t="s">
        <v>2194</v>
      </c>
      <c r="W156" s="1535"/>
      <c r="X156" s="1535"/>
      <c r="Y156" s="1535"/>
      <c r="Z156" s="1535"/>
      <c r="AA156" s="1536"/>
      <c r="AB156" s="1528" t="s">
        <v>2012</v>
      </c>
      <c r="AC156" s="1529"/>
      <c r="AD156" s="1529"/>
      <c r="AE156" s="1529"/>
      <c r="AF156" s="1530"/>
    </row>
    <row r="157" spans="2:32" ht="45.75" customHeight="1" x14ac:dyDescent="0.25">
      <c r="B157" s="1531"/>
      <c r="C157" s="1532"/>
      <c r="D157" s="1532"/>
      <c r="E157" s="1532"/>
      <c r="F157" s="1532"/>
      <c r="G157" s="1532"/>
      <c r="H157" s="1532"/>
      <c r="I157" s="1532"/>
      <c r="J157" s="1532"/>
      <c r="K157" s="1532"/>
      <c r="L157" s="1532"/>
      <c r="M157" s="1532"/>
      <c r="N157" s="1532"/>
      <c r="O157" s="1533"/>
      <c r="P157" s="1537" t="s">
        <v>3853</v>
      </c>
      <c r="Q157" s="1537"/>
      <c r="R157" s="1537"/>
      <c r="S157" s="1534" t="s">
        <v>3854</v>
      </c>
      <c r="T157" s="1535"/>
      <c r="U157" s="1536"/>
      <c r="V157" s="1537" t="s">
        <v>3853</v>
      </c>
      <c r="W157" s="1537"/>
      <c r="X157" s="1537"/>
      <c r="Y157" s="1534" t="s">
        <v>3854</v>
      </c>
      <c r="Z157" s="1535"/>
      <c r="AA157" s="1536"/>
      <c r="AB157" s="1531"/>
      <c r="AC157" s="1532"/>
      <c r="AD157" s="1532"/>
      <c r="AE157" s="1532"/>
      <c r="AF157" s="1533"/>
    </row>
    <row r="158" spans="2:32" ht="30" customHeight="1" x14ac:dyDescent="0.25">
      <c r="B158" s="1538" t="s">
        <v>2451</v>
      </c>
      <c r="C158" s="1539"/>
      <c r="D158" s="1539"/>
      <c r="E158" s="1539"/>
      <c r="F158" s="1539"/>
      <c r="G158" s="1539"/>
      <c r="H158" s="1539"/>
      <c r="I158" s="1539"/>
      <c r="J158" s="1539"/>
      <c r="K158" s="1539"/>
      <c r="L158" s="1539"/>
      <c r="M158" s="1539"/>
      <c r="N158" s="1539"/>
      <c r="O158" s="1540"/>
      <c r="P158" s="1541">
        <f t="shared" ref="P158:P165" si="10">ROUND(V158*$Q$86/$Q$85,3)</f>
        <v>9.0999999999999998E-2</v>
      </c>
      <c r="Q158" s="1542"/>
      <c r="R158" s="1542"/>
      <c r="S158" s="1541">
        <f>ROUND(Y158*$Q$86/$Q$85,3)</f>
        <v>4.0000000000000001E-3</v>
      </c>
      <c r="T158" s="1542"/>
      <c r="U158" s="1542"/>
      <c r="V158" s="1543">
        <f>ROUND((W133+$W$187),2)</f>
        <v>794.67</v>
      </c>
      <c r="W158" s="1544"/>
      <c r="X158" s="1544"/>
      <c r="Y158" s="1543">
        <f>W133</f>
        <v>36.67</v>
      </c>
      <c r="Z158" s="1544"/>
      <c r="AA158" s="1544"/>
      <c r="AB158" s="1545">
        <f>ROUND((AB133+$AB$187),2)</f>
        <v>6577.38</v>
      </c>
      <c r="AC158" s="1546"/>
      <c r="AD158" s="1546"/>
      <c r="AE158" s="1546"/>
      <c r="AF158" s="1547"/>
    </row>
    <row r="159" spans="2:32" ht="30" customHeight="1" x14ac:dyDescent="0.25">
      <c r="B159" s="1538" t="s">
        <v>2452</v>
      </c>
      <c r="C159" s="1539"/>
      <c r="D159" s="1539"/>
      <c r="E159" s="1539"/>
      <c r="F159" s="1539"/>
      <c r="G159" s="1539"/>
      <c r="H159" s="1539"/>
      <c r="I159" s="1539"/>
      <c r="J159" s="1539"/>
      <c r="K159" s="1539"/>
      <c r="L159" s="1539"/>
      <c r="M159" s="1539"/>
      <c r="N159" s="1539"/>
      <c r="O159" s="1540"/>
      <c r="P159" s="1541">
        <f t="shared" si="10"/>
        <v>9.1999999999999998E-2</v>
      </c>
      <c r="Q159" s="1542"/>
      <c r="R159" s="1542"/>
      <c r="S159" s="1541">
        <f t="shared" ref="S159:S165" si="11">ROUND(Y159*$Q$86/$Q$85,3)</f>
        <v>5.0000000000000001E-3</v>
      </c>
      <c r="T159" s="1542"/>
      <c r="U159" s="1542"/>
      <c r="V159" s="1543">
        <f t="shared" ref="V159:V165" si="12">ROUND((W134+$W$187),2)</f>
        <v>801.97</v>
      </c>
      <c r="W159" s="1544"/>
      <c r="X159" s="1544"/>
      <c r="Y159" s="1543">
        <f t="shared" ref="Y159:Y164" si="13">W134</f>
        <v>43.97</v>
      </c>
      <c r="Z159" s="1544"/>
      <c r="AA159" s="1544"/>
      <c r="AB159" s="1545">
        <f t="shared" ref="AB159:AB164" si="14">ROUND((AB134+$AB$187),2)</f>
        <v>6679.58</v>
      </c>
      <c r="AC159" s="1546"/>
      <c r="AD159" s="1546"/>
      <c r="AE159" s="1546"/>
      <c r="AF159" s="1547"/>
    </row>
    <row r="160" spans="2:32" ht="30" customHeight="1" x14ac:dyDescent="0.25">
      <c r="B160" s="1538" t="s">
        <v>2453</v>
      </c>
      <c r="C160" s="1539"/>
      <c r="D160" s="1539"/>
      <c r="E160" s="1539"/>
      <c r="F160" s="1539"/>
      <c r="G160" s="1539"/>
      <c r="H160" s="1539"/>
      <c r="I160" s="1539"/>
      <c r="J160" s="1539"/>
      <c r="K160" s="1539"/>
      <c r="L160" s="1539"/>
      <c r="M160" s="1539"/>
      <c r="N160" s="1539"/>
      <c r="O160" s="1540"/>
      <c r="P160" s="1541">
        <f t="shared" si="10"/>
        <v>9.1999999999999998E-2</v>
      </c>
      <c r="Q160" s="1542"/>
      <c r="R160" s="1542"/>
      <c r="S160" s="1541">
        <f t="shared" si="11"/>
        <v>6.0000000000000001E-3</v>
      </c>
      <c r="T160" s="1542"/>
      <c r="U160" s="1542"/>
      <c r="V160" s="1543">
        <f t="shared" si="12"/>
        <v>809.39</v>
      </c>
      <c r="W160" s="1544"/>
      <c r="X160" s="1544"/>
      <c r="Y160" s="1543">
        <f t="shared" si="13"/>
        <v>51.39</v>
      </c>
      <c r="Z160" s="1544"/>
      <c r="AA160" s="1544"/>
      <c r="AB160" s="1545">
        <f t="shared" si="14"/>
        <v>6783.46</v>
      </c>
      <c r="AC160" s="1546"/>
      <c r="AD160" s="1546"/>
      <c r="AE160" s="1546"/>
      <c r="AF160" s="1547"/>
    </row>
    <row r="161" spans="2:32" ht="30" customHeight="1" x14ac:dyDescent="0.25">
      <c r="B161" s="1538" t="s">
        <v>2454</v>
      </c>
      <c r="C161" s="1539"/>
      <c r="D161" s="1539"/>
      <c r="E161" s="1539"/>
      <c r="F161" s="1539"/>
      <c r="G161" s="1539"/>
      <c r="H161" s="1539"/>
      <c r="I161" s="1539"/>
      <c r="J161" s="1539"/>
      <c r="K161" s="1539"/>
      <c r="L161" s="1539"/>
      <c r="M161" s="1539"/>
      <c r="N161" s="1539"/>
      <c r="O161" s="1540"/>
      <c r="P161" s="1541">
        <f t="shared" si="10"/>
        <v>9.2999999999999999E-2</v>
      </c>
      <c r="Q161" s="1542"/>
      <c r="R161" s="1542"/>
      <c r="S161" s="1541">
        <f t="shared" si="11"/>
        <v>6.0000000000000001E-3</v>
      </c>
      <c r="T161" s="1542"/>
      <c r="U161" s="1542"/>
      <c r="V161" s="1543">
        <f t="shared" si="12"/>
        <v>812.05</v>
      </c>
      <c r="W161" s="1544"/>
      <c r="X161" s="1544"/>
      <c r="Y161" s="1543">
        <f t="shared" si="13"/>
        <v>54.05</v>
      </c>
      <c r="Z161" s="1544"/>
      <c r="AA161" s="1544"/>
      <c r="AB161" s="1545">
        <f t="shared" si="14"/>
        <v>6820.7</v>
      </c>
      <c r="AC161" s="1546"/>
      <c r="AD161" s="1546"/>
      <c r="AE161" s="1546"/>
      <c r="AF161" s="1547"/>
    </row>
    <row r="162" spans="2:32" ht="30" customHeight="1" x14ac:dyDescent="0.25">
      <c r="B162" s="1538" t="s">
        <v>2455</v>
      </c>
      <c r="C162" s="1539"/>
      <c r="D162" s="1539"/>
      <c r="E162" s="1539"/>
      <c r="F162" s="1539"/>
      <c r="G162" s="1539"/>
      <c r="H162" s="1539"/>
      <c r="I162" s="1539"/>
      <c r="J162" s="1539"/>
      <c r="K162" s="1539"/>
      <c r="L162" s="1539"/>
      <c r="M162" s="1539"/>
      <c r="N162" s="1539"/>
      <c r="O162" s="1540"/>
      <c r="P162" s="1541">
        <f t="shared" si="10"/>
        <v>9.4E-2</v>
      </c>
      <c r="Q162" s="1542"/>
      <c r="R162" s="1542"/>
      <c r="S162" s="1541">
        <f t="shared" si="11"/>
        <v>7.0000000000000001E-3</v>
      </c>
      <c r="T162" s="1542"/>
      <c r="U162" s="1542"/>
      <c r="V162" s="1543">
        <f t="shared" si="12"/>
        <v>820.47</v>
      </c>
      <c r="W162" s="1544"/>
      <c r="X162" s="1544"/>
      <c r="Y162" s="1543">
        <f t="shared" si="13"/>
        <v>62.47</v>
      </c>
      <c r="Z162" s="1544"/>
      <c r="AA162" s="1544"/>
      <c r="AB162" s="1545">
        <f t="shared" si="14"/>
        <v>6938.58</v>
      </c>
      <c r="AC162" s="1546"/>
      <c r="AD162" s="1546"/>
      <c r="AE162" s="1546"/>
      <c r="AF162" s="1547"/>
    </row>
    <row r="163" spans="2:32" ht="30" customHeight="1" x14ac:dyDescent="0.25">
      <c r="B163" s="1538" t="s">
        <v>2456</v>
      </c>
      <c r="C163" s="1539"/>
      <c r="D163" s="1539"/>
      <c r="E163" s="1539"/>
      <c r="F163" s="1539"/>
      <c r="G163" s="1539"/>
      <c r="H163" s="1539"/>
      <c r="I163" s="1539"/>
      <c r="J163" s="1539"/>
      <c r="K163" s="1539"/>
      <c r="L163" s="1539"/>
      <c r="M163" s="1539"/>
      <c r="N163" s="1539"/>
      <c r="O163" s="1540"/>
      <c r="P163" s="1541">
        <f t="shared" si="10"/>
        <v>9.1999999999999998E-2</v>
      </c>
      <c r="Q163" s="1542"/>
      <c r="R163" s="1542"/>
      <c r="S163" s="1541">
        <f t="shared" si="11"/>
        <v>6.0000000000000001E-3</v>
      </c>
      <c r="T163" s="1542"/>
      <c r="U163" s="1542"/>
      <c r="V163" s="1543">
        <f t="shared" si="12"/>
        <v>809.44</v>
      </c>
      <c r="W163" s="1544"/>
      <c r="X163" s="1544"/>
      <c r="Y163" s="1543">
        <f t="shared" si="13"/>
        <v>51.44</v>
      </c>
      <c r="Z163" s="1544"/>
      <c r="AA163" s="1544"/>
      <c r="AB163" s="1545">
        <f t="shared" si="14"/>
        <v>6784.16</v>
      </c>
      <c r="AC163" s="1546"/>
      <c r="AD163" s="1546"/>
      <c r="AE163" s="1546"/>
      <c r="AF163" s="1547"/>
    </row>
    <row r="164" spans="2:32" ht="30" customHeight="1" x14ac:dyDescent="0.25">
      <c r="B164" s="1538" t="s">
        <v>2503</v>
      </c>
      <c r="C164" s="1539"/>
      <c r="D164" s="1539"/>
      <c r="E164" s="1539"/>
      <c r="F164" s="1539"/>
      <c r="G164" s="1539"/>
      <c r="H164" s="1539"/>
      <c r="I164" s="1539"/>
      <c r="J164" s="1539"/>
      <c r="K164" s="1539"/>
      <c r="L164" s="1539"/>
      <c r="M164" s="1539"/>
      <c r="N164" s="1539"/>
      <c r="O164" s="1540"/>
      <c r="P164" s="1541">
        <f t="shared" si="10"/>
        <v>9.2999999999999999E-2</v>
      </c>
      <c r="Q164" s="1542"/>
      <c r="R164" s="1542"/>
      <c r="S164" s="1541">
        <f t="shared" si="11"/>
        <v>6.0000000000000001E-3</v>
      </c>
      <c r="T164" s="1542"/>
      <c r="U164" s="1542"/>
      <c r="V164" s="1543">
        <f t="shared" si="12"/>
        <v>814.49</v>
      </c>
      <c r="W164" s="1544"/>
      <c r="X164" s="1544"/>
      <c r="Y164" s="1543">
        <f t="shared" si="13"/>
        <v>56.49</v>
      </c>
      <c r="Z164" s="1544"/>
      <c r="AA164" s="1544"/>
      <c r="AB164" s="1545">
        <f t="shared" si="14"/>
        <v>6854.86</v>
      </c>
      <c r="AC164" s="1546"/>
      <c r="AD164" s="1546"/>
      <c r="AE164" s="1546"/>
      <c r="AF164" s="1547"/>
    </row>
    <row r="165" spans="2:32" ht="30" customHeight="1" x14ac:dyDescent="0.25">
      <c r="B165" s="1538" t="s">
        <v>2457</v>
      </c>
      <c r="C165" s="1539"/>
      <c r="D165" s="1539"/>
      <c r="E165" s="1539"/>
      <c r="F165" s="1539"/>
      <c r="G165" s="1539"/>
      <c r="H165" s="1539"/>
      <c r="I165" s="1539"/>
      <c r="J165" s="1539"/>
      <c r="K165" s="1539"/>
      <c r="L165" s="1539"/>
      <c r="M165" s="1539"/>
      <c r="N165" s="1539"/>
      <c r="O165" s="1540"/>
      <c r="P165" s="1541">
        <f t="shared" si="10"/>
        <v>9.1999999999999998E-2</v>
      </c>
      <c r="Q165" s="1542"/>
      <c r="R165" s="1542"/>
      <c r="S165" s="1541">
        <f t="shared" si="11"/>
        <v>6.0000000000000001E-3</v>
      </c>
      <c r="T165" s="1542"/>
      <c r="U165" s="1542"/>
      <c r="V165" s="1543">
        <f t="shared" si="12"/>
        <v>808.93</v>
      </c>
      <c r="W165" s="1544"/>
      <c r="X165" s="1544"/>
      <c r="Y165" s="1543">
        <f>W140</f>
        <v>50.93</v>
      </c>
      <c r="Z165" s="1544"/>
      <c r="AA165" s="1544"/>
      <c r="AB165" s="1545">
        <f>ROUND((AB140+$AB$187),2)</f>
        <v>6777.02</v>
      </c>
      <c r="AC165" s="1546"/>
      <c r="AD165" s="1546"/>
      <c r="AE165" s="1546"/>
      <c r="AF165" s="1547"/>
    </row>
    <row r="166" spans="2:32" x14ac:dyDescent="0.25">
      <c r="B166" s="672" t="s">
        <v>3855</v>
      </c>
      <c r="C166" s="497"/>
      <c r="D166" s="497"/>
      <c r="E166" s="497"/>
      <c r="F166" s="497"/>
      <c r="G166" s="497"/>
      <c r="H166" s="497"/>
      <c r="I166" s="497"/>
      <c r="J166" s="497"/>
      <c r="K166" s="497"/>
      <c r="L166" s="497"/>
      <c r="M166" s="497"/>
      <c r="N166" s="497"/>
      <c r="O166" s="497"/>
      <c r="P166" s="669"/>
      <c r="Q166" s="669"/>
      <c r="R166" s="669"/>
      <c r="S166" s="669"/>
      <c r="T166" s="669"/>
      <c r="U166" s="669"/>
      <c r="V166" s="670"/>
      <c r="W166" s="670"/>
      <c r="X166" s="670"/>
      <c r="Y166" s="670"/>
      <c r="Z166" s="670"/>
      <c r="AA166" s="670"/>
      <c r="AB166" s="671"/>
      <c r="AC166" s="671"/>
      <c r="AD166" s="671"/>
      <c r="AE166" s="671"/>
      <c r="AF166" s="671"/>
    </row>
    <row r="167" spans="2:32" x14ac:dyDescent="0.25">
      <c r="B167" s="672" t="s">
        <v>3856</v>
      </c>
      <c r="C167" s="497"/>
      <c r="D167" s="497"/>
      <c r="E167" s="497"/>
      <c r="F167" s="497"/>
      <c r="G167" s="497"/>
      <c r="H167" s="497"/>
      <c r="I167" s="497"/>
      <c r="J167" s="497"/>
      <c r="K167" s="497"/>
      <c r="L167" s="497"/>
      <c r="M167" s="497"/>
      <c r="N167" s="497"/>
      <c r="O167" s="497"/>
      <c r="P167" s="669"/>
      <c r="Q167" s="669"/>
      <c r="R167" s="669"/>
      <c r="S167" s="669"/>
      <c r="T167" s="669"/>
      <c r="U167" s="669"/>
      <c r="V167" s="670"/>
      <c r="W167" s="670"/>
      <c r="X167" s="670"/>
      <c r="Y167" s="670"/>
      <c r="Z167" s="670"/>
      <c r="AA167" s="670"/>
      <c r="AB167" s="671"/>
      <c r="AC167" s="671"/>
      <c r="AD167" s="671"/>
      <c r="AE167" s="671"/>
      <c r="AF167" s="671"/>
    </row>
    <row r="169" spans="2:32" x14ac:dyDescent="0.25">
      <c r="B169" s="171" t="s">
        <v>2478</v>
      </c>
    </row>
    <row r="170" spans="2:32" ht="30" customHeight="1" x14ac:dyDescent="0.25">
      <c r="B170" s="1527" t="s">
        <v>3847</v>
      </c>
      <c r="C170" s="1527"/>
      <c r="D170" s="1527"/>
      <c r="E170" s="1527"/>
      <c r="F170" s="1527"/>
      <c r="G170" s="1527"/>
      <c r="H170" s="1527"/>
      <c r="I170" s="1527"/>
      <c r="J170" s="1527"/>
      <c r="K170" s="1527"/>
      <c r="L170" s="1527"/>
      <c r="M170" s="1527"/>
      <c r="N170" s="1527"/>
      <c r="O170" s="1527"/>
      <c r="P170" s="1527"/>
      <c r="Q170" s="1527"/>
      <c r="R170" s="1527"/>
      <c r="S170" s="1527"/>
      <c r="T170" s="1527"/>
      <c r="U170" s="1527"/>
      <c r="V170" s="1527"/>
      <c r="W170" s="1527"/>
      <c r="X170" s="1527"/>
      <c r="Y170" s="1527"/>
      <c r="Z170" s="1527"/>
      <c r="AA170" s="1527"/>
      <c r="AB170" s="1527"/>
      <c r="AC170" s="1527"/>
      <c r="AD170" s="1527"/>
      <c r="AE170" s="1527"/>
      <c r="AF170" s="1527"/>
    </row>
    <row r="171" spans="2:32" ht="30" customHeight="1" x14ac:dyDescent="0.25">
      <c r="B171" s="1528" t="s">
        <v>2492</v>
      </c>
      <c r="C171" s="1529"/>
      <c r="D171" s="1529"/>
      <c r="E171" s="1529"/>
      <c r="F171" s="1529"/>
      <c r="G171" s="1529"/>
      <c r="H171" s="1529"/>
      <c r="I171" s="1529"/>
      <c r="J171" s="1529"/>
      <c r="K171" s="1529"/>
      <c r="L171" s="1529"/>
      <c r="M171" s="1529"/>
      <c r="N171" s="1529"/>
      <c r="O171" s="1530"/>
      <c r="P171" s="1534" t="s">
        <v>3846</v>
      </c>
      <c r="Q171" s="1535"/>
      <c r="R171" s="1535"/>
      <c r="S171" s="1535"/>
      <c r="T171" s="1535"/>
      <c r="U171" s="1536"/>
      <c r="V171" s="1534" t="s">
        <v>2194</v>
      </c>
      <c r="W171" s="1535"/>
      <c r="X171" s="1535"/>
      <c r="Y171" s="1535"/>
      <c r="Z171" s="1535"/>
      <c r="AA171" s="1536"/>
      <c r="AB171" s="1528" t="s">
        <v>2012</v>
      </c>
      <c r="AC171" s="1529"/>
      <c r="AD171" s="1529"/>
      <c r="AE171" s="1529"/>
      <c r="AF171" s="1530"/>
    </row>
    <row r="172" spans="2:32" ht="45.75" customHeight="1" x14ac:dyDescent="0.25">
      <c r="B172" s="1531"/>
      <c r="C172" s="1532"/>
      <c r="D172" s="1532"/>
      <c r="E172" s="1532"/>
      <c r="F172" s="1532"/>
      <c r="G172" s="1532"/>
      <c r="H172" s="1532"/>
      <c r="I172" s="1532"/>
      <c r="J172" s="1532"/>
      <c r="K172" s="1532"/>
      <c r="L172" s="1532"/>
      <c r="M172" s="1532"/>
      <c r="N172" s="1532"/>
      <c r="O172" s="1533"/>
      <c r="P172" s="1537" t="s">
        <v>3853</v>
      </c>
      <c r="Q172" s="1537"/>
      <c r="R172" s="1537"/>
      <c r="S172" s="1534" t="s">
        <v>3854</v>
      </c>
      <c r="T172" s="1535"/>
      <c r="U172" s="1536"/>
      <c r="V172" s="1537" t="s">
        <v>3853</v>
      </c>
      <c r="W172" s="1537"/>
      <c r="X172" s="1537"/>
      <c r="Y172" s="1534" t="s">
        <v>3854</v>
      </c>
      <c r="Z172" s="1535"/>
      <c r="AA172" s="1536"/>
      <c r="AB172" s="1531"/>
      <c r="AC172" s="1532"/>
      <c r="AD172" s="1532"/>
      <c r="AE172" s="1532"/>
      <c r="AF172" s="1533"/>
    </row>
    <row r="173" spans="2:32" ht="30" customHeight="1" x14ac:dyDescent="0.25">
      <c r="B173" s="1538" t="s">
        <v>2460</v>
      </c>
      <c r="C173" s="1539"/>
      <c r="D173" s="1539"/>
      <c r="E173" s="1539"/>
      <c r="F173" s="1539"/>
      <c r="G173" s="1539"/>
      <c r="H173" s="1539"/>
      <c r="I173" s="1539"/>
      <c r="J173" s="1539"/>
      <c r="K173" s="1539"/>
      <c r="L173" s="1539"/>
      <c r="M173" s="1539"/>
      <c r="N173" s="1539"/>
      <c r="O173" s="1540"/>
      <c r="P173" s="1541">
        <f t="shared" ref="P173:P180" si="15">ROUND(V173*$Q$86/$Q$85,3)</f>
        <v>6.9000000000000006E-2</v>
      </c>
      <c r="Q173" s="1542"/>
      <c r="R173" s="1542"/>
      <c r="S173" s="1541">
        <f>ROUND(Y173*$Q$86/$Q$85,3)</f>
        <v>4.0000000000000001E-3</v>
      </c>
      <c r="T173" s="1542"/>
      <c r="U173" s="1542"/>
      <c r="V173" s="1543">
        <f t="shared" ref="V173:V180" si="16">ROUND((W145+$W$188),2)</f>
        <v>607.96</v>
      </c>
      <c r="W173" s="1544"/>
      <c r="X173" s="1544"/>
      <c r="Y173" s="1543">
        <f>W145</f>
        <v>33.96</v>
      </c>
      <c r="Z173" s="1544"/>
      <c r="AA173" s="1544"/>
      <c r="AB173" s="1545">
        <f>ROUND((AB145+$AB$188),2)</f>
        <v>4595.32</v>
      </c>
      <c r="AC173" s="1546"/>
      <c r="AD173" s="1546"/>
      <c r="AE173" s="1546"/>
      <c r="AF173" s="1547"/>
    </row>
    <row r="174" spans="2:32" ht="30" customHeight="1" x14ac:dyDescent="0.25">
      <c r="B174" s="1538" t="s">
        <v>2461</v>
      </c>
      <c r="C174" s="1539"/>
      <c r="D174" s="1539"/>
      <c r="E174" s="1539"/>
      <c r="F174" s="1539"/>
      <c r="G174" s="1539"/>
      <c r="H174" s="1539"/>
      <c r="I174" s="1539"/>
      <c r="J174" s="1539"/>
      <c r="K174" s="1539"/>
      <c r="L174" s="1539"/>
      <c r="M174" s="1539"/>
      <c r="N174" s="1539"/>
      <c r="O174" s="1540"/>
      <c r="P174" s="1541">
        <f t="shared" si="15"/>
        <v>7.0999999999999994E-2</v>
      </c>
      <c r="Q174" s="1542"/>
      <c r="R174" s="1542"/>
      <c r="S174" s="1541">
        <f t="shared" ref="S174:S179" si="17">ROUND(Y174*$Q$86/$Q$85,3)</f>
        <v>5.0000000000000001E-3</v>
      </c>
      <c r="T174" s="1542"/>
      <c r="U174" s="1542"/>
      <c r="V174" s="1543">
        <f t="shared" si="16"/>
        <v>619.16</v>
      </c>
      <c r="W174" s="1544"/>
      <c r="X174" s="1544"/>
      <c r="Y174" s="1543">
        <f t="shared" ref="Y174:Y180" si="18">W146</f>
        <v>45.16</v>
      </c>
      <c r="Z174" s="1544"/>
      <c r="AA174" s="1544"/>
      <c r="AB174" s="1545">
        <f t="shared" ref="AB174:AB180" si="19">ROUND((AB146+$AB$188),2)</f>
        <v>4785.72</v>
      </c>
      <c r="AC174" s="1546"/>
      <c r="AD174" s="1546"/>
      <c r="AE174" s="1546"/>
      <c r="AF174" s="1547"/>
    </row>
    <row r="175" spans="2:32" ht="30" customHeight="1" x14ac:dyDescent="0.25">
      <c r="B175" s="1538" t="s">
        <v>2462</v>
      </c>
      <c r="C175" s="1539"/>
      <c r="D175" s="1539"/>
      <c r="E175" s="1539"/>
      <c r="F175" s="1539"/>
      <c r="G175" s="1539"/>
      <c r="H175" s="1539"/>
      <c r="I175" s="1539"/>
      <c r="J175" s="1539"/>
      <c r="K175" s="1539"/>
      <c r="L175" s="1539"/>
      <c r="M175" s="1539"/>
      <c r="N175" s="1539"/>
      <c r="O175" s="1540"/>
      <c r="P175" s="1541">
        <f t="shared" si="15"/>
        <v>7.0999999999999994E-2</v>
      </c>
      <c r="Q175" s="1542"/>
      <c r="R175" s="1542"/>
      <c r="S175" s="1541">
        <f t="shared" si="17"/>
        <v>5.0000000000000001E-3</v>
      </c>
      <c r="T175" s="1542"/>
      <c r="U175" s="1542"/>
      <c r="V175" s="1543">
        <f t="shared" si="16"/>
        <v>619.16</v>
      </c>
      <c r="W175" s="1544"/>
      <c r="X175" s="1544"/>
      <c r="Y175" s="1543">
        <f t="shared" si="18"/>
        <v>45.16</v>
      </c>
      <c r="Z175" s="1544"/>
      <c r="AA175" s="1544"/>
      <c r="AB175" s="1545">
        <f t="shared" si="19"/>
        <v>4785.72</v>
      </c>
      <c r="AC175" s="1546"/>
      <c r="AD175" s="1546"/>
      <c r="AE175" s="1546"/>
      <c r="AF175" s="1547"/>
    </row>
    <row r="176" spans="2:32" ht="30" customHeight="1" x14ac:dyDescent="0.25">
      <c r="B176" s="1538" t="s">
        <v>2463</v>
      </c>
      <c r="C176" s="1539"/>
      <c r="D176" s="1539"/>
      <c r="E176" s="1539"/>
      <c r="F176" s="1539"/>
      <c r="G176" s="1539"/>
      <c r="H176" s="1539"/>
      <c r="I176" s="1539"/>
      <c r="J176" s="1539"/>
      <c r="K176" s="1539"/>
      <c r="L176" s="1539"/>
      <c r="M176" s="1539"/>
      <c r="N176" s="1539"/>
      <c r="O176" s="1540"/>
      <c r="P176" s="1541">
        <f t="shared" si="15"/>
        <v>7.0999999999999994E-2</v>
      </c>
      <c r="Q176" s="1542"/>
      <c r="R176" s="1542"/>
      <c r="S176" s="1541">
        <f t="shared" si="17"/>
        <v>6.0000000000000001E-3</v>
      </c>
      <c r="T176" s="1542"/>
      <c r="U176" s="1542"/>
      <c r="V176" s="1543">
        <f t="shared" si="16"/>
        <v>625.84</v>
      </c>
      <c r="W176" s="1544"/>
      <c r="X176" s="1544"/>
      <c r="Y176" s="1543">
        <f t="shared" si="18"/>
        <v>51.84</v>
      </c>
      <c r="Z176" s="1544"/>
      <c r="AA176" s="1544"/>
      <c r="AB176" s="1545">
        <f t="shared" si="19"/>
        <v>4899.28</v>
      </c>
      <c r="AC176" s="1546"/>
      <c r="AD176" s="1546"/>
      <c r="AE176" s="1546"/>
      <c r="AF176" s="1547"/>
    </row>
    <row r="177" spans="1:32" ht="30" customHeight="1" x14ac:dyDescent="0.25">
      <c r="B177" s="1538" t="s">
        <v>2464</v>
      </c>
      <c r="C177" s="1539"/>
      <c r="D177" s="1539"/>
      <c r="E177" s="1539"/>
      <c r="F177" s="1539"/>
      <c r="G177" s="1539"/>
      <c r="H177" s="1539"/>
      <c r="I177" s="1539"/>
      <c r="J177" s="1539"/>
      <c r="K177" s="1539"/>
      <c r="L177" s="1539"/>
      <c r="M177" s="1539"/>
      <c r="N177" s="1539"/>
      <c r="O177" s="1540"/>
      <c r="P177" s="1541">
        <f t="shared" si="15"/>
        <v>7.0999999999999994E-2</v>
      </c>
      <c r="Q177" s="1542"/>
      <c r="R177" s="1542"/>
      <c r="S177" s="1541">
        <f t="shared" si="17"/>
        <v>6.0000000000000001E-3</v>
      </c>
      <c r="T177" s="1542"/>
      <c r="U177" s="1542"/>
      <c r="V177" s="1543">
        <f t="shared" si="16"/>
        <v>625.84</v>
      </c>
      <c r="W177" s="1544"/>
      <c r="X177" s="1544"/>
      <c r="Y177" s="1543">
        <f t="shared" si="18"/>
        <v>51.84</v>
      </c>
      <c r="Z177" s="1544"/>
      <c r="AA177" s="1544"/>
      <c r="AB177" s="1545">
        <f t="shared" si="19"/>
        <v>4899.28</v>
      </c>
      <c r="AC177" s="1546"/>
      <c r="AD177" s="1546"/>
      <c r="AE177" s="1546"/>
      <c r="AF177" s="1547"/>
    </row>
    <row r="178" spans="1:32" ht="30" customHeight="1" x14ac:dyDescent="0.25">
      <c r="B178" s="1538" t="s">
        <v>2465</v>
      </c>
      <c r="C178" s="1539"/>
      <c r="D178" s="1539"/>
      <c r="E178" s="1539"/>
      <c r="F178" s="1539"/>
      <c r="G178" s="1539"/>
      <c r="H178" s="1539"/>
      <c r="I178" s="1539"/>
      <c r="J178" s="1539"/>
      <c r="K178" s="1539"/>
      <c r="L178" s="1539"/>
      <c r="M178" s="1539"/>
      <c r="N178" s="1539"/>
      <c r="O178" s="1540"/>
      <c r="P178" s="1541">
        <f t="shared" si="15"/>
        <v>6.9000000000000006E-2</v>
      </c>
      <c r="Q178" s="1542"/>
      <c r="R178" s="1542"/>
      <c r="S178" s="1541">
        <f t="shared" si="17"/>
        <v>3.0000000000000001E-3</v>
      </c>
      <c r="T178" s="1542"/>
      <c r="U178" s="1542"/>
      <c r="V178" s="1543">
        <f t="shared" si="16"/>
        <v>603.78</v>
      </c>
      <c r="W178" s="1544"/>
      <c r="X178" s="1544"/>
      <c r="Y178" s="1543">
        <f t="shared" si="18"/>
        <v>29.78</v>
      </c>
      <c r="Z178" s="1544"/>
      <c r="AA178" s="1544"/>
      <c r="AB178" s="1545">
        <f t="shared" si="19"/>
        <v>4524.26</v>
      </c>
      <c r="AC178" s="1546"/>
      <c r="AD178" s="1546"/>
      <c r="AE178" s="1546"/>
      <c r="AF178" s="1547"/>
    </row>
    <row r="179" spans="1:32" ht="30" customHeight="1" x14ac:dyDescent="0.25">
      <c r="B179" s="1538" t="s">
        <v>2466</v>
      </c>
      <c r="C179" s="1539"/>
      <c r="D179" s="1539"/>
      <c r="E179" s="1539"/>
      <c r="F179" s="1539"/>
      <c r="G179" s="1539"/>
      <c r="H179" s="1539"/>
      <c r="I179" s="1539"/>
      <c r="J179" s="1539"/>
      <c r="K179" s="1539"/>
      <c r="L179" s="1539"/>
      <c r="M179" s="1539"/>
      <c r="N179" s="1539"/>
      <c r="O179" s="1540"/>
      <c r="P179" s="1541">
        <f t="shared" si="15"/>
        <v>7.0000000000000007E-2</v>
      </c>
      <c r="Q179" s="1542"/>
      <c r="R179" s="1542"/>
      <c r="S179" s="1541">
        <f t="shared" si="17"/>
        <v>5.0000000000000001E-3</v>
      </c>
      <c r="T179" s="1542"/>
      <c r="U179" s="1542"/>
      <c r="V179" s="1543">
        <f t="shared" si="16"/>
        <v>615.32000000000005</v>
      </c>
      <c r="W179" s="1544"/>
      <c r="X179" s="1544"/>
      <c r="Y179" s="1543">
        <f t="shared" si="18"/>
        <v>41.32</v>
      </c>
      <c r="Z179" s="1544"/>
      <c r="AA179" s="1544"/>
      <c r="AB179" s="1545">
        <f t="shared" si="19"/>
        <v>4720.4399999999996</v>
      </c>
      <c r="AC179" s="1546"/>
      <c r="AD179" s="1546"/>
      <c r="AE179" s="1546"/>
      <c r="AF179" s="1547"/>
    </row>
    <row r="180" spans="1:32" ht="30" customHeight="1" x14ac:dyDescent="0.25">
      <c r="B180" s="1538" t="s">
        <v>2467</v>
      </c>
      <c r="C180" s="1539"/>
      <c r="D180" s="1539"/>
      <c r="E180" s="1539"/>
      <c r="F180" s="1539"/>
      <c r="G180" s="1539"/>
      <c r="H180" s="1539"/>
      <c r="I180" s="1539"/>
      <c r="J180" s="1539"/>
      <c r="K180" s="1539"/>
      <c r="L180" s="1539"/>
      <c r="M180" s="1539"/>
      <c r="N180" s="1539"/>
      <c r="O180" s="1540"/>
      <c r="P180" s="1541">
        <f t="shared" si="15"/>
        <v>7.0000000000000007E-2</v>
      </c>
      <c r="Q180" s="1542"/>
      <c r="R180" s="1542"/>
      <c r="S180" s="1541">
        <f>ROUND(Y180*$Q$86/$Q$85,3)</f>
        <v>5.0000000000000001E-3</v>
      </c>
      <c r="T180" s="1542"/>
      <c r="U180" s="1542"/>
      <c r="V180" s="1543">
        <f t="shared" si="16"/>
        <v>616.72</v>
      </c>
      <c r="W180" s="1544"/>
      <c r="X180" s="1544"/>
      <c r="Y180" s="1543">
        <f t="shared" si="18"/>
        <v>42.72</v>
      </c>
      <c r="Z180" s="1544"/>
      <c r="AA180" s="1544"/>
      <c r="AB180" s="1545">
        <f t="shared" si="19"/>
        <v>4744.24</v>
      </c>
      <c r="AC180" s="1546"/>
      <c r="AD180" s="1546"/>
      <c r="AE180" s="1546"/>
      <c r="AF180" s="1547"/>
    </row>
    <row r="181" spans="1:32" x14ac:dyDescent="0.25">
      <c r="B181" s="672" t="s">
        <v>3857</v>
      </c>
      <c r="C181" s="497"/>
      <c r="D181" s="497"/>
      <c r="E181" s="497"/>
      <c r="F181" s="497"/>
      <c r="G181" s="497"/>
      <c r="H181" s="497"/>
      <c r="I181" s="497"/>
      <c r="J181" s="497"/>
      <c r="K181" s="497"/>
      <c r="L181" s="497"/>
      <c r="M181" s="497"/>
      <c r="N181" s="497"/>
      <c r="O181" s="497"/>
      <c r="P181" s="669"/>
      <c r="Q181" s="669"/>
      <c r="R181" s="669"/>
      <c r="S181" s="669"/>
      <c r="T181" s="669"/>
      <c r="U181" s="669"/>
      <c r="V181" s="670"/>
      <c r="W181" s="670"/>
      <c r="X181" s="670"/>
      <c r="Y181" s="670"/>
      <c r="Z181" s="670"/>
      <c r="AA181" s="670"/>
      <c r="AB181" s="671"/>
      <c r="AC181" s="671"/>
      <c r="AD181" s="671"/>
      <c r="AE181" s="671"/>
      <c r="AF181" s="671"/>
    </row>
    <row r="182" spans="1:32" x14ac:dyDescent="0.25">
      <c r="B182" s="672" t="s">
        <v>3858</v>
      </c>
      <c r="C182" s="497"/>
      <c r="D182" s="497"/>
      <c r="E182" s="497"/>
      <c r="F182" s="497"/>
      <c r="G182" s="497"/>
      <c r="H182" s="497"/>
      <c r="I182" s="497"/>
      <c r="J182" s="497"/>
      <c r="K182" s="497"/>
      <c r="L182" s="497"/>
      <c r="M182" s="497"/>
      <c r="N182" s="497"/>
      <c r="O182" s="497"/>
      <c r="P182" s="669"/>
      <c r="Q182" s="669"/>
      <c r="R182" s="669"/>
      <c r="S182" s="669"/>
      <c r="T182" s="669"/>
      <c r="U182" s="669"/>
      <c r="V182" s="670"/>
      <c r="W182" s="670"/>
      <c r="X182" s="670"/>
      <c r="Y182" s="670"/>
      <c r="Z182" s="670"/>
      <c r="AA182" s="670"/>
      <c r="AB182" s="671"/>
      <c r="AC182" s="671"/>
      <c r="AD182" s="671"/>
      <c r="AE182" s="671"/>
      <c r="AF182" s="671"/>
    </row>
    <row r="184" spans="1:32" x14ac:dyDescent="0.25">
      <c r="B184" s="171" t="s">
        <v>2479</v>
      </c>
    </row>
    <row r="186" spans="1:32" ht="30" customHeight="1" x14ac:dyDescent="0.25">
      <c r="B186" s="1512" t="s">
        <v>22</v>
      </c>
      <c r="C186" s="1513"/>
      <c r="D186" s="1513"/>
      <c r="E186" s="1513"/>
      <c r="F186" s="1513"/>
      <c r="G186" s="1513"/>
      <c r="H186" s="1513"/>
      <c r="I186" s="1513"/>
      <c r="J186" s="1513"/>
      <c r="K186" s="1513"/>
      <c r="L186" s="1513"/>
      <c r="M186" s="1513"/>
      <c r="N186" s="1513"/>
      <c r="O186" s="1513"/>
      <c r="P186" s="1513"/>
      <c r="Q186" s="1513"/>
      <c r="R186" s="1514" t="s">
        <v>2924</v>
      </c>
      <c r="S186" s="1515"/>
      <c r="T186" s="1515"/>
      <c r="U186" s="1515"/>
      <c r="V186" s="1516"/>
      <c r="W186" s="1514" t="s">
        <v>24</v>
      </c>
      <c r="X186" s="1515"/>
      <c r="Y186" s="1515"/>
      <c r="Z186" s="1515"/>
      <c r="AA186" s="1516"/>
      <c r="AB186" s="1514" t="s">
        <v>2012</v>
      </c>
      <c r="AC186" s="1515"/>
      <c r="AD186" s="1515"/>
      <c r="AE186" s="1515"/>
      <c r="AF186" s="1516"/>
    </row>
    <row r="187" spans="1:32" x14ac:dyDescent="0.25">
      <c r="B187" s="1517" t="s">
        <v>2863</v>
      </c>
      <c r="C187" s="1548"/>
      <c r="D187" s="1548"/>
      <c r="E187" s="1548"/>
      <c r="F187" s="1548"/>
      <c r="G187" s="1548"/>
      <c r="H187" s="1548"/>
      <c r="I187" s="1548"/>
      <c r="J187" s="1548"/>
      <c r="K187" s="1548"/>
      <c r="L187" s="1548"/>
      <c r="M187" s="1548"/>
      <c r="N187" s="1548"/>
      <c r="O187" s="1548"/>
      <c r="P187" s="1548"/>
      <c r="Q187" s="1548"/>
      <c r="R187" s="1549">
        <f>ROUND(W187*$Q$86/$Q$85,3)</f>
        <v>8.6999999999999994E-2</v>
      </c>
      <c r="S187" s="1550"/>
      <c r="T187" s="1550"/>
      <c r="U187" s="1550"/>
      <c r="V187" s="1551"/>
      <c r="W187" s="1552">
        <f>ROUND(Q82*Q84,2)</f>
        <v>758</v>
      </c>
      <c r="X187" s="1553"/>
      <c r="Y187" s="1553"/>
      <c r="Z187" s="1553"/>
      <c r="AA187" s="1554"/>
      <c r="AB187" s="1545">
        <f>ROUND(W187*Q89,2)</f>
        <v>6064</v>
      </c>
      <c r="AC187" s="1546"/>
      <c r="AD187" s="1546"/>
      <c r="AE187" s="1546"/>
      <c r="AF187" s="1547"/>
    </row>
    <row r="188" spans="1:32" x14ac:dyDescent="0.25">
      <c r="B188" s="1517" t="s">
        <v>2493</v>
      </c>
      <c r="C188" s="1548"/>
      <c r="D188" s="1548"/>
      <c r="E188" s="1548"/>
      <c r="F188" s="1548"/>
      <c r="G188" s="1548"/>
      <c r="H188" s="1548"/>
      <c r="I188" s="1548"/>
      <c r="J188" s="1548"/>
      <c r="K188" s="1548"/>
      <c r="L188" s="1548"/>
      <c r="M188" s="1548"/>
      <c r="N188" s="1548"/>
      <c r="O188" s="1548"/>
      <c r="P188" s="1548"/>
      <c r="Q188" s="1548"/>
      <c r="R188" s="1549">
        <f>ROUND(W188*$Q$86/$Q$85,3)</f>
        <v>6.6000000000000003E-2</v>
      </c>
      <c r="S188" s="1550"/>
      <c r="T188" s="1550"/>
      <c r="U188" s="1550"/>
      <c r="V188" s="1551"/>
      <c r="W188" s="1552">
        <f>ROUND(Q83*Q84,2)</f>
        <v>574</v>
      </c>
      <c r="X188" s="1553"/>
      <c r="Y188" s="1553"/>
      <c r="Z188" s="1553"/>
      <c r="AA188" s="1554"/>
      <c r="AB188" s="1545">
        <f>ROUND(W188*Q90,2)</f>
        <v>4018</v>
      </c>
      <c r="AC188" s="1546"/>
      <c r="AD188" s="1546"/>
      <c r="AE188" s="1546"/>
      <c r="AF188" s="1547"/>
    </row>
    <row r="191" spans="1:32" x14ac:dyDescent="0.25">
      <c r="A191" s="1472" t="s">
        <v>2498</v>
      </c>
      <c r="B191" s="1472"/>
      <c r="C191" s="1472"/>
      <c r="D191" s="1472"/>
      <c r="E191" s="1472"/>
      <c r="F191" s="1472"/>
      <c r="G191" s="1472"/>
      <c r="H191" s="1472"/>
      <c r="I191" s="1472"/>
      <c r="J191" s="1472"/>
      <c r="K191" s="1472"/>
      <c r="L191" s="1472"/>
      <c r="M191" s="1472"/>
      <c r="N191" s="1472"/>
      <c r="O191" s="1472"/>
      <c r="P191" s="1472"/>
      <c r="Q191" s="1472"/>
      <c r="R191" s="1472"/>
      <c r="S191" s="1472"/>
      <c r="T191" s="1472"/>
      <c r="U191" s="1472"/>
      <c r="V191" s="1472"/>
      <c r="W191" s="1472"/>
      <c r="X191" s="1472"/>
      <c r="Y191" s="1472"/>
      <c r="Z191" s="1472"/>
      <c r="AA191" s="1472"/>
      <c r="AB191" s="1472"/>
      <c r="AC191" s="1472"/>
      <c r="AD191" s="1472"/>
      <c r="AE191" s="1472"/>
      <c r="AF191" s="1472"/>
    </row>
    <row r="193" spans="2:32" x14ac:dyDescent="0.25">
      <c r="B193" s="171" t="s">
        <v>38</v>
      </c>
      <c r="Q193" s="171" t="s">
        <v>1328</v>
      </c>
    </row>
    <row r="194" spans="2:32" x14ac:dyDescent="0.25">
      <c r="B194" s="1" t="s">
        <v>2494</v>
      </c>
      <c r="J194" s="1555">
        <v>22</v>
      </c>
      <c r="K194" s="1556"/>
      <c r="L194" s="1556"/>
      <c r="M194" s="1557"/>
      <c r="Q194" s="1" t="s">
        <v>2495</v>
      </c>
      <c r="Y194" s="1555">
        <v>12</v>
      </c>
      <c r="Z194" s="1556"/>
      <c r="AA194" s="1556"/>
      <c r="AB194" s="1557"/>
    </row>
    <row r="195" spans="2:32" x14ac:dyDescent="0.25">
      <c r="J195" s="9"/>
      <c r="K195" s="9"/>
      <c r="L195" s="9"/>
      <c r="M195" s="9"/>
    </row>
    <row r="196" spans="2:32" x14ac:dyDescent="0.25">
      <c r="B196" s="1" t="s">
        <v>2495</v>
      </c>
      <c r="J196" s="1555">
        <v>8</v>
      </c>
      <c r="K196" s="1556"/>
      <c r="L196" s="1556"/>
      <c r="M196" s="1557"/>
    </row>
    <row r="198" spans="2:32" ht="18" x14ac:dyDescent="0.25">
      <c r="C198" s="188" t="s">
        <v>2496</v>
      </c>
      <c r="D198" s="1558">
        <f>ROUND((J194+J196*1.76),1)</f>
        <v>36.1</v>
      </c>
      <c r="E198" s="1559"/>
      <c r="F198" s="1559"/>
      <c r="G198" s="1560"/>
      <c r="H198" s="1" t="s">
        <v>2499</v>
      </c>
      <c r="R198" s="188" t="s">
        <v>2497</v>
      </c>
      <c r="S198" s="1558">
        <f>ROUND(Y194*1.73,1)</f>
        <v>20.8</v>
      </c>
      <c r="T198" s="1559"/>
      <c r="U198" s="1559"/>
      <c r="V198" s="1560"/>
      <c r="W198" s="1" t="s">
        <v>2500</v>
      </c>
    </row>
    <row r="200" spans="2:32" x14ac:dyDescent="0.25">
      <c r="B200" s="171" t="s">
        <v>2486</v>
      </c>
    </row>
    <row r="202" spans="2:32" ht="30" customHeight="1" x14ac:dyDescent="0.25">
      <c r="B202" s="1512" t="s">
        <v>2473</v>
      </c>
      <c r="C202" s="1513"/>
      <c r="D202" s="1513"/>
      <c r="E202" s="1513"/>
      <c r="F202" s="1513"/>
      <c r="G202" s="1513"/>
      <c r="H202" s="1513"/>
      <c r="I202" s="1513"/>
      <c r="J202" s="1513"/>
      <c r="K202" s="1513"/>
      <c r="L202" s="1513"/>
      <c r="M202" s="1513"/>
      <c r="N202" s="1513"/>
      <c r="O202" s="1513"/>
      <c r="P202" s="1513"/>
      <c r="Q202" s="1513"/>
      <c r="R202" s="1514" t="s">
        <v>2924</v>
      </c>
      <c r="S202" s="1515"/>
      <c r="T202" s="1515"/>
      <c r="U202" s="1515"/>
      <c r="V202" s="1516"/>
      <c r="W202" s="1514" t="s">
        <v>24</v>
      </c>
      <c r="X202" s="1515"/>
      <c r="Y202" s="1515"/>
      <c r="Z202" s="1515"/>
      <c r="AA202" s="1516"/>
      <c r="AB202" s="1514" t="s">
        <v>2012</v>
      </c>
      <c r="AC202" s="1515"/>
      <c r="AD202" s="1515"/>
      <c r="AE202" s="1515"/>
      <c r="AF202" s="1516"/>
    </row>
    <row r="203" spans="2:32" ht="30" customHeight="1" x14ac:dyDescent="0.25">
      <c r="B203" s="1517" t="s">
        <v>2451</v>
      </c>
      <c r="C203" s="1517"/>
      <c r="D203" s="1517"/>
      <c r="E203" s="1517"/>
      <c r="F203" s="1517"/>
      <c r="G203" s="1517"/>
      <c r="H203" s="1517"/>
      <c r="I203" s="1517"/>
      <c r="J203" s="1517"/>
      <c r="K203" s="1517"/>
      <c r="L203" s="1517"/>
      <c r="M203" s="1517"/>
      <c r="N203" s="1517"/>
      <c r="O203" s="1517"/>
      <c r="P203" s="1517"/>
      <c r="Q203" s="1517"/>
      <c r="R203" s="1561">
        <f>ROUND(W203*$Q$86/$Q$85,3)</f>
        <v>5.0000000000000001E-3</v>
      </c>
      <c r="S203" s="1562"/>
      <c r="T203" s="1562"/>
      <c r="U203" s="1562"/>
      <c r="V203" s="1563"/>
      <c r="W203" s="1564">
        <f>ROUND(((Q101*$D$198+U101)-(Y101*$D$198+AC101))*$Q$84,2)</f>
        <v>43.95</v>
      </c>
      <c r="X203" s="1565"/>
      <c r="Y203" s="1565"/>
      <c r="Z203" s="1565"/>
      <c r="AA203" s="1566"/>
      <c r="AB203" s="1567">
        <f>ROUND(W203*$Q$87,3)</f>
        <v>615.29999999999995</v>
      </c>
      <c r="AC203" s="1568"/>
      <c r="AD203" s="1568"/>
      <c r="AE203" s="1568"/>
      <c r="AF203" s="1569"/>
    </row>
    <row r="204" spans="2:32" ht="30" customHeight="1" x14ac:dyDescent="0.25">
      <c r="B204" s="1517" t="s">
        <v>2452</v>
      </c>
      <c r="C204" s="1517"/>
      <c r="D204" s="1517"/>
      <c r="E204" s="1517"/>
      <c r="F204" s="1517"/>
      <c r="G204" s="1517"/>
      <c r="H204" s="1517"/>
      <c r="I204" s="1517"/>
      <c r="J204" s="1517"/>
      <c r="K204" s="1517"/>
      <c r="L204" s="1517"/>
      <c r="M204" s="1517"/>
      <c r="N204" s="1517"/>
      <c r="O204" s="1517"/>
      <c r="P204" s="1517"/>
      <c r="Q204" s="1517"/>
      <c r="R204" s="1561">
        <f t="shared" ref="R204:R210" si="20">ROUND(W204*$Q$86/$Q$85,3)</f>
        <v>6.0000000000000001E-3</v>
      </c>
      <c r="S204" s="1562"/>
      <c r="T204" s="1562"/>
      <c r="U204" s="1562"/>
      <c r="V204" s="1563"/>
      <c r="W204" s="1564">
        <f t="shared" ref="W204:W210" si="21">ROUND(((Q102*$D$198+U102)-(Y102*$D$198+AC102))*$Q$84,2)</f>
        <v>52.64</v>
      </c>
      <c r="X204" s="1565"/>
      <c r="Y204" s="1565"/>
      <c r="Z204" s="1565"/>
      <c r="AA204" s="1566"/>
      <c r="AB204" s="1567">
        <f t="shared" ref="AB204:AB210" si="22">ROUND(W204*$Q$87,3)</f>
        <v>736.96</v>
      </c>
      <c r="AC204" s="1568"/>
      <c r="AD204" s="1568"/>
      <c r="AE204" s="1568"/>
      <c r="AF204" s="1569"/>
    </row>
    <row r="205" spans="2:32" ht="30" customHeight="1" x14ac:dyDescent="0.25">
      <c r="B205" s="1517" t="s">
        <v>2453</v>
      </c>
      <c r="C205" s="1517"/>
      <c r="D205" s="1517"/>
      <c r="E205" s="1517"/>
      <c r="F205" s="1517"/>
      <c r="G205" s="1517"/>
      <c r="H205" s="1517"/>
      <c r="I205" s="1517"/>
      <c r="J205" s="1517"/>
      <c r="K205" s="1517"/>
      <c r="L205" s="1517"/>
      <c r="M205" s="1517"/>
      <c r="N205" s="1517"/>
      <c r="O205" s="1517"/>
      <c r="P205" s="1517"/>
      <c r="Q205" s="1517"/>
      <c r="R205" s="1561">
        <f t="shared" si="20"/>
        <v>7.0000000000000001E-3</v>
      </c>
      <c r="S205" s="1562"/>
      <c r="T205" s="1562"/>
      <c r="U205" s="1562"/>
      <c r="V205" s="1563"/>
      <c r="W205" s="1564">
        <f t="shared" si="21"/>
        <v>60.48</v>
      </c>
      <c r="X205" s="1565"/>
      <c r="Y205" s="1565"/>
      <c r="Z205" s="1565"/>
      <c r="AA205" s="1566"/>
      <c r="AB205" s="1567">
        <f t="shared" si="22"/>
        <v>846.72</v>
      </c>
      <c r="AC205" s="1568"/>
      <c r="AD205" s="1568"/>
      <c r="AE205" s="1568"/>
      <c r="AF205" s="1569"/>
    </row>
    <row r="206" spans="2:32" ht="30" customHeight="1" x14ac:dyDescent="0.25">
      <c r="B206" s="1517" t="s">
        <v>2454</v>
      </c>
      <c r="C206" s="1517"/>
      <c r="D206" s="1517"/>
      <c r="E206" s="1517"/>
      <c r="F206" s="1517"/>
      <c r="G206" s="1517"/>
      <c r="H206" s="1517"/>
      <c r="I206" s="1517"/>
      <c r="J206" s="1517"/>
      <c r="K206" s="1517"/>
      <c r="L206" s="1517"/>
      <c r="M206" s="1517"/>
      <c r="N206" s="1517"/>
      <c r="O206" s="1517"/>
      <c r="P206" s="1517"/>
      <c r="Q206" s="1517"/>
      <c r="R206" s="1561">
        <f t="shared" si="20"/>
        <v>7.0000000000000001E-3</v>
      </c>
      <c r="S206" s="1562"/>
      <c r="T206" s="1562"/>
      <c r="U206" s="1562"/>
      <c r="V206" s="1563"/>
      <c r="W206" s="1564">
        <f t="shared" si="21"/>
        <v>63.47</v>
      </c>
      <c r="X206" s="1565"/>
      <c r="Y206" s="1565"/>
      <c r="Z206" s="1565"/>
      <c r="AA206" s="1566"/>
      <c r="AB206" s="1567">
        <f t="shared" si="22"/>
        <v>888.58</v>
      </c>
      <c r="AC206" s="1568"/>
      <c r="AD206" s="1568"/>
      <c r="AE206" s="1568"/>
      <c r="AF206" s="1569"/>
    </row>
    <row r="207" spans="2:32" ht="30" customHeight="1" x14ac:dyDescent="0.25">
      <c r="B207" s="1517" t="s">
        <v>2455</v>
      </c>
      <c r="C207" s="1517"/>
      <c r="D207" s="1517"/>
      <c r="E207" s="1517"/>
      <c r="F207" s="1517"/>
      <c r="G207" s="1517"/>
      <c r="H207" s="1517"/>
      <c r="I207" s="1517"/>
      <c r="J207" s="1517"/>
      <c r="K207" s="1517"/>
      <c r="L207" s="1517"/>
      <c r="M207" s="1517"/>
      <c r="N207" s="1517"/>
      <c r="O207" s="1517"/>
      <c r="P207" s="1517"/>
      <c r="Q207" s="1517"/>
      <c r="R207" s="1561">
        <f t="shared" si="20"/>
        <v>8.0000000000000002E-3</v>
      </c>
      <c r="S207" s="1562"/>
      <c r="T207" s="1562"/>
      <c r="U207" s="1562"/>
      <c r="V207" s="1563"/>
      <c r="W207" s="1564">
        <f t="shared" si="21"/>
        <v>72.31</v>
      </c>
      <c r="X207" s="1565"/>
      <c r="Y207" s="1565"/>
      <c r="Z207" s="1565"/>
      <c r="AA207" s="1566"/>
      <c r="AB207" s="1567">
        <f t="shared" si="22"/>
        <v>1012.34</v>
      </c>
      <c r="AC207" s="1568"/>
      <c r="AD207" s="1568"/>
      <c r="AE207" s="1568"/>
      <c r="AF207" s="1569"/>
    </row>
    <row r="208" spans="2:32" ht="30" customHeight="1" x14ac:dyDescent="0.25">
      <c r="B208" s="1517" t="s">
        <v>2456</v>
      </c>
      <c r="C208" s="1517"/>
      <c r="D208" s="1517"/>
      <c r="E208" s="1517"/>
      <c r="F208" s="1517"/>
      <c r="G208" s="1517"/>
      <c r="H208" s="1517"/>
      <c r="I208" s="1517"/>
      <c r="J208" s="1517"/>
      <c r="K208" s="1517"/>
      <c r="L208" s="1517"/>
      <c r="M208" s="1517"/>
      <c r="N208" s="1517"/>
      <c r="O208" s="1517"/>
      <c r="P208" s="1517"/>
      <c r="Q208" s="1517"/>
      <c r="R208" s="1561">
        <f t="shared" si="20"/>
        <v>7.0000000000000001E-3</v>
      </c>
      <c r="S208" s="1562"/>
      <c r="T208" s="1562"/>
      <c r="U208" s="1562"/>
      <c r="V208" s="1563"/>
      <c r="W208" s="1564">
        <f t="shared" si="21"/>
        <v>60.42</v>
      </c>
      <c r="X208" s="1565"/>
      <c r="Y208" s="1565"/>
      <c r="Z208" s="1565"/>
      <c r="AA208" s="1566"/>
      <c r="AB208" s="1567">
        <f t="shared" si="22"/>
        <v>845.88</v>
      </c>
      <c r="AC208" s="1568"/>
      <c r="AD208" s="1568"/>
      <c r="AE208" s="1568"/>
      <c r="AF208" s="1569"/>
    </row>
    <row r="209" spans="2:32" ht="30" customHeight="1" x14ac:dyDescent="0.25">
      <c r="B209" s="1517" t="s">
        <v>2503</v>
      </c>
      <c r="C209" s="1517"/>
      <c r="D209" s="1517"/>
      <c r="E209" s="1517"/>
      <c r="F209" s="1517"/>
      <c r="G209" s="1517"/>
      <c r="H209" s="1517"/>
      <c r="I209" s="1517"/>
      <c r="J209" s="1517"/>
      <c r="K209" s="1517"/>
      <c r="L209" s="1517"/>
      <c r="M209" s="1517"/>
      <c r="N209" s="1517"/>
      <c r="O209" s="1517"/>
      <c r="P209" s="1517"/>
      <c r="Q209" s="1517"/>
      <c r="R209" s="1561">
        <f t="shared" si="20"/>
        <v>7.0000000000000001E-3</v>
      </c>
      <c r="S209" s="1562"/>
      <c r="T209" s="1562"/>
      <c r="U209" s="1562"/>
      <c r="V209" s="1563"/>
      <c r="W209" s="1564">
        <f t="shared" si="21"/>
        <v>65.59</v>
      </c>
      <c r="X209" s="1565"/>
      <c r="Y209" s="1565"/>
      <c r="Z209" s="1565"/>
      <c r="AA209" s="1566"/>
      <c r="AB209" s="1567">
        <f t="shared" si="22"/>
        <v>918.26</v>
      </c>
      <c r="AC209" s="1568"/>
      <c r="AD209" s="1568"/>
      <c r="AE209" s="1568"/>
      <c r="AF209" s="1569"/>
    </row>
    <row r="210" spans="2:32" ht="30" customHeight="1" x14ac:dyDescent="0.25">
      <c r="B210" s="1517" t="s">
        <v>2457</v>
      </c>
      <c r="C210" s="1517"/>
      <c r="D210" s="1517"/>
      <c r="E210" s="1517"/>
      <c r="F210" s="1517"/>
      <c r="G210" s="1517"/>
      <c r="H210" s="1517"/>
      <c r="I210" s="1517"/>
      <c r="J210" s="1517"/>
      <c r="K210" s="1517"/>
      <c r="L210" s="1517"/>
      <c r="M210" s="1517"/>
      <c r="N210" s="1517"/>
      <c r="O210" s="1517"/>
      <c r="P210" s="1517"/>
      <c r="Q210" s="1517"/>
      <c r="R210" s="1561">
        <f t="shared" si="20"/>
        <v>7.0000000000000001E-3</v>
      </c>
      <c r="S210" s="1562"/>
      <c r="T210" s="1562"/>
      <c r="U210" s="1562"/>
      <c r="V210" s="1563"/>
      <c r="W210" s="1564">
        <f t="shared" si="21"/>
        <v>59.84</v>
      </c>
      <c r="X210" s="1565"/>
      <c r="Y210" s="1565"/>
      <c r="Z210" s="1565"/>
      <c r="AA210" s="1566"/>
      <c r="AB210" s="1567">
        <f t="shared" si="22"/>
        <v>837.76</v>
      </c>
      <c r="AC210" s="1568"/>
      <c r="AD210" s="1568"/>
      <c r="AE210" s="1568"/>
      <c r="AF210" s="1569"/>
    </row>
    <row r="212" spans="2:32" x14ac:dyDescent="0.25">
      <c r="B212" s="171" t="s">
        <v>2487</v>
      </c>
    </row>
    <row r="214" spans="2:32" ht="30" customHeight="1" x14ac:dyDescent="0.25">
      <c r="B214" s="1512" t="s">
        <v>2474</v>
      </c>
      <c r="C214" s="1513"/>
      <c r="D214" s="1513"/>
      <c r="E214" s="1513"/>
      <c r="F214" s="1513"/>
      <c r="G214" s="1513"/>
      <c r="H214" s="1513"/>
      <c r="I214" s="1513"/>
      <c r="J214" s="1513"/>
      <c r="K214" s="1513"/>
      <c r="L214" s="1513"/>
      <c r="M214" s="1513"/>
      <c r="N214" s="1513"/>
      <c r="O214" s="1513"/>
      <c r="P214" s="1513"/>
      <c r="Q214" s="1513"/>
      <c r="R214" s="1514" t="s">
        <v>2924</v>
      </c>
      <c r="S214" s="1515"/>
      <c r="T214" s="1515"/>
      <c r="U214" s="1515"/>
      <c r="V214" s="1516"/>
      <c r="W214" s="1514" t="s">
        <v>24</v>
      </c>
      <c r="X214" s="1515"/>
      <c r="Y214" s="1515"/>
      <c r="Z214" s="1515"/>
      <c r="AA214" s="1516"/>
      <c r="AB214" s="1514" t="s">
        <v>2012</v>
      </c>
      <c r="AC214" s="1515"/>
      <c r="AD214" s="1515"/>
      <c r="AE214" s="1515"/>
      <c r="AF214" s="1516"/>
    </row>
    <row r="215" spans="2:32" ht="30" customHeight="1" x14ac:dyDescent="0.25">
      <c r="B215" s="1517" t="s">
        <v>2460</v>
      </c>
      <c r="C215" s="1517"/>
      <c r="D215" s="1517"/>
      <c r="E215" s="1517"/>
      <c r="F215" s="1517"/>
      <c r="G215" s="1517"/>
      <c r="H215" s="1517"/>
      <c r="I215" s="1517"/>
      <c r="J215" s="1517"/>
      <c r="K215" s="1517"/>
      <c r="L215" s="1517"/>
      <c r="M215" s="1517"/>
      <c r="N215" s="1517"/>
      <c r="O215" s="1517"/>
      <c r="P215" s="1517"/>
      <c r="Q215" s="1517"/>
      <c r="R215" s="1561">
        <f>ROUND(W215*$Q$86/$Q$85,3)</f>
        <v>4.0000000000000001E-3</v>
      </c>
      <c r="S215" s="1562"/>
      <c r="T215" s="1562"/>
      <c r="U215" s="1562"/>
      <c r="V215" s="1563"/>
      <c r="W215" s="1564">
        <f t="shared" ref="W215:W222" si="23">ROUND(((Q116*$S$198+U116)-(Y116*$S$198+AC116))*$Q$84,2)</f>
        <v>31.05</v>
      </c>
      <c r="X215" s="1565"/>
      <c r="Y215" s="1565"/>
      <c r="Z215" s="1565"/>
      <c r="AA215" s="1566"/>
      <c r="AB215" s="1567">
        <f>ROUND(W215*$Q$88,3)</f>
        <v>527.85</v>
      </c>
      <c r="AC215" s="1568"/>
      <c r="AD215" s="1568"/>
      <c r="AE215" s="1568"/>
      <c r="AF215" s="1569"/>
    </row>
    <row r="216" spans="2:32" ht="30" customHeight="1" x14ac:dyDescent="0.25">
      <c r="B216" s="1517" t="s">
        <v>2461</v>
      </c>
      <c r="C216" s="1517"/>
      <c r="D216" s="1517"/>
      <c r="E216" s="1517"/>
      <c r="F216" s="1517"/>
      <c r="G216" s="1517"/>
      <c r="H216" s="1517"/>
      <c r="I216" s="1517"/>
      <c r="J216" s="1517"/>
      <c r="K216" s="1517"/>
      <c r="L216" s="1517"/>
      <c r="M216" s="1517"/>
      <c r="N216" s="1517"/>
      <c r="O216" s="1517"/>
      <c r="P216" s="1517"/>
      <c r="Q216" s="1517"/>
      <c r="R216" s="1561">
        <f t="shared" ref="R216:R222" si="24">ROUND(W216*$Q$86/$Q$85,3)</f>
        <v>5.0000000000000001E-3</v>
      </c>
      <c r="S216" s="1562"/>
      <c r="T216" s="1562"/>
      <c r="U216" s="1562"/>
      <c r="V216" s="1563"/>
      <c r="W216" s="1564">
        <f t="shared" si="23"/>
        <v>40.69</v>
      </c>
      <c r="X216" s="1565"/>
      <c r="Y216" s="1565"/>
      <c r="Z216" s="1565"/>
      <c r="AA216" s="1566"/>
      <c r="AB216" s="1567">
        <f t="shared" ref="AB216:AB221" si="25">ROUND(W216*$Q$88,3)</f>
        <v>691.73</v>
      </c>
      <c r="AC216" s="1568"/>
      <c r="AD216" s="1568"/>
      <c r="AE216" s="1568"/>
      <c r="AF216" s="1569"/>
    </row>
    <row r="217" spans="2:32" ht="30" customHeight="1" x14ac:dyDescent="0.25">
      <c r="B217" s="1517" t="s">
        <v>2462</v>
      </c>
      <c r="C217" s="1517"/>
      <c r="D217" s="1517"/>
      <c r="E217" s="1517"/>
      <c r="F217" s="1517"/>
      <c r="G217" s="1517"/>
      <c r="H217" s="1517"/>
      <c r="I217" s="1517"/>
      <c r="J217" s="1517"/>
      <c r="K217" s="1517"/>
      <c r="L217" s="1517"/>
      <c r="M217" s="1517"/>
      <c r="N217" s="1517"/>
      <c r="O217" s="1517"/>
      <c r="P217" s="1517"/>
      <c r="Q217" s="1517"/>
      <c r="R217" s="1561">
        <f t="shared" si="24"/>
        <v>5.0000000000000001E-3</v>
      </c>
      <c r="S217" s="1562"/>
      <c r="T217" s="1562"/>
      <c r="U217" s="1562"/>
      <c r="V217" s="1563"/>
      <c r="W217" s="1564">
        <f t="shared" si="23"/>
        <v>40.69</v>
      </c>
      <c r="X217" s="1565"/>
      <c r="Y217" s="1565"/>
      <c r="Z217" s="1565"/>
      <c r="AA217" s="1566"/>
      <c r="AB217" s="1567">
        <f t="shared" si="25"/>
        <v>691.73</v>
      </c>
      <c r="AC217" s="1568"/>
      <c r="AD217" s="1568"/>
      <c r="AE217" s="1568"/>
      <c r="AF217" s="1569"/>
    </row>
    <row r="218" spans="2:32" ht="30" customHeight="1" x14ac:dyDescent="0.25">
      <c r="B218" s="1517" t="s">
        <v>2463</v>
      </c>
      <c r="C218" s="1517"/>
      <c r="D218" s="1517"/>
      <c r="E218" s="1517"/>
      <c r="F218" s="1517"/>
      <c r="G218" s="1517"/>
      <c r="H218" s="1517"/>
      <c r="I218" s="1517"/>
      <c r="J218" s="1517"/>
      <c r="K218" s="1517"/>
      <c r="L218" s="1517"/>
      <c r="M218" s="1517"/>
      <c r="N218" s="1517"/>
      <c r="O218" s="1517"/>
      <c r="P218" s="1517"/>
      <c r="Q218" s="1517"/>
      <c r="R218" s="1561">
        <f t="shared" si="24"/>
        <v>5.0000000000000001E-3</v>
      </c>
      <c r="S218" s="1562"/>
      <c r="T218" s="1562"/>
      <c r="U218" s="1562"/>
      <c r="V218" s="1563"/>
      <c r="W218" s="1564">
        <f>ROUND(((Q119*$S$198+U119)-(Y119*$S$198+AC119))*$Q$84,2)</f>
        <v>46.69</v>
      </c>
      <c r="X218" s="1565"/>
      <c r="Y218" s="1565"/>
      <c r="Z218" s="1565"/>
      <c r="AA218" s="1566"/>
      <c r="AB218" s="1567">
        <f t="shared" si="25"/>
        <v>793.73</v>
      </c>
      <c r="AC218" s="1568"/>
      <c r="AD218" s="1568"/>
      <c r="AE218" s="1568"/>
      <c r="AF218" s="1569"/>
    </row>
    <row r="219" spans="2:32" ht="30" customHeight="1" x14ac:dyDescent="0.25">
      <c r="B219" s="1517" t="s">
        <v>2464</v>
      </c>
      <c r="C219" s="1517"/>
      <c r="D219" s="1517"/>
      <c r="E219" s="1517"/>
      <c r="F219" s="1517"/>
      <c r="G219" s="1517"/>
      <c r="H219" s="1517"/>
      <c r="I219" s="1517"/>
      <c r="J219" s="1517"/>
      <c r="K219" s="1517"/>
      <c r="L219" s="1517"/>
      <c r="M219" s="1517"/>
      <c r="N219" s="1517"/>
      <c r="O219" s="1517"/>
      <c r="P219" s="1517"/>
      <c r="Q219" s="1517"/>
      <c r="R219" s="1561">
        <f t="shared" si="24"/>
        <v>5.0000000000000001E-3</v>
      </c>
      <c r="S219" s="1562"/>
      <c r="T219" s="1562"/>
      <c r="U219" s="1562"/>
      <c r="V219" s="1563"/>
      <c r="W219" s="1564">
        <f t="shared" si="23"/>
        <v>46.69</v>
      </c>
      <c r="X219" s="1565"/>
      <c r="Y219" s="1565"/>
      <c r="Z219" s="1565"/>
      <c r="AA219" s="1566"/>
      <c r="AB219" s="1567">
        <f t="shared" si="25"/>
        <v>793.73</v>
      </c>
      <c r="AC219" s="1568"/>
      <c r="AD219" s="1568"/>
      <c r="AE219" s="1568"/>
      <c r="AF219" s="1569"/>
    </row>
    <row r="220" spans="2:32" ht="30" customHeight="1" x14ac:dyDescent="0.25">
      <c r="B220" s="1517" t="s">
        <v>2465</v>
      </c>
      <c r="C220" s="1517"/>
      <c r="D220" s="1517"/>
      <c r="E220" s="1517"/>
      <c r="F220" s="1517"/>
      <c r="G220" s="1517"/>
      <c r="H220" s="1517"/>
      <c r="I220" s="1517"/>
      <c r="J220" s="1517"/>
      <c r="K220" s="1517"/>
      <c r="L220" s="1517"/>
      <c r="M220" s="1517"/>
      <c r="N220" s="1517"/>
      <c r="O220" s="1517"/>
      <c r="P220" s="1517"/>
      <c r="Q220" s="1517"/>
      <c r="R220" s="1561">
        <f t="shared" si="24"/>
        <v>3.0000000000000001E-3</v>
      </c>
      <c r="S220" s="1562"/>
      <c r="T220" s="1562"/>
      <c r="U220" s="1562"/>
      <c r="V220" s="1563"/>
      <c r="W220" s="1564">
        <f t="shared" si="23"/>
        <v>25.98</v>
      </c>
      <c r="X220" s="1565"/>
      <c r="Y220" s="1565"/>
      <c r="Z220" s="1565"/>
      <c r="AA220" s="1566"/>
      <c r="AB220" s="1567">
        <f t="shared" si="25"/>
        <v>441.66</v>
      </c>
      <c r="AC220" s="1568"/>
      <c r="AD220" s="1568"/>
      <c r="AE220" s="1568"/>
      <c r="AF220" s="1569"/>
    </row>
    <row r="221" spans="2:32" ht="30" customHeight="1" x14ac:dyDescent="0.25">
      <c r="B221" s="1517" t="s">
        <v>2466</v>
      </c>
      <c r="C221" s="1517"/>
      <c r="D221" s="1517"/>
      <c r="E221" s="1517"/>
      <c r="F221" s="1517"/>
      <c r="G221" s="1517"/>
      <c r="H221" s="1517"/>
      <c r="I221" s="1517"/>
      <c r="J221" s="1517"/>
      <c r="K221" s="1517"/>
      <c r="L221" s="1517"/>
      <c r="M221" s="1517"/>
      <c r="N221" s="1517"/>
      <c r="O221" s="1517"/>
      <c r="P221" s="1517"/>
      <c r="Q221" s="1517"/>
      <c r="R221" s="1561">
        <f t="shared" si="24"/>
        <v>4.0000000000000001E-3</v>
      </c>
      <c r="S221" s="1562"/>
      <c r="T221" s="1562"/>
      <c r="U221" s="1562"/>
      <c r="V221" s="1563"/>
      <c r="W221" s="1564">
        <f t="shared" si="23"/>
        <v>36.020000000000003</v>
      </c>
      <c r="X221" s="1565"/>
      <c r="Y221" s="1565"/>
      <c r="Z221" s="1565"/>
      <c r="AA221" s="1566"/>
      <c r="AB221" s="1567">
        <f t="shared" si="25"/>
        <v>612.34</v>
      </c>
      <c r="AC221" s="1568"/>
      <c r="AD221" s="1568"/>
      <c r="AE221" s="1568"/>
      <c r="AF221" s="1569"/>
    </row>
    <row r="222" spans="2:32" ht="30" customHeight="1" x14ac:dyDescent="0.25">
      <c r="B222" s="1517" t="s">
        <v>2467</v>
      </c>
      <c r="C222" s="1517"/>
      <c r="D222" s="1517"/>
      <c r="E222" s="1517"/>
      <c r="F222" s="1517"/>
      <c r="G222" s="1517"/>
      <c r="H222" s="1517"/>
      <c r="I222" s="1517"/>
      <c r="J222" s="1517"/>
      <c r="K222" s="1517"/>
      <c r="L222" s="1517"/>
      <c r="M222" s="1517"/>
      <c r="N222" s="1517"/>
      <c r="O222" s="1517"/>
      <c r="P222" s="1517"/>
      <c r="Q222" s="1517"/>
      <c r="R222" s="1561">
        <f t="shared" si="24"/>
        <v>4.0000000000000001E-3</v>
      </c>
      <c r="S222" s="1562"/>
      <c r="T222" s="1562"/>
      <c r="U222" s="1562"/>
      <c r="V222" s="1563"/>
      <c r="W222" s="1564">
        <f t="shared" si="23"/>
        <v>38.26</v>
      </c>
      <c r="X222" s="1565"/>
      <c r="Y222" s="1565"/>
      <c r="Z222" s="1565"/>
      <c r="AA222" s="1566"/>
      <c r="AB222" s="1567">
        <f>ROUND(W222*$Q$88,3)</f>
        <v>650.41999999999996</v>
      </c>
      <c r="AC222" s="1568"/>
      <c r="AD222" s="1568"/>
      <c r="AE222" s="1568"/>
      <c r="AF222" s="1569"/>
    </row>
    <row r="224" spans="2:32" x14ac:dyDescent="0.25">
      <c r="B224" s="171" t="s">
        <v>2488</v>
      </c>
    </row>
    <row r="225" spans="2:32" ht="30" customHeight="1" x14ac:dyDescent="0.25">
      <c r="B225" s="1527" t="s">
        <v>3845</v>
      </c>
      <c r="C225" s="1527"/>
      <c r="D225" s="1527"/>
      <c r="E225" s="1527"/>
      <c r="F225" s="1527"/>
      <c r="G225" s="1527"/>
      <c r="H225" s="1527"/>
      <c r="I225" s="1527"/>
      <c r="J225" s="1527"/>
      <c r="K225" s="1527"/>
      <c r="L225" s="1527"/>
      <c r="M225" s="1527"/>
      <c r="N225" s="1527"/>
      <c r="O225" s="1527"/>
      <c r="P225" s="1527"/>
      <c r="Q225" s="1527"/>
      <c r="R225" s="1527"/>
      <c r="S225" s="1527"/>
      <c r="T225" s="1527"/>
      <c r="U225" s="1527"/>
      <c r="V225" s="1527"/>
      <c r="W225" s="1527"/>
      <c r="X225" s="1527"/>
      <c r="Y225" s="1527"/>
      <c r="Z225" s="1527"/>
      <c r="AA225" s="1527"/>
      <c r="AB225" s="1527"/>
      <c r="AC225" s="1527"/>
      <c r="AD225" s="1527"/>
      <c r="AE225" s="1527"/>
      <c r="AF225" s="1527"/>
    </row>
    <row r="226" spans="2:32" ht="30" customHeight="1" x14ac:dyDescent="0.25">
      <c r="B226" s="1528" t="s">
        <v>2480</v>
      </c>
      <c r="C226" s="1529"/>
      <c r="D226" s="1529"/>
      <c r="E226" s="1529"/>
      <c r="F226" s="1529"/>
      <c r="G226" s="1529"/>
      <c r="H226" s="1529"/>
      <c r="I226" s="1529"/>
      <c r="J226" s="1529"/>
      <c r="K226" s="1529"/>
      <c r="L226" s="1529"/>
      <c r="M226" s="1529"/>
      <c r="N226" s="1529"/>
      <c r="O226" s="1530"/>
      <c r="P226" s="1534" t="s">
        <v>3846</v>
      </c>
      <c r="Q226" s="1535"/>
      <c r="R226" s="1535"/>
      <c r="S226" s="1535"/>
      <c r="T226" s="1535"/>
      <c r="U226" s="1536"/>
      <c r="V226" s="1534" t="s">
        <v>2194</v>
      </c>
      <c r="W226" s="1535"/>
      <c r="X226" s="1535"/>
      <c r="Y226" s="1535"/>
      <c r="Z226" s="1535"/>
      <c r="AA226" s="1536"/>
      <c r="AB226" s="1528" t="s">
        <v>2012</v>
      </c>
      <c r="AC226" s="1529"/>
      <c r="AD226" s="1529"/>
      <c r="AE226" s="1529"/>
      <c r="AF226" s="1530"/>
    </row>
    <row r="227" spans="2:32" ht="45.75" customHeight="1" x14ac:dyDescent="0.25">
      <c r="B227" s="1531"/>
      <c r="C227" s="1532"/>
      <c r="D227" s="1532"/>
      <c r="E227" s="1532"/>
      <c r="F227" s="1532"/>
      <c r="G227" s="1532"/>
      <c r="H227" s="1532"/>
      <c r="I227" s="1532"/>
      <c r="J227" s="1532"/>
      <c r="K227" s="1532"/>
      <c r="L227" s="1532"/>
      <c r="M227" s="1532"/>
      <c r="N227" s="1532"/>
      <c r="O227" s="1533"/>
      <c r="P227" s="1537" t="s">
        <v>3853</v>
      </c>
      <c r="Q227" s="1537"/>
      <c r="R227" s="1537"/>
      <c r="S227" s="1534" t="s">
        <v>3854</v>
      </c>
      <c r="T227" s="1535"/>
      <c r="U227" s="1536"/>
      <c r="V227" s="1537" t="s">
        <v>3853</v>
      </c>
      <c r="W227" s="1537"/>
      <c r="X227" s="1537"/>
      <c r="Y227" s="1534" t="s">
        <v>3854</v>
      </c>
      <c r="Z227" s="1535"/>
      <c r="AA227" s="1536"/>
      <c r="AB227" s="1531"/>
      <c r="AC227" s="1532"/>
      <c r="AD227" s="1532"/>
      <c r="AE227" s="1532"/>
      <c r="AF227" s="1533"/>
    </row>
    <row r="228" spans="2:32" ht="30" customHeight="1" x14ac:dyDescent="0.25">
      <c r="B228" s="1538" t="s">
        <v>2451</v>
      </c>
      <c r="C228" s="1539"/>
      <c r="D228" s="1539"/>
      <c r="E228" s="1539"/>
      <c r="F228" s="1539"/>
      <c r="G228" s="1539"/>
      <c r="H228" s="1539"/>
      <c r="I228" s="1539"/>
      <c r="J228" s="1539"/>
      <c r="K228" s="1539"/>
      <c r="L228" s="1539"/>
      <c r="M228" s="1539"/>
      <c r="N228" s="1539"/>
      <c r="O228" s="1540"/>
      <c r="P228" s="1570">
        <f t="shared" ref="P228:P235" si="26">ROUND(V228*$Q$86/$Q$85,3)</f>
        <v>9.1999999999999998E-2</v>
      </c>
      <c r="Q228" s="1571"/>
      <c r="R228" s="1571"/>
      <c r="S228" s="1570">
        <f t="shared" ref="S228:S235" si="27">ROUND(Y228*$Q$86/$Q$85,3)</f>
        <v>5.0000000000000001E-3</v>
      </c>
      <c r="T228" s="1571"/>
      <c r="U228" s="1571"/>
      <c r="V228" s="1572">
        <f>ROUND((W203+$W$187),2)</f>
        <v>801.95</v>
      </c>
      <c r="W228" s="1573"/>
      <c r="X228" s="1573"/>
      <c r="Y228" s="1572">
        <f>W203</f>
        <v>43.95</v>
      </c>
      <c r="Z228" s="1573"/>
      <c r="AA228" s="1573"/>
      <c r="AB228" s="1567">
        <f>ROUND((AB203+$AB$187),2)</f>
        <v>6679.3</v>
      </c>
      <c r="AC228" s="1568"/>
      <c r="AD228" s="1568"/>
      <c r="AE228" s="1568"/>
      <c r="AF228" s="1569"/>
    </row>
    <row r="229" spans="2:32" ht="30" customHeight="1" x14ac:dyDescent="0.25">
      <c r="B229" s="1538" t="s">
        <v>2452</v>
      </c>
      <c r="C229" s="1539"/>
      <c r="D229" s="1539"/>
      <c r="E229" s="1539"/>
      <c r="F229" s="1539"/>
      <c r="G229" s="1539"/>
      <c r="H229" s="1539"/>
      <c r="I229" s="1539"/>
      <c r="J229" s="1539"/>
      <c r="K229" s="1539"/>
      <c r="L229" s="1539"/>
      <c r="M229" s="1539"/>
      <c r="N229" s="1539"/>
      <c r="O229" s="1540"/>
      <c r="P229" s="1570">
        <f t="shared" si="26"/>
        <v>9.2999999999999999E-2</v>
      </c>
      <c r="Q229" s="1571"/>
      <c r="R229" s="1571"/>
      <c r="S229" s="1570">
        <f t="shared" si="27"/>
        <v>6.0000000000000001E-3</v>
      </c>
      <c r="T229" s="1571"/>
      <c r="U229" s="1571"/>
      <c r="V229" s="1572">
        <f t="shared" ref="V229:V234" si="28">ROUND((W204+$W$187),2)</f>
        <v>810.64</v>
      </c>
      <c r="W229" s="1573"/>
      <c r="X229" s="1573"/>
      <c r="Y229" s="1572">
        <f t="shared" ref="Y229:Y235" si="29">W204</f>
        <v>52.64</v>
      </c>
      <c r="Z229" s="1573"/>
      <c r="AA229" s="1573"/>
      <c r="AB229" s="1567">
        <f t="shared" ref="AB229:AB235" si="30">ROUND((AB204+$AB$187),2)</f>
        <v>6800.96</v>
      </c>
      <c r="AC229" s="1568"/>
      <c r="AD229" s="1568"/>
      <c r="AE229" s="1568"/>
      <c r="AF229" s="1569"/>
    </row>
    <row r="230" spans="2:32" ht="30" customHeight="1" x14ac:dyDescent="0.25">
      <c r="B230" s="1538" t="s">
        <v>2453</v>
      </c>
      <c r="C230" s="1539"/>
      <c r="D230" s="1539"/>
      <c r="E230" s="1539"/>
      <c r="F230" s="1539"/>
      <c r="G230" s="1539"/>
      <c r="H230" s="1539"/>
      <c r="I230" s="1539"/>
      <c r="J230" s="1539"/>
      <c r="K230" s="1539"/>
      <c r="L230" s="1539"/>
      <c r="M230" s="1539"/>
      <c r="N230" s="1539"/>
      <c r="O230" s="1540"/>
      <c r="P230" s="1570">
        <f t="shared" si="26"/>
        <v>9.2999999999999999E-2</v>
      </c>
      <c r="Q230" s="1571"/>
      <c r="R230" s="1571"/>
      <c r="S230" s="1570">
        <f t="shared" si="27"/>
        <v>7.0000000000000001E-3</v>
      </c>
      <c r="T230" s="1571"/>
      <c r="U230" s="1571"/>
      <c r="V230" s="1572">
        <f t="shared" si="28"/>
        <v>818.48</v>
      </c>
      <c r="W230" s="1573"/>
      <c r="X230" s="1573"/>
      <c r="Y230" s="1572">
        <f t="shared" si="29"/>
        <v>60.48</v>
      </c>
      <c r="Z230" s="1573"/>
      <c r="AA230" s="1573"/>
      <c r="AB230" s="1567">
        <f t="shared" si="30"/>
        <v>6910.72</v>
      </c>
      <c r="AC230" s="1568"/>
      <c r="AD230" s="1568"/>
      <c r="AE230" s="1568"/>
      <c r="AF230" s="1569"/>
    </row>
    <row r="231" spans="2:32" ht="30" customHeight="1" x14ac:dyDescent="0.25">
      <c r="B231" s="1538" t="s">
        <v>2454</v>
      </c>
      <c r="C231" s="1539"/>
      <c r="D231" s="1539"/>
      <c r="E231" s="1539"/>
      <c r="F231" s="1539"/>
      <c r="G231" s="1539"/>
      <c r="H231" s="1539"/>
      <c r="I231" s="1539"/>
      <c r="J231" s="1539"/>
      <c r="K231" s="1539"/>
      <c r="L231" s="1539"/>
      <c r="M231" s="1539"/>
      <c r="N231" s="1539"/>
      <c r="O231" s="1540"/>
      <c r="P231" s="1570">
        <f t="shared" si="26"/>
        <v>9.4E-2</v>
      </c>
      <c r="Q231" s="1571"/>
      <c r="R231" s="1571"/>
      <c r="S231" s="1570">
        <f t="shared" si="27"/>
        <v>7.0000000000000001E-3</v>
      </c>
      <c r="T231" s="1571"/>
      <c r="U231" s="1571"/>
      <c r="V231" s="1572">
        <f t="shared" si="28"/>
        <v>821.47</v>
      </c>
      <c r="W231" s="1573"/>
      <c r="X231" s="1573"/>
      <c r="Y231" s="1572">
        <f t="shared" si="29"/>
        <v>63.47</v>
      </c>
      <c r="Z231" s="1573"/>
      <c r="AA231" s="1573"/>
      <c r="AB231" s="1567">
        <f t="shared" si="30"/>
        <v>6952.58</v>
      </c>
      <c r="AC231" s="1568"/>
      <c r="AD231" s="1568"/>
      <c r="AE231" s="1568"/>
      <c r="AF231" s="1569"/>
    </row>
    <row r="232" spans="2:32" ht="30" customHeight="1" x14ac:dyDescent="0.25">
      <c r="B232" s="1538" t="s">
        <v>2455</v>
      </c>
      <c r="C232" s="1539"/>
      <c r="D232" s="1539"/>
      <c r="E232" s="1539"/>
      <c r="F232" s="1539"/>
      <c r="G232" s="1539"/>
      <c r="H232" s="1539"/>
      <c r="I232" s="1539"/>
      <c r="J232" s="1539"/>
      <c r="K232" s="1539"/>
      <c r="L232" s="1539"/>
      <c r="M232" s="1539"/>
      <c r="N232" s="1539"/>
      <c r="O232" s="1540"/>
      <c r="P232" s="1570">
        <f t="shared" si="26"/>
        <v>9.5000000000000001E-2</v>
      </c>
      <c r="Q232" s="1571"/>
      <c r="R232" s="1571"/>
      <c r="S232" s="1570">
        <f t="shared" si="27"/>
        <v>8.0000000000000002E-3</v>
      </c>
      <c r="T232" s="1571"/>
      <c r="U232" s="1571"/>
      <c r="V232" s="1572">
        <f t="shared" si="28"/>
        <v>830.31</v>
      </c>
      <c r="W232" s="1573"/>
      <c r="X232" s="1573"/>
      <c r="Y232" s="1572">
        <f t="shared" si="29"/>
        <v>72.31</v>
      </c>
      <c r="Z232" s="1573"/>
      <c r="AA232" s="1573"/>
      <c r="AB232" s="1567">
        <f t="shared" si="30"/>
        <v>7076.34</v>
      </c>
      <c r="AC232" s="1568"/>
      <c r="AD232" s="1568"/>
      <c r="AE232" s="1568"/>
      <c r="AF232" s="1569"/>
    </row>
    <row r="233" spans="2:32" ht="30" customHeight="1" x14ac:dyDescent="0.25">
      <c r="B233" s="1538" t="s">
        <v>2456</v>
      </c>
      <c r="C233" s="1539"/>
      <c r="D233" s="1539"/>
      <c r="E233" s="1539"/>
      <c r="F233" s="1539"/>
      <c r="G233" s="1539"/>
      <c r="H233" s="1539"/>
      <c r="I233" s="1539"/>
      <c r="J233" s="1539"/>
      <c r="K233" s="1539"/>
      <c r="L233" s="1539"/>
      <c r="M233" s="1539"/>
      <c r="N233" s="1539"/>
      <c r="O233" s="1540"/>
      <c r="P233" s="1570">
        <f t="shared" si="26"/>
        <v>9.2999999999999999E-2</v>
      </c>
      <c r="Q233" s="1571"/>
      <c r="R233" s="1571"/>
      <c r="S233" s="1570">
        <f t="shared" si="27"/>
        <v>7.0000000000000001E-3</v>
      </c>
      <c r="T233" s="1571"/>
      <c r="U233" s="1571"/>
      <c r="V233" s="1572">
        <f t="shared" si="28"/>
        <v>818.42</v>
      </c>
      <c r="W233" s="1573"/>
      <c r="X233" s="1573"/>
      <c r="Y233" s="1572">
        <f t="shared" si="29"/>
        <v>60.42</v>
      </c>
      <c r="Z233" s="1573"/>
      <c r="AA233" s="1573"/>
      <c r="AB233" s="1567">
        <f t="shared" si="30"/>
        <v>6909.88</v>
      </c>
      <c r="AC233" s="1568"/>
      <c r="AD233" s="1568"/>
      <c r="AE233" s="1568"/>
      <c r="AF233" s="1569"/>
    </row>
    <row r="234" spans="2:32" ht="30" customHeight="1" x14ac:dyDescent="0.25">
      <c r="B234" s="1538" t="s">
        <v>2503</v>
      </c>
      <c r="C234" s="1539"/>
      <c r="D234" s="1539"/>
      <c r="E234" s="1539"/>
      <c r="F234" s="1539"/>
      <c r="G234" s="1539"/>
      <c r="H234" s="1539"/>
      <c r="I234" s="1539"/>
      <c r="J234" s="1539"/>
      <c r="K234" s="1539"/>
      <c r="L234" s="1539"/>
      <c r="M234" s="1539"/>
      <c r="N234" s="1539"/>
      <c r="O234" s="1540"/>
      <c r="P234" s="1570">
        <f t="shared" si="26"/>
        <v>9.4E-2</v>
      </c>
      <c r="Q234" s="1571"/>
      <c r="R234" s="1571"/>
      <c r="S234" s="1570">
        <f t="shared" si="27"/>
        <v>7.0000000000000001E-3</v>
      </c>
      <c r="T234" s="1571"/>
      <c r="U234" s="1571"/>
      <c r="V234" s="1572">
        <f t="shared" si="28"/>
        <v>823.59</v>
      </c>
      <c r="W234" s="1573"/>
      <c r="X234" s="1573"/>
      <c r="Y234" s="1572">
        <f t="shared" si="29"/>
        <v>65.59</v>
      </c>
      <c r="Z234" s="1573"/>
      <c r="AA234" s="1573"/>
      <c r="AB234" s="1567">
        <f t="shared" si="30"/>
        <v>6982.26</v>
      </c>
      <c r="AC234" s="1568"/>
      <c r="AD234" s="1568"/>
      <c r="AE234" s="1568"/>
      <c r="AF234" s="1569"/>
    </row>
    <row r="235" spans="2:32" ht="30" customHeight="1" x14ac:dyDescent="0.25">
      <c r="B235" s="1538" t="s">
        <v>2457</v>
      </c>
      <c r="C235" s="1539"/>
      <c r="D235" s="1539"/>
      <c r="E235" s="1539"/>
      <c r="F235" s="1539"/>
      <c r="G235" s="1539"/>
      <c r="H235" s="1539"/>
      <c r="I235" s="1539"/>
      <c r="J235" s="1539"/>
      <c r="K235" s="1539"/>
      <c r="L235" s="1539"/>
      <c r="M235" s="1539"/>
      <c r="N235" s="1539"/>
      <c r="O235" s="1540"/>
      <c r="P235" s="1570">
        <f t="shared" si="26"/>
        <v>9.2999999999999999E-2</v>
      </c>
      <c r="Q235" s="1571"/>
      <c r="R235" s="1571"/>
      <c r="S235" s="1570">
        <f t="shared" si="27"/>
        <v>7.0000000000000001E-3</v>
      </c>
      <c r="T235" s="1571"/>
      <c r="U235" s="1571"/>
      <c r="V235" s="1572">
        <f>ROUND((W210+$W$187),2)</f>
        <v>817.84</v>
      </c>
      <c r="W235" s="1573"/>
      <c r="X235" s="1573"/>
      <c r="Y235" s="1572">
        <f t="shared" si="29"/>
        <v>59.84</v>
      </c>
      <c r="Z235" s="1573"/>
      <c r="AA235" s="1573"/>
      <c r="AB235" s="1567">
        <f t="shared" si="30"/>
        <v>6901.76</v>
      </c>
      <c r="AC235" s="1568"/>
      <c r="AD235" s="1568"/>
      <c r="AE235" s="1568"/>
      <c r="AF235" s="1569"/>
    </row>
    <row r="236" spans="2:32" x14ac:dyDescent="0.25">
      <c r="B236" s="672" t="s">
        <v>3855</v>
      </c>
      <c r="C236" s="497"/>
      <c r="D236" s="497"/>
      <c r="E236" s="497"/>
      <c r="F236" s="497"/>
      <c r="G236" s="497"/>
      <c r="H236" s="497"/>
      <c r="I236" s="497"/>
      <c r="J236" s="497"/>
      <c r="K236" s="497"/>
      <c r="L236" s="497"/>
      <c r="M236" s="497"/>
      <c r="N236" s="497"/>
      <c r="O236" s="497"/>
      <c r="P236" s="669"/>
      <c r="Q236" s="669"/>
      <c r="R236" s="669"/>
      <c r="S236" s="669"/>
      <c r="T236" s="669"/>
      <c r="U236" s="669"/>
      <c r="V236" s="670"/>
      <c r="W236" s="670"/>
      <c r="X236" s="670"/>
      <c r="Y236" s="670"/>
      <c r="Z236" s="670"/>
      <c r="AA236" s="670"/>
      <c r="AB236" s="671"/>
      <c r="AC236" s="671"/>
      <c r="AD236" s="671"/>
      <c r="AE236" s="671"/>
      <c r="AF236" s="671"/>
    </row>
    <row r="237" spans="2:32" x14ac:dyDescent="0.25">
      <c r="B237" s="672" t="s">
        <v>3856</v>
      </c>
      <c r="C237" s="497"/>
      <c r="D237" s="497"/>
      <c r="E237" s="497"/>
      <c r="F237" s="497"/>
      <c r="G237" s="497"/>
      <c r="H237" s="497"/>
      <c r="I237" s="497"/>
      <c r="J237" s="497"/>
      <c r="K237" s="497"/>
      <c r="L237" s="497"/>
      <c r="M237" s="497"/>
      <c r="N237" s="497"/>
      <c r="O237" s="497"/>
      <c r="P237" s="669"/>
      <c r="Q237" s="669"/>
      <c r="R237" s="669"/>
      <c r="S237" s="669"/>
      <c r="T237" s="669"/>
      <c r="U237" s="669"/>
      <c r="V237" s="670"/>
      <c r="W237" s="670"/>
      <c r="X237" s="670"/>
      <c r="Y237" s="670"/>
      <c r="Z237" s="670"/>
      <c r="AA237" s="670"/>
      <c r="AB237" s="671"/>
      <c r="AC237" s="671"/>
      <c r="AD237" s="671"/>
      <c r="AE237" s="671"/>
      <c r="AF237" s="671"/>
    </row>
    <row r="239" spans="2:32" x14ac:dyDescent="0.25">
      <c r="B239" s="171" t="s">
        <v>2489</v>
      </c>
    </row>
    <row r="240" spans="2:32" ht="30" customHeight="1" x14ac:dyDescent="0.25">
      <c r="B240" s="1527" t="s">
        <v>3847</v>
      </c>
      <c r="C240" s="1527"/>
      <c r="D240" s="1527"/>
      <c r="E240" s="1527"/>
      <c r="F240" s="1527"/>
      <c r="G240" s="1527"/>
      <c r="H240" s="1527"/>
      <c r="I240" s="1527"/>
      <c r="J240" s="1527"/>
      <c r="K240" s="1527"/>
      <c r="L240" s="1527"/>
      <c r="M240" s="1527"/>
      <c r="N240" s="1527"/>
      <c r="O240" s="1527"/>
      <c r="P240" s="1527"/>
      <c r="Q240" s="1527"/>
      <c r="R240" s="1527"/>
      <c r="S240" s="1527"/>
      <c r="T240" s="1527"/>
      <c r="U240" s="1527"/>
      <c r="V240" s="1527"/>
      <c r="W240" s="1527"/>
      <c r="X240" s="1527"/>
      <c r="Y240" s="1527"/>
      <c r="Z240" s="1527"/>
      <c r="AA240" s="1527"/>
      <c r="AB240" s="1527"/>
      <c r="AC240" s="1527"/>
      <c r="AD240" s="1527"/>
      <c r="AE240" s="1527"/>
      <c r="AF240" s="1527"/>
    </row>
    <row r="241" spans="1:32" ht="30" customHeight="1" x14ac:dyDescent="0.25">
      <c r="B241" s="1528" t="s">
        <v>2481</v>
      </c>
      <c r="C241" s="1529"/>
      <c r="D241" s="1529"/>
      <c r="E241" s="1529"/>
      <c r="F241" s="1529"/>
      <c r="G241" s="1529"/>
      <c r="H241" s="1529"/>
      <c r="I241" s="1529"/>
      <c r="J241" s="1529"/>
      <c r="K241" s="1529"/>
      <c r="L241" s="1529"/>
      <c r="M241" s="1529"/>
      <c r="N241" s="1529"/>
      <c r="O241" s="1530"/>
      <c r="P241" s="1534" t="s">
        <v>3846</v>
      </c>
      <c r="Q241" s="1535"/>
      <c r="R241" s="1535"/>
      <c r="S241" s="1535"/>
      <c r="T241" s="1535"/>
      <c r="U241" s="1536"/>
      <c r="V241" s="1534" t="s">
        <v>2194</v>
      </c>
      <c r="W241" s="1535"/>
      <c r="X241" s="1535"/>
      <c r="Y241" s="1535"/>
      <c r="Z241" s="1535"/>
      <c r="AA241" s="1536"/>
      <c r="AB241" s="1528" t="s">
        <v>2012</v>
      </c>
      <c r="AC241" s="1529"/>
      <c r="AD241" s="1529"/>
      <c r="AE241" s="1529"/>
      <c r="AF241" s="1530"/>
    </row>
    <row r="242" spans="1:32" ht="46.5" customHeight="1" x14ac:dyDescent="0.25">
      <c r="B242" s="1531"/>
      <c r="C242" s="1532"/>
      <c r="D242" s="1532"/>
      <c r="E242" s="1532"/>
      <c r="F242" s="1532"/>
      <c r="G242" s="1532"/>
      <c r="H242" s="1532"/>
      <c r="I242" s="1532"/>
      <c r="J242" s="1532"/>
      <c r="K242" s="1532"/>
      <c r="L242" s="1532"/>
      <c r="M242" s="1532"/>
      <c r="N242" s="1532"/>
      <c r="O242" s="1533"/>
      <c r="P242" s="1537" t="s">
        <v>3853</v>
      </c>
      <c r="Q242" s="1537"/>
      <c r="R242" s="1537"/>
      <c r="S242" s="1534" t="s">
        <v>3854</v>
      </c>
      <c r="T242" s="1535"/>
      <c r="U242" s="1536"/>
      <c r="V242" s="1537" t="s">
        <v>3853</v>
      </c>
      <c r="W242" s="1537"/>
      <c r="X242" s="1537"/>
      <c r="Y242" s="1534" t="s">
        <v>3854</v>
      </c>
      <c r="Z242" s="1535"/>
      <c r="AA242" s="1536"/>
      <c r="AB242" s="1531"/>
      <c r="AC242" s="1532"/>
      <c r="AD242" s="1532"/>
      <c r="AE242" s="1532"/>
      <c r="AF242" s="1533"/>
    </row>
    <row r="243" spans="1:32" ht="30" customHeight="1" x14ac:dyDescent="0.25">
      <c r="B243" s="1538" t="s">
        <v>2460</v>
      </c>
      <c r="C243" s="1539"/>
      <c r="D243" s="1539"/>
      <c r="E243" s="1539"/>
      <c r="F243" s="1539"/>
      <c r="G243" s="1539"/>
      <c r="H243" s="1539"/>
      <c r="I243" s="1539"/>
      <c r="J243" s="1539"/>
      <c r="K243" s="1539"/>
      <c r="L243" s="1539"/>
      <c r="M243" s="1539"/>
      <c r="N243" s="1539"/>
      <c r="O243" s="1540"/>
      <c r="P243" s="1570">
        <f>ROUND(V243*$Q$86/$Q$85,3)</f>
        <v>6.9000000000000006E-2</v>
      </c>
      <c r="Q243" s="1571"/>
      <c r="R243" s="1571"/>
      <c r="S243" s="1570">
        <f>ROUND(Y243*$Q$86/$Q$85,3)</f>
        <v>4.0000000000000001E-3</v>
      </c>
      <c r="T243" s="1571"/>
      <c r="U243" s="1571"/>
      <c r="V243" s="1572">
        <f>ROUND((W215+$W$188),2)</f>
        <v>605.04999999999995</v>
      </c>
      <c r="W243" s="1573"/>
      <c r="X243" s="1573"/>
      <c r="Y243" s="1572">
        <f>W215</f>
        <v>31.05</v>
      </c>
      <c r="Z243" s="1573"/>
      <c r="AA243" s="1573"/>
      <c r="AB243" s="1567">
        <f>ROUND((AB215+$AB$188),2)</f>
        <v>4545.8500000000004</v>
      </c>
      <c r="AC243" s="1568"/>
      <c r="AD243" s="1568"/>
      <c r="AE243" s="1568"/>
      <c r="AF243" s="1569"/>
    </row>
    <row r="244" spans="1:32" ht="30" customHeight="1" x14ac:dyDescent="0.25">
      <c r="B244" s="1538" t="s">
        <v>2461</v>
      </c>
      <c r="C244" s="1539"/>
      <c r="D244" s="1539"/>
      <c r="E244" s="1539"/>
      <c r="F244" s="1539"/>
      <c r="G244" s="1539"/>
      <c r="H244" s="1539"/>
      <c r="I244" s="1539"/>
      <c r="J244" s="1539"/>
      <c r="K244" s="1539"/>
      <c r="L244" s="1539"/>
      <c r="M244" s="1539"/>
      <c r="N244" s="1539"/>
      <c r="O244" s="1540"/>
      <c r="P244" s="1570">
        <f t="shared" ref="P244:P250" si="31">ROUND(V244*$Q$86/$Q$85,3)</f>
        <v>7.0000000000000007E-2</v>
      </c>
      <c r="Q244" s="1571"/>
      <c r="R244" s="1571"/>
      <c r="S244" s="1570">
        <f t="shared" ref="S244:S249" si="32">ROUND(Y244*$Q$86/$Q$85,3)</f>
        <v>5.0000000000000001E-3</v>
      </c>
      <c r="T244" s="1571"/>
      <c r="U244" s="1571"/>
      <c r="V244" s="1572">
        <f t="shared" ref="V244:V249" si="33">ROUND((W216+$W$188),2)</f>
        <v>614.69000000000005</v>
      </c>
      <c r="W244" s="1573"/>
      <c r="X244" s="1573"/>
      <c r="Y244" s="1572">
        <f t="shared" ref="Y244:Y250" si="34">W216</f>
        <v>40.69</v>
      </c>
      <c r="Z244" s="1573"/>
      <c r="AA244" s="1573"/>
      <c r="AB244" s="1567">
        <f t="shared" ref="AB244:AB249" si="35">ROUND((AB216+$AB$188),2)</f>
        <v>4709.7299999999996</v>
      </c>
      <c r="AC244" s="1568"/>
      <c r="AD244" s="1568"/>
      <c r="AE244" s="1568"/>
      <c r="AF244" s="1569"/>
    </row>
    <row r="245" spans="1:32" ht="30" customHeight="1" x14ac:dyDescent="0.25">
      <c r="B245" s="1538" t="s">
        <v>2462</v>
      </c>
      <c r="C245" s="1539"/>
      <c r="D245" s="1539"/>
      <c r="E245" s="1539"/>
      <c r="F245" s="1539"/>
      <c r="G245" s="1539"/>
      <c r="H245" s="1539"/>
      <c r="I245" s="1539"/>
      <c r="J245" s="1539"/>
      <c r="K245" s="1539"/>
      <c r="L245" s="1539"/>
      <c r="M245" s="1539"/>
      <c r="N245" s="1539"/>
      <c r="O245" s="1540"/>
      <c r="P245" s="1570">
        <f t="shared" si="31"/>
        <v>7.0000000000000007E-2</v>
      </c>
      <c r="Q245" s="1571"/>
      <c r="R245" s="1571"/>
      <c r="S245" s="1570">
        <f t="shared" si="32"/>
        <v>5.0000000000000001E-3</v>
      </c>
      <c r="T245" s="1571"/>
      <c r="U245" s="1571"/>
      <c r="V245" s="1572">
        <f t="shared" si="33"/>
        <v>614.69000000000005</v>
      </c>
      <c r="W245" s="1573"/>
      <c r="X245" s="1573"/>
      <c r="Y245" s="1572">
        <f t="shared" si="34"/>
        <v>40.69</v>
      </c>
      <c r="Z245" s="1573"/>
      <c r="AA245" s="1573"/>
      <c r="AB245" s="1567">
        <f t="shared" si="35"/>
        <v>4709.7299999999996</v>
      </c>
      <c r="AC245" s="1568"/>
      <c r="AD245" s="1568"/>
      <c r="AE245" s="1568"/>
      <c r="AF245" s="1569"/>
    </row>
    <row r="246" spans="1:32" ht="30" customHeight="1" x14ac:dyDescent="0.25">
      <c r="B246" s="1538" t="s">
        <v>2463</v>
      </c>
      <c r="C246" s="1539"/>
      <c r="D246" s="1539"/>
      <c r="E246" s="1539"/>
      <c r="F246" s="1539"/>
      <c r="G246" s="1539"/>
      <c r="H246" s="1539"/>
      <c r="I246" s="1539"/>
      <c r="J246" s="1539"/>
      <c r="K246" s="1539"/>
      <c r="L246" s="1539"/>
      <c r="M246" s="1539"/>
      <c r="N246" s="1539"/>
      <c r="O246" s="1540"/>
      <c r="P246" s="1570">
        <f t="shared" si="31"/>
        <v>7.0999999999999994E-2</v>
      </c>
      <c r="Q246" s="1571"/>
      <c r="R246" s="1571"/>
      <c r="S246" s="1570">
        <f t="shared" si="32"/>
        <v>5.0000000000000001E-3</v>
      </c>
      <c r="T246" s="1571"/>
      <c r="U246" s="1571"/>
      <c r="V246" s="1572">
        <f t="shared" si="33"/>
        <v>620.69000000000005</v>
      </c>
      <c r="W246" s="1573"/>
      <c r="X246" s="1573"/>
      <c r="Y246" s="1572">
        <f t="shared" si="34"/>
        <v>46.69</v>
      </c>
      <c r="Z246" s="1573"/>
      <c r="AA246" s="1573"/>
      <c r="AB246" s="1567">
        <f t="shared" si="35"/>
        <v>4811.7299999999996</v>
      </c>
      <c r="AC246" s="1568"/>
      <c r="AD246" s="1568"/>
      <c r="AE246" s="1568"/>
      <c r="AF246" s="1569"/>
    </row>
    <row r="247" spans="1:32" ht="30" customHeight="1" x14ac:dyDescent="0.25">
      <c r="B247" s="1538" t="s">
        <v>2464</v>
      </c>
      <c r="C247" s="1539"/>
      <c r="D247" s="1539"/>
      <c r="E247" s="1539"/>
      <c r="F247" s="1539"/>
      <c r="G247" s="1539"/>
      <c r="H247" s="1539"/>
      <c r="I247" s="1539"/>
      <c r="J247" s="1539"/>
      <c r="K247" s="1539"/>
      <c r="L247" s="1539"/>
      <c r="M247" s="1539"/>
      <c r="N247" s="1539"/>
      <c r="O247" s="1540"/>
      <c r="P247" s="1570">
        <f t="shared" si="31"/>
        <v>7.0999999999999994E-2</v>
      </c>
      <c r="Q247" s="1571"/>
      <c r="R247" s="1571"/>
      <c r="S247" s="1570">
        <f t="shared" si="32"/>
        <v>5.0000000000000001E-3</v>
      </c>
      <c r="T247" s="1571"/>
      <c r="U247" s="1571"/>
      <c r="V247" s="1572">
        <f t="shared" si="33"/>
        <v>620.69000000000005</v>
      </c>
      <c r="W247" s="1573"/>
      <c r="X247" s="1573"/>
      <c r="Y247" s="1572">
        <f t="shared" si="34"/>
        <v>46.69</v>
      </c>
      <c r="Z247" s="1573"/>
      <c r="AA247" s="1573"/>
      <c r="AB247" s="1567">
        <f t="shared" si="35"/>
        <v>4811.7299999999996</v>
      </c>
      <c r="AC247" s="1568"/>
      <c r="AD247" s="1568"/>
      <c r="AE247" s="1568"/>
      <c r="AF247" s="1569"/>
    </row>
    <row r="248" spans="1:32" ht="30" customHeight="1" x14ac:dyDescent="0.25">
      <c r="B248" s="1538" t="s">
        <v>2465</v>
      </c>
      <c r="C248" s="1539"/>
      <c r="D248" s="1539"/>
      <c r="E248" s="1539"/>
      <c r="F248" s="1539"/>
      <c r="G248" s="1539"/>
      <c r="H248" s="1539"/>
      <c r="I248" s="1539"/>
      <c r="J248" s="1539"/>
      <c r="K248" s="1539"/>
      <c r="L248" s="1539"/>
      <c r="M248" s="1539"/>
      <c r="N248" s="1539"/>
      <c r="O248" s="1540"/>
      <c r="P248" s="1570">
        <f t="shared" si="31"/>
        <v>6.8000000000000005E-2</v>
      </c>
      <c r="Q248" s="1571"/>
      <c r="R248" s="1571"/>
      <c r="S248" s="1570">
        <f t="shared" si="32"/>
        <v>3.0000000000000001E-3</v>
      </c>
      <c r="T248" s="1571"/>
      <c r="U248" s="1571"/>
      <c r="V248" s="1572">
        <f t="shared" si="33"/>
        <v>599.98</v>
      </c>
      <c r="W248" s="1573"/>
      <c r="X248" s="1573"/>
      <c r="Y248" s="1572">
        <f t="shared" si="34"/>
        <v>25.98</v>
      </c>
      <c r="Z248" s="1573"/>
      <c r="AA248" s="1573"/>
      <c r="AB248" s="1567">
        <f t="shared" si="35"/>
        <v>4459.66</v>
      </c>
      <c r="AC248" s="1568"/>
      <c r="AD248" s="1568"/>
      <c r="AE248" s="1568"/>
      <c r="AF248" s="1569"/>
    </row>
    <row r="249" spans="1:32" ht="30" customHeight="1" x14ac:dyDescent="0.25">
      <c r="B249" s="1538" t="s">
        <v>2466</v>
      </c>
      <c r="C249" s="1539"/>
      <c r="D249" s="1539"/>
      <c r="E249" s="1539"/>
      <c r="F249" s="1539"/>
      <c r="G249" s="1539"/>
      <c r="H249" s="1539"/>
      <c r="I249" s="1539"/>
      <c r="J249" s="1539"/>
      <c r="K249" s="1539"/>
      <c r="L249" s="1539"/>
      <c r="M249" s="1539"/>
      <c r="N249" s="1539"/>
      <c r="O249" s="1540"/>
      <c r="P249" s="1570">
        <f t="shared" si="31"/>
        <v>7.0000000000000007E-2</v>
      </c>
      <c r="Q249" s="1571"/>
      <c r="R249" s="1571"/>
      <c r="S249" s="1570">
        <f t="shared" si="32"/>
        <v>4.0000000000000001E-3</v>
      </c>
      <c r="T249" s="1571"/>
      <c r="U249" s="1571"/>
      <c r="V249" s="1572">
        <f t="shared" si="33"/>
        <v>610.02</v>
      </c>
      <c r="W249" s="1573"/>
      <c r="X249" s="1573"/>
      <c r="Y249" s="1572">
        <f t="shared" si="34"/>
        <v>36.020000000000003</v>
      </c>
      <c r="Z249" s="1573"/>
      <c r="AA249" s="1573"/>
      <c r="AB249" s="1567">
        <f t="shared" si="35"/>
        <v>4630.34</v>
      </c>
      <c r="AC249" s="1568"/>
      <c r="AD249" s="1568"/>
      <c r="AE249" s="1568"/>
      <c r="AF249" s="1569"/>
    </row>
    <row r="250" spans="1:32" ht="30" customHeight="1" x14ac:dyDescent="0.25">
      <c r="B250" s="1538" t="s">
        <v>2467</v>
      </c>
      <c r="C250" s="1539"/>
      <c r="D250" s="1539"/>
      <c r="E250" s="1539"/>
      <c r="F250" s="1539"/>
      <c r="G250" s="1539"/>
      <c r="H250" s="1539"/>
      <c r="I250" s="1539"/>
      <c r="J250" s="1539"/>
      <c r="K250" s="1539"/>
      <c r="L250" s="1539"/>
      <c r="M250" s="1539"/>
      <c r="N250" s="1539"/>
      <c r="O250" s="1540"/>
      <c r="P250" s="1570">
        <f t="shared" si="31"/>
        <v>7.0000000000000007E-2</v>
      </c>
      <c r="Q250" s="1571"/>
      <c r="R250" s="1571"/>
      <c r="S250" s="1570">
        <f>ROUND(Y250*$Q$86/$Q$85,3)</f>
        <v>4.0000000000000001E-3</v>
      </c>
      <c r="T250" s="1571"/>
      <c r="U250" s="1571"/>
      <c r="V250" s="1572">
        <f>ROUND((W222+$W$188),2)</f>
        <v>612.26</v>
      </c>
      <c r="W250" s="1573"/>
      <c r="X250" s="1573"/>
      <c r="Y250" s="1572">
        <f t="shared" si="34"/>
        <v>38.26</v>
      </c>
      <c r="Z250" s="1573"/>
      <c r="AA250" s="1573"/>
      <c r="AB250" s="1567">
        <f>ROUND((AB222+$AB$188),2)</f>
        <v>4668.42</v>
      </c>
      <c r="AC250" s="1568"/>
      <c r="AD250" s="1568"/>
      <c r="AE250" s="1568"/>
      <c r="AF250" s="1569"/>
    </row>
    <row r="251" spans="1:32" x14ac:dyDescent="0.25">
      <c r="B251" s="672" t="s">
        <v>3857</v>
      </c>
      <c r="C251" s="673"/>
      <c r="D251" s="673"/>
      <c r="E251" s="673"/>
      <c r="F251" s="673"/>
      <c r="G251" s="673"/>
      <c r="H251" s="673"/>
      <c r="I251" s="673"/>
      <c r="J251" s="673"/>
      <c r="K251" s="673"/>
      <c r="L251" s="673"/>
      <c r="M251" s="673"/>
      <c r="N251" s="673"/>
      <c r="O251" s="673"/>
      <c r="P251" s="674"/>
      <c r="Q251" s="674"/>
      <c r="R251" s="674"/>
      <c r="S251" s="674"/>
      <c r="T251" s="674"/>
      <c r="U251" s="674"/>
      <c r="V251" s="675"/>
      <c r="W251" s="675"/>
      <c r="X251" s="675"/>
      <c r="Y251" s="675"/>
      <c r="Z251" s="675"/>
      <c r="AA251" s="675"/>
      <c r="AB251" s="676"/>
      <c r="AC251" s="676"/>
      <c r="AD251" s="676"/>
      <c r="AE251" s="676"/>
      <c r="AF251" s="676"/>
    </row>
    <row r="252" spans="1:32" x14ac:dyDescent="0.25">
      <c r="B252" s="672" t="s">
        <v>3858</v>
      </c>
      <c r="C252" s="673"/>
      <c r="D252" s="673"/>
      <c r="E252" s="673"/>
      <c r="F252" s="673"/>
      <c r="G252" s="673"/>
      <c r="H252" s="673"/>
      <c r="I252" s="673"/>
      <c r="J252" s="673"/>
      <c r="K252" s="673"/>
      <c r="L252" s="673"/>
      <c r="M252" s="673"/>
      <c r="N252" s="673"/>
      <c r="O252" s="673"/>
      <c r="P252" s="674"/>
      <c r="Q252" s="674"/>
      <c r="R252" s="674"/>
      <c r="S252" s="674"/>
      <c r="T252" s="674"/>
      <c r="U252" s="674"/>
      <c r="V252" s="675"/>
      <c r="W252" s="675"/>
      <c r="X252" s="675"/>
      <c r="Y252" s="675"/>
      <c r="Z252" s="675"/>
      <c r="AA252" s="675"/>
      <c r="AB252" s="676"/>
      <c r="AC252" s="676"/>
      <c r="AD252" s="676"/>
      <c r="AE252" s="676"/>
      <c r="AF252" s="676"/>
    </row>
    <row r="254" spans="1:32" x14ac:dyDescent="0.25">
      <c r="A254" s="1472" t="s">
        <v>1753</v>
      </c>
      <c r="B254" s="1472"/>
      <c r="C254" s="1472"/>
      <c r="D254" s="1472"/>
      <c r="E254" s="1472"/>
      <c r="F254" s="1472"/>
      <c r="G254" s="1472"/>
      <c r="H254" s="1472"/>
      <c r="I254" s="1472"/>
      <c r="J254" s="1472"/>
      <c r="K254" s="1472"/>
      <c r="L254" s="1472"/>
      <c r="M254" s="1472"/>
      <c r="N254" s="1472"/>
      <c r="O254" s="1472"/>
      <c r="P254" s="1472"/>
      <c r="Q254" s="1472"/>
      <c r="R254" s="1472"/>
      <c r="S254" s="1472"/>
      <c r="T254" s="1472"/>
      <c r="U254" s="1472"/>
      <c r="V254" s="1472"/>
      <c r="W254" s="1472"/>
      <c r="X254" s="1472"/>
      <c r="Y254" s="1472"/>
      <c r="Z254" s="1472"/>
      <c r="AA254" s="1472"/>
      <c r="AB254" s="1472"/>
      <c r="AC254" s="1472"/>
      <c r="AD254" s="1472"/>
      <c r="AE254" s="1472"/>
      <c r="AF254" s="1472"/>
    </row>
    <row r="256" spans="1:32" ht="30" customHeight="1" x14ac:dyDescent="0.25">
      <c r="A256" s="515" t="s">
        <v>1013</v>
      </c>
      <c r="B256" s="1173" t="s">
        <v>5140</v>
      </c>
      <c r="C256" s="1173"/>
      <c r="D256" s="1173"/>
      <c r="E256" s="1173"/>
      <c r="F256" s="1173"/>
      <c r="G256" s="1173"/>
      <c r="H256" s="1173"/>
      <c r="I256" s="1173"/>
      <c r="J256" s="1173"/>
      <c r="K256" s="1173"/>
      <c r="L256" s="1173"/>
      <c r="M256" s="1173"/>
      <c r="N256" s="1173"/>
      <c r="O256" s="1173"/>
      <c r="P256" s="1173"/>
      <c r="Q256" s="1173"/>
      <c r="R256" s="1173"/>
      <c r="S256" s="1173"/>
      <c r="T256" s="1173"/>
      <c r="U256" s="1173"/>
      <c r="V256" s="1173"/>
      <c r="W256" s="1173"/>
      <c r="X256" s="1173"/>
      <c r="Y256" s="1173"/>
      <c r="Z256" s="1173"/>
      <c r="AA256" s="1173"/>
      <c r="AB256" s="1173"/>
      <c r="AC256" s="1173"/>
      <c r="AD256" s="1173"/>
      <c r="AE256" s="1173"/>
      <c r="AF256" s="1173"/>
    </row>
    <row r="257" spans="1:32" ht="66" customHeight="1" x14ac:dyDescent="0.25">
      <c r="A257" s="515" t="s">
        <v>1013</v>
      </c>
      <c r="B257" s="1173" t="s">
        <v>2501</v>
      </c>
      <c r="C257" s="1173"/>
      <c r="D257" s="1173"/>
      <c r="E257" s="1173"/>
      <c r="F257" s="1173"/>
      <c r="G257" s="1173"/>
      <c r="H257" s="1173"/>
      <c r="I257" s="1173"/>
      <c r="J257" s="1173"/>
      <c r="K257" s="1173"/>
      <c r="L257" s="1173"/>
      <c r="M257" s="1173"/>
      <c r="N257" s="1173"/>
      <c r="O257" s="1173"/>
      <c r="P257" s="1173"/>
      <c r="Q257" s="1173"/>
      <c r="R257" s="1173"/>
      <c r="S257" s="1173"/>
      <c r="T257" s="1173"/>
      <c r="U257" s="1173"/>
      <c r="V257" s="1173"/>
      <c r="W257" s="1173"/>
      <c r="X257" s="1173"/>
      <c r="Y257" s="1173"/>
      <c r="Z257" s="1173"/>
      <c r="AA257" s="1173"/>
      <c r="AB257" s="1173"/>
      <c r="AC257" s="1173"/>
      <c r="AD257" s="1173"/>
      <c r="AE257" s="1173"/>
      <c r="AF257" s="1173"/>
    </row>
    <row r="258" spans="1:32" ht="63.75" customHeight="1" x14ac:dyDescent="0.25">
      <c r="A258" s="515" t="s">
        <v>1013</v>
      </c>
      <c r="B258" s="1173" t="s">
        <v>2505</v>
      </c>
      <c r="C258" s="1173"/>
      <c r="D258" s="1173"/>
      <c r="E258" s="1173"/>
      <c r="F258" s="1173"/>
      <c r="G258" s="1173"/>
      <c r="H258" s="1173"/>
      <c r="I258" s="1173"/>
      <c r="J258" s="1173"/>
      <c r="K258" s="1173"/>
      <c r="L258" s="1173"/>
      <c r="M258" s="1173"/>
      <c r="N258" s="1173"/>
      <c r="O258" s="1173"/>
      <c r="P258" s="1173"/>
      <c r="Q258" s="1173"/>
      <c r="R258" s="1173"/>
      <c r="S258" s="1173"/>
      <c r="T258" s="1173"/>
      <c r="U258" s="1173"/>
      <c r="V258" s="1173"/>
      <c r="W258" s="1173"/>
      <c r="X258" s="1173"/>
      <c r="Y258" s="1173"/>
      <c r="Z258" s="1173"/>
      <c r="AA258" s="1173"/>
      <c r="AB258" s="1173"/>
      <c r="AC258" s="1173"/>
      <c r="AD258" s="1173"/>
      <c r="AE258" s="1173"/>
      <c r="AF258" s="1173"/>
    </row>
    <row r="259" spans="1:32" ht="50.25" customHeight="1" x14ac:dyDescent="0.25">
      <c r="A259" s="515" t="s">
        <v>1013</v>
      </c>
      <c r="B259" s="1173" t="s">
        <v>5141</v>
      </c>
      <c r="C259" s="1173"/>
      <c r="D259" s="1173"/>
      <c r="E259" s="1173"/>
      <c r="F259" s="1173"/>
      <c r="G259" s="1173"/>
      <c r="H259" s="1173"/>
      <c r="I259" s="1173"/>
      <c r="J259" s="1173"/>
      <c r="K259" s="1173"/>
      <c r="L259" s="1173"/>
      <c r="M259" s="1173"/>
      <c r="N259" s="1173"/>
      <c r="O259" s="1173"/>
      <c r="P259" s="1173"/>
      <c r="Q259" s="1173"/>
      <c r="R259" s="1173"/>
      <c r="S259" s="1173"/>
      <c r="T259" s="1173"/>
      <c r="U259" s="1173"/>
      <c r="V259" s="1173"/>
      <c r="W259" s="1173"/>
      <c r="X259" s="1173"/>
      <c r="Y259" s="1173"/>
      <c r="Z259" s="1173"/>
      <c r="AA259" s="1173"/>
      <c r="AB259" s="1173"/>
      <c r="AC259" s="1173"/>
      <c r="AD259" s="1173"/>
      <c r="AE259" s="1173"/>
      <c r="AF259" s="1173"/>
    </row>
    <row r="260" spans="1:32" ht="46.5" customHeight="1" x14ac:dyDescent="0.25">
      <c r="A260" s="515" t="s">
        <v>1013</v>
      </c>
      <c r="B260" s="1173" t="s">
        <v>3849</v>
      </c>
      <c r="C260" s="1173"/>
      <c r="D260" s="1173"/>
      <c r="E260" s="1173"/>
      <c r="F260" s="1173"/>
      <c r="G260" s="1173"/>
      <c r="H260" s="1173"/>
      <c r="I260" s="1173"/>
      <c r="J260" s="1173"/>
      <c r="K260" s="1173"/>
      <c r="L260" s="1173"/>
      <c r="M260" s="1173"/>
      <c r="N260" s="1173"/>
      <c r="O260" s="1173"/>
      <c r="P260" s="1173"/>
      <c r="Q260" s="1173"/>
      <c r="R260" s="1173"/>
      <c r="S260" s="1173"/>
      <c r="T260" s="1173"/>
      <c r="U260" s="1173"/>
      <c r="V260" s="1173"/>
      <c r="W260" s="1173"/>
      <c r="X260" s="1173"/>
      <c r="Y260" s="1173"/>
      <c r="Z260" s="1173"/>
      <c r="AA260" s="1173"/>
      <c r="AB260" s="1173"/>
      <c r="AC260" s="1173"/>
      <c r="AD260" s="1173"/>
      <c r="AE260" s="1173"/>
      <c r="AF260" s="1173"/>
    </row>
    <row r="261" spans="1:32" ht="30.75" customHeight="1" x14ac:dyDescent="0.25">
      <c r="A261" s="515" t="s">
        <v>1013</v>
      </c>
      <c r="B261" s="1173" t="s">
        <v>2504</v>
      </c>
      <c r="C261" s="1173"/>
      <c r="D261" s="1173"/>
      <c r="E261" s="1173"/>
      <c r="F261" s="1173"/>
      <c r="G261" s="1173"/>
      <c r="H261" s="1173"/>
      <c r="I261" s="1173"/>
      <c r="J261" s="1173"/>
      <c r="K261" s="1173"/>
      <c r="L261" s="1173"/>
      <c r="M261" s="1173"/>
      <c r="N261" s="1173"/>
      <c r="O261" s="1173"/>
      <c r="P261" s="1173"/>
      <c r="Q261" s="1173"/>
      <c r="R261" s="1173"/>
      <c r="S261" s="1173"/>
      <c r="T261" s="1173"/>
      <c r="U261" s="1173"/>
      <c r="V261" s="1173"/>
      <c r="W261" s="1173"/>
      <c r="X261" s="1173"/>
      <c r="Y261" s="1173"/>
      <c r="Z261" s="1173"/>
      <c r="AA261" s="1173"/>
      <c r="AB261" s="1173"/>
      <c r="AC261" s="1173"/>
      <c r="AD261" s="1173"/>
      <c r="AE261" s="1173"/>
      <c r="AF261" s="1173"/>
    </row>
    <row r="262" spans="1:32" ht="48" customHeight="1" x14ac:dyDescent="0.25">
      <c r="A262" s="515" t="s">
        <v>1013</v>
      </c>
      <c r="B262" s="1173" t="s">
        <v>2502</v>
      </c>
      <c r="C262" s="1173"/>
      <c r="D262" s="1173"/>
      <c r="E262" s="1173"/>
      <c r="F262" s="1173"/>
      <c r="G262" s="1173"/>
      <c r="H262" s="1173"/>
      <c r="I262" s="1173"/>
      <c r="J262" s="1173"/>
      <c r="K262" s="1173"/>
      <c r="L262" s="1173"/>
      <c r="M262" s="1173"/>
      <c r="N262" s="1173"/>
      <c r="O262" s="1173"/>
      <c r="P262" s="1173"/>
      <c r="Q262" s="1173"/>
      <c r="R262" s="1173"/>
      <c r="S262" s="1173"/>
      <c r="T262" s="1173"/>
      <c r="U262" s="1173"/>
      <c r="V262" s="1173"/>
      <c r="W262" s="1173"/>
      <c r="X262" s="1173"/>
      <c r="Y262" s="1173"/>
      <c r="Z262" s="1173"/>
      <c r="AA262" s="1173"/>
      <c r="AB262" s="1173"/>
      <c r="AC262" s="1173"/>
      <c r="AD262" s="1173"/>
      <c r="AE262" s="1173"/>
      <c r="AF262" s="1173"/>
    </row>
    <row r="263" spans="1:32" ht="46.5" customHeight="1" x14ac:dyDescent="0.25">
      <c r="A263" s="515" t="s">
        <v>1013</v>
      </c>
      <c r="B263" s="1173" t="s">
        <v>2851</v>
      </c>
      <c r="C263" s="1173"/>
      <c r="D263" s="1173"/>
      <c r="E263" s="1173"/>
      <c r="F263" s="1173"/>
      <c r="G263" s="1173"/>
      <c r="H263" s="1173"/>
      <c r="I263" s="1173"/>
      <c r="J263" s="1173"/>
      <c r="K263" s="1173"/>
      <c r="L263" s="1173"/>
      <c r="M263" s="1173"/>
      <c r="N263" s="1173"/>
      <c r="O263" s="1173"/>
      <c r="P263" s="1173"/>
      <c r="Q263" s="1173"/>
      <c r="R263" s="1173"/>
      <c r="S263" s="1173"/>
      <c r="T263" s="1173"/>
      <c r="U263" s="1173"/>
      <c r="V263" s="1173"/>
      <c r="W263" s="1173"/>
      <c r="X263" s="1173"/>
      <c r="Y263" s="1173"/>
      <c r="Z263" s="1173"/>
      <c r="AA263" s="1173"/>
      <c r="AB263" s="1173"/>
      <c r="AC263" s="1173"/>
      <c r="AD263" s="1173"/>
      <c r="AE263" s="1173"/>
      <c r="AF263" s="1173"/>
    </row>
  </sheetData>
  <sheetProtection algorithmName="SHA-512" hashValue="3TV5vqsnQJyMtytpcxGQmjrNzsdMmeHGizvH8nilr2nKmapF7gBI6JPBAWOl9zT8lkOzwkbF6JIvnk1canYzJw==" saltValue="J0g6POg27QLPNbdJ9gf9iQ==" spinCount="100000" sheet="1" objects="1" scenarios="1"/>
  <mergeCells count="605">
    <mergeCell ref="A254:AF254"/>
    <mergeCell ref="B256:AF256"/>
    <mergeCell ref="B257:AF257"/>
    <mergeCell ref="B258:AF258"/>
    <mergeCell ref="B259:AF259"/>
    <mergeCell ref="B260:AF260"/>
    <mergeCell ref="B261:AF261"/>
    <mergeCell ref="B262:AF262"/>
    <mergeCell ref="B263:AF263"/>
    <mergeCell ref="B249:O249"/>
    <mergeCell ref="P249:R249"/>
    <mergeCell ref="S249:U249"/>
    <mergeCell ref="V249:X249"/>
    <mergeCell ref="Y249:AA249"/>
    <mergeCell ref="AB249:AF249"/>
    <mergeCell ref="B250:O250"/>
    <mergeCell ref="P250:R250"/>
    <mergeCell ref="S250:U250"/>
    <mergeCell ref="V250:X250"/>
    <mergeCell ref="Y250:AA250"/>
    <mergeCell ref="AB250:AF250"/>
    <mergeCell ref="B247:O247"/>
    <mergeCell ref="P247:R247"/>
    <mergeCell ref="S247:U247"/>
    <mergeCell ref="V247:X247"/>
    <mergeCell ref="Y247:AA247"/>
    <mergeCell ref="AB247:AF247"/>
    <mergeCell ref="B248:O248"/>
    <mergeCell ref="P248:R248"/>
    <mergeCell ref="S248:U248"/>
    <mergeCell ref="V248:X248"/>
    <mergeCell ref="Y248:AA248"/>
    <mergeCell ref="AB248:AF248"/>
    <mergeCell ref="B245:O245"/>
    <mergeCell ref="P245:R245"/>
    <mergeCell ref="S245:U245"/>
    <mergeCell ref="V245:X245"/>
    <mergeCell ref="Y245:AA245"/>
    <mergeCell ref="AB245:AF245"/>
    <mergeCell ref="B246:O246"/>
    <mergeCell ref="P246:R246"/>
    <mergeCell ref="S246:U246"/>
    <mergeCell ref="V246:X246"/>
    <mergeCell ref="Y246:AA246"/>
    <mergeCell ref="AB246:AF246"/>
    <mergeCell ref="B243:O243"/>
    <mergeCell ref="P243:R243"/>
    <mergeCell ref="S243:U243"/>
    <mergeCell ref="V243:X243"/>
    <mergeCell ref="Y243:AA243"/>
    <mergeCell ref="AB243:AF243"/>
    <mergeCell ref="B244:O244"/>
    <mergeCell ref="P244:R244"/>
    <mergeCell ref="S244:U244"/>
    <mergeCell ref="V244:X244"/>
    <mergeCell ref="Y244:AA244"/>
    <mergeCell ref="AB244:AF244"/>
    <mergeCell ref="B235:O235"/>
    <mergeCell ref="P235:R235"/>
    <mergeCell ref="S235:U235"/>
    <mergeCell ref="V235:X235"/>
    <mergeCell ref="Y235:AA235"/>
    <mergeCell ref="AB235:AF235"/>
    <mergeCell ref="B240:AF240"/>
    <mergeCell ref="B241:O242"/>
    <mergeCell ref="P241:U241"/>
    <mergeCell ref="V241:AA241"/>
    <mergeCell ref="AB241:AF242"/>
    <mergeCell ref="P242:R242"/>
    <mergeCell ref="S242:U242"/>
    <mergeCell ref="V242:X242"/>
    <mergeCell ref="Y242:AA242"/>
    <mergeCell ref="B233:O233"/>
    <mergeCell ref="P233:R233"/>
    <mergeCell ref="S233:U233"/>
    <mergeCell ref="V233:X233"/>
    <mergeCell ref="Y233:AA233"/>
    <mergeCell ref="AB233:AF233"/>
    <mergeCell ref="B234:O234"/>
    <mergeCell ref="P234:R234"/>
    <mergeCell ref="S234:U234"/>
    <mergeCell ref="V234:X234"/>
    <mergeCell ref="Y234:AA234"/>
    <mergeCell ref="AB234:AF234"/>
    <mergeCell ref="B231:O231"/>
    <mergeCell ref="P231:R231"/>
    <mergeCell ref="S231:U231"/>
    <mergeCell ref="V231:X231"/>
    <mergeCell ref="Y231:AA231"/>
    <mergeCell ref="AB231:AF231"/>
    <mergeCell ref="B232:O232"/>
    <mergeCell ref="P232:R232"/>
    <mergeCell ref="S232:U232"/>
    <mergeCell ref="V232:X232"/>
    <mergeCell ref="Y232:AA232"/>
    <mergeCell ref="AB232:AF232"/>
    <mergeCell ref="B229:O229"/>
    <mergeCell ref="P229:R229"/>
    <mergeCell ref="S229:U229"/>
    <mergeCell ref="V229:X229"/>
    <mergeCell ref="Y229:AA229"/>
    <mergeCell ref="AB229:AF229"/>
    <mergeCell ref="B230:O230"/>
    <mergeCell ref="P230:R230"/>
    <mergeCell ref="S230:U230"/>
    <mergeCell ref="V230:X230"/>
    <mergeCell ref="Y230:AA230"/>
    <mergeCell ref="AB230:AF230"/>
    <mergeCell ref="B226:O227"/>
    <mergeCell ref="P226:U226"/>
    <mergeCell ref="V226:AA226"/>
    <mergeCell ref="AB226:AF227"/>
    <mergeCell ref="P227:R227"/>
    <mergeCell ref="S227:U227"/>
    <mergeCell ref="V227:X227"/>
    <mergeCell ref="Y227:AA227"/>
    <mergeCell ref="B228:O228"/>
    <mergeCell ref="P228:R228"/>
    <mergeCell ref="S228:U228"/>
    <mergeCell ref="V228:X228"/>
    <mergeCell ref="Y228:AA228"/>
    <mergeCell ref="AB228:AF228"/>
    <mergeCell ref="B221:Q221"/>
    <mergeCell ref="R221:V221"/>
    <mergeCell ref="W221:AA221"/>
    <mergeCell ref="AB221:AF221"/>
    <mergeCell ref="B222:Q222"/>
    <mergeCell ref="R222:V222"/>
    <mergeCell ref="W222:AA222"/>
    <mergeCell ref="AB222:AF222"/>
    <mergeCell ref="B225:AF225"/>
    <mergeCell ref="B218:Q218"/>
    <mergeCell ref="R218:V218"/>
    <mergeCell ref="W218:AA218"/>
    <mergeCell ref="AB218:AF218"/>
    <mergeCell ref="B219:Q219"/>
    <mergeCell ref="R219:V219"/>
    <mergeCell ref="W219:AA219"/>
    <mergeCell ref="AB219:AF219"/>
    <mergeCell ref="B220:Q220"/>
    <mergeCell ref="R220:V220"/>
    <mergeCell ref="W220:AA220"/>
    <mergeCell ref="AB220:AF220"/>
    <mergeCell ref="B215:Q215"/>
    <mergeCell ref="R215:V215"/>
    <mergeCell ref="W215:AA215"/>
    <mergeCell ref="AB215:AF215"/>
    <mergeCell ref="B216:Q216"/>
    <mergeCell ref="R216:V216"/>
    <mergeCell ref="W216:AA216"/>
    <mergeCell ref="AB216:AF216"/>
    <mergeCell ref="B217:Q217"/>
    <mergeCell ref="R217:V217"/>
    <mergeCell ref="W217:AA217"/>
    <mergeCell ref="AB217:AF217"/>
    <mergeCell ref="B209:Q209"/>
    <mergeCell ref="R209:V209"/>
    <mergeCell ref="W209:AA209"/>
    <mergeCell ref="AB209:AF209"/>
    <mergeCell ref="B210:Q210"/>
    <mergeCell ref="R210:V210"/>
    <mergeCell ref="W210:AA210"/>
    <mergeCell ref="AB210:AF210"/>
    <mergeCell ref="B214:Q214"/>
    <mergeCell ref="R214:V214"/>
    <mergeCell ref="W214:AA214"/>
    <mergeCell ref="AB214:AF214"/>
    <mergeCell ref="B206:Q206"/>
    <mergeCell ref="R206:V206"/>
    <mergeCell ref="W206:AA206"/>
    <mergeCell ref="AB206:AF206"/>
    <mergeCell ref="B207:Q207"/>
    <mergeCell ref="R207:V207"/>
    <mergeCell ref="W207:AA207"/>
    <mergeCell ref="AB207:AF207"/>
    <mergeCell ref="B208:Q208"/>
    <mergeCell ref="R208:V208"/>
    <mergeCell ref="W208:AA208"/>
    <mergeCell ref="AB208:AF208"/>
    <mergeCell ref="B203:Q203"/>
    <mergeCell ref="R203:V203"/>
    <mergeCell ref="W203:AA203"/>
    <mergeCell ref="AB203:AF203"/>
    <mergeCell ref="B204:Q204"/>
    <mergeCell ref="R204:V204"/>
    <mergeCell ref="W204:AA204"/>
    <mergeCell ref="AB204:AF204"/>
    <mergeCell ref="B205:Q205"/>
    <mergeCell ref="R205:V205"/>
    <mergeCell ref="W205:AA205"/>
    <mergeCell ref="AB205:AF205"/>
    <mergeCell ref="A191:AF191"/>
    <mergeCell ref="J194:M194"/>
    <mergeCell ref="Y194:AB194"/>
    <mergeCell ref="J196:M196"/>
    <mergeCell ref="D198:G198"/>
    <mergeCell ref="S198:V198"/>
    <mergeCell ref="B202:Q202"/>
    <mergeCell ref="R202:V202"/>
    <mergeCell ref="W202:AA202"/>
    <mergeCell ref="AB202:AF202"/>
    <mergeCell ref="B186:Q186"/>
    <mergeCell ref="R186:V186"/>
    <mergeCell ref="W186:AA186"/>
    <mergeCell ref="AB186:AF186"/>
    <mergeCell ref="B187:Q187"/>
    <mergeCell ref="R187:V187"/>
    <mergeCell ref="W187:AA187"/>
    <mergeCell ref="AB187:AF187"/>
    <mergeCell ref="B188:Q188"/>
    <mergeCell ref="R188:V188"/>
    <mergeCell ref="W188:AA188"/>
    <mergeCell ref="AB188:AF188"/>
    <mergeCell ref="B179:O179"/>
    <mergeCell ref="P179:R179"/>
    <mergeCell ref="S179:U179"/>
    <mergeCell ref="V179:X179"/>
    <mergeCell ref="Y179:AA179"/>
    <mergeCell ref="AB179:AF179"/>
    <mergeCell ref="B180:O180"/>
    <mergeCell ref="P180:R180"/>
    <mergeCell ref="S180:U180"/>
    <mergeCell ref="V180:X180"/>
    <mergeCell ref="Y180:AA180"/>
    <mergeCell ref="AB180:AF180"/>
    <mergeCell ref="B177:O177"/>
    <mergeCell ref="P177:R177"/>
    <mergeCell ref="S177:U177"/>
    <mergeCell ref="V177:X177"/>
    <mergeCell ref="Y177:AA177"/>
    <mergeCell ref="AB177:AF177"/>
    <mergeCell ref="B178:O178"/>
    <mergeCell ref="P178:R178"/>
    <mergeCell ref="S178:U178"/>
    <mergeCell ref="V178:X178"/>
    <mergeCell ref="Y178:AA178"/>
    <mergeCell ref="AB178:AF178"/>
    <mergeCell ref="B175:O175"/>
    <mergeCell ref="P175:R175"/>
    <mergeCell ref="S175:U175"/>
    <mergeCell ref="V175:X175"/>
    <mergeCell ref="Y175:AA175"/>
    <mergeCell ref="AB175:AF175"/>
    <mergeCell ref="B176:O176"/>
    <mergeCell ref="P176:R176"/>
    <mergeCell ref="S176:U176"/>
    <mergeCell ref="V176:X176"/>
    <mergeCell ref="Y176:AA176"/>
    <mergeCell ref="AB176:AF176"/>
    <mergeCell ref="B173:O173"/>
    <mergeCell ref="P173:R173"/>
    <mergeCell ref="S173:U173"/>
    <mergeCell ref="V173:X173"/>
    <mergeCell ref="Y173:AA173"/>
    <mergeCell ref="AB173:AF173"/>
    <mergeCell ref="B174:O174"/>
    <mergeCell ref="P174:R174"/>
    <mergeCell ref="S174:U174"/>
    <mergeCell ref="V174:X174"/>
    <mergeCell ref="Y174:AA174"/>
    <mergeCell ref="AB174:AF174"/>
    <mergeCell ref="B170:AF170"/>
    <mergeCell ref="B171:O172"/>
    <mergeCell ref="P171:U171"/>
    <mergeCell ref="V171:AA171"/>
    <mergeCell ref="AB171:AF172"/>
    <mergeCell ref="P172:R172"/>
    <mergeCell ref="S172:U172"/>
    <mergeCell ref="V172:X172"/>
    <mergeCell ref="Y172:AA172"/>
    <mergeCell ref="B164:O164"/>
    <mergeCell ref="P164:R164"/>
    <mergeCell ref="S164:U164"/>
    <mergeCell ref="V164:X164"/>
    <mergeCell ref="Y164:AA164"/>
    <mergeCell ref="AB164:AF164"/>
    <mergeCell ref="B165:O165"/>
    <mergeCell ref="P165:R165"/>
    <mergeCell ref="S165:U165"/>
    <mergeCell ref="V165:X165"/>
    <mergeCell ref="Y165:AA165"/>
    <mergeCell ref="AB165:AF165"/>
    <mergeCell ref="B162:O162"/>
    <mergeCell ref="P162:R162"/>
    <mergeCell ref="S162:U162"/>
    <mergeCell ref="V162:X162"/>
    <mergeCell ref="Y162:AA162"/>
    <mergeCell ref="AB162:AF162"/>
    <mergeCell ref="B163:O163"/>
    <mergeCell ref="P163:R163"/>
    <mergeCell ref="S163:U163"/>
    <mergeCell ref="V163:X163"/>
    <mergeCell ref="Y163:AA163"/>
    <mergeCell ref="AB163:AF163"/>
    <mergeCell ref="B160:O160"/>
    <mergeCell ref="P160:R160"/>
    <mergeCell ref="S160:U160"/>
    <mergeCell ref="V160:X160"/>
    <mergeCell ref="Y160:AA160"/>
    <mergeCell ref="AB160:AF160"/>
    <mergeCell ref="B161:O161"/>
    <mergeCell ref="P161:R161"/>
    <mergeCell ref="S161:U161"/>
    <mergeCell ref="V161:X161"/>
    <mergeCell ref="Y161:AA161"/>
    <mergeCell ref="AB161:AF161"/>
    <mergeCell ref="B158:O158"/>
    <mergeCell ref="P158:R158"/>
    <mergeCell ref="S158:U158"/>
    <mergeCell ref="V158:X158"/>
    <mergeCell ref="Y158:AA158"/>
    <mergeCell ref="AB158:AF158"/>
    <mergeCell ref="B159:O159"/>
    <mergeCell ref="P159:R159"/>
    <mergeCell ref="S159:U159"/>
    <mergeCell ref="V159:X159"/>
    <mergeCell ref="Y159:AA159"/>
    <mergeCell ref="AB159:AF159"/>
    <mergeCell ref="B152:Q152"/>
    <mergeCell ref="R152:V152"/>
    <mergeCell ref="W152:AA152"/>
    <mergeCell ref="AB152:AF152"/>
    <mergeCell ref="B155:AF155"/>
    <mergeCell ref="B156:O157"/>
    <mergeCell ref="P156:U156"/>
    <mergeCell ref="V156:AA156"/>
    <mergeCell ref="AB156:AF157"/>
    <mergeCell ref="P157:R157"/>
    <mergeCell ref="S157:U157"/>
    <mergeCell ref="V157:X157"/>
    <mergeCell ref="Y157:AA157"/>
    <mergeCell ref="B149:Q149"/>
    <mergeCell ref="R149:V149"/>
    <mergeCell ref="W149:AA149"/>
    <mergeCell ref="AB149:AF149"/>
    <mergeCell ref="B150:Q150"/>
    <mergeCell ref="R150:V150"/>
    <mergeCell ref="W150:AA150"/>
    <mergeCell ref="AB150:AF150"/>
    <mergeCell ref="B151:Q151"/>
    <mergeCell ref="R151:V151"/>
    <mergeCell ref="W151:AA151"/>
    <mergeCell ref="AB151:AF151"/>
    <mergeCell ref="B146:Q146"/>
    <mergeCell ref="R146:V146"/>
    <mergeCell ref="W146:AA146"/>
    <mergeCell ref="AB146:AF146"/>
    <mergeCell ref="B147:Q147"/>
    <mergeCell ref="R147:V147"/>
    <mergeCell ref="W147:AA147"/>
    <mergeCell ref="AB147:AF147"/>
    <mergeCell ref="B148:Q148"/>
    <mergeCell ref="R148:V148"/>
    <mergeCell ref="W148:AA148"/>
    <mergeCell ref="AB148:AF148"/>
    <mergeCell ref="B140:Q140"/>
    <mergeCell ref="R140:V140"/>
    <mergeCell ref="W140:AA140"/>
    <mergeCell ref="AB140:AF140"/>
    <mergeCell ref="B144:Q144"/>
    <mergeCell ref="R144:V144"/>
    <mergeCell ref="W144:AA144"/>
    <mergeCell ref="AB144:AF144"/>
    <mergeCell ref="B145:Q145"/>
    <mergeCell ref="R145:V145"/>
    <mergeCell ref="W145:AA145"/>
    <mergeCell ref="AB145:AF145"/>
    <mergeCell ref="B137:Q137"/>
    <mergeCell ref="R137:V137"/>
    <mergeCell ref="W137:AA137"/>
    <mergeCell ref="AB137:AF137"/>
    <mergeCell ref="B138:Q138"/>
    <mergeCell ref="R138:V138"/>
    <mergeCell ref="W138:AA138"/>
    <mergeCell ref="AB138:AF138"/>
    <mergeCell ref="B139:Q139"/>
    <mergeCell ref="R139:V139"/>
    <mergeCell ref="W139:AA139"/>
    <mergeCell ref="AB139:AF139"/>
    <mergeCell ref="B134:Q134"/>
    <mergeCell ref="R134:V134"/>
    <mergeCell ref="W134:AA134"/>
    <mergeCell ref="AB134:AF134"/>
    <mergeCell ref="B135:Q135"/>
    <mergeCell ref="R135:V135"/>
    <mergeCell ref="W135:AA135"/>
    <mergeCell ref="AB135:AF135"/>
    <mergeCell ref="B136:Q136"/>
    <mergeCell ref="R136:V136"/>
    <mergeCell ref="W136:AA136"/>
    <mergeCell ref="AB136:AF136"/>
    <mergeCell ref="A124:AF124"/>
    <mergeCell ref="A125:AF125"/>
    <mergeCell ref="A126:AF126"/>
    <mergeCell ref="A128:AF128"/>
    <mergeCell ref="B132:Q132"/>
    <mergeCell ref="R132:V132"/>
    <mergeCell ref="W132:AA132"/>
    <mergeCell ref="AB132:AF132"/>
    <mergeCell ref="B133:Q133"/>
    <mergeCell ref="R133:V133"/>
    <mergeCell ref="W133:AA133"/>
    <mergeCell ref="AB133:AF133"/>
    <mergeCell ref="A122:P122"/>
    <mergeCell ref="Q122:T122"/>
    <mergeCell ref="U122:X122"/>
    <mergeCell ref="Y122:AB122"/>
    <mergeCell ref="AC122:AF122"/>
    <mergeCell ref="A123:P123"/>
    <mergeCell ref="Q123:T123"/>
    <mergeCell ref="U123:X123"/>
    <mergeCell ref="Y123:AB123"/>
    <mergeCell ref="AC123:AF123"/>
    <mergeCell ref="A120:P120"/>
    <mergeCell ref="Q120:T120"/>
    <mergeCell ref="U120:X120"/>
    <mergeCell ref="Y120:AB120"/>
    <mergeCell ref="AC120:AF120"/>
    <mergeCell ref="A121:P121"/>
    <mergeCell ref="Q121:T121"/>
    <mergeCell ref="U121:X121"/>
    <mergeCell ref="Y121:AB121"/>
    <mergeCell ref="AC121:AF121"/>
    <mergeCell ref="A118:P118"/>
    <mergeCell ref="Q118:T118"/>
    <mergeCell ref="U118:X118"/>
    <mergeCell ref="Y118:AB118"/>
    <mergeCell ref="AC118:AF118"/>
    <mergeCell ref="A119:P119"/>
    <mergeCell ref="Q119:T119"/>
    <mergeCell ref="U119:X119"/>
    <mergeCell ref="Y119:AB119"/>
    <mergeCell ref="AC119:AF119"/>
    <mergeCell ref="A116:P116"/>
    <mergeCell ref="Q116:T116"/>
    <mergeCell ref="U116:X116"/>
    <mergeCell ref="Y116:AB116"/>
    <mergeCell ref="AC116:AF116"/>
    <mergeCell ref="A117:P117"/>
    <mergeCell ref="Q117:T117"/>
    <mergeCell ref="U117:X117"/>
    <mergeCell ref="Y117:AB117"/>
    <mergeCell ref="AC117:AF117"/>
    <mergeCell ref="A109:AF109"/>
    <mergeCell ref="A110:AF110"/>
    <mergeCell ref="A111:AF111"/>
    <mergeCell ref="A113:AF113"/>
    <mergeCell ref="A114:P114"/>
    <mergeCell ref="Q114:X114"/>
    <mergeCell ref="Y114:AF114"/>
    <mergeCell ref="A115:P115"/>
    <mergeCell ref="Q115:T115"/>
    <mergeCell ref="U115:X115"/>
    <mergeCell ref="Y115:AB115"/>
    <mergeCell ref="AC115:AF115"/>
    <mergeCell ref="A107:P107"/>
    <mergeCell ref="Q107:T107"/>
    <mergeCell ref="U107:X107"/>
    <mergeCell ref="Y107:AB107"/>
    <mergeCell ref="AC107:AF107"/>
    <mergeCell ref="A108:P108"/>
    <mergeCell ref="Q108:T108"/>
    <mergeCell ref="U108:X108"/>
    <mergeCell ref="Y108:AB108"/>
    <mergeCell ref="AC108:AF108"/>
    <mergeCell ref="A105:P105"/>
    <mergeCell ref="Q105:T105"/>
    <mergeCell ref="U105:X105"/>
    <mergeCell ref="Y105:AB105"/>
    <mergeCell ref="AC105:AF105"/>
    <mergeCell ref="A106:P106"/>
    <mergeCell ref="Q106:T106"/>
    <mergeCell ref="U106:X106"/>
    <mergeCell ref="Y106:AB106"/>
    <mergeCell ref="AC106:AF106"/>
    <mergeCell ref="A103:P103"/>
    <mergeCell ref="Q103:T103"/>
    <mergeCell ref="U103:X103"/>
    <mergeCell ref="Y103:AB103"/>
    <mergeCell ref="AC103:AF103"/>
    <mergeCell ref="A104:P104"/>
    <mergeCell ref="Q104:T104"/>
    <mergeCell ref="U104:X104"/>
    <mergeCell ref="Y104:AB104"/>
    <mergeCell ref="AC104:AF104"/>
    <mergeCell ref="A101:P101"/>
    <mergeCell ref="Q101:T101"/>
    <mergeCell ref="U101:X101"/>
    <mergeCell ref="Y101:AB101"/>
    <mergeCell ref="AC101:AF101"/>
    <mergeCell ref="A102:P102"/>
    <mergeCell ref="Q102:T102"/>
    <mergeCell ref="U102:X102"/>
    <mergeCell ref="Y102:AB102"/>
    <mergeCell ref="AC102:AF102"/>
    <mergeCell ref="A95:AF95"/>
    <mergeCell ref="A98:AF98"/>
    <mergeCell ref="A99:P99"/>
    <mergeCell ref="Q99:X99"/>
    <mergeCell ref="Y99:AF99"/>
    <mergeCell ref="A100:P100"/>
    <mergeCell ref="Q100:T100"/>
    <mergeCell ref="U100:X100"/>
    <mergeCell ref="Y100:AB100"/>
    <mergeCell ref="AC100:AF100"/>
    <mergeCell ref="A90:D90"/>
    <mergeCell ref="E90:P90"/>
    <mergeCell ref="Q90:T90"/>
    <mergeCell ref="U90:V90"/>
    <mergeCell ref="W90:AF90"/>
    <mergeCell ref="A91:AF91"/>
    <mergeCell ref="A92:AF92"/>
    <mergeCell ref="A93:AF93"/>
    <mergeCell ref="A94:AF94"/>
    <mergeCell ref="A88:D88"/>
    <mergeCell ref="E88:P88"/>
    <mergeCell ref="Q88:T88"/>
    <mergeCell ref="U88:V88"/>
    <mergeCell ref="W88:AF88"/>
    <mergeCell ref="A89:D89"/>
    <mergeCell ref="E89:P89"/>
    <mergeCell ref="Q89:T89"/>
    <mergeCell ref="U89:V89"/>
    <mergeCell ref="W89:AF89"/>
    <mergeCell ref="A86:D86"/>
    <mergeCell ref="E86:P86"/>
    <mergeCell ref="Q86:T86"/>
    <mergeCell ref="U86:V86"/>
    <mergeCell ref="W86:AF86"/>
    <mergeCell ref="A87:D87"/>
    <mergeCell ref="E87:P87"/>
    <mergeCell ref="Q87:T87"/>
    <mergeCell ref="U87:V87"/>
    <mergeCell ref="W87:AF87"/>
    <mergeCell ref="A84:D84"/>
    <mergeCell ref="E84:P84"/>
    <mergeCell ref="Q84:T84"/>
    <mergeCell ref="U84:V84"/>
    <mergeCell ref="W84:AF84"/>
    <mergeCell ref="A85:D85"/>
    <mergeCell ref="E85:P85"/>
    <mergeCell ref="Q85:T85"/>
    <mergeCell ref="U85:V85"/>
    <mergeCell ref="W85:AF85"/>
    <mergeCell ref="A82:D83"/>
    <mergeCell ref="E82:P82"/>
    <mergeCell ref="Q82:T82"/>
    <mergeCell ref="U82:V82"/>
    <mergeCell ref="W82:AF82"/>
    <mergeCell ref="E83:P83"/>
    <mergeCell ref="Q83:T83"/>
    <mergeCell ref="U83:V83"/>
    <mergeCell ref="W83:AF83"/>
    <mergeCell ref="A80:D80"/>
    <mergeCell ref="E80:P80"/>
    <mergeCell ref="Q80:T80"/>
    <mergeCell ref="U80:V80"/>
    <mergeCell ref="W80:AF80"/>
    <mergeCell ref="A81:D81"/>
    <mergeCell ref="E81:P81"/>
    <mergeCell ref="Q81:T81"/>
    <mergeCell ref="U81:V81"/>
    <mergeCell ref="W81:AF81"/>
    <mergeCell ref="A78:D78"/>
    <mergeCell ref="E78:P78"/>
    <mergeCell ref="Q78:T78"/>
    <mergeCell ref="U78:V78"/>
    <mergeCell ref="W78:AF78"/>
    <mergeCell ref="A79:D79"/>
    <mergeCell ref="E79:P79"/>
    <mergeCell ref="Q79:T79"/>
    <mergeCell ref="U79:V79"/>
    <mergeCell ref="W79:AF79"/>
    <mergeCell ref="A76:D76"/>
    <mergeCell ref="E76:P76"/>
    <mergeCell ref="Q76:T76"/>
    <mergeCell ref="U76:V76"/>
    <mergeCell ref="W76:AF76"/>
    <mergeCell ref="A77:D77"/>
    <mergeCell ref="E77:P77"/>
    <mergeCell ref="Q77:T77"/>
    <mergeCell ref="U77:V77"/>
    <mergeCell ref="W77:AF77"/>
    <mergeCell ref="A1:AF1"/>
    <mergeCell ref="A7:AF7"/>
    <mergeCell ref="B13:AF13"/>
    <mergeCell ref="B16:AF16"/>
    <mergeCell ref="B10:AF10"/>
    <mergeCell ref="B19:AF19"/>
    <mergeCell ref="B28:AF28"/>
    <mergeCell ref="A74:AF74"/>
    <mergeCell ref="A75:D75"/>
    <mergeCell ref="E75:P75"/>
    <mergeCell ref="A3:AF3"/>
    <mergeCell ref="B5:AF5"/>
    <mergeCell ref="B9:I9"/>
    <mergeCell ref="B12:I12"/>
    <mergeCell ref="B15:I15"/>
    <mergeCell ref="B18:I18"/>
    <mergeCell ref="B22:AF22"/>
    <mergeCell ref="B24:AF24"/>
    <mergeCell ref="A26:AF26"/>
    <mergeCell ref="Q75:T75"/>
    <mergeCell ref="U75:V75"/>
    <mergeCell ref="W75:AF75"/>
  </mergeCells>
  <hyperlinks>
    <hyperlink ref="A2" location="TOC!A1" display="Return to TOC" xr:uid="{00000000-0004-0000-0E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2:AF72"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theme="5" tint="0.79998168889431442"/>
    <pageSetUpPr autoPageBreaks="0"/>
  </sheetPr>
  <dimension ref="A1:AI38"/>
  <sheetViews>
    <sheetView workbookViewId="0">
      <selection sqref="A1:AF1"/>
    </sheetView>
  </sheetViews>
  <sheetFormatPr defaultColWidth="2.7109375" defaultRowHeight="15" x14ac:dyDescent="0.25"/>
  <cols>
    <col min="1" max="16384" width="2.7109375" style="1"/>
  </cols>
  <sheetData>
    <row r="1" spans="1:32" ht="18.75" x14ac:dyDescent="0.25">
      <c r="A1" s="1464" t="s">
        <v>1123</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148" t="s">
        <v>9</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171" t="s">
        <v>10</v>
      </c>
      <c r="C5" s="171"/>
      <c r="D5" s="171"/>
      <c r="E5" s="171"/>
      <c r="F5" s="171"/>
      <c r="G5" s="171"/>
      <c r="H5" s="171"/>
      <c r="I5" s="171"/>
    </row>
    <row r="6" spans="1:32" s="4" customFormat="1" ht="96.75" customHeight="1" x14ac:dyDescent="0.25">
      <c r="B6" s="1142" t="s">
        <v>50</v>
      </c>
      <c r="C6" s="1142"/>
      <c r="D6" s="1142"/>
      <c r="E6" s="1142"/>
      <c r="F6" s="1142"/>
      <c r="G6" s="1142"/>
      <c r="H6" s="1142"/>
      <c r="I6" s="1142"/>
      <c r="J6" s="1142"/>
      <c r="K6" s="1142"/>
      <c r="L6" s="1142"/>
      <c r="M6" s="1142"/>
      <c r="N6" s="1142"/>
      <c r="O6" s="1142"/>
      <c r="P6" s="1142"/>
      <c r="Q6" s="1142"/>
      <c r="R6" s="1142"/>
      <c r="S6" s="1142"/>
      <c r="T6" s="1142"/>
      <c r="U6" s="1142"/>
      <c r="V6" s="1142"/>
      <c r="W6" s="1142"/>
      <c r="X6" s="1142"/>
      <c r="Y6" s="1142"/>
      <c r="Z6" s="1142"/>
      <c r="AA6" s="1142"/>
      <c r="AB6" s="1142"/>
      <c r="AC6" s="1142"/>
      <c r="AD6" s="1142"/>
      <c r="AE6" s="1142"/>
      <c r="AF6" s="1142"/>
    </row>
    <row r="7" spans="1:32" s="4" customFormat="1" ht="14.45" customHeight="1" x14ac:dyDescent="0.25">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row>
    <row r="8" spans="1:32" x14ac:dyDescent="0.25">
      <c r="B8" s="171" t="s">
        <v>11</v>
      </c>
      <c r="C8" s="171"/>
      <c r="D8" s="171"/>
      <c r="E8" s="171"/>
      <c r="F8" s="171"/>
      <c r="G8" s="171"/>
      <c r="H8" s="171"/>
      <c r="I8" s="171"/>
    </row>
    <row r="9" spans="1:32" ht="35.25" customHeight="1" x14ac:dyDescent="0.25">
      <c r="B9" s="1247" t="s">
        <v>1566</v>
      </c>
      <c r="C9" s="1247"/>
      <c r="D9" s="1247"/>
      <c r="E9" s="1247"/>
      <c r="F9" s="1247"/>
      <c r="G9" s="1247"/>
      <c r="H9" s="1247"/>
      <c r="I9" s="1247"/>
      <c r="J9" s="1247"/>
      <c r="K9" s="1247"/>
      <c r="L9" s="1247"/>
      <c r="M9" s="1247"/>
      <c r="N9" s="1247"/>
      <c r="O9" s="1247"/>
      <c r="P9" s="1247"/>
      <c r="Q9" s="1247"/>
      <c r="R9" s="1247"/>
      <c r="S9" s="1247"/>
      <c r="T9" s="1247"/>
      <c r="U9" s="1247"/>
      <c r="V9" s="1247"/>
      <c r="W9" s="1247"/>
      <c r="X9" s="1247"/>
      <c r="Y9" s="1247"/>
      <c r="Z9" s="1247"/>
      <c r="AA9" s="1247"/>
      <c r="AB9" s="1247"/>
      <c r="AC9" s="1247"/>
      <c r="AD9" s="1247"/>
      <c r="AE9" s="1247"/>
      <c r="AF9" s="1247"/>
    </row>
    <row r="11" spans="1:32" x14ac:dyDescent="0.25">
      <c r="B11" s="171" t="s">
        <v>12</v>
      </c>
      <c r="C11" s="171"/>
      <c r="D11" s="171"/>
      <c r="E11" s="171"/>
      <c r="F11" s="171"/>
      <c r="G11" s="171"/>
      <c r="H11" s="171"/>
      <c r="I11" s="171"/>
    </row>
    <row r="12" spans="1:32" x14ac:dyDescent="0.25">
      <c r="B12" s="1473" t="s">
        <v>1500</v>
      </c>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row>
    <row r="14" spans="1:32" x14ac:dyDescent="0.25">
      <c r="B14" s="171" t="s">
        <v>13</v>
      </c>
      <c r="C14" s="171"/>
      <c r="D14" s="171"/>
      <c r="E14" s="171"/>
      <c r="F14" s="171"/>
      <c r="G14" s="171"/>
      <c r="H14" s="171"/>
      <c r="I14" s="171"/>
    </row>
    <row r="15" spans="1:32" x14ac:dyDescent="0.25">
      <c r="B15" s="1473" t="s">
        <v>52</v>
      </c>
      <c r="C15" s="1473"/>
      <c r="D15" s="1473"/>
      <c r="E15" s="1473"/>
      <c r="F15" s="1473"/>
      <c r="G15" s="1473"/>
      <c r="H15" s="1473"/>
      <c r="I15" s="1473"/>
      <c r="J15" s="1473"/>
      <c r="K15" s="1473"/>
      <c r="L15" s="1473"/>
      <c r="M15" s="1473"/>
      <c r="N15" s="1473"/>
      <c r="O15" s="1473"/>
      <c r="P15" s="1473"/>
      <c r="Q15" s="1473"/>
      <c r="R15" s="1473"/>
      <c r="S15" s="1473"/>
      <c r="T15" s="1473"/>
      <c r="U15" s="1473"/>
      <c r="V15" s="1473"/>
      <c r="W15" s="1473"/>
      <c r="X15" s="1473"/>
      <c r="Y15" s="1473"/>
      <c r="Z15" s="1473"/>
      <c r="AA15" s="1473"/>
      <c r="AB15" s="1473"/>
      <c r="AC15" s="1473"/>
      <c r="AD15" s="1473"/>
      <c r="AE15" s="1473"/>
      <c r="AF15" s="1473"/>
    </row>
    <row r="17" spans="1:35" x14ac:dyDescent="0.25">
      <c r="B17" s="171" t="s">
        <v>20</v>
      </c>
      <c r="C17" s="171"/>
      <c r="D17" s="171"/>
      <c r="E17" s="171"/>
      <c r="F17" s="171"/>
      <c r="G17" s="171"/>
      <c r="H17" s="171"/>
      <c r="I17" s="171"/>
    </row>
    <row r="18" spans="1:35" x14ac:dyDescent="0.25">
      <c r="B18" s="1473" t="s">
        <v>51</v>
      </c>
      <c r="C18" s="1473"/>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row>
    <row r="21" spans="1:35" x14ac:dyDescent="0.25">
      <c r="A21" s="1148" t="s">
        <v>14</v>
      </c>
      <c r="B21" s="1149"/>
      <c r="C21" s="1149"/>
      <c r="D21" s="1149"/>
      <c r="E21" s="1149"/>
      <c r="F21" s="1149"/>
      <c r="G21" s="1149"/>
      <c r="H21" s="1149"/>
      <c r="I21" s="1149"/>
      <c r="J21" s="1149"/>
      <c r="K21" s="1149"/>
      <c r="L21" s="1149"/>
      <c r="M21" s="1149"/>
      <c r="N21" s="1149"/>
      <c r="O21" s="1149"/>
      <c r="P21" s="1149"/>
      <c r="Q21" s="1149"/>
      <c r="R21" s="1149"/>
      <c r="S21" s="1149"/>
      <c r="T21" s="1149"/>
      <c r="U21" s="1149"/>
      <c r="V21" s="1149"/>
      <c r="W21" s="1149"/>
      <c r="X21" s="1149"/>
      <c r="Y21" s="1149"/>
      <c r="Z21" s="1149"/>
      <c r="AA21" s="1149"/>
      <c r="AB21" s="1149"/>
      <c r="AC21" s="1149"/>
      <c r="AD21" s="1149"/>
      <c r="AE21" s="1149"/>
      <c r="AF21" s="1150"/>
    </row>
    <row r="23" spans="1:35" x14ac:dyDescent="0.25">
      <c r="A23" s="1586" t="s">
        <v>40</v>
      </c>
      <c r="B23" s="1586"/>
      <c r="C23" s="1586"/>
      <c r="D23" s="1586"/>
      <c r="E23" s="1586"/>
      <c r="F23" s="1586"/>
      <c r="G23" s="1586"/>
      <c r="H23" s="1587" t="s">
        <v>1501</v>
      </c>
      <c r="I23" s="1587"/>
      <c r="J23" s="1587"/>
      <c r="K23" s="1587"/>
      <c r="L23" s="1587"/>
      <c r="M23" s="1587"/>
      <c r="N23" s="1587"/>
      <c r="O23" s="1587"/>
      <c r="P23" s="1587"/>
      <c r="Q23" s="1587"/>
      <c r="R23" s="1587"/>
      <c r="S23" s="1587"/>
      <c r="T23" s="1587"/>
      <c r="U23" s="1587"/>
      <c r="V23" s="1587"/>
      <c r="W23" s="1587"/>
      <c r="X23" s="1587"/>
      <c r="Y23" s="1587"/>
      <c r="Z23" s="1587"/>
      <c r="AA23" s="1587"/>
      <c r="AB23" s="1587"/>
      <c r="AC23" s="1587"/>
      <c r="AD23" s="1587"/>
      <c r="AE23" s="1587"/>
      <c r="AF23" s="1587"/>
    </row>
    <row r="24" spans="1:35" x14ac:dyDescent="0.25">
      <c r="A24" s="1586" t="s">
        <v>41</v>
      </c>
      <c r="B24" s="1586"/>
      <c r="C24" s="1586"/>
      <c r="D24" s="1586"/>
      <c r="E24" s="1586"/>
      <c r="F24" s="1586"/>
      <c r="G24" s="1586"/>
      <c r="H24" s="1587" t="s">
        <v>681</v>
      </c>
      <c r="I24" s="1587"/>
      <c r="J24" s="1587"/>
      <c r="K24" s="1587"/>
      <c r="L24" s="1587"/>
      <c r="M24" s="1587"/>
      <c r="N24" s="1587"/>
      <c r="O24" s="1587"/>
      <c r="P24" s="1587"/>
      <c r="Q24" s="1587"/>
      <c r="R24" s="1587"/>
      <c r="S24" s="1587"/>
      <c r="T24" s="1587"/>
      <c r="U24" s="1587"/>
      <c r="V24" s="1587"/>
      <c r="W24" s="1587"/>
      <c r="X24" s="1587"/>
      <c r="Y24" s="1587"/>
      <c r="Z24" s="1587"/>
      <c r="AA24" s="1587"/>
      <c r="AB24" s="1587"/>
      <c r="AC24" s="1587"/>
      <c r="AD24" s="1587"/>
      <c r="AE24" s="1587"/>
      <c r="AF24" s="1587"/>
      <c r="AI24"/>
    </row>
    <row r="27" spans="1:35" x14ac:dyDescent="0.25">
      <c r="A27" s="1472" t="s">
        <v>15</v>
      </c>
      <c r="B27" s="1472"/>
      <c r="C27" s="1472"/>
      <c r="D27" s="1472"/>
      <c r="E27" s="1472"/>
      <c r="F27" s="1472"/>
      <c r="G27" s="1472"/>
      <c r="H27" s="1472"/>
      <c r="I27" s="1472"/>
      <c r="J27" s="1472"/>
      <c r="K27" s="1472"/>
      <c r="L27" s="1472"/>
      <c r="M27" s="1472"/>
      <c r="N27" s="1472"/>
      <c r="O27" s="1472"/>
      <c r="P27" s="1472"/>
      <c r="Q27" s="1472"/>
      <c r="R27" s="1472"/>
      <c r="S27" s="1472"/>
      <c r="T27" s="1472"/>
      <c r="U27" s="1472"/>
      <c r="V27" s="1472"/>
      <c r="W27" s="1472"/>
      <c r="X27" s="1472"/>
      <c r="Y27" s="1472"/>
      <c r="Z27" s="1472"/>
      <c r="AA27" s="1472"/>
      <c r="AB27" s="1472"/>
      <c r="AC27" s="1472"/>
      <c r="AD27" s="1472"/>
      <c r="AE27" s="1472"/>
      <c r="AF27" s="1472"/>
    </row>
    <row r="28" spans="1:35" x14ac:dyDescent="0.25">
      <c r="A28" s="1474" t="s">
        <v>16</v>
      </c>
      <c r="B28" s="1474"/>
      <c r="C28" s="1474"/>
      <c r="D28" s="1474"/>
      <c r="E28" s="1474" t="s">
        <v>10</v>
      </c>
      <c r="F28" s="1474"/>
      <c r="G28" s="1474"/>
      <c r="H28" s="1474"/>
      <c r="I28" s="1474"/>
      <c r="J28" s="1474"/>
      <c r="K28" s="1474"/>
      <c r="L28" s="1474"/>
      <c r="M28" s="1474"/>
      <c r="N28" s="1474"/>
      <c r="O28" s="1474"/>
      <c r="P28" s="1474"/>
      <c r="Q28" s="1474" t="s">
        <v>17</v>
      </c>
      <c r="R28" s="1474"/>
      <c r="S28" s="1474"/>
      <c r="T28" s="1474"/>
      <c r="U28" s="1474" t="s">
        <v>18</v>
      </c>
      <c r="V28" s="1474"/>
      <c r="W28" s="1474" t="s">
        <v>19</v>
      </c>
      <c r="X28" s="1474"/>
      <c r="Y28" s="1474"/>
      <c r="Z28" s="1474"/>
      <c r="AA28" s="1474"/>
      <c r="AB28" s="1474"/>
      <c r="AC28" s="1474"/>
      <c r="AD28" s="1474"/>
      <c r="AE28" s="1474"/>
      <c r="AF28" s="1474"/>
    </row>
    <row r="29" spans="1:35" x14ac:dyDescent="0.25">
      <c r="A29" s="1577" t="s">
        <v>40</v>
      </c>
      <c r="B29" s="1486"/>
      <c r="C29" s="1486"/>
      <c r="D29" s="1487"/>
      <c r="E29" s="1479" t="s">
        <v>1701</v>
      </c>
      <c r="F29" s="1480"/>
      <c r="G29" s="1480"/>
      <c r="H29" s="1480"/>
      <c r="I29" s="1480"/>
      <c r="J29" s="1480"/>
      <c r="K29" s="1480"/>
      <c r="L29" s="1480"/>
      <c r="M29" s="1480"/>
      <c r="N29" s="1480"/>
      <c r="O29" s="1480"/>
      <c r="P29" s="1481"/>
      <c r="Q29" s="1574" t="s">
        <v>43</v>
      </c>
      <c r="R29" s="1575"/>
      <c r="S29" s="1575"/>
      <c r="T29" s="1576"/>
      <c r="U29" s="1574" t="s">
        <v>44</v>
      </c>
      <c r="V29" s="1576"/>
      <c r="W29" s="1574" t="s">
        <v>998</v>
      </c>
      <c r="X29" s="1575"/>
      <c r="Y29" s="1575"/>
      <c r="Z29" s="1575"/>
      <c r="AA29" s="1575"/>
      <c r="AB29" s="1575"/>
      <c r="AC29" s="1575"/>
      <c r="AD29" s="1575"/>
      <c r="AE29" s="1575"/>
      <c r="AF29" s="1576"/>
    </row>
    <row r="30" spans="1:35" x14ac:dyDescent="0.25">
      <c r="A30" s="1485" t="s">
        <v>41</v>
      </c>
      <c r="B30" s="1486"/>
      <c r="C30" s="1486"/>
      <c r="D30" s="1487"/>
      <c r="E30" s="1479" t="s">
        <v>1700</v>
      </c>
      <c r="F30" s="1480"/>
      <c r="G30" s="1480"/>
      <c r="H30" s="1480"/>
      <c r="I30" s="1480"/>
      <c r="J30" s="1480"/>
      <c r="K30" s="1480"/>
      <c r="L30" s="1480"/>
      <c r="M30" s="1480"/>
      <c r="N30" s="1480"/>
      <c r="O30" s="1480"/>
      <c r="P30" s="1481"/>
      <c r="Q30" s="1574" t="s">
        <v>43</v>
      </c>
      <c r="R30" s="1575"/>
      <c r="S30" s="1575"/>
      <c r="T30" s="1576"/>
      <c r="U30" s="1574" t="s">
        <v>26</v>
      </c>
      <c r="V30" s="1576"/>
      <c r="W30" s="1574" t="s">
        <v>999</v>
      </c>
      <c r="X30" s="1575"/>
      <c r="Y30" s="1575"/>
      <c r="Z30" s="1575"/>
      <c r="AA30" s="1575"/>
      <c r="AB30" s="1575"/>
      <c r="AC30" s="1575"/>
      <c r="AD30" s="1575"/>
      <c r="AE30" s="1575"/>
      <c r="AF30" s="1576"/>
    </row>
    <row r="31" spans="1:35" ht="43.15" customHeight="1" x14ac:dyDescent="0.25">
      <c r="A31" s="1485" t="s">
        <v>29</v>
      </c>
      <c r="B31" s="1486"/>
      <c r="C31" s="1486"/>
      <c r="D31" s="1487"/>
      <c r="E31" s="1479" t="s">
        <v>47</v>
      </c>
      <c r="F31" s="1480"/>
      <c r="G31" s="1480"/>
      <c r="H31" s="1480"/>
      <c r="I31" s="1480"/>
      <c r="J31" s="1480"/>
      <c r="K31" s="1480"/>
      <c r="L31" s="1480"/>
      <c r="M31" s="1480"/>
      <c r="N31" s="1480"/>
      <c r="O31" s="1480"/>
      <c r="P31" s="1481"/>
      <c r="Q31" s="1574">
        <v>50</v>
      </c>
      <c r="R31" s="1575"/>
      <c r="S31" s="1575"/>
      <c r="T31" s="1576"/>
      <c r="U31" s="1574" t="s">
        <v>30</v>
      </c>
      <c r="V31" s="1576"/>
      <c r="W31" s="1574"/>
      <c r="X31" s="1575"/>
      <c r="Y31" s="1575"/>
      <c r="Z31" s="1575"/>
      <c r="AA31" s="1575"/>
      <c r="AB31" s="1575"/>
      <c r="AC31" s="1575"/>
      <c r="AD31" s="1575"/>
      <c r="AE31" s="1575"/>
      <c r="AF31" s="1576"/>
    </row>
    <row r="32" spans="1:35" x14ac:dyDescent="0.25">
      <c r="A32" s="1485" t="s">
        <v>34</v>
      </c>
      <c r="B32" s="1486"/>
      <c r="C32" s="1486"/>
      <c r="D32" s="1487"/>
      <c r="E32" s="1135" t="s">
        <v>35</v>
      </c>
      <c r="F32" s="1135"/>
      <c r="G32" s="1135"/>
      <c r="H32" s="1135"/>
      <c r="I32" s="1135"/>
      <c r="J32" s="1135"/>
      <c r="K32" s="1135"/>
      <c r="L32" s="1135"/>
      <c r="M32" s="1135"/>
      <c r="N32" s="1135"/>
      <c r="O32" s="1135"/>
      <c r="P32" s="1135"/>
      <c r="Q32" s="1574">
        <f>'Master EUL'!X97</f>
        <v>15</v>
      </c>
      <c r="R32" s="1575"/>
      <c r="S32" s="1575"/>
      <c r="T32" s="1576"/>
      <c r="U32" s="1574" t="s">
        <v>46</v>
      </c>
      <c r="V32" s="1576"/>
      <c r="W32" s="1574"/>
      <c r="X32" s="1575"/>
      <c r="Y32" s="1575"/>
      <c r="Z32" s="1575"/>
      <c r="AA32" s="1575"/>
      <c r="AB32" s="1575"/>
      <c r="AC32" s="1575"/>
      <c r="AD32" s="1575"/>
      <c r="AE32" s="1575"/>
      <c r="AF32" s="1576"/>
    </row>
    <row r="33" spans="1:32" x14ac:dyDescent="0.25">
      <c r="A33" s="8"/>
      <c r="B33" s="8"/>
      <c r="C33" s="8"/>
      <c r="D33" s="8"/>
      <c r="E33" s="2"/>
      <c r="F33" s="2"/>
      <c r="G33" s="2"/>
      <c r="H33" s="2"/>
      <c r="I33" s="2"/>
      <c r="J33" s="2"/>
      <c r="K33" s="2"/>
      <c r="L33" s="2"/>
      <c r="M33" s="2"/>
      <c r="N33" s="2"/>
      <c r="O33" s="2"/>
      <c r="P33" s="2"/>
      <c r="Q33" s="7"/>
      <c r="R33" s="7"/>
      <c r="S33" s="7"/>
      <c r="T33" s="7"/>
      <c r="U33" s="7"/>
      <c r="V33" s="7"/>
      <c r="W33" s="7"/>
      <c r="X33" s="7"/>
      <c r="Y33" s="7"/>
      <c r="Z33" s="7"/>
      <c r="AA33" s="7"/>
      <c r="AB33" s="7"/>
      <c r="AC33" s="7"/>
      <c r="AD33" s="7"/>
      <c r="AE33" s="7"/>
      <c r="AF33" s="7"/>
    </row>
    <row r="35" spans="1:32" x14ac:dyDescent="0.25">
      <c r="A35" s="1582" t="s">
        <v>21</v>
      </c>
      <c r="B35" s="1582"/>
      <c r="C35" s="1582"/>
      <c r="D35" s="1582"/>
      <c r="E35" s="1582"/>
      <c r="F35" s="1582"/>
      <c r="G35" s="1582"/>
      <c r="H35" s="1582"/>
      <c r="I35" s="1582"/>
      <c r="J35" s="1582"/>
      <c r="K35" s="1582"/>
      <c r="L35" s="1582"/>
      <c r="M35" s="1582"/>
      <c r="N35" s="1582"/>
      <c r="O35" s="1582"/>
      <c r="P35" s="1582"/>
      <c r="Q35" s="1582"/>
      <c r="R35" s="1582"/>
      <c r="S35" s="1582"/>
      <c r="T35" s="1582"/>
      <c r="U35" s="1582"/>
      <c r="V35" s="1582"/>
      <c r="W35" s="1582"/>
      <c r="X35" s="1582"/>
      <c r="Y35" s="1582"/>
      <c r="Z35" s="1582"/>
      <c r="AA35" s="1582"/>
      <c r="AB35" s="1582"/>
      <c r="AC35" s="1582"/>
      <c r="AD35" s="1582"/>
      <c r="AE35" s="1582"/>
      <c r="AF35" s="1582"/>
    </row>
    <row r="36" spans="1:32" ht="15.75" thickBot="1" x14ac:dyDescent="0.3"/>
    <row r="37" spans="1:32" x14ac:dyDescent="0.25">
      <c r="A37" s="1583" t="s">
        <v>22</v>
      </c>
      <c r="B37" s="1584"/>
      <c r="C37" s="1584"/>
      <c r="D37" s="1584"/>
      <c r="E37" s="1584"/>
      <c r="F37" s="1584"/>
      <c r="G37" s="1584"/>
      <c r="H37" s="1584"/>
      <c r="I37" s="1584" t="s">
        <v>23</v>
      </c>
      <c r="J37" s="1584"/>
      <c r="K37" s="1584"/>
      <c r="L37" s="1584"/>
      <c r="M37" s="1584"/>
      <c r="N37" s="1584"/>
      <c r="O37" s="1584"/>
      <c r="P37" s="1584"/>
      <c r="Q37" s="1584" t="s">
        <v>24</v>
      </c>
      <c r="R37" s="1584"/>
      <c r="S37" s="1584"/>
      <c r="T37" s="1584"/>
      <c r="U37" s="1584"/>
      <c r="V37" s="1584"/>
      <c r="W37" s="1584"/>
      <c r="X37" s="1585"/>
    </row>
    <row r="38" spans="1:32" ht="15.75" thickBot="1" x14ac:dyDescent="0.3">
      <c r="A38" s="1578" t="s">
        <v>53</v>
      </c>
      <c r="B38" s="1579"/>
      <c r="C38" s="1579"/>
      <c r="D38" s="1579"/>
      <c r="E38" s="1579"/>
      <c r="F38" s="1579"/>
      <c r="G38" s="1579"/>
      <c r="H38" s="1579"/>
      <c r="I38" s="1580">
        <f>ROUND(0.05,3)</f>
        <v>0.05</v>
      </c>
      <c r="J38" s="1580"/>
      <c r="K38" s="1580"/>
      <c r="L38" s="1580"/>
      <c r="M38" s="1580"/>
      <c r="N38" s="1580"/>
      <c r="O38" s="1580"/>
      <c r="P38" s="1580"/>
      <c r="Q38" s="1580">
        <f>ROUND(250,2)</f>
        <v>250</v>
      </c>
      <c r="R38" s="1580"/>
      <c r="S38" s="1580"/>
      <c r="T38" s="1580"/>
      <c r="U38" s="1580"/>
      <c r="V38" s="1580"/>
      <c r="W38" s="1580"/>
      <c r="X38" s="1581"/>
    </row>
  </sheetData>
  <sheetProtection algorithmName="SHA-512" hashValue="otMHyRF6xAzmWl0/B9hQZN+LcSJNUvdTKEMas63BhSNlorIcxcitogVQwCZZvRxGDTeY7mmy4koVGAPUrMVa6w==" saltValue="QfCpXRItc7DXw4JpMZuF1Q==" spinCount="100000" sheet="1" objects="1" scenarios="1"/>
  <mergeCells count="45">
    <mergeCell ref="B6:AF6"/>
    <mergeCell ref="B9:AF9"/>
    <mergeCell ref="A3:AF3"/>
    <mergeCell ref="A1:AF1"/>
    <mergeCell ref="A27:AF27"/>
    <mergeCell ref="A23:G23"/>
    <mergeCell ref="A24:G24"/>
    <mergeCell ref="H23:AF23"/>
    <mergeCell ref="H24:AF24"/>
    <mergeCell ref="B12:AF12"/>
    <mergeCell ref="B15:AF15"/>
    <mergeCell ref="A21:AF21"/>
    <mergeCell ref="B18:AF18"/>
    <mergeCell ref="A28:D28"/>
    <mergeCell ref="E28:P28"/>
    <mergeCell ref="Q28:T28"/>
    <mergeCell ref="U28:V28"/>
    <mergeCell ref="W28:AF28"/>
    <mergeCell ref="A38:H38"/>
    <mergeCell ref="I38:P38"/>
    <mergeCell ref="Q38:X38"/>
    <mergeCell ref="A32:D32"/>
    <mergeCell ref="E32:P32"/>
    <mergeCell ref="Q32:T32"/>
    <mergeCell ref="U32:V32"/>
    <mergeCell ref="W32:AF32"/>
    <mergeCell ref="A35:AF35"/>
    <mergeCell ref="A37:H37"/>
    <mergeCell ref="I37:P37"/>
    <mergeCell ref="Q37:X37"/>
    <mergeCell ref="A31:D31"/>
    <mergeCell ref="E31:P31"/>
    <mergeCell ref="Q31:T31"/>
    <mergeCell ref="U31:V31"/>
    <mergeCell ref="W31:AF31"/>
    <mergeCell ref="W30:AF30"/>
    <mergeCell ref="A29:D29"/>
    <mergeCell ref="E29:P29"/>
    <mergeCell ref="Q29:T29"/>
    <mergeCell ref="U29:V29"/>
    <mergeCell ref="W29:AF29"/>
    <mergeCell ref="A30:D30"/>
    <mergeCell ref="E30:P30"/>
    <mergeCell ref="Q30:T30"/>
    <mergeCell ref="U30:V30"/>
  </mergeCells>
  <hyperlinks>
    <hyperlink ref="A2" location="TOC!A1" display="Return to TOC" xr:uid="{00000000-0004-0000-0F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theme="5" tint="0.79998168889431442"/>
    <pageSetUpPr autoPageBreaks="0"/>
  </sheetPr>
  <dimension ref="A1:AF126"/>
  <sheetViews>
    <sheetView workbookViewId="0">
      <selection sqref="A1:AF1"/>
    </sheetView>
  </sheetViews>
  <sheetFormatPr defaultColWidth="2.7109375" defaultRowHeight="15" x14ac:dyDescent="0.25"/>
  <cols>
    <col min="1" max="16384" width="2.7109375" style="1"/>
  </cols>
  <sheetData>
    <row r="1" spans="1:32" ht="18.75" x14ac:dyDescent="0.25">
      <c r="A1" s="1464" t="s">
        <v>1124</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262"/>
      <c r="B5" s="1589" t="s">
        <v>4660</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2" x14ac:dyDescent="0.25">
      <c r="A6" s="376"/>
      <c r="B6"/>
      <c r="C6"/>
      <c r="D6"/>
      <c r="E6"/>
      <c r="F6"/>
      <c r="G6"/>
      <c r="H6"/>
      <c r="I6"/>
      <c r="J6"/>
      <c r="K6"/>
      <c r="L6"/>
      <c r="M6"/>
      <c r="N6"/>
      <c r="O6"/>
      <c r="P6"/>
      <c r="Q6"/>
      <c r="R6"/>
      <c r="S6"/>
      <c r="T6"/>
      <c r="U6"/>
      <c r="V6"/>
      <c r="W6"/>
      <c r="X6"/>
      <c r="Y6"/>
      <c r="Z6"/>
      <c r="AA6"/>
      <c r="AB6"/>
      <c r="AC6"/>
      <c r="AD6"/>
      <c r="AE6"/>
      <c r="AF6"/>
    </row>
    <row r="7" spans="1:32" x14ac:dyDescent="0.25">
      <c r="A7" s="1148" t="s">
        <v>9</v>
      </c>
      <c r="B7" s="1149"/>
      <c r="C7" s="1149"/>
      <c r="D7" s="1149"/>
      <c r="E7" s="1149"/>
      <c r="F7" s="1149"/>
      <c r="G7" s="1149"/>
      <c r="H7" s="1149"/>
      <c r="I7" s="1149"/>
      <c r="J7" s="1149"/>
      <c r="K7" s="1149"/>
      <c r="L7" s="1149"/>
      <c r="M7" s="1149"/>
      <c r="N7" s="1149"/>
      <c r="O7" s="1149"/>
      <c r="P7" s="1149"/>
      <c r="Q7" s="1149"/>
      <c r="R7" s="1149"/>
      <c r="S7" s="1149"/>
      <c r="T7" s="1149"/>
      <c r="U7" s="1149"/>
      <c r="V7" s="1149"/>
      <c r="W7" s="1149"/>
      <c r="X7" s="1149"/>
      <c r="Y7" s="1149"/>
      <c r="Z7" s="1149"/>
      <c r="AA7" s="1149"/>
      <c r="AB7" s="1149"/>
      <c r="AC7" s="1149"/>
      <c r="AD7" s="1149"/>
      <c r="AE7" s="1149"/>
      <c r="AF7" s="1150"/>
    </row>
    <row r="8" spans="1:32"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25">
      <c r="B9" s="171" t="s">
        <v>10</v>
      </c>
      <c r="C9" s="171"/>
      <c r="D9" s="171"/>
      <c r="E9" s="171"/>
      <c r="F9" s="171"/>
      <c r="G9" s="171"/>
      <c r="H9" s="171"/>
      <c r="I9" s="171"/>
    </row>
    <row r="10" spans="1:32" x14ac:dyDescent="0.25">
      <c r="B10" s="1473" t="s">
        <v>711</v>
      </c>
      <c r="C10" s="1473"/>
      <c r="D10" s="1473"/>
      <c r="E10" s="1473"/>
      <c r="F10" s="1473"/>
      <c r="G10" s="1473"/>
      <c r="H10" s="1473"/>
      <c r="I10" s="1473"/>
      <c r="J10" s="1473"/>
      <c r="K10" s="1473"/>
      <c r="L10" s="1473"/>
      <c r="M10" s="1473"/>
      <c r="N10" s="1473"/>
      <c r="O10" s="1473"/>
      <c r="P10" s="1473"/>
      <c r="Q10" s="1473"/>
      <c r="R10" s="1473"/>
      <c r="S10" s="1473"/>
      <c r="T10" s="1473"/>
      <c r="U10" s="1473"/>
      <c r="V10" s="1473"/>
      <c r="W10" s="1473"/>
      <c r="X10" s="1473"/>
      <c r="Y10" s="1473"/>
      <c r="Z10" s="1473"/>
      <c r="AA10" s="1473"/>
      <c r="AB10" s="1473"/>
      <c r="AC10" s="1473"/>
      <c r="AD10" s="1473"/>
      <c r="AE10" s="1473"/>
      <c r="AF10" s="1473"/>
    </row>
    <row r="12" spans="1:32" x14ac:dyDescent="0.25">
      <c r="B12" s="171" t="s">
        <v>11</v>
      </c>
      <c r="C12" s="171"/>
      <c r="D12" s="171"/>
      <c r="E12" s="171"/>
      <c r="F12" s="171"/>
      <c r="G12" s="171"/>
      <c r="H12" s="171"/>
      <c r="I12" s="171"/>
    </row>
    <row r="13" spans="1:32" ht="30.75" customHeight="1" x14ac:dyDescent="0.25">
      <c r="B13" s="268" t="s">
        <v>1013</v>
      </c>
      <c r="C13" s="1247" t="s">
        <v>4661</v>
      </c>
      <c r="D13" s="1247"/>
      <c r="E13" s="1247"/>
      <c r="F13" s="1247"/>
      <c r="G13" s="1247"/>
      <c r="H13" s="1247"/>
      <c r="I13" s="1247"/>
      <c r="J13" s="1247"/>
      <c r="K13" s="1247"/>
      <c r="L13" s="1247"/>
      <c r="M13" s="1247"/>
      <c r="N13" s="1247"/>
      <c r="O13" s="1247"/>
      <c r="P13" s="1247"/>
      <c r="Q13" s="1247"/>
      <c r="R13" s="1247"/>
      <c r="S13" s="1247"/>
      <c r="T13" s="1247"/>
      <c r="U13" s="1247"/>
      <c r="V13" s="1247"/>
      <c r="W13" s="1247"/>
      <c r="X13" s="1247"/>
      <c r="Y13" s="1247"/>
      <c r="Z13" s="1247"/>
      <c r="AA13" s="1247"/>
      <c r="AB13" s="1247"/>
      <c r="AC13" s="1247"/>
      <c r="AD13" s="1247"/>
      <c r="AE13" s="1247"/>
      <c r="AF13" s="1247"/>
    </row>
    <row r="14" spans="1:32" x14ac:dyDescent="0.25">
      <c r="B14" s="268" t="s">
        <v>1013</v>
      </c>
      <c r="C14" s="1247" t="s">
        <v>4662</v>
      </c>
      <c r="D14" s="1247"/>
      <c r="E14" s="1247"/>
      <c r="F14" s="1247"/>
      <c r="G14" s="1247"/>
      <c r="H14" s="1247"/>
      <c r="I14" s="1247"/>
      <c r="J14" s="1247"/>
      <c r="K14" s="1247"/>
      <c r="L14" s="1247"/>
      <c r="M14" s="1247"/>
      <c r="N14" s="1247"/>
      <c r="O14" s="1247"/>
      <c r="P14" s="1247"/>
      <c r="Q14" s="1247"/>
      <c r="R14" s="1247"/>
      <c r="S14" s="1247"/>
      <c r="T14" s="1247"/>
      <c r="U14" s="1247"/>
      <c r="V14" s="1247"/>
      <c r="W14" s="1247"/>
      <c r="X14" s="1247"/>
      <c r="Y14" s="1247"/>
      <c r="Z14" s="1247"/>
      <c r="AA14" s="1247"/>
      <c r="AB14" s="1247"/>
      <c r="AC14" s="1247"/>
      <c r="AD14" s="1247"/>
      <c r="AE14" s="1247"/>
      <c r="AF14" s="1247"/>
    </row>
    <row r="15" spans="1:32" ht="30" customHeight="1" x14ac:dyDescent="0.25">
      <c r="B15" s="268" t="s">
        <v>1013</v>
      </c>
      <c r="C15" s="1247" t="s">
        <v>4663</v>
      </c>
      <c r="D15" s="1247"/>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row>
    <row r="16" spans="1:32" x14ac:dyDescent="0.25">
      <c r="B16" s="268" t="s">
        <v>1013</v>
      </c>
      <c r="C16" s="1247" t="s">
        <v>4664</v>
      </c>
      <c r="D16" s="1247"/>
      <c r="E16" s="1247"/>
      <c r="F16" s="1247"/>
      <c r="G16" s="1247"/>
      <c r="H16" s="1247"/>
      <c r="I16" s="1247"/>
      <c r="J16" s="1247"/>
      <c r="K16" s="1247"/>
      <c r="L16" s="1247"/>
      <c r="M16" s="1247"/>
      <c r="N16" s="1247"/>
      <c r="O16" s="1247"/>
      <c r="P16" s="1247"/>
      <c r="Q16" s="1247"/>
      <c r="R16" s="1247"/>
      <c r="S16" s="1247"/>
      <c r="T16" s="1247"/>
      <c r="U16" s="1247"/>
      <c r="V16" s="1247"/>
      <c r="W16" s="1247"/>
      <c r="X16" s="1247"/>
      <c r="Y16" s="1247"/>
      <c r="Z16" s="1247"/>
      <c r="AA16" s="1247"/>
      <c r="AB16" s="1247"/>
      <c r="AC16" s="1247"/>
      <c r="AD16" s="1247"/>
      <c r="AE16" s="1247"/>
      <c r="AF16" s="1247"/>
    </row>
    <row r="17" spans="1:32" ht="170.25" customHeight="1" x14ac:dyDescent="0.25">
      <c r="B17" s="268" t="s">
        <v>1013</v>
      </c>
      <c r="C17" s="1247" t="s">
        <v>4665</v>
      </c>
      <c r="D17" s="1247"/>
      <c r="E17" s="1247"/>
      <c r="F17" s="1247"/>
      <c r="G17" s="1247"/>
      <c r="H17" s="1247"/>
      <c r="I17" s="1247"/>
      <c r="J17" s="1247"/>
      <c r="K17" s="1247"/>
      <c r="L17" s="1247"/>
      <c r="M17" s="1247"/>
      <c r="N17" s="1247"/>
      <c r="O17" s="1247"/>
      <c r="P17" s="1247"/>
      <c r="Q17" s="1247"/>
      <c r="R17" s="1247"/>
      <c r="S17" s="1247"/>
      <c r="T17" s="1247"/>
      <c r="U17" s="1247"/>
      <c r="V17" s="1247"/>
      <c r="W17" s="1247"/>
      <c r="X17" s="1247"/>
      <c r="Y17" s="1247"/>
      <c r="Z17" s="1247"/>
      <c r="AA17" s="1247"/>
      <c r="AB17" s="1247"/>
      <c r="AC17" s="1247"/>
      <c r="AD17" s="1247"/>
      <c r="AE17" s="1247"/>
      <c r="AF17" s="1247"/>
    </row>
    <row r="18" spans="1:32" ht="33" customHeight="1" x14ac:dyDescent="0.25">
      <c r="B18" s="268" t="s">
        <v>1013</v>
      </c>
      <c r="C18" s="1247" t="s">
        <v>4666</v>
      </c>
      <c r="D18" s="1247"/>
      <c r="E18" s="1247"/>
      <c r="F18" s="1247"/>
      <c r="G18" s="1247"/>
      <c r="H18" s="1247"/>
      <c r="I18" s="1247"/>
      <c r="J18" s="1247"/>
      <c r="K18" s="1247"/>
      <c r="L18" s="1247"/>
      <c r="M18" s="1247"/>
      <c r="N18" s="1247"/>
      <c r="O18" s="1247"/>
      <c r="P18" s="1247"/>
      <c r="Q18" s="1247"/>
      <c r="R18" s="1247"/>
      <c r="S18" s="1247"/>
      <c r="T18" s="1247"/>
      <c r="U18" s="1247"/>
      <c r="V18" s="1247"/>
      <c r="W18" s="1247"/>
      <c r="X18" s="1247"/>
      <c r="Y18" s="1247"/>
      <c r="Z18" s="1247"/>
      <c r="AA18" s="1247"/>
      <c r="AB18" s="1247"/>
      <c r="AC18" s="1247"/>
      <c r="AD18" s="1247"/>
      <c r="AE18" s="1247"/>
      <c r="AF18" s="1247"/>
    </row>
    <row r="20" spans="1:32" x14ac:dyDescent="0.25">
      <c r="B20" s="171" t="s">
        <v>12</v>
      </c>
      <c r="C20" s="171"/>
      <c r="D20" s="171"/>
      <c r="E20" s="171"/>
      <c r="F20" s="171"/>
      <c r="G20" s="171"/>
      <c r="H20" s="171"/>
      <c r="I20" s="171"/>
    </row>
    <row r="21" spans="1:32" ht="32.25" customHeight="1" x14ac:dyDescent="0.25">
      <c r="B21" s="1151" t="s">
        <v>4667</v>
      </c>
      <c r="C21" s="1588"/>
      <c r="D21" s="1588"/>
      <c r="E21" s="1588"/>
      <c r="F21" s="1588"/>
      <c r="G21" s="1588"/>
      <c r="H21" s="1588"/>
      <c r="I21" s="1588"/>
      <c r="J21" s="1588"/>
      <c r="K21" s="1588"/>
      <c r="L21" s="1588"/>
      <c r="M21" s="1588"/>
      <c r="N21" s="1588"/>
      <c r="O21" s="1588"/>
      <c r="P21" s="1588"/>
      <c r="Q21" s="1588"/>
      <c r="R21" s="1588"/>
      <c r="S21" s="1588"/>
      <c r="T21" s="1588"/>
      <c r="U21" s="1588"/>
      <c r="V21" s="1588"/>
      <c r="W21" s="1588"/>
      <c r="X21" s="1588"/>
      <c r="Y21" s="1588"/>
      <c r="Z21" s="1588"/>
      <c r="AA21" s="1588"/>
      <c r="AB21" s="1588"/>
      <c r="AC21" s="1588"/>
      <c r="AD21" s="1588"/>
      <c r="AE21" s="1588"/>
      <c r="AF21" s="1588"/>
    </row>
    <row r="23" spans="1:32" x14ac:dyDescent="0.25">
      <c r="B23" s="171" t="s">
        <v>13</v>
      </c>
      <c r="C23" s="171"/>
      <c r="D23" s="171"/>
      <c r="E23" s="171"/>
      <c r="F23" s="171"/>
      <c r="G23" s="171"/>
      <c r="H23" s="171"/>
      <c r="I23" s="171"/>
    </row>
    <row r="24" spans="1:32" x14ac:dyDescent="0.25">
      <c r="B24" s="1473" t="s">
        <v>4668</v>
      </c>
      <c r="C24" s="1473"/>
      <c r="D24" s="1473"/>
      <c r="E24" s="1473"/>
      <c r="F24" s="1473"/>
      <c r="G24" s="1473"/>
      <c r="H24" s="1473"/>
      <c r="I24" s="1473"/>
      <c r="J24" s="1473"/>
      <c r="K24" s="1473"/>
      <c r="L24" s="1473"/>
      <c r="M24" s="1473"/>
      <c r="N24" s="1473"/>
      <c r="O24" s="1473"/>
      <c r="P24" s="1473"/>
      <c r="Q24" s="1473"/>
      <c r="R24" s="1473"/>
      <c r="S24" s="1473"/>
      <c r="T24" s="1473"/>
      <c r="U24" s="1473"/>
      <c r="V24" s="1473"/>
      <c r="W24" s="1473"/>
      <c r="X24" s="1473"/>
      <c r="Y24" s="1473"/>
      <c r="Z24" s="1473"/>
      <c r="AA24" s="1473"/>
      <c r="AB24" s="1473"/>
      <c r="AC24" s="1473"/>
      <c r="AD24" s="1473"/>
      <c r="AE24" s="1473"/>
      <c r="AF24" s="1473"/>
    </row>
    <row r="26" spans="1:32" x14ac:dyDescent="0.25">
      <c r="B26" s="171" t="s">
        <v>20</v>
      </c>
      <c r="C26" s="171"/>
      <c r="D26" s="171"/>
      <c r="E26" s="171"/>
      <c r="F26" s="171"/>
      <c r="G26" s="171"/>
      <c r="H26" s="171"/>
      <c r="I26" s="171"/>
    </row>
    <row r="27" spans="1:32" ht="30.75" customHeight="1" x14ac:dyDescent="0.25">
      <c r="B27" s="1247" t="s">
        <v>4669</v>
      </c>
      <c r="C27" s="1476"/>
      <c r="D27" s="1476"/>
      <c r="E27" s="1476"/>
      <c r="F27" s="1476"/>
      <c r="G27" s="1476"/>
      <c r="H27" s="1476"/>
      <c r="I27" s="1476"/>
      <c r="J27" s="1476"/>
      <c r="K27" s="1476"/>
      <c r="L27" s="1476"/>
      <c r="M27" s="1476"/>
      <c r="N27" s="1476"/>
      <c r="O27" s="1476"/>
      <c r="P27" s="1476"/>
      <c r="Q27" s="1476"/>
      <c r="R27" s="1476"/>
      <c r="S27" s="1476"/>
      <c r="T27" s="1476"/>
      <c r="U27" s="1476"/>
      <c r="V27" s="1476"/>
      <c r="W27" s="1476"/>
      <c r="X27" s="1476"/>
      <c r="Y27" s="1476"/>
      <c r="Z27" s="1476"/>
      <c r="AA27" s="1476"/>
      <c r="AB27" s="1476"/>
      <c r="AC27" s="1476"/>
      <c r="AD27" s="1476"/>
      <c r="AE27" s="1476"/>
      <c r="AF27" s="1476"/>
    </row>
    <row r="29" spans="1:32" x14ac:dyDescent="0.25">
      <c r="A29" s="1148" t="s">
        <v>14</v>
      </c>
      <c r="B29" s="1149"/>
      <c r="C29" s="1149"/>
      <c r="D29" s="1149"/>
      <c r="E29" s="1149"/>
      <c r="F29" s="1149"/>
      <c r="G29" s="1149"/>
      <c r="H29" s="1149"/>
      <c r="I29" s="1149"/>
      <c r="J29" s="1149"/>
      <c r="K29" s="1149"/>
      <c r="L29" s="1149"/>
      <c r="M29" s="1149"/>
      <c r="N29" s="1149"/>
      <c r="O29" s="1149"/>
      <c r="P29" s="1149"/>
      <c r="Q29" s="1149"/>
      <c r="R29" s="1149"/>
      <c r="S29" s="1149"/>
      <c r="T29" s="1149"/>
      <c r="U29" s="1149"/>
      <c r="V29" s="1149"/>
      <c r="W29" s="1149"/>
      <c r="X29" s="1149"/>
      <c r="Y29" s="1149"/>
      <c r="Z29" s="1149"/>
      <c r="AA29" s="1149"/>
      <c r="AB29" s="1149"/>
      <c r="AC29" s="1149"/>
      <c r="AD29" s="1149"/>
      <c r="AE29" s="1149"/>
      <c r="AF29" s="1150"/>
    </row>
    <row r="31" spans="1:32" x14ac:dyDescent="0.25">
      <c r="B31" s="171" t="s">
        <v>2303</v>
      </c>
    </row>
    <row r="33" spans="1:32" x14ac:dyDescent="0.25">
      <c r="AF33" s="204" t="s">
        <v>1705</v>
      </c>
    </row>
    <row r="36" spans="1:32" x14ac:dyDescent="0.25">
      <c r="B36" s="171" t="s">
        <v>2194</v>
      </c>
    </row>
    <row r="38" spans="1:32" x14ac:dyDescent="0.25">
      <c r="AF38" s="204" t="s">
        <v>1706</v>
      </c>
    </row>
    <row r="41" spans="1:32" x14ac:dyDescent="0.25">
      <c r="B41" s="171" t="s">
        <v>1998</v>
      </c>
    </row>
    <row r="43" spans="1:32" x14ac:dyDescent="0.25">
      <c r="AF43" s="204" t="s">
        <v>1707</v>
      </c>
    </row>
    <row r="46" spans="1:32" x14ac:dyDescent="0.25">
      <c r="A46" s="1472" t="s">
        <v>15</v>
      </c>
      <c r="B46" s="1472"/>
      <c r="C46" s="1472"/>
      <c r="D46" s="1472"/>
      <c r="E46" s="1472"/>
      <c r="F46" s="1472"/>
      <c r="G46" s="1472"/>
      <c r="H46" s="1472"/>
      <c r="I46" s="1472"/>
      <c r="J46" s="1472"/>
      <c r="K46" s="1472"/>
      <c r="L46" s="1472"/>
      <c r="M46" s="1472"/>
      <c r="N46" s="1472"/>
      <c r="O46" s="1472"/>
      <c r="P46" s="1472"/>
      <c r="Q46" s="1472"/>
      <c r="R46" s="1472"/>
      <c r="S46" s="1472"/>
      <c r="T46" s="1472"/>
      <c r="U46" s="1472"/>
      <c r="V46" s="1472"/>
      <c r="W46" s="1472"/>
      <c r="X46" s="1472"/>
      <c r="Y46" s="1472"/>
      <c r="Z46" s="1472"/>
      <c r="AA46" s="1472"/>
      <c r="AB46" s="1472"/>
      <c r="AC46" s="1472"/>
      <c r="AD46" s="1472"/>
      <c r="AE46" s="1472"/>
      <c r="AF46" s="1472"/>
    </row>
    <row r="47" spans="1:32" x14ac:dyDescent="0.25">
      <c r="A47" s="1474" t="s">
        <v>16</v>
      </c>
      <c r="B47" s="1474"/>
      <c r="C47" s="1474"/>
      <c r="D47" s="1474"/>
      <c r="E47" s="1474" t="s">
        <v>10</v>
      </c>
      <c r="F47" s="1474"/>
      <c r="G47" s="1474"/>
      <c r="H47" s="1474"/>
      <c r="I47" s="1474"/>
      <c r="J47" s="1474"/>
      <c r="K47" s="1474"/>
      <c r="L47" s="1474"/>
      <c r="M47" s="1474"/>
      <c r="N47" s="1474"/>
      <c r="O47" s="1474"/>
      <c r="P47" s="1474"/>
      <c r="Q47" s="1474" t="s">
        <v>17</v>
      </c>
      <c r="R47" s="1474"/>
      <c r="S47" s="1474"/>
      <c r="T47" s="1474"/>
      <c r="U47" s="1590" t="s">
        <v>18</v>
      </c>
      <c r="V47" s="1591"/>
      <c r="W47" s="1591"/>
      <c r="X47" s="1474" t="s">
        <v>1708</v>
      </c>
      <c r="Y47" s="1474"/>
      <c r="Z47" s="1474"/>
      <c r="AA47" s="1474"/>
      <c r="AB47" s="1474"/>
      <c r="AC47" s="1474"/>
      <c r="AD47" s="1474"/>
      <c r="AE47" s="1474"/>
      <c r="AF47" s="1474"/>
    </row>
    <row r="48" spans="1:32" ht="31.5" customHeight="1" x14ac:dyDescent="0.25">
      <c r="A48" s="1577" t="s">
        <v>4670</v>
      </c>
      <c r="B48" s="1486"/>
      <c r="C48" s="1486"/>
      <c r="D48" s="1487"/>
      <c r="E48" s="1479" t="s">
        <v>4671</v>
      </c>
      <c r="F48" s="1480"/>
      <c r="G48" s="1480"/>
      <c r="H48" s="1480"/>
      <c r="I48" s="1480"/>
      <c r="J48" s="1480"/>
      <c r="K48" s="1480"/>
      <c r="L48" s="1480"/>
      <c r="M48" s="1480"/>
      <c r="N48" s="1480"/>
      <c r="O48" s="1480"/>
      <c r="P48" s="1481"/>
      <c r="Q48" s="1574" t="s">
        <v>164</v>
      </c>
      <c r="R48" s="1575"/>
      <c r="S48" s="1575"/>
      <c r="T48" s="1576"/>
      <c r="U48" s="1592" t="s">
        <v>28</v>
      </c>
      <c r="V48" s="1575"/>
      <c r="W48" s="1575"/>
      <c r="X48" s="1548"/>
      <c r="Y48" s="1548"/>
      <c r="Z48" s="1548"/>
      <c r="AA48" s="1548"/>
      <c r="AB48" s="1548"/>
      <c r="AC48" s="1548"/>
      <c r="AD48" s="1548"/>
      <c r="AE48" s="1548"/>
      <c r="AF48" s="1548"/>
    </row>
    <row r="49" spans="1:32" ht="31.5" customHeight="1" x14ac:dyDescent="0.25">
      <c r="A49" s="1577" t="s">
        <v>4672</v>
      </c>
      <c r="B49" s="1486"/>
      <c r="C49" s="1486"/>
      <c r="D49" s="1487"/>
      <c r="E49" s="1479" t="s">
        <v>4673</v>
      </c>
      <c r="F49" s="1480"/>
      <c r="G49" s="1480"/>
      <c r="H49" s="1480"/>
      <c r="I49" s="1480"/>
      <c r="J49" s="1480"/>
      <c r="K49" s="1480"/>
      <c r="L49" s="1480"/>
      <c r="M49" s="1480"/>
      <c r="N49" s="1480"/>
      <c r="O49" s="1480"/>
      <c r="P49" s="1481"/>
      <c r="Q49" s="1574" t="s">
        <v>164</v>
      </c>
      <c r="R49" s="1575"/>
      <c r="S49" s="1575"/>
      <c r="T49" s="1576"/>
      <c r="U49" s="1574" t="s">
        <v>4674</v>
      </c>
      <c r="V49" s="1575"/>
      <c r="W49" s="1575"/>
      <c r="X49" s="1548"/>
      <c r="Y49" s="1548"/>
      <c r="Z49" s="1548"/>
      <c r="AA49" s="1548"/>
      <c r="AB49" s="1548"/>
      <c r="AC49" s="1548"/>
      <c r="AD49" s="1548"/>
      <c r="AE49" s="1548"/>
      <c r="AF49" s="1548"/>
    </row>
    <row r="50" spans="1:32" ht="69.75" customHeight="1" x14ac:dyDescent="0.25">
      <c r="A50" s="1485" t="s">
        <v>4675</v>
      </c>
      <c r="B50" s="1486"/>
      <c r="C50" s="1486"/>
      <c r="D50" s="1487"/>
      <c r="E50" s="1479" t="s">
        <v>4676</v>
      </c>
      <c r="F50" s="1480"/>
      <c r="G50" s="1480"/>
      <c r="H50" s="1480"/>
      <c r="I50" s="1480"/>
      <c r="J50" s="1480"/>
      <c r="K50" s="1480"/>
      <c r="L50" s="1480"/>
      <c r="M50" s="1480"/>
      <c r="N50" s="1480"/>
      <c r="O50" s="1480"/>
      <c r="P50" s="1481"/>
      <c r="Q50" s="1482" t="s">
        <v>626</v>
      </c>
      <c r="R50" s="1483"/>
      <c r="S50" s="1483"/>
      <c r="T50" s="1484"/>
      <c r="U50" s="1482" t="s">
        <v>4677</v>
      </c>
      <c r="V50" s="1483"/>
      <c r="W50" s="1483"/>
      <c r="X50" s="1593" t="s">
        <v>4678</v>
      </c>
      <c r="Y50" s="1594"/>
      <c r="Z50" s="1594"/>
      <c r="AA50" s="1594"/>
      <c r="AB50" s="1594"/>
      <c r="AC50" s="1594"/>
      <c r="AD50" s="1594"/>
      <c r="AE50" s="1594"/>
      <c r="AF50" s="1595"/>
    </row>
    <row r="51" spans="1:32" ht="76.5" customHeight="1" x14ac:dyDescent="0.25">
      <c r="A51" s="1485" t="s">
        <v>4679</v>
      </c>
      <c r="B51" s="1486"/>
      <c r="C51" s="1486"/>
      <c r="D51" s="1487"/>
      <c r="E51" s="1479" t="s">
        <v>4680</v>
      </c>
      <c r="F51" s="1480"/>
      <c r="G51" s="1480"/>
      <c r="H51" s="1480"/>
      <c r="I51" s="1480"/>
      <c r="J51" s="1480"/>
      <c r="K51" s="1480"/>
      <c r="L51" s="1480"/>
      <c r="M51" s="1480"/>
      <c r="N51" s="1480"/>
      <c r="O51" s="1480"/>
      <c r="P51" s="1481"/>
      <c r="Q51" s="1482" t="s">
        <v>626</v>
      </c>
      <c r="R51" s="1483"/>
      <c r="S51" s="1483"/>
      <c r="T51" s="1484"/>
      <c r="U51" s="1482" t="s">
        <v>4681</v>
      </c>
      <c r="V51" s="1483"/>
      <c r="W51" s="1483"/>
      <c r="X51" s="1596"/>
      <c r="Y51" s="1597"/>
      <c r="Z51" s="1597"/>
      <c r="AA51" s="1597"/>
      <c r="AB51" s="1597"/>
      <c r="AC51" s="1597"/>
      <c r="AD51" s="1597"/>
      <c r="AE51" s="1597"/>
      <c r="AF51" s="1598"/>
    </row>
    <row r="52" spans="1:32" ht="49.5" customHeight="1" x14ac:dyDescent="0.25">
      <c r="A52" s="1485" t="s">
        <v>4682</v>
      </c>
      <c r="B52" s="1486"/>
      <c r="C52" s="1486"/>
      <c r="D52" s="1487"/>
      <c r="E52" s="1479" t="s">
        <v>4683</v>
      </c>
      <c r="F52" s="1480"/>
      <c r="G52" s="1480"/>
      <c r="H52" s="1480"/>
      <c r="I52" s="1480"/>
      <c r="J52" s="1480"/>
      <c r="K52" s="1480"/>
      <c r="L52" s="1480"/>
      <c r="M52" s="1480"/>
      <c r="N52" s="1480"/>
      <c r="O52" s="1480"/>
      <c r="P52" s="1481"/>
      <c r="Q52" s="1482" t="s">
        <v>164</v>
      </c>
      <c r="R52" s="1483"/>
      <c r="S52" s="1483"/>
      <c r="T52" s="1484"/>
      <c r="U52" s="1592" t="s">
        <v>28</v>
      </c>
      <c r="V52" s="1575"/>
      <c r="W52" s="1575"/>
      <c r="X52" s="1517" t="s">
        <v>4684</v>
      </c>
      <c r="Y52" s="1517"/>
      <c r="Z52" s="1517"/>
      <c r="AA52" s="1517"/>
      <c r="AB52" s="1517"/>
      <c r="AC52" s="1517"/>
      <c r="AD52" s="1517"/>
      <c r="AE52" s="1517"/>
      <c r="AF52" s="1517"/>
    </row>
    <row r="53" spans="1:32" ht="56.25" customHeight="1" x14ac:dyDescent="0.25">
      <c r="A53" s="1485" t="s">
        <v>4685</v>
      </c>
      <c r="B53" s="1486"/>
      <c r="C53" s="1486"/>
      <c r="D53" s="1487"/>
      <c r="E53" s="1479" t="s">
        <v>4686</v>
      </c>
      <c r="F53" s="1480"/>
      <c r="G53" s="1480"/>
      <c r="H53" s="1480"/>
      <c r="I53" s="1480"/>
      <c r="J53" s="1480"/>
      <c r="K53" s="1480"/>
      <c r="L53" s="1480"/>
      <c r="M53" s="1480"/>
      <c r="N53" s="1480"/>
      <c r="O53" s="1480"/>
      <c r="P53" s="1481"/>
      <c r="Q53" s="1482" t="s">
        <v>164</v>
      </c>
      <c r="R53" s="1483"/>
      <c r="S53" s="1483"/>
      <c r="T53" s="1484"/>
      <c r="U53" s="1592" t="s">
        <v>28</v>
      </c>
      <c r="V53" s="1575"/>
      <c r="W53" s="1575"/>
      <c r="X53" s="1517" t="s">
        <v>4687</v>
      </c>
      <c r="Y53" s="1517"/>
      <c r="Z53" s="1517"/>
      <c r="AA53" s="1517"/>
      <c r="AB53" s="1517"/>
      <c r="AC53" s="1517"/>
      <c r="AD53" s="1517"/>
      <c r="AE53" s="1517"/>
      <c r="AF53" s="1517"/>
    </row>
    <row r="54" spans="1:32" ht="94.5" customHeight="1" x14ac:dyDescent="0.25">
      <c r="A54" s="1485" t="s">
        <v>243</v>
      </c>
      <c r="B54" s="1486"/>
      <c r="C54" s="1486"/>
      <c r="D54" s="1487"/>
      <c r="E54" s="1479" t="s">
        <v>4688</v>
      </c>
      <c r="F54" s="1480"/>
      <c r="G54" s="1480"/>
      <c r="H54" s="1480"/>
      <c r="I54" s="1480"/>
      <c r="J54" s="1480"/>
      <c r="K54" s="1480"/>
      <c r="L54" s="1480"/>
      <c r="M54" s="1480"/>
      <c r="N54" s="1480"/>
      <c r="O54" s="1480"/>
      <c r="P54" s="1481"/>
      <c r="Q54" s="1482" t="s">
        <v>164</v>
      </c>
      <c r="R54" s="1483"/>
      <c r="S54" s="1483"/>
      <c r="T54" s="1484"/>
      <c r="U54" s="1592" t="s">
        <v>28</v>
      </c>
      <c r="V54" s="1575"/>
      <c r="W54" s="1575"/>
      <c r="X54" s="1517" t="s">
        <v>4689</v>
      </c>
      <c r="Y54" s="1517"/>
      <c r="Z54" s="1517"/>
      <c r="AA54" s="1517"/>
      <c r="AB54" s="1517"/>
      <c r="AC54" s="1517"/>
      <c r="AD54" s="1517"/>
      <c r="AE54" s="1517"/>
      <c r="AF54" s="1517"/>
    </row>
    <row r="55" spans="1:32" x14ac:dyDescent="0.25">
      <c r="A55" s="1599">
        <v>3412</v>
      </c>
      <c r="B55" s="1486"/>
      <c r="C55" s="1486"/>
      <c r="D55" s="1487"/>
      <c r="E55" s="1479" t="s">
        <v>4690</v>
      </c>
      <c r="F55" s="1480"/>
      <c r="G55" s="1480"/>
      <c r="H55" s="1480"/>
      <c r="I55" s="1480"/>
      <c r="J55" s="1480"/>
      <c r="K55" s="1480"/>
      <c r="L55" s="1480"/>
      <c r="M55" s="1480"/>
      <c r="N55" s="1480"/>
      <c r="O55" s="1480"/>
      <c r="P55" s="1481"/>
      <c r="Q55" s="1592" t="s">
        <v>28</v>
      </c>
      <c r="R55" s="1575"/>
      <c r="S55" s="1575"/>
      <c r="T55" s="1576"/>
      <c r="U55" s="1592" t="s">
        <v>28</v>
      </c>
      <c r="V55" s="1575"/>
      <c r="W55" s="1575"/>
      <c r="X55" s="1548"/>
      <c r="Y55" s="1548"/>
      <c r="Z55" s="1548"/>
      <c r="AA55" s="1548"/>
      <c r="AB55" s="1548"/>
      <c r="AC55" s="1548"/>
      <c r="AD55" s="1548"/>
      <c r="AE55" s="1548"/>
      <c r="AF55" s="1548"/>
    </row>
    <row r="56" spans="1:32" x14ac:dyDescent="0.25">
      <c r="A56" s="1485" t="s">
        <v>2724</v>
      </c>
      <c r="B56" s="1486"/>
      <c r="C56" s="1486"/>
      <c r="D56" s="1487"/>
      <c r="E56" s="1485" t="s">
        <v>2217</v>
      </c>
      <c r="F56" s="1486"/>
      <c r="G56" s="1486"/>
      <c r="H56" s="1486"/>
      <c r="I56" s="1486"/>
      <c r="J56" s="1486"/>
      <c r="K56" s="1486"/>
      <c r="L56" s="1486"/>
      <c r="M56" s="1486"/>
      <c r="N56" s="1486"/>
      <c r="O56" s="1486"/>
      <c r="P56" s="1487"/>
      <c r="Q56" s="1574">
        <f>'Master EUL'!X96</f>
        <v>10</v>
      </c>
      <c r="R56" s="1575"/>
      <c r="S56" s="1575"/>
      <c r="T56" s="1576"/>
      <c r="U56" s="1574" t="s">
        <v>36</v>
      </c>
      <c r="V56" s="1575"/>
      <c r="W56" s="1575"/>
      <c r="X56" s="1548" t="s">
        <v>4691</v>
      </c>
      <c r="Y56" s="1548"/>
      <c r="Z56" s="1548"/>
      <c r="AA56" s="1548"/>
      <c r="AB56" s="1548"/>
      <c r="AC56" s="1548"/>
      <c r="AD56" s="1548"/>
      <c r="AE56" s="1548"/>
      <c r="AF56" s="1548"/>
    </row>
    <row r="57" spans="1:32" ht="55.5" customHeight="1" x14ac:dyDescent="0.25">
      <c r="A57" s="1601" t="s">
        <v>4692</v>
      </c>
      <c r="B57" s="1601"/>
      <c r="C57" s="1601"/>
      <c r="D57" s="1601"/>
      <c r="E57" s="1601"/>
      <c r="F57" s="1601"/>
      <c r="G57" s="1601"/>
      <c r="H57" s="1601"/>
      <c r="I57" s="1601"/>
      <c r="J57" s="1601"/>
      <c r="K57" s="1601"/>
      <c r="L57" s="1601"/>
      <c r="M57" s="1601"/>
      <c r="N57" s="1601"/>
      <c r="O57" s="1601"/>
      <c r="P57" s="1601"/>
      <c r="Q57" s="1601"/>
      <c r="R57" s="1601"/>
      <c r="S57" s="1601"/>
      <c r="T57" s="1601"/>
      <c r="U57" s="1601"/>
      <c r="V57" s="1601"/>
      <c r="W57" s="1601"/>
      <c r="X57" s="1601"/>
      <c r="Y57" s="1601"/>
      <c r="Z57" s="1601"/>
      <c r="AA57" s="1601"/>
      <c r="AB57" s="1601"/>
      <c r="AC57" s="1601"/>
      <c r="AD57" s="1601"/>
      <c r="AE57" s="1601"/>
      <c r="AF57" s="1601"/>
    </row>
    <row r="58" spans="1:32" ht="89.25" customHeight="1" x14ac:dyDescent="0.25">
      <c r="A58" s="1415" t="s">
        <v>4693</v>
      </c>
      <c r="B58" s="1415"/>
      <c r="C58" s="1415"/>
      <c r="D58" s="1415"/>
      <c r="E58" s="1415"/>
      <c r="F58" s="1415"/>
      <c r="G58" s="1415"/>
      <c r="H58" s="1415"/>
      <c r="I58" s="1415"/>
      <c r="J58" s="1415"/>
      <c r="K58" s="1415"/>
      <c r="L58" s="1415"/>
      <c r="M58" s="1415"/>
      <c r="N58" s="1415"/>
      <c r="O58" s="1415"/>
      <c r="P58" s="1415"/>
      <c r="Q58" s="1415"/>
      <c r="R58" s="1415"/>
      <c r="S58" s="1415"/>
      <c r="T58" s="1415"/>
      <c r="U58" s="1415"/>
      <c r="V58" s="1415"/>
      <c r="W58" s="1415"/>
      <c r="X58" s="1415"/>
      <c r="Y58" s="1415"/>
      <c r="Z58" s="1415"/>
      <c r="AA58" s="1415"/>
      <c r="AB58" s="1415"/>
      <c r="AC58" s="1415"/>
      <c r="AD58" s="1415"/>
      <c r="AE58" s="1415"/>
      <c r="AF58" s="1415"/>
    </row>
    <row r="59" spans="1:32" ht="30.75" customHeight="1" x14ac:dyDescent="0.25">
      <c r="A59" s="1415" t="s">
        <v>4694</v>
      </c>
      <c r="B59" s="1415"/>
      <c r="C59" s="1415"/>
      <c r="D59" s="1415"/>
      <c r="E59" s="1415"/>
      <c r="F59" s="1415"/>
      <c r="G59" s="1415"/>
      <c r="H59" s="1415"/>
      <c r="I59" s="1415"/>
      <c r="J59" s="1415"/>
      <c r="K59" s="1415"/>
      <c r="L59" s="1415"/>
      <c r="M59" s="1415"/>
      <c r="N59" s="1415"/>
      <c r="O59" s="1415"/>
      <c r="P59" s="1415"/>
      <c r="Q59" s="1415"/>
      <c r="R59" s="1415"/>
      <c r="S59" s="1415"/>
      <c r="T59" s="1415"/>
      <c r="U59" s="1415"/>
      <c r="V59" s="1415"/>
      <c r="W59" s="1415"/>
      <c r="X59" s="1415"/>
      <c r="Y59" s="1415"/>
      <c r="Z59" s="1415"/>
      <c r="AA59" s="1415"/>
      <c r="AB59" s="1415"/>
      <c r="AC59" s="1415"/>
      <c r="AD59" s="1415"/>
      <c r="AE59" s="1415"/>
      <c r="AF59" s="1415"/>
    </row>
    <row r="60" spans="1:32" ht="42" customHeight="1" x14ac:dyDescent="0.25">
      <c r="A60" s="1415" t="s">
        <v>4695</v>
      </c>
      <c r="B60" s="1415"/>
      <c r="C60" s="1415"/>
      <c r="D60" s="1415"/>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5"/>
      <c r="AB60" s="1415"/>
      <c r="AC60" s="1415"/>
      <c r="AD60" s="1415"/>
      <c r="AE60" s="1415"/>
      <c r="AF60" s="1415"/>
    </row>
    <row r="61" spans="1:32" x14ac:dyDescent="0.25">
      <c r="A61" s="378"/>
      <c r="B61" s="378"/>
      <c r="C61" s="378"/>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c r="AE61" s="378"/>
      <c r="AF61" s="378"/>
    </row>
    <row r="62" spans="1:32" ht="16.5" x14ac:dyDescent="0.25">
      <c r="A62" s="378"/>
      <c r="B62" s="751" t="s">
        <v>4696</v>
      </c>
      <c r="C62" s="378"/>
      <c r="D62" s="378"/>
      <c r="E62" s="378"/>
      <c r="F62" s="378"/>
      <c r="G62" s="378"/>
      <c r="H62" s="378"/>
      <c r="I62" s="378"/>
      <c r="J62" s="378"/>
      <c r="K62" s="378"/>
      <c r="L62" s="378"/>
      <c r="M62" s="378"/>
      <c r="N62" s="378"/>
      <c r="O62" s="378"/>
      <c r="P62" s="378"/>
      <c r="Q62" s="378"/>
      <c r="R62" s="378"/>
      <c r="S62" s="378"/>
      <c r="T62" s="378"/>
      <c r="U62" s="378"/>
      <c r="V62" s="378"/>
      <c r="W62" s="378"/>
      <c r="X62" s="378"/>
      <c r="Y62" s="378"/>
      <c r="Z62" s="378"/>
      <c r="AA62" s="378"/>
      <c r="AB62" s="378"/>
      <c r="AC62" s="378"/>
      <c r="AD62" s="378"/>
      <c r="AE62" s="378"/>
      <c r="AF62" s="378"/>
    </row>
    <row r="63" spans="1:32" x14ac:dyDescent="0.25">
      <c r="A63" s="378"/>
      <c r="B63" s="1602" t="s">
        <v>4697</v>
      </c>
      <c r="C63" s="1602"/>
      <c r="D63" s="1602"/>
      <c r="E63" s="1602"/>
      <c r="F63" s="1603" t="s">
        <v>4698</v>
      </c>
      <c r="G63" s="1474"/>
      <c r="H63" s="1474"/>
      <c r="I63" s="1474"/>
      <c r="J63" s="1474"/>
      <c r="K63" s="1474"/>
      <c r="L63" s="1474"/>
      <c r="M63" s="1603" t="s">
        <v>4699</v>
      </c>
      <c r="N63" s="1474"/>
      <c r="O63" s="1474"/>
      <c r="P63" s="1474"/>
      <c r="Q63" s="1474"/>
      <c r="R63" s="1474"/>
      <c r="S63" s="1474"/>
      <c r="T63" s="378"/>
      <c r="U63" s="378"/>
      <c r="V63" s="378"/>
      <c r="W63" s="378"/>
      <c r="X63" s="378"/>
      <c r="Y63" s="378"/>
      <c r="Z63" s="378"/>
      <c r="AA63" s="378"/>
      <c r="AB63" s="378"/>
      <c r="AC63" s="378"/>
      <c r="AD63" s="378"/>
      <c r="AE63" s="378"/>
      <c r="AF63" s="378"/>
    </row>
    <row r="64" spans="1:32" x14ac:dyDescent="0.25">
      <c r="A64" s="378"/>
      <c r="B64" s="1602"/>
      <c r="C64" s="1602"/>
      <c r="D64" s="1602"/>
      <c r="E64" s="1602"/>
      <c r="F64" s="1474"/>
      <c r="G64" s="1474"/>
      <c r="H64" s="1474"/>
      <c r="I64" s="1474"/>
      <c r="J64" s="1474"/>
      <c r="K64" s="1474"/>
      <c r="L64" s="1474"/>
      <c r="M64" s="1474"/>
      <c r="N64" s="1474"/>
      <c r="O64" s="1474"/>
      <c r="P64" s="1474"/>
      <c r="Q64" s="1474"/>
      <c r="R64" s="1474"/>
      <c r="S64" s="1474"/>
      <c r="T64" s="378"/>
      <c r="U64" s="378"/>
      <c r="V64" s="378"/>
      <c r="W64" s="378"/>
      <c r="X64" s="378"/>
      <c r="Y64" s="378"/>
      <c r="Z64" s="378"/>
      <c r="AA64" s="378"/>
      <c r="AB64" s="378"/>
      <c r="AC64" s="378"/>
      <c r="AD64" s="378"/>
      <c r="AE64" s="378"/>
      <c r="AF64" s="378"/>
    </row>
    <row r="65" spans="1:32" x14ac:dyDescent="0.25">
      <c r="A65" s="378"/>
      <c r="B65" s="1134" t="s">
        <v>4700</v>
      </c>
      <c r="C65" s="1134"/>
      <c r="D65" s="1134"/>
      <c r="E65" s="1134"/>
      <c r="F65" s="1600">
        <v>260727</v>
      </c>
      <c r="G65" s="1600"/>
      <c r="H65" s="1600"/>
      <c r="I65" s="1600"/>
      <c r="J65" s="1600"/>
      <c r="K65" s="1600"/>
      <c r="L65" s="1600"/>
      <c r="M65" s="1600">
        <v>4</v>
      </c>
      <c r="N65" s="1600"/>
      <c r="O65" s="1600"/>
      <c r="P65" s="1600"/>
      <c r="Q65" s="1600"/>
      <c r="R65" s="1600"/>
      <c r="S65" s="1600"/>
      <c r="T65" s="378"/>
      <c r="U65" s="378"/>
      <c r="V65" s="378"/>
      <c r="W65" s="378"/>
      <c r="X65" s="378"/>
      <c r="Y65" s="378"/>
      <c r="Z65" s="378"/>
      <c r="AA65" s="378"/>
      <c r="AB65" s="378"/>
      <c r="AC65" s="378"/>
      <c r="AD65" s="378"/>
      <c r="AE65" s="378"/>
      <c r="AF65" s="378"/>
    </row>
    <row r="66" spans="1:32" x14ac:dyDescent="0.25">
      <c r="A66" s="378"/>
      <c r="B66" s="1134" t="s">
        <v>4701</v>
      </c>
      <c r="C66" s="1134"/>
      <c r="D66" s="1134"/>
      <c r="E66" s="1134"/>
      <c r="F66" s="1600">
        <v>353512</v>
      </c>
      <c r="G66" s="1600"/>
      <c r="H66" s="1600"/>
      <c r="I66" s="1600"/>
      <c r="J66" s="1600"/>
      <c r="K66" s="1600"/>
      <c r="L66" s="1600"/>
      <c r="M66" s="1600">
        <v>4</v>
      </c>
      <c r="N66" s="1600"/>
      <c r="O66" s="1600"/>
      <c r="P66" s="1600"/>
      <c r="Q66" s="1600"/>
      <c r="R66" s="1600"/>
      <c r="S66" s="1600"/>
      <c r="T66" s="378"/>
      <c r="U66" s="378"/>
      <c r="V66" s="378"/>
      <c r="W66" s="378"/>
      <c r="X66" s="378"/>
      <c r="Y66" s="378"/>
      <c r="Z66" s="378"/>
      <c r="AA66" s="378"/>
      <c r="AB66" s="378"/>
      <c r="AC66" s="378"/>
      <c r="AD66" s="378"/>
      <c r="AE66" s="378"/>
      <c r="AF66" s="378"/>
    </row>
    <row r="67" spans="1:32" x14ac:dyDescent="0.25">
      <c r="A67" s="378"/>
      <c r="B67" s="1134" t="s">
        <v>4702</v>
      </c>
      <c r="C67" s="1134"/>
      <c r="D67" s="1134"/>
      <c r="E67" s="1134"/>
      <c r="F67" s="1600">
        <v>370064</v>
      </c>
      <c r="G67" s="1600"/>
      <c r="H67" s="1600"/>
      <c r="I67" s="1600"/>
      <c r="J67" s="1600"/>
      <c r="K67" s="1600"/>
      <c r="L67" s="1600"/>
      <c r="M67" s="1600">
        <v>5</v>
      </c>
      <c r="N67" s="1600"/>
      <c r="O67" s="1600"/>
      <c r="P67" s="1600"/>
      <c r="Q67" s="1600"/>
      <c r="R67" s="1600"/>
      <c r="S67" s="1600"/>
      <c r="T67" s="378"/>
      <c r="U67" s="378"/>
      <c r="V67" s="378"/>
      <c r="W67" s="378"/>
      <c r="X67" s="378"/>
      <c r="Y67" s="378"/>
      <c r="Z67" s="378"/>
      <c r="AA67" s="378"/>
      <c r="AB67" s="378"/>
      <c r="AC67" s="378"/>
      <c r="AD67" s="378"/>
      <c r="AE67" s="378"/>
      <c r="AF67" s="378"/>
    </row>
    <row r="68" spans="1:32" x14ac:dyDescent="0.25">
      <c r="A68" s="378"/>
      <c r="B68" s="1134" t="s">
        <v>4703</v>
      </c>
      <c r="C68" s="1134"/>
      <c r="D68" s="1134"/>
      <c r="E68" s="1134"/>
      <c r="F68" s="1600">
        <v>350779</v>
      </c>
      <c r="G68" s="1600"/>
      <c r="H68" s="1600"/>
      <c r="I68" s="1600"/>
      <c r="J68" s="1600"/>
      <c r="K68" s="1600"/>
      <c r="L68" s="1600"/>
      <c r="M68" s="1600">
        <v>10</v>
      </c>
      <c r="N68" s="1600"/>
      <c r="O68" s="1600"/>
      <c r="P68" s="1600"/>
      <c r="Q68" s="1600"/>
      <c r="R68" s="1600"/>
      <c r="S68" s="1600"/>
      <c r="T68" s="378"/>
      <c r="U68" s="378"/>
      <c r="V68" s="378"/>
      <c r="W68" s="378"/>
      <c r="X68" s="378"/>
      <c r="Y68" s="378"/>
      <c r="Z68" s="378"/>
      <c r="AA68" s="378"/>
      <c r="AB68" s="378"/>
      <c r="AC68" s="378"/>
      <c r="AD68" s="378"/>
      <c r="AE68" s="378"/>
      <c r="AF68" s="378"/>
    </row>
    <row r="69" spans="1:32" x14ac:dyDescent="0.25">
      <c r="A69" s="378"/>
      <c r="B69" s="1134" t="s">
        <v>4704</v>
      </c>
      <c r="C69" s="1134"/>
      <c r="D69" s="1134"/>
      <c r="E69" s="1134"/>
      <c r="F69" s="1600">
        <v>373810</v>
      </c>
      <c r="G69" s="1600"/>
      <c r="H69" s="1600"/>
      <c r="I69" s="1600"/>
      <c r="J69" s="1600"/>
      <c r="K69" s="1600"/>
      <c r="L69" s="1600"/>
      <c r="M69" s="1600">
        <v>29</v>
      </c>
      <c r="N69" s="1600"/>
      <c r="O69" s="1600"/>
      <c r="P69" s="1600"/>
      <c r="Q69" s="1600"/>
      <c r="R69" s="1600"/>
      <c r="S69" s="1600"/>
      <c r="T69" s="378"/>
      <c r="U69" s="378"/>
      <c r="V69" s="378"/>
      <c r="W69" s="378"/>
      <c r="X69" s="378"/>
      <c r="Y69" s="378"/>
      <c r="Z69" s="378"/>
      <c r="AA69" s="378"/>
      <c r="AB69" s="378"/>
      <c r="AC69" s="378"/>
      <c r="AD69" s="378"/>
      <c r="AE69" s="378"/>
      <c r="AF69" s="378"/>
    </row>
    <row r="70" spans="1:32" x14ac:dyDescent="0.25">
      <c r="A70" s="378"/>
      <c r="B70" s="1134" t="s">
        <v>4705</v>
      </c>
      <c r="C70" s="1134"/>
      <c r="D70" s="1134"/>
      <c r="E70" s="1134"/>
      <c r="F70" s="1600">
        <v>356792</v>
      </c>
      <c r="G70" s="1600"/>
      <c r="H70" s="1600"/>
      <c r="I70" s="1600"/>
      <c r="J70" s="1600"/>
      <c r="K70" s="1600"/>
      <c r="L70" s="1600"/>
      <c r="M70" s="1600">
        <v>41</v>
      </c>
      <c r="N70" s="1600"/>
      <c r="O70" s="1600"/>
      <c r="P70" s="1600"/>
      <c r="Q70" s="1600"/>
      <c r="R70" s="1600"/>
      <c r="S70" s="1600"/>
      <c r="T70" s="378"/>
      <c r="U70" s="378"/>
      <c r="V70" s="378"/>
      <c r="W70" s="378"/>
      <c r="X70" s="378"/>
      <c r="Y70" s="378"/>
      <c r="Z70" s="378"/>
      <c r="AA70" s="378"/>
      <c r="AB70" s="378"/>
      <c r="AC70" s="378"/>
      <c r="AD70" s="378"/>
      <c r="AE70" s="378"/>
      <c r="AF70" s="378"/>
    </row>
    <row r="71" spans="1:32" x14ac:dyDescent="0.25">
      <c r="A71" s="378"/>
      <c r="B71" s="1134" t="s">
        <v>4706</v>
      </c>
      <c r="C71" s="1134"/>
      <c r="D71" s="1134"/>
      <c r="E71" s="1134"/>
      <c r="F71" s="1600">
        <v>261620</v>
      </c>
      <c r="G71" s="1600"/>
      <c r="H71" s="1600"/>
      <c r="I71" s="1600"/>
      <c r="J71" s="1600"/>
      <c r="K71" s="1600"/>
      <c r="L71" s="1600"/>
      <c r="M71" s="1600">
        <v>32</v>
      </c>
      <c r="N71" s="1600"/>
      <c r="O71" s="1600"/>
      <c r="P71" s="1600"/>
      <c r="Q71" s="1600"/>
      <c r="R71" s="1600"/>
      <c r="S71" s="1600"/>
      <c r="T71" s="378"/>
      <c r="U71" s="378"/>
      <c r="V71" s="378"/>
      <c r="W71" s="378"/>
      <c r="X71" s="378"/>
      <c r="Y71" s="378"/>
      <c r="Z71" s="378"/>
      <c r="AA71" s="378"/>
      <c r="AB71" s="378"/>
      <c r="AC71" s="378"/>
      <c r="AD71" s="378"/>
      <c r="AE71" s="378"/>
      <c r="AF71" s="378"/>
    </row>
    <row r="72" spans="1:32" ht="77.25" customHeight="1" x14ac:dyDescent="0.25">
      <c r="A72" s="378"/>
      <c r="B72" s="1415" t="s">
        <v>4707</v>
      </c>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row>
    <row r="73" spans="1:32" x14ac:dyDescent="0.25">
      <c r="A73" s="378"/>
      <c r="B73" s="378"/>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row>
    <row r="74" spans="1:32" ht="16.5" x14ac:dyDescent="0.25">
      <c r="A74" s="378"/>
      <c r="B74" s="751" t="s">
        <v>4708</v>
      </c>
      <c r="C74" s="378"/>
      <c r="D74" s="378"/>
      <c r="E74" s="378"/>
      <c r="F74" s="378"/>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c r="AD74" s="378"/>
      <c r="AE74" s="378"/>
      <c r="AF74" s="378"/>
    </row>
    <row r="75" spans="1:32" ht="16.5" x14ac:dyDescent="0.25">
      <c r="A75" s="751"/>
      <c r="B75" s="1605" t="s">
        <v>4709</v>
      </c>
      <c r="C75" s="1605"/>
      <c r="D75" s="1605"/>
      <c r="E75" s="1605"/>
      <c r="F75" s="1605"/>
      <c r="G75" s="1605"/>
      <c r="H75" s="1605"/>
      <c r="I75" s="1605"/>
      <c r="J75" s="1605"/>
      <c r="K75" s="1605"/>
      <c r="L75" s="1605"/>
      <c r="M75" s="1605"/>
      <c r="N75" s="1605"/>
      <c r="O75" s="1605"/>
      <c r="P75" s="1474" t="s">
        <v>4710</v>
      </c>
      <c r="Q75" s="1474"/>
      <c r="R75" s="1474"/>
      <c r="S75" s="1474"/>
      <c r="T75" s="1474"/>
      <c r="U75" s="751"/>
      <c r="V75" s="751"/>
      <c r="W75" s="751"/>
      <c r="X75" s="751"/>
      <c r="Y75" s="751"/>
      <c r="Z75" s="751"/>
      <c r="AA75" s="751"/>
      <c r="AB75" s="751"/>
      <c r="AC75" s="751"/>
      <c r="AD75" s="751"/>
      <c r="AE75" s="751"/>
      <c r="AF75" s="751"/>
    </row>
    <row r="76" spans="1:32" x14ac:dyDescent="0.25">
      <c r="A76" s="378"/>
      <c r="B76" s="1134" t="s">
        <v>4711</v>
      </c>
      <c r="C76" s="1134"/>
      <c r="D76" s="1134"/>
      <c r="E76" s="1134"/>
      <c r="F76" s="1134"/>
      <c r="G76" s="1134"/>
      <c r="H76" s="1134"/>
      <c r="I76" s="1134"/>
      <c r="J76" s="1134"/>
      <c r="K76" s="1134"/>
      <c r="L76" s="1134"/>
      <c r="M76" s="1134"/>
      <c r="N76" s="1134"/>
      <c r="O76" s="1134"/>
      <c r="P76" s="1604">
        <v>0.80910000000000004</v>
      </c>
      <c r="Q76" s="1604"/>
      <c r="R76" s="1604"/>
      <c r="S76" s="1604"/>
      <c r="T76" s="1604"/>
      <c r="U76" s="378"/>
      <c r="V76" s="378"/>
      <c r="W76" s="378"/>
      <c r="X76" s="378"/>
      <c r="Y76" s="378"/>
      <c r="Z76" s="378"/>
      <c r="AA76" s="378"/>
      <c r="AB76" s="378"/>
      <c r="AC76" s="378"/>
      <c r="AD76" s="378"/>
      <c r="AE76" s="378"/>
      <c r="AF76" s="378"/>
    </row>
    <row r="77" spans="1:32" x14ac:dyDescent="0.25">
      <c r="A77" s="378"/>
      <c r="B77" s="1134" t="s">
        <v>4712</v>
      </c>
      <c r="C77" s="1134"/>
      <c r="D77" s="1134"/>
      <c r="E77" s="1134"/>
      <c r="F77" s="1134"/>
      <c r="G77" s="1134"/>
      <c r="H77" s="1134"/>
      <c r="I77" s="1134"/>
      <c r="J77" s="1134"/>
      <c r="K77" s="1134"/>
      <c r="L77" s="1134"/>
      <c r="M77" s="1134"/>
      <c r="N77" s="1134"/>
      <c r="O77" s="1134"/>
      <c r="P77" s="1604">
        <v>0.52200000000000002</v>
      </c>
      <c r="Q77" s="1604"/>
      <c r="R77" s="1604"/>
      <c r="S77" s="1604"/>
      <c r="T77" s="1604"/>
      <c r="U77" s="378"/>
      <c r="V77" s="378"/>
      <c r="W77" s="378"/>
      <c r="X77" s="378"/>
      <c r="Y77" s="378"/>
      <c r="Z77" s="378"/>
      <c r="AA77" s="378"/>
      <c r="AB77" s="378"/>
      <c r="AC77" s="378"/>
      <c r="AD77" s="378"/>
      <c r="AE77" s="378"/>
      <c r="AF77" s="378"/>
    </row>
    <row r="78" spans="1:32" x14ac:dyDescent="0.25">
      <c r="A78" s="378"/>
      <c r="B78" s="1134" t="s">
        <v>4713</v>
      </c>
      <c r="C78" s="1134"/>
      <c r="D78" s="1134"/>
      <c r="E78" s="1134"/>
      <c r="F78" s="1134"/>
      <c r="G78" s="1134"/>
      <c r="H78" s="1134"/>
      <c r="I78" s="1134"/>
      <c r="J78" s="1134"/>
      <c r="K78" s="1134"/>
      <c r="L78" s="1134"/>
      <c r="M78" s="1134"/>
      <c r="N78" s="1134"/>
      <c r="O78" s="1134"/>
      <c r="P78" s="1604">
        <v>0.48720000000000002</v>
      </c>
      <c r="Q78" s="1604"/>
      <c r="R78" s="1604"/>
      <c r="S78" s="1604"/>
      <c r="T78" s="1604"/>
      <c r="U78" s="378"/>
      <c r="V78" s="378"/>
      <c r="W78" s="378"/>
      <c r="X78" s="378"/>
      <c r="Y78" s="378"/>
      <c r="Z78" s="378"/>
      <c r="AA78" s="378"/>
      <c r="AB78" s="378"/>
      <c r="AC78" s="378"/>
      <c r="AD78" s="378"/>
      <c r="AE78" s="378"/>
      <c r="AF78" s="378"/>
    </row>
    <row r="79" spans="1:32" x14ac:dyDescent="0.25">
      <c r="A79" s="378"/>
      <c r="B79" s="1134" t="s">
        <v>4714</v>
      </c>
      <c r="C79" s="1134"/>
      <c r="D79" s="1134"/>
      <c r="E79" s="1134"/>
      <c r="F79" s="1134"/>
      <c r="G79" s="1134"/>
      <c r="H79" s="1134"/>
      <c r="I79" s="1134"/>
      <c r="J79" s="1134"/>
      <c r="K79" s="1134"/>
      <c r="L79" s="1134"/>
      <c r="M79" s="1134"/>
      <c r="N79" s="1134"/>
      <c r="O79" s="1134"/>
      <c r="P79" s="1604">
        <v>0.58290000000000008</v>
      </c>
      <c r="Q79" s="1604"/>
      <c r="R79" s="1604"/>
      <c r="S79" s="1604"/>
      <c r="T79" s="1604"/>
      <c r="U79" s="378"/>
      <c r="V79" s="378"/>
      <c r="W79" s="378"/>
      <c r="X79" s="378"/>
      <c r="Y79" s="378"/>
      <c r="Z79" s="378"/>
      <c r="AA79" s="378"/>
      <c r="AB79" s="378"/>
      <c r="AC79" s="378"/>
      <c r="AD79" s="378"/>
      <c r="AE79" s="378"/>
      <c r="AF79" s="378"/>
    </row>
    <row r="80" spans="1:32" x14ac:dyDescent="0.25">
      <c r="A80" s="378"/>
      <c r="B80" s="1134" t="s">
        <v>4715</v>
      </c>
      <c r="C80" s="1134"/>
      <c r="D80" s="1134"/>
      <c r="E80" s="1134"/>
      <c r="F80" s="1134"/>
      <c r="G80" s="1134"/>
      <c r="H80" s="1134"/>
      <c r="I80" s="1134"/>
      <c r="J80" s="1134"/>
      <c r="K80" s="1134"/>
      <c r="L80" s="1134"/>
      <c r="M80" s="1134"/>
      <c r="N80" s="1134"/>
      <c r="O80" s="1134"/>
      <c r="P80" s="1604">
        <v>0.48720000000000002</v>
      </c>
      <c r="Q80" s="1604"/>
      <c r="R80" s="1604"/>
      <c r="S80" s="1604"/>
      <c r="T80" s="1604"/>
      <c r="U80" s="378"/>
      <c r="V80" s="378"/>
      <c r="W80" s="378"/>
      <c r="X80" s="378"/>
      <c r="Y80" s="378"/>
      <c r="Z80" s="378"/>
      <c r="AA80" s="378"/>
      <c r="AB80" s="378"/>
      <c r="AC80" s="378"/>
      <c r="AD80" s="378"/>
      <c r="AE80" s="378"/>
      <c r="AF80" s="378"/>
    </row>
    <row r="81" spans="1:32" x14ac:dyDescent="0.25">
      <c r="A81" s="378"/>
      <c r="B81" s="1134" t="s">
        <v>4716</v>
      </c>
      <c r="C81" s="1134"/>
      <c r="D81" s="1134"/>
      <c r="E81" s="1134"/>
      <c r="F81" s="1134"/>
      <c r="G81" s="1134"/>
      <c r="H81" s="1134"/>
      <c r="I81" s="1134"/>
      <c r="J81" s="1134"/>
      <c r="K81" s="1134"/>
      <c r="L81" s="1134"/>
      <c r="M81" s="1134"/>
      <c r="N81" s="1134"/>
      <c r="O81" s="1134"/>
      <c r="P81" s="1604">
        <v>0.69600000000000006</v>
      </c>
      <c r="Q81" s="1604"/>
      <c r="R81" s="1604"/>
      <c r="S81" s="1604"/>
      <c r="T81" s="1604"/>
      <c r="U81" s="378"/>
      <c r="V81" s="378"/>
      <c r="W81" s="378"/>
      <c r="X81" s="378"/>
      <c r="Y81" s="378"/>
      <c r="Z81" s="378"/>
      <c r="AA81" s="378"/>
      <c r="AB81" s="378"/>
      <c r="AC81" s="378"/>
      <c r="AD81" s="378"/>
      <c r="AE81" s="378"/>
      <c r="AF81" s="378"/>
    </row>
    <row r="82" spans="1:32" x14ac:dyDescent="0.25">
      <c r="A82" s="378"/>
      <c r="B82" s="1134" t="s">
        <v>4717</v>
      </c>
      <c r="C82" s="1134"/>
      <c r="D82" s="1134"/>
      <c r="E82" s="1134"/>
      <c r="F82" s="1134"/>
      <c r="G82" s="1134"/>
      <c r="H82" s="1134"/>
      <c r="I82" s="1134"/>
      <c r="J82" s="1134"/>
      <c r="K82" s="1134"/>
      <c r="L82" s="1134"/>
      <c r="M82" s="1134"/>
      <c r="N82" s="1134"/>
      <c r="O82" s="1134"/>
      <c r="P82" s="1604">
        <v>0.53939999999999999</v>
      </c>
      <c r="Q82" s="1604"/>
      <c r="R82" s="1604"/>
      <c r="S82" s="1604"/>
      <c r="T82" s="1604"/>
      <c r="U82" s="378"/>
      <c r="V82" s="378"/>
      <c r="W82" s="378"/>
      <c r="X82" s="378"/>
      <c r="Y82" s="378"/>
      <c r="Z82" s="378"/>
      <c r="AA82" s="378"/>
      <c r="AB82" s="378"/>
      <c r="AC82" s="378"/>
      <c r="AD82" s="378"/>
      <c r="AE82" s="378"/>
      <c r="AF82" s="378"/>
    </row>
    <row r="83" spans="1:32" x14ac:dyDescent="0.25">
      <c r="A83" s="378"/>
      <c r="B83" s="1134" t="s">
        <v>4718</v>
      </c>
      <c r="C83" s="1134"/>
      <c r="D83" s="1134"/>
      <c r="E83" s="1134"/>
      <c r="F83" s="1134"/>
      <c r="G83" s="1134"/>
      <c r="H83" s="1134"/>
      <c r="I83" s="1134"/>
      <c r="J83" s="1134"/>
      <c r="K83" s="1134"/>
      <c r="L83" s="1134"/>
      <c r="M83" s="1134"/>
      <c r="N83" s="1134"/>
      <c r="O83" s="1134"/>
      <c r="P83" s="1604">
        <v>0.50459999999999994</v>
      </c>
      <c r="Q83" s="1604"/>
      <c r="R83" s="1604"/>
      <c r="S83" s="1604"/>
      <c r="T83" s="1604"/>
      <c r="U83" s="378"/>
      <c r="V83" s="378"/>
      <c r="W83" s="378"/>
      <c r="X83" s="378"/>
      <c r="Y83" s="378"/>
      <c r="Z83" s="378"/>
      <c r="AA83" s="378"/>
      <c r="AB83" s="378"/>
      <c r="AC83" s="378"/>
      <c r="AD83" s="378"/>
      <c r="AE83" s="378"/>
      <c r="AF83" s="378"/>
    </row>
    <row r="84" spans="1:32" x14ac:dyDescent="0.25">
      <c r="A84" s="378"/>
      <c r="B84" s="1134" t="s">
        <v>4719</v>
      </c>
      <c r="C84" s="1134"/>
      <c r="D84" s="1134"/>
      <c r="E84" s="1134"/>
      <c r="F84" s="1134"/>
      <c r="G84" s="1134"/>
      <c r="H84" s="1134"/>
      <c r="I84" s="1134"/>
      <c r="J84" s="1134"/>
      <c r="K84" s="1134"/>
      <c r="L84" s="1134"/>
      <c r="M84" s="1134"/>
      <c r="N84" s="1134"/>
      <c r="O84" s="1134"/>
      <c r="P84" s="1604">
        <v>0.55679999999999996</v>
      </c>
      <c r="Q84" s="1604"/>
      <c r="R84" s="1604"/>
      <c r="S84" s="1604"/>
      <c r="T84" s="1604"/>
      <c r="U84" s="378"/>
      <c r="V84" s="378"/>
      <c r="W84" s="378"/>
      <c r="X84" s="378"/>
      <c r="Y84" s="378"/>
      <c r="Z84" s="378"/>
      <c r="AA84" s="378"/>
      <c r="AB84" s="378"/>
      <c r="AC84" s="378"/>
      <c r="AD84" s="378"/>
      <c r="AE84" s="378"/>
      <c r="AF84" s="378"/>
    </row>
    <row r="85" spans="1:32" x14ac:dyDescent="0.25">
      <c r="A85" s="378"/>
      <c r="B85" s="1134" t="s">
        <v>4720</v>
      </c>
      <c r="C85" s="1134"/>
      <c r="D85" s="1134"/>
      <c r="E85" s="1134"/>
      <c r="F85" s="1134"/>
      <c r="G85" s="1134"/>
      <c r="H85" s="1134"/>
      <c r="I85" s="1134"/>
      <c r="J85" s="1134"/>
      <c r="K85" s="1134"/>
      <c r="L85" s="1134"/>
      <c r="M85" s="1134"/>
      <c r="N85" s="1134"/>
      <c r="O85" s="1134"/>
      <c r="P85" s="1604">
        <v>0.50459999999999994</v>
      </c>
      <c r="Q85" s="1604"/>
      <c r="R85" s="1604"/>
      <c r="S85" s="1604"/>
      <c r="T85" s="1604"/>
      <c r="U85" s="378"/>
      <c r="V85" s="378"/>
      <c r="W85" s="378"/>
      <c r="X85" s="378"/>
      <c r="Y85" s="378"/>
      <c r="Z85" s="378"/>
      <c r="AA85" s="378"/>
      <c r="AB85" s="378"/>
      <c r="AC85" s="378"/>
      <c r="AD85" s="378"/>
      <c r="AE85" s="378"/>
      <c r="AF85" s="378"/>
    </row>
    <row r="86" spans="1:32" ht="79.5" customHeight="1" x14ac:dyDescent="0.25">
      <c r="A86" s="378"/>
      <c r="B86" s="1415" t="s">
        <v>4721</v>
      </c>
      <c r="C86" s="1415"/>
      <c r="D86" s="1415"/>
      <c r="E86" s="1415"/>
      <c r="F86" s="1415"/>
      <c r="G86" s="1415"/>
      <c r="H86" s="1415"/>
      <c r="I86" s="1415"/>
      <c r="J86" s="1415"/>
      <c r="K86" s="1415"/>
      <c r="L86" s="1415"/>
      <c r="M86" s="1415"/>
      <c r="N86" s="1415"/>
      <c r="O86" s="1415"/>
      <c r="P86" s="1415"/>
      <c r="Q86" s="1415"/>
      <c r="R86" s="1415"/>
      <c r="S86" s="1415"/>
      <c r="T86" s="1415"/>
      <c r="U86" s="1415"/>
      <c r="V86" s="1415"/>
      <c r="W86" s="1415"/>
      <c r="X86" s="1415"/>
      <c r="Y86" s="1415"/>
      <c r="Z86" s="1415"/>
      <c r="AA86" s="1415"/>
      <c r="AB86" s="1415"/>
      <c r="AC86" s="1415"/>
      <c r="AD86" s="1415"/>
      <c r="AE86" s="1415"/>
      <c r="AF86" s="1415"/>
    </row>
    <row r="87" spans="1:32" ht="30" customHeight="1" x14ac:dyDescent="0.25">
      <c r="A87" s="378"/>
      <c r="B87" s="1415" t="s">
        <v>4722</v>
      </c>
      <c r="C87" s="1415"/>
      <c r="D87" s="1415"/>
      <c r="E87" s="1415"/>
      <c r="F87" s="1415"/>
      <c r="G87" s="1415"/>
      <c r="H87" s="1415"/>
      <c r="I87" s="1415"/>
      <c r="J87" s="1415"/>
      <c r="K87" s="1415"/>
      <c r="L87" s="1415"/>
      <c r="M87" s="1415"/>
      <c r="N87" s="1415"/>
      <c r="O87" s="1415"/>
      <c r="P87" s="1415"/>
      <c r="Q87" s="1415"/>
      <c r="R87" s="1415"/>
      <c r="S87" s="1415"/>
      <c r="T87" s="1415"/>
      <c r="U87" s="1415"/>
      <c r="V87" s="1415"/>
      <c r="W87" s="1415"/>
      <c r="X87" s="1415"/>
      <c r="Y87" s="1415"/>
      <c r="Z87" s="1415"/>
      <c r="AA87" s="1415"/>
      <c r="AB87" s="1415"/>
      <c r="AC87" s="1415"/>
      <c r="AD87" s="1415"/>
      <c r="AE87" s="1415"/>
      <c r="AF87" s="1415"/>
    </row>
    <row r="88" spans="1:32" x14ac:dyDescent="0.25">
      <c r="A88" s="378"/>
      <c r="B88" s="378"/>
      <c r="C88" s="378"/>
      <c r="D88" s="378"/>
      <c r="E88" s="378"/>
      <c r="F88" s="378"/>
      <c r="G88" s="378"/>
      <c r="H88" s="378"/>
      <c r="I88" s="378"/>
      <c r="J88" s="378"/>
      <c r="K88" s="378"/>
      <c r="L88" s="378"/>
      <c r="M88" s="378"/>
      <c r="N88" s="378"/>
      <c r="O88" s="378"/>
      <c r="P88" s="378"/>
      <c r="Q88" s="378"/>
      <c r="R88" s="378"/>
      <c r="S88" s="378"/>
      <c r="T88" s="378"/>
      <c r="U88" s="378"/>
      <c r="V88" s="378"/>
      <c r="W88" s="378"/>
      <c r="X88" s="378"/>
      <c r="Y88" s="378"/>
      <c r="Z88" s="378"/>
      <c r="AA88" s="378"/>
      <c r="AB88" s="378"/>
      <c r="AC88" s="378"/>
      <c r="AD88" s="378"/>
      <c r="AE88" s="378"/>
      <c r="AF88" s="378"/>
    </row>
    <row r="89" spans="1:32" ht="16.5" x14ac:dyDescent="0.25">
      <c r="A89" s="378"/>
      <c r="B89" s="751" t="s">
        <v>4723</v>
      </c>
      <c r="C89" s="378"/>
      <c r="D89" s="378"/>
      <c r="E89" s="378"/>
      <c r="F89" s="378"/>
      <c r="G89" s="378"/>
      <c r="H89" s="378"/>
      <c r="I89" s="378"/>
      <c r="J89" s="378"/>
      <c r="K89" s="378"/>
      <c r="L89" s="378"/>
      <c r="M89" s="378"/>
      <c r="N89" s="378"/>
      <c r="O89" s="378"/>
      <c r="P89" s="378"/>
      <c r="Q89" s="378"/>
      <c r="R89" s="378"/>
      <c r="S89" s="378"/>
      <c r="T89" s="378"/>
      <c r="U89" s="378"/>
      <c r="V89" s="378"/>
      <c r="W89" s="378"/>
      <c r="X89" s="378"/>
      <c r="Y89" s="378"/>
      <c r="Z89" s="378"/>
      <c r="AA89" s="378"/>
      <c r="AB89" s="378"/>
      <c r="AC89" s="378"/>
      <c r="AD89" s="378"/>
      <c r="AE89" s="378"/>
      <c r="AF89" s="378"/>
    </row>
    <row r="90" spans="1:32" x14ac:dyDescent="0.25">
      <c r="A90" s="378"/>
      <c r="B90" s="1602" t="s">
        <v>4724</v>
      </c>
      <c r="C90" s="1605"/>
      <c r="D90" s="1605"/>
      <c r="E90" s="1605"/>
      <c r="F90" s="1605"/>
      <c r="G90" s="1605"/>
      <c r="H90" s="1605"/>
      <c r="I90" s="1605"/>
      <c r="J90" s="1603" t="s">
        <v>4725</v>
      </c>
      <c r="K90" s="1603"/>
      <c r="L90" s="1603"/>
      <c r="M90" s="1603"/>
      <c r="N90" s="1603"/>
      <c r="O90" s="1603" t="s">
        <v>4238</v>
      </c>
      <c r="P90" s="1603"/>
      <c r="Q90" s="1603"/>
      <c r="R90" s="1603"/>
      <c r="S90" s="1603"/>
      <c r="T90" s="1603" t="s">
        <v>4726</v>
      </c>
      <c r="U90" s="1603"/>
      <c r="V90" s="1603"/>
      <c r="W90" s="1603"/>
      <c r="X90" s="1603"/>
      <c r="Y90" s="1603" t="s">
        <v>4727</v>
      </c>
      <c r="Z90" s="1603"/>
      <c r="AA90" s="1603"/>
      <c r="AB90" s="1603"/>
      <c r="AC90" s="1603"/>
      <c r="AD90" s="378"/>
      <c r="AE90" s="378"/>
      <c r="AF90" s="378"/>
    </row>
    <row r="91" spans="1:32" x14ac:dyDescent="0.25">
      <c r="A91" s="378"/>
      <c r="B91" s="1605"/>
      <c r="C91" s="1605"/>
      <c r="D91" s="1605"/>
      <c r="E91" s="1605"/>
      <c r="F91" s="1605"/>
      <c r="G91" s="1605"/>
      <c r="H91" s="1605"/>
      <c r="I91" s="1605"/>
      <c r="J91" s="1603"/>
      <c r="K91" s="1603"/>
      <c r="L91" s="1603"/>
      <c r="M91" s="1603"/>
      <c r="N91" s="1603"/>
      <c r="O91" s="1603"/>
      <c r="P91" s="1603"/>
      <c r="Q91" s="1603"/>
      <c r="R91" s="1603"/>
      <c r="S91" s="1603"/>
      <c r="T91" s="1603"/>
      <c r="U91" s="1603"/>
      <c r="V91" s="1603"/>
      <c r="W91" s="1603"/>
      <c r="X91" s="1603"/>
      <c r="Y91" s="1603"/>
      <c r="Z91" s="1603"/>
      <c r="AA91" s="1603"/>
      <c r="AB91" s="1603"/>
      <c r="AC91" s="1603"/>
      <c r="AD91" s="378"/>
      <c r="AE91" s="378"/>
      <c r="AF91" s="378"/>
    </row>
    <row r="92" spans="1:32" x14ac:dyDescent="0.25">
      <c r="A92" s="378"/>
      <c r="B92" s="744" t="s">
        <v>4728</v>
      </c>
      <c r="C92" s="744"/>
      <c r="D92" s="744"/>
      <c r="E92" s="744"/>
      <c r="F92" s="744"/>
      <c r="G92" s="744"/>
      <c r="H92" s="744"/>
      <c r="I92" s="744"/>
      <c r="J92" s="1606">
        <v>2.9</v>
      </c>
      <c r="K92" s="1606"/>
      <c r="L92" s="1606"/>
      <c r="M92" s="1606"/>
      <c r="N92" s="1606"/>
      <c r="O92" s="1606">
        <v>2.9</v>
      </c>
      <c r="P92" s="1606"/>
      <c r="Q92" s="1606"/>
      <c r="R92" s="1606"/>
      <c r="S92" s="1606"/>
      <c r="T92" s="1606">
        <v>2.5</v>
      </c>
      <c r="U92" s="1606"/>
      <c r="V92" s="1606"/>
      <c r="W92" s="1606"/>
      <c r="X92" s="1606"/>
      <c r="Y92" s="1606">
        <v>4.2</v>
      </c>
      <c r="Z92" s="1606"/>
      <c r="AA92" s="1606"/>
      <c r="AB92" s="1606"/>
      <c r="AC92" s="1606"/>
      <c r="AD92" s="378"/>
      <c r="AE92" s="378"/>
      <c r="AF92" s="378"/>
    </row>
    <row r="93" spans="1:32" x14ac:dyDescent="0.25">
      <c r="A93" s="378"/>
      <c r="B93" s="744" t="s">
        <v>4729</v>
      </c>
      <c r="C93" s="744"/>
      <c r="D93" s="744"/>
      <c r="E93" s="744"/>
      <c r="F93" s="744"/>
      <c r="G93" s="744"/>
      <c r="H93" s="744"/>
      <c r="I93" s="744"/>
      <c r="J93" s="1606">
        <v>3.8</v>
      </c>
      <c r="K93" s="1606"/>
      <c r="L93" s="1606"/>
      <c r="M93" s="1606"/>
      <c r="N93" s="1606"/>
      <c r="O93" s="1606">
        <v>3.1</v>
      </c>
      <c r="P93" s="1606"/>
      <c r="Q93" s="1606"/>
      <c r="R93" s="1606"/>
      <c r="S93" s="1606"/>
      <c r="T93" s="1606">
        <v>2.8</v>
      </c>
      <c r="U93" s="1606"/>
      <c r="V93" s="1606"/>
      <c r="W93" s="1606"/>
      <c r="X93" s="1606"/>
      <c r="Y93" s="1606">
        <v>5.5</v>
      </c>
      <c r="Z93" s="1606"/>
      <c r="AA93" s="1606"/>
      <c r="AB93" s="1606"/>
      <c r="AC93" s="1606"/>
      <c r="AD93" s="378"/>
      <c r="AE93" s="378"/>
      <c r="AF93" s="378"/>
    </row>
    <row r="94" spans="1:32" x14ac:dyDescent="0.25">
      <c r="A94" s="378"/>
      <c r="B94" s="744" t="s">
        <v>4730</v>
      </c>
      <c r="C94" s="744"/>
      <c r="D94" s="744"/>
      <c r="E94" s="744"/>
      <c r="F94" s="744"/>
      <c r="G94" s="744"/>
      <c r="H94" s="744"/>
      <c r="I94" s="744"/>
      <c r="J94" s="1606">
        <v>3.8</v>
      </c>
      <c r="K94" s="1606"/>
      <c r="L94" s="1606"/>
      <c r="M94" s="1606"/>
      <c r="N94" s="1606"/>
      <c r="O94" s="1606">
        <v>3.1</v>
      </c>
      <c r="P94" s="1606"/>
      <c r="Q94" s="1606"/>
      <c r="R94" s="1606"/>
      <c r="S94" s="1606"/>
      <c r="T94" s="1606">
        <v>2.8</v>
      </c>
      <c r="U94" s="1606"/>
      <c r="V94" s="1606"/>
      <c r="W94" s="1606"/>
      <c r="X94" s="1606"/>
      <c r="Y94" s="1606">
        <v>5.5</v>
      </c>
      <c r="Z94" s="1606"/>
      <c r="AA94" s="1606"/>
      <c r="AB94" s="1606"/>
      <c r="AC94" s="1606"/>
      <c r="AD94" s="378"/>
      <c r="AE94" s="378"/>
      <c r="AF94" s="378"/>
    </row>
    <row r="95" spans="1:32" ht="64.5" customHeight="1" x14ac:dyDescent="0.25">
      <c r="A95" s="378"/>
      <c r="B95" s="1415" t="s">
        <v>4731</v>
      </c>
      <c r="C95" s="1415"/>
      <c r="D95" s="1415"/>
      <c r="E95" s="1415"/>
      <c r="F95" s="1415"/>
      <c r="G95" s="1415"/>
      <c r="H95" s="1415"/>
      <c r="I95" s="1415"/>
      <c r="J95" s="1415"/>
      <c r="K95" s="1415"/>
      <c r="L95" s="1415"/>
      <c r="M95" s="1415"/>
      <c r="N95" s="1415"/>
      <c r="O95" s="1415"/>
      <c r="P95" s="1415"/>
      <c r="Q95" s="1415"/>
      <c r="R95" s="1415"/>
      <c r="S95" s="1415"/>
      <c r="T95" s="1415"/>
      <c r="U95" s="1415"/>
      <c r="V95" s="1415"/>
      <c r="W95" s="1415"/>
      <c r="X95" s="1415"/>
      <c r="Y95" s="1415"/>
      <c r="Z95" s="1415"/>
      <c r="AA95" s="1415"/>
      <c r="AB95" s="1415"/>
      <c r="AC95" s="1415"/>
      <c r="AD95" s="1415"/>
      <c r="AE95" s="1415"/>
      <c r="AF95" s="1415"/>
    </row>
    <row r="97" spans="1:32" x14ac:dyDescent="0.25">
      <c r="A97" s="1148" t="s">
        <v>21</v>
      </c>
      <c r="B97" s="1149"/>
      <c r="C97" s="1149"/>
      <c r="D97" s="1149"/>
      <c r="E97" s="1149"/>
      <c r="F97" s="1149"/>
      <c r="G97" s="1149"/>
      <c r="H97" s="1149"/>
      <c r="I97" s="1149"/>
      <c r="J97" s="1149"/>
      <c r="K97" s="1149"/>
      <c r="L97" s="1149"/>
      <c r="M97" s="1149"/>
      <c r="N97" s="1149"/>
      <c r="O97" s="1149"/>
      <c r="P97" s="1149"/>
      <c r="Q97" s="1149"/>
      <c r="R97" s="1149"/>
      <c r="S97" s="1149"/>
      <c r="T97" s="1149"/>
      <c r="U97" s="1149"/>
      <c r="V97" s="1149"/>
      <c r="W97" s="1149"/>
      <c r="X97" s="1149"/>
      <c r="Y97" s="1149"/>
      <c r="Z97" s="1149"/>
      <c r="AA97" s="1149"/>
      <c r="AB97" s="1149"/>
      <c r="AC97" s="1149"/>
      <c r="AD97" s="1149"/>
      <c r="AE97" s="1149"/>
      <c r="AF97" s="1150"/>
    </row>
    <row r="99" spans="1:32" x14ac:dyDescent="0.25">
      <c r="A99"/>
      <c r="B99" s="380" t="s">
        <v>4442</v>
      </c>
      <c r="C99"/>
      <c r="D99"/>
      <c r="E99"/>
      <c r="F99"/>
      <c r="G99"/>
      <c r="H99"/>
      <c r="I99"/>
      <c r="J99"/>
      <c r="K99"/>
      <c r="L99"/>
      <c r="M99"/>
      <c r="N99"/>
      <c r="O99"/>
      <c r="P99"/>
      <c r="Q99"/>
      <c r="R99"/>
      <c r="S99"/>
      <c r="T99"/>
      <c r="U99"/>
      <c r="V99"/>
      <c r="W99"/>
      <c r="X99"/>
      <c r="Y99"/>
      <c r="Z99"/>
      <c r="AA99"/>
      <c r="AB99"/>
      <c r="AC99"/>
      <c r="AD99"/>
      <c r="AE99"/>
      <c r="AF99"/>
    </row>
    <row r="100" spans="1:32" ht="33.75" customHeight="1" x14ac:dyDescent="0.25">
      <c r="A100"/>
      <c r="B100" s="1247" t="s">
        <v>4732</v>
      </c>
      <c r="C100" s="1247"/>
      <c r="D100" s="1247"/>
      <c r="E100" s="1247"/>
      <c r="F100" s="1247"/>
      <c r="G100" s="1247"/>
      <c r="H100" s="1247"/>
      <c r="I100" s="1247"/>
      <c r="J100" s="1247"/>
      <c r="K100" s="1247"/>
      <c r="L100" s="1247"/>
      <c r="M100" s="1247"/>
      <c r="N100" s="1247"/>
      <c r="O100" s="1247"/>
      <c r="P100" s="1247"/>
      <c r="Q100" s="1247"/>
      <c r="R100" s="1247"/>
      <c r="S100" s="1247"/>
      <c r="T100" s="1247"/>
      <c r="U100" s="1247"/>
      <c r="V100" s="1247"/>
      <c r="W100" s="1247"/>
      <c r="X100" s="1247"/>
      <c r="Y100" s="1247"/>
      <c r="Z100" s="1247"/>
      <c r="AA100" s="1247"/>
      <c r="AB100" s="1247"/>
      <c r="AC100" s="1247"/>
      <c r="AD100" s="1247"/>
      <c r="AE100" s="1247"/>
      <c r="AF100" s="1247"/>
    </row>
    <row r="101" spans="1:32" x14ac:dyDescent="0.25">
      <c r="A10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row>
    <row r="102" spans="1:32" ht="123" customHeight="1" x14ac:dyDescent="0.25">
      <c r="A102"/>
      <c r="B102" s="1247" t="s">
        <v>4733</v>
      </c>
      <c r="C102" s="1247"/>
      <c r="D102" s="1247"/>
      <c r="E102" s="1247"/>
      <c r="F102" s="1247"/>
      <c r="G102" s="1247"/>
      <c r="H102" s="1247"/>
      <c r="I102" s="1247"/>
      <c r="J102" s="1247"/>
      <c r="K102" s="1247"/>
      <c r="L102" s="1247"/>
      <c r="M102" s="1247"/>
      <c r="N102" s="1247"/>
      <c r="O102" s="1247"/>
      <c r="P102" s="1247"/>
      <c r="Q102" s="1247"/>
      <c r="R102" s="1247"/>
      <c r="S102" s="1247"/>
      <c r="T102" s="1247"/>
      <c r="U102" s="1247"/>
      <c r="V102" s="1247"/>
      <c r="W102" s="1247"/>
      <c r="X102" s="1247"/>
      <c r="Y102" s="1247"/>
      <c r="Z102" s="1247"/>
      <c r="AA102" s="1247"/>
      <c r="AB102" s="1247"/>
      <c r="AC102" s="1247"/>
      <c r="AD102" s="1247"/>
      <c r="AE102" s="1247"/>
      <c r="AF102" s="1247"/>
    </row>
    <row r="103" spans="1:3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x14ac:dyDescent="0.25">
      <c r="A104"/>
      <c r="B104" s="23" t="s">
        <v>4734</v>
      </c>
      <c r="C104"/>
      <c r="D104"/>
      <c r="E104"/>
      <c r="F104"/>
      <c r="G104"/>
      <c r="H104"/>
      <c r="I104"/>
      <c r="J104"/>
      <c r="K104"/>
      <c r="L104"/>
      <c r="M104"/>
      <c r="N104"/>
      <c r="O104"/>
      <c r="P104"/>
      <c r="Q104"/>
      <c r="R104"/>
      <c r="S104"/>
      <c r="T104"/>
      <c r="U104"/>
      <c r="V104"/>
      <c r="W104"/>
      <c r="X104"/>
      <c r="Y104"/>
      <c r="Z104"/>
      <c r="AA104"/>
      <c r="AB104"/>
      <c r="AC104"/>
      <c r="AD104"/>
      <c r="AE104"/>
      <c r="AF104"/>
    </row>
    <row r="105" spans="1:32" x14ac:dyDescent="0.25">
      <c r="A105"/>
      <c r="B105" t="s">
        <v>4735</v>
      </c>
      <c r="C105"/>
      <c r="D105"/>
      <c r="E105"/>
      <c r="F105"/>
      <c r="G105"/>
      <c r="H105"/>
      <c r="I105"/>
      <c r="J105"/>
      <c r="K105"/>
      <c r="L105"/>
      <c r="M105"/>
      <c r="N105"/>
      <c r="O105"/>
      <c r="P105"/>
      <c r="Q105" s="1607" t="s">
        <v>4703</v>
      </c>
      <c r="R105" s="1607"/>
      <c r="S105" s="1607"/>
      <c r="T105" s="1607"/>
      <c r="U105" s="1607"/>
      <c r="V105" s="1065"/>
      <c r="W105" s="1065"/>
      <c r="X105" s="1065"/>
      <c r="Y105"/>
      <c r="Z105"/>
      <c r="AA105"/>
      <c r="AB105"/>
      <c r="AC105"/>
      <c r="AD105"/>
      <c r="AE105"/>
      <c r="AF105"/>
    </row>
    <row r="106" spans="1:32" x14ac:dyDescent="0.25">
      <c r="A106"/>
      <c r="B106" t="s">
        <v>4736</v>
      </c>
      <c r="C106"/>
      <c r="D106"/>
      <c r="E106"/>
      <c r="F106"/>
      <c r="G106"/>
      <c r="H106"/>
      <c r="I106"/>
      <c r="J106"/>
      <c r="K106"/>
      <c r="L106"/>
      <c r="M106"/>
      <c r="N106"/>
      <c r="O106"/>
      <c r="P106"/>
      <c r="Q106" s="1608">
        <v>0.7</v>
      </c>
      <c r="R106" s="1608"/>
      <c r="S106" s="1608"/>
      <c r="T106" s="1608"/>
      <c r="U106" s="1608"/>
      <c r="V106" s="1065"/>
      <c r="W106" s="1065"/>
      <c r="X106" s="1065"/>
      <c r="Y106"/>
      <c r="Z106"/>
      <c r="AA106"/>
      <c r="AB106"/>
      <c r="AC106"/>
      <c r="AD106"/>
      <c r="AE106"/>
      <c r="AF106"/>
    </row>
    <row r="107" spans="1:32" x14ac:dyDescent="0.25">
      <c r="A107"/>
      <c r="B107" t="s">
        <v>4737</v>
      </c>
      <c r="C107"/>
      <c r="D107"/>
      <c r="E107"/>
      <c r="F107"/>
      <c r="G107"/>
      <c r="H107"/>
      <c r="I107"/>
      <c r="J107"/>
      <c r="K107"/>
      <c r="L107"/>
      <c r="M107"/>
      <c r="N107"/>
      <c r="O107"/>
      <c r="P107"/>
      <c r="Q107" s="1616">
        <v>0.4</v>
      </c>
      <c r="R107" s="1617"/>
      <c r="S107" s="1617"/>
      <c r="T107" s="1617"/>
      <c r="U107" s="1618"/>
      <c r="V107" s="1065"/>
      <c r="W107" s="1065"/>
      <c r="X107" s="1065"/>
      <c r="Y107"/>
      <c r="Z107"/>
      <c r="AA107"/>
      <c r="AB107"/>
      <c r="AC107"/>
      <c r="AD107"/>
      <c r="AE107"/>
      <c r="AF107"/>
    </row>
    <row r="108" spans="1:32" x14ac:dyDescent="0.25">
      <c r="A108"/>
      <c r="B108" t="s">
        <v>4738</v>
      </c>
      <c r="C108"/>
      <c r="D108"/>
      <c r="E108"/>
      <c r="F108"/>
      <c r="G108"/>
      <c r="H108"/>
      <c r="I108"/>
      <c r="J108"/>
      <c r="K108"/>
      <c r="L108"/>
      <c r="M108"/>
      <c r="N108"/>
      <c r="O108"/>
      <c r="P108"/>
      <c r="Q108" s="1619">
        <v>100</v>
      </c>
      <c r="R108" s="1619"/>
      <c r="S108" s="1619"/>
      <c r="T108" s="1619"/>
      <c r="U108" s="1619"/>
      <c r="V108" s="1065"/>
      <c r="W108" s="1065"/>
      <c r="X108" s="1065"/>
      <c r="Y108"/>
      <c r="Z108"/>
      <c r="AA108"/>
      <c r="AB108"/>
      <c r="AC108"/>
      <c r="AD108"/>
      <c r="AE108"/>
      <c r="AF108"/>
    </row>
    <row r="109" spans="1:32" x14ac:dyDescent="0.25">
      <c r="A109"/>
      <c r="B109" t="s">
        <v>4739</v>
      </c>
      <c r="C109"/>
      <c r="D109"/>
      <c r="E109"/>
      <c r="F109"/>
      <c r="G109"/>
      <c r="H109"/>
      <c r="I109"/>
      <c r="J109"/>
      <c r="K109"/>
      <c r="L109"/>
      <c r="M109"/>
      <c r="N109"/>
      <c r="O109"/>
      <c r="P109"/>
      <c r="Q109" s="1620"/>
      <c r="R109" s="1620"/>
      <c r="S109" s="1620"/>
      <c r="T109" s="1620"/>
      <c r="U109" s="1620"/>
      <c r="V109" s="1065"/>
      <c r="W109" s="1065"/>
      <c r="X109" s="1065"/>
      <c r="Y109"/>
      <c r="Z109"/>
      <c r="AA109"/>
      <c r="AB109"/>
      <c r="AC109"/>
      <c r="AD109"/>
      <c r="AE109"/>
      <c r="AF109"/>
    </row>
    <row r="110" spans="1:32" x14ac:dyDescent="0.25">
      <c r="A110"/>
      <c r="B110"/>
      <c r="C110"/>
      <c r="D110" t="s">
        <v>4740</v>
      </c>
      <c r="E110"/>
      <c r="F110"/>
      <c r="G110"/>
      <c r="H110"/>
      <c r="I110"/>
      <c r="J110"/>
      <c r="K110"/>
      <c r="L110"/>
      <c r="M110"/>
      <c r="N110"/>
      <c r="O110"/>
      <c r="P110"/>
      <c r="Q110" s="1065"/>
      <c r="R110" s="1065"/>
      <c r="S110" s="1065"/>
      <c r="T110" s="1065"/>
      <c r="U110" s="1065"/>
      <c r="V110" s="1065"/>
      <c r="W110" s="1065"/>
      <c r="X110" s="1065"/>
      <c r="Y110"/>
      <c r="Z110"/>
      <c r="AA110"/>
      <c r="AB110"/>
      <c r="AC110"/>
      <c r="AD110"/>
      <c r="AE110"/>
      <c r="AF110"/>
    </row>
    <row r="111" spans="1:32" x14ac:dyDescent="0.25">
      <c r="A111"/>
      <c r="B111"/>
      <c r="C111"/>
      <c r="D111"/>
      <c r="E111"/>
      <c r="F111" t="s">
        <v>4741</v>
      </c>
      <c r="G111"/>
      <c r="H111"/>
      <c r="I111"/>
      <c r="J111"/>
      <c r="K111"/>
      <c r="L111"/>
      <c r="M111"/>
      <c r="N111"/>
      <c r="O111"/>
      <c r="P111"/>
      <c r="Q111" s="1607" t="s">
        <v>4730</v>
      </c>
      <c r="R111" s="1607"/>
      <c r="S111" s="1607"/>
      <c r="T111" s="1607"/>
      <c r="U111" s="1607"/>
      <c r="V111" s="1607"/>
      <c r="W111" s="1607"/>
      <c r="X111" s="1607"/>
      <c r="Y111"/>
      <c r="Z111"/>
      <c r="AA111"/>
      <c r="AB111"/>
      <c r="AC111"/>
      <c r="AD111"/>
      <c r="AE111"/>
      <c r="AF111"/>
    </row>
    <row r="112" spans="1:32" x14ac:dyDescent="0.25">
      <c r="A112"/>
      <c r="B112"/>
      <c r="C112"/>
      <c r="D112"/>
      <c r="E112"/>
      <c r="F112" t="s">
        <v>4742</v>
      </c>
      <c r="G112"/>
      <c r="H112"/>
      <c r="I112"/>
      <c r="J112"/>
      <c r="K112"/>
      <c r="L112"/>
      <c r="M112"/>
      <c r="N112"/>
      <c r="O112"/>
      <c r="P112"/>
      <c r="Q112" s="1607" t="s">
        <v>4725</v>
      </c>
      <c r="R112" s="1607"/>
      <c r="S112" s="1607"/>
      <c r="T112" s="1607"/>
      <c r="U112" s="1607"/>
      <c r="V112" s="1607"/>
      <c r="W112" s="1607"/>
      <c r="X112" s="1607"/>
      <c r="Y112"/>
      <c r="Z112"/>
      <c r="AA112"/>
      <c r="AB112"/>
      <c r="AC112"/>
      <c r="AD112"/>
      <c r="AE112"/>
      <c r="AF112"/>
    </row>
    <row r="113" spans="1:32" ht="15.75" thickBot="1" x14ac:dyDescent="0.3">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ht="33" customHeight="1" x14ac:dyDescent="0.25">
      <c r="A114" s="1583" t="s">
        <v>22</v>
      </c>
      <c r="B114" s="1584"/>
      <c r="C114" s="1584"/>
      <c r="D114" s="1584"/>
      <c r="E114" s="1584"/>
      <c r="F114" s="1584"/>
      <c r="G114" s="1584"/>
      <c r="H114" s="1584"/>
      <c r="I114" s="1609" t="s">
        <v>2922</v>
      </c>
      <c r="J114" s="1609"/>
      <c r="K114" s="1609"/>
      <c r="L114" s="1609"/>
      <c r="M114" s="1609"/>
      <c r="N114" s="1609"/>
      <c r="O114" s="1609"/>
      <c r="P114" s="1609"/>
      <c r="Q114" s="1609" t="s">
        <v>2923</v>
      </c>
      <c r="R114" s="1584"/>
      <c r="S114" s="1584"/>
      <c r="T114" s="1584"/>
      <c r="U114" s="1584"/>
      <c r="V114" s="1584"/>
      <c r="W114" s="1584"/>
      <c r="X114" s="1610"/>
      <c r="Y114" s="1609" t="s">
        <v>1786</v>
      </c>
      <c r="Z114" s="1584"/>
      <c r="AA114" s="1584"/>
      <c r="AB114" s="1584"/>
      <c r="AC114" s="1584"/>
      <c r="AD114" s="1584"/>
      <c r="AE114" s="1584"/>
      <c r="AF114" s="1585"/>
    </row>
    <row r="115" spans="1:32" ht="15.75" thickBot="1" x14ac:dyDescent="0.3">
      <c r="A115" s="1578" t="s">
        <v>688</v>
      </c>
      <c r="B115" s="1579"/>
      <c r="C115" s="1579"/>
      <c r="D115" s="1579"/>
      <c r="E115" s="1579"/>
      <c r="F115" s="1579"/>
      <c r="G115" s="1579"/>
      <c r="H115" s="1579"/>
      <c r="I115" s="1611">
        <f>ROUND(Q108*VLOOKUP(Q105,B65:S71,12,0)*(Q106-Q107)/(3412*IF(ISBLANK(Q109),INDEX(J92:AC94,MATCH(Q111,B92:B94,0),MATCH(Q112,J90:AC90,0)),Q109)),3)</f>
        <v>2.3E-2</v>
      </c>
      <c r="J115" s="1611"/>
      <c r="K115" s="1611"/>
      <c r="L115" s="1611"/>
      <c r="M115" s="1611"/>
      <c r="N115" s="1611"/>
      <c r="O115" s="1611"/>
      <c r="P115" s="1611"/>
      <c r="Q115" s="1612">
        <f>ROUND(Q108*VLOOKUP(Q105,B65:S71,5,0)*(Q106-Q107)/(3412*IF(ISBLANK(Q109),INDEX(J92:AC94,MATCH(Q111,B92:B94,0),MATCH(Q112,J90:AC90,0)),Q109)),2)</f>
        <v>811.64</v>
      </c>
      <c r="R115" s="1612"/>
      <c r="S115" s="1612"/>
      <c r="T115" s="1612"/>
      <c r="U115" s="1612"/>
      <c r="V115" s="1612"/>
      <c r="W115" s="1612"/>
      <c r="X115" s="1613"/>
      <c r="Y115" s="1614">
        <f>ROUND(Q115*Q56,2)</f>
        <v>8116.4</v>
      </c>
      <c r="Z115" s="1614"/>
      <c r="AA115" s="1614"/>
      <c r="AB115" s="1614"/>
      <c r="AC115" s="1614"/>
      <c r="AD115" s="1614"/>
      <c r="AE115" s="1614"/>
      <c r="AF115" s="1615"/>
    </row>
    <row r="117" spans="1:32" x14ac:dyDescent="0.25">
      <c r="A117" s="1472" t="s">
        <v>1753</v>
      </c>
      <c r="B117" s="1472"/>
      <c r="C117" s="1472"/>
      <c r="D117" s="1472"/>
      <c r="E117" s="1472"/>
      <c r="F117" s="1472"/>
      <c r="G117" s="1472"/>
      <c r="H117" s="1472"/>
      <c r="I117" s="1472"/>
      <c r="J117" s="1472"/>
      <c r="K117" s="1472"/>
      <c r="L117" s="1472"/>
      <c r="M117" s="1472"/>
      <c r="N117" s="1472"/>
      <c r="O117" s="1472"/>
      <c r="P117" s="1472"/>
      <c r="Q117" s="1472"/>
      <c r="R117" s="1472"/>
      <c r="S117" s="1472"/>
      <c r="T117" s="1472"/>
      <c r="U117" s="1472"/>
      <c r="V117" s="1472"/>
      <c r="W117" s="1472"/>
      <c r="X117" s="1472"/>
      <c r="Y117" s="1472"/>
      <c r="Z117" s="1472"/>
      <c r="AA117" s="1472"/>
      <c r="AB117" s="1472"/>
      <c r="AC117" s="1472"/>
      <c r="AD117" s="1472"/>
      <c r="AE117" s="1472"/>
      <c r="AF117" s="1472"/>
    </row>
    <row r="118" spans="1:32"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ht="30" customHeight="1" x14ac:dyDescent="0.25">
      <c r="A119" s="517" t="s">
        <v>1013</v>
      </c>
      <c r="B119" s="1173" t="s">
        <v>4743</v>
      </c>
      <c r="C119" s="1173"/>
      <c r="D119" s="1173"/>
      <c r="E119" s="1173"/>
      <c r="F119" s="1173"/>
      <c r="G119" s="1173"/>
      <c r="H119" s="1173"/>
      <c r="I119" s="1173"/>
      <c r="J119" s="1173"/>
      <c r="K119" s="1173"/>
      <c r="L119" s="1173"/>
      <c r="M119" s="1173"/>
      <c r="N119" s="1173"/>
      <c r="O119" s="1173"/>
      <c r="P119" s="1173"/>
      <c r="Q119" s="1173"/>
      <c r="R119" s="1173"/>
      <c r="S119" s="1173"/>
      <c r="T119" s="1173"/>
      <c r="U119" s="1173"/>
      <c r="V119" s="1173"/>
      <c r="W119" s="1173"/>
      <c r="X119" s="1173"/>
      <c r="Y119" s="1173"/>
      <c r="Z119" s="1173"/>
      <c r="AA119" s="1173"/>
      <c r="AB119" s="1173"/>
      <c r="AC119" s="1173"/>
      <c r="AD119" s="1173"/>
      <c r="AE119" s="1173"/>
      <c r="AF119" s="1173"/>
    </row>
    <row r="120" spans="1:32" ht="32.25" customHeight="1" x14ac:dyDescent="0.25">
      <c r="A120" s="517" t="s">
        <v>1013</v>
      </c>
      <c r="B120" s="1168" t="s">
        <v>4744</v>
      </c>
      <c r="C120" s="1168"/>
      <c r="D120" s="1168"/>
      <c r="E120" s="1168"/>
      <c r="F120" s="1168"/>
      <c r="G120" s="1168"/>
      <c r="H120" s="1168"/>
      <c r="I120" s="1168"/>
      <c r="J120" s="1168"/>
      <c r="K120" s="1168"/>
      <c r="L120" s="1168"/>
      <c r="M120" s="1168"/>
      <c r="N120" s="1168"/>
      <c r="O120" s="1168"/>
      <c r="P120" s="1168"/>
      <c r="Q120" s="1168"/>
      <c r="R120" s="1168"/>
      <c r="S120" s="1168"/>
      <c r="T120" s="1168"/>
      <c r="U120" s="1168"/>
      <c r="V120" s="1168"/>
      <c r="W120" s="1168"/>
      <c r="X120" s="1168"/>
      <c r="Y120" s="1168"/>
      <c r="Z120" s="1168"/>
      <c r="AA120" s="1168"/>
      <c r="AB120" s="1168"/>
      <c r="AC120" s="1168"/>
      <c r="AD120" s="1168"/>
      <c r="AE120" s="1168"/>
      <c r="AF120" s="1168"/>
    </row>
    <row r="121" spans="1:32" ht="31.5" customHeight="1" x14ac:dyDescent="0.25">
      <c r="A121" s="517" t="s">
        <v>1013</v>
      </c>
      <c r="B121" s="1168" t="s">
        <v>4745</v>
      </c>
      <c r="C121" s="1168"/>
      <c r="D121" s="1168"/>
      <c r="E121" s="1168"/>
      <c r="F121" s="1168"/>
      <c r="G121" s="1168"/>
      <c r="H121" s="1168"/>
      <c r="I121" s="1168"/>
      <c r="J121" s="1168"/>
      <c r="K121" s="1168"/>
      <c r="L121" s="1168"/>
      <c r="M121" s="1168"/>
      <c r="N121" s="1168"/>
      <c r="O121" s="1168"/>
      <c r="P121" s="1168"/>
      <c r="Q121" s="1168"/>
      <c r="R121" s="1168"/>
      <c r="S121" s="1168"/>
      <c r="T121" s="1168"/>
      <c r="U121" s="1168"/>
      <c r="V121" s="1168"/>
      <c r="W121" s="1168"/>
      <c r="X121" s="1168"/>
      <c r="Y121" s="1168"/>
      <c r="Z121" s="1168"/>
      <c r="AA121" s="1168"/>
      <c r="AB121" s="1168"/>
      <c r="AC121" s="1168"/>
      <c r="AD121" s="1168"/>
      <c r="AE121" s="1168"/>
      <c r="AF121" s="1168"/>
    </row>
    <row r="122" spans="1:32" ht="33" customHeight="1" x14ac:dyDescent="0.25">
      <c r="A122" s="517" t="s">
        <v>1013</v>
      </c>
      <c r="B122" s="1168" t="s">
        <v>4746</v>
      </c>
      <c r="C122" s="1168"/>
      <c r="D122" s="1168"/>
      <c r="E122" s="1168"/>
      <c r="F122" s="1168"/>
      <c r="G122" s="1168"/>
      <c r="H122" s="1168"/>
      <c r="I122" s="1168"/>
      <c r="J122" s="1168"/>
      <c r="K122" s="1168"/>
      <c r="L122" s="1168"/>
      <c r="M122" s="1168"/>
      <c r="N122" s="1168"/>
      <c r="O122" s="1168"/>
      <c r="P122" s="1168"/>
      <c r="Q122" s="1168"/>
      <c r="R122" s="1168"/>
      <c r="S122" s="1168"/>
      <c r="T122" s="1168"/>
      <c r="U122" s="1168"/>
      <c r="V122" s="1168"/>
      <c r="W122" s="1168"/>
      <c r="X122" s="1168"/>
      <c r="Y122" s="1168"/>
      <c r="Z122" s="1168"/>
      <c r="AA122" s="1168"/>
      <c r="AB122" s="1168"/>
      <c r="AC122" s="1168"/>
      <c r="AD122" s="1168"/>
      <c r="AE122" s="1168"/>
      <c r="AF122" s="1168"/>
    </row>
    <row r="123" spans="1:32" ht="48" customHeight="1" x14ac:dyDescent="0.25">
      <c r="A123" s="517" t="s">
        <v>1013</v>
      </c>
      <c r="B123" s="1168" t="s">
        <v>4747</v>
      </c>
      <c r="C123" s="1168"/>
      <c r="D123" s="1168"/>
      <c r="E123" s="1168"/>
      <c r="F123" s="1168"/>
      <c r="G123" s="1168"/>
      <c r="H123" s="1168"/>
      <c r="I123" s="1168"/>
      <c r="J123" s="1168"/>
      <c r="K123" s="1168"/>
      <c r="L123" s="1168"/>
      <c r="M123" s="1168"/>
      <c r="N123" s="1168"/>
      <c r="O123" s="1168"/>
      <c r="P123" s="1168"/>
      <c r="Q123" s="1168"/>
      <c r="R123" s="1168"/>
      <c r="S123" s="1168"/>
      <c r="T123" s="1168"/>
      <c r="U123" s="1168"/>
      <c r="V123" s="1168"/>
      <c r="W123" s="1168"/>
      <c r="X123" s="1168"/>
      <c r="Y123" s="1168"/>
      <c r="Z123" s="1168"/>
      <c r="AA123" s="1168"/>
      <c r="AB123" s="1168"/>
      <c r="AC123" s="1168"/>
      <c r="AD123" s="1168"/>
      <c r="AE123" s="1168"/>
      <c r="AF123" s="1168"/>
    </row>
    <row r="124" spans="1:32" ht="33" customHeight="1" x14ac:dyDescent="0.25">
      <c r="A124" s="517" t="s">
        <v>1013</v>
      </c>
      <c r="B124" s="1168" t="s">
        <v>4748</v>
      </c>
      <c r="C124" s="1168"/>
      <c r="D124" s="1168"/>
      <c r="E124" s="1168"/>
      <c r="F124" s="1168"/>
      <c r="G124" s="1168"/>
      <c r="H124" s="1168"/>
      <c r="I124" s="1168"/>
      <c r="J124" s="1168"/>
      <c r="K124" s="1168"/>
      <c r="L124" s="1168"/>
      <c r="M124" s="1168"/>
      <c r="N124" s="1168"/>
      <c r="O124" s="1168"/>
      <c r="P124" s="1168"/>
      <c r="Q124" s="1168"/>
      <c r="R124" s="1168"/>
      <c r="S124" s="1168"/>
      <c r="T124" s="1168"/>
      <c r="U124" s="1168"/>
      <c r="V124" s="1168"/>
      <c r="W124" s="1168"/>
      <c r="X124" s="1168"/>
      <c r="Y124" s="1168"/>
      <c r="Z124" s="1168"/>
      <c r="AA124" s="1168"/>
      <c r="AB124" s="1168"/>
      <c r="AC124" s="1168"/>
      <c r="AD124" s="1168"/>
      <c r="AE124" s="1168"/>
      <c r="AF124" s="1168"/>
    </row>
    <row r="125" spans="1:32" ht="33" customHeight="1" x14ac:dyDescent="0.25">
      <c r="A125" s="517" t="s">
        <v>1013</v>
      </c>
      <c r="B125" s="1168" t="s">
        <v>4749</v>
      </c>
      <c r="C125" s="1168"/>
      <c r="D125" s="1168"/>
      <c r="E125" s="1168"/>
      <c r="F125" s="1168"/>
      <c r="G125" s="1168"/>
      <c r="H125" s="1168"/>
      <c r="I125" s="1168"/>
      <c r="J125" s="1168"/>
      <c r="K125" s="1168"/>
      <c r="L125" s="1168"/>
      <c r="M125" s="1168"/>
      <c r="N125" s="1168"/>
      <c r="O125" s="1168"/>
      <c r="P125" s="1168"/>
      <c r="Q125" s="1168"/>
      <c r="R125" s="1168"/>
      <c r="S125" s="1168"/>
      <c r="T125" s="1168"/>
      <c r="U125" s="1168"/>
      <c r="V125" s="1168"/>
      <c r="W125" s="1168"/>
      <c r="X125" s="1168"/>
      <c r="Y125" s="1168"/>
      <c r="Z125" s="1168"/>
      <c r="AA125" s="1168"/>
      <c r="AB125" s="1168"/>
      <c r="AC125" s="1168"/>
      <c r="AD125" s="1168"/>
      <c r="AE125" s="1168"/>
      <c r="AF125" s="1168"/>
    </row>
    <row r="126" spans="1:32" ht="31.5" customHeight="1" x14ac:dyDescent="0.25">
      <c r="A126" s="517" t="s">
        <v>1013</v>
      </c>
      <c r="B126" s="1168" t="s">
        <v>4750</v>
      </c>
      <c r="C126" s="1168"/>
      <c r="D126" s="1168"/>
      <c r="E126" s="1168"/>
      <c r="F126" s="1168"/>
      <c r="G126" s="1168"/>
      <c r="H126" s="1168"/>
      <c r="I126" s="1168"/>
      <c r="J126" s="1168"/>
      <c r="K126" s="1168"/>
      <c r="L126" s="1168"/>
      <c r="M126" s="1168"/>
      <c r="N126" s="1168"/>
      <c r="O126" s="1168"/>
      <c r="P126" s="1168"/>
      <c r="Q126" s="1168"/>
      <c r="R126" s="1168"/>
      <c r="S126" s="1168"/>
      <c r="T126" s="1168"/>
      <c r="U126" s="1168"/>
      <c r="V126" s="1168"/>
      <c r="W126" s="1168"/>
      <c r="X126" s="1168"/>
      <c r="Y126" s="1168"/>
      <c r="Z126" s="1168"/>
      <c r="AA126" s="1168"/>
      <c r="AB126" s="1168"/>
      <c r="AC126" s="1168"/>
      <c r="AD126" s="1168"/>
      <c r="AE126" s="1168"/>
      <c r="AF126" s="1168"/>
    </row>
  </sheetData>
  <sheetProtection algorithmName="SHA-512" hashValue="bYtXSXBB4jey1Fkn5vrdwXpeuLzuhpY8XZHLV//fSYBp/sqJZnhFoRydVCOlcbM7rtv8+bY1gqSse0G4y4q/wA==" saltValue="VLIBv+YJ3Zrc/mPCLa87+w==" spinCount="100000" sheet="1" objects="1" scenarios="1"/>
  <mergeCells count="163">
    <mergeCell ref="B123:AF123"/>
    <mergeCell ref="B124:AF124"/>
    <mergeCell ref="B125:AF125"/>
    <mergeCell ref="B126:AF126"/>
    <mergeCell ref="A117:AF117"/>
    <mergeCell ref="B119:AF119"/>
    <mergeCell ref="B120:AF120"/>
    <mergeCell ref="B121:AF121"/>
    <mergeCell ref="B122:AF122"/>
    <mergeCell ref="A114:H114"/>
    <mergeCell ref="I114:P114"/>
    <mergeCell ref="Q114:X114"/>
    <mergeCell ref="Y114:AF114"/>
    <mergeCell ref="A115:H115"/>
    <mergeCell ref="I115:P115"/>
    <mergeCell ref="Q115:X115"/>
    <mergeCell ref="Y115:AF115"/>
    <mergeCell ref="Q107:U107"/>
    <mergeCell ref="Q108:U108"/>
    <mergeCell ref="Q109:U109"/>
    <mergeCell ref="Q111:X111"/>
    <mergeCell ref="Q112:X112"/>
    <mergeCell ref="A97:AF97"/>
    <mergeCell ref="B100:AF100"/>
    <mergeCell ref="B102:AF102"/>
    <mergeCell ref="Q105:U105"/>
    <mergeCell ref="Q106:U106"/>
    <mergeCell ref="J94:N94"/>
    <mergeCell ref="O94:S94"/>
    <mergeCell ref="T94:X94"/>
    <mergeCell ref="Y94:AC94"/>
    <mergeCell ref="B95:AF95"/>
    <mergeCell ref="J92:N92"/>
    <mergeCell ref="O92:S92"/>
    <mergeCell ref="T92:X92"/>
    <mergeCell ref="Y92:AC92"/>
    <mergeCell ref="J93:N93"/>
    <mergeCell ref="O93:S93"/>
    <mergeCell ref="T93:X93"/>
    <mergeCell ref="Y93:AC93"/>
    <mergeCell ref="B85:O85"/>
    <mergeCell ref="P85:T85"/>
    <mergeCell ref="B86:AF86"/>
    <mergeCell ref="B87:AF87"/>
    <mergeCell ref="B90:I91"/>
    <mergeCell ref="J90:N91"/>
    <mergeCell ref="O90:S91"/>
    <mergeCell ref="T90:X91"/>
    <mergeCell ref="Y90:AC91"/>
    <mergeCell ref="B82:O82"/>
    <mergeCell ref="P82:T82"/>
    <mergeCell ref="B83:O83"/>
    <mergeCell ref="P83:T83"/>
    <mergeCell ref="B84:O84"/>
    <mergeCell ref="P84:T84"/>
    <mergeCell ref="B79:O79"/>
    <mergeCell ref="P79:T79"/>
    <mergeCell ref="B80:O80"/>
    <mergeCell ref="P80:T80"/>
    <mergeCell ref="B81:O81"/>
    <mergeCell ref="P81:T81"/>
    <mergeCell ref="B76:O76"/>
    <mergeCell ref="P76:T76"/>
    <mergeCell ref="B77:O77"/>
    <mergeCell ref="P77:T77"/>
    <mergeCell ref="B78:O78"/>
    <mergeCell ref="P78:T78"/>
    <mergeCell ref="B71:E71"/>
    <mergeCell ref="F71:L71"/>
    <mergeCell ref="M71:S71"/>
    <mergeCell ref="B72:AF72"/>
    <mergeCell ref="B75:O75"/>
    <mergeCell ref="P75:T75"/>
    <mergeCell ref="B69:E69"/>
    <mergeCell ref="F69:L69"/>
    <mergeCell ref="M69:S69"/>
    <mergeCell ref="B70:E70"/>
    <mergeCell ref="F70:L70"/>
    <mergeCell ref="M70:S70"/>
    <mergeCell ref="B67:E67"/>
    <mergeCell ref="F67:L67"/>
    <mergeCell ref="M67:S67"/>
    <mergeCell ref="B68:E68"/>
    <mergeCell ref="F68:L68"/>
    <mergeCell ref="M68:S68"/>
    <mergeCell ref="B65:E65"/>
    <mergeCell ref="F65:L65"/>
    <mergeCell ref="M65:S65"/>
    <mergeCell ref="B66:E66"/>
    <mergeCell ref="F66:L66"/>
    <mergeCell ref="M66:S66"/>
    <mergeCell ref="A57:AF57"/>
    <mergeCell ref="A58:AF58"/>
    <mergeCell ref="A59:AF59"/>
    <mergeCell ref="A60:AF60"/>
    <mergeCell ref="B63:E64"/>
    <mergeCell ref="F63:L64"/>
    <mergeCell ref="M63:S64"/>
    <mergeCell ref="A56:D56"/>
    <mergeCell ref="E56:P56"/>
    <mergeCell ref="Q56:T56"/>
    <mergeCell ref="U56:W56"/>
    <mergeCell ref="X56:AF56"/>
    <mergeCell ref="A55:D55"/>
    <mergeCell ref="E55:P55"/>
    <mergeCell ref="Q55:T55"/>
    <mergeCell ref="U55:W55"/>
    <mergeCell ref="X55:AF55"/>
    <mergeCell ref="A54:D54"/>
    <mergeCell ref="E54:P54"/>
    <mergeCell ref="Q54:T54"/>
    <mergeCell ref="U54:W54"/>
    <mergeCell ref="X54:AF54"/>
    <mergeCell ref="A53:D53"/>
    <mergeCell ref="E53:P53"/>
    <mergeCell ref="Q53:T53"/>
    <mergeCell ref="U53:W53"/>
    <mergeCell ref="X53:AF53"/>
    <mergeCell ref="A52:D52"/>
    <mergeCell ref="E52:P52"/>
    <mergeCell ref="Q52:T52"/>
    <mergeCell ref="U52:W52"/>
    <mergeCell ref="X52:AF52"/>
    <mergeCell ref="A50:D50"/>
    <mergeCell ref="E50:P50"/>
    <mergeCell ref="Q50:T50"/>
    <mergeCell ref="U50:W50"/>
    <mergeCell ref="X50:AF51"/>
    <mergeCell ref="A51:D51"/>
    <mergeCell ref="E51:P51"/>
    <mergeCell ref="Q51:T51"/>
    <mergeCell ref="U51:W51"/>
    <mergeCell ref="A49:D49"/>
    <mergeCell ref="E49:P49"/>
    <mergeCell ref="Q49:T49"/>
    <mergeCell ref="U49:W49"/>
    <mergeCell ref="X49:AF49"/>
    <mergeCell ref="A48:D48"/>
    <mergeCell ref="E48:P48"/>
    <mergeCell ref="Q48:T48"/>
    <mergeCell ref="U48:W48"/>
    <mergeCell ref="X48:AF48"/>
    <mergeCell ref="B24:AF24"/>
    <mergeCell ref="B27:AF27"/>
    <mergeCell ref="A29:AF29"/>
    <mergeCell ref="A46:AF46"/>
    <mergeCell ref="A47:D47"/>
    <mergeCell ref="E47:P47"/>
    <mergeCell ref="Q47:T47"/>
    <mergeCell ref="U47:W47"/>
    <mergeCell ref="X47:AF47"/>
    <mergeCell ref="A1:AF1"/>
    <mergeCell ref="A3:AF3"/>
    <mergeCell ref="C15:AF15"/>
    <mergeCell ref="C16:AF16"/>
    <mergeCell ref="C17:AF17"/>
    <mergeCell ref="C18:AF18"/>
    <mergeCell ref="B21:AF21"/>
    <mergeCell ref="B5:AF5"/>
    <mergeCell ref="A7:AF7"/>
    <mergeCell ref="B10:AF10"/>
    <mergeCell ref="C13:AF13"/>
    <mergeCell ref="C14:AF14"/>
  </mergeCells>
  <dataValidations count="3">
    <dataValidation type="list" allowBlank="1" showInputMessage="1" showErrorMessage="1" sqref="Q105:U105" xr:uid="{00000000-0002-0000-1000-000000000000}">
      <formula1>$B$65:$B$71</formula1>
    </dataValidation>
    <dataValidation type="list" allowBlank="1" showInputMessage="1" showErrorMessage="1" sqref="Q111:X111" xr:uid="{00000000-0002-0000-1000-000001000000}">
      <formula1>$B$92:$B$94</formula1>
    </dataValidation>
    <dataValidation type="list" allowBlank="1" showInputMessage="1" showErrorMessage="1" sqref="Q112:X112" xr:uid="{00000000-0002-0000-1000-000002000000}">
      <formula1>"Packaged AC,PTAC,Air-Cooled Chiller,Water-Cooled Chiller"</formula1>
    </dataValidation>
  </dataValidations>
  <hyperlinks>
    <hyperlink ref="A2" location="TOC!A1" display="Return to TOC" xr:uid="{00000000-0004-0000-1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3:AF43"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theme="7" tint="0.79998168889431442"/>
    <pageSetUpPr autoPageBreaks="0"/>
  </sheetPr>
  <dimension ref="A1:DP186"/>
  <sheetViews>
    <sheetView zoomScaleNormal="100" workbookViewId="0">
      <selection activeCell="A2" sqref="A2"/>
    </sheetView>
  </sheetViews>
  <sheetFormatPr defaultColWidth="2.7109375" defaultRowHeight="15" x14ac:dyDescent="0.25"/>
  <cols>
    <col min="33" max="16384" width="2.7109375" style="262"/>
  </cols>
  <sheetData>
    <row r="1" spans="1:32" s="1" customFormat="1" ht="18.75" x14ac:dyDescent="0.25">
      <c r="A1" s="1464" t="s">
        <v>1126</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8.75" x14ac:dyDescent="0.25">
      <c r="A2" s="655"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 customHeight="1" x14ac:dyDescent="0.25">
      <c r="A5" s="262"/>
      <c r="B5" s="1589" t="s">
        <v>5857</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2" s="263" customFormat="1" ht="18.75" x14ac:dyDescent="0.25">
      <c r="A6" s="529"/>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row>
    <row r="7" spans="1:32" x14ac:dyDescent="0.25">
      <c r="A7" s="1385" t="s">
        <v>9</v>
      </c>
      <c r="B7" s="1386"/>
      <c r="C7" s="1386"/>
      <c r="D7" s="1386"/>
      <c r="E7" s="1386"/>
      <c r="F7" s="1386"/>
      <c r="G7" s="1386"/>
      <c r="H7" s="1386"/>
      <c r="I7" s="1386"/>
      <c r="J7" s="1386"/>
      <c r="K7" s="1386"/>
      <c r="L7" s="1386"/>
      <c r="M7" s="1386"/>
      <c r="N7" s="1386"/>
      <c r="O7" s="1386"/>
      <c r="P7" s="1386"/>
      <c r="Q7" s="1386"/>
      <c r="R7" s="1386"/>
      <c r="S7" s="1386"/>
      <c r="T7" s="1386"/>
      <c r="U7" s="1386"/>
      <c r="V7" s="1386"/>
      <c r="W7" s="1386"/>
      <c r="X7" s="1386"/>
      <c r="Y7" s="1386"/>
      <c r="Z7" s="1386"/>
      <c r="AA7" s="1386"/>
      <c r="AB7" s="1386"/>
      <c r="AC7" s="1386"/>
      <c r="AD7" s="1386"/>
      <c r="AE7" s="1386"/>
      <c r="AF7" s="1387"/>
    </row>
    <row r="8" spans="1:32" x14ac:dyDescent="0.25">
      <c r="A8" s="19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row>
    <row r="9" spans="1:32" x14ac:dyDescent="0.25">
      <c r="A9" s="262"/>
      <c r="B9" s="414" t="s">
        <v>10</v>
      </c>
      <c r="C9" s="414"/>
      <c r="D9" s="414"/>
      <c r="E9" s="414"/>
      <c r="F9" s="414"/>
      <c r="G9" s="414"/>
      <c r="H9" s="414"/>
      <c r="I9" s="414"/>
      <c r="J9" s="262"/>
      <c r="K9" s="262"/>
      <c r="L9" s="262"/>
      <c r="M9" s="262"/>
      <c r="N9" s="262"/>
      <c r="O9" s="262"/>
      <c r="P9" s="262"/>
      <c r="Q9" s="262"/>
      <c r="R9" s="262"/>
      <c r="S9" s="262"/>
      <c r="T9" s="262"/>
      <c r="U9" s="262"/>
      <c r="V9" s="262"/>
      <c r="W9" s="262"/>
      <c r="X9" s="262"/>
      <c r="Y9" s="262"/>
      <c r="Z9" s="262"/>
      <c r="AA9" s="262"/>
      <c r="AB9" s="262"/>
      <c r="AC9" s="262"/>
      <c r="AD9" s="262"/>
      <c r="AE9" s="262"/>
      <c r="AF9" s="262"/>
    </row>
    <row r="10" spans="1:32" ht="94.5" customHeight="1" x14ac:dyDescent="0.25">
      <c r="A10" s="263"/>
      <c r="B10" s="1173" t="s">
        <v>5858</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row>
    <row r="11" spans="1:32"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row>
    <row r="12" spans="1:32" x14ac:dyDescent="0.25">
      <c r="A12" s="262"/>
      <c r="B12" s="414" t="s">
        <v>11</v>
      </c>
      <c r="C12" s="414"/>
      <c r="D12" s="414"/>
      <c r="E12" s="414"/>
      <c r="F12" s="414"/>
      <c r="G12" s="414"/>
      <c r="H12" s="414"/>
      <c r="I12" s="414"/>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row>
    <row r="13" spans="1:32" ht="108" customHeight="1" x14ac:dyDescent="0.25">
      <c r="A13" s="262"/>
      <c r="B13" s="1168" t="s">
        <v>5859</v>
      </c>
      <c r="C13" s="1168"/>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row>
    <row r="14" spans="1:32" x14ac:dyDescent="0.2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row>
    <row r="15" spans="1:32" x14ac:dyDescent="0.25">
      <c r="A15" s="262"/>
      <c r="B15" s="414" t="s">
        <v>12</v>
      </c>
      <c r="C15" s="414"/>
      <c r="D15" s="414"/>
      <c r="E15" s="414"/>
      <c r="F15" s="414"/>
      <c r="G15" s="414"/>
      <c r="H15" s="414"/>
      <c r="I15" s="414"/>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row>
    <row r="16" spans="1:32" x14ac:dyDescent="0.25">
      <c r="A16" s="262"/>
      <c r="B16" s="1703" t="s">
        <v>808</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row>
    <row r="17" spans="1:120" x14ac:dyDescent="0.25">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row>
    <row r="18" spans="1:120" x14ac:dyDescent="0.25">
      <c r="A18" s="262"/>
      <c r="B18" s="414" t="s">
        <v>13</v>
      </c>
      <c r="C18" s="414"/>
      <c r="D18" s="414"/>
      <c r="E18" s="414"/>
      <c r="F18" s="414"/>
      <c r="G18" s="414"/>
      <c r="H18" s="414"/>
      <c r="I18" s="414"/>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row>
    <row r="19" spans="1:120" ht="50.25" customHeight="1" x14ac:dyDescent="0.25">
      <c r="A19" s="262"/>
      <c r="B19" s="1173" t="s">
        <v>5860</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row>
    <row r="20" spans="1:120" x14ac:dyDescent="0.25">
      <c r="A20" s="262"/>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row>
    <row r="21" spans="1:120" x14ac:dyDescent="0.25">
      <c r="A21" s="262"/>
      <c r="B21" s="414" t="s">
        <v>20</v>
      </c>
      <c r="C21" s="414"/>
      <c r="D21" s="414"/>
      <c r="E21" s="414"/>
      <c r="F21" s="414"/>
      <c r="G21" s="414"/>
      <c r="H21" s="414"/>
      <c r="I21" s="414"/>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row>
    <row r="22" spans="1:120" ht="73.5" customHeight="1" x14ac:dyDescent="0.25">
      <c r="A22" s="262"/>
      <c r="B22" s="1704" t="s">
        <v>5861</v>
      </c>
      <c r="C22" s="1589"/>
      <c r="D22" s="1589"/>
      <c r="E22" s="1589"/>
      <c r="F22" s="1589"/>
      <c r="G22" s="1589"/>
      <c r="H22" s="1589"/>
      <c r="I22" s="1589"/>
      <c r="J22" s="1589"/>
      <c r="K22" s="1589"/>
      <c r="L22" s="1589"/>
      <c r="M22" s="1589"/>
      <c r="N22" s="1589"/>
      <c r="O22" s="1589"/>
      <c r="P22" s="1589"/>
      <c r="Q22" s="1589"/>
      <c r="R22" s="1589"/>
      <c r="S22" s="1589"/>
      <c r="T22" s="1589"/>
      <c r="U22" s="1589"/>
      <c r="V22" s="1589"/>
      <c r="W22" s="1589"/>
      <c r="X22" s="1589"/>
      <c r="Y22" s="1589"/>
      <c r="Z22" s="1589"/>
      <c r="AA22" s="1589"/>
      <c r="AB22" s="1589"/>
      <c r="AC22" s="1589"/>
      <c r="AD22" s="1589"/>
      <c r="AE22" s="1589"/>
      <c r="AF22" s="1589"/>
    </row>
    <row r="23" spans="1:120" x14ac:dyDescent="0.25">
      <c r="A23" s="262"/>
      <c r="B23" s="460"/>
      <c r="C23" s="263"/>
      <c r="D23" s="263"/>
      <c r="E23" s="263"/>
      <c r="F23" s="263"/>
      <c r="G23" s="263"/>
      <c r="H23" s="263"/>
      <c r="I23" s="263"/>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row>
    <row r="24" spans="1:120" x14ac:dyDescent="0.25">
      <c r="A24" s="262"/>
      <c r="B24" s="460"/>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row>
    <row r="25" spans="1:120" ht="14.45" customHeight="1" x14ac:dyDescent="0.25">
      <c r="A25" s="1621" t="s">
        <v>14</v>
      </c>
      <c r="B25" s="1621"/>
      <c r="C25" s="1621"/>
      <c r="D25" s="1621"/>
      <c r="E25" s="1621"/>
      <c r="F25" s="1621"/>
      <c r="G25" s="1621"/>
      <c r="H25" s="1621"/>
      <c r="I25" s="1621"/>
      <c r="J25" s="1621"/>
      <c r="K25" s="1621"/>
      <c r="L25" s="1621"/>
      <c r="M25" s="1621"/>
      <c r="N25" s="1621"/>
      <c r="O25" s="1621"/>
      <c r="P25" s="1621"/>
      <c r="Q25" s="1621"/>
      <c r="R25" s="1621"/>
      <c r="S25" s="1621"/>
      <c r="T25" s="1621"/>
      <c r="U25" s="1621"/>
      <c r="V25" s="1621"/>
      <c r="W25" s="1621"/>
      <c r="X25" s="1621"/>
      <c r="Y25" s="1621"/>
      <c r="Z25" s="1621"/>
      <c r="AA25" s="1621"/>
      <c r="AB25" s="1621"/>
      <c r="AC25" s="1621"/>
      <c r="AD25" s="1621"/>
      <c r="AE25" s="1621"/>
      <c r="AF25" s="1621"/>
      <c r="BH25" s="193"/>
      <c r="BI25" s="194"/>
      <c r="BJ25" s="194"/>
      <c r="BK25" s="194"/>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c r="DM25" s="263"/>
      <c r="DN25" s="263"/>
      <c r="DO25" s="263"/>
    </row>
    <row r="26" spans="1:120" ht="14.45" customHeight="1" x14ac:dyDescent="0.25">
      <c r="A26" s="262"/>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c r="BH26" s="193"/>
      <c r="BI26" s="263"/>
      <c r="BJ26" s="263"/>
      <c r="BK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c r="DM26" s="263"/>
      <c r="DN26" s="263"/>
      <c r="DO26" s="263"/>
    </row>
    <row r="27" spans="1:120" ht="14.45" customHeight="1" x14ac:dyDescent="0.25">
      <c r="A27" s="868"/>
      <c r="B27" s="519" t="s">
        <v>2194</v>
      </c>
      <c r="C27" s="868"/>
      <c r="D27" s="868"/>
      <c r="E27" s="868"/>
      <c r="F27" s="868"/>
      <c r="G27" s="868"/>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BH27" s="193"/>
      <c r="BI27" s="263"/>
      <c r="BJ27" s="263"/>
      <c r="BK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c r="DM27" s="263"/>
      <c r="DN27" s="263"/>
      <c r="DO27" s="263"/>
    </row>
    <row r="28" spans="1:120" x14ac:dyDescent="0.25">
      <c r="A28" s="868"/>
      <c r="B28" s="868"/>
      <c r="C28" s="868"/>
      <c r="D28" s="868"/>
      <c r="E28" s="868"/>
      <c r="F28" s="868"/>
      <c r="G28" s="868"/>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BI28" s="263"/>
      <c r="BJ28" s="263"/>
      <c r="BK28" s="263"/>
      <c r="BL28" s="263"/>
      <c r="BM28" s="263"/>
      <c r="BN28" s="263"/>
      <c r="BO28" s="263"/>
      <c r="BP28" s="195"/>
      <c r="BQ28" s="196"/>
      <c r="BR28" s="196"/>
      <c r="BS28" s="196"/>
      <c r="BT28" s="196"/>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row>
    <row r="29" spans="1:120" x14ac:dyDescent="0.25">
      <c r="A29" s="868"/>
      <c r="B29" s="868"/>
      <c r="C29" s="868"/>
      <c r="D29" s="868"/>
      <c r="E29" s="868"/>
      <c r="F29" s="868"/>
      <c r="G29" s="868"/>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685" t="s">
        <v>1705</v>
      </c>
    </row>
    <row r="30" spans="1:120" x14ac:dyDescent="0.25">
      <c r="A30" s="868"/>
      <c r="B30" s="868"/>
      <c r="C30" s="868"/>
      <c r="D30" s="868"/>
      <c r="E30" s="868"/>
      <c r="F30" s="868"/>
      <c r="G30" s="868"/>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685"/>
    </row>
    <row r="31" spans="1:120" x14ac:dyDescent="0.25">
      <c r="A31" s="868"/>
      <c r="B31" s="868"/>
      <c r="C31" s="887" t="s">
        <v>4354</v>
      </c>
      <c r="D31" s="868"/>
      <c r="E31" s="868"/>
      <c r="F31" s="868"/>
      <c r="G31" s="868"/>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685"/>
    </row>
    <row r="32" spans="1:120" x14ac:dyDescent="0.25">
      <c r="A32" s="868"/>
      <c r="B32" s="868"/>
      <c r="C32" s="868"/>
      <c r="D32" s="868"/>
      <c r="E32" s="868"/>
      <c r="F32" s="868"/>
      <c r="G32" s="868"/>
      <c r="H32" s="339"/>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row>
    <row r="33" spans="1:32" ht="14.45" customHeight="1" x14ac:dyDescent="0.25">
      <c r="A33" s="868"/>
      <c r="B33" s="868"/>
      <c r="C33" s="868"/>
      <c r="D33" s="868"/>
      <c r="E33" s="868"/>
      <c r="F33" s="868"/>
      <c r="G33" s="868"/>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419" t="s">
        <v>1706</v>
      </c>
    </row>
    <row r="34" spans="1:32" ht="14.45" customHeight="1" x14ac:dyDescent="0.25">
      <c r="A34" s="868"/>
      <c r="B34" s="868"/>
      <c r="C34" s="868"/>
      <c r="D34" s="868"/>
      <c r="E34" s="868"/>
      <c r="F34" s="868"/>
      <c r="G34" s="868"/>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row>
    <row r="35" spans="1:32" ht="14.45" customHeight="1" x14ac:dyDescent="0.25">
      <c r="A35" s="262"/>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419" t="s">
        <v>1707</v>
      </c>
    </row>
    <row r="36" spans="1:32" ht="14.45" customHeight="1" x14ac:dyDescent="0.25">
      <c r="A36" s="262"/>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row>
    <row r="37" spans="1:32" ht="14.45" customHeight="1" x14ac:dyDescent="0.25">
      <c r="A37" s="262"/>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419" t="s">
        <v>1756</v>
      </c>
    </row>
    <row r="38" spans="1:32" ht="14.45" customHeight="1" x14ac:dyDescent="0.25">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row>
    <row r="39" spans="1:32" ht="14.45" customHeight="1" x14ac:dyDescent="0.25">
      <c r="A39" s="262"/>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419" t="s">
        <v>1788</v>
      </c>
    </row>
    <row r="40" spans="1:32" ht="14.45" customHeight="1" x14ac:dyDescent="0.25">
      <c r="A40" s="262"/>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row>
    <row r="41" spans="1:32" ht="14.45" customHeight="1" x14ac:dyDescent="0.25">
      <c r="A41" s="262"/>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419" t="s">
        <v>1789</v>
      </c>
    </row>
    <row r="42" spans="1:32" ht="14.45" customHeight="1" x14ac:dyDescent="0.25">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row>
    <row r="43" spans="1:32" ht="14.45" customHeight="1" x14ac:dyDescent="0.25">
      <c r="A43" s="262"/>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419" t="s">
        <v>1789</v>
      </c>
    </row>
    <row r="44" spans="1:32" ht="14.45" customHeight="1" x14ac:dyDescent="0.25">
      <c r="A44" s="262"/>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419"/>
    </row>
    <row r="45" spans="1:32" ht="14.45" customHeight="1" x14ac:dyDescent="0.25">
      <c r="A45" s="262"/>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419" t="s">
        <v>1826</v>
      </c>
    </row>
    <row r="46" spans="1:32" ht="14.45" customHeight="1" x14ac:dyDescent="0.25">
      <c r="A46" s="262"/>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row>
    <row r="47" spans="1:32" ht="14.45" customHeight="1" x14ac:dyDescent="0.25">
      <c r="A47" s="262"/>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419" t="s">
        <v>1827</v>
      </c>
    </row>
    <row r="48" spans="1:32" ht="14.45" customHeight="1" x14ac:dyDescent="0.25">
      <c r="A48" s="262"/>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row>
    <row r="49" spans="1:32" ht="14.45" customHeight="1" x14ac:dyDescent="0.25">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row>
    <row r="50" spans="1:32" ht="14.45" customHeight="1" x14ac:dyDescent="0.25">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419" t="s">
        <v>2116</v>
      </c>
    </row>
    <row r="51" spans="1:32" x14ac:dyDescent="0.25">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row>
    <row r="52" spans="1:32" ht="15" customHeight="1" x14ac:dyDescent="0.25">
      <c r="A52" s="868"/>
      <c r="B52" s="519" t="s">
        <v>2303</v>
      </c>
      <c r="C52" s="868"/>
      <c r="D52" s="868"/>
      <c r="E52" s="868"/>
      <c r="F52" s="868"/>
      <c r="G52" s="868"/>
      <c r="H52" s="339"/>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row>
    <row r="53" spans="1:32" ht="15" customHeight="1" x14ac:dyDescent="0.25">
      <c r="A53" s="868"/>
      <c r="B53" s="868"/>
      <c r="C53" s="868"/>
      <c r="D53" s="868"/>
      <c r="E53" s="868"/>
      <c r="F53" s="868"/>
      <c r="G53" s="868"/>
      <c r="H53" s="339"/>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row>
    <row r="54" spans="1:32" ht="15" customHeight="1" x14ac:dyDescent="0.25">
      <c r="A54" s="868"/>
      <c r="B54" s="868"/>
      <c r="C54" s="868"/>
      <c r="D54" s="868"/>
      <c r="E54" s="868"/>
      <c r="F54" s="868"/>
      <c r="G54" s="868"/>
      <c r="H54" s="339"/>
      <c r="I54" s="339"/>
      <c r="J54" s="339"/>
      <c r="K54" s="339"/>
      <c r="L54" s="339"/>
      <c r="M54" s="339"/>
      <c r="N54" s="339"/>
      <c r="O54" s="339"/>
      <c r="P54" s="339"/>
      <c r="Q54" s="339"/>
      <c r="R54" s="339"/>
      <c r="S54" s="339"/>
      <c r="T54" s="339"/>
      <c r="U54" s="339"/>
      <c r="V54" s="339"/>
      <c r="W54" s="339"/>
      <c r="X54" s="339"/>
      <c r="Y54" s="339"/>
      <c r="Z54" s="339"/>
      <c r="AA54" s="339"/>
      <c r="AB54" s="339"/>
      <c r="AC54" s="339"/>
      <c r="AD54" s="339"/>
      <c r="AE54" s="339"/>
      <c r="AF54" s="339" t="s">
        <v>2118</v>
      </c>
    </row>
    <row r="55" spans="1:32" ht="15" customHeight="1" x14ac:dyDescent="0.25">
      <c r="A55" s="868"/>
      <c r="B55" s="868"/>
      <c r="C55" s="868"/>
      <c r="D55" s="868"/>
      <c r="E55" s="868"/>
      <c r="F55" s="868"/>
      <c r="G55" s="868"/>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row>
    <row r="56" spans="1:32" ht="15" customHeight="1" x14ac:dyDescent="0.25">
      <c r="A56" s="868"/>
      <c r="B56" s="519" t="s">
        <v>1998</v>
      </c>
      <c r="C56" s="868"/>
      <c r="D56" s="868"/>
      <c r="E56" s="868"/>
      <c r="F56" s="868"/>
      <c r="G56" s="868"/>
      <c r="H56" s="339"/>
      <c r="I56" s="339"/>
      <c r="J56" s="339"/>
      <c r="K56" s="339"/>
      <c r="L56" s="339"/>
      <c r="M56" s="339"/>
      <c r="N56" s="339"/>
      <c r="O56" s="339"/>
      <c r="P56" s="339"/>
      <c r="Q56" s="339"/>
      <c r="R56" s="339"/>
      <c r="S56" s="339"/>
      <c r="T56" s="339"/>
      <c r="U56" s="339"/>
      <c r="V56" s="339"/>
      <c r="W56" s="339"/>
      <c r="X56" s="339"/>
      <c r="Y56" s="339"/>
      <c r="Z56" s="339"/>
      <c r="AA56" s="339"/>
      <c r="AB56" s="339"/>
      <c r="AC56" s="339"/>
      <c r="AD56" s="339"/>
      <c r="AE56" s="339"/>
      <c r="AF56" s="339"/>
    </row>
    <row r="57" spans="1:32" ht="15" customHeight="1" x14ac:dyDescent="0.25">
      <c r="A57" s="868"/>
      <c r="B57" s="868"/>
      <c r="C57" s="868"/>
      <c r="D57" s="868"/>
      <c r="E57" s="868"/>
      <c r="F57" s="868"/>
      <c r="G57" s="868"/>
      <c r="H57" s="339"/>
      <c r="I57" s="339"/>
      <c r="J57" s="339"/>
      <c r="K57" s="339"/>
      <c r="L57" s="339"/>
      <c r="M57" s="339"/>
      <c r="N57" s="339"/>
      <c r="O57" s="339"/>
      <c r="P57" s="339"/>
      <c r="Q57" s="339"/>
      <c r="R57" s="339"/>
      <c r="S57" s="339"/>
      <c r="T57" s="339"/>
      <c r="U57" s="339"/>
      <c r="V57" s="339"/>
      <c r="W57" s="339"/>
      <c r="X57" s="339"/>
      <c r="Y57" s="339"/>
      <c r="Z57" s="339"/>
      <c r="AA57" s="339"/>
      <c r="AB57" s="339"/>
      <c r="AC57" s="339"/>
      <c r="AD57" s="339"/>
      <c r="AE57" s="339"/>
      <c r="AF57" s="339"/>
    </row>
    <row r="58" spans="1:32" ht="15" customHeight="1" x14ac:dyDescent="0.25">
      <c r="A58" s="868"/>
      <c r="B58" s="868"/>
      <c r="C58" s="868"/>
      <c r="D58" s="868"/>
      <c r="E58" s="868"/>
      <c r="F58" s="868"/>
      <c r="G58" s="868"/>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419" t="s">
        <v>2119</v>
      </c>
    </row>
    <row r="59" spans="1:32" ht="15" customHeight="1" x14ac:dyDescent="0.25">
      <c r="A59" s="868"/>
      <c r="B59" s="868"/>
      <c r="C59" s="868"/>
      <c r="D59" s="868"/>
      <c r="E59" s="868"/>
      <c r="F59" s="868"/>
      <c r="G59" s="868"/>
      <c r="H59" s="339"/>
      <c r="I59" s="339"/>
      <c r="J59" s="339"/>
      <c r="K59" s="339"/>
      <c r="L59" s="339"/>
      <c r="M59" s="339"/>
      <c r="N59" s="339"/>
      <c r="O59" s="339"/>
      <c r="P59" s="339"/>
      <c r="Q59" s="339"/>
      <c r="R59" s="339"/>
      <c r="S59" s="339"/>
      <c r="T59" s="339"/>
      <c r="U59" s="339"/>
      <c r="V59" s="339"/>
      <c r="W59" s="339"/>
      <c r="X59" s="339"/>
      <c r="Y59" s="339"/>
      <c r="Z59" s="339"/>
      <c r="AA59" s="339"/>
      <c r="AB59" s="339"/>
      <c r="AC59" s="339"/>
      <c r="AD59" s="339"/>
      <c r="AE59" s="339"/>
      <c r="AF59" s="419"/>
    </row>
    <row r="60" spans="1:32" x14ac:dyDescent="0.25">
      <c r="A60" s="262"/>
      <c r="B60" s="460"/>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row>
    <row r="61" spans="1:32" x14ac:dyDescent="0.25">
      <c r="A61" s="1385" t="s">
        <v>15</v>
      </c>
      <c r="B61" s="1386"/>
      <c r="C61" s="1386"/>
      <c r="D61" s="1386"/>
      <c r="E61" s="1386"/>
      <c r="F61" s="1386"/>
      <c r="G61" s="1386"/>
      <c r="H61" s="1386"/>
      <c r="I61" s="1386"/>
      <c r="J61" s="1386"/>
      <c r="K61" s="1386"/>
      <c r="L61" s="1386"/>
      <c r="M61" s="1386"/>
      <c r="N61" s="1386"/>
      <c r="O61" s="1386"/>
      <c r="P61" s="1386"/>
      <c r="Q61" s="1386"/>
      <c r="R61" s="1386"/>
      <c r="S61" s="1386"/>
      <c r="T61" s="1386"/>
      <c r="U61" s="1386"/>
      <c r="V61" s="1386"/>
      <c r="W61" s="1386"/>
      <c r="X61" s="1386"/>
      <c r="Y61" s="1386"/>
      <c r="Z61" s="1386"/>
      <c r="AA61" s="1386"/>
      <c r="AB61" s="1386"/>
      <c r="AC61" s="1386"/>
      <c r="AD61" s="1386"/>
      <c r="AE61" s="1386"/>
      <c r="AF61" s="1387"/>
    </row>
    <row r="62" spans="1:32" x14ac:dyDescent="0.25">
      <c r="A62" s="1697" t="s">
        <v>16</v>
      </c>
      <c r="B62" s="1698"/>
      <c r="C62" s="1698"/>
      <c r="D62" s="1699"/>
      <c r="E62" s="1697" t="s">
        <v>10</v>
      </c>
      <c r="F62" s="1698"/>
      <c r="G62" s="1698"/>
      <c r="H62" s="1698"/>
      <c r="I62" s="1698"/>
      <c r="J62" s="1698"/>
      <c r="K62" s="1698"/>
      <c r="L62" s="1698"/>
      <c r="M62" s="1698"/>
      <c r="N62" s="1698"/>
      <c r="O62" s="1698"/>
      <c r="P62" s="1699"/>
      <c r="Q62" s="1697" t="s">
        <v>17</v>
      </c>
      <c r="R62" s="1698"/>
      <c r="S62" s="1698"/>
      <c r="T62" s="1699"/>
      <c r="U62" s="1697" t="s">
        <v>18</v>
      </c>
      <c r="V62" s="1699"/>
      <c r="W62" s="1697" t="s">
        <v>1708</v>
      </c>
      <c r="X62" s="1698"/>
      <c r="Y62" s="1698"/>
      <c r="Z62" s="1698"/>
      <c r="AA62" s="1698"/>
      <c r="AB62" s="1698"/>
      <c r="AC62" s="1698"/>
      <c r="AD62" s="1698"/>
      <c r="AE62" s="1698"/>
      <c r="AF62" s="1699"/>
    </row>
    <row r="63" spans="1:32" ht="15" customHeight="1" x14ac:dyDescent="0.25">
      <c r="A63" s="1680" t="s">
        <v>5926</v>
      </c>
      <c r="B63" s="1681"/>
      <c r="C63" s="1681"/>
      <c r="D63" s="1682"/>
      <c r="E63" s="1680" t="s">
        <v>5862</v>
      </c>
      <c r="F63" s="1681"/>
      <c r="G63" s="1681"/>
      <c r="H63" s="1681"/>
      <c r="I63" s="1681"/>
      <c r="J63" s="1681"/>
      <c r="K63" s="1681"/>
      <c r="L63" s="1681"/>
      <c r="M63" s="1681"/>
      <c r="N63" s="1681"/>
      <c r="O63" s="1681"/>
      <c r="P63" s="1682"/>
      <c r="Q63" s="1690" t="s">
        <v>626</v>
      </c>
      <c r="R63" s="1691"/>
      <c r="S63" s="1691"/>
      <c r="T63" s="1692"/>
      <c r="U63" s="1683" t="s">
        <v>719</v>
      </c>
      <c r="V63" s="1685"/>
      <c r="W63" s="1494" t="s">
        <v>43</v>
      </c>
      <c r="X63" s="1495"/>
      <c r="Y63" s="1495"/>
      <c r="Z63" s="1495"/>
      <c r="AA63" s="1495"/>
      <c r="AB63" s="1495"/>
      <c r="AC63" s="1495"/>
      <c r="AD63" s="1495"/>
      <c r="AE63" s="1495"/>
      <c r="AF63" s="1496"/>
    </row>
    <row r="64" spans="1:32" ht="15" customHeight="1" x14ac:dyDescent="0.25">
      <c r="A64" s="1680" t="s">
        <v>5927</v>
      </c>
      <c r="B64" s="1681"/>
      <c r="C64" s="1681"/>
      <c r="D64" s="1682"/>
      <c r="E64" s="1494" t="s">
        <v>5863</v>
      </c>
      <c r="F64" s="1495"/>
      <c r="G64" s="1495"/>
      <c r="H64" s="1495"/>
      <c r="I64" s="1495"/>
      <c r="J64" s="1495"/>
      <c r="K64" s="1495"/>
      <c r="L64" s="1495"/>
      <c r="M64" s="1495"/>
      <c r="N64" s="1495"/>
      <c r="O64" s="1495"/>
      <c r="P64" s="1496"/>
      <c r="Q64" s="1690" t="s">
        <v>626</v>
      </c>
      <c r="R64" s="1691"/>
      <c r="S64" s="1691"/>
      <c r="T64" s="1692"/>
      <c r="U64" s="1683" t="s">
        <v>719</v>
      </c>
      <c r="V64" s="1685"/>
      <c r="W64" s="1494" t="s">
        <v>43</v>
      </c>
      <c r="X64" s="1495"/>
      <c r="Y64" s="1495"/>
      <c r="Z64" s="1495"/>
      <c r="AA64" s="1495"/>
      <c r="AB64" s="1495"/>
      <c r="AC64" s="1495"/>
      <c r="AD64" s="1495"/>
      <c r="AE64" s="1495"/>
      <c r="AF64" s="1496"/>
    </row>
    <row r="65" spans="1:32" ht="46.5" customHeight="1" x14ac:dyDescent="0.25">
      <c r="A65" s="1680" t="s">
        <v>5928</v>
      </c>
      <c r="B65" s="1681"/>
      <c r="C65" s="1681"/>
      <c r="D65" s="1682"/>
      <c r="E65" s="1494" t="s">
        <v>5864</v>
      </c>
      <c r="F65" s="1495"/>
      <c r="G65" s="1495"/>
      <c r="H65" s="1495"/>
      <c r="I65" s="1495"/>
      <c r="J65" s="1495"/>
      <c r="K65" s="1495"/>
      <c r="L65" s="1495"/>
      <c r="M65" s="1495"/>
      <c r="N65" s="1495"/>
      <c r="O65" s="1495"/>
      <c r="P65" s="1496"/>
      <c r="Q65" s="1690" t="s">
        <v>626</v>
      </c>
      <c r="R65" s="1691"/>
      <c r="S65" s="1691"/>
      <c r="T65" s="1692"/>
      <c r="U65" s="1683" t="s">
        <v>719</v>
      </c>
      <c r="V65" s="1685"/>
      <c r="W65" s="1494" t="s">
        <v>5865</v>
      </c>
      <c r="X65" s="1495"/>
      <c r="Y65" s="1495"/>
      <c r="Z65" s="1495"/>
      <c r="AA65" s="1495"/>
      <c r="AB65" s="1495"/>
      <c r="AC65" s="1495"/>
      <c r="AD65" s="1495"/>
      <c r="AE65" s="1495"/>
      <c r="AF65" s="1496"/>
    </row>
    <row r="66" spans="1:32" ht="15" customHeight="1" x14ac:dyDescent="0.25">
      <c r="A66" s="1680" t="s">
        <v>5929</v>
      </c>
      <c r="B66" s="1681"/>
      <c r="C66" s="1681"/>
      <c r="D66" s="1682"/>
      <c r="E66" s="1680" t="s">
        <v>5866</v>
      </c>
      <c r="F66" s="1681"/>
      <c r="G66" s="1681"/>
      <c r="H66" s="1681"/>
      <c r="I66" s="1681"/>
      <c r="J66" s="1681"/>
      <c r="K66" s="1681"/>
      <c r="L66" s="1681"/>
      <c r="M66" s="1681"/>
      <c r="N66" s="1681"/>
      <c r="O66" s="1681"/>
      <c r="P66" s="1682"/>
      <c r="Q66" s="1690" t="s">
        <v>626</v>
      </c>
      <c r="R66" s="1691"/>
      <c r="S66" s="1691"/>
      <c r="T66" s="1692"/>
      <c r="U66" s="1683" t="s">
        <v>719</v>
      </c>
      <c r="V66" s="1685"/>
      <c r="W66" s="1494" t="s">
        <v>43</v>
      </c>
      <c r="X66" s="1495"/>
      <c r="Y66" s="1495"/>
      <c r="Z66" s="1495"/>
      <c r="AA66" s="1495"/>
      <c r="AB66" s="1495"/>
      <c r="AC66" s="1495"/>
      <c r="AD66" s="1495"/>
      <c r="AE66" s="1495"/>
      <c r="AF66" s="1496"/>
    </row>
    <row r="67" spans="1:32" ht="15" customHeight="1" x14ac:dyDescent="0.25">
      <c r="A67" s="1680" t="s">
        <v>5930</v>
      </c>
      <c r="B67" s="1681"/>
      <c r="C67" s="1681"/>
      <c r="D67" s="1682"/>
      <c r="E67" s="1680" t="s">
        <v>5867</v>
      </c>
      <c r="F67" s="1681"/>
      <c r="G67" s="1681"/>
      <c r="H67" s="1681"/>
      <c r="I67" s="1681"/>
      <c r="J67" s="1681"/>
      <c r="K67" s="1681"/>
      <c r="L67" s="1681"/>
      <c r="M67" s="1681"/>
      <c r="N67" s="1681"/>
      <c r="O67" s="1681"/>
      <c r="P67" s="1682"/>
      <c r="Q67" s="1690" t="s">
        <v>626</v>
      </c>
      <c r="R67" s="1691"/>
      <c r="S67" s="1691"/>
      <c r="T67" s="1692"/>
      <c r="U67" s="1683" t="s">
        <v>719</v>
      </c>
      <c r="V67" s="1685"/>
      <c r="W67" s="1494" t="s">
        <v>43</v>
      </c>
      <c r="X67" s="1495"/>
      <c r="Y67" s="1495"/>
      <c r="Z67" s="1495"/>
      <c r="AA67" s="1495"/>
      <c r="AB67" s="1495"/>
      <c r="AC67" s="1495"/>
      <c r="AD67" s="1495"/>
      <c r="AE67" s="1495"/>
      <c r="AF67" s="1496"/>
    </row>
    <row r="68" spans="1:32" ht="15" customHeight="1" x14ac:dyDescent="0.25">
      <c r="A68" s="1680" t="s">
        <v>5931</v>
      </c>
      <c r="B68" s="1681"/>
      <c r="C68" s="1681"/>
      <c r="D68" s="1682"/>
      <c r="E68" s="1494" t="s">
        <v>5868</v>
      </c>
      <c r="F68" s="1495"/>
      <c r="G68" s="1495"/>
      <c r="H68" s="1495"/>
      <c r="I68" s="1495"/>
      <c r="J68" s="1495"/>
      <c r="K68" s="1495"/>
      <c r="L68" s="1495"/>
      <c r="M68" s="1495"/>
      <c r="N68" s="1495"/>
      <c r="O68" s="1495"/>
      <c r="P68" s="1496"/>
      <c r="Q68" s="1690" t="s">
        <v>626</v>
      </c>
      <c r="R68" s="1691"/>
      <c r="S68" s="1691"/>
      <c r="T68" s="1692"/>
      <c r="U68" s="1683" t="s">
        <v>719</v>
      </c>
      <c r="V68" s="1685"/>
      <c r="W68" s="1494" t="s">
        <v>43</v>
      </c>
      <c r="X68" s="1495"/>
      <c r="Y68" s="1495"/>
      <c r="Z68" s="1495"/>
      <c r="AA68" s="1495"/>
      <c r="AB68" s="1495"/>
      <c r="AC68" s="1495"/>
      <c r="AD68" s="1495"/>
      <c r="AE68" s="1495"/>
      <c r="AF68" s="1496"/>
    </row>
    <row r="69" spans="1:32" ht="15" customHeight="1" x14ac:dyDescent="0.25">
      <c r="A69" s="1680" t="s">
        <v>5932</v>
      </c>
      <c r="B69" s="1681"/>
      <c r="C69" s="1681"/>
      <c r="D69" s="1682"/>
      <c r="E69" s="1494" t="s">
        <v>5869</v>
      </c>
      <c r="F69" s="1495"/>
      <c r="G69" s="1495"/>
      <c r="H69" s="1495"/>
      <c r="I69" s="1495"/>
      <c r="J69" s="1495"/>
      <c r="K69" s="1495"/>
      <c r="L69" s="1495"/>
      <c r="M69" s="1495"/>
      <c r="N69" s="1495"/>
      <c r="O69" s="1495"/>
      <c r="P69" s="1496"/>
      <c r="Q69" s="1690" t="s">
        <v>626</v>
      </c>
      <c r="R69" s="1691"/>
      <c r="S69" s="1691"/>
      <c r="T69" s="1692"/>
      <c r="U69" s="1683" t="s">
        <v>719</v>
      </c>
      <c r="V69" s="1685"/>
      <c r="W69" s="1494" t="s">
        <v>43</v>
      </c>
      <c r="X69" s="1495"/>
      <c r="Y69" s="1495"/>
      <c r="Z69" s="1495"/>
      <c r="AA69" s="1495"/>
      <c r="AB69" s="1495"/>
      <c r="AC69" s="1495"/>
      <c r="AD69" s="1495"/>
      <c r="AE69" s="1495"/>
      <c r="AF69" s="1496"/>
    </row>
    <row r="70" spans="1:32" ht="52.5" customHeight="1" x14ac:dyDescent="0.25">
      <c r="A70" s="1680" t="s">
        <v>5933</v>
      </c>
      <c r="B70" s="1681"/>
      <c r="C70" s="1681"/>
      <c r="D70" s="1682"/>
      <c r="E70" s="1680" t="s">
        <v>5870</v>
      </c>
      <c r="F70" s="1681"/>
      <c r="G70" s="1681"/>
      <c r="H70" s="1681"/>
      <c r="I70" s="1681"/>
      <c r="J70" s="1681"/>
      <c r="K70" s="1681"/>
      <c r="L70" s="1681"/>
      <c r="M70" s="1681"/>
      <c r="N70" s="1681"/>
      <c r="O70" s="1681"/>
      <c r="P70" s="1682"/>
      <c r="Q70" s="1683">
        <v>73.2</v>
      </c>
      <c r="R70" s="1684"/>
      <c r="S70" s="1684"/>
      <c r="T70" s="1685"/>
      <c r="U70" s="1683" t="s">
        <v>731</v>
      </c>
      <c r="V70" s="1685"/>
      <c r="W70" s="1494" t="s">
        <v>5865</v>
      </c>
      <c r="X70" s="1495"/>
      <c r="Y70" s="1495"/>
      <c r="Z70" s="1495"/>
      <c r="AA70" s="1495"/>
      <c r="AB70" s="1495"/>
      <c r="AC70" s="1495"/>
      <c r="AD70" s="1495"/>
      <c r="AE70" s="1495"/>
      <c r="AF70" s="1496"/>
    </row>
    <row r="71" spans="1:32" ht="48" customHeight="1" x14ac:dyDescent="0.25">
      <c r="A71" s="1680" t="s">
        <v>5934</v>
      </c>
      <c r="B71" s="1681"/>
      <c r="C71" s="1681"/>
      <c r="D71" s="1682"/>
      <c r="E71" s="1680" t="s">
        <v>809</v>
      </c>
      <c r="F71" s="1681"/>
      <c r="G71" s="1681"/>
      <c r="H71" s="1681"/>
      <c r="I71" s="1681"/>
      <c r="J71" s="1681"/>
      <c r="K71" s="1681"/>
      <c r="L71" s="1681"/>
      <c r="M71" s="1681"/>
      <c r="N71" s="1681"/>
      <c r="O71" s="1681"/>
      <c r="P71" s="1682"/>
      <c r="Q71" s="1683">
        <v>30.8</v>
      </c>
      <c r="R71" s="1684"/>
      <c r="S71" s="1684"/>
      <c r="T71" s="1685"/>
      <c r="U71" s="1683" t="s">
        <v>731</v>
      </c>
      <c r="V71" s="1685"/>
      <c r="W71" s="1494" t="s">
        <v>5865</v>
      </c>
      <c r="X71" s="1495"/>
      <c r="Y71" s="1495"/>
      <c r="Z71" s="1495"/>
      <c r="AA71" s="1495"/>
      <c r="AB71" s="1495"/>
      <c r="AC71" s="1495"/>
      <c r="AD71" s="1495"/>
      <c r="AE71" s="1495"/>
      <c r="AF71" s="1496"/>
    </row>
    <row r="72" spans="1:32" ht="36" customHeight="1" x14ac:dyDescent="0.25">
      <c r="A72" s="1680" t="s">
        <v>5935</v>
      </c>
      <c r="B72" s="1681"/>
      <c r="C72" s="1681"/>
      <c r="D72" s="1682"/>
      <c r="E72" s="1494" t="s">
        <v>5871</v>
      </c>
      <c r="F72" s="1495"/>
      <c r="G72" s="1495"/>
      <c r="H72" s="1495"/>
      <c r="I72" s="1495"/>
      <c r="J72" s="1495"/>
      <c r="K72" s="1495"/>
      <c r="L72" s="1495"/>
      <c r="M72" s="1495"/>
      <c r="N72" s="1495"/>
      <c r="O72" s="1495"/>
      <c r="P72" s="1496"/>
      <c r="Q72" s="1690" t="s">
        <v>626</v>
      </c>
      <c r="R72" s="1691"/>
      <c r="S72" s="1691"/>
      <c r="T72" s="1692"/>
      <c r="U72" s="1696" t="s">
        <v>28</v>
      </c>
      <c r="V72" s="1685"/>
      <c r="W72" s="1494" t="s">
        <v>5872</v>
      </c>
      <c r="X72" s="1495"/>
      <c r="Y72" s="1495"/>
      <c r="Z72" s="1495"/>
      <c r="AA72" s="1495"/>
      <c r="AB72" s="1495"/>
      <c r="AC72" s="1495"/>
      <c r="AD72" s="1495"/>
      <c r="AE72" s="1495"/>
      <c r="AF72" s="1496"/>
    </row>
    <row r="73" spans="1:32" ht="36" customHeight="1" x14ac:dyDescent="0.25">
      <c r="A73" s="1680" t="s">
        <v>5936</v>
      </c>
      <c r="B73" s="1681"/>
      <c r="C73" s="1681"/>
      <c r="D73" s="1682"/>
      <c r="E73" s="1494" t="s">
        <v>5873</v>
      </c>
      <c r="F73" s="1495"/>
      <c r="G73" s="1495"/>
      <c r="H73" s="1495"/>
      <c r="I73" s="1495"/>
      <c r="J73" s="1495"/>
      <c r="K73" s="1495"/>
      <c r="L73" s="1495"/>
      <c r="M73" s="1495"/>
      <c r="N73" s="1495"/>
      <c r="O73" s="1495"/>
      <c r="P73" s="1496"/>
      <c r="Q73" s="1690" t="s">
        <v>626</v>
      </c>
      <c r="R73" s="1691"/>
      <c r="S73" s="1691"/>
      <c r="T73" s="1692"/>
      <c r="U73" s="1683" t="s">
        <v>28</v>
      </c>
      <c r="V73" s="1685"/>
      <c r="W73" s="1494" t="s">
        <v>5872</v>
      </c>
      <c r="X73" s="1495"/>
      <c r="Y73" s="1495"/>
      <c r="Z73" s="1495"/>
      <c r="AA73" s="1495"/>
      <c r="AB73" s="1495"/>
      <c r="AC73" s="1495"/>
      <c r="AD73" s="1495"/>
      <c r="AE73" s="1495"/>
      <c r="AF73" s="1496"/>
    </row>
    <row r="74" spans="1:32" ht="47.25" customHeight="1" x14ac:dyDescent="0.25">
      <c r="A74" s="1680" t="s">
        <v>5937</v>
      </c>
      <c r="B74" s="1681"/>
      <c r="C74" s="1681"/>
      <c r="D74" s="1682"/>
      <c r="E74" s="1494" t="s">
        <v>5874</v>
      </c>
      <c r="F74" s="1495"/>
      <c r="G74" s="1495"/>
      <c r="H74" s="1495"/>
      <c r="I74" s="1495"/>
      <c r="J74" s="1495"/>
      <c r="K74" s="1495"/>
      <c r="L74" s="1495"/>
      <c r="M74" s="1495"/>
      <c r="N74" s="1495"/>
      <c r="O74" s="1495"/>
      <c r="P74" s="1496"/>
      <c r="Q74" s="1693">
        <v>0.5</v>
      </c>
      <c r="R74" s="1694"/>
      <c r="S74" s="1694"/>
      <c r="T74" s="1695"/>
      <c r="U74" s="1683" t="s">
        <v>28</v>
      </c>
      <c r="V74" s="1685"/>
      <c r="W74" s="1494" t="s">
        <v>5865</v>
      </c>
      <c r="X74" s="1495"/>
      <c r="Y74" s="1495"/>
      <c r="Z74" s="1495"/>
      <c r="AA74" s="1495"/>
      <c r="AB74" s="1495"/>
      <c r="AC74" s="1495"/>
      <c r="AD74" s="1495"/>
      <c r="AE74" s="1495"/>
      <c r="AF74" s="1496"/>
    </row>
    <row r="75" spans="1:32" ht="48" customHeight="1" x14ac:dyDescent="0.25">
      <c r="A75" s="1680" t="s">
        <v>5938</v>
      </c>
      <c r="B75" s="1681"/>
      <c r="C75" s="1681"/>
      <c r="D75" s="1682"/>
      <c r="E75" s="1494" t="s">
        <v>742</v>
      </c>
      <c r="F75" s="1495"/>
      <c r="G75" s="1495"/>
      <c r="H75" s="1495"/>
      <c r="I75" s="1495"/>
      <c r="J75" s="1495"/>
      <c r="K75" s="1495"/>
      <c r="L75" s="1495"/>
      <c r="M75" s="1495"/>
      <c r="N75" s="1495"/>
      <c r="O75" s="1495"/>
      <c r="P75" s="1496"/>
      <c r="Q75" s="1693">
        <v>0.5</v>
      </c>
      <c r="R75" s="1694"/>
      <c r="S75" s="1694"/>
      <c r="T75" s="1695"/>
      <c r="U75" s="1683" t="s">
        <v>28</v>
      </c>
      <c r="V75" s="1685"/>
      <c r="W75" s="1494" t="s">
        <v>5865</v>
      </c>
      <c r="X75" s="1495"/>
      <c r="Y75" s="1495"/>
      <c r="Z75" s="1495"/>
      <c r="AA75" s="1495"/>
      <c r="AB75" s="1495"/>
      <c r="AC75" s="1495"/>
      <c r="AD75" s="1495"/>
      <c r="AE75" s="1495"/>
      <c r="AF75" s="1496"/>
    </row>
    <row r="76" spans="1:32" ht="45" customHeight="1" x14ac:dyDescent="0.25">
      <c r="A76" s="1680" t="s">
        <v>5939</v>
      </c>
      <c r="B76" s="1681"/>
      <c r="C76" s="1681"/>
      <c r="D76" s="1682"/>
      <c r="E76" s="1494" t="s">
        <v>5875</v>
      </c>
      <c r="F76" s="1495"/>
      <c r="G76" s="1495"/>
      <c r="H76" s="1495"/>
      <c r="I76" s="1495"/>
      <c r="J76" s="1495"/>
      <c r="K76" s="1495"/>
      <c r="L76" s="1495"/>
      <c r="M76" s="1495"/>
      <c r="N76" s="1495"/>
      <c r="O76" s="1495"/>
      <c r="P76" s="1496"/>
      <c r="Q76" s="1690">
        <v>1</v>
      </c>
      <c r="R76" s="1691"/>
      <c r="S76" s="1691"/>
      <c r="T76" s="1692"/>
      <c r="U76" s="1683" t="s">
        <v>28</v>
      </c>
      <c r="V76" s="1685"/>
      <c r="W76" s="1494" t="s">
        <v>5865</v>
      </c>
      <c r="X76" s="1495"/>
      <c r="Y76" s="1495"/>
      <c r="Z76" s="1495"/>
      <c r="AA76" s="1495"/>
      <c r="AB76" s="1495"/>
      <c r="AC76" s="1495"/>
      <c r="AD76" s="1495"/>
      <c r="AE76" s="1495"/>
      <c r="AF76" s="1496"/>
    </row>
    <row r="77" spans="1:32" ht="43.5" customHeight="1" x14ac:dyDescent="0.25">
      <c r="A77" s="1680" t="s">
        <v>5940</v>
      </c>
      <c r="B77" s="1681"/>
      <c r="C77" s="1681"/>
      <c r="D77" s="1682"/>
      <c r="E77" s="1494" t="s">
        <v>5876</v>
      </c>
      <c r="F77" s="1495"/>
      <c r="G77" s="1495"/>
      <c r="H77" s="1495"/>
      <c r="I77" s="1495"/>
      <c r="J77" s="1495"/>
      <c r="K77" s="1495"/>
      <c r="L77" s="1495"/>
      <c r="M77" s="1495"/>
      <c r="N77" s="1495"/>
      <c r="O77" s="1495"/>
      <c r="P77" s="1496"/>
      <c r="Q77" s="1690">
        <v>15</v>
      </c>
      <c r="R77" s="1691"/>
      <c r="S77" s="1691"/>
      <c r="T77" s="1692"/>
      <c r="U77" s="1683" t="s">
        <v>5877</v>
      </c>
      <c r="V77" s="1685"/>
      <c r="W77" s="1494" t="s">
        <v>5865</v>
      </c>
      <c r="X77" s="1495"/>
      <c r="Y77" s="1495"/>
      <c r="Z77" s="1495"/>
      <c r="AA77" s="1495"/>
      <c r="AB77" s="1495"/>
      <c r="AC77" s="1495"/>
      <c r="AD77" s="1495"/>
      <c r="AE77" s="1495"/>
      <c r="AF77" s="1496"/>
    </row>
    <row r="78" spans="1:32" ht="15" customHeight="1" x14ac:dyDescent="0.25">
      <c r="A78" s="1680" t="s">
        <v>5941</v>
      </c>
      <c r="B78" s="1681"/>
      <c r="C78" s="1681"/>
      <c r="D78" s="1682"/>
      <c r="E78" s="1494" t="s">
        <v>5878</v>
      </c>
      <c r="F78" s="1495"/>
      <c r="G78" s="1495"/>
      <c r="H78" s="1495"/>
      <c r="I78" s="1495"/>
      <c r="J78" s="1495"/>
      <c r="K78" s="1495"/>
      <c r="L78" s="1495"/>
      <c r="M78" s="1495"/>
      <c r="N78" s="1495"/>
      <c r="O78" s="1495"/>
      <c r="P78" s="1496"/>
      <c r="Q78" s="1690" t="s">
        <v>626</v>
      </c>
      <c r="R78" s="1691"/>
      <c r="S78" s="1691"/>
      <c r="T78" s="1692"/>
      <c r="U78" s="1683" t="s">
        <v>45</v>
      </c>
      <c r="V78" s="1685"/>
      <c r="W78" s="1494" t="s">
        <v>43</v>
      </c>
      <c r="X78" s="1495"/>
      <c r="Y78" s="1495"/>
      <c r="Z78" s="1495"/>
      <c r="AA78" s="1495"/>
      <c r="AB78" s="1495"/>
      <c r="AC78" s="1495"/>
      <c r="AD78" s="1495"/>
      <c r="AE78" s="1495"/>
      <c r="AF78" s="1496"/>
    </row>
    <row r="79" spans="1:32" ht="15" customHeight="1" x14ac:dyDescent="0.25">
      <c r="A79" s="1680" t="s">
        <v>5942</v>
      </c>
      <c r="B79" s="1681"/>
      <c r="C79" s="1681"/>
      <c r="D79" s="1682"/>
      <c r="E79" s="1494" t="s">
        <v>5879</v>
      </c>
      <c r="F79" s="1495"/>
      <c r="G79" s="1495"/>
      <c r="H79" s="1495"/>
      <c r="I79" s="1495"/>
      <c r="J79" s="1495"/>
      <c r="K79" s="1495"/>
      <c r="L79" s="1495"/>
      <c r="M79" s="1495"/>
      <c r="N79" s="1495"/>
      <c r="O79" s="1495"/>
      <c r="P79" s="1496"/>
      <c r="Q79" s="1690" t="s">
        <v>626</v>
      </c>
      <c r="R79" s="1691"/>
      <c r="S79" s="1691"/>
      <c r="T79" s="1692"/>
      <c r="U79" s="1683" t="s">
        <v>45</v>
      </c>
      <c r="V79" s="1685"/>
      <c r="W79" s="1494" t="s">
        <v>43</v>
      </c>
      <c r="X79" s="1495"/>
      <c r="Y79" s="1495"/>
      <c r="Z79" s="1495"/>
      <c r="AA79" s="1495"/>
      <c r="AB79" s="1495"/>
      <c r="AC79" s="1495"/>
      <c r="AD79" s="1495"/>
      <c r="AE79" s="1495"/>
      <c r="AF79" s="1496"/>
    </row>
    <row r="80" spans="1:32" ht="45" customHeight="1" x14ac:dyDescent="0.25">
      <c r="A80" s="1680" t="s">
        <v>5943</v>
      </c>
      <c r="B80" s="1681"/>
      <c r="C80" s="1681"/>
      <c r="D80" s="1682"/>
      <c r="E80" s="1494" t="s">
        <v>810</v>
      </c>
      <c r="F80" s="1495"/>
      <c r="G80" s="1495"/>
      <c r="H80" s="1495"/>
      <c r="I80" s="1495"/>
      <c r="J80" s="1495"/>
      <c r="K80" s="1495"/>
      <c r="L80" s="1495"/>
      <c r="M80" s="1495"/>
      <c r="N80" s="1495"/>
      <c r="O80" s="1495"/>
      <c r="P80" s="1496"/>
      <c r="Q80" s="1690" t="s">
        <v>626</v>
      </c>
      <c r="R80" s="1691"/>
      <c r="S80" s="1691"/>
      <c r="T80" s="1692"/>
      <c r="U80" s="1683" t="s">
        <v>291</v>
      </c>
      <c r="V80" s="1685"/>
      <c r="W80" s="1494" t="s">
        <v>5865</v>
      </c>
      <c r="X80" s="1495"/>
      <c r="Y80" s="1495"/>
      <c r="Z80" s="1495"/>
      <c r="AA80" s="1495"/>
      <c r="AB80" s="1495"/>
      <c r="AC80" s="1495"/>
      <c r="AD80" s="1495"/>
      <c r="AE80" s="1495"/>
      <c r="AF80" s="1496"/>
    </row>
    <row r="81" spans="1:32" ht="45" customHeight="1" x14ac:dyDescent="0.25">
      <c r="A81" s="1680" t="s">
        <v>5944</v>
      </c>
      <c r="B81" s="1681"/>
      <c r="C81" s="1681"/>
      <c r="D81" s="1682"/>
      <c r="E81" s="1494" t="s">
        <v>5880</v>
      </c>
      <c r="F81" s="1495"/>
      <c r="G81" s="1495"/>
      <c r="H81" s="1495"/>
      <c r="I81" s="1495"/>
      <c r="J81" s="1495"/>
      <c r="K81" s="1495"/>
      <c r="L81" s="1495"/>
      <c r="M81" s="1495"/>
      <c r="N81" s="1495"/>
      <c r="O81" s="1495"/>
      <c r="P81" s="1496"/>
      <c r="Q81" s="1690" t="s">
        <v>626</v>
      </c>
      <c r="R81" s="1691"/>
      <c r="S81" s="1691"/>
      <c r="T81" s="1692"/>
      <c r="U81" s="1683" t="s">
        <v>291</v>
      </c>
      <c r="V81" s="1685"/>
      <c r="W81" s="1494" t="s">
        <v>5865</v>
      </c>
      <c r="X81" s="1495"/>
      <c r="Y81" s="1495"/>
      <c r="Z81" s="1495"/>
      <c r="AA81" s="1495"/>
      <c r="AB81" s="1495"/>
      <c r="AC81" s="1495"/>
      <c r="AD81" s="1495"/>
      <c r="AE81" s="1495"/>
      <c r="AF81" s="1496"/>
    </row>
    <row r="82" spans="1:32" x14ac:dyDescent="0.25">
      <c r="A82" s="1680" t="s">
        <v>5881</v>
      </c>
      <c r="B82" s="1681"/>
      <c r="C82" s="1681"/>
      <c r="D82" s="1682"/>
      <c r="E82" s="1494" t="s">
        <v>5882</v>
      </c>
      <c r="F82" s="1495"/>
      <c r="G82" s="1495"/>
      <c r="H82" s="1495"/>
      <c r="I82" s="1495"/>
      <c r="J82" s="1495"/>
      <c r="K82" s="1495"/>
      <c r="L82" s="1495"/>
      <c r="M82" s="1495"/>
      <c r="N82" s="1495"/>
      <c r="O82" s="1495"/>
      <c r="P82" s="1496"/>
      <c r="Q82" s="1690" t="s">
        <v>626</v>
      </c>
      <c r="R82" s="1691"/>
      <c r="S82" s="1691"/>
      <c r="T82" s="1692"/>
      <c r="U82" s="1683" t="s">
        <v>5883</v>
      </c>
      <c r="V82" s="1685"/>
      <c r="W82" s="1494" t="s">
        <v>5884</v>
      </c>
      <c r="X82" s="1495"/>
      <c r="Y82" s="1495"/>
      <c r="Z82" s="1495"/>
      <c r="AA82" s="1495"/>
      <c r="AB82" s="1495"/>
      <c r="AC82" s="1495"/>
      <c r="AD82" s="1495"/>
      <c r="AE82" s="1495"/>
      <c r="AF82" s="1496"/>
    </row>
    <row r="83" spans="1:32" ht="57.75" customHeight="1" x14ac:dyDescent="0.25">
      <c r="A83" s="1680" t="s">
        <v>5945</v>
      </c>
      <c r="B83" s="1681"/>
      <c r="C83" s="1681"/>
      <c r="D83" s="1682"/>
      <c r="E83" s="1494" t="s">
        <v>5885</v>
      </c>
      <c r="F83" s="1495"/>
      <c r="G83" s="1495"/>
      <c r="H83" s="1495"/>
      <c r="I83" s="1495"/>
      <c r="J83" s="1495"/>
      <c r="K83" s="1495"/>
      <c r="L83" s="1495"/>
      <c r="M83" s="1495"/>
      <c r="N83" s="1495"/>
      <c r="O83" s="1495"/>
      <c r="P83" s="1496"/>
      <c r="Q83" s="1690" t="s">
        <v>626</v>
      </c>
      <c r="R83" s="1691"/>
      <c r="S83" s="1691"/>
      <c r="T83" s="1692"/>
      <c r="U83" s="1683" t="s">
        <v>5886</v>
      </c>
      <c r="V83" s="1685"/>
      <c r="W83" s="1494" t="s">
        <v>5887</v>
      </c>
      <c r="X83" s="1495"/>
      <c r="Y83" s="1495"/>
      <c r="Z83" s="1495"/>
      <c r="AA83" s="1495"/>
      <c r="AB83" s="1495"/>
      <c r="AC83" s="1495"/>
      <c r="AD83" s="1495"/>
      <c r="AE83" s="1495"/>
      <c r="AF83" s="1496"/>
    </row>
    <row r="84" spans="1:32" ht="56.25" customHeight="1" x14ac:dyDescent="0.25">
      <c r="A84" s="1680" t="s">
        <v>5946</v>
      </c>
      <c r="B84" s="1681"/>
      <c r="C84" s="1681"/>
      <c r="D84" s="1682"/>
      <c r="E84" s="1494" t="s">
        <v>5888</v>
      </c>
      <c r="F84" s="1495"/>
      <c r="G84" s="1495"/>
      <c r="H84" s="1495"/>
      <c r="I84" s="1495"/>
      <c r="J84" s="1495"/>
      <c r="K84" s="1495"/>
      <c r="L84" s="1495"/>
      <c r="M84" s="1495"/>
      <c r="N84" s="1495"/>
      <c r="O84" s="1495"/>
      <c r="P84" s="1496"/>
      <c r="Q84" s="1690" t="s">
        <v>626</v>
      </c>
      <c r="R84" s="1691"/>
      <c r="S84" s="1691"/>
      <c r="T84" s="1692"/>
      <c r="U84" s="1683" t="s">
        <v>5886</v>
      </c>
      <c r="V84" s="1685"/>
      <c r="W84" s="1494" t="s">
        <v>5887</v>
      </c>
      <c r="X84" s="1495"/>
      <c r="Y84" s="1495"/>
      <c r="Z84" s="1495"/>
      <c r="AA84" s="1495"/>
      <c r="AB84" s="1495"/>
      <c r="AC84" s="1495"/>
      <c r="AD84" s="1495"/>
      <c r="AE84" s="1495"/>
      <c r="AF84" s="1496"/>
    </row>
    <row r="85" spans="1:32" ht="33" customHeight="1" x14ac:dyDescent="0.25">
      <c r="A85" s="1680" t="s">
        <v>334</v>
      </c>
      <c r="B85" s="1681"/>
      <c r="C85" s="1681"/>
      <c r="D85" s="1682"/>
      <c r="E85" s="1680" t="s">
        <v>5889</v>
      </c>
      <c r="F85" s="1681"/>
      <c r="G85" s="1681"/>
      <c r="H85" s="1681"/>
      <c r="I85" s="1681"/>
      <c r="J85" s="1681"/>
      <c r="K85" s="1681"/>
      <c r="L85" s="1681"/>
      <c r="M85" s="1681"/>
      <c r="N85" s="1681"/>
      <c r="O85" s="1681"/>
      <c r="P85" s="1682"/>
      <c r="Q85" s="1656" t="s">
        <v>5890</v>
      </c>
      <c r="R85" s="1657"/>
      <c r="S85" s="1657"/>
      <c r="T85" s="1658"/>
      <c r="U85" s="1683" t="s">
        <v>28</v>
      </c>
      <c r="V85" s="1685"/>
      <c r="W85" s="1494" t="s">
        <v>5891</v>
      </c>
      <c r="X85" s="1495"/>
      <c r="Y85" s="1495"/>
      <c r="Z85" s="1495"/>
      <c r="AA85" s="1495"/>
      <c r="AB85" s="1495"/>
      <c r="AC85" s="1495"/>
      <c r="AD85" s="1495"/>
      <c r="AE85" s="1495"/>
      <c r="AF85" s="1496"/>
    </row>
    <row r="86" spans="1:32" ht="45" customHeight="1" x14ac:dyDescent="0.25">
      <c r="A86" s="1680" t="s">
        <v>72</v>
      </c>
      <c r="B86" s="1681"/>
      <c r="C86" s="1681"/>
      <c r="D86" s="1682"/>
      <c r="E86" s="1680" t="s">
        <v>125</v>
      </c>
      <c r="F86" s="1681"/>
      <c r="G86" s="1681"/>
      <c r="H86" s="1681"/>
      <c r="I86" s="1681"/>
      <c r="J86" s="1681"/>
      <c r="K86" s="1681"/>
      <c r="L86" s="1681"/>
      <c r="M86" s="1681"/>
      <c r="N86" s="1681"/>
      <c r="O86" s="1681"/>
      <c r="P86" s="1682"/>
      <c r="Q86" s="1683">
        <v>365</v>
      </c>
      <c r="R86" s="1684"/>
      <c r="S86" s="1684"/>
      <c r="T86" s="1685"/>
      <c r="U86" s="1683" t="s">
        <v>74</v>
      </c>
      <c r="V86" s="1685"/>
      <c r="W86" s="1494" t="s">
        <v>5865</v>
      </c>
      <c r="X86" s="1495"/>
      <c r="Y86" s="1495"/>
      <c r="Z86" s="1495"/>
      <c r="AA86" s="1495"/>
      <c r="AB86" s="1495"/>
      <c r="AC86" s="1495"/>
      <c r="AD86" s="1495"/>
      <c r="AE86" s="1495"/>
      <c r="AF86" s="1496"/>
    </row>
    <row r="87" spans="1:32" ht="45" customHeight="1" x14ac:dyDescent="0.25">
      <c r="A87" s="1680" t="s">
        <v>5892</v>
      </c>
      <c r="B87" s="1681"/>
      <c r="C87" s="1681"/>
      <c r="D87" s="1682"/>
      <c r="E87" s="1680" t="s">
        <v>142</v>
      </c>
      <c r="F87" s="1681"/>
      <c r="G87" s="1681"/>
      <c r="H87" s="1681"/>
      <c r="I87" s="1681"/>
      <c r="J87" s="1681"/>
      <c r="K87" s="1681"/>
      <c r="L87" s="1681"/>
      <c r="M87" s="1681"/>
      <c r="N87" s="1681"/>
      <c r="O87" s="1681"/>
      <c r="P87" s="1682"/>
      <c r="Q87" s="1683">
        <v>12</v>
      </c>
      <c r="R87" s="1684"/>
      <c r="S87" s="1684"/>
      <c r="T87" s="1685"/>
      <c r="U87" s="1683" t="s">
        <v>45</v>
      </c>
      <c r="V87" s="1685"/>
      <c r="W87" s="1494" t="s">
        <v>5865</v>
      </c>
      <c r="X87" s="1495"/>
      <c r="Y87" s="1495"/>
      <c r="Z87" s="1495"/>
      <c r="AA87" s="1495"/>
      <c r="AB87" s="1495"/>
      <c r="AC87" s="1495"/>
      <c r="AD87" s="1495"/>
      <c r="AE87" s="1495"/>
      <c r="AF87" s="1496"/>
    </row>
    <row r="88" spans="1:32" ht="15" customHeight="1" x14ac:dyDescent="0.25">
      <c r="A88" s="1680" t="s">
        <v>32</v>
      </c>
      <c r="B88" s="1681"/>
      <c r="C88" s="1681"/>
      <c r="D88" s="1682"/>
      <c r="E88" s="1680" t="s">
        <v>163</v>
      </c>
      <c r="F88" s="1681"/>
      <c r="G88" s="1681"/>
      <c r="H88" s="1681"/>
      <c r="I88" s="1681"/>
      <c r="J88" s="1681"/>
      <c r="K88" s="1681"/>
      <c r="L88" s="1681"/>
      <c r="M88" s="1681"/>
      <c r="N88" s="1681"/>
      <c r="O88" s="1681"/>
      <c r="P88" s="1682"/>
      <c r="Q88" s="1700">
        <f>Q86*Q87</f>
        <v>4380</v>
      </c>
      <c r="R88" s="1701"/>
      <c r="S88" s="1701"/>
      <c r="T88" s="1702"/>
      <c r="U88" s="1683" t="s">
        <v>45</v>
      </c>
      <c r="V88" s="1685"/>
      <c r="W88" s="1494" t="s">
        <v>5893</v>
      </c>
      <c r="X88" s="1495"/>
      <c r="Y88" s="1495"/>
      <c r="Z88" s="1495"/>
      <c r="AA88" s="1495"/>
      <c r="AB88" s="1495"/>
      <c r="AC88" s="1495"/>
      <c r="AD88" s="1495"/>
      <c r="AE88" s="1495"/>
      <c r="AF88" s="1496"/>
    </row>
    <row r="89" spans="1:32" x14ac:dyDescent="0.25">
      <c r="A89" s="1680" t="s">
        <v>29</v>
      </c>
      <c r="B89" s="1681"/>
      <c r="C89" s="1681"/>
      <c r="D89" s="1682"/>
      <c r="E89" s="1680" t="s">
        <v>104</v>
      </c>
      <c r="F89" s="1681"/>
      <c r="G89" s="1681"/>
      <c r="H89" s="1681"/>
      <c r="I89" s="1681"/>
      <c r="J89" s="1681"/>
      <c r="K89" s="1681"/>
      <c r="L89" s="1681"/>
      <c r="M89" s="1681"/>
      <c r="N89" s="1681"/>
      <c r="O89" s="1681"/>
      <c r="P89" s="1682"/>
      <c r="Q89" s="1683">
        <v>0.9</v>
      </c>
      <c r="R89" s="1684"/>
      <c r="S89" s="1684"/>
      <c r="T89" s="1685"/>
      <c r="U89" s="1683" t="s">
        <v>28</v>
      </c>
      <c r="V89" s="1685"/>
      <c r="W89" s="1494" t="s">
        <v>5947</v>
      </c>
      <c r="X89" s="1495"/>
      <c r="Y89" s="1495"/>
      <c r="Z89" s="1495"/>
      <c r="AA89" s="1495"/>
      <c r="AB89" s="1495"/>
      <c r="AC89" s="1495"/>
      <c r="AD89" s="1495"/>
      <c r="AE89" s="1495"/>
      <c r="AF89" s="1496"/>
    </row>
    <row r="90" spans="1:32" ht="45" customHeight="1" x14ac:dyDescent="0.25">
      <c r="A90" s="1680" t="s">
        <v>2724</v>
      </c>
      <c r="B90" s="1681"/>
      <c r="C90" s="1681"/>
      <c r="D90" s="1682"/>
      <c r="E90" s="1680" t="s">
        <v>5894</v>
      </c>
      <c r="F90" s="1681"/>
      <c r="G90" s="1681"/>
      <c r="H90" s="1681"/>
      <c r="I90" s="1681"/>
      <c r="J90" s="1681"/>
      <c r="K90" s="1681"/>
      <c r="L90" s="1681"/>
      <c r="M90" s="1681"/>
      <c r="N90" s="1681"/>
      <c r="O90" s="1681"/>
      <c r="P90" s="1682"/>
      <c r="Q90" s="1683">
        <f>'Master EUL'!X121</f>
        <v>12</v>
      </c>
      <c r="R90" s="1684"/>
      <c r="S90" s="1684"/>
      <c r="T90" s="1685"/>
      <c r="U90" s="1683" t="s">
        <v>46</v>
      </c>
      <c r="V90" s="1685"/>
      <c r="W90" s="1494" t="s">
        <v>5895</v>
      </c>
      <c r="X90" s="1495"/>
      <c r="Y90" s="1495"/>
      <c r="Z90" s="1495"/>
      <c r="AA90" s="1495"/>
      <c r="AB90" s="1495"/>
      <c r="AC90" s="1495"/>
      <c r="AD90" s="1495"/>
      <c r="AE90" s="1495"/>
      <c r="AF90" s="1496"/>
    </row>
    <row r="91" spans="1:32" x14ac:dyDescent="0.25">
      <c r="A91" s="628" t="s">
        <v>1047</v>
      </c>
      <c r="B91" s="629"/>
      <c r="C91" s="629"/>
      <c r="D91" s="629"/>
      <c r="E91" s="629"/>
      <c r="F91" s="629"/>
      <c r="G91" s="630"/>
      <c r="H91" s="630"/>
      <c r="I91" s="630"/>
      <c r="J91" s="630"/>
      <c r="K91" s="630"/>
      <c r="L91" s="630"/>
      <c r="M91" s="630"/>
      <c r="N91" s="630"/>
      <c r="O91" s="630"/>
      <c r="P91" s="888"/>
      <c r="Q91" s="888"/>
      <c r="R91" s="888"/>
      <c r="S91" s="888"/>
      <c r="T91" s="888"/>
      <c r="U91" s="888"/>
      <c r="V91" s="888"/>
      <c r="W91" s="888"/>
      <c r="X91" s="888"/>
      <c r="Y91" s="630"/>
      <c r="Z91" s="630"/>
      <c r="AA91" s="630"/>
      <c r="AB91" s="630"/>
      <c r="AC91" s="630"/>
      <c r="AD91" s="630"/>
      <c r="AE91" s="630"/>
      <c r="AF91" s="630"/>
    </row>
    <row r="92" spans="1:32" ht="61.5" customHeight="1" x14ac:dyDescent="0.25">
      <c r="A92" s="1686" t="s">
        <v>5896</v>
      </c>
      <c r="B92" s="1686"/>
      <c r="C92" s="1686"/>
      <c r="D92" s="1686"/>
      <c r="E92" s="1686"/>
      <c r="F92" s="1686"/>
      <c r="G92" s="1686"/>
      <c r="H92" s="1686"/>
      <c r="I92" s="1686"/>
      <c r="J92" s="1686"/>
      <c r="K92" s="1686"/>
      <c r="L92" s="1686"/>
      <c r="M92" s="1686"/>
      <c r="N92" s="1686"/>
      <c r="O92" s="1686"/>
      <c r="P92" s="1686"/>
      <c r="Q92" s="1686"/>
      <c r="R92" s="1686"/>
      <c r="S92" s="1686"/>
      <c r="T92" s="1686"/>
      <c r="U92" s="1686"/>
      <c r="V92" s="1686"/>
      <c r="W92" s="1686"/>
      <c r="X92" s="1686"/>
      <c r="Y92" s="1686"/>
      <c r="Z92" s="1686"/>
      <c r="AA92" s="1686"/>
      <c r="AB92" s="1686"/>
      <c r="AC92" s="1686"/>
      <c r="AD92" s="1686"/>
      <c r="AE92" s="1686"/>
      <c r="AF92" s="1686"/>
    </row>
    <row r="93" spans="1:32" x14ac:dyDescent="0.25">
      <c r="A93" s="629"/>
      <c r="B93" s="629"/>
      <c r="C93" s="629"/>
      <c r="D93" s="629"/>
      <c r="E93" s="629"/>
      <c r="F93" s="629"/>
      <c r="G93" s="629"/>
      <c r="H93" s="629"/>
      <c r="I93" s="629"/>
      <c r="J93" s="629"/>
      <c r="K93" s="629"/>
      <c r="L93" s="629"/>
      <c r="M93" s="629"/>
      <c r="N93" s="629"/>
      <c r="O93" s="629"/>
      <c r="P93" s="629"/>
      <c r="Q93" s="632"/>
      <c r="R93" s="632"/>
      <c r="S93" s="632"/>
      <c r="T93" s="632"/>
      <c r="U93" s="632"/>
      <c r="V93" s="632"/>
      <c r="W93" s="888"/>
      <c r="X93" s="888"/>
      <c r="Y93" s="888"/>
      <c r="Z93" s="888"/>
      <c r="AA93" s="888"/>
      <c r="AB93" s="888"/>
      <c r="AC93" s="888"/>
      <c r="AD93" s="888"/>
      <c r="AE93" s="888"/>
      <c r="AF93" s="888"/>
    </row>
    <row r="94" spans="1:32" ht="15" customHeight="1" x14ac:dyDescent="0.25">
      <c r="A94" s="1687" t="s">
        <v>5173</v>
      </c>
      <c r="B94" s="1687"/>
      <c r="C94" s="1687"/>
      <c r="D94" s="1687"/>
      <c r="E94" s="1687"/>
      <c r="F94" s="1687"/>
      <c r="G94" s="1687"/>
      <c r="H94" s="1687"/>
      <c r="I94" s="1687"/>
      <c r="J94" s="1687"/>
      <c r="K94" s="1687"/>
      <c r="L94" s="1687"/>
      <c r="M94" s="1687"/>
      <c r="N94" s="1687"/>
      <c r="O94" s="1687"/>
      <c r="P94" s="1687"/>
      <c r="Q94" s="1687"/>
      <c r="R94" s="1687"/>
      <c r="S94" s="1687"/>
      <c r="T94" s="1687"/>
      <c r="U94" s="1687"/>
      <c r="V94" s="1687"/>
      <c r="W94" s="1687"/>
      <c r="X94" s="1687"/>
      <c r="Y94" s="1687"/>
      <c r="Z94" s="1687"/>
      <c r="AA94" s="1687"/>
      <c r="AB94" s="1687"/>
      <c r="AC94" s="1687"/>
      <c r="AD94" s="1687"/>
      <c r="AE94" s="1687"/>
      <c r="AF94" s="1687"/>
    </row>
    <row r="95" spans="1:32" x14ac:dyDescent="0.25">
      <c r="A95" s="1667" t="s">
        <v>5897</v>
      </c>
      <c r="B95" s="1688"/>
      <c r="C95" s="1688"/>
      <c r="D95" s="1688"/>
      <c r="E95" s="1688"/>
      <c r="F95" s="1688"/>
      <c r="G95" s="1688"/>
      <c r="H95" s="1688"/>
      <c r="I95" s="1688"/>
      <c r="J95" s="1688"/>
      <c r="K95" s="1688"/>
      <c r="L95" s="1688"/>
      <c r="M95" s="1688"/>
      <c r="N95" s="1688"/>
      <c r="O95" s="1688"/>
      <c r="P95" s="1688"/>
      <c r="Q95" s="1688"/>
      <c r="R95" s="1688"/>
      <c r="S95" s="1688"/>
      <c r="T95" s="1688"/>
      <c r="U95" s="1688"/>
      <c r="V95" s="1688"/>
      <c r="W95" s="1688"/>
      <c r="X95" s="1688"/>
      <c r="Y95" s="1688"/>
      <c r="Z95" s="1688"/>
      <c r="AA95" s="1688"/>
      <c r="AB95" s="1688"/>
      <c r="AC95" s="1688"/>
      <c r="AD95" s="1688"/>
      <c r="AE95" s="1688"/>
      <c r="AF95" s="1689"/>
    </row>
    <row r="96" spans="1:32" ht="15" customHeight="1" x14ac:dyDescent="0.25">
      <c r="A96" s="1677"/>
      <c r="B96" s="1677"/>
      <c r="C96" s="1677"/>
      <c r="D96" s="1677"/>
      <c r="E96" s="1677"/>
      <c r="F96" s="1677"/>
      <c r="G96" s="1677"/>
      <c r="H96" s="1678"/>
      <c r="I96" s="1679" t="s">
        <v>129</v>
      </c>
      <c r="J96" s="1679"/>
      <c r="K96" s="1679"/>
      <c r="L96" s="1679"/>
      <c r="M96" s="1679"/>
      <c r="N96" s="1679"/>
      <c r="O96" s="1679"/>
      <c r="P96" s="1679"/>
      <c r="Q96" s="1679"/>
      <c r="R96" s="1679"/>
      <c r="S96" s="1679"/>
      <c r="T96" s="1679"/>
      <c r="U96" s="1679" t="s">
        <v>145</v>
      </c>
      <c r="V96" s="1679"/>
      <c r="W96" s="1679"/>
      <c r="X96" s="1679"/>
      <c r="Y96" s="1679"/>
      <c r="Z96" s="1679"/>
      <c r="AA96" s="1679"/>
      <c r="AB96" s="1679"/>
      <c r="AC96" s="1679"/>
      <c r="AD96" s="1679"/>
      <c r="AE96" s="1679"/>
      <c r="AF96" s="1679"/>
    </row>
    <row r="97" spans="1:32" ht="15" customHeight="1" x14ac:dyDescent="0.25">
      <c r="A97" s="1532"/>
      <c r="B97" s="1532"/>
      <c r="C97" s="1532"/>
      <c r="D97" s="1532"/>
      <c r="E97" s="1532"/>
      <c r="F97" s="1532"/>
      <c r="G97" s="1532"/>
      <c r="H97" s="1533"/>
      <c r="I97" s="1674" t="s">
        <v>5898</v>
      </c>
      <c r="J97" s="1674"/>
      <c r="K97" s="1674"/>
      <c r="L97" s="1674"/>
      <c r="M97" s="1674"/>
      <c r="N97" s="1674"/>
      <c r="O97" s="1674" t="s">
        <v>5899</v>
      </c>
      <c r="P97" s="1674"/>
      <c r="Q97" s="1674"/>
      <c r="R97" s="1674"/>
      <c r="S97" s="1674"/>
      <c r="T97" s="1674"/>
      <c r="U97" s="1674" t="s">
        <v>5898</v>
      </c>
      <c r="V97" s="1674"/>
      <c r="W97" s="1674"/>
      <c r="X97" s="1674"/>
      <c r="Y97" s="1674"/>
      <c r="Z97" s="1674"/>
      <c r="AA97" s="1674" t="s">
        <v>5899</v>
      </c>
      <c r="AB97" s="1674"/>
      <c r="AC97" s="1674"/>
      <c r="AD97" s="1674"/>
      <c r="AE97" s="1674"/>
      <c r="AF97" s="1674"/>
    </row>
    <row r="98" spans="1:32" ht="48" customHeight="1" x14ac:dyDescent="0.25">
      <c r="A98" s="1653" t="s">
        <v>5948</v>
      </c>
      <c r="B98" s="1654"/>
      <c r="C98" s="1654"/>
      <c r="D98" s="1654"/>
      <c r="E98" s="1654"/>
      <c r="F98" s="1654"/>
      <c r="G98" s="1654"/>
      <c r="H98" s="1655"/>
      <c r="I98" s="1676">
        <v>0.5</v>
      </c>
      <c r="J98" s="1674"/>
      <c r="K98" s="1674"/>
      <c r="L98" s="1674"/>
      <c r="M98" s="1674"/>
      <c r="N98" s="1674"/>
      <c r="O98" s="1676">
        <v>0.5</v>
      </c>
      <c r="P98" s="1674"/>
      <c r="Q98" s="1674"/>
      <c r="R98" s="1674"/>
      <c r="S98" s="1674"/>
      <c r="T98" s="1674"/>
      <c r="U98" s="1676">
        <v>0.5</v>
      </c>
      <c r="V98" s="1674"/>
      <c r="W98" s="1674"/>
      <c r="X98" s="1674"/>
      <c r="Y98" s="1674"/>
      <c r="Z98" s="1674"/>
      <c r="AA98" s="1676">
        <v>0.5</v>
      </c>
      <c r="AB98" s="1674"/>
      <c r="AC98" s="1674"/>
      <c r="AD98" s="1674"/>
      <c r="AE98" s="1674"/>
      <c r="AF98" s="1674"/>
    </row>
    <row r="99" spans="1:32" ht="53.25" customHeight="1" x14ac:dyDescent="0.25">
      <c r="A99" s="1653" t="s">
        <v>5949</v>
      </c>
      <c r="B99" s="1654"/>
      <c r="C99" s="1654"/>
      <c r="D99" s="1654"/>
      <c r="E99" s="1654"/>
      <c r="F99" s="1654"/>
      <c r="G99" s="1654"/>
      <c r="H99" s="1655"/>
      <c r="I99" s="1676">
        <v>0.7</v>
      </c>
      <c r="J99" s="1674"/>
      <c r="K99" s="1674"/>
      <c r="L99" s="1674"/>
      <c r="M99" s="1674"/>
      <c r="N99" s="1674"/>
      <c r="O99" s="1676">
        <v>0.49</v>
      </c>
      <c r="P99" s="1674"/>
      <c r="Q99" s="1674"/>
      <c r="R99" s="1674"/>
      <c r="S99" s="1674"/>
      <c r="T99" s="1674"/>
      <c r="U99" s="1676">
        <v>0.7</v>
      </c>
      <c r="V99" s="1674"/>
      <c r="W99" s="1674"/>
      <c r="X99" s="1674"/>
      <c r="Y99" s="1674"/>
      <c r="Z99" s="1674"/>
      <c r="AA99" s="1676">
        <v>0.51</v>
      </c>
      <c r="AB99" s="1674"/>
      <c r="AC99" s="1674"/>
      <c r="AD99" s="1674"/>
      <c r="AE99" s="1674"/>
      <c r="AF99" s="1674"/>
    </row>
    <row r="100" spans="1:32" ht="58.5" customHeight="1" x14ac:dyDescent="0.25">
      <c r="A100" s="1653" t="s">
        <v>5950</v>
      </c>
      <c r="B100" s="1654"/>
      <c r="C100" s="1654"/>
      <c r="D100" s="1654"/>
      <c r="E100" s="1654"/>
      <c r="F100" s="1654"/>
      <c r="G100" s="1654"/>
      <c r="H100" s="1655"/>
      <c r="I100" s="1674">
        <v>79</v>
      </c>
      <c r="J100" s="1674"/>
      <c r="K100" s="1674"/>
      <c r="L100" s="1674"/>
      <c r="M100" s="1674"/>
      <c r="N100" s="1674"/>
      <c r="O100" s="1674">
        <v>126</v>
      </c>
      <c r="P100" s="1674"/>
      <c r="Q100" s="1674"/>
      <c r="R100" s="1674"/>
      <c r="S100" s="1674"/>
      <c r="T100" s="1674"/>
      <c r="U100" s="1674">
        <v>119</v>
      </c>
      <c r="V100" s="1674"/>
      <c r="W100" s="1674"/>
      <c r="X100" s="1674"/>
      <c r="Y100" s="1674"/>
      <c r="Z100" s="1674"/>
      <c r="AA100" s="1674">
        <v>177</v>
      </c>
      <c r="AB100" s="1674"/>
      <c r="AC100" s="1674"/>
      <c r="AD100" s="1674"/>
      <c r="AE100" s="1674"/>
      <c r="AF100" s="1674"/>
    </row>
    <row r="101" spans="1:32" ht="42" customHeight="1" x14ac:dyDescent="0.25">
      <c r="A101" s="1653" t="s">
        <v>5951</v>
      </c>
      <c r="B101" s="1654"/>
      <c r="C101" s="1654"/>
      <c r="D101" s="1654"/>
      <c r="E101" s="1654"/>
      <c r="F101" s="1654"/>
      <c r="G101" s="1654"/>
      <c r="H101" s="1655"/>
      <c r="I101" s="1497">
        <v>1</v>
      </c>
      <c r="J101" s="1498"/>
      <c r="K101" s="1498"/>
      <c r="L101" s="1498"/>
      <c r="M101" s="1498"/>
      <c r="N101" s="1498"/>
      <c r="O101" s="1670"/>
      <c r="P101" s="1670"/>
      <c r="Q101" s="1670"/>
      <c r="R101" s="1670"/>
      <c r="S101" s="1670"/>
      <c r="T101" s="1670"/>
      <c r="U101" s="1670"/>
      <c r="V101" s="1670"/>
      <c r="W101" s="1670"/>
      <c r="X101" s="1670"/>
      <c r="Y101" s="1670"/>
      <c r="Z101" s="1670"/>
      <c r="AA101" s="1670"/>
      <c r="AB101" s="1670"/>
      <c r="AC101" s="1670"/>
      <c r="AD101" s="1670"/>
      <c r="AE101" s="1670"/>
      <c r="AF101" s="1671"/>
    </row>
    <row r="102" spans="1:32" ht="43.5" customHeight="1" x14ac:dyDescent="0.25">
      <c r="A102" s="1653" t="s">
        <v>5952</v>
      </c>
      <c r="B102" s="1654"/>
      <c r="C102" s="1654"/>
      <c r="D102" s="1654"/>
      <c r="E102" s="1654"/>
      <c r="F102" s="1654"/>
      <c r="G102" s="1654"/>
      <c r="H102" s="1655"/>
      <c r="I102" s="1497">
        <v>15</v>
      </c>
      <c r="J102" s="1498"/>
      <c r="K102" s="1498"/>
      <c r="L102" s="1498"/>
      <c r="M102" s="1498"/>
      <c r="N102" s="1498"/>
      <c r="O102" s="1670"/>
      <c r="P102" s="1670"/>
      <c r="Q102" s="1670"/>
      <c r="R102" s="1670"/>
      <c r="S102" s="1670"/>
      <c r="T102" s="1670"/>
      <c r="U102" s="1670"/>
      <c r="V102" s="1670"/>
      <c r="W102" s="1670"/>
      <c r="X102" s="1670"/>
      <c r="Y102" s="1670"/>
      <c r="Z102" s="1670"/>
      <c r="AA102" s="1670"/>
      <c r="AB102" s="1670"/>
      <c r="AC102" s="1670"/>
      <c r="AD102" s="1670"/>
      <c r="AE102" s="1670"/>
      <c r="AF102" s="1671"/>
    </row>
    <row r="103" spans="1:32" ht="39" customHeight="1" x14ac:dyDescent="0.25">
      <c r="A103" s="1653" t="s">
        <v>5953</v>
      </c>
      <c r="B103" s="1654"/>
      <c r="C103" s="1654"/>
      <c r="D103" s="1654"/>
      <c r="E103" s="1654"/>
      <c r="F103" s="1654"/>
      <c r="G103" s="1654"/>
      <c r="H103" s="1655"/>
      <c r="I103" s="1497">
        <v>3000</v>
      </c>
      <c r="J103" s="1498"/>
      <c r="K103" s="1498"/>
      <c r="L103" s="1498"/>
      <c r="M103" s="1498"/>
      <c r="N103" s="1498"/>
      <c r="O103" s="1670"/>
      <c r="P103" s="1670"/>
      <c r="Q103" s="1670"/>
      <c r="R103" s="1670"/>
      <c r="S103" s="1670"/>
      <c r="T103" s="1671"/>
      <c r="U103" s="1497">
        <v>1500</v>
      </c>
      <c r="V103" s="1498"/>
      <c r="W103" s="1498"/>
      <c r="X103" s="1498"/>
      <c r="Y103" s="1498"/>
      <c r="Z103" s="1498"/>
      <c r="AA103" s="1670"/>
      <c r="AB103" s="1670"/>
      <c r="AC103" s="1670"/>
      <c r="AD103" s="1670"/>
      <c r="AE103" s="1670"/>
      <c r="AF103" s="1671"/>
    </row>
    <row r="104" spans="1:32" ht="62.25" customHeight="1" x14ac:dyDescent="0.25">
      <c r="A104" s="1653" t="s">
        <v>5954</v>
      </c>
      <c r="B104" s="1654"/>
      <c r="C104" s="1654"/>
      <c r="D104" s="1654"/>
      <c r="E104" s="1654"/>
      <c r="F104" s="1654"/>
      <c r="G104" s="1654"/>
      <c r="H104" s="1655"/>
      <c r="I104" s="1674">
        <v>1320</v>
      </c>
      <c r="J104" s="1674"/>
      <c r="K104" s="1674"/>
      <c r="L104" s="1674"/>
      <c r="M104" s="1674"/>
      <c r="N104" s="1674"/>
      <c r="O104" s="1674">
        <v>5260</v>
      </c>
      <c r="P104" s="1674"/>
      <c r="Q104" s="1674"/>
      <c r="R104" s="1674"/>
      <c r="S104" s="1674"/>
      <c r="T104" s="1674"/>
      <c r="U104" s="1674">
        <f>(0.05*4+0.55)*1000</f>
        <v>750</v>
      </c>
      <c r="V104" s="1674"/>
      <c r="W104" s="1674"/>
      <c r="X104" s="1674"/>
      <c r="Y104" s="1674"/>
      <c r="Z104" s="1674"/>
      <c r="AA104" s="1674">
        <f>(0.6*4)*1000</f>
        <v>2400</v>
      </c>
      <c r="AB104" s="1674"/>
      <c r="AC104" s="1674"/>
      <c r="AD104" s="1674"/>
      <c r="AE104" s="1674"/>
      <c r="AF104" s="1674"/>
    </row>
    <row r="105" spans="1:32" ht="59.25" customHeight="1" x14ac:dyDescent="0.25">
      <c r="A105" s="1653" t="s">
        <v>5955</v>
      </c>
      <c r="B105" s="1654"/>
      <c r="C105" s="1654"/>
      <c r="D105" s="1654"/>
      <c r="E105" s="1654"/>
      <c r="F105" s="1654"/>
      <c r="G105" s="1654"/>
      <c r="H105" s="1655"/>
      <c r="I105" s="1674">
        <v>73.2</v>
      </c>
      <c r="J105" s="1674"/>
      <c r="K105" s="1674"/>
      <c r="L105" s="1674"/>
      <c r="M105" s="1674"/>
      <c r="N105" s="1674"/>
      <c r="O105" s="1674">
        <v>30.8</v>
      </c>
      <c r="P105" s="1674"/>
      <c r="Q105" s="1674"/>
      <c r="R105" s="1674"/>
      <c r="S105" s="1674"/>
      <c r="T105" s="1674"/>
      <c r="U105" s="1674">
        <v>73.2</v>
      </c>
      <c r="V105" s="1674"/>
      <c r="W105" s="1674"/>
      <c r="X105" s="1674"/>
      <c r="Y105" s="1674"/>
      <c r="Z105" s="1674"/>
      <c r="AA105" s="1674">
        <v>30.8</v>
      </c>
      <c r="AB105" s="1674"/>
      <c r="AC105" s="1674"/>
      <c r="AD105" s="1674"/>
      <c r="AE105" s="1674"/>
      <c r="AF105" s="1674"/>
    </row>
    <row r="106" spans="1:32" ht="40.5" customHeight="1" x14ac:dyDescent="0.25">
      <c r="A106" s="1653" t="s">
        <v>5900</v>
      </c>
      <c r="B106" s="1654"/>
      <c r="C106" s="1654"/>
      <c r="D106" s="1654"/>
      <c r="E106" s="1654"/>
      <c r="F106" s="1654"/>
      <c r="G106" s="1654"/>
      <c r="H106" s="1655"/>
      <c r="I106" s="1497">
        <v>200</v>
      </c>
      <c r="J106" s="1498"/>
      <c r="K106" s="1498"/>
      <c r="L106" s="1498"/>
      <c r="M106" s="1498"/>
      <c r="N106" s="1498"/>
      <c r="O106" s="1670"/>
      <c r="P106" s="1670"/>
      <c r="Q106" s="1670"/>
      <c r="R106" s="1670"/>
      <c r="S106" s="1670"/>
      <c r="T106" s="1670"/>
      <c r="U106" s="1670"/>
      <c r="V106" s="1670"/>
      <c r="W106" s="1670"/>
      <c r="X106" s="1670"/>
      <c r="Y106" s="1670"/>
      <c r="Z106" s="1670"/>
      <c r="AA106" s="1670"/>
      <c r="AB106" s="1670"/>
      <c r="AC106" s="1670"/>
      <c r="AD106" s="1670"/>
      <c r="AE106" s="1670"/>
      <c r="AF106" s="1671"/>
    </row>
    <row r="107" spans="1:32" ht="57.75" customHeight="1" x14ac:dyDescent="0.25">
      <c r="A107" s="1653" t="s">
        <v>5956</v>
      </c>
      <c r="B107" s="1654"/>
      <c r="C107" s="1654"/>
      <c r="D107" s="1654"/>
      <c r="E107" s="1654"/>
      <c r="F107" s="1654"/>
      <c r="G107" s="1654"/>
      <c r="H107" s="1655"/>
      <c r="I107" s="1675">
        <f>I105*I106*I98/I99</f>
        <v>10457.142857142859</v>
      </c>
      <c r="J107" s="1674"/>
      <c r="K107" s="1674"/>
      <c r="L107" s="1674"/>
      <c r="M107" s="1674"/>
      <c r="N107" s="1674"/>
      <c r="O107" s="1675">
        <f>O105*I106*O98/O99</f>
        <v>6285.7142857142862</v>
      </c>
      <c r="P107" s="1674"/>
      <c r="Q107" s="1674"/>
      <c r="R107" s="1674"/>
      <c r="S107" s="1674"/>
      <c r="T107" s="1674"/>
      <c r="U107" s="1675">
        <f>U105*I106*U98/U99</f>
        <v>10457.142857142859</v>
      </c>
      <c r="V107" s="1674"/>
      <c r="W107" s="1674"/>
      <c r="X107" s="1674"/>
      <c r="Y107" s="1674"/>
      <c r="Z107" s="1674"/>
      <c r="AA107" s="1675">
        <f>AA105*I106*AA98/AA99</f>
        <v>6039.2156862745096</v>
      </c>
      <c r="AB107" s="1674"/>
      <c r="AC107" s="1674"/>
      <c r="AD107" s="1674"/>
      <c r="AE107" s="1674"/>
      <c r="AF107" s="1674"/>
    </row>
    <row r="108" spans="1:32" ht="65.25" customHeight="1" x14ac:dyDescent="0.25">
      <c r="A108" s="1653" t="s">
        <v>5957</v>
      </c>
      <c r="B108" s="1654"/>
      <c r="C108" s="1654"/>
      <c r="D108" s="1654"/>
      <c r="E108" s="1654"/>
      <c r="F108" s="1654"/>
      <c r="G108" s="1654"/>
      <c r="H108" s="1655"/>
      <c r="I108" s="1672">
        <f>$Q$87-(I106*I98/I100)-(I102/60)</f>
        <v>10.484177215189874</v>
      </c>
      <c r="J108" s="1672"/>
      <c r="K108" s="1672"/>
      <c r="L108" s="1672"/>
      <c r="M108" s="1672"/>
      <c r="N108" s="1672"/>
      <c r="O108" s="1672">
        <f>$Q$87-(I106*O98/O100)-(I102/60)</f>
        <v>10.956349206349206</v>
      </c>
      <c r="P108" s="1672"/>
      <c r="Q108" s="1672"/>
      <c r="R108" s="1672"/>
      <c r="S108" s="1672"/>
      <c r="T108" s="1672"/>
      <c r="U108" s="1672">
        <f>$Q$87-(I106*U98/U100)-(I102/60)</f>
        <v>10.909663865546218</v>
      </c>
      <c r="V108" s="1672"/>
      <c r="W108" s="1672"/>
      <c r="X108" s="1672"/>
      <c r="Y108" s="1672"/>
      <c r="Z108" s="1672"/>
      <c r="AA108" s="1672">
        <f>$Q$87-(I106*AA98/AA100)-(I102/60)</f>
        <v>11.185028248587571</v>
      </c>
      <c r="AB108" s="1672"/>
      <c r="AC108" s="1672"/>
      <c r="AD108" s="1672"/>
      <c r="AE108" s="1672"/>
      <c r="AF108" s="1672"/>
    </row>
    <row r="109" spans="1:32" x14ac:dyDescent="0.25">
      <c r="A109" s="1647" t="s">
        <v>5901</v>
      </c>
      <c r="B109" s="1648"/>
      <c r="C109" s="1648"/>
      <c r="D109" s="1648"/>
      <c r="E109" s="1648"/>
      <c r="F109" s="1648"/>
      <c r="G109" s="1648"/>
      <c r="H109" s="1649"/>
      <c r="I109" s="1673">
        <f>I104*I108</f>
        <v>13839.113924050633</v>
      </c>
      <c r="J109" s="1673"/>
      <c r="K109" s="1673"/>
      <c r="L109" s="1673"/>
      <c r="M109" s="1673"/>
      <c r="N109" s="1673"/>
      <c r="O109" s="1673">
        <f t="shared" ref="O109" si="0">O104*O108</f>
        <v>57630.39682539682</v>
      </c>
      <c r="P109" s="1673"/>
      <c r="Q109" s="1673"/>
      <c r="R109" s="1673"/>
      <c r="S109" s="1673"/>
      <c r="T109" s="1673"/>
      <c r="U109" s="1673">
        <f t="shared" ref="U109" si="1">U104*U108</f>
        <v>8182.2478991596636</v>
      </c>
      <c r="V109" s="1673"/>
      <c r="W109" s="1673"/>
      <c r="X109" s="1673"/>
      <c r="Y109" s="1673"/>
      <c r="Z109" s="1673"/>
      <c r="AA109" s="1673">
        <f t="shared" ref="AA109" si="2">AA104*AA108</f>
        <v>26844.067796610172</v>
      </c>
      <c r="AB109" s="1673"/>
      <c r="AC109" s="1673"/>
      <c r="AD109" s="1673"/>
      <c r="AE109" s="1673"/>
      <c r="AF109" s="1673"/>
    </row>
    <row r="110" spans="1:32" ht="30" customHeight="1" x14ac:dyDescent="0.25">
      <c r="A110" s="1653" t="s">
        <v>5902</v>
      </c>
      <c r="B110" s="1654"/>
      <c r="C110" s="1654"/>
      <c r="D110" s="1654"/>
      <c r="E110" s="1654"/>
      <c r="F110" s="1654"/>
      <c r="G110" s="1654"/>
      <c r="H110" s="1655"/>
      <c r="I110" s="1656">
        <f>SUM(I103,I107,O107,I109,O109)</f>
        <v>91212.367892304595</v>
      </c>
      <c r="J110" s="1498"/>
      <c r="K110" s="1498"/>
      <c r="L110" s="1498"/>
      <c r="M110" s="1498"/>
      <c r="N110" s="1498"/>
      <c r="O110" s="1670"/>
      <c r="P110" s="1670"/>
      <c r="Q110" s="1670"/>
      <c r="R110" s="1670"/>
      <c r="S110" s="1670"/>
      <c r="T110" s="1671"/>
      <c r="U110" s="1656">
        <f>SUM(U103,U107,AA107,U109,AA109)</f>
        <v>53022.674239187203</v>
      </c>
      <c r="V110" s="1498"/>
      <c r="W110" s="1498"/>
      <c r="X110" s="1498"/>
      <c r="Y110" s="1498"/>
      <c r="Z110" s="1498"/>
      <c r="AA110" s="1670"/>
      <c r="AB110" s="1670"/>
      <c r="AC110" s="1670"/>
      <c r="AD110" s="1670"/>
      <c r="AE110" s="1670"/>
      <c r="AF110" s="1671"/>
    </row>
    <row r="111" spans="1:32" x14ac:dyDescent="0.25">
      <c r="A111" s="1667" t="s">
        <v>5903</v>
      </c>
      <c r="B111" s="1668"/>
      <c r="C111" s="1668"/>
      <c r="D111" s="1668"/>
      <c r="E111" s="1668"/>
      <c r="F111" s="1668"/>
      <c r="G111" s="1668"/>
      <c r="H111" s="1668"/>
      <c r="I111" s="1668"/>
      <c r="J111" s="1668"/>
      <c r="K111" s="1668"/>
      <c r="L111" s="1668"/>
      <c r="M111" s="1668"/>
      <c r="N111" s="1668"/>
      <c r="O111" s="1668"/>
      <c r="P111" s="1668"/>
      <c r="Q111" s="1668"/>
      <c r="R111" s="1668"/>
      <c r="S111" s="1668"/>
      <c r="T111" s="1668"/>
      <c r="U111" s="1668"/>
      <c r="V111" s="1668"/>
      <c r="W111" s="1668"/>
      <c r="X111" s="1668"/>
      <c r="Y111" s="1668"/>
      <c r="Z111" s="1668"/>
      <c r="AA111" s="1668"/>
      <c r="AB111" s="1668"/>
      <c r="AC111" s="1668"/>
      <c r="AD111" s="1668"/>
      <c r="AE111" s="1668"/>
      <c r="AF111" s="1669"/>
    </row>
    <row r="112" spans="1:32" ht="15" customHeight="1" x14ac:dyDescent="0.25">
      <c r="A112" s="1529"/>
      <c r="B112" s="1529"/>
      <c r="C112" s="1529"/>
      <c r="D112" s="1529"/>
      <c r="E112" s="1529"/>
      <c r="F112" s="1529"/>
      <c r="G112" s="1529"/>
      <c r="H112" s="1530"/>
      <c r="I112" s="1534" t="s">
        <v>129</v>
      </c>
      <c r="J112" s="1535"/>
      <c r="K112" s="1535"/>
      <c r="L112" s="1535"/>
      <c r="M112" s="1535"/>
      <c r="N112" s="1535"/>
      <c r="O112" s="1535"/>
      <c r="P112" s="1535"/>
      <c r="Q112" s="1535"/>
      <c r="R112" s="1535"/>
      <c r="S112" s="1535"/>
      <c r="T112" s="1536"/>
      <c r="U112" s="1534" t="s">
        <v>145</v>
      </c>
      <c r="V112" s="1535"/>
      <c r="W112" s="1535"/>
      <c r="X112" s="1535"/>
      <c r="Y112" s="1535"/>
      <c r="Z112" s="1535"/>
      <c r="AA112" s="1535"/>
      <c r="AB112" s="1535"/>
      <c r="AC112" s="1535"/>
      <c r="AD112" s="1535"/>
      <c r="AE112" s="1535"/>
      <c r="AF112" s="1536"/>
    </row>
    <row r="113" spans="1:32" ht="15" customHeight="1" x14ac:dyDescent="0.25">
      <c r="A113" s="1532"/>
      <c r="B113" s="1532"/>
      <c r="C113" s="1532"/>
      <c r="D113" s="1532"/>
      <c r="E113" s="1532"/>
      <c r="F113" s="1532"/>
      <c r="G113" s="1532"/>
      <c r="H113" s="1533"/>
      <c r="I113" s="1497" t="s">
        <v>5898</v>
      </c>
      <c r="J113" s="1498"/>
      <c r="K113" s="1498"/>
      <c r="L113" s="1498"/>
      <c r="M113" s="1498"/>
      <c r="N113" s="1499"/>
      <c r="O113" s="1497" t="s">
        <v>5899</v>
      </c>
      <c r="P113" s="1498"/>
      <c r="Q113" s="1498"/>
      <c r="R113" s="1498"/>
      <c r="S113" s="1498"/>
      <c r="T113" s="1499"/>
      <c r="U113" s="1497" t="s">
        <v>5898</v>
      </c>
      <c r="V113" s="1498"/>
      <c r="W113" s="1498"/>
      <c r="X113" s="1498"/>
      <c r="Y113" s="1498"/>
      <c r="Z113" s="1499"/>
      <c r="AA113" s="1497" t="s">
        <v>5899</v>
      </c>
      <c r="AB113" s="1498"/>
      <c r="AC113" s="1498"/>
      <c r="AD113" s="1498"/>
      <c r="AE113" s="1498"/>
      <c r="AF113" s="1499"/>
    </row>
    <row r="114" spans="1:32" ht="48" customHeight="1" x14ac:dyDescent="0.25">
      <c r="A114" s="1653" t="s">
        <v>5948</v>
      </c>
      <c r="B114" s="1654"/>
      <c r="C114" s="1654"/>
      <c r="D114" s="1654"/>
      <c r="E114" s="1654"/>
      <c r="F114" s="1654"/>
      <c r="G114" s="1654"/>
      <c r="H114" s="1655"/>
      <c r="I114" s="1664">
        <v>0.5</v>
      </c>
      <c r="J114" s="1665"/>
      <c r="K114" s="1665"/>
      <c r="L114" s="1665"/>
      <c r="M114" s="1665"/>
      <c r="N114" s="1666"/>
      <c r="O114" s="1664">
        <v>0.5</v>
      </c>
      <c r="P114" s="1665"/>
      <c r="Q114" s="1665"/>
      <c r="R114" s="1665"/>
      <c r="S114" s="1665"/>
      <c r="T114" s="1666"/>
      <c r="U114" s="1664">
        <v>0.5</v>
      </c>
      <c r="V114" s="1665"/>
      <c r="W114" s="1665"/>
      <c r="X114" s="1665"/>
      <c r="Y114" s="1665"/>
      <c r="Z114" s="1666"/>
      <c r="AA114" s="1664">
        <v>0.5</v>
      </c>
      <c r="AB114" s="1665"/>
      <c r="AC114" s="1665"/>
      <c r="AD114" s="1665"/>
      <c r="AE114" s="1665"/>
      <c r="AF114" s="1666"/>
    </row>
    <row r="115" spans="1:32" ht="53.25" customHeight="1" x14ac:dyDescent="0.25">
      <c r="A115" s="1653" t="s">
        <v>5949</v>
      </c>
      <c r="B115" s="1654"/>
      <c r="C115" s="1654"/>
      <c r="D115" s="1654"/>
      <c r="E115" s="1654"/>
      <c r="F115" s="1654"/>
      <c r="G115" s="1654"/>
      <c r="H115" s="1655"/>
      <c r="I115" s="1664">
        <v>0.72</v>
      </c>
      <c r="J115" s="1665"/>
      <c r="K115" s="1665"/>
      <c r="L115" s="1665"/>
      <c r="M115" s="1665"/>
      <c r="N115" s="1666"/>
      <c r="O115" s="1664">
        <v>0.49</v>
      </c>
      <c r="P115" s="1665"/>
      <c r="Q115" s="1665"/>
      <c r="R115" s="1665"/>
      <c r="S115" s="1665"/>
      <c r="T115" s="1666"/>
      <c r="U115" s="1664">
        <v>0.78</v>
      </c>
      <c r="V115" s="1665"/>
      <c r="W115" s="1665"/>
      <c r="X115" s="1665"/>
      <c r="Y115" s="1665"/>
      <c r="Z115" s="1666"/>
      <c r="AA115" s="1664">
        <v>0.55000000000000004</v>
      </c>
      <c r="AB115" s="1665"/>
      <c r="AC115" s="1665"/>
      <c r="AD115" s="1665"/>
      <c r="AE115" s="1665"/>
      <c r="AF115" s="1666"/>
    </row>
    <row r="116" spans="1:32" ht="58.5" customHeight="1" x14ac:dyDescent="0.25">
      <c r="A116" s="1653" t="s">
        <v>5950</v>
      </c>
      <c r="B116" s="1654"/>
      <c r="C116" s="1654"/>
      <c r="D116" s="1654"/>
      <c r="E116" s="1654"/>
      <c r="F116" s="1654"/>
      <c r="G116" s="1654"/>
      <c r="H116" s="1655"/>
      <c r="I116" s="1497">
        <v>79</v>
      </c>
      <c r="J116" s="1498"/>
      <c r="K116" s="1498"/>
      <c r="L116" s="1498"/>
      <c r="M116" s="1498"/>
      <c r="N116" s="1499"/>
      <c r="O116" s="1497">
        <v>126</v>
      </c>
      <c r="P116" s="1498"/>
      <c r="Q116" s="1498"/>
      <c r="R116" s="1498"/>
      <c r="S116" s="1498"/>
      <c r="T116" s="1499"/>
      <c r="U116" s="1497">
        <v>119</v>
      </c>
      <c r="V116" s="1498"/>
      <c r="W116" s="1498"/>
      <c r="X116" s="1498"/>
      <c r="Y116" s="1498"/>
      <c r="Z116" s="1499"/>
      <c r="AA116" s="1497">
        <v>177</v>
      </c>
      <c r="AB116" s="1498"/>
      <c r="AC116" s="1498"/>
      <c r="AD116" s="1498"/>
      <c r="AE116" s="1498"/>
      <c r="AF116" s="1499"/>
    </row>
    <row r="117" spans="1:32" ht="42" customHeight="1" x14ac:dyDescent="0.25">
      <c r="A117" s="1653" t="s">
        <v>5951</v>
      </c>
      <c r="B117" s="1654"/>
      <c r="C117" s="1654"/>
      <c r="D117" s="1654"/>
      <c r="E117" s="1654"/>
      <c r="F117" s="1654"/>
      <c r="G117" s="1654"/>
      <c r="H117" s="1655"/>
      <c r="I117" s="1497">
        <v>1</v>
      </c>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9"/>
    </row>
    <row r="118" spans="1:32" ht="43.5" customHeight="1" x14ac:dyDescent="0.25">
      <c r="A118" s="1653" t="s">
        <v>5952</v>
      </c>
      <c r="B118" s="1654"/>
      <c r="C118" s="1654"/>
      <c r="D118" s="1654"/>
      <c r="E118" s="1654"/>
      <c r="F118" s="1654"/>
      <c r="G118" s="1654"/>
      <c r="H118" s="1655"/>
      <c r="I118" s="1497">
        <v>15</v>
      </c>
      <c r="J118" s="1498"/>
      <c r="K118" s="1498"/>
      <c r="L118" s="1498"/>
      <c r="M118" s="1498"/>
      <c r="N118" s="1498"/>
      <c r="O118" s="1498"/>
      <c r="P118" s="1498"/>
      <c r="Q118" s="1498"/>
      <c r="R118" s="1498"/>
      <c r="S118" s="1498"/>
      <c r="T118" s="1498"/>
      <c r="U118" s="1498"/>
      <c r="V118" s="1498"/>
      <c r="W118" s="1498"/>
      <c r="X118" s="1498"/>
      <c r="Y118" s="1498"/>
      <c r="Z118" s="1498"/>
      <c r="AA118" s="1498"/>
      <c r="AB118" s="1498"/>
      <c r="AC118" s="1498"/>
      <c r="AD118" s="1498"/>
      <c r="AE118" s="1498"/>
      <c r="AF118" s="1499"/>
    </row>
    <row r="119" spans="1:32" ht="39" customHeight="1" x14ac:dyDescent="0.25">
      <c r="A119" s="1653" t="s">
        <v>5953</v>
      </c>
      <c r="B119" s="1654"/>
      <c r="C119" s="1654"/>
      <c r="D119" s="1654"/>
      <c r="E119" s="1654"/>
      <c r="F119" s="1654"/>
      <c r="G119" s="1654"/>
      <c r="H119" s="1655"/>
      <c r="I119" s="1497">
        <v>3000</v>
      </c>
      <c r="J119" s="1498"/>
      <c r="K119" s="1498"/>
      <c r="L119" s="1498"/>
      <c r="M119" s="1498"/>
      <c r="N119" s="1498"/>
      <c r="O119" s="1498"/>
      <c r="P119" s="1498"/>
      <c r="Q119" s="1498"/>
      <c r="R119" s="1498"/>
      <c r="S119" s="1498"/>
      <c r="T119" s="1499"/>
      <c r="U119" s="1497">
        <v>1500</v>
      </c>
      <c r="V119" s="1498"/>
      <c r="W119" s="1498"/>
      <c r="X119" s="1498"/>
      <c r="Y119" s="1498"/>
      <c r="Z119" s="1498"/>
      <c r="AA119" s="1498"/>
      <c r="AB119" s="1498"/>
      <c r="AC119" s="1498"/>
      <c r="AD119" s="1498"/>
      <c r="AE119" s="1498"/>
      <c r="AF119" s="1499"/>
    </row>
    <row r="120" spans="1:32" ht="62.25" customHeight="1" x14ac:dyDescent="0.25">
      <c r="A120" s="1653" t="s">
        <v>5958</v>
      </c>
      <c r="B120" s="1654"/>
      <c r="C120" s="1654"/>
      <c r="D120" s="1654"/>
      <c r="E120" s="1654"/>
      <c r="F120" s="1654"/>
      <c r="G120" s="1654"/>
      <c r="H120" s="1655"/>
      <c r="I120" s="1497">
        <v>1320</v>
      </c>
      <c r="J120" s="1498"/>
      <c r="K120" s="1498"/>
      <c r="L120" s="1498"/>
      <c r="M120" s="1498"/>
      <c r="N120" s="1499"/>
      <c r="O120" s="1497">
        <v>5260</v>
      </c>
      <c r="P120" s="1498"/>
      <c r="Q120" s="1498"/>
      <c r="R120" s="1498"/>
      <c r="S120" s="1498"/>
      <c r="T120" s="1499"/>
      <c r="U120" s="1497">
        <f>((0.083*10)+0.35)*1000</f>
        <v>1180.0000000000002</v>
      </c>
      <c r="V120" s="1498"/>
      <c r="W120" s="1498"/>
      <c r="X120" s="1498"/>
      <c r="Y120" s="1498"/>
      <c r="Z120" s="1499"/>
      <c r="AA120" s="1497">
        <f>((0.133*10)+0.64)*1000</f>
        <v>1970.0000000000002</v>
      </c>
      <c r="AB120" s="1498"/>
      <c r="AC120" s="1498"/>
      <c r="AD120" s="1498"/>
      <c r="AE120" s="1498"/>
      <c r="AF120" s="1499"/>
    </row>
    <row r="121" spans="1:32" ht="59.25" customHeight="1" x14ac:dyDescent="0.25">
      <c r="A121" s="1653" t="s">
        <v>5955</v>
      </c>
      <c r="B121" s="1654"/>
      <c r="C121" s="1654"/>
      <c r="D121" s="1654"/>
      <c r="E121" s="1654"/>
      <c r="F121" s="1654"/>
      <c r="G121" s="1654"/>
      <c r="H121" s="1655"/>
      <c r="I121" s="1497">
        <v>73.2</v>
      </c>
      <c r="J121" s="1498"/>
      <c r="K121" s="1498"/>
      <c r="L121" s="1498"/>
      <c r="M121" s="1498"/>
      <c r="N121" s="1499"/>
      <c r="O121" s="1497">
        <v>30.8</v>
      </c>
      <c r="P121" s="1498"/>
      <c r="Q121" s="1498"/>
      <c r="R121" s="1498"/>
      <c r="S121" s="1498"/>
      <c r="T121" s="1499"/>
      <c r="U121" s="1497">
        <v>73.2</v>
      </c>
      <c r="V121" s="1498"/>
      <c r="W121" s="1498"/>
      <c r="X121" s="1498"/>
      <c r="Y121" s="1498"/>
      <c r="Z121" s="1499"/>
      <c r="AA121" s="1497">
        <v>30.8</v>
      </c>
      <c r="AB121" s="1498"/>
      <c r="AC121" s="1498"/>
      <c r="AD121" s="1498"/>
      <c r="AE121" s="1498"/>
      <c r="AF121" s="1499"/>
    </row>
    <row r="122" spans="1:32" ht="40.5" customHeight="1" x14ac:dyDescent="0.25">
      <c r="A122" s="1653" t="s">
        <v>5900</v>
      </c>
      <c r="B122" s="1654"/>
      <c r="C122" s="1654"/>
      <c r="D122" s="1654"/>
      <c r="E122" s="1654"/>
      <c r="F122" s="1654"/>
      <c r="G122" s="1654"/>
      <c r="H122" s="1655"/>
      <c r="I122" s="1497">
        <v>200</v>
      </c>
      <c r="J122" s="1498"/>
      <c r="K122" s="1498"/>
      <c r="L122" s="1498"/>
      <c r="M122" s="1498"/>
      <c r="N122" s="1498"/>
      <c r="O122" s="1498"/>
      <c r="P122" s="1498"/>
      <c r="Q122" s="1498"/>
      <c r="R122" s="1498"/>
      <c r="S122" s="1498"/>
      <c r="T122" s="1498"/>
      <c r="U122" s="1498"/>
      <c r="V122" s="1498"/>
      <c r="W122" s="1498"/>
      <c r="X122" s="1498"/>
      <c r="Y122" s="1498"/>
      <c r="Z122" s="1498"/>
      <c r="AA122" s="1498"/>
      <c r="AB122" s="1498"/>
      <c r="AC122" s="1498"/>
      <c r="AD122" s="1498"/>
      <c r="AE122" s="1498"/>
      <c r="AF122" s="1499"/>
    </row>
    <row r="123" spans="1:32" ht="57.75" customHeight="1" x14ac:dyDescent="0.25">
      <c r="A123" s="1653" t="s">
        <v>5956</v>
      </c>
      <c r="B123" s="1654"/>
      <c r="C123" s="1654"/>
      <c r="D123" s="1654"/>
      <c r="E123" s="1654"/>
      <c r="F123" s="1654"/>
      <c r="G123" s="1654"/>
      <c r="H123" s="1655"/>
      <c r="I123" s="1656">
        <f>I121*I122*I114/I115</f>
        <v>10166.666666666668</v>
      </c>
      <c r="J123" s="1657"/>
      <c r="K123" s="1657"/>
      <c r="L123" s="1657"/>
      <c r="M123" s="1657"/>
      <c r="N123" s="1658"/>
      <c r="O123" s="1656">
        <f>O121*I122*O114/O115</f>
        <v>6285.7142857142862</v>
      </c>
      <c r="P123" s="1657"/>
      <c r="Q123" s="1657"/>
      <c r="R123" s="1657"/>
      <c r="S123" s="1657"/>
      <c r="T123" s="1658"/>
      <c r="U123" s="1656">
        <f>U121*I122*U114/U115</f>
        <v>9384.6153846153848</v>
      </c>
      <c r="V123" s="1657"/>
      <c r="W123" s="1657"/>
      <c r="X123" s="1657"/>
      <c r="Y123" s="1657"/>
      <c r="Z123" s="1658"/>
      <c r="AA123" s="1656">
        <f>AA121*I122*AA114/AA115</f>
        <v>5600</v>
      </c>
      <c r="AB123" s="1657"/>
      <c r="AC123" s="1657"/>
      <c r="AD123" s="1657"/>
      <c r="AE123" s="1657"/>
      <c r="AF123" s="1658"/>
    </row>
    <row r="124" spans="1:32" ht="65.25" customHeight="1" x14ac:dyDescent="0.25">
      <c r="A124" s="1653" t="s">
        <v>5957</v>
      </c>
      <c r="B124" s="1654"/>
      <c r="C124" s="1654"/>
      <c r="D124" s="1654"/>
      <c r="E124" s="1654"/>
      <c r="F124" s="1654"/>
      <c r="G124" s="1654"/>
      <c r="H124" s="1655"/>
      <c r="I124" s="1661">
        <f>$Q$87-(I122*I114/I116)-(I118/60)</f>
        <v>10.484177215189874</v>
      </c>
      <c r="J124" s="1662"/>
      <c r="K124" s="1662"/>
      <c r="L124" s="1662"/>
      <c r="M124" s="1662"/>
      <c r="N124" s="1663"/>
      <c r="O124" s="1661">
        <f>$Q$87-(I122*O114/O116)-(I118/60)</f>
        <v>10.956349206349206</v>
      </c>
      <c r="P124" s="1662"/>
      <c r="Q124" s="1662"/>
      <c r="R124" s="1662"/>
      <c r="S124" s="1662"/>
      <c r="T124" s="1663"/>
      <c r="U124" s="1661">
        <f>$Q$87-(I122*U114/U116)-(I118/60)</f>
        <v>10.909663865546218</v>
      </c>
      <c r="V124" s="1662"/>
      <c r="W124" s="1662"/>
      <c r="X124" s="1662"/>
      <c r="Y124" s="1662"/>
      <c r="Z124" s="1663"/>
      <c r="AA124" s="1661">
        <f>$Q$87-(I122*AA114/AA116)-(I118/60)</f>
        <v>11.185028248587571</v>
      </c>
      <c r="AB124" s="1662"/>
      <c r="AC124" s="1662"/>
      <c r="AD124" s="1662"/>
      <c r="AE124" s="1662"/>
      <c r="AF124" s="1663"/>
    </row>
    <row r="125" spans="1:32" x14ac:dyDescent="0.25">
      <c r="A125" s="1647" t="s">
        <v>5959</v>
      </c>
      <c r="B125" s="1648"/>
      <c r="C125" s="1648"/>
      <c r="D125" s="1648"/>
      <c r="E125" s="1648"/>
      <c r="F125" s="1648"/>
      <c r="G125" s="1648"/>
      <c r="H125" s="1649"/>
      <c r="I125" s="1650">
        <f>I120*I124</f>
        <v>13839.113924050633</v>
      </c>
      <c r="J125" s="1651"/>
      <c r="K125" s="1651"/>
      <c r="L125" s="1651"/>
      <c r="M125" s="1651"/>
      <c r="N125" s="1652"/>
      <c r="O125" s="1650">
        <f t="shared" ref="O125" si="3">O120*O124</f>
        <v>57630.39682539682</v>
      </c>
      <c r="P125" s="1651"/>
      <c r="Q125" s="1651"/>
      <c r="R125" s="1651"/>
      <c r="S125" s="1651"/>
      <c r="T125" s="1652"/>
      <c r="U125" s="1650">
        <f>U120*U124</f>
        <v>12873.403361344539</v>
      </c>
      <c r="V125" s="1651"/>
      <c r="W125" s="1651"/>
      <c r="X125" s="1651"/>
      <c r="Y125" s="1651"/>
      <c r="Z125" s="1652"/>
      <c r="AA125" s="1650">
        <f t="shared" ref="AA125" si="4">AA120*AA124</f>
        <v>22034.505649717517</v>
      </c>
      <c r="AB125" s="1651"/>
      <c r="AC125" s="1651"/>
      <c r="AD125" s="1651"/>
      <c r="AE125" s="1651"/>
      <c r="AF125" s="1652"/>
    </row>
    <row r="126" spans="1:32" ht="30" customHeight="1" x14ac:dyDescent="0.25">
      <c r="A126" s="1653" t="s">
        <v>5902</v>
      </c>
      <c r="B126" s="1654"/>
      <c r="C126" s="1654"/>
      <c r="D126" s="1654"/>
      <c r="E126" s="1654"/>
      <c r="F126" s="1654"/>
      <c r="G126" s="1654"/>
      <c r="H126" s="1655"/>
      <c r="I126" s="1656">
        <f>SUM(I119,I123:T123,I125:T125)</f>
        <v>90921.891701828397</v>
      </c>
      <c r="J126" s="1657"/>
      <c r="K126" s="1657"/>
      <c r="L126" s="1657"/>
      <c r="M126" s="1657"/>
      <c r="N126" s="1657"/>
      <c r="O126" s="1657"/>
      <c r="P126" s="1657"/>
      <c r="Q126" s="1657"/>
      <c r="R126" s="1657"/>
      <c r="S126" s="1657"/>
      <c r="T126" s="1658"/>
      <c r="U126" s="1656">
        <f>SUM(U119,U123:AF123,U125:AF125)</f>
        <v>51392.524395677436</v>
      </c>
      <c r="V126" s="1657"/>
      <c r="W126" s="1657"/>
      <c r="X126" s="1657"/>
      <c r="Y126" s="1657"/>
      <c r="Z126" s="1657"/>
      <c r="AA126" s="1657"/>
      <c r="AB126" s="1657"/>
      <c r="AC126" s="1657"/>
      <c r="AD126" s="1657"/>
      <c r="AE126" s="1657"/>
      <c r="AF126" s="1658"/>
    </row>
    <row r="127" spans="1:32" x14ac:dyDescent="0.25">
      <c r="A127" s="1667" t="s">
        <v>5904</v>
      </c>
      <c r="B127" s="1668"/>
      <c r="C127" s="1668"/>
      <c r="D127" s="1668"/>
      <c r="E127" s="1668"/>
      <c r="F127" s="1668"/>
      <c r="G127" s="1668"/>
      <c r="H127" s="1668"/>
      <c r="I127" s="1668"/>
      <c r="J127" s="1668"/>
      <c r="K127" s="1668"/>
      <c r="L127" s="1668"/>
      <c r="M127" s="1668"/>
      <c r="N127" s="1668"/>
      <c r="O127" s="1668"/>
      <c r="P127" s="1668"/>
      <c r="Q127" s="1668"/>
      <c r="R127" s="1668"/>
      <c r="S127" s="1668"/>
      <c r="T127" s="1668"/>
      <c r="U127" s="1668"/>
      <c r="V127" s="1668"/>
      <c r="W127" s="1668"/>
      <c r="X127" s="1668"/>
      <c r="Y127" s="1668"/>
      <c r="Z127" s="1668"/>
      <c r="AA127" s="1668"/>
      <c r="AB127" s="1668"/>
      <c r="AC127" s="1668"/>
      <c r="AD127" s="1668"/>
      <c r="AE127" s="1668"/>
      <c r="AF127" s="1669"/>
    </row>
    <row r="128" spans="1:32" ht="15" customHeight="1" x14ac:dyDescent="0.25">
      <c r="A128" s="1529"/>
      <c r="B128" s="1529"/>
      <c r="C128" s="1529"/>
      <c r="D128" s="1529"/>
      <c r="E128" s="1529"/>
      <c r="F128" s="1529"/>
      <c r="G128" s="1529"/>
      <c r="H128" s="1530"/>
      <c r="I128" s="1534" t="s">
        <v>129</v>
      </c>
      <c r="J128" s="1535"/>
      <c r="K128" s="1535"/>
      <c r="L128" s="1535"/>
      <c r="M128" s="1535"/>
      <c r="N128" s="1535"/>
      <c r="O128" s="1535"/>
      <c r="P128" s="1535"/>
      <c r="Q128" s="1535"/>
      <c r="R128" s="1535"/>
      <c r="S128" s="1535"/>
      <c r="T128" s="1536"/>
      <c r="U128" s="1534" t="s">
        <v>145</v>
      </c>
      <c r="V128" s="1535"/>
      <c r="W128" s="1535"/>
      <c r="X128" s="1535"/>
      <c r="Y128" s="1535"/>
      <c r="Z128" s="1535"/>
      <c r="AA128" s="1535"/>
      <c r="AB128" s="1535"/>
      <c r="AC128" s="1535"/>
      <c r="AD128" s="1535"/>
      <c r="AE128" s="1535"/>
      <c r="AF128" s="1536"/>
    </row>
    <row r="129" spans="1:32" ht="15" customHeight="1" x14ac:dyDescent="0.25">
      <c r="A129" s="1532"/>
      <c r="B129" s="1532"/>
      <c r="C129" s="1532"/>
      <c r="D129" s="1532"/>
      <c r="E129" s="1532"/>
      <c r="F129" s="1532"/>
      <c r="G129" s="1532"/>
      <c r="H129" s="1533"/>
      <c r="I129" s="1497" t="s">
        <v>5898</v>
      </c>
      <c r="J129" s="1498"/>
      <c r="K129" s="1498"/>
      <c r="L129" s="1498"/>
      <c r="M129" s="1498"/>
      <c r="N129" s="1499"/>
      <c r="O129" s="1497" t="s">
        <v>5899</v>
      </c>
      <c r="P129" s="1498"/>
      <c r="Q129" s="1498"/>
      <c r="R129" s="1498"/>
      <c r="S129" s="1498"/>
      <c r="T129" s="1499"/>
      <c r="U129" s="1497" t="s">
        <v>5898</v>
      </c>
      <c r="V129" s="1498"/>
      <c r="W129" s="1498"/>
      <c r="X129" s="1498"/>
      <c r="Y129" s="1498"/>
      <c r="Z129" s="1499"/>
      <c r="AA129" s="1497" t="s">
        <v>5899</v>
      </c>
      <c r="AB129" s="1498"/>
      <c r="AC129" s="1498"/>
      <c r="AD129" s="1498"/>
      <c r="AE129" s="1498"/>
      <c r="AF129" s="1499"/>
    </row>
    <row r="130" spans="1:32" ht="48" customHeight="1" x14ac:dyDescent="0.25">
      <c r="A130" s="1653" t="s">
        <v>5948</v>
      </c>
      <c r="B130" s="1654"/>
      <c r="C130" s="1654"/>
      <c r="D130" s="1654"/>
      <c r="E130" s="1654"/>
      <c r="F130" s="1654"/>
      <c r="G130" s="1654"/>
      <c r="H130" s="1655"/>
      <c r="I130" s="1664">
        <v>0.5</v>
      </c>
      <c r="J130" s="1665"/>
      <c r="K130" s="1665"/>
      <c r="L130" s="1665"/>
      <c r="M130" s="1665"/>
      <c r="N130" s="1666"/>
      <c r="O130" s="1664">
        <v>0.5</v>
      </c>
      <c r="P130" s="1665"/>
      <c r="Q130" s="1665"/>
      <c r="R130" s="1665"/>
      <c r="S130" s="1665"/>
      <c r="T130" s="1666"/>
      <c r="U130" s="1664">
        <v>0.5</v>
      </c>
      <c r="V130" s="1665"/>
      <c r="W130" s="1665"/>
      <c r="X130" s="1665"/>
      <c r="Y130" s="1665"/>
      <c r="Z130" s="1666"/>
      <c r="AA130" s="1664">
        <v>0.5</v>
      </c>
      <c r="AB130" s="1665"/>
      <c r="AC130" s="1665"/>
      <c r="AD130" s="1665"/>
      <c r="AE130" s="1665"/>
      <c r="AF130" s="1666"/>
    </row>
    <row r="131" spans="1:32" ht="53.25" customHeight="1" x14ac:dyDescent="0.25">
      <c r="A131" s="1653" t="s">
        <v>5949</v>
      </c>
      <c r="B131" s="1654"/>
      <c r="C131" s="1654"/>
      <c r="D131" s="1654"/>
      <c r="E131" s="1654"/>
      <c r="F131" s="1654"/>
      <c r="G131" s="1654"/>
      <c r="H131" s="1655"/>
      <c r="I131" s="1664">
        <v>0.72</v>
      </c>
      <c r="J131" s="1665"/>
      <c r="K131" s="1665"/>
      <c r="L131" s="1665"/>
      <c r="M131" s="1665"/>
      <c r="N131" s="1666"/>
      <c r="O131" s="1664">
        <v>0.49</v>
      </c>
      <c r="P131" s="1665"/>
      <c r="Q131" s="1665"/>
      <c r="R131" s="1665"/>
      <c r="S131" s="1665"/>
      <c r="T131" s="1666"/>
      <c r="U131" s="1664">
        <v>0.78</v>
      </c>
      <c r="V131" s="1665"/>
      <c r="W131" s="1665"/>
      <c r="X131" s="1665"/>
      <c r="Y131" s="1665"/>
      <c r="Z131" s="1666"/>
      <c r="AA131" s="1664">
        <v>0.55000000000000004</v>
      </c>
      <c r="AB131" s="1665"/>
      <c r="AC131" s="1665"/>
      <c r="AD131" s="1665"/>
      <c r="AE131" s="1665"/>
      <c r="AF131" s="1666"/>
    </row>
    <row r="132" spans="1:32" ht="58.5" customHeight="1" x14ac:dyDescent="0.25">
      <c r="A132" s="1653" t="s">
        <v>5950</v>
      </c>
      <c r="B132" s="1654"/>
      <c r="C132" s="1654"/>
      <c r="D132" s="1654"/>
      <c r="E132" s="1654"/>
      <c r="F132" s="1654"/>
      <c r="G132" s="1654"/>
      <c r="H132" s="1655"/>
      <c r="I132" s="1497">
        <v>166</v>
      </c>
      <c r="J132" s="1498"/>
      <c r="K132" s="1498"/>
      <c r="L132" s="1498"/>
      <c r="M132" s="1498"/>
      <c r="N132" s="1499"/>
      <c r="O132" s="1497">
        <v>201</v>
      </c>
      <c r="P132" s="1498"/>
      <c r="Q132" s="1498"/>
      <c r="R132" s="1498"/>
      <c r="S132" s="1498"/>
      <c r="T132" s="1499"/>
      <c r="U132" s="1497">
        <v>295</v>
      </c>
      <c r="V132" s="1498"/>
      <c r="W132" s="1498"/>
      <c r="X132" s="1498"/>
      <c r="Y132" s="1498"/>
      <c r="Z132" s="1499"/>
      <c r="AA132" s="1497">
        <v>349</v>
      </c>
      <c r="AB132" s="1498"/>
      <c r="AC132" s="1498"/>
      <c r="AD132" s="1498"/>
      <c r="AE132" s="1498"/>
      <c r="AF132" s="1499"/>
    </row>
    <row r="133" spans="1:32" ht="42" customHeight="1" x14ac:dyDescent="0.25">
      <c r="A133" s="1653" t="s">
        <v>5951</v>
      </c>
      <c r="B133" s="1654"/>
      <c r="C133" s="1654"/>
      <c r="D133" s="1654"/>
      <c r="E133" s="1654"/>
      <c r="F133" s="1654"/>
      <c r="G133" s="1654"/>
      <c r="H133" s="1655"/>
      <c r="I133" s="1497">
        <v>1</v>
      </c>
      <c r="J133" s="1498"/>
      <c r="K133" s="1498"/>
      <c r="L133" s="1498"/>
      <c r="M133" s="1498"/>
      <c r="N133" s="1498"/>
      <c r="O133" s="1498"/>
      <c r="P133" s="1498"/>
      <c r="Q133" s="1498"/>
      <c r="R133" s="1498"/>
      <c r="S133" s="1498"/>
      <c r="T133" s="1498"/>
      <c r="U133" s="1498"/>
      <c r="V133" s="1498"/>
      <c r="W133" s="1498"/>
      <c r="X133" s="1498"/>
      <c r="Y133" s="1498"/>
      <c r="Z133" s="1498"/>
      <c r="AA133" s="1498"/>
      <c r="AB133" s="1498"/>
      <c r="AC133" s="1498"/>
      <c r="AD133" s="1498"/>
      <c r="AE133" s="1498"/>
      <c r="AF133" s="1499"/>
    </row>
    <row r="134" spans="1:32" ht="43.5" customHeight="1" x14ac:dyDescent="0.25">
      <c r="A134" s="1653" t="s">
        <v>5952</v>
      </c>
      <c r="B134" s="1654"/>
      <c r="C134" s="1654"/>
      <c r="D134" s="1654"/>
      <c r="E134" s="1654"/>
      <c r="F134" s="1654"/>
      <c r="G134" s="1654"/>
      <c r="H134" s="1655"/>
      <c r="I134" s="1497">
        <v>15</v>
      </c>
      <c r="J134" s="1498"/>
      <c r="K134" s="1498"/>
      <c r="L134" s="1498"/>
      <c r="M134" s="1498"/>
      <c r="N134" s="1498"/>
      <c r="O134" s="1498"/>
      <c r="P134" s="1498"/>
      <c r="Q134" s="1498"/>
      <c r="R134" s="1498"/>
      <c r="S134" s="1498"/>
      <c r="T134" s="1498"/>
      <c r="U134" s="1498"/>
      <c r="V134" s="1498"/>
      <c r="W134" s="1498"/>
      <c r="X134" s="1498"/>
      <c r="Y134" s="1498"/>
      <c r="Z134" s="1498"/>
      <c r="AA134" s="1498"/>
      <c r="AB134" s="1498"/>
      <c r="AC134" s="1498"/>
      <c r="AD134" s="1498"/>
      <c r="AE134" s="1498"/>
      <c r="AF134" s="1499"/>
    </row>
    <row r="135" spans="1:32" ht="39" customHeight="1" x14ac:dyDescent="0.25">
      <c r="A135" s="1653" t="s">
        <v>5953</v>
      </c>
      <c r="B135" s="1654"/>
      <c r="C135" s="1654"/>
      <c r="D135" s="1654"/>
      <c r="E135" s="1654"/>
      <c r="F135" s="1654"/>
      <c r="G135" s="1654"/>
      <c r="H135" s="1655"/>
      <c r="I135" s="1497">
        <v>3750</v>
      </c>
      <c r="J135" s="1498"/>
      <c r="K135" s="1498"/>
      <c r="L135" s="1498"/>
      <c r="M135" s="1498"/>
      <c r="N135" s="1498"/>
      <c r="O135" s="1498"/>
      <c r="P135" s="1498"/>
      <c r="Q135" s="1498"/>
      <c r="R135" s="1498"/>
      <c r="S135" s="1498"/>
      <c r="T135" s="1499"/>
      <c r="U135" s="1497">
        <v>2000</v>
      </c>
      <c r="V135" s="1498"/>
      <c r="W135" s="1498"/>
      <c r="X135" s="1498"/>
      <c r="Y135" s="1498"/>
      <c r="Z135" s="1498"/>
      <c r="AA135" s="1498"/>
      <c r="AB135" s="1498"/>
      <c r="AC135" s="1498"/>
      <c r="AD135" s="1498"/>
      <c r="AE135" s="1498"/>
      <c r="AF135" s="1499"/>
    </row>
    <row r="136" spans="1:32" ht="62.25" customHeight="1" x14ac:dyDescent="0.25">
      <c r="A136" s="1653" t="s">
        <v>5960</v>
      </c>
      <c r="B136" s="1654"/>
      <c r="C136" s="1654"/>
      <c r="D136" s="1654"/>
      <c r="E136" s="1654"/>
      <c r="F136" s="1654"/>
      <c r="G136" s="1654"/>
      <c r="H136" s="1655"/>
      <c r="I136" s="1497">
        <v>2280</v>
      </c>
      <c r="J136" s="1498"/>
      <c r="K136" s="1498"/>
      <c r="L136" s="1498"/>
      <c r="M136" s="1498"/>
      <c r="N136" s="1499"/>
      <c r="O136" s="1497">
        <v>8710</v>
      </c>
      <c r="P136" s="1498"/>
      <c r="Q136" s="1498"/>
      <c r="R136" s="1498"/>
      <c r="S136" s="1498"/>
      <c r="T136" s="1499"/>
      <c r="U136" s="1497">
        <f>((0.083*22)+0.35)*1000</f>
        <v>2176</v>
      </c>
      <c r="V136" s="1498"/>
      <c r="W136" s="1498"/>
      <c r="X136" s="1498"/>
      <c r="Y136" s="1498"/>
      <c r="Z136" s="1499"/>
      <c r="AA136" s="1497">
        <f>((0.133*22)+0.64)*1000</f>
        <v>3566.0000000000005</v>
      </c>
      <c r="AB136" s="1498"/>
      <c r="AC136" s="1498"/>
      <c r="AD136" s="1498"/>
      <c r="AE136" s="1498"/>
      <c r="AF136" s="1499"/>
    </row>
    <row r="137" spans="1:32" ht="59.25" customHeight="1" x14ac:dyDescent="0.25">
      <c r="A137" s="1653" t="s">
        <v>5955</v>
      </c>
      <c r="B137" s="1654"/>
      <c r="C137" s="1654"/>
      <c r="D137" s="1654"/>
      <c r="E137" s="1654"/>
      <c r="F137" s="1654"/>
      <c r="G137" s="1654"/>
      <c r="H137" s="1655"/>
      <c r="I137" s="1497">
        <v>73.2</v>
      </c>
      <c r="J137" s="1498"/>
      <c r="K137" s="1498"/>
      <c r="L137" s="1498"/>
      <c r="M137" s="1498"/>
      <c r="N137" s="1499"/>
      <c r="O137" s="1497">
        <v>30.8</v>
      </c>
      <c r="P137" s="1498"/>
      <c r="Q137" s="1498"/>
      <c r="R137" s="1498"/>
      <c r="S137" s="1498"/>
      <c r="T137" s="1499"/>
      <c r="U137" s="1497">
        <v>73.2</v>
      </c>
      <c r="V137" s="1498"/>
      <c r="W137" s="1498"/>
      <c r="X137" s="1498"/>
      <c r="Y137" s="1498"/>
      <c r="Z137" s="1499"/>
      <c r="AA137" s="1497">
        <v>30.8</v>
      </c>
      <c r="AB137" s="1498"/>
      <c r="AC137" s="1498"/>
      <c r="AD137" s="1498"/>
      <c r="AE137" s="1498"/>
      <c r="AF137" s="1499"/>
    </row>
    <row r="138" spans="1:32" ht="40.5" customHeight="1" x14ac:dyDescent="0.25">
      <c r="A138" s="1653" t="s">
        <v>5900</v>
      </c>
      <c r="B138" s="1654"/>
      <c r="C138" s="1654"/>
      <c r="D138" s="1654"/>
      <c r="E138" s="1654"/>
      <c r="F138" s="1654"/>
      <c r="G138" s="1654"/>
      <c r="H138" s="1655"/>
      <c r="I138" s="1497">
        <v>250</v>
      </c>
      <c r="J138" s="1498"/>
      <c r="K138" s="1498"/>
      <c r="L138" s="1498"/>
      <c r="M138" s="1498"/>
      <c r="N138" s="1498"/>
      <c r="O138" s="1498"/>
      <c r="P138" s="1498"/>
      <c r="Q138" s="1498"/>
      <c r="R138" s="1498"/>
      <c r="S138" s="1498"/>
      <c r="T138" s="1498"/>
      <c r="U138" s="1498"/>
      <c r="V138" s="1498"/>
      <c r="W138" s="1498"/>
      <c r="X138" s="1498"/>
      <c r="Y138" s="1498"/>
      <c r="Z138" s="1498"/>
      <c r="AA138" s="1498"/>
      <c r="AB138" s="1498"/>
      <c r="AC138" s="1498"/>
      <c r="AD138" s="1498"/>
      <c r="AE138" s="1498"/>
      <c r="AF138" s="1499"/>
    </row>
    <row r="139" spans="1:32" ht="57.75" customHeight="1" x14ac:dyDescent="0.25">
      <c r="A139" s="1653" t="s">
        <v>5956</v>
      </c>
      <c r="B139" s="1654"/>
      <c r="C139" s="1654"/>
      <c r="D139" s="1654"/>
      <c r="E139" s="1654"/>
      <c r="F139" s="1654"/>
      <c r="G139" s="1654"/>
      <c r="H139" s="1655"/>
      <c r="I139" s="1656">
        <f>I137*I138*I130/I131</f>
        <v>12708.333333333334</v>
      </c>
      <c r="J139" s="1657"/>
      <c r="K139" s="1657"/>
      <c r="L139" s="1657"/>
      <c r="M139" s="1657"/>
      <c r="N139" s="1658"/>
      <c r="O139" s="1656">
        <f>O137*I138*O130/O131</f>
        <v>7857.1428571428569</v>
      </c>
      <c r="P139" s="1657"/>
      <c r="Q139" s="1657"/>
      <c r="R139" s="1657"/>
      <c r="S139" s="1657"/>
      <c r="T139" s="1658"/>
      <c r="U139" s="1656">
        <f>U137*I138*U130/U131</f>
        <v>11730.76923076923</v>
      </c>
      <c r="V139" s="1657"/>
      <c r="W139" s="1657"/>
      <c r="X139" s="1657"/>
      <c r="Y139" s="1657"/>
      <c r="Z139" s="1658"/>
      <c r="AA139" s="1656">
        <f>AA137*I138*AA130/AA131</f>
        <v>6999.9999999999991</v>
      </c>
      <c r="AB139" s="1657"/>
      <c r="AC139" s="1657"/>
      <c r="AD139" s="1657"/>
      <c r="AE139" s="1657"/>
      <c r="AF139" s="1658"/>
    </row>
    <row r="140" spans="1:32" ht="65.25" customHeight="1" x14ac:dyDescent="0.25">
      <c r="A140" s="1653" t="s">
        <v>5957</v>
      </c>
      <c r="B140" s="1654"/>
      <c r="C140" s="1654"/>
      <c r="D140" s="1654"/>
      <c r="E140" s="1654"/>
      <c r="F140" s="1654"/>
      <c r="G140" s="1654"/>
      <c r="H140" s="1655"/>
      <c r="I140" s="1661">
        <f>$Q$87-(I138*I130/I132)-(I134/60)</f>
        <v>10.996987951807229</v>
      </c>
      <c r="J140" s="1662"/>
      <c r="K140" s="1662"/>
      <c r="L140" s="1662"/>
      <c r="M140" s="1662"/>
      <c r="N140" s="1663"/>
      <c r="O140" s="1661">
        <f>$Q$87-(I138*O130/O132)-(I134/60)</f>
        <v>11.128109452736318</v>
      </c>
      <c r="P140" s="1662"/>
      <c r="Q140" s="1662"/>
      <c r="R140" s="1662"/>
      <c r="S140" s="1662"/>
      <c r="T140" s="1663"/>
      <c r="U140" s="1661">
        <f>$Q$87-(I138*U130/U132)-(I134/60)</f>
        <v>11.326271186440678</v>
      </c>
      <c r="V140" s="1662"/>
      <c r="W140" s="1662"/>
      <c r="X140" s="1662"/>
      <c r="Y140" s="1662"/>
      <c r="Z140" s="1663"/>
      <c r="AA140" s="1661">
        <f>$Q$87-(I138*AA130/AA132)-(I134/60)</f>
        <v>11.391833810888253</v>
      </c>
      <c r="AB140" s="1662"/>
      <c r="AC140" s="1662"/>
      <c r="AD140" s="1662"/>
      <c r="AE140" s="1662"/>
      <c r="AF140" s="1663"/>
    </row>
    <row r="141" spans="1:32" x14ac:dyDescent="0.25">
      <c r="A141" s="1647" t="s">
        <v>5959</v>
      </c>
      <c r="B141" s="1648"/>
      <c r="C141" s="1648"/>
      <c r="D141" s="1648"/>
      <c r="E141" s="1648"/>
      <c r="F141" s="1648"/>
      <c r="G141" s="1648"/>
      <c r="H141" s="1649"/>
      <c r="I141" s="1650">
        <f>I136*I140</f>
        <v>25073.132530120482</v>
      </c>
      <c r="J141" s="1651"/>
      <c r="K141" s="1651"/>
      <c r="L141" s="1651"/>
      <c r="M141" s="1651"/>
      <c r="N141" s="1652"/>
      <c r="O141" s="1650">
        <f t="shared" ref="O141" si="5">O136*O140</f>
        <v>96925.833333333328</v>
      </c>
      <c r="P141" s="1651"/>
      <c r="Q141" s="1651"/>
      <c r="R141" s="1651"/>
      <c r="S141" s="1651"/>
      <c r="T141" s="1652"/>
      <c r="U141" s="1650">
        <f t="shared" ref="U141" si="6">U136*U140</f>
        <v>24645.966101694918</v>
      </c>
      <c r="V141" s="1651"/>
      <c r="W141" s="1651"/>
      <c r="X141" s="1651"/>
      <c r="Y141" s="1651"/>
      <c r="Z141" s="1652"/>
      <c r="AA141" s="1650">
        <f t="shared" ref="AA141" si="7">AA136*AA140</f>
        <v>40623.279369627511</v>
      </c>
      <c r="AB141" s="1651"/>
      <c r="AC141" s="1651"/>
      <c r="AD141" s="1651"/>
      <c r="AE141" s="1651"/>
      <c r="AF141" s="1652"/>
    </row>
    <row r="142" spans="1:32" ht="30" customHeight="1" x14ac:dyDescent="0.25">
      <c r="A142" s="1653" t="s">
        <v>5902</v>
      </c>
      <c r="B142" s="1654"/>
      <c r="C142" s="1654"/>
      <c r="D142" s="1654"/>
      <c r="E142" s="1654"/>
      <c r="F142" s="1654"/>
      <c r="G142" s="1654"/>
      <c r="H142" s="1655"/>
      <c r="I142" s="1656">
        <f>SUM(I135,I139:T139,I141:T141)</f>
        <v>146314.44205393002</v>
      </c>
      <c r="J142" s="1657"/>
      <c r="K142" s="1657"/>
      <c r="L142" s="1657"/>
      <c r="M142" s="1657"/>
      <c r="N142" s="1657"/>
      <c r="O142" s="1657"/>
      <c r="P142" s="1657"/>
      <c r="Q142" s="1657"/>
      <c r="R142" s="1657"/>
      <c r="S142" s="1657"/>
      <c r="T142" s="1658"/>
      <c r="U142" s="1656">
        <f>SUM(U135,U139:AF139,U141:AF141)</f>
        <v>86000.014702091663</v>
      </c>
      <c r="V142" s="1657"/>
      <c r="W142" s="1657"/>
      <c r="X142" s="1657"/>
      <c r="Y142" s="1657"/>
      <c r="Z142" s="1657"/>
      <c r="AA142" s="1657"/>
      <c r="AB142" s="1657"/>
      <c r="AC142" s="1657"/>
      <c r="AD142" s="1657"/>
      <c r="AE142" s="1657"/>
      <c r="AF142" s="1658"/>
    </row>
    <row r="143" spans="1:32" x14ac:dyDescent="0.25">
      <c r="A143" s="1667" t="s">
        <v>5905</v>
      </c>
      <c r="B143" s="1668"/>
      <c r="C143" s="1668"/>
      <c r="D143" s="1668"/>
      <c r="E143" s="1668"/>
      <c r="F143" s="1668"/>
      <c r="G143" s="1668"/>
      <c r="H143" s="1668"/>
      <c r="I143" s="1668"/>
      <c r="J143" s="1668"/>
      <c r="K143" s="1668"/>
      <c r="L143" s="1668"/>
      <c r="M143" s="1668"/>
      <c r="N143" s="1668"/>
      <c r="O143" s="1668"/>
      <c r="P143" s="1668"/>
      <c r="Q143" s="1668"/>
      <c r="R143" s="1668"/>
      <c r="S143" s="1668"/>
      <c r="T143" s="1668"/>
      <c r="U143" s="1668"/>
      <c r="V143" s="1668"/>
      <c r="W143" s="1668"/>
      <c r="X143" s="1668"/>
      <c r="Y143" s="1668"/>
      <c r="Z143" s="1668"/>
      <c r="AA143" s="1668"/>
      <c r="AB143" s="1668"/>
      <c r="AC143" s="1668"/>
      <c r="AD143" s="1668"/>
      <c r="AE143" s="1668"/>
      <c r="AF143" s="1669"/>
    </row>
    <row r="144" spans="1:32" ht="15" customHeight="1" x14ac:dyDescent="0.25">
      <c r="A144" s="1529"/>
      <c r="B144" s="1529"/>
      <c r="C144" s="1529"/>
      <c r="D144" s="1529"/>
      <c r="E144" s="1529"/>
      <c r="F144" s="1529"/>
      <c r="G144" s="1529"/>
      <c r="H144" s="1530"/>
      <c r="I144" s="1534" t="s">
        <v>129</v>
      </c>
      <c r="J144" s="1535"/>
      <c r="K144" s="1535"/>
      <c r="L144" s="1535"/>
      <c r="M144" s="1535"/>
      <c r="N144" s="1535"/>
      <c r="O144" s="1535"/>
      <c r="P144" s="1535"/>
      <c r="Q144" s="1535"/>
      <c r="R144" s="1535"/>
      <c r="S144" s="1535"/>
      <c r="T144" s="1536"/>
      <c r="U144" s="1534" t="s">
        <v>145</v>
      </c>
      <c r="V144" s="1535"/>
      <c r="W144" s="1535"/>
      <c r="X144" s="1535"/>
      <c r="Y144" s="1535"/>
      <c r="Z144" s="1535"/>
      <c r="AA144" s="1535"/>
      <c r="AB144" s="1535"/>
      <c r="AC144" s="1535"/>
      <c r="AD144" s="1535"/>
      <c r="AE144" s="1535"/>
      <c r="AF144" s="1536"/>
    </row>
    <row r="145" spans="1:32" ht="15" customHeight="1" x14ac:dyDescent="0.25">
      <c r="A145" s="1532"/>
      <c r="B145" s="1532"/>
      <c r="C145" s="1532"/>
      <c r="D145" s="1532"/>
      <c r="E145" s="1532"/>
      <c r="F145" s="1532"/>
      <c r="G145" s="1532"/>
      <c r="H145" s="1533"/>
      <c r="I145" s="1497" t="s">
        <v>5898</v>
      </c>
      <c r="J145" s="1498"/>
      <c r="K145" s="1498"/>
      <c r="L145" s="1498"/>
      <c r="M145" s="1498"/>
      <c r="N145" s="1499"/>
      <c r="O145" s="1497" t="s">
        <v>5899</v>
      </c>
      <c r="P145" s="1498"/>
      <c r="Q145" s="1498"/>
      <c r="R145" s="1498"/>
      <c r="S145" s="1498"/>
      <c r="T145" s="1499"/>
      <c r="U145" s="1497" t="s">
        <v>5898</v>
      </c>
      <c r="V145" s="1498"/>
      <c r="W145" s="1498"/>
      <c r="X145" s="1498"/>
      <c r="Y145" s="1498"/>
      <c r="Z145" s="1499"/>
      <c r="AA145" s="1497" t="s">
        <v>5899</v>
      </c>
      <c r="AB145" s="1498"/>
      <c r="AC145" s="1498"/>
      <c r="AD145" s="1498"/>
      <c r="AE145" s="1498"/>
      <c r="AF145" s="1499"/>
    </row>
    <row r="146" spans="1:32" ht="48" customHeight="1" x14ac:dyDescent="0.25">
      <c r="A146" s="1653" t="s">
        <v>5948</v>
      </c>
      <c r="B146" s="1654"/>
      <c r="C146" s="1654"/>
      <c r="D146" s="1654"/>
      <c r="E146" s="1654"/>
      <c r="F146" s="1654"/>
      <c r="G146" s="1654"/>
      <c r="H146" s="1655"/>
      <c r="I146" s="1664">
        <v>0.5</v>
      </c>
      <c r="J146" s="1665"/>
      <c r="K146" s="1665"/>
      <c r="L146" s="1665"/>
      <c r="M146" s="1665"/>
      <c r="N146" s="1666"/>
      <c r="O146" s="1664">
        <v>0.5</v>
      </c>
      <c r="P146" s="1665"/>
      <c r="Q146" s="1665"/>
      <c r="R146" s="1665"/>
      <c r="S146" s="1665"/>
      <c r="T146" s="1666"/>
      <c r="U146" s="1664">
        <v>0.5</v>
      </c>
      <c r="V146" s="1665"/>
      <c r="W146" s="1665"/>
      <c r="X146" s="1665"/>
      <c r="Y146" s="1665"/>
      <c r="Z146" s="1666"/>
      <c r="AA146" s="1664">
        <v>0.5</v>
      </c>
      <c r="AB146" s="1665"/>
      <c r="AC146" s="1665"/>
      <c r="AD146" s="1665"/>
      <c r="AE146" s="1665"/>
      <c r="AF146" s="1666"/>
    </row>
    <row r="147" spans="1:32" ht="53.25" customHeight="1" x14ac:dyDescent="0.25">
      <c r="A147" s="1653" t="s">
        <v>5949</v>
      </c>
      <c r="B147" s="1654"/>
      <c r="C147" s="1654"/>
      <c r="D147" s="1654"/>
      <c r="E147" s="1654"/>
      <c r="F147" s="1654"/>
      <c r="G147" s="1654"/>
      <c r="H147" s="1655"/>
      <c r="I147" s="1664">
        <v>0.72</v>
      </c>
      <c r="J147" s="1665"/>
      <c r="K147" s="1665"/>
      <c r="L147" s="1665"/>
      <c r="M147" s="1665"/>
      <c r="N147" s="1666"/>
      <c r="O147" s="1664">
        <v>0.49</v>
      </c>
      <c r="P147" s="1665"/>
      <c r="Q147" s="1665"/>
      <c r="R147" s="1665"/>
      <c r="S147" s="1665"/>
      <c r="T147" s="1666"/>
      <c r="U147" s="1664">
        <v>0.78</v>
      </c>
      <c r="V147" s="1665"/>
      <c r="W147" s="1665"/>
      <c r="X147" s="1665"/>
      <c r="Y147" s="1665"/>
      <c r="Z147" s="1666"/>
      <c r="AA147" s="1664">
        <v>0.55000000000000004</v>
      </c>
      <c r="AB147" s="1665"/>
      <c r="AC147" s="1665"/>
      <c r="AD147" s="1665"/>
      <c r="AE147" s="1665"/>
      <c r="AF147" s="1666"/>
    </row>
    <row r="148" spans="1:32" ht="58.5" customHeight="1" x14ac:dyDescent="0.25">
      <c r="A148" s="1653" t="s">
        <v>5950</v>
      </c>
      <c r="B148" s="1654"/>
      <c r="C148" s="1654"/>
      <c r="D148" s="1654"/>
      <c r="E148" s="1654"/>
      <c r="F148" s="1654"/>
      <c r="G148" s="1654"/>
      <c r="H148" s="1655"/>
      <c r="I148" s="1497">
        <v>166</v>
      </c>
      <c r="J148" s="1498"/>
      <c r="K148" s="1498"/>
      <c r="L148" s="1498"/>
      <c r="M148" s="1498"/>
      <c r="N148" s="1499"/>
      <c r="O148" s="1497">
        <v>201</v>
      </c>
      <c r="P148" s="1498"/>
      <c r="Q148" s="1498"/>
      <c r="R148" s="1498"/>
      <c r="S148" s="1498"/>
      <c r="T148" s="1499"/>
      <c r="U148" s="1497">
        <v>295</v>
      </c>
      <c r="V148" s="1498"/>
      <c r="W148" s="1498"/>
      <c r="X148" s="1498"/>
      <c r="Y148" s="1498"/>
      <c r="Z148" s="1499"/>
      <c r="AA148" s="1497">
        <v>349</v>
      </c>
      <c r="AB148" s="1498"/>
      <c r="AC148" s="1498"/>
      <c r="AD148" s="1498"/>
      <c r="AE148" s="1498"/>
      <c r="AF148" s="1499"/>
    </row>
    <row r="149" spans="1:32" ht="42" customHeight="1" x14ac:dyDescent="0.25">
      <c r="A149" s="1653" t="s">
        <v>5951</v>
      </c>
      <c r="B149" s="1654"/>
      <c r="C149" s="1654"/>
      <c r="D149" s="1654"/>
      <c r="E149" s="1654"/>
      <c r="F149" s="1654"/>
      <c r="G149" s="1654"/>
      <c r="H149" s="1655"/>
      <c r="I149" s="1497">
        <v>1</v>
      </c>
      <c r="J149" s="1498"/>
      <c r="K149" s="1498"/>
      <c r="L149" s="1498"/>
      <c r="M149" s="1498"/>
      <c r="N149" s="1498"/>
      <c r="O149" s="1498"/>
      <c r="P149" s="1498"/>
      <c r="Q149" s="1498"/>
      <c r="R149" s="1498"/>
      <c r="S149" s="1498"/>
      <c r="T149" s="1498"/>
      <c r="U149" s="1498"/>
      <c r="V149" s="1498"/>
      <c r="W149" s="1498"/>
      <c r="X149" s="1498"/>
      <c r="Y149" s="1498"/>
      <c r="Z149" s="1498"/>
      <c r="AA149" s="1498"/>
      <c r="AB149" s="1498"/>
      <c r="AC149" s="1498"/>
      <c r="AD149" s="1498"/>
      <c r="AE149" s="1498"/>
      <c r="AF149" s="1499"/>
    </row>
    <row r="150" spans="1:32" ht="43.5" customHeight="1" x14ac:dyDescent="0.25">
      <c r="A150" s="1653" t="s">
        <v>5952</v>
      </c>
      <c r="B150" s="1654"/>
      <c r="C150" s="1654"/>
      <c r="D150" s="1654"/>
      <c r="E150" s="1654"/>
      <c r="F150" s="1654"/>
      <c r="G150" s="1654"/>
      <c r="H150" s="1655"/>
      <c r="I150" s="1497">
        <v>15</v>
      </c>
      <c r="J150" s="1498"/>
      <c r="K150" s="1498"/>
      <c r="L150" s="1498"/>
      <c r="M150" s="1498"/>
      <c r="N150" s="1498"/>
      <c r="O150" s="1498"/>
      <c r="P150" s="1498"/>
      <c r="Q150" s="1498"/>
      <c r="R150" s="1498"/>
      <c r="S150" s="1498"/>
      <c r="T150" s="1498"/>
      <c r="U150" s="1498"/>
      <c r="V150" s="1498"/>
      <c r="W150" s="1498"/>
      <c r="X150" s="1498"/>
      <c r="Y150" s="1498"/>
      <c r="Z150" s="1498"/>
      <c r="AA150" s="1498"/>
      <c r="AB150" s="1498"/>
      <c r="AC150" s="1498"/>
      <c r="AD150" s="1498"/>
      <c r="AE150" s="1498"/>
      <c r="AF150" s="1499"/>
    </row>
    <row r="151" spans="1:32" ht="39" customHeight="1" x14ac:dyDescent="0.25">
      <c r="A151" s="1653" t="s">
        <v>5953</v>
      </c>
      <c r="B151" s="1654"/>
      <c r="C151" s="1654"/>
      <c r="D151" s="1654"/>
      <c r="E151" s="1654"/>
      <c r="F151" s="1654"/>
      <c r="G151" s="1654"/>
      <c r="H151" s="1655"/>
      <c r="I151" s="1497">
        <v>5630</v>
      </c>
      <c r="J151" s="1498"/>
      <c r="K151" s="1498"/>
      <c r="L151" s="1498"/>
      <c r="M151" s="1498"/>
      <c r="N151" s="1498"/>
      <c r="O151" s="1498"/>
      <c r="P151" s="1498"/>
      <c r="Q151" s="1498"/>
      <c r="R151" s="1498"/>
      <c r="S151" s="1498"/>
      <c r="T151" s="1499"/>
      <c r="U151" s="1497">
        <v>3000</v>
      </c>
      <c r="V151" s="1498"/>
      <c r="W151" s="1498"/>
      <c r="X151" s="1498"/>
      <c r="Y151" s="1498"/>
      <c r="Z151" s="1498"/>
      <c r="AA151" s="1498"/>
      <c r="AB151" s="1498"/>
      <c r="AC151" s="1498"/>
      <c r="AD151" s="1498"/>
      <c r="AE151" s="1498"/>
      <c r="AF151" s="1499"/>
    </row>
    <row r="152" spans="1:32" ht="62.25" customHeight="1" x14ac:dyDescent="0.25">
      <c r="A152" s="1653" t="s">
        <v>5954</v>
      </c>
      <c r="B152" s="1654"/>
      <c r="C152" s="1654"/>
      <c r="D152" s="1654"/>
      <c r="E152" s="1654"/>
      <c r="F152" s="1654"/>
      <c r="G152" s="1654"/>
      <c r="H152" s="1655"/>
      <c r="I152" s="1497">
        <v>2280</v>
      </c>
      <c r="J152" s="1498"/>
      <c r="K152" s="1498"/>
      <c r="L152" s="1498"/>
      <c r="M152" s="1498"/>
      <c r="N152" s="1499"/>
      <c r="O152" s="1497">
        <v>8710</v>
      </c>
      <c r="P152" s="1498"/>
      <c r="Q152" s="1498"/>
      <c r="R152" s="1498"/>
      <c r="S152" s="1498"/>
      <c r="T152" s="1499"/>
      <c r="U152" s="1497">
        <f>((0.083*34)+0.35)*1000</f>
        <v>3172</v>
      </c>
      <c r="V152" s="1498"/>
      <c r="W152" s="1498"/>
      <c r="X152" s="1498"/>
      <c r="Y152" s="1498"/>
      <c r="Z152" s="1499"/>
      <c r="AA152" s="1497">
        <f>((0.133*34)+0.64)*1000</f>
        <v>5162</v>
      </c>
      <c r="AB152" s="1498"/>
      <c r="AC152" s="1498"/>
      <c r="AD152" s="1498"/>
      <c r="AE152" s="1498"/>
      <c r="AF152" s="1499"/>
    </row>
    <row r="153" spans="1:32" ht="59.25" customHeight="1" x14ac:dyDescent="0.25">
      <c r="A153" s="1653" t="s">
        <v>5955</v>
      </c>
      <c r="B153" s="1654"/>
      <c r="C153" s="1654"/>
      <c r="D153" s="1654"/>
      <c r="E153" s="1654"/>
      <c r="F153" s="1654"/>
      <c r="G153" s="1654"/>
      <c r="H153" s="1655"/>
      <c r="I153" s="1497">
        <v>73.2</v>
      </c>
      <c r="J153" s="1498"/>
      <c r="K153" s="1498"/>
      <c r="L153" s="1498"/>
      <c r="M153" s="1498"/>
      <c r="N153" s="1499"/>
      <c r="O153" s="1497">
        <v>30.8</v>
      </c>
      <c r="P153" s="1498"/>
      <c r="Q153" s="1498"/>
      <c r="R153" s="1498"/>
      <c r="S153" s="1498"/>
      <c r="T153" s="1499"/>
      <c r="U153" s="1497">
        <v>73.2</v>
      </c>
      <c r="V153" s="1498"/>
      <c r="W153" s="1498"/>
      <c r="X153" s="1498"/>
      <c r="Y153" s="1498"/>
      <c r="Z153" s="1499"/>
      <c r="AA153" s="1497">
        <v>30.8</v>
      </c>
      <c r="AB153" s="1498"/>
      <c r="AC153" s="1498"/>
      <c r="AD153" s="1498"/>
      <c r="AE153" s="1498"/>
      <c r="AF153" s="1499"/>
    </row>
    <row r="154" spans="1:32" ht="40.5" customHeight="1" x14ac:dyDescent="0.25">
      <c r="A154" s="1653" t="s">
        <v>5900</v>
      </c>
      <c r="B154" s="1654"/>
      <c r="C154" s="1654"/>
      <c r="D154" s="1654"/>
      <c r="E154" s="1654"/>
      <c r="F154" s="1654"/>
      <c r="G154" s="1654"/>
      <c r="H154" s="1655"/>
      <c r="I154" s="1497">
        <v>400</v>
      </c>
      <c r="J154" s="1498"/>
      <c r="K154" s="1498"/>
      <c r="L154" s="1498"/>
      <c r="M154" s="1498"/>
      <c r="N154" s="1498"/>
      <c r="O154" s="1498"/>
      <c r="P154" s="1498"/>
      <c r="Q154" s="1498"/>
      <c r="R154" s="1498"/>
      <c r="S154" s="1498"/>
      <c r="T154" s="1498"/>
      <c r="U154" s="1498"/>
      <c r="V154" s="1498"/>
      <c r="W154" s="1498"/>
      <c r="X154" s="1498"/>
      <c r="Y154" s="1498"/>
      <c r="Z154" s="1498"/>
      <c r="AA154" s="1498"/>
      <c r="AB154" s="1498"/>
      <c r="AC154" s="1498"/>
      <c r="AD154" s="1498"/>
      <c r="AE154" s="1498"/>
      <c r="AF154" s="1499"/>
    </row>
    <row r="155" spans="1:32" ht="57.75" customHeight="1" x14ac:dyDescent="0.25">
      <c r="A155" s="1653" t="s">
        <v>5956</v>
      </c>
      <c r="B155" s="1654"/>
      <c r="C155" s="1654"/>
      <c r="D155" s="1654"/>
      <c r="E155" s="1654"/>
      <c r="F155" s="1654"/>
      <c r="G155" s="1654"/>
      <c r="H155" s="1655"/>
      <c r="I155" s="1656">
        <f>I153*I154*I146/I147</f>
        <v>20333.333333333336</v>
      </c>
      <c r="J155" s="1657"/>
      <c r="K155" s="1657"/>
      <c r="L155" s="1657"/>
      <c r="M155" s="1657"/>
      <c r="N155" s="1658"/>
      <c r="O155" s="1656">
        <f>O153*I154*O146/O147</f>
        <v>12571.428571428572</v>
      </c>
      <c r="P155" s="1657"/>
      <c r="Q155" s="1657"/>
      <c r="R155" s="1657"/>
      <c r="S155" s="1657"/>
      <c r="T155" s="1658"/>
      <c r="U155" s="1656">
        <f>U153*I154*U146/U147</f>
        <v>18769.23076923077</v>
      </c>
      <c r="V155" s="1657"/>
      <c r="W155" s="1657"/>
      <c r="X155" s="1657"/>
      <c r="Y155" s="1657"/>
      <c r="Z155" s="1658"/>
      <c r="AA155" s="1656">
        <f>AA153*I154*AA146/AA147</f>
        <v>11200</v>
      </c>
      <c r="AB155" s="1657"/>
      <c r="AC155" s="1657"/>
      <c r="AD155" s="1657"/>
      <c r="AE155" s="1657"/>
      <c r="AF155" s="1658"/>
    </row>
    <row r="156" spans="1:32" ht="65.25" customHeight="1" x14ac:dyDescent="0.25">
      <c r="A156" s="1653" t="s">
        <v>5957</v>
      </c>
      <c r="B156" s="1654"/>
      <c r="C156" s="1654"/>
      <c r="D156" s="1654"/>
      <c r="E156" s="1654"/>
      <c r="F156" s="1654"/>
      <c r="G156" s="1654"/>
      <c r="H156" s="1655"/>
      <c r="I156" s="1661">
        <f>$Q$87-(I154*I146/I148)-(I150/60)</f>
        <v>10.545180722891565</v>
      </c>
      <c r="J156" s="1662"/>
      <c r="K156" s="1662"/>
      <c r="L156" s="1662"/>
      <c r="M156" s="1662"/>
      <c r="N156" s="1663"/>
      <c r="O156" s="1661">
        <f>$Q$87-(I154*O146/O148)-(I150/60)</f>
        <v>10.75497512437811</v>
      </c>
      <c r="P156" s="1662"/>
      <c r="Q156" s="1662"/>
      <c r="R156" s="1662"/>
      <c r="S156" s="1662"/>
      <c r="T156" s="1663"/>
      <c r="U156" s="1661">
        <f>$Q$87-(I154*U146/U148)-(I150/60)</f>
        <v>11.072033898305085</v>
      </c>
      <c r="V156" s="1662"/>
      <c r="W156" s="1662"/>
      <c r="X156" s="1662"/>
      <c r="Y156" s="1662"/>
      <c r="Z156" s="1663"/>
      <c r="AA156" s="1661">
        <f>$Q$87-(I154*AA146/AA148)-(I150/60)</f>
        <v>11.176934097421203</v>
      </c>
      <c r="AB156" s="1662"/>
      <c r="AC156" s="1662"/>
      <c r="AD156" s="1662"/>
      <c r="AE156" s="1662"/>
      <c r="AF156" s="1663"/>
    </row>
    <row r="157" spans="1:32" x14ac:dyDescent="0.25">
      <c r="A157" s="1647" t="s">
        <v>5959</v>
      </c>
      <c r="B157" s="1648"/>
      <c r="C157" s="1648"/>
      <c r="D157" s="1648"/>
      <c r="E157" s="1648"/>
      <c r="F157" s="1648"/>
      <c r="G157" s="1648"/>
      <c r="H157" s="1649"/>
      <c r="I157" s="1650">
        <f>I152*I156</f>
        <v>24043.01204819277</v>
      </c>
      <c r="J157" s="1651"/>
      <c r="K157" s="1651"/>
      <c r="L157" s="1651"/>
      <c r="M157" s="1651"/>
      <c r="N157" s="1652"/>
      <c r="O157" s="1650">
        <f t="shared" ref="O157" si="8">O152*O156</f>
        <v>93675.833333333328</v>
      </c>
      <c r="P157" s="1651"/>
      <c r="Q157" s="1651"/>
      <c r="R157" s="1651"/>
      <c r="S157" s="1651"/>
      <c r="T157" s="1652"/>
      <c r="U157" s="1650">
        <f>U152*U156</f>
        <v>35120.491525423728</v>
      </c>
      <c r="V157" s="1651"/>
      <c r="W157" s="1651"/>
      <c r="X157" s="1651"/>
      <c r="Y157" s="1651"/>
      <c r="Z157" s="1652"/>
      <c r="AA157" s="1650">
        <f t="shared" ref="AA157" si="9">AA152*AA156</f>
        <v>57695.333810888245</v>
      </c>
      <c r="AB157" s="1651"/>
      <c r="AC157" s="1651"/>
      <c r="AD157" s="1651"/>
      <c r="AE157" s="1651"/>
      <c r="AF157" s="1652"/>
    </row>
    <row r="158" spans="1:32" ht="30" customHeight="1" x14ac:dyDescent="0.25">
      <c r="A158" s="1653" t="s">
        <v>5902</v>
      </c>
      <c r="B158" s="1654"/>
      <c r="C158" s="1654"/>
      <c r="D158" s="1654"/>
      <c r="E158" s="1654"/>
      <c r="F158" s="1654"/>
      <c r="G158" s="1654"/>
      <c r="H158" s="1655"/>
      <c r="I158" s="1656">
        <f>SUM(I151,I155:T155,I157:T157)</f>
        <v>156253.607286288</v>
      </c>
      <c r="J158" s="1657"/>
      <c r="K158" s="1657"/>
      <c r="L158" s="1657"/>
      <c r="M158" s="1657"/>
      <c r="N158" s="1657"/>
      <c r="O158" s="1657"/>
      <c r="P158" s="1657"/>
      <c r="Q158" s="1657"/>
      <c r="R158" s="1657"/>
      <c r="S158" s="1657"/>
      <c r="T158" s="1658"/>
      <c r="U158" s="1656">
        <f>SUM(U151,U155:AF155,U157:AF157)</f>
        <v>125785.05610554274</v>
      </c>
      <c r="V158" s="1657"/>
      <c r="W158" s="1657"/>
      <c r="X158" s="1657"/>
      <c r="Y158" s="1657"/>
      <c r="Z158" s="1657"/>
      <c r="AA158" s="1657"/>
      <c r="AB158" s="1657"/>
      <c r="AC158" s="1657"/>
      <c r="AD158" s="1657"/>
      <c r="AE158" s="1657"/>
      <c r="AF158" s="1658"/>
    </row>
    <row r="159" spans="1:32" ht="32.25" customHeight="1" x14ac:dyDescent="0.25">
      <c r="A159" s="1659" t="s">
        <v>5906</v>
      </c>
      <c r="B159" s="1660"/>
      <c r="C159" s="1660"/>
      <c r="D159" s="1660"/>
      <c r="E159" s="1660"/>
      <c r="F159" s="1660"/>
      <c r="G159" s="1660"/>
      <c r="H159" s="1660"/>
      <c r="I159" s="1660"/>
      <c r="J159" s="1660"/>
      <c r="K159" s="1660"/>
      <c r="L159" s="1660"/>
      <c r="M159" s="1660"/>
      <c r="N159" s="1660"/>
      <c r="O159" s="1660"/>
      <c r="P159" s="1660"/>
      <c r="Q159" s="1660"/>
      <c r="R159" s="1660"/>
      <c r="S159" s="1660"/>
      <c r="T159" s="1660"/>
      <c r="U159" s="1660"/>
      <c r="V159" s="1660"/>
      <c r="W159" s="1660"/>
      <c r="X159" s="1660"/>
      <c r="Y159" s="1660"/>
      <c r="Z159" s="1660"/>
      <c r="AA159" s="1660"/>
      <c r="AB159" s="1660"/>
      <c r="AC159" s="1660"/>
      <c r="AD159" s="1660"/>
      <c r="AE159" s="1660"/>
      <c r="AF159" s="1660"/>
    </row>
    <row r="160" spans="1:32" ht="29.25" customHeight="1" x14ac:dyDescent="0.25">
      <c r="A160" s="1640" t="s">
        <v>5907</v>
      </c>
      <c r="B160" s="1589"/>
      <c r="C160" s="1589"/>
      <c r="D160" s="1589"/>
      <c r="E160" s="1589"/>
      <c r="F160" s="1589"/>
      <c r="G160" s="1589"/>
      <c r="H160" s="1589"/>
      <c r="I160" s="1589"/>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row>
    <row r="161" spans="1:38" ht="31.5" customHeight="1" x14ac:dyDescent="0.25">
      <c r="A161" s="1640" t="s">
        <v>5908</v>
      </c>
      <c r="B161" s="1589"/>
      <c r="C161" s="1589"/>
      <c r="D161" s="1589"/>
      <c r="E161" s="1589"/>
      <c r="F161" s="1589"/>
      <c r="G161" s="1589"/>
      <c r="H161" s="1589"/>
      <c r="I161" s="1589"/>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row>
    <row r="162" spans="1:38" ht="31.5" customHeight="1" x14ac:dyDescent="0.25">
      <c r="A162" s="1640" t="s">
        <v>5909</v>
      </c>
      <c r="B162" s="1589"/>
      <c r="C162" s="1589"/>
      <c r="D162" s="1589"/>
      <c r="E162" s="1589"/>
      <c r="F162" s="1589"/>
      <c r="G162" s="1589"/>
      <c r="H162" s="1589"/>
      <c r="I162" s="1589"/>
      <c r="J162" s="1589"/>
      <c r="K162" s="1589"/>
      <c r="L162" s="1589"/>
      <c r="M162" s="1589"/>
      <c r="N162" s="1589"/>
      <c r="O162" s="1589"/>
      <c r="P162" s="1589"/>
      <c r="Q162" s="1589"/>
      <c r="R162" s="1589"/>
      <c r="S162" s="1589"/>
      <c r="T162" s="1589"/>
      <c r="U162" s="1589"/>
      <c r="V162" s="1589"/>
      <c r="W162" s="1589"/>
      <c r="X162" s="1589"/>
      <c r="Y162" s="1589"/>
      <c r="Z162" s="1589"/>
      <c r="AA162" s="1589"/>
      <c r="AB162" s="1589"/>
      <c r="AC162" s="1589"/>
      <c r="AD162" s="1589"/>
      <c r="AE162" s="1589"/>
      <c r="AF162" s="1589"/>
    </row>
    <row r="163" spans="1:38" x14ac:dyDescent="0.25">
      <c r="A163" s="889"/>
      <c r="B163" s="263"/>
      <c r="C163" s="263"/>
      <c r="D163" s="263"/>
      <c r="E163" s="263"/>
      <c r="F163" s="263"/>
      <c r="G163" s="263"/>
      <c r="H163" s="263"/>
      <c r="I163" s="263"/>
      <c r="J163" s="263"/>
      <c r="K163" s="263"/>
      <c r="L163" s="263"/>
      <c r="M163" s="263"/>
      <c r="N163" s="263"/>
      <c r="O163" s="263"/>
      <c r="P163" s="263"/>
      <c r="Q163" s="263"/>
      <c r="R163" s="263"/>
      <c r="S163" s="263"/>
      <c r="T163" s="263"/>
      <c r="U163" s="263"/>
      <c r="V163" s="263"/>
      <c r="W163" s="263"/>
      <c r="X163" s="263"/>
      <c r="Y163" s="263"/>
      <c r="Z163" s="263"/>
      <c r="AA163" s="263"/>
      <c r="AB163" s="263"/>
      <c r="AC163" s="263"/>
      <c r="AD163" s="263"/>
      <c r="AE163" s="263"/>
      <c r="AF163" s="263"/>
    </row>
    <row r="164" spans="1:38" x14ac:dyDescent="0.25">
      <c r="A164" s="890"/>
      <c r="B164" s="679"/>
      <c r="C164" s="679"/>
      <c r="D164" s="679"/>
      <c r="E164" s="679"/>
      <c r="F164" s="679"/>
      <c r="G164" s="679"/>
      <c r="H164" s="679"/>
      <c r="I164" s="891"/>
      <c r="J164" s="888"/>
      <c r="K164" s="888"/>
      <c r="L164" s="888"/>
      <c r="M164" s="888"/>
      <c r="N164" s="888"/>
      <c r="O164" s="891"/>
      <c r="P164" s="888"/>
      <c r="Q164" s="888"/>
      <c r="R164" s="888"/>
      <c r="S164" s="888"/>
      <c r="T164" s="888"/>
      <c r="U164" s="891"/>
      <c r="V164" s="888"/>
      <c r="W164" s="888"/>
      <c r="X164" s="888"/>
      <c r="Y164" s="888"/>
      <c r="Z164" s="888"/>
      <c r="AA164" s="891"/>
      <c r="AB164" s="888"/>
      <c r="AC164" s="888"/>
      <c r="AD164" s="888"/>
      <c r="AE164" s="888"/>
      <c r="AF164" s="888"/>
    </row>
    <row r="165" spans="1:38" x14ac:dyDescent="0.25">
      <c r="A165" s="1621" t="s">
        <v>21</v>
      </c>
      <c r="B165" s="1621"/>
      <c r="C165" s="1621"/>
      <c r="D165" s="1621"/>
      <c r="E165" s="1621"/>
      <c r="F165" s="1621"/>
      <c r="G165" s="1621"/>
      <c r="H165" s="1621"/>
      <c r="I165" s="1621"/>
      <c r="J165" s="1621"/>
      <c r="K165" s="1621"/>
      <c r="L165" s="1621"/>
      <c r="M165" s="1621"/>
      <c r="N165" s="1621"/>
      <c r="O165" s="1621"/>
      <c r="P165" s="1621"/>
      <c r="Q165" s="1621"/>
      <c r="R165" s="1621"/>
      <c r="S165" s="1621"/>
      <c r="T165" s="1621"/>
      <c r="U165" s="1621"/>
      <c r="V165" s="1621"/>
      <c r="W165" s="1621"/>
      <c r="X165" s="1621"/>
      <c r="Y165" s="1621"/>
      <c r="Z165" s="1621"/>
      <c r="AA165" s="1621"/>
      <c r="AB165" s="1621"/>
      <c r="AC165" s="1621"/>
      <c r="AD165" s="1621"/>
      <c r="AE165" s="1621"/>
      <c r="AF165" s="1621"/>
    </row>
    <row r="166" spans="1:38" ht="15.75" thickBot="1" x14ac:dyDescent="0.3">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row>
    <row r="167" spans="1:38" ht="15" customHeight="1" x14ac:dyDescent="0.25">
      <c r="A167" s="1641" t="s">
        <v>5910</v>
      </c>
      <c r="B167" s="1642"/>
      <c r="C167" s="1642"/>
      <c r="D167" s="1642"/>
      <c r="E167" s="1642"/>
      <c r="F167" s="1642"/>
      <c r="G167" s="1642"/>
      <c r="H167" s="1642"/>
      <c r="I167" s="1643" t="s">
        <v>23</v>
      </c>
      <c r="J167" s="1643"/>
      <c r="K167" s="1643"/>
      <c r="L167" s="1643"/>
      <c r="M167" s="1643"/>
      <c r="N167" s="1643"/>
      <c r="O167" s="1643"/>
      <c r="P167" s="1643"/>
      <c r="Q167" s="1643" t="s">
        <v>24</v>
      </c>
      <c r="R167" s="1643"/>
      <c r="S167" s="1643"/>
      <c r="T167" s="1643"/>
      <c r="U167" s="1643"/>
      <c r="V167" s="1643"/>
      <c r="W167" s="1643"/>
      <c r="X167" s="1643"/>
      <c r="Y167" s="1643" t="s">
        <v>2012</v>
      </c>
      <c r="Z167" s="1643"/>
      <c r="AA167" s="1643"/>
      <c r="AB167" s="1643"/>
      <c r="AC167" s="1643"/>
      <c r="AD167" s="1643"/>
      <c r="AE167" s="1643"/>
      <c r="AF167" s="1644"/>
    </row>
    <row r="168" spans="1:38" x14ac:dyDescent="0.25">
      <c r="A168" s="1645" t="s">
        <v>5911</v>
      </c>
      <c r="B168" s="1283"/>
      <c r="C168" s="1283"/>
      <c r="D168" s="1283"/>
      <c r="E168" s="1283"/>
      <c r="F168" s="1283"/>
      <c r="G168" s="1283"/>
      <c r="H168" s="1283"/>
      <c r="I168" s="1624">
        <f>ROUND(Q168*$Q$89/$Q$88,3)</f>
        <v>2.8639999999999999</v>
      </c>
      <c r="J168" s="1624"/>
      <c r="K168" s="1624"/>
      <c r="L168" s="1624"/>
      <c r="M168" s="1624"/>
      <c r="N168" s="1624"/>
      <c r="O168" s="1624"/>
      <c r="P168" s="1624"/>
      <c r="Q168" s="1646">
        <f>ROUND((I110-U110)*$Q$86/1000,2)</f>
        <v>13939.24</v>
      </c>
      <c r="R168" s="1646"/>
      <c r="S168" s="1646"/>
      <c r="T168" s="1646"/>
      <c r="U168" s="1646"/>
      <c r="V168" s="1646"/>
      <c r="W168" s="1646"/>
      <c r="X168" s="1646"/>
      <c r="Y168" s="1628">
        <f>ROUND(Q168*$Q$90,2)</f>
        <v>167270.88</v>
      </c>
      <c r="Z168" s="1628"/>
      <c r="AA168" s="1628"/>
      <c r="AB168" s="1628"/>
      <c r="AC168" s="1628"/>
      <c r="AD168" s="1628"/>
      <c r="AE168" s="1628"/>
      <c r="AF168" s="1629"/>
    </row>
    <row r="169" spans="1:38" x14ac:dyDescent="0.25">
      <c r="A169" s="1623">
        <v>9</v>
      </c>
      <c r="B169" s="1283"/>
      <c r="C169" s="1283"/>
      <c r="D169" s="1283"/>
      <c r="E169" s="1283"/>
      <c r="F169" s="1283"/>
      <c r="G169" s="1283"/>
      <c r="H169" s="1283"/>
      <c r="I169" s="1624">
        <f>ROUND(Q169*$Q$89/$Q$88,3)</f>
        <v>2.9649999999999999</v>
      </c>
      <c r="J169" s="1624"/>
      <c r="K169" s="1624"/>
      <c r="L169" s="1624"/>
      <c r="M169" s="1624"/>
      <c r="N169" s="1624"/>
      <c r="O169" s="1624"/>
      <c r="P169" s="1624"/>
      <c r="Q169" s="1625">
        <f>ROUND((I126-U126)*$Q$86/1000,2)</f>
        <v>14428.22</v>
      </c>
      <c r="R169" s="1626"/>
      <c r="S169" s="1626"/>
      <c r="T169" s="1626"/>
      <c r="U169" s="1626"/>
      <c r="V169" s="1626"/>
      <c r="W169" s="1626"/>
      <c r="X169" s="1627"/>
      <c r="Y169" s="1628">
        <f>ROUND(Q169*$Q$90,2)</f>
        <v>173138.64</v>
      </c>
      <c r="Z169" s="1628"/>
      <c r="AA169" s="1628"/>
      <c r="AB169" s="1628"/>
      <c r="AC169" s="1628"/>
      <c r="AD169" s="1628"/>
      <c r="AE169" s="1628"/>
      <c r="AF169" s="1629"/>
    </row>
    <row r="170" spans="1:38" x14ac:dyDescent="0.25">
      <c r="A170" s="1630" t="s">
        <v>5912</v>
      </c>
      <c r="B170" s="1631"/>
      <c r="C170" s="1631"/>
      <c r="D170" s="1631"/>
      <c r="E170" s="1631"/>
      <c r="F170" s="1631"/>
      <c r="G170" s="1631"/>
      <c r="H170" s="1631"/>
      <c r="I170" s="1624">
        <f>ROUND(Q170*$Q$89/$Q$88,3)</f>
        <v>4.524</v>
      </c>
      <c r="J170" s="1624"/>
      <c r="K170" s="1624"/>
      <c r="L170" s="1624"/>
      <c r="M170" s="1624"/>
      <c r="N170" s="1624"/>
      <c r="O170" s="1624"/>
      <c r="P170" s="1624"/>
      <c r="Q170" s="1625">
        <f>ROUND((I142-U142)*$Q$86/1000,2)</f>
        <v>22014.77</v>
      </c>
      <c r="R170" s="1626"/>
      <c r="S170" s="1626"/>
      <c r="T170" s="1626"/>
      <c r="U170" s="1626"/>
      <c r="V170" s="1626"/>
      <c r="W170" s="1626"/>
      <c r="X170" s="1627"/>
      <c r="Y170" s="1628">
        <f>ROUND(Q170*$Q$90,2)</f>
        <v>264177.24</v>
      </c>
      <c r="Z170" s="1628"/>
      <c r="AA170" s="1628"/>
      <c r="AB170" s="1628"/>
      <c r="AC170" s="1628"/>
      <c r="AD170" s="1628"/>
      <c r="AE170" s="1628"/>
      <c r="AF170" s="1629"/>
    </row>
    <row r="171" spans="1:38" ht="15.75" thickBot="1" x14ac:dyDescent="0.3">
      <c r="A171" s="1632" t="s">
        <v>5913</v>
      </c>
      <c r="B171" s="1633"/>
      <c r="C171" s="1633"/>
      <c r="D171" s="1633"/>
      <c r="E171" s="1633"/>
      <c r="F171" s="1633"/>
      <c r="G171" s="1633"/>
      <c r="H171" s="1633"/>
      <c r="I171" s="1634">
        <f>ROUND(Q171*$Q$89/$Q$88,3)</f>
        <v>2.2850000000000001</v>
      </c>
      <c r="J171" s="1634"/>
      <c r="K171" s="1634"/>
      <c r="L171" s="1634"/>
      <c r="M171" s="1634"/>
      <c r="N171" s="1634"/>
      <c r="O171" s="1634"/>
      <c r="P171" s="1634"/>
      <c r="Q171" s="1635">
        <f>ROUND((I158-U158)*$Q$86/1000,2)</f>
        <v>11121.02</v>
      </c>
      <c r="R171" s="1636"/>
      <c r="S171" s="1636"/>
      <c r="T171" s="1636"/>
      <c r="U171" s="1636"/>
      <c r="V171" s="1636"/>
      <c r="W171" s="1636"/>
      <c r="X171" s="1637"/>
      <c r="Y171" s="1638">
        <f>ROUND(Q171*$Q$90,2)</f>
        <v>133452.24</v>
      </c>
      <c r="Z171" s="1638"/>
      <c r="AA171" s="1638"/>
      <c r="AB171" s="1638"/>
      <c r="AC171" s="1638"/>
      <c r="AD171" s="1638"/>
      <c r="AE171" s="1638"/>
      <c r="AF171" s="1639"/>
    </row>
    <row r="172" spans="1:38" x14ac:dyDescent="0.25">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27"/>
      <c r="AC172" s="227"/>
      <c r="AD172" s="227"/>
      <c r="AE172" s="227"/>
      <c r="AF172" s="227"/>
    </row>
    <row r="173" spans="1:38" x14ac:dyDescent="0.25">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27"/>
      <c r="AC173" s="227"/>
      <c r="AD173" s="227"/>
      <c r="AE173" s="227"/>
      <c r="AF173" s="227"/>
    </row>
    <row r="174" spans="1:38" x14ac:dyDescent="0.25">
      <c r="A174" s="1621" t="s">
        <v>1753</v>
      </c>
      <c r="B174" s="1621"/>
      <c r="C174" s="1621"/>
      <c r="D174" s="1621"/>
      <c r="E174" s="1621"/>
      <c r="F174" s="1621"/>
      <c r="G174" s="1621"/>
      <c r="H174" s="1621"/>
      <c r="I174" s="1621"/>
      <c r="J174" s="1621"/>
      <c r="K174" s="1621"/>
      <c r="L174" s="1621"/>
      <c r="M174" s="1621"/>
      <c r="N174" s="1621"/>
      <c r="O174" s="1621"/>
      <c r="P174" s="1621"/>
      <c r="Q174" s="1621"/>
      <c r="R174" s="1621"/>
      <c r="S174" s="1621"/>
      <c r="T174" s="1621"/>
      <c r="U174" s="1621"/>
      <c r="V174" s="1621"/>
      <c r="W174" s="1621"/>
      <c r="X174" s="1621"/>
      <c r="Y174" s="1621"/>
      <c r="Z174" s="1621"/>
      <c r="AA174" s="1621"/>
      <c r="AB174" s="1621"/>
      <c r="AC174" s="1621"/>
      <c r="AD174" s="1621"/>
      <c r="AE174" s="1621"/>
      <c r="AF174" s="1621"/>
    </row>
    <row r="175" spans="1:38" x14ac:dyDescent="0.25">
      <c r="A175" s="262"/>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62"/>
      <c r="AE175" s="262"/>
      <c r="AF175" s="262"/>
    </row>
    <row r="176" spans="1:38" s="1" customFormat="1" ht="15" customHeight="1" x14ac:dyDescent="0.25">
      <c r="A176" s="517" t="s">
        <v>1013</v>
      </c>
      <c r="B176" s="1622" t="s">
        <v>5914</v>
      </c>
      <c r="C176" s="1173"/>
      <c r="D176" s="1173"/>
      <c r="E176" s="1173"/>
      <c r="F176" s="1173"/>
      <c r="G176" s="1173"/>
      <c r="H176" s="1173"/>
      <c r="I176" s="1173"/>
      <c r="J176" s="1173"/>
      <c r="K176" s="1173"/>
      <c r="L176" s="1173"/>
      <c r="M176" s="1173"/>
      <c r="N176" s="1173"/>
      <c r="O176" s="1173"/>
      <c r="P176" s="1173"/>
      <c r="Q176" s="1173"/>
      <c r="R176" s="1173"/>
      <c r="S176" s="1173"/>
      <c r="T176" s="1173"/>
      <c r="U176" s="1173"/>
      <c r="V176" s="1173"/>
      <c r="W176" s="1173"/>
      <c r="X176" s="1173"/>
      <c r="Y176" s="1173"/>
      <c r="Z176" s="1173"/>
      <c r="AA176" s="1173"/>
      <c r="AB176" s="1173"/>
      <c r="AC176" s="1173"/>
      <c r="AD176" s="1173"/>
      <c r="AE176" s="1173"/>
      <c r="AF176" s="1173"/>
      <c r="AG176" s="262"/>
      <c r="AL176" s="886"/>
    </row>
    <row r="177" spans="1:43" s="1" customFormat="1" ht="33.75" customHeight="1" x14ac:dyDescent="0.25">
      <c r="A177" s="517" t="s">
        <v>1013</v>
      </c>
      <c r="B177" s="1173" t="s">
        <v>5197</v>
      </c>
      <c r="C177" s="1173"/>
      <c r="D177" s="1173"/>
      <c r="E177" s="1173"/>
      <c r="F177" s="1173"/>
      <c r="G177" s="1173"/>
      <c r="H177" s="1173"/>
      <c r="I177" s="1173"/>
      <c r="J177" s="1173"/>
      <c r="K177" s="1173"/>
      <c r="L177" s="1173"/>
      <c r="M177" s="1173"/>
      <c r="N177" s="1173"/>
      <c r="O177" s="1173"/>
      <c r="P177" s="1173"/>
      <c r="Q177" s="1173"/>
      <c r="R177" s="1173"/>
      <c r="S177" s="1173"/>
      <c r="T177" s="1173"/>
      <c r="U177" s="1173"/>
      <c r="V177" s="1173"/>
      <c r="W177" s="1173"/>
      <c r="X177" s="1173"/>
      <c r="Y177" s="1173"/>
      <c r="Z177" s="1173"/>
      <c r="AA177" s="1173"/>
      <c r="AB177" s="1173"/>
      <c r="AC177" s="1173"/>
      <c r="AD177" s="1173"/>
      <c r="AE177" s="1173"/>
      <c r="AF177" s="1173"/>
      <c r="AG177" s="262"/>
      <c r="AL177" s="683"/>
      <c r="AM177" s="683"/>
      <c r="AN177" s="683"/>
      <c r="AO177" s="683"/>
      <c r="AP177" s="683"/>
      <c r="AQ177" s="683"/>
    </row>
    <row r="178" spans="1:43" s="1" customFormat="1" ht="62.25" customHeight="1" x14ac:dyDescent="0.25">
      <c r="A178" s="517" t="s">
        <v>1013</v>
      </c>
      <c r="B178" s="1173" t="s">
        <v>5915</v>
      </c>
      <c r="C178" s="1173"/>
      <c r="D178" s="1173"/>
      <c r="E178" s="1173"/>
      <c r="F178" s="1173"/>
      <c r="G178" s="1173"/>
      <c r="H178" s="1173"/>
      <c r="I178" s="1173"/>
      <c r="J178" s="1173"/>
      <c r="K178" s="1173"/>
      <c r="L178" s="1173"/>
      <c r="M178" s="1173"/>
      <c r="N178" s="1173"/>
      <c r="O178" s="1173"/>
      <c r="P178" s="1173"/>
      <c r="Q178" s="1173"/>
      <c r="R178" s="1173"/>
      <c r="S178" s="1173"/>
      <c r="T178" s="1173"/>
      <c r="U178" s="1173"/>
      <c r="V178" s="1173"/>
      <c r="W178" s="1173"/>
      <c r="X178" s="1173"/>
      <c r="Y178" s="1173"/>
      <c r="Z178" s="1173"/>
      <c r="AA178" s="1173"/>
      <c r="AB178" s="1173"/>
      <c r="AC178" s="1173"/>
      <c r="AD178" s="1173"/>
      <c r="AE178" s="1173"/>
      <c r="AF178" s="1173"/>
      <c r="AG178" s="262"/>
      <c r="AL178" s="683"/>
    </row>
    <row r="179" spans="1:43" s="1" customFormat="1" ht="48.75" customHeight="1" x14ac:dyDescent="0.25">
      <c r="A179" s="517" t="s">
        <v>1013</v>
      </c>
      <c r="B179" s="1173" t="s">
        <v>5916</v>
      </c>
      <c r="C179" s="1173"/>
      <c r="D179" s="1173"/>
      <c r="E179" s="1173"/>
      <c r="F179" s="1173"/>
      <c r="G179" s="1173"/>
      <c r="H179" s="1173"/>
      <c r="I179" s="1173"/>
      <c r="J179" s="1173"/>
      <c r="K179" s="1173"/>
      <c r="L179" s="1173"/>
      <c r="M179" s="1173"/>
      <c r="N179" s="1173"/>
      <c r="O179" s="1173"/>
      <c r="P179" s="1173"/>
      <c r="Q179" s="1173"/>
      <c r="R179" s="1173"/>
      <c r="S179" s="1173"/>
      <c r="T179" s="1173"/>
      <c r="U179" s="1173"/>
      <c r="V179" s="1173"/>
      <c r="W179" s="1173"/>
      <c r="X179" s="1173"/>
      <c r="Y179" s="1173"/>
      <c r="Z179" s="1173"/>
      <c r="AA179" s="1173"/>
      <c r="AB179" s="1173"/>
      <c r="AC179" s="1173"/>
      <c r="AD179" s="1173"/>
      <c r="AE179" s="1173"/>
      <c r="AF179" s="1173"/>
      <c r="AG179" s="262"/>
      <c r="AL179" s="683"/>
    </row>
    <row r="180" spans="1:43" s="1" customFormat="1" ht="30.75" customHeight="1" x14ac:dyDescent="0.25">
      <c r="A180" s="517" t="s">
        <v>1013</v>
      </c>
      <c r="B180" s="1173" t="s">
        <v>5917</v>
      </c>
      <c r="C180" s="1173"/>
      <c r="D180" s="1173"/>
      <c r="E180" s="1173"/>
      <c r="F180" s="1173"/>
      <c r="G180" s="1173"/>
      <c r="H180" s="1173"/>
      <c r="I180" s="1173"/>
      <c r="J180" s="1173"/>
      <c r="K180" s="1173"/>
      <c r="L180" s="1173"/>
      <c r="M180" s="1173"/>
      <c r="N180" s="1173"/>
      <c r="O180" s="1173"/>
      <c r="P180" s="1173"/>
      <c r="Q180" s="1173"/>
      <c r="R180" s="1173"/>
      <c r="S180" s="1173"/>
      <c r="T180" s="1173"/>
      <c r="U180" s="1173"/>
      <c r="V180" s="1173"/>
      <c r="W180" s="1173"/>
      <c r="X180" s="1173"/>
      <c r="Y180" s="1173"/>
      <c r="Z180" s="1173"/>
      <c r="AA180" s="1173"/>
      <c r="AB180" s="1173"/>
      <c r="AC180" s="1173"/>
      <c r="AD180" s="1173"/>
      <c r="AE180" s="1173"/>
      <c r="AF180" s="1173"/>
      <c r="AG180" s="262"/>
      <c r="AL180" s="683"/>
    </row>
    <row r="181" spans="1:43" s="1" customFormat="1" ht="30.75" customHeight="1" x14ac:dyDescent="0.25">
      <c r="A181" s="517" t="s">
        <v>1013</v>
      </c>
      <c r="B181" s="1173" t="s">
        <v>5918</v>
      </c>
      <c r="C181" s="1173"/>
      <c r="D181" s="1173"/>
      <c r="E181" s="1173"/>
      <c r="F181" s="1173"/>
      <c r="G181" s="1173"/>
      <c r="H181" s="1173"/>
      <c r="I181" s="1173"/>
      <c r="J181" s="1173"/>
      <c r="K181" s="1173"/>
      <c r="L181" s="1173"/>
      <c r="M181" s="1173"/>
      <c r="N181" s="1173"/>
      <c r="O181" s="1173"/>
      <c r="P181" s="1173"/>
      <c r="Q181" s="1173"/>
      <c r="R181" s="1173"/>
      <c r="S181" s="1173"/>
      <c r="T181" s="1173"/>
      <c r="U181" s="1173"/>
      <c r="V181" s="1173"/>
      <c r="W181" s="1173"/>
      <c r="X181" s="1173"/>
      <c r="Y181" s="1173"/>
      <c r="Z181" s="1173"/>
      <c r="AA181" s="1173"/>
      <c r="AB181" s="1173"/>
      <c r="AC181" s="1173"/>
      <c r="AD181" s="1173"/>
      <c r="AE181" s="1173"/>
      <c r="AF181" s="1173"/>
      <c r="AG181" s="262"/>
      <c r="AL181" s="683"/>
    </row>
    <row r="182" spans="1:43" s="1" customFormat="1" ht="30.75" customHeight="1" x14ac:dyDescent="0.25">
      <c r="A182" s="517" t="s">
        <v>1013</v>
      </c>
      <c r="B182" s="1173" t="s">
        <v>5919</v>
      </c>
      <c r="C182" s="1173"/>
      <c r="D182" s="1173"/>
      <c r="E182" s="1173"/>
      <c r="F182" s="1173"/>
      <c r="G182" s="1173"/>
      <c r="H182" s="1173"/>
      <c r="I182" s="1173"/>
      <c r="J182" s="1173"/>
      <c r="K182" s="1173"/>
      <c r="L182" s="1173"/>
      <c r="M182" s="1173"/>
      <c r="N182" s="1173"/>
      <c r="O182" s="1173"/>
      <c r="P182" s="1173"/>
      <c r="Q182" s="1173"/>
      <c r="R182" s="1173"/>
      <c r="S182" s="1173"/>
      <c r="T182" s="1173"/>
      <c r="U182" s="1173"/>
      <c r="V182" s="1173"/>
      <c r="W182" s="1173"/>
      <c r="X182" s="1173"/>
      <c r="Y182" s="1173"/>
      <c r="Z182" s="1173"/>
      <c r="AA182" s="1173"/>
      <c r="AB182" s="1173"/>
      <c r="AC182" s="1173"/>
      <c r="AD182" s="1173"/>
      <c r="AE182" s="1173"/>
      <c r="AF182" s="1173"/>
      <c r="AG182" s="262"/>
      <c r="AL182" s="683"/>
    </row>
    <row r="183" spans="1:43" s="1" customFormat="1" ht="33" customHeight="1" x14ac:dyDescent="0.25">
      <c r="A183" s="517" t="s">
        <v>1013</v>
      </c>
      <c r="B183" s="1173" t="s">
        <v>5920</v>
      </c>
      <c r="C183" s="1173"/>
      <c r="D183" s="1173"/>
      <c r="E183" s="1173"/>
      <c r="F183" s="1173"/>
      <c r="G183" s="1173"/>
      <c r="H183" s="1173"/>
      <c r="I183" s="1173"/>
      <c r="J183" s="1173"/>
      <c r="K183" s="1173"/>
      <c r="L183" s="1173"/>
      <c r="M183" s="1173"/>
      <c r="N183" s="1173"/>
      <c r="O183" s="1173"/>
      <c r="P183" s="1173"/>
      <c r="Q183" s="1173"/>
      <c r="R183" s="1173"/>
      <c r="S183" s="1173"/>
      <c r="T183" s="1173"/>
      <c r="U183" s="1173"/>
      <c r="V183" s="1173"/>
      <c r="W183" s="1173"/>
      <c r="X183" s="1173"/>
      <c r="Y183" s="1173"/>
      <c r="Z183" s="1173"/>
      <c r="AA183" s="1173"/>
      <c r="AB183" s="1173"/>
      <c r="AC183" s="1173"/>
      <c r="AD183" s="1173"/>
      <c r="AE183" s="1173"/>
      <c r="AF183" s="1173"/>
      <c r="AG183" s="262"/>
      <c r="AL183" s="683"/>
    </row>
    <row r="184" spans="1:43" s="1" customFormat="1" ht="30" customHeight="1" x14ac:dyDescent="0.25">
      <c r="A184" s="517" t="s">
        <v>1013</v>
      </c>
      <c r="B184" s="1173" t="s">
        <v>5921</v>
      </c>
      <c r="C184" s="1173"/>
      <c r="D184" s="1173"/>
      <c r="E184" s="1173"/>
      <c r="F184" s="1173"/>
      <c r="G184" s="1173"/>
      <c r="H184" s="1173"/>
      <c r="I184" s="1173"/>
      <c r="J184" s="1173"/>
      <c r="K184" s="1173"/>
      <c r="L184" s="1173"/>
      <c r="M184" s="1173"/>
      <c r="N184" s="1173"/>
      <c r="O184" s="1173"/>
      <c r="P184" s="1173"/>
      <c r="Q184" s="1173"/>
      <c r="R184" s="1173"/>
      <c r="S184" s="1173"/>
      <c r="T184" s="1173"/>
      <c r="U184" s="1173"/>
      <c r="V184" s="1173"/>
      <c r="W184" s="1173"/>
      <c r="X184" s="1173"/>
      <c r="Y184" s="1173"/>
      <c r="Z184" s="1173"/>
      <c r="AA184" s="1173"/>
      <c r="AB184" s="1173"/>
      <c r="AC184" s="1173"/>
      <c r="AD184" s="1173"/>
      <c r="AE184" s="1173"/>
      <c r="AF184" s="1173"/>
      <c r="AG184" s="262"/>
      <c r="AL184" s="683"/>
    </row>
    <row r="185" spans="1:43" s="1" customFormat="1" ht="32.25" customHeight="1" x14ac:dyDescent="0.25">
      <c r="A185" s="517" t="s">
        <v>1013</v>
      </c>
      <c r="B185" s="1173" t="s">
        <v>5199</v>
      </c>
      <c r="C185" s="1173"/>
      <c r="D185" s="1173"/>
      <c r="E185" s="1173"/>
      <c r="F185" s="1173"/>
      <c r="G185" s="1173"/>
      <c r="H185" s="1173"/>
      <c r="I185" s="1173"/>
      <c r="J185" s="1173"/>
      <c r="K185" s="1173"/>
      <c r="L185" s="1173"/>
      <c r="M185" s="1173"/>
      <c r="N185" s="1173"/>
      <c r="O185" s="1173"/>
      <c r="P185" s="1173"/>
      <c r="Q185" s="1173"/>
      <c r="R185" s="1173"/>
      <c r="S185" s="1173"/>
      <c r="T185" s="1173"/>
      <c r="U185" s="1173"/>
      <c r="V185" s="1173"/>
      <c r="W185" s="1173"/>
      <c r="X185" s="1173"/>
      <c r="Y185" s="1173"/>
      <c r="Z185" s="1173"/>
      <c r="AA185" s="1173"/>
      <c r="AB185" s="1173"/>
      <c r="AC185" s="1173"/>
      <c r="AD185" s="1173"/>
      <c r="AE185" s="1173"/>
      <c r="AF185" s="1173"/>
      <c r="AG185" s="262"/>
      <c r="AL185" s="683"/>
    </row>
    <row r="186" spans="1:43" s="1" customFormat="1" ht="30" customHeight="1" x14ac:dyDescent="0.25">
      <c r="A186" s="517" t="s">
        <v>1013</v>
      </c>
      <c r="B186" s="1173" t="s">
        <v>5922</v>
      </c>
      <c r="C186" s="1173"/>
      <c r="D186" s="1173"/>
      <c r="E186" s="1173"/>
      <c r="F186" s="1173"/>
      <c r="G186" s="1173"/>
      <c r="H186" s="1173"/>
      <c r="I186" s="1173"/>
      <c r="J186" s="1173"/>
      <c r="K186" s="1173"/>
      <c r="L186" s="1173"/>
      <c r="M186" s="1173"/>
      <c r="N186" s="1173"/>
      <c r="O186" s="1173"/>
      <c r="P186" s="1173"/>
      <c r="Q186" s="1173"/>
      <c r="R186" s="1173"/>
      <c r="S186" s="1173"/>
      <c r="T186" s="1173"/>
      <c r="U186" s="1173"/>
      <c r="V186" s="1173"/>
      <c r="W186" s="1173"/>
      <c r="X186" s="1173"/>
      <c r="Y186" s="1173"/>
      <c r="Z186" s="1173"/>
      <c r="AA186" s="1173"/>
      <c r="AB186" s="1173"/>
      <c r="AC186" s="1173"/>
      <c r="AD186" s="1173"/>
      <c r="AE186" s="1173"/>
      <c r="AF186" s="1173"/>
      <c r="AG186" s="262"/>
      <c r="AL186" s="683"/>
    </row>
  </sheetData>
  <sheetProtection algorithmName="SHA-512" hashValue="C5QCGa9+94N0jPbd7NxQiwXL32HCLP0J3xQqSMcTPmvPN+rph0Jil8+SDKcJMIBD23DldOG6YQ6GOcNxDrZr/g==" saltValue="GXAogcXm7rkg3bCtV0Cg+A==" spinCount="100000" sheet="1" objects="1" scenarios="1"/>
  <mergeCells count="435">
    <mergeCell ref="A1:AF1"/>
    <mergeCell ref="A3:AF3"/>
    <mergeCell ref="B5:AF5"/>
    <mergeCell ref="A7:AF7"/>
    <mergeCell ref="B10:AF10"/>
    <mergeCell ref="B13:AF13"/>
    <mergeCell ref="A68:D68"/>
    <mergeCell ref="Q68:T68"/>
    <mergeCell ref="E68:P68"/>
    <mergeCell ref="U68:V68"/>
    <mergeCell ref="W68:AF68"/>
    <mergeCell ref="A63:D63"/>
    <mergeCell ref="Q63:T63"/>
    <mergeCell ref="A64:D64"/>
    <mergeCell ref="A62:D62"/>
    <mergeCell ref="Q62:T62"/>
    <mergeCell ref="Q64:T64"/>
    <mergeCell ref="E64:P64"/>
    <mergeCell ref="U64:V64"/>
    <mergeCell ref="W64:AF64"/>
    <mergeCell ref="B16:AF16"/>
    <mergeCell ref="B19:AF19"/>
    <mergeCell ref="B22:AF22"/>
    <mergeCell ref="A25:AF25"/>
    <mergeCell ref="A77:D77"/>
    <mergeCell ref="E77:P77"/>
    <mergeCell ref="Q77:T77"/>
    <mergeCell ref="U77:V77"/>
    <mergeCell ref="W77:AF77"/>
    <mergeCell ref="A78:D78"/>
    <mergeCell ref="E78:P78"/>
    <mergeCell ref="Q78:T78"/>
    <mergeCell ref="U78:V78"/>
    <mergeCell ref="W78:AF78"/>
    <mergeCell ref="A82:D82"/>
    <mergeCell ref="E82:P82"/>
    <mergeCell ref="Q82:T82"/>
    <mergeCell ref="U82:V82"/>
    <mergeCell ref="W82:AF82"/>
    <mergeCell ref="A83:D83"/>
    <mergeCell ref="E83:P83"/>
    <mergeCell ref="Q83:T83"/>
    <mergeCell ref="U83:V83"/>
    <mergeCell ref="W83:AF83"/>
    <mergeCell ref="A87:D87"/>
    <mergeCell ref="E87:P87"/>
    <mergeCell ref="Q87:T87"/>
    <mergeCell ref="U87:V87"/>
    <mergeCell ref="W87:AF87"/>
    <mergeCell ref="A88:D88"/>
    <mergeCell ref="E88:P88"/>
    <mergeCell ref="Q88:T88"/>
    <mergeCell ref="U88:V88"/>
    <mergeCell ref="W88:AF88"/>
    <mergeCell ref="A61:AF61"/>
    <mergeCell ref="E62:P62"/>
    <mergeCell ref="U62:V62"/>
    <mergeCell ref="W62:AF62"/>
    <mergeCell ref="E63:P63"/>
    <mergeCell ref="U63:V63"/>
    <mergeCell ref="W63:AF63"/>
    <mergeCell ref="A65:D65"/>
    <mergeCell ref="E65:P65"/>
    <mergeCell ref="Q65:T65"/>
    <mergeCell ref="U65:V65"/>
    <mergeCell ref="W65:AF65"/>
    <mergeCell ref="E66:P66"/>
    <mergeCell ref="U66:V66"/>
    <mergeCell ref="W66:AF66"/>
    <mergeCell ref="E67:P67"/>
    <mergeCell ref="U67:V67"/>
    <mergeCell ref="W67:AF67"/>
    <mergeCell ref="A66:D66"/>
    <mergeCell ref="Q66:T66"/>
    <mergeCell ref="A67:D67"/>
    <mergeCell ref="Q67:T67"/>
    <mergeCell ref="A69:D69"/>
    <mergeCell ref="E69:P69"/>
    <mergeCell ref="Q69:T69"/>
    <mergeCell ref="U69:V69"/>
    <mergeCell ref="W69:AF69"/>
    <mergeCell ref="A70:D70"/>
    <mergeCell ref="E70:P70"/>
    <mergeCell ref="Q70:T70"/>
    <mergeCell ref="U70:V70"/>
    <mergeCell ref="W70:AF70"/>
    <mergeCell ref="E71:P71"/>
    <mergeCell ref="Q71:T71"/>
    <mergeCell ref="U71:V71"/>
    <mergeCell ref="W71:AF71"/>
    <mergeCell ref="A72:D72"/>
    <mergeCell ref="E72:P72"/>
    <mergeCell ref="Q72:T72"/>
    <mergeCell ref="U72:V72"/>
    <mergeCell ref="W72:AF72"/>
    <mergeCell ref="A71:D71"/>
    <mergeCell ref="A73:D73"/>
    <mergeCell ref="E73:P73"/>
    <mergeCell ref="Q73:T73"/>
    <mergeCell ref="U73:V73"/>
    <mergeCell ref="W73:AF73"/>
    <mergeCell ref="A74:D74"/>
    <mergeCell ref="E74:P74"/>
    <mergeCell ref="Q74:T74"/>
    <mergeCell ref="U74:V74"/>
    <mergeCell ref="W74:AF74"/>
    <mergeCell ref="A75:D75"/>
    <mergeCell ref="E75:P75"/>
    <mergeCell ref="Q75:T75"/>
    <mergeCell ref="U75:V75"/>
    <mergeCell ref="W75:AF75"/>
    <mergeCell ref="A76:D76"/>
    <mergeCell ref="E76:P76"/>
    <mergeCell ref="Q76:T76"/>
    <mergeCell ref="U76:V76"/>
    <mergeCell ref="W76:AF76"/>
    <mergeCell ref="Q79:T79"/>
    <mergeCell ref="U79:V79"/>
    <mergeCell ref="W79:AF79"/>
    <mergeCell ref="A80:D80"/>
    <mergeCell ref="E80:P80"/>
    <mergeCell ref="Q80:T80"/>
    <mergeCell ref="U80:V80"/>
    <mergeCell ref="W80:AF80"/>
    <mergeCell ref="A81:D81"/>
    <mergeCell ref="E81:P81"/>
    <mergeCell ref="Q81:T81"/>
    <mergeCell ref="U81:V81"/>
    <mergeCell ref="W81:AF81"/>
    <mergeCell ref="A79:D79"/>
    <mergeCell ref="E79:P79"/>
    <mergeCell ref="Q84:T84"/>
    <mergeCell ref="U84:V84"/>
    <mergeCell ref="W84:AF84"/>
    <mergeCell ref="A85:D85"/>
    <mergeCell ref="E85:P85"/>
    <mergeCell ref="Q85:T85"/>
    <mergeCell ref="U85:V85"/>
    <mergeCell ref="W85:AF85"/>
    <mergeCell ref="A86:D86"/>
    <mergeCell ref="E86:P86"/>
    <mergeCell ref="Q86:T86"/>
    <mergeCell ref="U86:V86"/>
    <mergeCell ref="W86:AF86"/>
    <mergeCell ref="A84:D84"/>
    <mergeCell ref="E84:P84"/>
    <mergeCell ref="W89:AF89"/>
    <mergeCell ref="A90:D90"/>
    <mergeCell ref="E90:P90"/>
    <mergeCell ref="Q90:T90"/>
    <mergeCell ref="U90:V90"/>
    <mergeCell ref="W90:AF90"/>
    <mergeCell ref="A92:AF92"/>
    <mergeCell ref="A94:AF94"/>
    <mergeCell ref="A95:AF95"/>
    <mergeCell ref="A89:D89"/>
    <mergeCell ref="E89:P89"/>
    <mergeCell ref="Q89:T89"/>
    <mergeCell ref="U89:V89"/>
    <mergeCell ref="A96:H97"/>
    <mergeCell ref="I96:T96"/>
    <mergeCell ref="U96:AF96"/>
    <mergeCell ref="I97:N97"/>
    <mergeCell ref="O97:T97"/>
    <mergeCell ref="U97:Z97"/>
    <mergeCell ref="AA97:AF97"/>
    <mergeCell ref="A98:H98"/>
    <mergeCell ref="I98:N98"/>
    <mergeCell ref="O98:T98"/>
    <mergeCell ref="U98:Z98"/>
    <mergeCell ref="AA98:AF98"/>
    <mergeCell ref="A99:H99"/>
    <mergeCell ref="I99:N99"/>
    <mergeCell ref="O99:T99"/>
    <mergeCell ref="U99:Z99"/>
    <mergeCell ref="AA99:AF99"/>
    <mergeCell ref="A100:H100"/>
    <mergeCell ref="I100:N100"/>
    <mergeCell ref="O100:T100"/>
    <mergeCell ref="U100:Z100"/>
    <mergeCell ref="AA100:AF100"/>
    <mergeCell ref="A101:H101"/>
    <mergeCell ref="I101:AF101"/>
    <mergeCell ref="A102:H102"/>
    <mergeCell ref="I102:AF102"/>
    <mergeCell ref="A103:H103"/>
    <mergeCell ref="I103:T103"/>
    <mergeCell ref="U103:AF103"/>
    <mergeCell ref="A104:H104"/>
    <mergeCell ref="I104:N104"/>
    <mergeCell ref="O104:T104"/>
    <mergeCell ref="U104:Z104"/>
    <mergeCell ref="AA104:AF104"/>
    <mergeCell ref="A105:H105"/>
    <mergeCell ref="I105:N105"/>
    <mergeCell ref="O105:T105"/>
    <mergeCell ref="U105:Z105"/>
    <mergeCell ref="AA105:AF105"/>
    <mergeCell ref="A106:H106"/>
    <mergeCell ref="I106:AF106"/>
    <mergeCell ref="A107:H107"/>
    <mergeCell ref="I107:N107"/>
    <mergeCell ref="O107:T107"/>
    <mergeCell ref="U107:Z107"/>
    <mergeCell ref="AA107:AF107"/>
    <mergeCell ref="A108:H108"/>
    <mergeCell ref="I108:N108"/>
    <mergeCell ref="O108:T108"/>
    <mergeCell ref="U108:Z108"/>
    <mergeCell ref="AA108:AF108"/>
    <mergeCell ref="A109:H109"/>
    <mergeCell ref="I109:N109"/>
    <mergeCell ref="O109:T109"/>
    <mergeCell ref="U109:Z109"/>
    <mergeCell ref="AA109:AF109"/>
    <mergeCell ref="A110:H110"/>
    <mergeCell ref="I110:T110"/>
    <mergeCell ref="U110:AF110"/>
    <mergeCell ref="A111:AF111"/>
    <mergeCell ref="A112:H113"/>
    <mergeCell ref="I112:T112"/>
    <mergeCell ref="U112:AF112"/>
    <mergeCell ref="I113:N113"/>
    <mergeCell ref="O113:T113"/>
    <mergeCell ref="U113:Z113"/>
    <mergeCell ref="AA113:AF113"/>
    <mergeCell ref="A114:H114"/>
    <mergeCell ref="I114:N114"/>
    <mergeCell ref="O114:T114"/>
    <mergeCell ref="U114:Z114"/>
    <mergeCell ref="AA114:AF114"/>
    <mergeCell ref="A115:H115"/>
    <mergeCell ref="I115:N115"/>
    <mergeCell ref="O115:T115"/>
    <mergeCell ref="U115:Z115"/>
    <mergeCell ref="AA115:AF115"/>
    <mergeCell ref="A116:H116"/>
    <mergeCell ref="I116:N116"/>
    <mergeCell ref="O116:T116"/>
    <mergeCell ref="U116:Z116"/>
    <mergeCell ref="AA116:AF116"/>
    <mergeCell ref="A117:H117"/>
    <mergeCell ref="I117:AF117"/>
    <mergeCell ref="A118:H118"/>
    <mergeCell ref="I118:AF118"/>
    <mergeCell ref="A119:H119"/>
    <mergeCell ref="I119:T119"/>
    <mergeCell ref="U119:AF119"/>
    <mergeCell ref="A120:H120"/>
    <mergeCell ref="I120:N120"/>
    <mergeCell ref="O120:T120"/>
    <mergeCell ref="U120:Z120"/>
    <mergeCell ref="AA120:AF120"/>
    <mergeCell ref="A121:H121"/>
    <mergeCell ref="I121:N121"/>
    <mergeCell ref="O121:T121"/>
    <mergeCell ref="U121:Z121"/>
    <mergeCell ref="AA121:AF121"/>
    <mergeCell ref="A122:H122"/>
    <mergeCell ref="I122:AF122"/>
    <mergeCell ref="A123:H123"/>
    <mergeCell ref="I123:N123"/>
    <mergeCell ref="O123:T123"/>
    <mergeCell ref="U123:Z123"/>
    <mergeCell ref="AA123:AF123"/>
    <mergeCell ref="A124:H124"/>
    <mergeCell ref="I124:N124"/>
    <mergeCell ref="O124:T124"/>
    <mergeCell ref="U124:Z124"/>
    <mergeCell ref="AA124:AF124"/>
    <mergeCell ref="A125:H125"/>
    <mergeCell ref="I125:N125"/>
    <mergeCell ref="O125:T125"/>
    <mergeCell ref="U125:Z125"/>
    <mergeCell ref="AA125:AF125"/>
    <mergeCell ref="A126:H126"/>
    <mergeCell ref="I126:T126"/>
    <mergeCell ref="U126:AF126"/>
    <mergeCell ref="A127:AF127"/>
    <mergeCell ref="A128:H129"/>
    <mergeCell ref="I128:T128"/>
    <mergeCell ref="U128:AF128"/>
    <mergeCell ref="I129:N129"/>
    <mergeCell ref="O129:T129"/>
    <mergeCell ref="U129:Z129"/>
    <mergeCell ref="AA129:AF129"/>
    <mergeCell ref="A130:H130"/>
    <mergeCell ref="I130:N130"/>
    <mergeCell ref="O130:T130"/>
    <mergeCell ref="U130:Z130"/>
    <mergeCell ref="AA130:AF130"/>
    <mergeCell ref="A131:H131"/>
    <mergeCell ref="I131:N131"/>
    <mergeCell ref="O131:T131"/>
    <mergeCell ref="U131:Z131"/>
    <mergeCell ref="AA131:AF131"/>
    <mergeCell ref="A132:H132"/>
    <mergeCell ref="I132:N132"/>
    <mergeCell ref="O132:T132"/>
    <mergeCell ref="U132:Z132"/>
    <mergeCell ref="AA132:AF132"/>
    <mergeCell ref="A133:H133"/>
    <mergeCell ref="I133:AF133"/>
    <mergeCell ref="A134:H134"/>
    <mergeCell ref="I134:AF134"/>
    <mergeCell ref="A135:H135"/>
    <mergeCell ref="I135:T135"/>
    <mergeCell ref="U135:AF135"/>
    <mergeCell ref="A136:H136"/>
    <mergeCell ref="I136:N136"/>
    <mergeCell ref="O136:T136"/>
    <mergeCell ref="U136:Z136"/>
    <mergeCell ref="AA136:AF136"/>
    <mergeCell ref="A137:H137"/>
    <mergeCell ref="I137:N137"/>
    <mergeCell ref="O137:T137"/>
    <mergeCell ref="U137:Z137"/>
    <mergeCell ref="AA137:AF137"/>
    <mergeCell ref="A138:H138"/>
    <mergeCell ref="I138:AF138"/>
    <mergeCell ref="A139:H139"/>
    <mergeCell ref="I139:N139"/>
    <mergeCell ref="O139:T139"/>
    <mergeCell ref="U139:Z139"/>
    <mergeCell ref="AA139:AF139"/>
    <mergeCell ref="A140:H140"/>
    <mergeCell ref="I140:N140"/>
    <mergeCell ref="O140:T140"/>
    <mergeCell ref="U140:Z140"/>
    <mergeCell ref="AA140:AF140"/>
    <mergeCell ref="A141:H141"/>
    <mergeCell ref="I141:N141"/>
    <mergeCell ref="O141:T141"/>
    <mergeCell ref="U141:Z141"/>
    <mergeCell ref="AA141:AF141"/>
    <mergeCell ref="A142:H142"/>
    <mergeCell ref="I142:T142"/>
    <mergeCell ref="U142:AF142"/>
    <mergeCell ref="A143:AF143"/>
    <mergeCell ref="A144:H145"/>
    <mergeCell ref="I144:T144"/>
    <mergeCell ref="U144:AF144"/>
    <mergeCell ref="I145:N145"/>
    <mergeCell ref="O145:T145"/>
    <mergeCell ref="U145:Z145"/>
    <mergeCell ref="AA145:AF145"/>
    <mergeCell ref="A146:H146"/>
    <mergeCell ref="I146:N146"/>
    <mergeCell ref="O146:T146"/>
    <mergeCell ref="U146:Z146"/>
    <mergeCell ref="AA146:AF146"/>
    <mergeCell ref="A147:H147"/>
    <mergeCell ref="I147:N147"/>
    <mergeCell ref="O147:T147"/>
    <mergeCell ref="U147:Z147"/>
    <mergeCell ref="AA147:AF147"/>
    <mergeCell ref="A148:H148"/>
    <mergeCell ref="I148:N148"/>
    <mergeCell ref="O148:T148"/>
    <mergeCell ref="U148:Z148"/>
    <mergeCell ref="AA148:AF148"/>
    <mergeCell ref="A149:H149"/>
    <mergeCell ref="I149:AF149"/>
    <mergeCell ref="A150:H150"/>
    <mergeCell ref="I150:AF150"/>
    <mergeCell ref="A151:H151"/>
    <mergeCell ref="I151:T151"/>
    <mergeCell ref="U151:AF151"/>
    <mergeCell ref="A152:H152"/>
    <mergeCell ref="I152:N152"/>
    <mergeCell ref="O152:T152"/>
    <mergeCell ref="U152:Z152"/>
    <mergeCell ref="AA152:AF152"/>
    <mergeCell ref="A153:H153"/>
    <mergeCell ref="I153:N153"/>
    <mergeCell ref="O153:T153"/>
    <mergeCell ref="U153:Z153"/>
    <mergeCell ref="AA153:AF153"/>
    <mergeCell ref="A154:H154"/>
    <mergeCell ref="I154:AF154"/>
    <mergeCell ref="A155:H155"/>
    <mergeCell ref="I155:N155"/>
    <mergeCell ref="O155:T155"/>
    <mergeCell ref="U155:Z155"/>
    <mergeCell ref="AA155:AF155"/>
    <mergeCell ref="A156:H156"/>
    <mergeCell ref="I156:N156"/>
    <mergeCell ref="O156:T156"/>
    <mergeCell ref="U156:Z156"/>
    <mergeCell ref="AA156:AF156"/>
    <mergeCell ref="A157:H157"/>
    <mergeCell ref="I157:N157"/>
    <mergeCell ref="O157:T157"/>
    <mergeCell ref="U157:Z157"/>
    <mergeCell ref="AA157:AF157"/>
    <mergeCell ref="A158:H158"/>
    <mergeCell ref="I158:T158"/>
    <mergeCell ref="U158:AF158"/>
    <mergeCell ref="A159:AF159"/>
    <mergeCell ref="A160:AF160"/>
    <mergeCell ref="A161:AF161"/>
    <mergeCell ref="A162:AF162"/>
    <mergeCell ref="A165:AF165"/>
    <mergeCell ref="A167:H167"/>
    <mergeCell ref="I167:P167"/>
    <mergeCell ref="Q167:X167"/>
    <mergeCell ref="Y167:AF167"/>
    <mergeCell ref="A168:H168"/>
    <mergeCell ref="I168:P168"/>
    <mergeCell ref="Q168:X168"/>
    <mergeCell ref="Y168:AF168"/>
    <mergeCell ref="A169:H169"/>
    <mergeCell ref="I169:P169"/>
    <mergeCell ref="Q169:X169"/>
    <mergeCell ref="Y169:AF169"/>
    <mergeCell ref="A170:H170"/>
    <mergeCell ref="I170:P170"/>
    <mergeCell ref="Q170:X170"/>
    <mergeCell ref="Y170:AF170"/>
    <mergeCell ref="A171:H171"/>
    <mergeCell ref="I171:P171"/>
    <mergeCell ref="Q171:X171"/>
    <mergeCell ref="Y171:AF171"/>
    <mergeCell ref="B184:AF184"/>
    <mergeCell ref="B185:AF185"/>
    <mergeCell ref="B186:AF186"/>
    <mergeCell ref="A174:AF174"/>
    <mergeCell ref="B176:AF176"/>
    <mergeCell ref="B177:AF177"/>
    <mergeCell ref="B178:AF178"/>
    <mergeCell ref="B179:AF179"/>
    <mergeCell ref="B180:AF180"/>
    <mergeCell ref="B181:AF181"/>
    <mergeCell ref="B182:AF182"/>
    <mergeCell ref="B183:AF183"/>
  </mergeCells>
  <hyperlinks>
    <hyperlink ref="A2" location="TOC!A1" display="Return to TOC" xr:uid="{3195BFC7-C574-48A2-BDE5-964F9531544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5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AF32"/>
  <sheetViews>
    <sheetView showGridLines="0" tabSelected="1" zoomScaleNormal="100" workbookViewId="0"/>
  </sheetViews>
  <sheetFormatPr defaultColWidth="2.7109375" defaultRowHeight="15" x14ac:dyDescent="0.25"/>
  <sheetData>
    <row r="1" spans="1:32" x14ac:dyDescent="0.25">
      <c r="A1" s="386"/>
    </row>
    <row r="11" spans="1:32" ht="23.25" x14ac:dyDescent="0.35">
      <c r="A11" s="1127" t="s">
        <v>3030</v>
      </c>
      <c r="B11" s="1127"/>
      <c r="C11" s="1127"/>
      <c r="D11" s="1127"/>
      <c r="E11" s="1127"/>
      <c r="F11" s="1127"/>
      <c r="G11" s="1127"/>
      <c r="H11" s="1127"/>
      <c r="I11" s="1127"/>
      <c r="J11" s="1127"/>
      <c r="K11" s="1127"/>
      <c r="L11" s="1127"/>
      <c r="M11" s="1127"/>
      <c r="N11" s="1127"/>
      <c r="O11" s="1127"/>
      <c r="P11" s="1127"/>
      <c r="Q11" s="1127"/>
      <c r="R11" s="1127"/>
      <c r="S11" s="1127"/>
      <c r="T11" s="1127"/>
      <c r="U11" s="1127"/>
      <c r="V11" s="1127"/>
      <c r="W11" s="1127"/>
      <c r="X11" s="1127"/>
      <c r="Y11" s="1127"/>
      <c r="Z11" s="1127"/>
      <c r="AA11" s="1127"/>
      <c r="AB11" s="1127"/>
      <c r="AC11" s="1127"/>
      <c r="AD11" s="1127"/>
      <c r="AE11" s="1127"/>
      <c r="AF11" s="1127"/>
    </row>
    <row r="13" spans="1:32" ht="21" x14ac:dyDescent="0.35">
      <c r="A13" s="1128" t="s">
        <v>6508</v>
      </c>
      <c r="B13" s="1128"/>
      <c r="C13" s="1128"/>
      <c r="D13" s="1128"/>
      <c r="E13" s="1128"/>
      <c r="F13" s="1128"/>
      <c r="G13" s="1128"/>
      <c r="H13" s="1128"/>
      <c r="I13" s="1128"/>
      <c r="J13" s="1128"/>
      <c r="K13" s="1128"/>
      <c r="L13" s="1128"/>
      <c r="M13" s="1128"/>
      <c r="N13" s="1128"/>
      <c r="O13" s="1128"/>
      <c r="P13" s="1128"/>
      <c r="Q13" s="1128"/>
      <c r="R13" s="1128"/>
      <c r="S13" s="1128"/>
      <c r="T13" s="1128"/>
      <c r="U13" s="1128"/>
      <c r="V13" s="1128"/>
      <c r="W13" s="1128"/>
      <c r="X13" s="1128"/>
      <c r="Y13" s="1128"/>
      <c r="Z13" s="1128"/>
      <c r="AA13" s="1128"/>
      <c r="AB13" s="1128"/>
      <c r="AC13" s="1128"/>
      <c r="AD13" s="1128"/>
      <c r="AE13" s="1128"/>
      <c r="AF13" s="1128"/>
    </row>
    <row r="14" spans="1:32" ht="21" x14ac:dyDescent="0.35">
      <c r="A14" s="537"/>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row>
    <row r="15" spans="1:32" ht="21" x14ac:dyDescent="0.35">
      <c r="A15" s="537"/>
      <c r="B15" s="537"/>
      <c r="C15" s="537"/>
      <c r="D15" s="537"/>
      <c r="E15" s="537"/>
      <c r="F15" s="537"/>
      <c r="G15" s="537"/>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row>
    <row r="18" spans="1:32" ht="23.25" x14ac:dyDescent="0.35">
      <c r="A18" s="1129" t="s">
        <v>3028</v>
      </c>
      <c r="B18" s="1129"/>
      <c r="C18" s="1129"/>
      <c r="D18" s="1129"/>
      <c r="E18" s="1129"/>
      <c r="F18" s="1129"/>
      <c r="G18" s="1129"/>
      <c r="H18" s="1129"/>
      <c r="I18" s="1129"/>
      <c r="J18" s="1129"/>
      <c r="K18" s="1129"/>
      <c r="L18" s="1129"/>
      <c r="M18" s="1129"/>
      <c r="N18" s="1129"/>
      <c r="O18" s="1129"/>
      <c r="P18" s="1129"/>
      <c r="Q18" s="1129"/>
      <c r="R18" s="1129"/>
      <c r="S18" s="1129"/>
      <c r="T18" s="1129"/>
      <c r="U18" s="1129"/>
      <c r="V18" s="1129"/>
      <c r="W18" s="1129"/>
      <c r="X18" s="1129"/>
      <c r="Y18" s="1129"/>
      <c r="Z18" s="1129"/>
      <c r="AA18" s="1129"/>
      <c r="AB18" s="1129"/>
      <c r="AC18" s="1129"/>
      <c r="AD18" s="1129"/>
      <c r="AE18" s="1129"/>
      <c r="AF18" s="1129"/>
    </row>
    <row r="20" spans="1:32" ht="21" x14ac:dyDescent="0.35">
      <c r="A20" s="1128" t="s">
        <v>6509</v>
      </c>
      <c r="B20" s="1128"/>
      <c r="C20" s="1128"/>
      <c r="D20" s="1128"/>
      <c r="E20" s="1128"/>
      <c r="F20" s="1128"/>
      <c r="G20" s="1128"/>
      <c r="H20" s="1128"/>
      <c r="I20" s="1128"/>
      <c r="J20" s="1128"/>
      <c r="K20" s="1128"/>
      <c r="L20" s="1128"/>
      <c r="M20" s="1128"/>
      <c r="N20" s="1128"/>
      <c r="O20" s="1128"/>
      <c r="P20" s="1128"/>
      <c r="Q20" s="1128"/>
      <c r="R20" s="1128"/>
      <c r="S20" s="1128"/>
      <c r="T20" s="1128"/>
      <c r="U20" s="1128"/>
      <c r="V20" s="1128"/>
      <c r="W20" s="1128"/>
      <c r="X20" s="1128"/>
      <c r="Y20" s="1128"/>
      <c r="Z20" s="1128"/>
      <c r="AA20" s="1128"/>
      <c r="AB20" s="1128"/>
      <c r="AC20" s="1128"/>
      <c r="AD20" s="1128"/>
      <c r="AE20" s="1128"/>
      <c r="AF20" s="1128"/>
    </row>
    <row r="21" spans="1:32" ht="21" x14ac:dyDescent="0.35">
      <c r="A21" s="537"/>
      <c r="B21" s="537"/>
      <c r="C21" s="537"/>
      <c r="D21" s="537"/>
      <c r="E21" s="537"/>
      <c r="F21" s="537"/>
      <c r="G21" s="537"/>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row>
    <row r="22" spans="1:32" ht="21" x14ac:dyDescent="0.35">
      <c r="A22" s="1128" t="s">
        <v>7243</v>
      </c>
      <c r="B22" s="1128"/>
      <c r="C22" s="1128"/>
      <c r="D22" s="1128"/>
      <c r="E22" s="1128"/>
      <c r="F22" s="1128"/>
      <c r="G22" s="1128"/>
      <c r="H22" s="1128"/>
      <c r="I22" s="1128"/>
      <c r="J22" s="1128"/>
      <c r="K22" s="1128"/>
      <c r="L22" s="1128"/>
      <c r="M22" s="1128"/>
      <c r="N22" s="1128"/>
      <c r="O22" s="1128"/>
      <c r="P22" s="1128"/>
      <c r="Q22" s="1128"/>
      <c r="R22" s="1128"/>
      <c r="S22" s="1128"/>
      <c r="T22" s="1128"/>
      <c r="U22" s="1128"/>
      <c r="V22" s="1128"/>
      <c r="W22" s="1128"/>
      <c r="X22" s="1128"/>
      <c r="Y22" s="1128"/>
      <c r="Z22" s="1128"/>
      <c r="AA22" s="1128"/>
      <c r="AB22" s="1128"/>
      <c r="AC22" s="1128"/>
      <c r="AD22" s="1128"/>
      <c r="AE22" s="1128"/>
      <c r="AF22" s="1128"/>
    </row>
    <row r="25" spans="1:32" ht="21" x14ac:dyDescent="0.35">
      <c r="A25" s="1128" t="s">
        <v>3029</v>
      </c>
      <c r="B25" s="1128"/>
      <c r="C25" s="1128"/>
      <c r="D25" s="1128"/>
      <c r="E25" s="1128"/>
      <c r="F25" s="1128"/>
      <c r="G25" s="1128"/>
      <c r="H25" s="1128"/>
      <c r="I25" s="1128"/>
      <c r="J25" s="1128"/>
      <c r="K25" s="1128"/>
      <c r="L25" s="1128"/>
      <c r="M25" s="1128"/>
      <c r="N25" s="1128"/>
      <c r="O25" s="1128"/>
      <c r="P25" s="1128"/>
      <c r="Q25" s="1128"/>
      <c r="R25" s="1128"/>
      <c r="S25" s="1128"/>
      <c r="T25" s="1128"/>
      <c r="U25" s="1128"/>
      <c r="V25" s="1128"/>
      <c r="W25" s="1128"/>
      <c r="X25" s="1128"/>
      <c r="Y25" s="1128"/>
      <c r="Z25" s="1128"/>
      <c r="AA25" s="1128"/>
      <c r="AB25" s="1128"/>
      <c r="AC25" s="1128"/>
      <c r="AD25" s="1128"/>
      <c r="AE25" s="1128"/>
      <c r="AF25" s="1128"/>
    </row>
    <row r="32" spans="1:32" ht="15.75" x14ac:dyDescent="0.25">
      <c r="A32" s="1125" t="s">
        <v>7244</v>
      </c>
      <c r="B32" s="1126"/>
      <c r="C32" s="1126"/>
      <c r="D32" s="1126"/>
      <c r="E32" s="1126"/>
      <c r="F32" s="1126"/>
      <c r="G32" s="1126"/>
      <c r="H32" s="1126"/>
      <c r="I32" s="1126"/>
      <c r="J32" s="1126"/>
      <c r="K32" s="1126"/>
      <c r="L32" s="1126"/>
      <c r="M32" s="1126"/>
      <c r="N32" s="1126"/>
      <c r="O32" s="1126"/>
      <c r="P32" s="1126"/>
      <c r="Q32" s="1126"/>
      <c r="R32" s="1126"/>
      <c r="S32" s="1126"/>
      <c r="T32" s="1126"/>
      <c r="U32" s="1126"/>
      <c r="V32" s="1126"/>
      <c r="W32" s="1126"/>
      <c r="X32" s="1126"/>
      <c r="Y32" s="1126"/>
      <c r="Z32" s="1126"/>
      <c r="AA32" s="1126"/>
      <c r="AB32" s="1126"/>
      <c r="AC32" s="1126"/>
      <c r="AD32" s="1126"/>
      <c r="AE32" s="1126"/>
      <c r="AF32" s="1126"/>
    </row>
  </sheetData>
  <sheetProtection algorithmName="SHA-512" hashValue="M7ZabkzcQNTnCjujY3eV5IDXxWZJKlLDjZH5BzvE2zdRHT5ooaxirWVecpsNG+LTqK311oPBYvXwtSxAHjkOPg==" saltValue="HqOdMlfDWWKdJqj4UuJwFg==" spinCount="100000" sheet="1" objects="1" scenarios="1"/>
  <mergeCells count="7">
    <mergeCell ref="A32:AF32"/>
    <mergeCell ref="A11:AF11"/>
    <mergeCell ref="A13:AF13"/>
    <mergeCell ref="A18:AF18"/>
    <mergeCell ref="A20:AF20"/>
    <mergeCell ref="A25:AF25"/>
    <mergeCell ref="A22:AF22"/>
  </mergeCell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tabColor theme="7" tint="0.79998168889431442"/>
    <pageSetUpPr autoPageBreaks="0"/>
  </sheetPr>
  <dimension ref="A1:BP114"/>
  <sheetViews>
    <sheetView zoomScaleNormal="100" workbookViewId="0">
      <selection activeCell="A2" sqref="A2"/>
    </sheetView>
  </sheetViews>
  <sheetFormatPr defaultColWidth="2.7109375" defaultRowHeight="14.45" customHeight="1" x14ac:dyDescent="0.25"/>
  <cols>
    <col min="1" max="16384" width="2.7109375" style="1"/>
  </cols>
  <sheetData>
    <row r="1" spans="1:55" ht="18.75" x14ac:dyDescent="0.25">
      <c r="A1" s="1464" t="s">
        <v>1125</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L1" s="892"/>
    </row>
    <row r="2" spans="1:55" ht="14.45" customHeight="1" x14ac:dyDescent="0.25">
      <c r="A2" s="655"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L2" s="893"/>
    </row>
    <row r="3" spans="1:55" ht="15"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c r="AL3" s="839"/>
    </row>
    <row r="4" spans="1:55" ht="15"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L4" s="839"/>
    </row>
    <row r="5" spans="1:55" ht="15" x14ac:dyDescent="0.25">
      <c r="A5" s="262"/>
      <c r="B5" s="1589" t="s">
        <v>5857</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L5" s="894"/>
    </row>
    <row r="6" spans="1:55" ht="14.45" customHeight="1" x14ac:dyDescent="0.25">
      <c r="A6" s="529"/>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row>
    <row r="7" spans="1:55" ht="15" x14ac:dyDescent="0.25">
      <c r="A7" s="1385" t="s">
        <v>9</v>
      </c>
      <c r="B7" s="1386"/>
      <c r="C7" s="1386"/>
      <c r="D7" s="1386"/>
      <c r="E7" s="1386"/>
      <c r="F7" s="1386"/>
      <c r="G7" s="1386"/>
      <c r="H7" s="1386"/>
      <c r="I7" s="1386"/>
      <c r="J7" s="1386"/>
      <c r="K7" s="1386"/>
      <c r="L7" s="1386"/>
      <c r="M7" s="1386"/>
      <c r="N7" s="1386"/>
      <c r="O7" s="1386"/>
      <c r="P7" s="1386"/>
      <c r="Q7" s="1386"/>
      <c r="R7" s="1386"/>
      <c r="S7" s="1386"/>
      <c r="T7" s="1386"/>
      <c r="U7" s="1386"/>
      <c r="V7" s="1386"/>
      <c r="W7" s="1386"/>
      <c r="X7" s="1386"/>
      <c r="Y7" s="1386"/>
      <c r="Z7" s="1386"/>
      <c r="AA7" s="1386"/>
      <c r="AB7" s="1386"/>
      <c r="AC7" s="1386"/>
      <c r="AD7" s="1386"/>
      <c r="AE7" s="1386"/>
      <c r="AF7" s="1387"/>
    </row>
    <row r="8" spans="1:55" ht="15" x14ac:dyDescent="0.25">
      <c r="A8" s="19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row>
    <row r="9" spans="1:55" ht="15" x14ac:dyDescent="0.25">
      <c r="A9" s="262"/>
      <c r="B9" s="414" t="s">
        <v>10</v>
      </c>
      <c r="C9" s="414"/>
      <c r="D9" s="414"/>
      <c r="E9" s="414"/>
      <c r="F9" s="414"/>
      <c r="G9" s="414"/>
      <c r="H9" s="414"/>
      <c r="I9" s="414"/>
      <c r="J9" s="262"/>
      <c r="K9" s="262"/>
      <c r="L9" s="262"/>
      <c r="M9" s="262"/>
      <c r="N9" s="262"/>
      <c r="O9" s="262"/>
      <c r="P9" s="262"/>
      <c r="Q9" s="262"/>
      <c r="R9" s="262"/>
      <c r="S9" s="262"/>
      <c r="T9" s="262"/>
      <c r="U9" s="262"/>
      <c r="V9" s="262"/>
      <c r="W9" s="262"/>
      <c r="X9" s="262"/>
      <c r="Y9" s="262"/>
      <c r="Z9" s="262"/>
      <c r="AA9" s="262"/>
      <c r="AB9" s="262"/>
      <c r="AC9" s="262"/>
      <c r="AD9" s="262"/>
      <c r="AE9" s="262"/>
      <c r="AF9" s="262"/>
    </row>
    <row r="10" spans="1:55" s="4" customFormat="1" ht="137.25" customHeight="1" x14ac:dyDescent="0.25">
      <c r="A10" s="263"/>
      <c r="B10" s="1173" t="s">
        <v>5966</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J10" s="884"/>
      <c r="AK10" s="884"/>
      <c r="AL10" s="894"/>
      <c r="AM10" s="884"/>
      <c r="AN10" s="884"/>
      <c r="AO10" s="884"/>
      <c r="AP10" s="884"/>
      <c r="AQ10" s="884"/>
      <c r="AR10" s="884"/>
      <c r="AS10" s="884"/>
      <c r="AT10" s="884"/>
      <c r="AU10" s="884"/>
      <c r="AV10" s="884"/>
      <c r="AW10" s="884"/>
      <c r="AX10" s="884"/>
      <c r="AY10" s="884"/>
      <c r="AZ10" s="884"/>
      <c r="BA10" s="884"/>
      <c r="BB10" s="884"/>
      <c r="BC10" s="884"/>
    </row>
    <row r="11" spans="1:55" ht="14.45" customHeight="1"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row>
    <row r="12" spans="1:55" ht="15" x14ac:dyDescent="0.25">
      <c r="A12" s="262"/>
      <c r="B12" s="414" t="s">
        <v>11</v>
      </c>
      <c r="C12" s="414"/>
      <c r="D12" s="414"/>
      <c r="E12" s="414"/>
      <c r="F12" s="414"/>
      <c r="G12" s="414"/>
      <c r="H12" s="414"/>
      <c r="I12" s="414"/>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row>
    <row r="13" spans="1:55" ht="108" customHeight="1" x14ac:dyDescent="0.25">
      <c r="A13" s="262"/>
      <c r="B13" s="1168" t="s">
        <v>5967</v>
      </c>
      <c r="C13" s="1168"/>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J13" s="683"/>
      <c r="AL13" s="894"/>
    </row>
    <row r="14" spans="1:55" ht="14.45" customHeight="1" x14ac:dyDescent="0.2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row>
    <row r="15" spans="1:55" ht="15" x14ac:dyDescent="0.25">
      <c r="A15" s="262"/>
      <c r="B15" s="414" t="s">
        <v>12</v>
      </c>
      <c r="C15" s="414"/>
      <c r="D15" s="414"/>
      <c r="E15" s="414"/>
      <c r="F15" s="414"/>
      <c r="G15" s="414"/>
      <c r="H15" s="414"/>
      <c r="I15" s="414"/>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row>
    <row r="16" spans="1:55" ht="15" x14ac:dyDescent="0.25">
      <c r="A16" s="262"/>
      <c r="B16" s="1703" t="s">
        <v>808</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row>
    <row r="17" spans="1:38" ht="14.45" customHeight="1" x14ac:dyDescent="0.25">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row>
    <row r="18" spans="1:38" ht="15" x14ac:dyDescent="0.25">
      <c r="A18" s="262"/>
      <c r="B18" s="414" t="s">
        <v>13</v>
      </c>
      <c r="C18" s="414"/>
      <c r="D18" s="414"/>
      <c r="E18" s="414"/>
      <c r="F18" s="414"/>
      <c r="G18" s="414"/>
      <c r="H18" s="414"/>
      <c r="I18" s="414"/>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row>
    <row r="19" spans="1:38" ht="34.5" customHeight="1" x14ac:dyDescent="0.25">
      <c r="A19" s="262"/>
      <c r="B19" s="1173" t="s">
        <v>5968</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row>
    <row r="20" spans="1:38" ht="14.45" customHeight="1" x14ac:dyDescent="0.25">
      <c r="A20" s="262"/>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row>
    <row r="21" spans="1:38" ht="15" x14ac:dyDescent="0.25">
      <c r="A21" s="262"/>
      <c r="B21" s="414" t="s">
        <v>20</v>
      </c>
      <c r="C21" s="414"/>
      <c r="D21" s="414"/>
      <c r="E21" s="414"/>
      <c r="F21" s="414"/>
      <c r="G21" s="414"/>
      <c r="H21" s="414"/>
      <c r="I21" s="414"/>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J21" s="683"/>
    </row>
    <row r="22" spans="1:38" ht="34.5" customHeight="1" x14ac:dyDescent="0.25">
      <c r="A22" s="262"/>
      <c r="B22" s="1704" t="s">
        <v>5969</v>
      </c>
      <c r="C22" s="1589"/>
      <c r="D22" s="1589"/>
      <c r="E22" s="1589"/>
      <c r="F22" s="1589"/>
      <c r="G22" s="1589"/>
      <c r="H22" s="1589"/>
      <c r="I22" s="1589"/>
      <c r="J22" s="1589"/>
      <c r="K22" s="1589"/>
      <c r="L22" s="1589"/>
      <c r="M22" s="1589"/>
      <c r="N22" s="1589"/>
      <c r="O22" s="1589"/>
      <c r="P22" s="1589"/>
      <c r="Q22" s="1589"/>
      <c r="R22" s="1589"/>
      <c r="S22" s="1589"/>
      <c r="T22" s="1589"/>
      <c r="U22" s="1589"/>
      <c r="V22" s="1589"/>
      <c r="W22" s="1589"/>
      <c r="X22" s="1589"/>
      <c r="Y22" s="1589"/>
      <c r="Z22" s="1589"/>
      <c r="AA22" s="1589"/>
      <c r="AB22" s="1589"/>
      <c r="AC22" s="1589"/>
      <c r="AD22" s="1589"/>
      <c r="AE22" s="1589"/>
      <c r="AF22" s="1589"/>
    </row>
    <row r="23" spans="1:38" ht="15" x14ac:dyDescent="0.25">
      <c r="A23" s="262"/>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row>
    <row r="24" spans="1:38" ht="14.45" customHeight="1" x14ac:dyDescent="0.25">
      <c r="A24" s="262"/>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row>
    <row r="25" spans="1:38" ht="15" x14ac:dyDescent="0.25">
      <c r="A25" s="1385" t="s">
        <v>14</v>
      </c>
      <c r="B25" s="1386"/>
      <c r="C25" s="1386"/>
      <c r="D25" s="1386"/>
      <c r="E25" s="1386"/>
      <c r="F25" s="1386"/>
      <c r="G25" s="1386"/>
      <c r="H25" s="1386"/>
      <c r="I25" s="1386"/>
      <c r="J25" s="1386"/>
      <c r="K25" s="1386"/>
      <c r="L25" s="1386"/>
      <c r="M25" s="1386"/>
      <c r="N25" s="1386"/>
      <c r="O25" s="1386"/>
      <c r="P25" s="1386"/>
      <c r="Q25" s="1386"/>
      <c r="R25" s="1386"/>
      <c r="S25" s="1386"/>
      <c r="T25" s="1386"/>
      <c r="U25" s="1386"/>
      <c r="V25" s="1386"/>
      <c r="W25" s="1386"/>
      <c r="X25" s="1386"/>
      <c r="Y25" s="1386"/>
      <c r="Z25" s="1386"/>
      <c r="AA25" s="1386"/>
      <c r="AB25" s="1386"/>
      <c r="AC25" s="1386"/>
      <c r="AD25" s="1386"/>
      <c r="AE25" s="1386"/>
      <c r="AF25" s="1387"/>
      <c r="AJ25" s="683"/>
      <c r="AL25" s="894"/>
    </row>
    <row r="26" spans="1:38" ht="14.45" customHeight="1" x14ac:dyDescent="0.25">
      <c r="A26" s="262"/>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row>
    <row r="27" spans="1:38" ht="14.45" customHeight="1" x14ac:dyDescent="0.25">
      <c r="A27" s="868"/>
      <c r="B27" s="519" t="s">
        <v>2194</v>
      </c>
      <c r="C27" s="868"/>
      <c r="D27" s="868"/>
      <c r="E27" s="868"/>
      <c r="F27" s="868"/>
      <c r="G27" s="868"/>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L27" s="839"/>
    </row>
    <row r="28" spans="1:38" ht="15" x14ac:dyDescent="0.25">
      <c r="A28" s="868"/>
      <c r="B28" s="868"/>
      <c r="C28" s="868"/>
      <c r="D28" s="868"/>
      <c r="E28" s="868"/>
      <c r="F28" s="868"/>
      <c r="G28" s="868"/>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L28" s="839"/>
    </row>
    <row r="29" spans="1:38" ht="15" x14ac:dyDescent="0.25">
      <c r="A29" s="868"/>
      <c r="B29" s="868"/>
      <c r="C29" s="868"/>
      <c r="D29" s="868"/>
      <c r="E29" s="868"/>
      <c r="F29" s="868"/>
      <c r="G29" s="868"/>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685" t="s">
        <v>1705</v>
      </c>
      <c r="AL29" s="839"/>
    </row>
    <row r="30" spans="1:38" ht="15" x14ac:dyDescent="0.25">
      <c r="A30" s="868"/>
      <c r="B30" s="868"/>
      <c r="C30" s="868"/>
      <c r="D30" s="868"/>
      <c r="E30" s="868"/>
      <c r="F30" s="868"/>
      <c r="G30" s="868"/>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685"/>
      <c r="AL30" s="839"/>
    </row>
    <row r="31" spans="1:38" ht="15" x14ac:dyDescent="0.25">
      <c r="A31" s="868"/>
      <c r="B31" s="868"/>
      <c r="C31" s="887" t="s">
        <v>4354</v>
      </c>
      <c r="D31" s="868"/>
      <c r="E31" s="868"/>
      <c r="F31" s="868"/>
      <c r="G31" s="868"/>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685"/>
      <c r="AL31" s="839"/>
    </row>
    <row r="32" spans="1:38" ht="15" x14ac:dyDescent="0.25">
      <c r="A32" s="868"/>
      <c r="B32" s="868"/>
      <c r="C32" s="868"/>
      <c r="D32" s="868"/>
      <c r="E32" s="868"/>
      <c r="F32" s="868"/>
      <c r="G32" s="868"/>
      <c r="H32" s="339"/>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c r="AL32" s="839"/>
    </row>
    <row r="33" spans="1:38" ht="15" x14ac:dyDescent="0.25">
      <c r="A33" s="868"/>
      <c r="B33" s="868"/>
      <c r="C33" s="868"/>
      <c r="D33" s="868"/>
      <c r="E33" s="868"/>
      <c r="F33" s="868"/>
      <c r="G33" s="868"/>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419" t="s">
        <v>1706</v>
      </c>
      <c r="AL33" s="839"/>
    </row>
    <row r="34" spans="1:38" ht="15" x14ac:dyDescent="0.25">
      <c r="A34" s="868"/>
      <c r="B34" s="868"/>
      <c r="C34" s="868"/>
      <c r="D34" s="868"/>
      <c r="E34" s="868"/>
      <c r="F34" s="868"/>
      <c r="G34" s="868"/>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L34" s="839"/>
    </row>
    <row r="35" spans="1:38" ht="14.45" customHeight="1" x14ac:dyDescent="0.25">
      <c r="A35" s="262"/>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419" t="s">
        <v>1707</v>
      </c>
    </row>
    <row r="36" spans="1:38" ht="14.45" customHeight="1" x14ac:dyDescent="0.25">
      <c r="A36" s="262"/>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419"/>
    </row>
    <row r="37" spans="1:38" ht="14.45" customHeight="1" x14ac:dyDescent="0.25">
      <c r="A37" s="262"/>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419" t="s">
        <v>1756</v>
      </c>
    </row>
    <row r="38" spans="1:38" ht="14.45" customHeight="1" x14ac:dyDescent="0.25">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419"/>
    </row>
    <row r="39" spans="1:38" ht="14.45" customHeight="1" x14ac:dyDescent="0.25">
      <c r="A39" s="262"/>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419" t="s">
        <v>1788</v>
      </c>
    </row>
    <row r="40" spans="1:38" ht="14.45" customHeight="1" x14ac:dyDescent="0.25">
      <c r="A40" s="262"/>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419"/>
    </row>
    <row r="41" spans="1:38" ht="14.45" customHeight="1" x14ac:dyDescent="0.25">
      <c r="A41" s="262"/>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419" t="s">
        <v>1789</v>
      </c>
    </row>
    <row r="42" spans="1:38" ht="14.45" customHeight="1" x14ac:dyDescent="0.25">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row>
    <row r="43" spans="1:38" ht="15" x14ac:dyDescent="0.25">
      <c r="A43" s="868"/>
      <c r="B43" s="519" t="s">
        <v>2303</v>
      </c>
      <c r="C43" s="868"/>
      <c r="D43" s="868"/>
      <c r="E43" s="868"/>
      <c r="F43" s="868"/>
      <c r="G43" s="868"/>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L43" s="839"/>
    </row>
    <row r="44" spans="1:38" ht="15" x14ac:dyDescent="0.25">
      <c r="A44" s="868"/>
      <c r="B44" s="868"/>
      <c r="C44" s="868"/>
      <c r="D44" s="868"/>
      <c r="E44" s="868"/>
      <c r="F44" s="868"/>
      <c r="G44" s="868"/>
      <c r="H44" s="339"/>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L44" s="839"/>
    </row>
    <row r="45" spans="1:38" ht="15" x14ac:dyDescent="0.25">
      <c r="A45" s="868"/>
      <c r="B45" s="868"/>
      <c r="C45" s="868"/>
      <c r="D45" s="868"/>
      <c r="E45" s="868"/>
      <c r="F45" s="868"/>
      <c r="G45" s="868"/>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t="s">
        <v>1826</v>
      </c>
      <c r="AL45" s="839"/>
    </row>
    <row r="46" spans="1:38" ht="15" x14ac:dyDescent="0.25">
      <c r="A46" s="868"/>
      <c r="B46" s="868"/>
      <c r="C46" s="868"/>
      <c r="D46" s="868"/>
      <c r="E46" s="868"/>
      <c r="F46" s="868"/>
      <c r="G46" s="868"/>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L46" s="839"/>
    </row>
    <row r="47" spans="1:38" ht="15" x14ac:dyDescent="0.25">
      <c r="A47" s="868"/>
      <c r="B47" s="519" t="s">
        <v>1998</v>
      </c>
      <c r="C47" s="868"/>
      <c r="D47" s="868"/>
      <c r="E47" s="868"/>
      <c r="F47" s="868"/>
      <c r="G47" s="868"/>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L47" s="839"/>
    </row>
    <row r="48" spans="1:38" ht="15" x14ac:dyDescent="0.25">
      <c r="A48" s="868"/>
      <c r="B48" s="868"/>
      <c r="C48" s="868"/>
      <c r="D48" s="868"/>
      <c r="E48" s="868"/>
      <c r="F48" s="868"/>
      <c r="G48" s="868"/>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L48" s="839"/>
    </row>
    <row r="49" spans="1:38" ht="15" x14ac:dyDescent="0.25">
      <c r="A49" s="868"/>
      <c r="B49" s="868"/>
      <c r="C49" s="868"/>
      <c r="D49" s="868"/>
      <c r="E49" s="868"/>
      <c r="F49" s="868"/>
      <c r="G49" s="868"/>
      <c r="H49" s="339"/>
      <c r="I49" s="339"/>
      <c r="J49" s="339"/>
      <c r="K49" s="339"/>
      <c r="L49" s="339"/>
      <c r="M49" s="339"/>
      <c r="N49" s="339"/>
      <c r="O49" s="339"/>
      <c r="P49" s="339"/>
      <c r="Q49" s="339"/>
      <c r="R49" s="339"/>
      <c r="S49" s="339"/>
      <c r="T49" s="339"/>
      <c r="U49" s="339"/>
      <c r="V49" s="339"/>
      <c r="W49" s="339"/>
      <c r="X49" s="339"/>
      <c r="Y49" s="339"/>
      <c r="Z49" s="339"/>
      <c r="AA49" s="339"/>
      <c r="AB49" s="339"/>
      <c r="AC49" s="339"/>
      <c r="AD49" s="339"/>
      <c r="AE49" s="339"/>
      <c r="AF49" s="419" t="s">
        <v>1827</v>
      </c>
      <c r="AL49" s="839"/>
    </row>
    <row r="50" spans="1:38" ht="15" x14ac:dyDescent="0.25">
      <c r="A50" s="868"/>
      <c r="B50" s="868"/>
      <c r="C50" s="868"/>
      <c r="D50" s="868"/>
      <c r="E50" s="868"/>
      <c r="F50" s="868"/>
      <c r="G50" s="868"/>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L50" s="839"/>
    </row>
    <row r="51" spans="1:38" ht="14.45" customHeight="1" x14ac:dyDescent="0.25">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row>
    <row r="52" spans="1:38" ht="14.45" customHeight="1" x14ac:dyDescent="0.25">
      <c r="A52" s="1385" t="s">
        <v>15</v>
      </c>
      <c r="B52" s="1386"/>
      <c r="C52" s="1386"/>
      <c r="D52" s="1386"/>
      <c r="E52" s="1386"/>
      <c r="F52" s="1386"/>
      <c r="G52" s="1386"/>
      <c r="H52" s="1386"/>
      <c r="I52" s="1386"/>
      <c r="J52" s="1386"/>
      <c r="K52" s="1386"/>
      <c r="L52" s="1386"/>
      <c r="M52" s="1386"/>
      <c r="N52" s="1386"/>
      <c r="O52" s="1386"/>
      <c r="P52" s="1386"/>
      <c r="Q52" s="1386"/>
      <c r="R52" s="1386"/>
      <c r="S52" s="1386"/>
      <c r="T52" s="1386"/>
      <c r="U52" s="1386"/>
      <c r="V52" s="1386"/>
      <c r="W52" s="1386"/>
      <c r="X52" s="1386"/>
      <c r="Y52" s="1386"/>
      <c r="Z52" s="1386"/>
      <c r="AA52" s="1386"/>
      <c r="AB52" s="1386"/>
      <c r="AC52" s="1386"/>
      <c r="AD52" s="1386"/>
      <c r="AE52" s="1386"/>
      <c r="AF52" s="1387"/>
      <c r="AL52" s="894"/>
    </row>
    <row r="53" spans="1:38" ht="14.45" customHeight="1" x14ac:dyDescent="0.25">
      <c r="A53" s="1697" t="s">
        <v>16</v>
      </c>
      <c r="B53" s="1698"/>
      <c r="C53" s="1698"/>
      <c r="D53" s="1699"/>
      <c r="E53" s="1697" t="s">
        <v>10</v>
      </c>
      <c r="F53" s="1698"/>
      <c r="G53" s="1698"/>
      <c r="H53" s="1698"/>
      <c r="I53" s="1698"/>
      <c r="J53" s="1698"/>
      <c r="K53" s="1698"/>
      <c r="L53" s="1698"/>
      <c r="M53" s="1698"/>
      <c r="N53" s="1698"/>
      <c r="O53" s="1698"/>
      <c r="P53" s="1699"/>
      <c r="Q53" s="1697" t="s">
        <v>17</v>
      </c>
      <c r="R53" s="1698"/>
      <c r="S53" s="1698"/>
      <c r="T53" s="1699"/>
      <c r="U53" s="1697" t="s">
        <v>18</v>
      </c>
      <c r="V53" s="1699"/>
      <c r="W53" s="1697" t="s">
        <v>1708</v>
      </c>
      <c r="X53" s="1698"/>
      <c r="Y53" s="1698"/>
      <c r="Z53" s="1698"/>
      <c r="AA53" s="1698"/>
      <c r="AB53" s="1698"/>
      <c r="AC53" s="1698"/>
      <c r="AD53" s="1698"/>
      <c r="AE53" s="1698"/>
      <c r="AF53" s="1699"/>
    </row>
    <row r="54" spans="1:38" ht="14.45" customHeight="1" x14ac:dyDescent="0.25">
      <c r="A54" s="1680" t="s">
        <v>5926</v>
      </c>
      <c r="B54" s="1681"/>
      <c r="C54" s="1681"/>
      <c r="D54" s="1682"/>
      <c r="E54" s="1680" t="s">
        <v>5862</v>
      </c>
      <c r="F54" s="1681"/>
      <c r="G54" s="1681"/>
      <c r="H54" s="1681"/>
      <c r="I54" s="1681"/>
      <c r="J54" s="1681"/>
      <c r="K54" s="1681"/>
      <c r="L54" s="1681"/>
      <c r="M54" s="1681"/>
      <c r="N54" s="1681"/>
      <c r="O54" s="1681"/>
      <c r="P54" s="1682"/>
      <c r="Q54" s="1690" t="s">
        <v>326</v>
      </c>
      <c r="R54" s="1691"/>
      <c r="S54" s="1691"/>
      <c r="T54" s="1692"/>
      <c r="U54" s="1683" t="s">
        <v>719</v>
      </c>
      <c r="V54" s="1685"/>
      <c r="W54" s="1680" t="s">
        <v>43</v>
      </c>
      <c r="X54" s="1681"/>
      <c r="Y54" s="1681"/>
      <c r="Z54" s="1681"/>
      <c r="AA54" s="1681"/>
      <c r="AB54" s="1681"/>
      <c r="AC54" s="1681"/>
      <c r="AD54" s="1681"/>
      <c r="AE54" s="1681"/>
      <c r="AF54" s="1682"/>
      <c r="AL54" s="894"/>
    </row>
    <row r="55" spans="1:38" ht="14.25" customHeight="1" x14ac:dyDescent="0.25">
      <c r="A55" s="1680" t="s">
        <v>5927</v>
      </c>
      <c r="B55" s="1681"/>
      <c r="C55" s="1681"/>
      <c r="D55" s="1682"/>
      <c r="E55" s="1494" t="s">
        <v>5863</v>
      </c>
      <c r="F55" s="1495"/>
      <c r="G55" s="1495"/>
      <c r="H55" s="1495"/>
      <c r="I55" s="1495"/>
      <c r="J55" s="1495"/>
      <c r="K55" s="1495"/>
      <c r="L55" s="1495"/>
      <c r="M55" s="1495"/>
      <c r="N55" s="1495"/>
      <c r="O55" s="1495"/>
      <c r="P55" s="1496"/>
      <c r="Q55" s="1690" t="s">
        <v>326</v>
      </c>
      <c r="R55" s="1691"/>
      <c r="S55" s="1691"/>
      <c r="T55" s="1692"/>
      <c r="U55" s="1683" t="s">
        <v>719</v>
      </c>
      <c r="V55" s="1685"/>
      <c r="W55" s="1680" t="s">
        <v>43</v>
      </c>
      <c r="X55" s="1681"/>
      <c r="Y55" s="1681"/>
      <c r="Z55" s="1681"/>
      <c r="AA55" s="1681"/>
      <c r="AB55" s="1681"/>
      <c r="AC55" s="1681"/>
      <c r="AD55" s="1681"/>
      <c r="AE55" s="1681"/>
      <c r="AF55" s="1682"/>
    </row>
    <row r="56" spans="1:38" ht="45.75" customHeight="1" x14ac:dyDescent="0.25">
      <c r="A56" s="1680" t="s">
        <v>5928</v>
      </c>
      <c r="B56" s="1681"/>
      <c r="C56" s="1681"/>
      <c r="D56" s="1682"/>
      <c r="E56" s="1494" t="s">
        <v>5864</v>
      </c>
      <c r="F56" s="1495"/>
      <c r="G56" s="1495"/>
      <c r="H56" s="1495"/>
      <c r="I56" s="1495"/>
      <c r="J56" s="1495"/>
      <c r="K56" s="1495"/>
      <c r="L56" s="1495"/>
      <c r="M56" s="1495"/>
      <c r="N56" s="1495"/>
      <c r="O56" s="1495"/>
      <c r="P56" s="1496"/>
      <c r="Q56" s="1690" t="s">
        <v>326</v>
      </c>
      <c r="R56" s="1691"/>
      <c r="S56" s="1691"/>
      <c r="T56" s="1692"/>
      <c r="U56" s="1683" t="s">
        <v>719</v>
      </c>
      <c r="V56" s="1685"/>
      <c r="W56" s="1494" t="s">
        <v>5865</v>
      </c>
      <c r="X56" s="1495"/>
      <c r="Y56" s="1495"/>
      <c r="Z56" s="1495"/>
      <c r="AA56" s="1495"/>
      <c r="AB56" s="1495"/>
      <c r="AC56" s="1495"/>
      <c r="AD56" s="1495"/>
      <c r="AE56" s="1495"/>
      <c r="AF56" s="1496"/>
    </row>
    <row r="57" spans="1:38" ht="14.45" customHeight="1" x14ac:dyDescent="0.25">
      <c r="A57" s="1680" t="s">
        <v>5990</v>
      </c>
      <c r="B57" s="1681"/>
      <c r="C57" s="1681"/>
      <c r="D57" s="1682"/>
      <c r="E57" s="1680" t="s">
        <v>5970</v>
      </c>
      <c r="F57" s="1681"/>
      <c r="G57" s="1681"/>
      <c r="H57" s="1681"/>
      <c r="I57" s="1681"/>
      <c r="J57" s="1681"/>
      <c r="K57" s="1681"/>
      <c r="L57" s="1681"/>
      <c r="M57" s="1681"/>
      <c r="N57" s="1681"/>
      <c r="O57" s="1681"/>
      <c r="P57" s="1682"/>
      <c r="Q57" s="1690" t="s">
        <v>326</v>
      </c>
      <c r="R57" s="1691"/>
      <c r="S57" s="1691"/>
      <c r="T57" s="1692"/>
      <c r="U57" s="1683" t="s">
        <v>719</v>
      </c>
      <c r="V57" s="1685"/>
      <c r="W57" s="1680" t="s">
        <v>43</v>
      </c>
      <c r="X57" s="1681"/>
      <c r="Y57" s="1681"/>
      <c r="Z57" s="1681"/>
      <c r="AA57" s="1681"/>
      <c r="AB57" s="1681"/>
      <c r="AC57" s="1681"/>
      <c r="AD57" s="1681"/>
      <c r="AE57" s="1681"/>
      <c r="AF57" s="1682"/>
    </row>
    <row r="58" spans="1:38" ht="14.45" customHeight="1" x14ac:dyDescent="0.25">
      <c r="A58" s="1680" t="s">
        <v>5991</v>
      </c>
      <c r="B58" s="1681"/>
      <c r="C58" s="1681"/>
      <c r="D58" s="1682"/>
      <c r="E58" s="1494" t="s">
        <v>5971</v>
      </c>
      <c r="F58" s="1495"/>
      <c r="G58" s="1495"/>
      <c r="H58" s="1495"/>
      <c r="I58" s="1495"/>
      <c r="J58" s="1495"/>
      <c r="K58" s="1495"/>
      <c r="L58" s="1495"/>
      <c r="M58" s="1495"/>
      <c r="N58" s="1495"/>
      <c r="O58" s="1495"/>
      <c r="P58" s="1496"/>
      <c r="Q58" s="1690" t="s">
        <v>326</v>
      </c>
      <c r="R58" s="1691"/>
      <c r="S58" s="1691"/>
      <c r="T58" s="1692"/>
      <c r="U58" s="1683" t="s">
        <v>719</v>
      </c>
      <c r="V58" s="1685"/>
      <c r="W58" s="1680" t="s">
        <v>43</v>
      </c>
      <c r="X58" s="1681"/>
      <c r="Y58" s="1681"/>
      <c r="Z58" s="1681"/>
      <c r="AA58" s="1681"/>
      <c r="AB58" s="1681"/>
      <c r="AC58" s="1681"/>
      <c r="AD58" s="1681"/>
      <c r="AE58" s="1681"/>
      <c r="AF58" s="1682"/>
    </row>
    <row r="59" spans="1:38" ht="47.25" customHeight="1" x14ac:dyDescent="0.25">
      <c r="A59" s="1680" t="s">
        <v>5972</v>
      </c>
      <c r="B59" s="1681"/>
      <c r="C59" s="1681"/>
      <c r="D59" s="1682"/>
      <c r="E59" s="1680" t="s">
        <v>5870</v>
      </c>
      <c r="F59" s="1681"/>
      <c r="G59" s="1681"/>
      <c r="H59" s="1681"/>
      <c r="I59" s="1681"/>
      <c r="J59" s="1681"/>
      <c r="K59" s="1681"/>
      <c r="L59" s="1681"/>
      <c r="M59" s="1681"/>
      <c r="N59" s="1681"/>
      <c r="O59" s="1681"/>
      <c r="P59" s="1682"/>
      <c r="Q59" s="1683">
        <v>73.2</v>
      </c>
      <c r="R59" s="1684"/>
      <c r="S59" s="1684"/>
      <c r="T59" s="1685"/>
      <c r="U59" s="1683" t="s">
        <v>731</v>
      </c>
      <c r="V59" s="1685"/>
      <c r="W59" s="1494" t="s">
        <v>5865</v>
      </c>
      <c r="X59" s="1495"/>
      <c r="Y59" s="1495"/>
      <c r="Z59" s="1495"/>
      <c r="AA59" s="1495"/>
      <c r="AB59" s="1495"/>
      <c r="AC59" s="1495"/>
      <c r="AD59" s="1495"/>
      <c r="AE59" s="1495"/>
      <c r="AF59" s="1496"/>
      <c r="AL59" s="894"/>
    </row>
    <row r="60" spans="1:38" ht="60.75" customHeight="1" x14ac:dyDescent="0.25">
      <c r="A60" s="1680" t="s">
        <v>5992</v>
      </c>
      <c r="B60" s="1681"/>
      <c r="C60" s="1681"/>
      <c r="D60" s="1682"/>
      <c r="E60" s="1494" t="s">
        <v>5973</v>
      </c>
      <c r="F60" s="1495"/>
      <c r="G60" s="1495"/>
      <c r="H60" s="1495"/>
      <c r="I60" s="1495"/>
      <c r="J60" s="1495"/>
      <c r="K60" s="1495"/>
      <c r="L60" s="1495"/>
      <c r="M60" s="1495"/>
      <c r="N60" s="1495"/>
      <c r="O60" s="1495"/>
      <c r="P60" s="1496"/>
      <c r="Q60" s="1690" t="s">
        <v>326</v>
      </c>
      <c r="R60" s="1691"/>
      <c r="S60" s="1691"/>
      <c r="T60" s="1692"/>
      <c r="U60" s="1696" t="s">
        <v>28</v>
      </c>
      <c r="V60" s="1685"/>
      <c r="W60" s="1494" t="s">
        <v>5974</v>
      </c>
      <c r="X60" s="1495"/>
      <c r="Y60" s="1495"/>
      <c r="Z60" s="1495"/>
      <c r="AA60" s="1495"/>
      <c r="AB60" s="1495"/>
      <c r="AC60" s="1495"/>
      <c r="AD60" s="1495"/>
      <c r="AE60" s="1495"/>
      <c r="AF60" s="1496"/>
    </row>
    <row r="61" spans="1:38" ht="45" customHeight="1" x14ac:dyDescent="0.25">
      <c r="A61" s="1680" t="s">
        <v>5939</v>
      </c>
      <c r="B61" s="1681"/>
      <c r="C61" s="1681"/>
      <c r="D61" s="1682"/>
      <c r="E61" s="1494" t="s">
        <v>5875</v>
      </c>
      <c r="F61" s="1495"/>
      <c r="G61" s="1495"/>
      <c r="H61" s="1495"/>
      <c r="I61" s="1495"/>
      <c r="J61" s="1495"/>
      <c r="K61" s="1495"/>
      <c r="L61" s="1495"/>
      <c r="M61" s="1495"/>
      <c r="N61" s="1495"/>
      <c r="O61" s="1495"/>
      <c r="P61" s="1496"/>
      <c r="Q61" s="1690">
        <v>1</v>
      </c>
      <c r="R61" s="1691"/>
      <c r="S61" s="1691"/>
      <c r="T61" s="1692"/>
      <c r="U61" s="1683" t="s">
        <v>28</v>
      </c>
      <c r="V61" s="1685"/>
      <c r="W61" s="1494" t="s">
        <v>5975</v>
      </c>
      <c r="X61" s="1495"/>
      <c r="Y61" s="1495"/>
      <c r="Z61" s="1495"/>
      <c r="AA61" s="1495"/>
      <c r="AB61" s="1495"/>
      <c r="AC61" s="1495"/>
      <c r="AD61" s="1495"/>
      <c r="AE61" s="1495"/>
      <c r="AF61" s="1496"/>
    </row>
    <row r="62" spans="1:38" ht="44.25" customHeight="1" x14ac:dyDescent="0.25">
      <c r="A62" s="1680" t="s">
        <v>5940</v>
      </c>
      <c r="B62" s="1681"/>
      <c r="C62" s="1681"/>
      <c r="D62" s="1682"/>
      <c r="E62" s="1494" t="s">
        <v>5876</v>
      </c>
      <c r="F62" s="1495"/>
      <c r="G62" s="1495"/>
      <c r="H62" s="1495"/>
      <c r="I62" s="1495"/>
      <c r="J62" s="1495"/>
      <c r="K62" s="1495"/>
      <c r="L62" s="1495"/>
      <c r="M62" s="1495"/>
      <c r="N62" s="1495"/>
      <c r="O62" s="1495"/>
      <c r="P62" s="1496"/>
      <c r="Q62" s="1690" t="s">
        <v>326</v>
      </c>
      <c r="R62" s="1691"/>
      <c r="S62" s="1691"/>
      <c r="T62" s="1692"/>
      <c r="U62" s="1683" t="s">
        <v>5877</v>
      </c>
      <c r="V62" s="1685"/>
      <c r="W62" s="1494" t="s">
        <v>5865</v>
      </c>
      <c r="X62" s="1495"/>
      <c r="Y62" s="1495"/>
      <c r="Z62" s="1495"/>
      <c r="AA62" s="1495"/>
      <c r="AB62" s="1495"/>
      <c r="AC62" s="1495"/>
      <c r="AD62" s="1495"/>
      <c r="AE62" s="1495"/>
      <c r="AF62" s="1496"/>
    </row>
    <row r="63" spans="1:38" ht="15.75" customHeight="1" x14ac:dyDescent="0.25">
      <c r="A63" s="1680" t="s">
        <v>5993</v>
      </c>
      <c r="B63" s="1681"/>
      <c r="C63" s="1681"/>
      <c r="D63" s="1682"/>
      <c r="E63" s="1494" t="s">
        <v>5976</v>
      </c>
      <c r="F63" s="1495"/>
      <c r="G63" s="1495"/>
      <c r="H63" s="1495"/>
      <c r="I63" s="1495"/>
      <c r="J63" s="1495"/>
      <c r="K63" s="1495"/>
      <c r="L63" s="1495"/>
      <c r="M63" s="1495"/>
      <c r="N63" s="1495"/>
      <c r="O63" s="1495"/>
      <c r="P63" s="1496"/>
      <c r="Q63" s="1690" t="s">
        <v>326</v>
      </c>
      <c r="R63" s="1691"/>
      <c r="S63" s="1691"/>
      <c r="T63" s="1692"/>
      <c r="U63" s="1683" t="s">
        <v>45</v>
      </c>
      <c r="V63" s="1685"/>
      <c r="W63" s="1680" t="s">
        <v>43</v>
      </c>
      <c r="X63" s="1681"/>
      <c r="Y63" s="1681"/>
      <c r="Z63" s="1681"/>
      <c r="AA63" s="1681"/>
      <c r="AB63" s="1681"/>
      <c r="AC63" s="1681"/>
      <c r="AD63" s="1681"/>
      <c r="AE63" s="1681"/>
      <c r="AF63" s="1682"/>
      <c r="AL63" s="895"/>
    </row>
    <row r="64" spans="1:38" ht="60.75" customHeight="1" x14ac:dyDescent="0.25">
      <c r="A64" s="1680" t="s">
        <v>5994</v>
      </c>
      <c r="B64" s="1681"/>
      <c r="C64" s="1681"/>
      <c r="D64" s="1682"/>
      <c r="E64" s="1494" t="s">
        <v>5977</v>
      </c>
      <c r="F64" s="1495"/>
      <c r="G64" s="1495"/>
      <c r="H64" s="1495"/>
      <c r="I64" s="1495"/>
      <c r="J64" s="1495"/>
      <c r="K64" s="1495"/>
      <c r="L64" s="1495"/>
      <c r="M64" s="1495"/>
      <c r="N64" s="1495"/>
      <c r="O64" s="1495"/>
      <c r="P64" s="1496"/>
      <c r="Q64" s="1690" t="s">
        <v>326</v>
      </c>
      <c r="R64" s="1691"/>
      <c r="S64" s="1691"/>
      <c r="T64" s="1692"/>
      <c r="U64" s="1683" t="s">
        <v>291</v>
      </c>
      <c r="V64" s="1685"/>
      <c r="W64" s="1494" t="s">
        <v>5974</v>
      </c>
      <c r="X64" s="1495"/>
      <c r="Y64" s="1495"/>
      <c r="Z64" s="1495"/>
      <c r="AA64" s="1495"/>
      <c r="AB64" s="1495"/>
      <c r="AC64" s="1495"/>
      <c r="AD64" s="1495"/>
      <c r="AE64" s="1495"/>
      <c r="AF64" s="1496"/>
    </row>
    <row r="65" spans="1:68" ht="14.45" customHeight="1" x14ac:dyDescent="0.25">
      <c r="A65" s="1680" t="s">
        <v>5881</v>
      </c>
      <c r="B65" s="1681"/>
      <c r="C65" s="1681"/>
      <c r="D65" s="1682"/>
      <c r="E65" s="1494" t="s">
        <v>5882</v>
      </c>
      <c r="F65" s="1495"/>
      <c r="G65" s="1495"/>
      <c r="H65" s="1495"/>
      <c r="I65" s="1495"/>
      <c r="J65" s="1495"/>
      <c r="K65" s="1495"/>
      <c r="L65" s="1495"/>
      <c r="M65" s="1495"/>
      <c r="N65" s="1495"/>
      <c r="O65" s="1495"/>
      <c r="P65" s="1496"/>
      <c r="Q65" s="1690">
        <v>122</v>
      </c>
      <c r="R65" s="1691"/>
      <c r="S65" s="1691"/>
      <c r="T65" s="1692"/>
      <c r="U65" s="1683" t="s">
        <v>510</v>
      </c>
      <c r="V65" s="1685"/>
      <c r="W65" s="1494" t="s">
        <v>5884</v>
      </c>
      <c r="X65" s="1495"/>
      <c r="Y65" s="1495"/>
      <c r="Z65" s="1495"/>
      <c r="AA65" s="1495"/>
      <c r="AB65" s="1495"/>
      <c r="AC65" s="1495"/>
      <c r="AD65" s="1495"/>
      <c r="AE65" s="1495"/>
      <c r="AF65" s="1496"/>
    </row>
    <row r="66" spans="1:68" ht="47.25" customHeight="1" x14ac:dyDescent="0.25">
      <c r="A66" s="1680" t="s">
        <v>78</v>
      </c>
      <c r="B66" s="1681"/>
      <c r="C66" s="1681"/>
      <c r="D66" s="1682"/>
      <c r="E66" s="1494" t="s">
        <v>79</v>
      </c>
      <c r="F66" s="1495"/>
      <c r="G66" s="1495"/>
      <c r="H66" s="1495"/>
      <c r="I66" s="1495"/>
      <c r="J66" s="1495"/>
      <c r="K66" s="1495"/>
      <c r="L66" s="1495"/>
      <c r="M66" s="1495"/>
      <c r="N66" s="1495"/>
      <c r="O66" s="1495"/>
      <c r="P66" s="1496"/>
      <c r="Q66" s="1690" t="s">
        <v>326</v>
      </c>
      <c r="R66" s="1691"/>
      <c r="S66" s="1691"/>
      <c r="T66" s="1692"/>
      <c r="U66" s="1683" t="s">
        <v>80</v>
      </c>
      <c r="V66" s="1685"/>
      <c r="W66" s="1494" t="s">
        <v>5865</v>
      </c>
      <c r="X66" s="1495"/>
      <c r="Y66" s="1495"/>
      <c r="Z66" s="1495"/>
      <c r="AA66" s="1495"/>
      <c r="AB66" s="1495"/>
      <c r="AC66" s="1495"/>
      <c r="AD66" s="1495"/>
      <c r="AE66" s="1495"/>
      <c r="AF66" s="1496"/>
    </row>
    <row r="67" spans="1:68" ht="14.45" customHeight="1" x14ac:dyDescent="0.25">
      <c r="A67" s="1680" t="s">
        <v>72</v>
      </c>
      <c r="B67" s="1681"/>
      <c r="C67" s="1681"/>
      <c r="D67" s="1682"/>
      <c r="E67" s="1680" t="s">
        <v>125</v>
      </c>
      <c r="F67" s="1681"/>
      <c r="G67" s="1681"/>
      <c r="H67" s="1681"/>
      <c r="I67" s="1681"/>
      <c r="J67" s="1681"/>
      <c r="K67" s="1681"/>
      <c r="L67" s="1681"/>
      <c r="M67" s="1681"/>
      <c r="N67" s="1681"/>
      <c r="O67" s="1681"/>
      <c r="P67" s="1682"/>
      <c r="Q67" s="1683">
        <v>270</v>
      </c>
      <c r="R67" s="1684"/>
      <c r="S67" s="1684"/>
      <c r="T67" s="1685"/>
      <c r="U67" s="1683" t="s">
        <v>74</v>
      </c>
      <c r="V67" s="1685"/>
      <c r="W67" s="1494" t="s">
        <v>5884</v>
      </c>
      <c r="X67" s="1495"/>
      <c r="Y67" s="1495"/>
      <c r="Z67" s="1495"/>
      <c r="AA67" s="1495"/>
      <c r="AB67" s="1495"/>
      <c r="AC67" s="1495"/>
      <c r="AD67" s="1495"/>
      <c r="AE67" s="1495"/>
      <c r="AF67" s="1496"/>
    </row>
    <row r="68" spans="1:68" ht="14.45" customHeight="1" x14ac:dyDescent="0.25">
      <c r="A68" s="1680" t="s">
        <v>5892</v>
      </c>
      <c r="B68" s="1681"/>
      <c r="C68" s="1681"/>
      <c r="D68" s="1682"/>
      <c r="E68" s="1680" t="s">
        <v>142</v>
      </c>
      <c r="F68" s="1681"/>
      <c r="G68" s="1681"/>
      <c r="H68" s="1681"/>
      <c r="I68" s="1681"/>
      <c r="J68" s="1681"/>
      <c r="K68" s="1681"/>
      <c r="L68" s="1681"/>
      <c r="M68" s="1681"/>
      <c r="N68" s="1681"/>
      <c r="O68" s="1681"/>
      <c r="P68" s="1682"/>
      <c r="Q68" s="1683">
        <v>10</v>
      </c>
      <c r="R68" s="1684"/>
      <c r="S68" s="1684"/>
      <c r="T68" s="1685"/>
      <c r="U68" s="1683" t="s">
        <v>45</v>
      </c>
      <c r="V68" s="1685"/>
      <c r="W68" s="1494" t="s">
        <v>5884</v>
      </c>
      <c r="X68" s="1495"/>
      <c r="Y68" s="1495"/>
      <c r="Z68" s="1495"/>
      <c r="AA68" s="1495"/>
      <c r="AB68" s="1495"/>
      <c r="AC68" s="1495"/>
      <c r="AD68" s="1495"/>
      <c r="AE68" s="1495"/>
      <c r="AF68" s="1496"/>
    </row>
    <row r="69" spans="1:68" ht="14.45" customHeight="1" x14ac:dyDescent="0.25">
      <c r="A69" s="1680" t="s">
        <v>32</v>
      </c>
      <c r="B69" s="1681"/>
      <c r="C69" s="1681"/>
      <c r="D69" s="1682"/>
      <c r="E69" s="1680" t="s">
        <v>163</v>
      </c>
      <c r="F69" s="1681"/>
      <c r="G69" s="1681"/>
      <c r="H69" s="1681"/>
      <c r="I69" s="1681"/>
      <c r="J69" s="1681"/>
      <c r="K69" s="1681"/>
      <c r="L69" s="1681"/>
      <c r="M69" s="1681"/>
      <c r="N69" s="1681"/>
      <c r="O69" s="1681"/>
      <c r="P69" s="1682"/>
      <c r="Q69" s="1700">
        <f>Q67*Q68</f>
        <v>2700</v>
      </c>
      <c r="R69" s="1701"/>
      <c r="S69" s="1701"/>
      <c r="T69" s="1702"/>
      <c r="U69" s="1683" t="s">
        <v>45</v>
      </c>
      <c r="V69" s="1685"/>
      <c r="W69" s="1680" t="s">
        <v>5978</v>
      </c>
      <c r="X69" s="1681"/>
      <c r="Y69" s="1681"/>
      <c r="Z69" s="1681"/>
      <c r="AA69" s="1681"/>
      <c r="AB69" s="1681"/>
      <c r="AC69" s="1681"/>
      <c r="AD69" s="1681"/>
      <c r="AE69" s="1681"/>
      <c r="AF69" s="1682"/>
    </row>
    <row r="70" spans="1:68" ht="32.25" customHeight="1" x14ac:dyDescent="0.25">
      <c r="A70" s="1680" t="s">
        <v>29</v>
      </c>
      <c r="B70" s="1681"/>
      <c r="C70" s="1681"/>
      <c r="D70" s="1682"/>
      <c r="E70" s="1680" t="s">
        <v>104</v>
      </c>
      <c r="F70" s="1681"/>
      <c r="G70" s="1681"/>
      <c r="H70" s="1681"/>
      <c r="I70" s="1681"/>
      <c r="J70" s="1681"/>
      <c r="K70" s="1681"/>
      <c r="L70" s="1681"/>
      <c r="M70" s="1681"/>
      <c r="N70" s="1681"/>
      <c r="O70" s="1681"/>
      <c r="P70" s="1682"/>
      <c r="Q70" s="1683">
        <v>0.9</v>
      </c>
      <c r="R70" s="1684"/>
      <c r="S70" s="1684"/>
      <c r="T70" s="1685"/>
      <c r="U70" s="1683" t="s">
        <v>28</v>
      </c>
      <c r="V70" s="1685"/>
      <c r="W70" s="1494" t="s">
        <v>5947</v>
      </c>
      <c r="X70" s="1495"/>
      <c r="Y70" s="1495"/>
      <c r="Z70" s="1495"/>
      <c r="AA70" s="1495"/>
      <c r="AB70" s="1495"/>
      <c r="AC70" s="1495"/>
      <c r="AD70" s="1495"/>
      <c r="AE70" s="1495"/>
      <c r="AF70" s="1496"/>
      <c r="AL70" s="894"/>
    </row>
    <row r="71" spans="1:68" ht="43.5" customHeight="1" x14ac:dyDescent="0.25">
      <c r="A71" s="1680" t="s">
        <v>2724</v>
      </c>
      <c r="B71" s="1681"/>
      <c r="C71" s="1681"/>
      <c r="D71" s="1682"/>
      <c r="E71" s="1680" t="s">
        <v>5979</v>
      </c>
      <c r="F71" s="1681"/>
      <c r="G71" s="1681"/>
      <c r="H71" s="1681"/>
      <c r="I71" s="1681"/>
      <c r="J71" s="1681"/>
      <c r="K71" s="1681"/>
      <c r="L71" s="1681"/>
      <c r="M71" s="1681"/>
      <c r="N71" s="1681"/>
      <c r="O71" s="1681"/>
      <c r="P71" s="1682"/>
      <c r="Q71" s="1683">
        <f>'Master EUL'!X121</f>
        <v>12</v>
      </c>
      <c r="R71" s="1684"/>
      <c r="S71" s="1684"/>
      <c r="T71" s="1685"/>
      <c r="U71" s="1683" t="s">
        <v>46</v>
      </c>
      <c r="V71" s="1685"/>
      <c r="W71" s="1494" t="s">
        <v>5980</v>
      </c>
      <c r="X71" s="1495"/>
      <c r="Y71" s="1495"/>
      <c r="Z71" s="1495"/>
      <c r="AA71" s="1495"/>
      <c r="AB71" s="1495"/>
      <c r="AC71" s="1495"/>
      <c r="AD71" s="1495"/>
      <c r="AE71" s="1495"/>
      <c r="AF71" s="1496"/>
      <c r="AL71" s="893"/>
    </row>
    <row r="72" spans="1:68" ht="14.45" customHeight="1" x14ac:dyDescent="0.25">
      <c r="A72" s="628" t="s">
        <v>1047</v>
      </c>
      <c r="B72" s="629"/>
      <c r="C72" s="629"/>
      <c r="D72" s="629"/>
      <c r="E72" s="629"/>
      <c r="F72" s="629"/>
      <c r="G72" s="630"/>
      <c r="H72" s="630"/>
      <c r="I72" s="630"/>
      <c r="J72" s="630"/>
      <c r="K72" s="630"/>
      <c r="L72" s="630"/>
      <c r="M72" s="630"/>
      <c r="N72" s="630"/>
      <c r="O72" s="630"/>
      <c r="P72" s="888"/>
      <c r="Q72" s="888"/>
      <c r="R72" s="888"/>
      <c r="S72" s="888"/>
      <c r="T72" s="888"/>
      <c r="U72" s="888"/>
      <c r="V72" s="888"/>
      <c r="W72" s="888"/>
      <c r="X72" s="888"/>
      <c r="Y72" s="630"/>
      <c r="Z72" s="630"/>
      <c r="AA72" s="630"/>
      <c r="AB72" s="630"/>
      <c r="AC72" s="630"/>
      <c r="AD72" s="630"/>
      <c r="AE72" s="630"/>
      <c r="AF72" s="630"/>
    </row>
    <row r="73" spans="1:68" ht="65.25" customHeight="1" x14ac:dyDescent="0.25">
      <c r="A73" s="1686" t="s">
        <v>5981</v>
      </c>
      <c r="B73" s="1686"/>
      <c r="C73" s="1686"/>
      <c r="D73" s="1686"/>
      <c r="E73" s="1686"/>
      <c r="F73" s="1686"/>
      <c r="G73" s="1686"/>
      <c r="H73" s="1686"/>
      <c r="I73" s="1686"/>
      <c r="J73" s="1686"/>
      <c r="K73" s="1686"/>
      <c r="L73" s="1686"/>
      <c r="M73" s="1686"/>
      <c r="N73" s="1686"/>
      <c r="O73" s="1686"/>
      <c r="P73" s="1686"/>
      <c r="Q73" s="1686"/>
      <c r="R73" s="1686"/>
      <c r="S73" s="1686"/>
      <c r="T73" s="1686"/>
      <c r="U73" s="1686"/>
      <c r="V73" s="1686"/>
      <c r="W73" s="1686"/>
      <c r="X73" s="1686"/>
      <c r="Y73" s="1686"/>
      <c r="Z73" s="1686"/>
      <c r="AA73" s="1686"/>
      <c r="AB73" s="1686"/>
      <c r="AC73" s="1686"/>
      <c r="AD73" s="1686"/>
      <c r="AE73" s="1686"/>
      <c r="AF73" s="1686"/>
    </row>
    <row r="74" spans="1:68" ht="15" customHeight="1" x14ac:dyDescent="0.25">
      <c r="A74" s="870"/>
      <c r="B74" s="870"/>
      <c r="C74" s="870"/>
      <c r="D74" s="870"/>
      <c r="E74" s="870"/>
      <c r="F74" s="870"/>
      <c r="G74" s="870"/>
      <c r="H74" s="870"/>
      <c r="I74" s="870"/>
      <c r="J74" s="870"/>
      <c r="K74" s="870"/>
      <c r="L74" s="870"/>
      <c r="M74" s="870"/>
      <c r="N74" s="870"/>
      <c r="O74" s="870"/>
      <c r="P74" s="870"/>
      <c r="Q74" s="870"/>
      <c r="R74" s="870"/>
      <c r="S74" s="870"/>
      <c r="T74" s="870"/>
      <c r="U74" s="870"/>
      <c r="V74" s="870"/>
      <c r="W74" s="870"/>
      <c r="X74" s="870"/>
      <c r="Y74" s="870"/>
      <c r="Z74" s="870"/>
      <c r="AA74" s="870"/>
      <c r="AB74" s="870"/>
      <c r="AC74" s="870"/>
      <c r="AD74" s="870"/>
      <c r="AE74" s="870"/>
      <c r="AF74" s="870"/>
    </row>
    <row r="75" spans="1:68" ht="16.5" customHeight="1" x14ac:dyDescent="0.25">
      <c r="A75" s="870"/>
      <c r="B75" s="870"/>
      <c r="C75" s="870"/>
      <c r="D75" s="870"/>
      <c r="E75" s="870"/>
      <c r="F75" s="870"/>
      <c r="G75" s="870"/>
      <c r="H75" s="870"/>
      <c r="I75" s="870"/>
      <c r="J75" s="870"/>
      <c r="K75" s="870"/>
      <c r="L75" s="870"/>
      <c r="M75" s="870"/>
      <c r="N75" s="870"/>
      <c r="O75" s="870"/>
      <c r="P75" s="870"/>
      <c r="Q75" s="870"/>
      <c r="R75" s="870"/>
      <c r="S75" s="870"/>
      <c r="T75" s="870"/>
      <c r="U75" s="870"/>
      <c r="V75" s="870"/>
      <c r="W75" s="870"/>
      <c r="X75" s="870"/>
      <c r="Y75" s="870"/>
      <c r="Z75" s="870"/>
      <c r="AA75" s="870"/>
      <c r="AB75" s="870"/>
      <c r="AC75" s="870"/>
      <c r="AD75" s="870"/>
      <c r="AE75" s="870"/>
      <c r="AF75" s="870"/>
    </row>
    <row r="76" spans="1:68" ht="14.45" customHeight="1" x14ac:dyDescent="0.25">
      <c r="A76" s="338" t="s">
        <v>5173</v>
      </c>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2"/>
      <c r="AE76" s="262"/>
      <c r="AF76" s="262"/>
      <c r="AL76" s="894"/>
    </row>
    <row r="77" spans="1:68" ht="21.75" customHeight="1" x14ac:dyDescent="0.25">
      <c r="A77" s="1720"/>
      <c r="B77" s="1721"/>
      <c r="C77" s="1721"/>
      <c r="D77" s="1721"/>
      <c r="E77" s="1721"/>
      <c r="F77" s="1721"/>
      <c r="G77" s="1721"/>
      <c r="H77" s="1722"/>
      <c r="I77" s="1697" t="s">
        <v>5995</v>
      </c>
      <c r="J77" s="1698"/>
      <c r="K77" s="1698"/>
      <c r="L77" s="1698"/>
      <c r="M77" s="1698"/>
      <c r="N77" s="1698"/>
      <c r="O77" s="1698"/>
      <c r="P77" s="1699"/>
      <c r="Q77" s="1697" t="s">
        <v>5996</v>
      </c>
      <c r="R77" s="1698"/>
      <c r="S77" s="1698"/>
      <c r="T77" s="1698"/>
      <c r="U77" s="1698"/>
      <c r="V77" s="1698"/>
      <c r="W77" s="1698"/>
      <c r="X77" s="1699"/>
      <c r="Y77" s="1697" t="s">
        <v>5982</v>
      </c>
      <c r="Z77" s="1698"/>
      <c r="AA77" s="1698"/>
      <c r="AB77" s="1698"/>
      <c r="AC77" s="1698"/>
      <c r="AD77" s="1698"/>
      <c r="AE77" s="1698"/>
      <c r="AF77" s="1699"/>
      <c r="AL77" s="894"/>
    </row>
    <row r="78" spans="1:68" ht="21.75" customHeight="1" x14ac:dyDescent="0.25">
      <c r="A78" s="1723"/>
      <c r="B78" s="1723"/>
      <c r="C78" s="1723"/>
      <c r="D78" s="1723"/>
      <c r="E78" s="1723"/>
      <c r="F78" s="1723"/>
      <c r="G78" s="1723"/>
      <c r="H78" s="1724"/>
      <c r="I78" s="1697" t="s">
        <v>129</v>
      </c>
      <c r="J78" s="1698"/>
      <c r="K78" s="1698"/>
      <c r="L78" s="1699"/>
      <c r="M78" s="1697" t="s">
        <v>5983</v>
      </c>
      <c r="N78" s="1698"/>
      <c r="O78" s="1698"/>
      <c r="P78" s="1699"/>
      <c r="Q78" s="1697" t="s">
        <v>129</v>
      </c>
      <c r="R78" s="1698"/>
      <c r="S78" s="1698"/>
      <c r="T78" s="1699"/>
      <c r="U78" s="1697" t="s">
        <v>5983</v>
      </c>
      <c r="V78" s="1698"/>
      <c r="W78" s="1698"/>
      <c r="X78" s="1699"/>
      <c r="Y78" s="1697" t="s">
        <v>129</v>
      </c>
      <c r="Z78" s="1698"/>
      <c r="AA78" s="1698"/>
      <c r="AB78" s="1699"/>
      <c r="AC78" s="1697" t="s">
        <v>5983</v>
      </c>
      <c r="AD78" s="1698"/>
      <c r="AE78" s="1698"/>
      <c r="AF78" s="1699"/>
      <c r="AH78" s="170"/>
      <c r="AI78" s="170"/>
      <c r="AJ78" s="170"/>
      <c r="AK78" s="170"/>
      <c r="AL78" s="894"/>
    </row>
    <row r="79" spans="1:68" ht="30" customHeight="1" x14ac:dyDescent="0.25">
      <c r="A79" s="1714" t="s">
        <v>5997</v>
      </c>
      <c r="B79" s="1715"/>
      <c r="C79" s="1715"/>
      <c r="D79" s="1715"/>
      <c r="E79" s="1715"/>
      <c r="F79" s="1715"/>
      <c r="G79" s="1715"/>
      <c r="H79" s="1715"/>
      <c r="I79" s="1725">
        <v>0.65</v>
      </c>
      <c r="J79" s="1726"/>
      <c r="K79" s="1726"/>
      <c r="L79" s="1727"/>
      <c r="M79" s="1725">
        <v>0.76</v>
      </c>
      <c r="N79" s="1726"/>
      <c r="O79" s="1726"/>
      <c r="P79" s="1727"/>
      <c r="Q79" s="1725">
        <v>0.65</v>
      </c>
      <c r="R79" s="1726"/>
      <c r="S79" s="1726"/>
      <c r="T79" s="1727"/>
      <c r="U79" s="1725">
        <v>0.76</v>
      </c>
      <c r="V79" s="1726"/>
      <c r="W79" s="1726"/>
      <c r="X79" s="1727"/>
      <c r="Y79" s="1725">
        <v>0.68</v>
      </c>
      <c r="Z79" s="1726"/>
      <c r="AA79" s="1726"/>
      <c r="AB79" s="1727"/>
      <c r="AC79" s="1725">
        <v>0.71</v>
      </c>
      <c r="AD79" s="1726"/>
      <c r="AE79" s="1726"/>
      <c r="AF79" s="1727"/>
      <c r="AH79" s="170"/>
      <c r="AI79" s="170"/>
      <c r="AJ79" s="170"/>
      <c r="AK79" s="170"/>
      <c r="AV79" s="896"/>
      <c r="AW79" s="896"/>
      <c r="AX79" s="896"/>
      <c r="AY79" s="896"/>
      <c r="AZ79" s="896"/>
      <c r="BA79" s="896"/>
      <c r="BB79" s="896"/>
      <c r="BC79" s="896"/>
      <c r="BD79" s="896"/>
      <c r="BE79" s="896"/>
      <c r="BF79" s="896"/>
      <c r="BG79" s="896"/>
      <c r="BH79" s="896"/>
      <c r="BI79" s="896"/>
      <c r="BK79" s="896"/>
      <c r="BL79" s="896"/>
      <c r="BM79" s="896"/>
      <c r="BN79" s="896"/>
      <c r="BO79" s="896"/>
      <c r="BP79" s="3"/>
    </row>
    <row r="80" spans="1:68" ht="27.75" customHeight="1" x14ac:dyDescent="0.25">
      <c r="A80" s="1714" t="s">
        <v>5984</v>
      </c>
      <c r="B80" s="1715"/>
      <c r="C80" s="1715"/>
      <c r="D80" s="1715"/>
      <c r="E80" s="1715"/>
      <c r="F80" s="1715"/>
      <c r="G80" s="1715"/>
      <c r="H80" s="1715"/>
      <c r="I80" s="1700">
        <v>90</v>
      </c>
      <c r="J80" s="1701"/>
      <c r="K80" s="1701"/>
      <c r="L80" s="1702"/>
      <c r="M80" s="1700">
        <v>90</v>
      </c>
      <c r="N80" s="1701"/>
      <c r="O80" s="1701"/>
      <c r="P80" s="1702"/>
      <c r="Q80" s="1700">
        <v>90</v>
      </c>
      <c r="R80" s="1701"/>
      <c r="S80" s="1701"/>
      <c r="T80" s="1702"/>
      <c r="U80" s="1700">
        <v>90</v>
      </c>
      <c r="V80" s="1701"/>
      <c r="W80" s="1701"/>
      <c r="X80" s="1702"/>
      <c r="Y80" s="1700">
        <v>45</v>
      </c>
      <c r="Z80" s="1701"/>
      <c r="AA80" s="1701"/>
      <c r="AB80" s="1702"/>
      <c r="AC80" s="1700">
        <v>50</v>
      </c>
      <c r="AD80" s="1701"/>
      <c r="AE80" s="1701"/>
      <c r="AF80" s="1702"/>
      <c r="AH80" s="170"/>
      <c r="AI80" s="170"/>
      <c r="AJ80" s="170"/>
      <c r="AK80" s="170"/>
      <c r="AV80" s="896"/>
      <c r="AW80" s="896"/>
      <c r="AX80" s="896"/>
      <c r="AY80" s="896"/>
      <c r="AZ80" s="896"/>
      <c r="BA80" s="896"/>
      <c r="BB80" s="896"/>
      <c r="BC80" s="896"/>
      <c r="BD80" s="896"/>
      <c r="BE80" s="896"/>
      <c r="BF80" s="896"/>
      <c r="BG80" s="896"/>
      <c r="BH80" s="896"/>
      <c r="BI80" s="896"/>
      <c r="BJ80" s="896"/>
      <c r="BK80" s="896"/>
      <c r="BL80" s="896"/>
      <c r="BM80" s="896"/>
      <c r="BN80" s="896"/>
      <c r="BO80" s="896"/>
      <c r="BP80" s="3"/>
    </row>
    <row r="81" spans="1:68" ht="30" customHeight="1" x14ac:dyDescent="0.25">
      <c r="A81" s="1714" t="s">
        <v>5998</v>
      </c>
      <c r="B81" s="1715"/>
      <c r="C81" s="1715"/>
      <c r="D81" s="1715"/>
      <c r="E81" s="1715"/>
      <c r="F81" s="1715"/>
      <c r="G81" s="1715"/>
      <c r="H81" s="1715"/>
      <c r="I81" s="1700">
        <v>1</v>
      </c>
      <c r="J81" s="1701"/>
      <c r="K81" s="1701"/>
      <c r="L81" s="1702"/>
      <c r="M81" s="1700">
        <v>1</v>
      </c>
      <c r="N81" s="1701"/>
      <c r="O81" s="1701"/>
      <c r="P81" s="1702"/>
      <c r="Q81" s="1700">
        <v>1</v>
      </c>
      <c r="R81" s="1701"/>
      <c r="S81" s="1701"/>
      <c r="T81" s="1702"/>
      <c r="U81" s="1700">
        <v>1</v>
      </c>
      <c r="V81" s="1701"/>
      <c r="W81" s="1701"/>
      <c r="X81" s="1702"/>
      <c r="Y81" s="1700">
        <v>1</v>
      </c>
      <c r="Z81" s="1701"/>
      <c r="AA81" s="1701"/>
      <c r="AB81" s="1702"/>
      <c r="AC81" s="1700">
        <v>1</v>
      </c>
      <c r="AD81" s="1701"/>
      <c r="AE81" s="1701"/>
      <c r="AF81" s="1702"/>
      <c r="AH81" s="170"/>
      <c r="AI81" s="896"/>
      <c r="AJ81" s="3"/>
    </row>
    <row r="82" spans="1:68" ht="30" customHeight="1" x14ac:dyDescent="0.25">
      <c r="A82" s="1714" t="s">
        <v>5952</v>
      </c>
      <c r="B82" s="1715"/>
      <c r="C82" s="1715"/>
      <c r="D82" s="1715"/>
      <c r="E82" s="1715"/>
      <c r="F82" s="1715"/>
      <c r="G82" s="1715"/>
      <c r="H82" s="1715"/>
      <c r="I82" s="1700">
        <v>9</v>
      </c>
      <c r="J82" s="1701"/>
      <c r="K82" s="1701"/>
      <c r="L82" s="1702"/>
      <c r="M82" s="1700">
        <v>9</v>
      </c>
      <c r="N82" s="1701"/>
      <c r="O82" s="1701"/>
      <c r="P82" s="1702"/>
      <c r="Q82" s="1700">
        <v>9</v>
      </c>
      <c r="R82" s="1701"/>
      <c r="S82" s="1701"/>
      <c r="T82" s="1702"/>
      <c r="U82" s="1700">
        <v>9</v>
      </c>
      <c r="V82" s="1701"/>
      <c r="W82" s="1701"/>
      <c r="X82" s="1702"/>
      <c r="Y82" s="1700">
        <v>9</v>
      </c>
      <c r="Z82" s="1701"/>
      <c r="AA82" s="1701"/>
      <c r="AB82" s="1702"/>
      <c r="AC82" s="1700">
        <v>8</v>
      </c>
      <c r="AD82" s="1701"/>
      <c r="AE82" s="1701"/>
      <c r="AF82" s="1702"/>
      <c r="AH82" s="170"/>
      <c r="AI82" s="896"/>
      <c r="AJ82" s="3"/>
    </row>
    <row r="83" spans="1:68" ht="30.75" customHeight="1" x14ac:dyDescent="0.25">
      <c r="A83" s="1714" t="s">
        <v>5999</v>
      </c>
      <c r="B83" s="1715"/>
      <c r="C83" s="1715"/>
      <c r="D83" s="1715"/>
      <c r="E83" s="1715"/>
      <c r="F83" s="1715"/>
      <c r="G83" s="1715"/>
      <c r="H83" s="1715"/>
      <c r="I83" s="1700">
        <v>1563</v>
      </c>
      <c r="J83" s="1701"/>
      <c r="K83" s="1701"/>
      <c r="L83" s="1702"/>
      <c r="M83" s="1700">
        <v>1389</v>
      </c>
      <c r="N83" s="1701"/>
      <c r="O83" s="1701"/>
      <c r="P83" s="1702"/>
      <c r="Q83" s="1700">
        <v>1563</v>
      </c>
      <c r="R83" s="1701"/>
      <c r="S83" s="1701"/>
      <c r="T83" s="1702"/>
      <c r="U83" s="1700">
        <v>1389</v>
      </c>
      <c r="V83" s="1701"/>
      <c r="W83" s="1701"/>
      <c r="X83" s="1702"/>
      <c r="Y83" s="1700">
        <v>890</v>
      </c>
      <c r="Z83" s="1701"/>
      <c r="AA83" s="1701"/>
      <c r="AB83" s="1702"/>
      <c r="AC83" s="1700">
        <v>700</v>
      </c>
      <c r="AD83" s="1701"/>
      <c r="AE83" s="1701"/>
      <c r="AF83" s="1702"/>
      <c r="AH83" s="170"/>
      <c r="AI83" s="896"/>
      <c r="AJ83" s="3"/>
    </row>
    <row r="84" spans="1:68" ht="33.75" customHeight="1" x14ac:dyDescent="0.25">
      <c r="A84" s="1714" t="s">
        <v>6000</v>
      </c>
      <c r="B84" s="1715"/>
      <c r="C84" s="1715"/>
      <c r="D84" s="1715"/>
      <c r="E84" s="1715"/>
      <c r="F84" s="1715"/>
      <c r="G84" s="1715"/>
      <c r="H84" s="1715"/>
      <c r="I84" s="1700">
        <v>2000</v>
      </c>
      <c r="J84" s="1701"/>
      <c r="K84" s="1701"/>
      <c r="L84" s="1702"/>
      <c r="M84" s="1700">
        <v>1400</v>
      </c>
      <c r="N84" s="1701"/>
      <c r="O84" s="1701"/>
      <c r="P84" s="1702"/>
      <c r="Q84" s="1700">
        <v>2000</v>
      </c>
      <c r="R84" s="1701"/>
      <c r="S84" s="1701"/>
      <c r="T84" s="1702"/>
      <c r="U84" s="1700">
        <v>1000</v>
      </c>
      <c r="V84" s="1701"/>
      <c r="W84" s="1701"/>
      <c r="X84" s="1702"/>
      <c r="Y84" s="1700">
        <v>1030</v>
      </c>
      <c r="Z84" s="1701"/>
      <c r="AA84" s="1701"/>
      <c r="AB84" s="1702"/>
      <c r="AC84" s="1700">
        <v>1000</v>
      </c>
      <c r="AD84" s="1701"/>
      <c r="AE84" s="1701"/>
      <c r="AF84" s="1702"/>
      <c r="AH84" s="170"/>
      <c r="AI84" s="170"/>
      <c r="AJ84" s="170"/>
      <c r="AK84" s="170"/>
      <c r="AV84" s="896"/>
      <c r="AW84" s="896"/>
      <c r="AX84" s="896"/>
      <c r="AY84" s="896"/>
      <c r="AZ84" s="896"/>
      <c r="BA84" s="896"/>
      <c r="BB84" s="896"/>
      <c r="BC84" s="896"/>
      <c r="BD84" s="896"/>
      <c r="BE84" s="896"/>
      <c r="BF84" s="896"/>
      <c r="BG84" s="896"/>
      <c r="BH84" s="896"/>
      <c r="BI84" s="896"/>
      <c r="BJ84" s="896"/>
      <c r="BK84" s="896"/>
      <c r="BL84" s="896"/>
      <c r="BM84" s="896"/>
      <c r="BN84" s="896"/>
      <c r="BO84" s="896"/>
      <c r="BP84" s="3"/>
    </row>
    <row r="85" spans="1:68" ht="32.25" customHeight="1" x14ac:dyDescent="0.25">
      <c r="A85" s="1714" t="s">
        <v>5985</v>
      </c>
      <c r="B85" s="1715"/>
      <c r="C85" s="1715"/>
      <c r="D85" s="1715"/>
      <c r="E85" s="1715"/>
      <c r="F85" s="1715"/>
      <c r="G85" s="1715"/>
      <c r="H85" s="1715"/>
      <c r="I85" s="1716">
        <v>73.2</v>
      </c>
      <c r="J85" s="1717"/>
      <c r="K85" s="1717"/>
      <c r="L85" s="1717"/>
      <c r="M85" s="1718"/>
      <c r="N85" s="1718"/>
      <c r="O85" s="1718"/>
      <c r="P85" s="1719"/>
      <c r="Q85" s="1716">
        <v>73.2</v>
      </c>
      <c r="R85" s="1717"/>
      <c r="S85" s="1717"/>
      <c r="T85" s="1717"/>
      <c r="U85" s="1718"/>
      <c r="V85" s="1718"/>
      <c r="W85" s="1718"/>
      <c r="X85" s="1719"/>
      <c r="Y85" s="1716">
        <v>73.2</v>
      </c>
      <c r="Z85" s="1717"/>
      <c r="AA85" s="1717"/>
      <c r="AB85" s="1717"/>
      <c r="AC85" s="1718"/>
      <c r="AD85" s="1718"/>
      <c r="AE85" s="1718"/>
      <c r="AF85" s="1719"/>
      <c r="AH85" s="1705"/>
      <c r="AI85" s="1705"/>
      <c r="AJ85" s="1705"/>
      <c r="AK85" s="1705"/>
      <c r="AV85" s="896"/>
      <c r="AW85" s="896"/>
      <c r="AX85" s="896"/>
      <c r="AY85" s="896"/>
      <c r="AZ85" s="896"/>
      <c r="BA85" s="896"/>
      <c r="BB85" s="896"/>
      <c r="BC85" s="896"/>
      <c r="BD85" s="896"/>
      <c r="BE85" s="896"/>
      <c r="BF85" s="896"/>
      <c r="BG85" s="896"/>
      <c r="BH85" s="896"/>
      <c r="BI85" s="896"/>
      <c r="BJ85" s="896"/>
      <c r="BK85" s="896"/>
      <c r="BL85" s="896"/>
      <c r="BM85" s="896"/>
      <c r="BN85" s="896"/>
      <c r="BO85" s="896"/>
      <c r="BP85" s="3"/>
    </row>
    <row r="86" spans="1:68" ht="36.75" customHeight="1" x14ac:dyDescent="0.25">
      <c r="A86" s="1714" t="s">
        <v>6001</v>
      </c>
      <c r="B86" s="1715"/>
      <c r="C86" s="1715"/>
      <c r="D86" s="1715"/>
      <c r="E86" s="1715"/>
      <c r="F86" s="1715"/>
      <c r="G86" s="1715"/>
      <c r="H86" s="1715"/>
      <c r="I86" s="1706">
        <f>I85*$Q$65/I79</f>
        <v>13739.076923076922</v>
      </c>
      <c r="J86" s="1707"/>
      <c r="K86" s="1707"/>
      <c r="L86" s="1708"/>
      <c r="M86" s="1706">
        <f>I85*$Q$65/M79</f>
        <v>11750.526315789473</v>
      </c>
      <c r="N86" s="1707"/>
      <c r="O86" s="1707"/>
      <c r="P86" s="1708"/>
      <c r="Q86" s="1706">
        <f>Q85*$Q$65/Q79</f>
        <v>13739.076923076922</v>
      </c>
      <c r="R86" s="1707"/>
      <c r="S86" s="1707"/>
      <c r="T86" s="1708"/>
      <c r="U86" s="1706">
        <f>Q85*$Q$65/U79</f>
        <v>11750.526315789473</v>
      </c>
      <c r="V86" s="1707"/>
      <c r="W86" s="1707"/>
      <c r="X86" s="1708"/>
      <c r="Y86" s="1706">
        <f>Y85*$Q$65/Y79</f>
        <v>13132.941176470587</v>
      </c>
      <c r="Z86" s="1707"/>
      <c r="AA86" s="1707"/>
      <c r="AB86" s="1708"/>
      <c r="AC86" s="1706">
        <f>Y85*$Q$65/AC79</f>
        <v>12578.028169014086</v>
      </c>
      <c r="AD86" s="1707"/>
      <c r="AE86" s="1707"/>
      <c r="AF86" s="1708"/>
      <c r="AL86" s="894"/>
    </row>
    <row r="87" spans="1:68" ht="31.5" customHeight="1" x14ac:dyDescent="0.25">
      <c r="A87" s="1653" t="s">
        <v>6002</v>
      </c>
      <c r="B87" s="1709"/>
      <c r="C87" s="1709"/>
      <c r="D87" s="1709"/>
      <c r="E87" s="1709"/>
      <c r="F87" s="1709"/>
      <c r="G87" s="1709"/>
      <c r="H87" s="1710"/>
      <c r="I87" s="1711">
        <f>$Q$68-($Q$65/I80)-(I82/60)</f>
        <v>8.4944444444444436</v>
      </c>
      <c r="J87" s="1712"/>
      <c r="K87" s="1712"/>
      <c r="L87" s="1713"/>
      <c r="M87" s="1711">
        <f>$Q$68-($Q$65/M80)-(M82/60)</f>
        <v>8.4944444444444436</v>
      </c>
      <c r="N87" s="1712"/>
      <c r="O87" s="1712"/>
      <c r="P87" s="1713"/>
      <c r="Q87" s="1711">
        <f>$Q$68-($Q$65/Q80)-(Q82/60)</f>
        <v>8.4944444444444436</v>
      </c>
      <c r="R87" s="1712"/>
      <c r="S87" s="1712"/>
      <c r="T87" s="1713"/>
      <c r="U87" s="1711">
        <f>$Q$68-($Q$65/U80)-(U82/60)</f>
        <v>8.4944444444444436</v>
      </c>
      <c r="V87" s="1712"/>
      <c r="W87" s="1712"/>
      <c r="X87" s="1713"/>
      <c r="Y87" s="1711">
        <f>$Q$68-($Q$65/Y80)-(Y82/60)</f>
        <v>7.1388888888888884</v>
      </c>
      <c r="Z87" s="1712"/>
      <c r="AA87" s="1712"/>
      <c r="AB87" s="1713"/>
      <c r="AC87" s="1711">
        <f>$Q$68-($Q$65/AC80)-(AC82/60)</f>
        <v>7.4266666666666667</v>
      </c>
      <c r="AD87" s="1712"/>
      <c r="AE87" s="1712"/>
      <c r="AF87" s="1713"/>
    </row>
    <row r="88" spans="1:68" ht="30.75" customHeight="1" x14ac:dyDescent="0.25">
      <c r="A88" s="1714" t="s">
        <v>6003</v>
      </c>
      <c r="B88" s="1715"/>
      <c r="C88" s="1715"/>
      <c r="D88" s="1715"/>
      <c r="E88" s="1715"/>
      <c r="F88" s="1715"/>
      <c r="G88" s="1715"/>
      <c r="H88" s="1715"/>
      <c r="I88" s="1706">
        <f>I84*I87</f>
        <v>16988.888888888887</v>
      </c>
      <c r="J88" s="1707"/>
      <c r="K88" s="1707"/>
      <c r="L88" s="1708"/>
      <c r="M88" s="1706">
        <f>M84*M87</f>
        <v>11892.222222222221</v>
      </c>
      <c r="N88" s="1707"/>
      <c r="O88" s="1707"/>
      <c r="P88" s="1708"/>
      <c r="Q88" s="1706">
        <f t="shared" ref="Q88" si="0">Q84*Q87</f>
        <v>16988.888888888887</v>
      </c>
      <c r="R88" s="1707"/>
      <c r="S88" s="1707"/>
      <c r="T88" s="1708"/>
      <c r="U88" s="1706">
        <f t="shared" ref="U88" si="1">U84*U87</f>
        <v>8494.4444444444434</v>
      </c>
      <c r="V88" s="1707"/>
      <c r="W88" s="1707"/>
      <c r="X88" s="1708"/>
      <c r="Y88" s="1706">
        <f t="shared" ref="Y88" si="2">Y84*Y87</f>
        <v>7353.0555555555547</v>
      </c>
      <c r="Z88" s="1707"/>
      <c r="AA88" s="1707"/>
      <c r="AB88" s="1708"/>
      <c r="AC88" s="1706">
        <f>AC84*AC87</f>
        <v>7426.666666666667</v>
      </c>
      <c r="AD88" s="1707"/>
      <c r="AE88" s="1707"/>
      <c r="AF88" s="1708"/>
      <c r="AI88" s="897"/>
    </row>
    <row r="89" spans="1:68" ht="15.75" customHeight="1" x14ac:dyDescent="0.25">
      <c r="A89" s="1728" t="s">
        <v>5986</v>
      </c>
      <c r="B89" s="1729"/>
      <c r="C89" s="1729"/>
      <c r="D89" s="1729"/>
      <c r="E89" s="1729"/>
      <c r="F89" s="1729"/>
      <c r="G89" s="1729"/>
      <c r="H89" s="1729"/>
      <c r="I89" s="1706">
        <f>SUM(I83,I86,I88)</f>
        <v>32290.965811965809</v>
      </c>
      <c r="J89" s="1707"/>
      <c r="K89" s="1707"/>
      <c r="L89" s="1708"/>
      <c r="M89" s="1706">
        <f>SUM(M83,M86,M88)</f>
        <v>25031.748538011692</v>
      </c>
      <c r="N89" s="1707"/>
      <c r="O89" s="1707"/>
      <c r="P89" s="1708"/>
      <c r="Q89" s="1706">
        <f>SUM(Q83,Q86,Q88)</f>
        <v>32290.965811965809</v>
      </c>
      <c r="R89" s="1707"/>
      <c r="S89" s="1707"/>
      <c r="T89" s="1708"/>
      <c r="U89" s="1706">
        <f>SUM(U83,U86,U88)</f>
        <v>21633.970760233919</v>
      </c>
      <c r="V89" s="1707"/>
      <c r="W89" s="1707"/>
      <c r="X89" s="1708"/>
      <c r="Y89" s="1706">
        <f>SUM(Y83,Y86,Y88)</f>
        <v>21375.996732026142</v>
      </c>
      <c r="Z89" s="1707"/>
      <c r="AA89" s="1707"/>
      <c r="AB89" s="1708"/>
      <c r="AC89" s="1706">
        <f>SUM(AC83,AC86,AC88)</f>
        <v>20704.694835680752</v>
      </c>
      <c r="AD89" s="1707"/>
      <c r="AE89" s="1707"/>
      <c r="AF89" s="1708"/>
    </row>
    <row r="90" spans="1:68" ht="14.45" customHeight="1" x14ac:dyDescent="0.25">
      <c r="A90" s="262"/>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262"/>
      <c r="AF90" s="262"/>
    </row>
    <row r="91" spans="1:68" ht="14.45" customHeight="1" x14ac:dyDescent="0.25">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262"/>
    </row>
    <row r="92" spans="1:68" ht="14.45" customHeight="1" x14ac:dyDescent="0.25">
      <c r="A92" s="1385" t="s">
        <v>21</v>
      </c>
      <c r="B92" s="1386"/>
      <c r="C92" s="1386"/>
      <c r="D92" s="1386"/>
      <c r="E92" s="1386"/>
      <c r="F92" s="1386"/>
      <c r="G92" s="1386"/>
      <c r="H92" s="1386"/>
      <c r="I92" s="1386"/>
      <c r="J92" s="1386"/>
      <c r="K92" s="1386"/>
      <c r="L92" s="1386"/>
      <c r="M92" s="1386"/>
      <c r="N92" s="1386"/>
      <c r="O92" s="1386"/>
      <c r="P92" s="1386"/>
      <c r="Q92" s="1386"/>
      <c r="R92" s="1386"/>
      <c r="S92" s="1386"/>
      <c r="T92" s="1386"/>
      <c r="U92" s="1386"/>
      <c r="V92" s="1386"/>
      <c r="W92" s="1386"/>
      <c r="X92" s="1386"/>
      <c r="Y92" s="1386"/>
      <c r="Z92" s="1386"/>
      <c r="AA92" s="1386"/>
      <c r="AB92" s="1386"/>
      <c r="AC92" s="1386"/>
      <c r="AD92" s="1386"/>
      <c r="AE92" s="1386"/>
      <c r="AF92" s="1387"/>
    </row>
    <row r="93" spans="1:68" ht="14.45" customHeight="1" x14ac:dyDescent="0.25">
      <c r="A93" s="262"/>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c r="AE93" s="262"/>
      <c r="AF93" s="262"/>
    </row>
    <row r="94" spans="1:68" s="205" customFormat="1" ht="14.45" customHeight="1" x14ac:dyDescent="0.25">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row>
    <row r="95" spans="1:68" s="205" customFormat="1" ht="14.45" customHeight="1" x14ac:dyDescent="0.25">
      <c r="A95" s="1320" t="s">
        <v>4</v>
      </c>
      <c r="B95" s="1320"/>
      <c r="C95" s="1320"/>
      <c r="D95" s="1320"/>
      <c r="E95" s="1320"/>
      <c r="F95" s="1320"/>
      <c r="G95" s="1320"/>
      <c r="H95" s="1320"/>
      <c r="I95" s="1320" t="s">
        <v>23</v>
      </c>
      <c r="J95" s="1320"/>
      <c r="K95" s="1320"/>
      <c r="L95" s="1320"/>
      <c r="M95" s="1320"/>
      <c r="N95" s="1320"/>
      <c r="O95" s="1320"/>
      <c r="P95" s="1320"/>
      <c r="Q95" s="1320" t="s">
        <v>24</v>
      </c>
      <c r="R95" s="1320"/>
      <c r="S95" s="1320"/>
      <c r="T95" s="1320"/>
      <c r="U95" s="1320"/>
      <c r="V95" s="1320"/>
      <c r="W95" s="1320"/>
      <c r="X95" s="1320"/>
      <c r="Y95" s="1320" t="s">
        <v>2012</v>
      </c>
      <c r="Z95" s="1320"/>
      <c r="AA95" s="1320"/>
      <c r="AB95" s="1320"/>
      <c r="AC95" s="1320"/>
      <c r="AD95" s="1320"/>
      <c r="AE95" s="1320"/>
      <c r="AF95" s="1320"/>
      <c r="AL95" s="898"/>
    </row>
    <row r="96" spans="1:68" s="169" customFormat="1" ht="14.45" customHeight="1" x14ac:dyDescent="0.25">
      <c r="A96" s="1283" t="s">
        <v>6004</v>
      </c>
      <c r="B96" s="1283"/>
      <c r="C96" s="1283"/>
      <c r="D96" s="1283"/>
      <c r="E96" s="1283"/>
      <c r="F96" s="1283"/>
      <c r="G96" s="1283"/>
      <c r="H96" s="1283"/>
      <c r="I96" s="1624">
        <f>ROUND(Q96*$Q$70/$Q$69,3)</f>
        <v>0.65300000000000002</v>
      </c>
      <c r="J96" s="1624"/>
      <c r="K96" s="1624"/>
      <c r="L96" s="1624"/>
      <c r="M96" s="1624"/>
      <c r="N96" s="1624"/>
      <c r="O96" s="1624"/>
      <c r="P96" s="1624"/>
      <c r="Q96" s="1646">
        <f>ROUND((I89-M89)*$Q$67/1000,2)</f>
        <v>1959.99</v>
      </c>
      <c r="R96" s="1646"/>
      <c r="S96" s="1646"/>
      <c r="T96" s="1646"/>
      <c r="U96" s="1646"/>
      <c r="V96" s="1646"/>
      <c r="W96" s="1646"/>
      <c r="X96" s="1646"/>
      <c r="Y96" s="1628">
        <f>ROUND(Q96*$Q$71,2)</f>
        <v>23519.88</v>
      </c>
      <c r="Z96" s="1628"/>
      <c r="AA96" s="1628"/>
      <c r="AB96" s="1628"/>
      <c r="AC96" s="1628"/>
      <c r="AD96" s="1628"/>
      <c r="AE96" s="1628"/>
      <c r="AF96" s="1628"/>
      <c r="AL96" s="898"/>
    </row>
    <row r="97" spans="1:43" s="169" customFormat="1" ht="14.45" customHeight="1" x14ac:dyDescent="0.25">
      <c r="A97" s="1283" t="s">
        <v>6005</v>
      </c>
      <c r="B97" s="1283"/>
      <c r="C97" s="1283"/>
      <c r="D97" s="1283"/>
      <c r="E97" s="1283"/>
      <c r="F97" s="1283"/>
      <c r="G97" s="1283"/>
      <c r="H97" s="1283"/>
      <c r="I97" s="1624">
        <f>ROUND(Q97*$Q$70/$Q$69,3)</f>
        <v>0.95899999999999996</v>
      </c>
      <c r="J97" s="1624"/>
      <c r="K97" s="1624"/>
      <c r="L97" s="1624"/>
      <c r="M97" s="1624"/>
      <c r="N97" s="1624"/>
      <c r="O97" s="1624"/>
      <c r="P97" s="1624"/>
      <c r="Q97" s="1646">
        <f>ROUND((Q89-U89)*$Q$67/1000,2)</f>
        <v>2877.39</v>
      </c>
      <c r="R97" s="1646"/>
      <c r="S97" s="1646"/>
      <c r="T97" s="1646"/>
      <c r="U97" s="1646"/>
      <c r="V97" s="1646"/>
      <c r="W97" s="1646"/>
      <c r="X97" s="1646"/>
      <c r="Y97" s="1628">
        <f>ROUND(Q97*$Q$71,2)</f>
        <v>34528.68</v>
      </c>
      <c r="Z97" s="1628"/>
      <c r="AA97" s="1628"/>
      <c r="AB97" s="1628"/>
      <c r="AC97" s="1628"/>
      <c r="AD97" s="1628"/>
      <c r="AE97" s="1628"/>
      <c r="AF97" s="1628"/>
    </row>
    <row r="98" spans="1:43" s="164" customFormat="1" ht="14.45" customHeight="1" x14ac:dyDescent="0.25">
      <c r="A98" s="1283" t="s">
        <v>5982</v>
      </c>
      <c r="B98" s="1283"/>
      <c r="C98" s="1283"/>
      <c r="D98" s="1283"/>
      <c r="E98" s="1283"/>
      <c r="F98" s="1283"/>
      <c r="G98" s="1283"/>
      <c r="H98" s="1283"/>
      <c r="I98" s="1624">
        <f>ROUND(Q98*$Q$70/$Q$69,3)</f>
        <v>0.06</v>
      </c>
      <c r="J98" s="1624"/>
      <c r="K98" s="1624"/>
      <c r="L98" s="1624"/>
      <c r="M98" s="1624"/>
      <c r="N98" s="1624"/>
      <c r="O98" s="1624"/>
      <c r="P98" s="1624"/>
      <c r="Q98" s="1646">
        <f>ROUND((Y89-AC89)*$Q$67/1000,2)</f>
        <v>181.25</v>
      </c>
      <c r="R98" s="1646"/>
      <c r="S98" s="1646"/>
      <c r="T98" s="1646"/>
      <c r="U98" s="1646"/>
      <c r="V98" s="1646"/>
      <c r="W98" s="1646"/>
      <c r="X98" s="1646"/>
      <c r="Y98" s="1628">
        <f>ROUND(Q98*$Q$71,2)</f>
        <v>2175</v>
      </c>
      <c r="Z98" s="1628"/>
      <c r="AA98" s="1628"/>
      <c r="AB98" s="1628"/>
      <c r="AC98" s="1628"/>
      <c r="AD98" s="1628"/>
      <c r="AE98" s="1628"/>
      <c r="AF98" s="1628"/>
    </row>
    <row r="99" spans="1:43" s="164" customFormat="1" ht="14.45" customHeight="1" x14ac:dyDescent="0.25">
      <c r="A99" s="191"/>
      <c r="B99" s="191"/>
      <c r="C99" s="191"/>
      <c r="D99" s="191"/>
      <c r="E99" s="191"/>
      <c r="F99" s="191"/>
      <c r="G99" s="191"/>
      <c r="H99" s="191"/>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row>
    <row r="100" spans="1:43" s="165" customFormat="1" ht="14.45" customHeight="1" x14ac:dyDescent="0.25">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row>
    <row r="101" spans="1:43" ht="15" x14ac:dyDescent="0.25">
      <c r="A101" s="1621" t="s">
        <v>1753</v>
      </c>
      <c r="B101" s="1621"/>
      <c r="C101" s="1621"/>
      <c r="D101" s="1621"/>
      <c r="E101" s="1621"/>
      <c r="F101" s="1621"/>
      <c r="G101" s="1621"/>
      <c r="H101" s="1621"/>
      <c r="I101" s="1621"/>
      <c r="J101" s="1621"/>
      <c r="K101" s="1621"/>
      <c r="L101" s="1621"/>
      <c r="M101" s="1621"/>
      <c r="N101" s="1621"/>
      <c r="O101" s="1621"/>
      <c r="P101" s="1621"/>
      <c r="Q101" s="1621"/>
      <c r="R101" s="1621"/>
      <c r="S101" s="1621"/>
      <c r="T101" s="1621"/>
      <c r="U101" s="1621"/>
      <c r="V101" s="1621"/>
      <c r="W101" s="1621"/>
      <c r="X101" s="1621"/>
      <c r="Y101" s="1621"/>
      <c r="Z101" s="1621"/>
      <c r="AA101" s="1621"/>
      <c r="AB101" s="1621"/>
      <c r="AC101" s="1621"/>
      <c r="AD101" s="1621"/>
      <c r="AE101" s="1621"/>
      <c r="AF101" s="1621"/>
      <c r="AL101" s="839"/>
    </row>
    <row r="102" spans="1:43" ht="15" x14ac:dyDescent="0.25">
      <c r="A102" s="262"/>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62"/>
      <c r="AE102" s="262"/>
      <c r="AF102" s="262"/>
      <c r="AL102" s="839"/>
    </row>
    <row r="103" spans="1:43" ht="15" customHeight="1" x14ac:dyDescent="0.25">
      <c r="A103" s="517" t="s">
        <v>1013</v>
      </c>
      <c r="B103" s="1173" t="s">
        <v>5987</v>
      </c>
      <c r="C103" s="1173"/>
      <c r="D103" s="1173"/>
      <c r="E103" s="1173"/>
      <c r="F103" s="1173"/>
      <c r="G103" s="1173"/>
      <c r="H103" s="1173"/>
      <c r="I103" s="1173"/>
      <c r="J103" s="1173"/>
      <c r="K103" s="1173"/>
      <c r="L103" s="1173"/>
      <c r="M103" s="1173"/>
      <c r="N103" s="1173"/>
      <c r="O103" s="1173"/>
      <c r="P103" s="1173"/>
      <c r="Q103" s="1173"/>
      <c r="R103" s="1173"/>
      <c r="S103" s="1173"/>
      <c r="T103" s="1173"/>
      <c r="U103" s="1173"/>
      <c r="V103" s="1173"/>
      <c r="W103" s="1173"/>
      <c r="X103" s="1173"/>
      <c r="Y103" s="1173"/>
      <c r="Z103" s="1173"/>
      <c r="AA103" s="1173"/>
      <c r="AB103" s="1173"/>
      <c r="AC103" s="1173"/>
      <c r="AD103" s="1173"/>
      <c r="AE103" s="1173"/>
      <c r="AF103" s="1173"/>
      <c r="AL103" s="683"/>
    </row>
    <row r="104" spans="1:43" ht="45.75" customHeight="1" x14ac:dyDescent="0.25">
      <c r="A104" s="517" t="s">
        <v>1013</v>
      </c>
      <c r="B104" s="1173" t="s">
        <v>5197</v>
      </c>
      <c r="C104" s="1173"/>
      <c r="D104" s="1173"/>
      <c r="E104" s="1173"/>
      <c r="F104" s="1173"/>
      <c r="G104" s="1173"/>
      <c r="H104" s="1173"/>
      <c r="I104" s="1173"/>
      <c r="J104" s="1173"/>
      <c r="K104" s="1173"/>
      <c r="L104" s="1173"/>
      <c r="M104" s="1173"/>
      <c r="N104" s="1173"/>
      <c r="O104" s="1173"/>
      <c r="P104" s="1173"/>
      <c r="Q104" s="1173"/>
      <c r="R104" s="1173"/>
      <c r="S104" s="1173"/>
      <c r="T104" s="1173"/>
      <c r="U104" s="1173"/>
      <c r="V104" s="1173"/>
      <c r="W104" s="1173"/>
      <c r="X104" s="1173"/>
      <c r="Y104" s="1173"/>
      <c r="Z104" s="1173"/>
      <c r="AA104" s="1173"/>
      <c r="AB104" s="1173"/>
      <c r="AC104" s="1173"/>
      <c r="AD104" s="1173"/>
      <c r="AE104" s="1173"/>
      <c r="AF104" s="1173"/>
      <c r="AI104" s="683"/>
      <c r="AM104" s="683"/>
      <c r="AN104" s="683"/>
      <c r="AO104" s="683"/>
      <c r="AP104" s="683"/>
      <c r="AQ104" s="683"/>
    </row>
    <row r="105" spans="1:43" ht="62.25" customHeight="1" x14ac:dyDescent="0.25">
      <c r="A105" s="517" t="s">
        <v>1013</v>
      </c>
      <c r="B105" s="1173" t="s">
        <v>5915</v>
      </c>
      <c r="C105" s="1173"/>
      <c r="D105" s="1173"/>
      <c r="E105" s="1173"/>
      <c r="F105" s="1173"/>
      <c r="G105" s="1173"/>
      <c r="H105" s="1173"/>
      <c r="I105" s="1173"/>
      <c r="J105" s="1173"/>
      <c r="K105" s="1173"/>
      <c r="L105" s="1173"/>
      <c r="M105" s="1173"/>
      <c r="N105" s="1173"/>
      <c r="O105" s="1173"/>
      <c r="P105" s="1173"/>
      <c r="Q105" s="1173"/>
      <c r="R105" s="1173"/>
      <c r="S105" s="1173"/>
      <c r="T105" s="1173"/>
      <c r="U105" s="1173"/>
      <c r="V105" s="1173"/>
      <c r="W105" s="1173"/>
      <c r="X105" s="1173"/>
      <c r="Y105" s="1173"/>
      <c r="Z105" s="1173"/>
      <c r="AA105" s="1173"/>
      <c r="AB105" s="1173"/>
      <c r="AC105" s="1173"/>
      <c r="AD105" s="1173"/>
      <c r="AE105" s="1173"/>
      <c r="AF105" s="1173"/>
      <c r="AL105" s="683"/>
    </row>
    <row r="106" spans="1:43" ht="59.25" customHeight="1" x14ac:dyDescent="0.25">
      <c r="A106" s="517" t="s">
        <v>1013</v>
      </c>
      <c r="B106" s="1173" t="s">
        <v>5916</v>
      </c>
      <c r="C106" s="1173"/>
      <c r="D106" s="1173"/>
      <c r="E106" s="1173"/>
      <c r="F106" s="1173"/>
      <c r="G106" s="1173"/>
      <c r="H106" s="1173"/>
      <c r="I106" s="1173"/>
      <c r="J106" s="1173"/>
      <c r="K106" s="1173"/>
      <c r="L106" s="1173"/>
      <c r="M106" s="1173"/>
      <c r="N106" s="1173"/>
      <c r="O106" s="1173"/>
      <c r="P106" s="1173"/>
      <c r="Q106" s="1173"/>
      <c r="R106" s="1173"/>
      <c r="S106" s="1173"/>
      <c r="T106" s="1173"/>
      <c r="U106" s="1173"/>
      <c r="V106" s="1173"/>
      <c r="W106" s="1173"/>
      <c r="X106" s="1173"/>
      <c r="Y106" s="1173"/>
      <c r="Z106" s="1173"/>
      <c r="AA106" s="1173"/>
      <c r="AB106" s="1173"/>
      <c r="AC106" s="1173"/>
      <c r="AD106" s="1173"/>
      <c r="AE106" s="1173"/>
      <c r="AF106" s="1173"/>
      <c r="AL106" s="683"/>
    </row>
    <row r="107" spans="1:43" ht="30.75" customHeight="1" x14ac:dyDescent="0.25">
      <c r="A107" s="517" t="s">
        <v>1013</v>
      </c>
      <c r="B107" s="1173" t="s">
        <v>5988</v>
      </c>
      <c r="C107" s="1173"/>
      <c r="D107" s="1173"/>
      <c r="E107" s="1173"/>
      <c r="F107" s="1173"/>
      <c r="G107" s="1173"/>
      <c r="H107" s="1173"/>
      <c r="I107" s="1173"/>
      <c r="J107" s="1173"/>
      <c r="K107" s="1173"/>
      <c r="L107" s="1173"/>
      <c r="M107" s="1173"/>
      <c r="N107" s="1173"/>
      <c r="O107" s="1173"/>
      <c r="P107" s="1173"/>
      <c r="Q107" s="1173"/>
      <c r="R107" s="1173"/>
      <c r="S107" s="1173"/>
      <c r="T107" s="1173"/>
      <c r="U107" s="1173"/>
      <c r="V107" s="1173"/>
      <c r="W107" s="1173"/>
      <c r="X107" s="1173"/>
      <c r="Y107" s="1173"/>
      <c r="Z107" s="1173"/>
      <c r="AA107" s="1173"/>
      <c r="AB107" s="1173"/>
      <c r="AC107" s="1173"/>
      <c r="AD107" s="1173"/>
      <c r="AE107" s="1173"/>
      <c r="AF107" s="1173"/>
      <c r="AL107" s="683"/>
    </row>
    <row r="108" spans="1:43" ht="48" customHeight="1" x14ac:dyDescent="0.25">
      <c r="A108" s="517" t="s">
        <v>1013</v>
      </c>
      <c r="B108" s="1173" t="s">
        <v>5989</v>
      </c>
      <c r="C108" s="1173"/>
      <c r="D108" s="1173"/>
      <c r="E108" s="1173"/>
      <c r="F108" s="1173"/>
      <c r="G108" s="1173"/>
      <c r="H108" s="1173"/>
      <c r="I108" s="1173"/>
      <c r="J108" s="1173"/>
      <c r="K108" s="1173"/>
      <c r="L108" s="1173"/>
      <c r="M108" s="1173"/>
      <c r="N108" s="1173"/>
      <c r="O108" s="1173"/>
      <c r="P108" s="1173"/>
      <c r="Q108" s="1173"/>
      <c r="R108" s="1173"/>
      <c r="S108" s="1173"/>
      <c r="T108" s="1173"/>
      <c r="U108" s="1173"/>
      <c r="V108" s="1173"/>
      <c r="W108" s="1173"/>
      <c r="X108" s="1173"/>
      <c r="Y108" s="1173"/>
      <c r="Z108" s="1173"/>
      <c r="AA108" s="1173"/>
      <c r="AB108" s="1173"/>
      <c r="AC108" s="1173"/>
      <c r="AD108" s="1173"/>
      <c r="AE108" s="1173"/>
      <c r="AF108" s="1173"/>
      <c r="AL108" s="683"/>
    </row>
    <row r="109" spans="1:43" ht="30.75" customHeight="1" x14ac:dyDescent="0.25">
      <c r="A109" s="517" t="s">
        <v>1013</v>
      </c>
      <c r="B109" s="1173" t="s">
        <v>5918</v>
      </c>
      <c r="C109" s="1173"/>
      <c r="D109" s="1173"/>
      <c r="E109" s="1173"/>
      <c r="F109" s="1173"/>
      <c r="G109" s="1173"/>
      <c r="H109" s="1173"/>
      <c r="I109" s="1173"/>
      <c r="J109" s="1173"/>
      <c r="K109" s="1173"/>
      <c r="L109" s="1173"/>
      <c r="M109" s="1173"/>
      <c r="N109" s="1173"/>
      <c r="O109" s="1173"/>
      <c r="P109" s="1173"/>
      <c r="Q109" s="1173"/>
      <c r="R109" s="1173"/>
      <c r="S109" s="1173"/>
      <c r="T109" s="1173"/>
      <c r="U109" s="1173"/>
      <c r="V109" s="1173"/>
      <c r="W109" s="1173"/>
      <c r="X109" s="1173"/>
      <c r="Y109" s="1173"/>
      <c r="Z109" s="1173"/>
      <c r="AA109" s="1173"/>
      <c r="AB109" s="1173"/>
      <c r="AC109" s="1173"/>
      <c r="AD109" s="1173"/>
      <c r="AE109" s="1173"/>
      <c r="AF109" s="1173"/>
      <c r="AL109" s="894"/>
    </row>
    <row r="110" spans="1:43" ht="30.75" customHeight="1" x14ac:dyDescent="0.25">
      <c r="A110" s="517" t="s">
        <v>1013</v>
      </c>
      <c r="B110" s="1173" t="s">
        <v>5919</v>
      </c>
      <c r="C110" s="1173"/>
      <c r="D110" s="1173"/>
      <c r="E110" s="1173"/>
      <c r="F110" s="1173"/>
      <c r="G110" s="1173"/>
      <c r="H110" s="1173"/>
      <c r="I110" s="1173"/>
      <c r="J110" s="1173"/>
      <c r="K110" s="1173"/>
      <c r="L110" s="1173"/>
      <c r="M110" s="1173"/>
      <c r="N110" s="1173"/>
      <c r="O110" s="1173"/>
      <c r="P110" s="1173"/>
      <c r="Q110" s="1173"/>
      <c r="R110" s="1173"/>
      <c r="S110" s="1173"/>
      <c r="T110" s="1173"/>
      <c r="U110" s="1173"/>
      <c r="V110" s="1173"/>
      <c r="W110" s="1173"/>
      <c r="X110" s="1173"/>
      <c r="Y110" s="1173"/>
      <c r="Z110" s="1173"/>
      <c r="AA110" s="1173"/>
      <c r="AB110" s="1173"/>
      <c r="AC110" s="1173"/>
      <c r="AD110" s="1173"/>
      <c r="AE110" s="1173"/>
      <c r="AF110" s="1173"/>
      <c r="AL110" s="683"/>
    </row>
    <row r="111" spans="1:43" ht="33" customHeight="1" x14ac:dyDescent="0.25">
      <c r="A111" s="517" t="s">
        <v>1013</v>
      </c>
      <c r="B111" s="1173" t="s">
        <v>5920</v>
      </c>
      <c r="C111" s="1173"/>
      <c r="D111" s="1173"/>
      <c r="E111" s="1173"/>
      <c r="F111" s="1173"/>
      <c r="G111" s="1173"/>
      <c r="H111" s="1173"/>
      <c r="I111" s="1173"/>
      <c r="J111" s="1173"/>
      <c r="K111" s="1173"/>
      <c r="L111" s="1173"/>
      <c r="M111" s="1173"/>
      <c r="N111" s="1173"/>
      <c r="O111" s="1173"/>
      <c r="P111" s="1173"/>
      <c r="Q111" s="1173"/>
      <c r="R111" s="1173"/>
      <c r="S111" s="1173"/>
      <c r="T111" s="1173"/>
      <c r="U111" s="1173"/>
      <c r="V111" s="1173"/>
      <c r="W111" s="1173"/>
      <c r="X111" s="1173"/>
      <c r="Y111" s="1173"/>
      <c r="Z111" s="1173"/>
      <c r="AA111" s="1173"/>
      <c r="AB111" s="1173"/>
      <c r="AC111" s="1173"/>
      <c r="AD111" s="1173"/>
      <c r="AE111" s="1173"/>
      <c r="AF111" s="1173"/>
      <c r="AL111" s="683"/>
    </row>
    <row r="112" spans="1:43" ht="30" customHeight="1" x14ac:dyDescent="0.25">
      <c r="A112" s="517" t="s">
        <v>1013</v>
      </c>
      <c r="B112" s="1173" t="s">
        <v>5921</v>
      </c>
      <c r="C112" s="1173"/>
      <c r="D112" s="1173"/>
      <c r="E112" s="1173"/>
      <c r="F112" s="1173"/>
      <c r="G112" s="1173"/>
      <c r="H112" s="1173"/>
      <c r="I112" s="1173"/>
      <c r="J112" s="1173"/>
      <c r="K112" s="1173"/>
      <c r="L112" s="1173"/>
      <c r="M112" s="1173"/>
      <c r="N112" s="1173"/>
      <c r="O112" s="1173"/>
      <c r="P112" s="1173"/>
      <c r="Q112" s="1173"/>
      <c r="R112" s="1173"/>
      <c r="S112" s="1173"/>
      <c r="T112" s="1173"/>
      <c r="U112" s="1173"/>
      <c r="V112" s="1173"/>
      <c r="W112" s="1173"/>
      <c r="X112" s="1173"/>
      <c r="Y112" s="1173"/>
      <c r="Z112" s="1173"/>
      <c r="AA112" s="1173"/>
      <c r="AB112" s="1173"/>
      <c r="AC112" s="1173"/>
      <c r="AD112" s="1173"/>
      <c r="AE112" s="1173"/>
      <c r="AF112" s="1173"/>
      <c r="AL112" s="683"/>
    </row>
    <row r="113" spans="1:38" ht="32.25" customHeight="1" x14ac:dyDescent="0.25">
      <c r="A113" s="517" t="s">
        <v>1013</v>
      </c>
      <c r="B113" s="1173" t="s">
        <v>5199</v>
      </c>
      <c r="C113" s="1173"/>
      <c r="D113" s="1173"/>
      <c r="E113" s="1173"/>
      <c r="F113" s="1173"/>
      <c r="G113" s="1173"/>
      <c r="H113" s="1173"/>
      <c r="I113" s="1173"/>
      <c r="J113" s="1173"/>
      <c r="K113" s="1173"/>
      <c r="L113" s="1173"/>
      <c r="M113" s="1173"/>
      <c r="N113" s="1173"/>
      <c r="O113" s="1173"/>
      <c r="P113" s="1173"/>
      <c r="Q113" s="1173"/>
      <c r="R113" s="1173"/>
      <c r="S113" s="1173"/>
      <c r="T113" s="1173"/>
      <c r="U113" s="1173"/>
      <c r="V113" s="1173"/>
      <c r="W113" s="1173"/>
      <c r="X113" s="1173"/>
      <c r="Y113" s="1173"/>
      <c r="Z113" s="1173"/>
      <c r="AA113" s="1173"/>
      <c r="AB113" s="1173"/>
      <c r="AC113" s="1173"/>
      <c r="AD113" s="1173"/>
      <c r="AE113" s="1173"/>
      <c r="AF113" s="1173"/>
      <c r="AL113" s="683"/>
    </row>
    <row r="114" spans="1:38" ht="30" customHeight="1" x14ac:dyDescent="0.25">
      <c r="A114" s="517" t="s">
        <v>1013</v>
      </c>
      <c r="B114" s="1173" t="s">
        <v>5922</v>
      </c>
      <c r="C114" s="1173"/>
      <c r="D114" s="1173"/>
      <c r="E114" s="1173"/>
      <c r="F114" s="1173"/>
      <c r="G114" s="1173"/>
      <c r="H114" s="1173"/>
      <c r="I114" s="1173"/>
      <c r="J114" s="1173"/>
      <c r="K114" s="1173"/>
      <c r="L114" s="1173"/>
      <c r="M114" s="1173"/>
      <c r="N114" s="1173"/>
      <c r="O114" s="1173"/>
      <c r="P114" s="1173"/>
      <c r="Q114" s="1173"/>
      <c r="R114" s="1173"/>
      <c r="S114" s="1173"/>
      <c r="T114" s="1173"/>
      <c r="U114" s="1173"/>
      <c r="V114" s="1173"/>
      <c r="W114" s="1173"/>
      <c r="X114" s="1173"/>
      <c r="Y114" s="1173"/>
      <c r="Z114" s="1173"/>
      <c r="AA114" s="1173"/>
      <c r="AB114" s="1173"/>
      <c r="AC114" s="1173"/>
      <c r="AD114" s="1173"/>
      <c r="AE114" s="1173"/>
      <c r="AF114" s="1173"/>
      <c r="AL114" s="683"/>
    </row>
  </sheetData>
  <sheetProtection algorithmName="SHA-512" hashValue="hgHCQZsay+6vTvYS78Z27RFpkp4C7jxpVCs1bJPC1q5yrrbNu0Z2gogDWC0ZP5kUxg9LR0jRNJ04bWvpqxLaeQ==" saltValue="i10dv6jcbChRvsRJw9nJAA==" spinCount="100000" sheet="1" objects="1" scenarios="1"/>
  <mergeCells count="222">
    <mergeCell ref="A53:D53"/>
    <mergeCell ref="E53:P53"/>
    <mergeCell ref="Q53:T53"/>
    <mergeCell ref="U53:V53"/>
    <mergeCell ref="W53:AF53"/>
    <mergeCell ref="A54:D54"/>
    <mergeCell ref="E54:P54"/>
    <mergeCell ref="A1:AF1"/>
    <mergeCell ref="A3:AF3"/>
    <mergeCell ref="A86:H86"/>
    <mergeCell ref="I86:L86"/>
    <mergeCell ref="M86:P86"/>
    <mergeCell ref="Q86:T86"/>
    <mergeCell ref="U86:X86"/>
    <mergeCell ref="A89:H89"/>
    <mergeCell ref="I89:L89"/>
    <mergeCell ref="M89:P89"/>
    <mergeCell ref="Q89:T89"/>
    <mergeCell ref="U88:X88"/>
    <mergeCell ref="U89:X89"/>
    <mergeCell ref="M87:P87"/>
    <mergeCell ref="Q87:T87"/>
    <mergeCell ref="A73:AF73"/>
    <mergeCell ref="A77:H78"/>
    <mergeCell ref="Y77:AF77"/>
    <mergeCell ref="Y78:AB78"/>
    <mergeCell ref="AC78:AF78"/>
    <mergeCell ref="A79:H79"/>
    <mergeCell ref="Y79:AB79"/>
    <mergeCell ref="AC79:AF79"/>
    <mergeCell ref="A80:H80"/>
    <mergeCell ref="Y80:AB80"/>
    <mergeCell ref="AC80:AF80"/>
    <mergeCell ref="I77:P77"/>
    <mergeCell ref="Q77:X77"/>
    <mergeCell ref="I78:L78"/>
    <mergeCell ref="M78:P78"/>
    <mergeCell ref="Q78:T78"/>
    <mergeCell ref="I79:L79"/>
    <mergeCell ref="M79:P79"/>
    <mergeCell ref="Q79:T79"/>
    <mergeCell ref="I80:L80"/>
    <mergeCell ref="M80:P80"/>
    <mergeCell ref="Q80:T80"/>
    <mergeCell ref="U78:X78"/>
    <mergeCell ref="U79:X79"/>
    <mergeCell ref="U80:X80"/>
    <mergeCell ref="B5:AF5"/>
    <mergeCell ref="A7:AF7"/>
    <mergeCell ref="B10:AF10"/>
    <mergeCell ref="B13:AF13"/>
    <mergeCell ref="B16:AF16"/>
    <mergeCell ref="B19:AF19"/>
    <mergeCell ref="B22:AF22"/>
    <mergeCell ref="A25:AF25"/>
    <mergeCell ref="A52:AF52"/>
    <mergeCell ref="Q54:T54"/>
    <mergeCell ref="U54:V54"/>
    <mergeCell ref="W54:AF54"/>
    <mergeCell ref="A55:D55"/>
    <mergeCell ref="E55:P55"/>
    <mergeCell ref="Q55:T55"/>
    <mergeCell ref="U55:V55"/>
    <mergeCell ref="W55:AF55"/>
    <mergeCell ref="A56:D56"/>
    <mergeCell ref="E56:P56"/>
    <mergeCell ref="Q56:T56"/>
    <mergeCell ref="U56:V56"/>
    <mergeCell ref="W56:AF56"/>
    <mergeCell ref="A57:D57"/>
    <mergeCell ref="E57:P57"/>
    <mergeCell ref="Q57:T57"/>
    <mergeCell ref="U57:V57"/>
    <mergeCell ref="W57:AF57"/>
    <mergeCell ref="A58:D58"/>
    <mergeCell ref="E58:P58"/>
    <mergeCell ref="Q58:T58"/>
    <mergeCell ref="U58:V58"/>
    <mergeCell ref="W58:AF58"/>
    <mergeCell ref="Q59:T59"/>
    <mergeCell ref="U59:V59"/>
    <mergeCell ref="W59:AF59"/>
    <mergeCell ref="A60:D60"/>
    <mergeCell ref="E60:P60"/>
    <mergeCell ref="Q60:T60"/>
    <mergeCell ref="U60:V60"/>
    <mergeCell ref="W60:AF60"/>
    <mergeCell ref="A61:D61"/>
    <mergeCell ref="E61:P61"/>
    <mergeCell ref="Q61:T61"/>
    <mergeCell ref="U61:V61"/>
    <mergeCell ref="W61:AF61"/>
    <mergeCell ref="A59:D59"/>
    <mergeCell ref="E59:P59"/>
    <mergeCell ref="A62:D62"/>
    <mergeCell ref="E62:P62"/>
    <mergeCell ref="Q62:T62"/>
    <mergeCell ref="U62:V62"/>
    <mergeCell ref="W62:AF62"/>
    <mergeCell ref="A63:D63"/>
    <mergeCell ref="E63:P63"/>
    <mergeCell ref="Q63:T63"/>
    <mergeCell ref="U63:V63"/>
    <mergeCell ref="W63:AF63"/>
    <mergeCell ref="A64:D64"/>
    <mergeCell ref="E64:P64"/>
    <mergeCell ref="Q64:T64"/>
    <mergeCell ref="U64:V64"/>
    <mergeCell ref="W64:AF64"/>
    <mergeCell ref="A65:D65"/>
    <mergeCell ref="E65:P65"/>
    <mergeCell ref="Q65:T65"/>
    <mergeCell ref="U65:V65"/>
    <mergeCell ref="W65:AF65"/>
    <mergeCell ref="A66:D66"/>
    <mergeCell ref="E66:P66"/>
    <mergeCell ref="Q66:T66"/>
    <mergeCell ref="U66:V66"/>
    <mergeCell ref="W66:AF66"/>
    <mergeCell ref="A67:D67"/>
    <mergeCell ref="E67:P67"/>
    <mergeCell ref="Q67:T67"/>
    <mergeCell ref="U67:V67"/>
    <mergeCell ref="W67:AF67"/>
    <mergeCell ref="A68:D68"/>
    <mergeCell ref="E68:P68"/>
    <mergeCell ref="Q68:T68"/>
    <mergeCell ref="U68:V68"/>
    <mergeCell ref="W68:AF68"/>
    <mergeCell ref="A69:D69"/>
    <mergeCell ref="E69:P69"/>
    <mergeCell ref="Q69:T69"/>
    <mergeCell ref="U69:V69"/>
    <mergeCell ref="W69:AF69"/>
    <mergeCell ref="A70:D70"/>
    <mergeCell ref="E70:P70"/>
    <mergeCell ref="Q70:T70"/>
    <mergeCell ref="U70:V70"/>
    <mergeCell ref="W70:AF70"/>
    <mergeCell ref="A71:D71"/>
    <mergeCell ref="E71:P71"/>
    <mergeCell ref="Q71:T71"/>
    <mergeCell ref="U71:V71"/>
    <mergeCell ref="W71:AF71"/>
    <mergeCell ref="M81:P81"/>
    <mergeCell ref="Q81:T81"/>
    <mergeCell ref="Y81:AB81"/>
    <mergeCell ref="AC81:AF81"/>
    <mergeCell ref="A82:H82"/>
    <mergeCell ref="I82:L82"/>
    <mergeCell ref="M82:P82"/>
    <mergeCell ref="Q82:T82"/>
    <mergeCell ref="Y82:AB82"/>
    <mergeCell ref="AC82:AF82"/>
    <mergeCell ref="I81:L81"/>
    <mergeCell ref="U81:X81"/>
    <mergeCell ref="U82:X82"/>
    <mergeCell ref="A81:H81"/>
    <mergeCell ref="Y83:AB83"/>
    <mergeCell ref="AC83:AF83"/>
    <mergeCell ref="A84:H84"/>
    <mergeCell ref="I84:L84"/>
    <mergeCell ref="M84:P84"/>
    <mergeCell ref="Q84:T84"/>
    <mergeCell ref="Y84:AB84"/>
    <mergeCell ref="AC84:AF84"/>
    <mergeCell ref="A85:H85"/>
    <mergeCell ref="I85:P85"/>
    <mergeCell ref="Q85:X85"/>
    <mergeCell ref="Y85:AF85"/>
    <mergeCell ref="U83:X83"/>
    <mergeCell ref="U84:X84"/>
    <mergeCell ref="A83:H83"/>
    <mergeCell ref="I83:L83"/>
    <mergeCell ref="M83:P83"/>
    <mergeCell ref="Q83:T83"/>
    <mergeCell ref="Y87:AB87"/>
    <mergeCell ref="AC87:AF87"/>
    <mergeCell ref="A88:H88"/>
    <mergeCell ref="I88:L88"/>
    <mergeCell ref="M88:P88"/>
    <mergeCell ref="Q88:T88"/>
    <mergeCell ref="Y88:AB88"/>
    <mergeCell ref="AC88:AF88"/>
    <mergeCell ref="U87:X87"/>
    <mergeCell ref="B114:AF114"/>
    <mergeCell ref="A97:H97"/>
    <mergeCell ref="I97:P97"/>
    <mergeCell ref="Q97:X97"/>
    <mergeCell ref="Y97:AF97"/>
    <mergeCell ref="Y98:AF98"/>
    <mergeCell ref="A101:AF101"/>
    <mergeCell ref="B103:AF103"/>
    <mergeCell ref="B104:AF104"/>
    <mergeCell ref="B105:AF105"/>
    <mergeCell ref="A98:H98"/>
    <mergeCell ref="I98:P98"/>
    <mergeCell ref="Q98:X98"/>
    <mergeCell ref="AH85:AK85"/>
    <mergeCell ref="B106:AF106"/>
    <mergeCell ref="B107:AF107"/>
    <mergeCell ref="B108:AF108"/>
    <mergeCell ref="B109:AF109"/>
    <mergeCell ref="B110:AF110"/>
    <mergeCell ref="B111:AF111"/>
    <mergeCell ref="B112:AF112"/>
    <mergeCell ref="B113:AF113"/>
    <mergeCell ref="Y89:AB89"/>
    <mergeCell ref="AC89:AF89"/>
    <mergeCell ref="A92:AF92"/>
    <mergeCell ref="A95:H95"/>
    <mergeCell ref="I95:P95"/>
    <mergeCell ref="Q95:X95"/>
    <mergeCell ref="Y95:AF95"/>
    <mergeCell ref="A96:H96"/>
    <mergeCell ref="I96:P96"/>
    <mergeCell ref="Q96:X96"/>
    <mergeCell ref="Y96:AF96"/>
    <mergeCell ref="Y86:AB86"/>
    <mergeCell ref="AC86:AF86"/>
    <mergeCell ref="A87:H87"/>
    <mergeCell ref="I87:L87"/>
  </mergeCells>
  <hyperlinks>
    <hyperlink ref="A2" location="TOC!A1" display="Return to TOC" xr:uid="{F825B9A1-B237-4CEC-9A1D-606EC1B0A9AE}"/>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49"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theme="7" tint="0.79998168889431442"/>
    <pageSetUpPr autoPageBreaks="0"/>
  </sheetPr>
  <dimension ref="A1:AF70"/>
  <sheetViews>
    <sheetView workbookViewId="0">
      <selection sqref="A1:AF1"/>
    </sheetView>
  </sheetViews>
  <sheetFormatPr defaultColWidth="2.7109375" defaultRowHeight="15" x14ac:dyDescent="0.25"/>
  <cols>
    <col min="1" max="16384" width="2.7109375" style="1"/>
  </cols>
  <sheetData>
    <row r="1" spans="1:32" ht="18.75" x14ac:dyDescent="0.25">
      <c r="A1" s="1464" t="s">
        <v>5142</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655"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ht="18.75" x14ac:dyDescent="0.25">
      <c r="A4" s="376"/>
      <c r="B4" s="284"/>
      <c r="C4" s="284"/>
      <c r="D4" s="284"/>
      <c r="E4" s="284"/>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row>
    <row r="5" spans="1:32" ht="18.75" x14ac:dyDescent="0.25">
      <c r="A5" s="376"/>
      <c r="B5" s="192" t="s">
        <v>5124</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row>
    <row r="6" spans="1:32" s="4" customFormat="1" ht="18.75" x14ac:dyDescent="0.25">
      <c r="A6" s="376"/>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25">
      <c r="B9" s="1475" t="s">
        <v>10</v>
      </c>
      <c r="C9" s="1475"/>
      <c r="D9" s="1475"/>
      <c r="E9" s="1475"/>
      <c r="F9" s="1475"/>
      <c r="G9" s="1475"/>
      <c r="H9" s="1475"/>
      <c r="I9" s="1475"/>
    </row>
    <row r="10" spans="1:32" ht="153" customHeight="1" x14ac:dyDescent="0.25">
      <c r="A10" s="4"/>
      <c r="B10" s="1247" t="s">
        <v>5143</v>
      </c>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c r="AE10" s="1247"/>
      <c r="AF10" s="1247"/>
    </row>
    <row r="12" spans="1:32" x14ac:dyDescent="0.25">
      <c r="B12" s="1475" t="s">
        <v>11</v>
      </c>
      <c r="C12" s="1475"/>
      <c r="D12" s="1475"/>
      <c r="E12" s="1475"/>
      <c r="F12" s="1475"/>
      <c r="G12" s="1475"/>
      <c r="H12" s="1475"/>
      <c r="I12" s="1475"/>
    </row>
    <row r="13" spans="1:32" ht="125.25" customHeight="1" x14ac:dyDescent="0.25">
      <c r="B13" s="1247" t="s">
        <v>5144</v>
      </c>
      <c r="C13" s="1476"/>
      <c r="D13" s="1476"/>
      <c r="E13" s="1476"/>
      <c r="F13" s="1476"/>
      <c r="G13" s="1476"/>
      <c r="H13" s="1476"/>
      <c r="I13" s="1476"/>
      <c r="J13" s="1476"/>
      <c r="K13" s="1476"/>
      <c r="L13" s="1476"/>
      <c r="M13" s="1476"/>
      <c r="N13" s="1476"/>
      <c r="O13" s="1476"/>
      <c r="P13" s="1476"/>
      <c r="Q13" s="1476"/>
      <c r="R13" s="1476"/>
      <c r="S13" s="1476"/>
      <c r="T13" s="1476"/>
      <c r="U13" s="1476"/>
      <c r="V13" s="1476"/>
      <c r="W13" s="1476"/>
      <c r="X13" s="1476"/>
      <c r="Y13" s="1476"/>
      <c r="Z13" s="1476"/>
      <c r="AA13" s="1476"/>
      <c r="AB13" s="1476"/>
      <c r="AC13" s="1476"/>
      <c r="AD13" s="1476"/>
      <c r="AE13" s="1476"/>
      <c r="AF13" s="1476"/>
    </row>
    <row r="15" spans="1:32" x14ac:dyDescent="0.25">
      <c r="B15" s="1475" t="s">
        <v>12</v>
      </c>
      <c r="C15" s="1475"/>
      <c r="D15" s="1475"/>
      <c r="E15" s="1475"/>
      <c r="F15" s="1475"/>
      <c r="G15" s="1475"/>
      <c r="H15" s="1475"/>
      <c r="I15" s="1475"/>
    </row>
    <row r="16" spans="1:32" x14ac:dyDescent="0.25">
      <c r="B16" s="1473" t="s">
        <v>5145</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row>
    <row r="18" spans="1:32" x14ac:dyDescent="0.25">
      <c r="B18" s="1475" t="s">
        <v>13</v>
      </c>
      <c r="C18" s="1475"/>
      <c r="D18" s="1475"/>
      <c r="E18" s="1475"/>
      <c r="F18" s="1475"/>
      <c r="G18" s="1475"/>
      <c r="H18" s="1475"/>
      <c r="I18" s="1475"/>
    </row>
    <row r="19" spans="1:32" ht="32.25" customHeight="1" x14ac:dyDescent="0.25">
      <c r="B19" s="1247" t="s">
        <v>5146</v>
      </c>
      <c r="C19" s="1247"/>
      <c r="D19" s="1247"/>
      <c r="E19" s="1247"/>
      <c r="F19" s="1247"/>
      <c r="G19" s="1247"/>
      <c r="H19" s="1247"/>
      <c r="I19" s="1247"/>
      <c r="J19" s="1247"/>
      <c r="K19" s="1247"/>
      <c r="L19" s="1247"/>
      <c r="M19" s="1247"/>
      <c r="N19" s="1247"/>
      <c r="O19" s="1247"/>
      <c r="P19" s="1247"/>
      <c r="Q19" s="1247"/>
      <c r="R19" s="1247"/>
      <c r="S19" s="1247"/>
      <c r="T19" s="1247"/>
      <c r="U19" s="1247"/>
      <c r="V19" s="1247"/>
      <c r="W19" s="1247"/>
      <c r="X19" s="1247"/>
      <c r="Y19" s="1247"/>
      <c r="Z19" s="1247"/>
      <c r="AA19" s="1247"/>
      <c r="AB19" s="1247"/>
      <c r="AC19" s="1247"/>
      <c r="AD19" s="1247"/>
      <c r="AE19" s="1247"/>
      <c r="AF19" s="1247"/>
    </row>
    <row r="21" spans="1:32" x14ac:dyDescent="0.25">
      <c r="B21" s="171" t="s">
        <v>20</v>
      </c>
      <c r="C21" s="171"/>
      <c r="D21" s="171"/>
      <c r="E21" s="171"/>
      <c r="F21" s="171"/>
      <c r="G21" s="171"/>
      <c r="H21" s="171"/>
      <c r="I21" s="171"/>
    </row>
    <row r="22" spans="1:32" ht="53.25" customHeight="1" x14ac:dyDescent="0.25">
      <c r="B22" s="1247" t="s">
        <v>5147</v>
      </c>
      <c r="C22" s="1247"/>
      <c r="D22" s="1247"/>
      <c r="E22" s="1247"/>
      <c r="F22" s="1247"/>
      <c r="G22" s="1247"/>
      <c r="H22" s="1247"/>
      <c r="I22" s="1247"/>
      <c r="J22" s="1247"/>
      <c r="K22" s="1247"/>
      <c r="L22" s="1247"/>
      <c r="M22" s="1247"/>
      <c r="N22" s="1247"/>
      <c r="O22" s="1247"/>
      <c r="P22" s="1247"/>
      <c r="Q22" s="1247"/>
      <c r="R22" s="1247"/>
      <c r="S22" s="1247"/>
      <c r="T22" s="1247"/>
      <c r="U22" s="1247"/>
      <c r="V22" s="1247"/>
      <c r="W22" s="1247"/>
      <c r="X22" s="1247"/>
      <c r="Y22" s="1247"/>
      <c r="Z22" s="1247"/>
      <c r="AA22" s="1247"/>
      <c r="AB22" s="1247"/>
      <c r="AC22" s="1247"/>
      <c r="AD22" s="1247"/>
      <c r="AE22" s="1247"/>
      <c r="AF22" s="1247"/>
    </row>
    <row r="25" spans="1:32" x14ac:dyDescent="0.25">
      <c r="A25" s="1472" t="s">
        <v>14</v>
      </c>
      <c r="B25" s="1472"/>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row>
    <row r="26" spans="1:32"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row>
    <row r="27" spans="1:32" x14ac:dyDescent="0.25">
      <c r="A27" s="3"/>
      <c r="B27" s="379" t="s">
        <v>2194</v>
      </c>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row>
    <row r="28" spans="1:32"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row>
    <row r="29" spans="1:32"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685" t="s">
        <v>1705</v>
      </c>
    </row>
    <row r="30" spans="1:32"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row>
    <row r="31" spans="1:32"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1:32" x14ac:dyDescent="0.25">
      <c r="A32" s="3"/>
      <c r="B32" s="379" t="s">
        <v>2303</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row>
    <row r="33" spans="1:32"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1:32"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685" t="s">
        <v>1706</v>
      </c>
    </row>
    <row r="35" spans="1:32"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32"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row>
    <row r="37" spans="1:32" x14ac:dyDescent="0.25">
      <c r="A37" s="3"/>
      <c r="B37" s="379" t="s">
        <v>1998</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32"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row>
    <row r="39" spans="1:32"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685" t="s">
        <v>1707</v>
      </c>
    </row>
    <row r="40" spans="1:32"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685"/>
    </row>
    <row r="42" spans="1:32" x14ac:dyDescent="0.25">
      <c r="A42" s="1472" t="s">
        <v>15</v>
      </c>
      <c r="B42" s="1472"/>
      <c r="C42" s="1472"/>
      <c r="D42" s="1472"/>
      <c r="E42" s="1472"/>
      <c r="F42" s="1472"/>
      <c r="G42" s="1472"/>
      <c r="H42" s="1472"/>
      <c r="I42" s="1472"/>
      <c r="J42" s="1472"/>
      <c r="K42" s="1472"/>
      <c r="L42" s="1472"/>
      <c r="M42" s="1472"/>
      <c r="N42" s="1472"/>
      <c r="O42" s="1472"/>
      <c r="P42" s="1472"/>
      <c r="Q42" s="1472"/>
      <c r="R42" s="1472"/>
      <c r="S42" s="1472"/>
      <c r="T42" s="1472"/>
      <c r="U42" s="1472"/>
      <c r="V42" s="1472"/>
      <c r="W42" s="1472"/>
      <c r="X42" s="1472"/>
      <c r="Y42" s="1472"/>
      <c r="Z42" s="1472"/>
      <c r="AA42" s="1472"/>
      <c r="AB42" s="1472"/>
      <c r="AC42" s="1472"/>
      <c r="AD42" s="1472"/>
      <c r="AE42" s="1472"/>
      <c r="AF42" s="1472"/>
    </row>
    <row r="43" spans="1:32" x14ac:dyDescent="0.25">
      <c r="A43" s="1474" t="s">
        <v>16</v>
      </c>
      <c r="B43" s="1474"/>
      <c r="C43" s="1474"/>
      <c r="D43" s="1474"/>
      <c r="E43" s="1474" t="s">
        <v>10</v>
      </c>
      <c r="F43" s="1474"/>
      <c r="G43" s="1474"/>
      <c r="H43" s="1474"/>
      <c r="I43" s="1474"/>
      <c r="J43" s="1474"/>
      <c r="K43" s="1474"/>
      <c r="L43" s="1474"/>
      <c r="M43" s="1474"/>
      <c r="N43" s="1474"/>
      <c r="O43" s="1474"/>
      <c r="P43" s="1474"/>
      <c r="Q43" s="1474" t="s">
        <v>17</v>
      </c>
      <c r="R43" s="1474"/>
      <c r="S43" s="1474"/>
      <c r="T43" s="1474"/>
      <c r="U43" s="1474" t="s">
        <v>18</v>
      </c>
      <c r="V43" s="1474"/>
      <c r="W43" s="1735" t="s">
        <v>1708</v>
      </c>
      <c r="X43" s="1735"/>
      <c r="Y43" s="1735"/>
      <c r="Z43" s="1735"/>
      <c r="AA43" s="1735"/>
      <c r="AB43" s="1735"/>
      <c r="AC43" s="1735"/>
      <c r="AD43" s="1735"/>
      <c r="AE43" s="1735"/>
      <c r="AF43" s="1735"/>
    </row>
    <row r="44" spans="1:32" ht="89.25" customHeight="1" x14ac:dyDescent="0.25">
      <c r="A44" s="1574" t="s">
        <v>5148</v>
      </c>
      <c r="B44" s="1575"/>
      <c r="C44" s="1575"/>
      <c r="D44" s="1576"/>
      <c r="E44" s="1479" t="s">
        <v>5149</v>
      </c>
      <c r="F44" s="1480"/>
      <c r="G44" s="1480"/>
      <c r="H44" s="1480"/>
      <c r="I44" s="1480"/>
      <c r="J44" s="1480"/>
      <c r="K44" s="1480"/>
      <c r="L44" s="1480"/>
      <c r="M44" s="1480"/>
      <c r="N44" s="1480"/>
      <c r="O44" s="1480"/>
      <c r="P44" s="1481"/>
      <c r="Q44" s="1733">
        <v>4423</v>
      </c>
      <c r="R44" s="1575"/>
      <c r="S44" s="1575"/>
      <c r="T44" s="1576"/>
      <c r="U44" s="1482" t="s">
        <v>4539</v>
      </c>
      <c r="V44" s="1484"/>
      <c r="W44" s="1730" t="s">
        <v>5150</v>
      </c>
      <c r="X44" s="1731"/>
      <c r="Y44" s="1731"/>
      <c r="Z44" s="1731"/>
      <c r="AA44" s="1731"/>
      <c r="AB44" s="1731"/>
      <c r="AC44" s="1731"/>
      <c r="AD44" s="1731"/>
      <c r="AE44" s="1731"/>
      <c r="AF44" s="1732"/>
    </row>
    <row r="45" spans="1:32" ht="91.5" customHeight="1" x14ac:dyDescent="0.25">
      <c r="A45" s="1574" t="s">
        <v>5151</v>
      </c>
      <c r="B45" s="1575"/>
      <c r="C45" s="1575"/>
      <c r="D45" s="1576"/>
      <c r="E45" s="1479" t="s">
        <v>5152</v>
      </c>
      <c r="F45" s="1480"/>
      <c r="G45" s="1480"/>
      <c r="H45" s="1480"/>
      <c r="I45" s="1480"/>
      <c r="J45" s="1480"/>
      <c r="K45" s="1480"/>
      <c r="L45" s="1480"/>
      <c r="M45" s="1480"/>
      <c r="N45" s="1480"/>
      <c r="O45" s="1480"/>
      <c r="P45" s="1481"/>
      <c r="Q45" s="1574">
        <v>0.38</v>
      </c>
      <c r="R45" s="1575"/>
      <c r="S45" s="1575"/>
      <c r="T45" s="1576"/>
      <c r="U45" s="1482" t="s">
        <v>5153</v>
      </c>
      <c r="V45" s="1484"/>
      <c r="W45" s="1730" t="s">
        <v>5154</v>
      </c>
      <c r="X45" s="1731"/>
      <c r="Y45" s="1731"/>
      <c r="Z45" s="1731"/>
      <c r="AA45" s="1731"/>
      <c r="AB45" s="1731"/>
      <c r="AC45" s="1731"/>
      <c r="AD45" s="1731"/>
      <c r="AE45" s="1731"/>
      <c r="AF45" s="1732"/>
    </row>
    <row r="46" spans="1:32" ht="74.25" customHeight="1" x14ac:dyDescent="0.25">
      <c r="A46" s="1574" t="s">
        <v>2716</v>
      </c>
      <c r="B46" s="1575"/>
      <c r="C46" s="1575"/>
      <c r="D46" s="1576"/>
      <c r="E46" s="1479" t="s">
        <v>5155</v>
      </c>
      <c r="F46" s="1480"/>
      <c r="G46" s="1480"/>
      <c r="H46" s="1480"/>
      <c r="I46" s="1480"/>
      <c r="J46" s="1480"/>
      <c r="K46" s="1480"/>
      <c r="L46" s="1480"/>
      <c r="M46" s="1480"/>
      <c r="N46" s="1480"/>
      <c r="O46" s="1480"/>
      <c r="P46" s="1481"/>
      <c r="Q46" s="1574" t="s">
        <v>164</v>
      </c>
      <c r="R46" s="1575"/>
      <c r="S46" s="1575"/>
      <c r="T46" s="1576"/>
      <c r="U46" s="1574" t="s">
        <v>4408</v>
      </c>
      <c r="V46" s="1576"/>
      <c r="W46" s="1730" t="s">
        <v>5156</v>
      </c>
      <c r="X46" s="1731"/>
      <c r="Y46" s="1731"/>
      <c r="Z46" s="1731"/>
      <c r="AA46" s="1731"/>
      <c r="AB46" s="1731"/>
      <c r="AC46" s="1731"/>
      <c r="AD46" s="1731"/>
      <c r="AE46" s="1731"/>
      <c r="AF46" s="1732"/>
    </row>
    <row r="47" spans="1:32" ht="60" customHeight="1" x14ac:dyDescent="0.25">
      <c r="A47" s="1683" t="s">
        <v>2724</v>
      </c>
      <c r="B47" s="1684"/>
      <c r="C47" s="1684"/>
      <c r="D47" s="1685"/>
      <c r="E47" s="1680" t="s">
        <v>2217</v>
      </c>
      <c r="F47" s="1681"/>
      <c r="G47" s="1681"/>
      <c r="H47" s="1681"/>
      <c r="I47" s="1681"/>
      <c r="J47" s="1681"/>
      <c r="K47" s="1681"/>
      <c r="L47" s="1681"/>
      <c r="M47" s="1681"/>
      <c r="N47" s="1681"/>
      <c r="O47" s="1681"/>
      <c r="P47" s="1682"/>
      <c r="Q47" s="1683">
        <f>'Master EUL'!X119</f>
        <v>15</v>
      </c>
      <c r="R47" s="1684"/>
      <c r="S47" s="1684"/>
      <c r="T47" s="1685"/>
      <c r="U47" s="1683" t="s">
        <v>36</v>
      </c>
      <c r="V47" s="1685"/>
      <c r="W47" s="1730" t="s">
        <v>5157</v>
      </c>
      <c r="X47" s="1731"/>
      <c r="Y47" s="1731"/>
      <c r="Z47" s="1731"/>
      <c r="AA47" s="1731"/>
      <c r="AB47" s="1731"/>
      <c r="AC47" s="1731"/>
      <c r="AD47" s="1731"/>
      <c r="AE47" s="1731"/>
      <c r="AF47" s="1732"/>
    </row>
    <row r="48" spans="1:32" x14ac:dyDescent="0.25">
      <c r="A48" s="1736" t="s">
        <v>5158</v>
      </c>
      <c r="B48" s="1736"/>
      <c r="C48" s="1736"/>
      <c r="D48" s="1736"/>
      <c r="E48" s="1736"/>
      <c r="F48" s="1736"/>
      <c r="G48" s="1736"/>
      <c r="H48" s="1736"/>
      <c r="I48" s="1736"/>
      <c r="J48" s="1736"/>
      <c r="K48" s="1736"/>
      <c r="L48" s="1736"/>
      <c r="M48" s="1736"/>
      <c r="N48" s="1736"/>
      <c r="O48" s="1736"/>
      <c r="P48" s="1736"/>
      <c r="Q48" s="1736"/>
      <c r="R48" s="1736"/>
      <c r="S48" s="1736"/>
      <c r="T48" s="1736"/>
      <c r="U48" s="1736"/>
      <c r="V48" s="1736"/>
      <c r="W48" s="1736"/>
      <c r="X48" s="1736"/>
      <c r="Y48" s="1736"/>
      <c r="Z48" s="1736"/>
      <c r="AA48" s="1736"/>
      <c r="AB48" s="1736"/>
      <c r="AC48" s="1736"/>
      <c r="AD48" s="1736"/>
      <c r="AE48" s="1736"/>
      <c r="AF48" s="1736"/>
    </row>
    <row r="49" spans="1:32" ht="42" customHeight="1" x14ac:dyDescent="0.25">
      <c r="A49" s="1290" t="s">
        <v>5159</v>
      </c>
      <c r="B49" s="1290"/>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row>
    <row r="51" spans="1:32" x14ac:dyDescent="0.25">
      <c r="A51" s="1472" t="s">
        <v>21</v>
      </c>
      <c r="B51" s="1472"/>
      <c r="C51" s="1472"/>
      <c r="D51" s="1472"/>
      <c r="E51" s="1472"/>
      <c r="F51" s="1472"/>
      <c r="G51" s="1472"/>
      <c r="H51" s="1472"/>
      <c r="I51" s="1472"/>
      <c r="J51" s="1472"/>
      <c r="K51" s="1472"/>
      <c r="L51" s="1472"/>
      <c r="M51" s="1472"/>
      <c r="N51" s="1472"/>
      <c r="O51" s="1472"/>
      <c r="P51" s="1472"/>
      <c r="Q51" s="1472"/>
      <c r="R51" s="1472"/>
      <c r="S51" s="1472"/>
      <c r="T51" s="1472"/>
      <c r="U51" s="1472"/>
      <c r="V51" s="1472"/>
      <c r="W51" s="1472"/>
      <c r="X51" s="1472"/>
      <c r="Y51" s="1472"/>
      <c r="Z51" s="1472"/>
      <c r="AA51" s="1472"/>
      <c r="AB51" s="1472"/>
      <c r="AC51" s="1472"/>
      <c r="AD51" s="1472"/>
      <c r="AE51" s="1472"/>
      <c r="AF51" s="1472"/>
    </row>
    <row r="52" spans="1:32"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row>
    <row r="53" spans="1:32" x14ac:dyDescent="0.25">
      <c r="A53" s="3"/>
      <c r="B53" s="380" t="s">
        <v>4442</v>
      </c>
      <c r="C53"/>
      <c r="D53"/>
      <c r="E53"/>
      <c r="F53"/>
      <c r="G53"/>
      <c r="H53"/>
      <c r="I53"/>
      <c r="J53"/>
      <c r="K53"/>
      <c r="L53"/>
      <c r="M53"/>
      <c r="N53"/>
      <c r="O53"/>
      <c r="P53"/>
      <c r="Q53"/>
      <c r="R53"/>
      <c r="S53"/>
      <c r="T53"/>
      <c r="U53"/>
      <c r="V53"/>
      <c r="W53"/>
      <c r="X53"/>
      <c r="Y53" s="3"/>
      <c r="Z53" s="3"/>
      <c r="AA53" s="3"/>
      <c r="AB53" s="3"/>
      <c r="AC53" s="3"/>
      <c r="AD53" s="3"/>
      <c r="AE53" s="3"/>
      <c r="AF53" s="3"/>
    </row>
    <row r="54" spans="1:32"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x14ac:dyDescent="0.25">
      <c r="A55" s="3"/>
      <c r="B55" s="3"/>
      <c r="C55" s="3" t="s">
        <v>866</v>
      </c>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2" x14ac:dyDescent="0.25">
      <c r="A56" s="3"/>
      <c r="B56" s="3"/>
      <c r="C56" t="s">
        <v>5160</v>
      </c>
      <c r="D56"/>
      <c r="E56"/>
      <c r="F56"/>
      <c r="G56"/>
      <c r="H56"/>
      <c r="I56"/>
      <c r="J56"/>
      <c r="K56"/>
      <c r="L56"/>
      <c r="M56"/>
      <c r="N56"/>
      <c r="O56"/>
      <c r="P56"/>
      <c r="Q56"/>
      <c r="R56" s="1619">
        <v>1</v>
      </c>
      <c r="S56" s="1619"/>
      <c r="T56" s="1619"/>
      <c r="U56" s="1619"/>
      <c r="V56" s="1619"/>
      <c r="W56" s="3"/>
      <c r="X56" s="3"/>
      <c r="Y56" s="3"/>
      <c r="Z56" s="3"/>
      <c r="AA56" s="3"/>
      <c r="AB56" s="3"/>
      <c r="AC56" s="3"/>
      <c r="AD56" s="3"/>
      <c r="AE56" s="3"/>
      <c r="AF56" s="3"/>
    </row>
    <row r="57" spans="1:32"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row>
    <row r="58" spans="1:32" ht="15.75" thickBot="1" x14ac:dyDescent="0.3"/>
    <row r="59" spans="1:32" x14ac:dyDescent="0.25">
      <c r="A59" s="1583" t="s">
        <v>22</v>
      </c>
      <c r="B59" s="1584"/>
      <c r="C59" s="1584"/>
      <c r="D59" s="1584"/>
      <c r="E59" s="1584"/>
      <c r="F59" s="1584"/>
      <c r="G59" s="1584"/>
      <c r="H59" s="1584"/>
      <c r="I59" s="1584" t="s">
        <v>23</v>
      </c>
      <c r="J59" s="1584"/>
      <c r="K59" s="1584"/>
      <c r="L59" s="1584"/>
      <c r="M59" s="1584"/>
      <c r="N59" s="1584"/>
      <c r="O59" s="1584"/>
      <c r="P59" s="1584"/>
      <c r="Q59" s="1584" t="s">
        <v>24</v>
      </c>
      <c r="R59" s="1584"/>
      <c r="S59" s="1584"/>
      <c r="T59" s="1584"/>
      <c r="U59" s="1584"/>
      <c r="V59" s="1584"/>
      <c r="W59" s="1584"/>
      <c r="X59" s="1584"/>
      <c r="Y59" s="1609" t="s">
        <v>1965</v>
      </c>
      <c r="Z59" s="1609"/>
      <c r="AA59" s="1609"/>
      <c r="AB59" s="1609"/>
      <c r="AC59" s="1609"/>
      <c r="AD59" s="1609"/>
      <c r="AE59" s="1609"/>
      <c r="AF59" s="1737"/>
    </row>
    <row r="60" spans="1:32" ht="48.75" customHeight="1" thickBot="1" x14ac:dyDescent="0.3">
      <c r="A60" s="1738" t="s">
        <v>5161</v>
      </c>
      <c r="B60" s="1739"/>
      <c r="C60" s="1739"/>
      <c r="D60" s="1739"/>
      <c r="E60" s="1739"/>
      <c r="F60" s="1739"/>
      <c r="G60" s="1739"/>
      <c r="H60" s="1739"/>
      <c r="I60" s="1740">
        <f>ROUND(R56*$Q$45,3)</f>
        <v>0.38</v>
      </c>
      <c r="J60" s="1740"/>
      <c r="K60" s="1740"/>
      <c r="L60" s="1740"/>
      <c r="M60" s="1740"/>
      <c r="N60" s="1740"/>
      <c r="O60" s="1740"/>
      <c r="P60" s="1740"/>
      <c r="Q60" s="1741">
        <f>ROUND(R56*$Q$44,2)</f>
        <v>4423</v>
      </c>
      <c r="R60" s="1741"/>
      <c r="S60" s="1741"/>
      <c r="T60" s="1741"/>
      <c r="U60" s="1741"/>
      <c r="V60" s="1741"/>
      <c r="W60" s="1741"/>
      <c r="X60" s="1741"/>
      <c r="Y60" s="1742">
        <f>ROUND(Q60*$Q$47,2)</f>
        <v>66345</v>
      </c>
      <c r="Z60" s="1742"/>
      <c r="AA60" s="1742"/>
      <c r="AB60" s="1742"/>
      <c r="AC60" s="1742"/>
      <c r="AD60" s="1742"/>
      <c r="AE60" s="1742"/>
      <c r="AF60" s="1743"/>
    </row>
    <row r="63" spans="1:32" x14ac:dyDescent="0.25">
      <c r="A63" s="1472" t="s">
        <v>1753</v>
      </c>
      <c r="B63" s="1472"/>
      <c r="C63" s="1472"/>
      <c r="D63" s="1472"/>
      <c r="E63" s="1472"/>
      <c r="F63" s="1472"/>
      <c r="G63" s="1472"/>
      <c r="H63" s="1472"/>
      <c r="I63" s="1472"/>
      <c r="J63" s="1472"/>
      <c r="K63" s="1472"/>
      <c r="L63" s="1472"/>
      <c r="M63" s="1472"/>
      <c r="N63" s="1472"/>
      <c r="O63" s="1472"/>
      <c r="P63" s="1472"/>
      <c r="Q63" s="1472"/>
      <c r="R63" s="1472"/>
      <c r="S63" s="1472"/>
      <c r="T63" s="1472"/>
      <c r="U63" s="1472"/>
      <c r="V63" s="1472"/>
      <c r="W63" s="1472"/>
      <c r="X63" s="1472"/>
      <c r="Y63" s="1472"/>
      <c r="Z63" s="1472"/>
      <c r="AA63" s="1472"/>
      <c r="AB63" s="1472"/>
      <c r="AC63" s="1472"/>
      <c r="AD63" s="1472"/>
      <c r="AE63" s="1472"/>
      <c r="AF63" s="1472"/>
    </row>
    <row r="64" spans="1:32" ht="35.25" customHeight="1" x14ac:dyDescent="0.25">
      <c r="A64" s="517" t="s">
        <v>1013</v>
      </c>
      <c r="B64" s="1173" t="s">
        <v>5162</v>
      </c>
      <c r="C64" s="1173"/>
      <c r="D64" s="1173"/>
      <c r="E64" s="1173"/>
      <c r="F64" s="1173"/>
      <c r="G64" s="1173"/>
      <c r="H64" s="1173"/>
      <c r="I64" s="1173"/>
      <c r="J64" s="1173"/>
      <c r="K64" s="1173"/>
      <c r="L64" s="1173"/>
      <c r="M64" s="1173"/>
      <c r="N64" s="1173"/>
      <c r="O64" s="1173"/>
      <c r="P64" s="1173"/>
      <c r="Q64" s="1173"/>
      <c r="R64" s="1173"/>
      <c r="S64" s="1173"/>
      <c r="T64" s="1173"/>
      <c r="U64" s="1173"/>
      <c r="V64" s="1173"/>
      <c r="W64" s="1173"/>
      <c r="X64" s="1173"/>
      <c r="Y64" s="1173"/>
      <c r="Z64" s="1173"/>
      <c r="AA64" s="1173"/>
      <c r="AB64" s="1173"/>
      <c r="AC64" s="1173"/>
      <c r="AD64" s="1173"/>
      <c r="AE64" s="1173"/>
      <c r="AF64" s="1173"/>
    </row>
    <row r="65" spans="1:32" ht="48.75" customHeight="1" x14ac:dyDescent="0.25">
      <c r="A65" s="517" t="s">
        <v>1013</v>
      </c>
      <c r="B65" s="1247" t="s">
        <v>5163</v>
      </c>
      <c r="C65" s="1734"/>
      <c r="D65" s="1734"/>
      <c r="E65" s="1734"/>
      <c r="F65" s="1734"/>
      <c r="G65" s="1734"/>
      <c r="H65" s="1734"/>
      <c r="I65" s="1734"/>
      <c r="J65" s="1734"/>
      <c r="K65" s="1734"/>
      <c r="L65" s="1734"/>
      <c r="M65" s="1734"/>
      <c r="N65" s="1734"/>
      <c r="O65" s="1734"/>
      <c r="P65" s="1734"/>
      <c r="Q65" s="1734"/>
      <c r="R65" s="1734"/>
      <c r="S65" s="1734"/>
      <c r="T65" s="1734"/>
      <c r="U65" s="1734"/>
      <c r="V65" s="1734"/>
      <c r="W65" s="1734"/>
      <c r="X65" s="1734"/>
      <c r="Y65" s="1734"/>
      <c r="Z65" s="1734"/>
      <c r="AA65" s="1734"/>
      <c r="AB65" s="1734"/>
      <c r="AC65" s="1734"/>
      <c r="AD65" s="1734"/>
      <c r="AE65" s="1734"/>
      <c r="AF65" s="1734"/>
    </row>
    <row r="66" spans="1:32" ht="33.75" customHeight="1" x14ac:dyDescent="0.25">
      <c r="A66" s="517" t="s">
        <v>1013</v>
      </c>
      <c r="B66" s="1247" t="s">
        <v>5164</v>
      </c>
      <c r="C66" s="1734"/>
      <c r="D66" s="1734"/>
      <c r="E66" s="1734"/>
      <c r="F66" s="1734"/>
      <c r="G66" s="1734"/>
      <c r="H66" s="1734"/>
      <c r="I66" s="1734"/>
      <c r="J66" s="1734"/>
      <c r="K66" s="1734"/>
      <c r="L66" s="1734"/>
      <c r="M66" s="1734"/>
      <c r="N66" s="1734"/>
      <c r="O66" s="1734"/>
      <c r="P66" s="1734"/>
      <c r="Q66" s="1734"/>
      <c r="R66" s="1734"/>
      <c r="S66" s="1734"/>
      <c r="T66" s="1734"/>
      <c r="U66" s="1734"/>
      <c r="V66" s="1734"/>
      <c r="W66" s="1734"/>
      <c r="X66" s="1734"/>
      <c r="Y66" s="1734"/>
      <c r="Z66" s="1734"/>
      <c r="AA66" s="1734"/>
      <c r="AB66" s="1734"/>
      <c r="AC66" s="1734"/>
      <c r="AD66" s="1734"/>
      <c r="AE66" s="1734"/>
      <c r="AF66" s="1734"/>
    </row>
    <row r="67" spans="1:32" ht="77.25" customHeight="1" x14ac:dyDescent="0.25">
      <c r="A67" s="517" t="s">
        <v>1013</v>
      </c>
      <c r="B67" s="1173" t="s">
        <v>5165</v>
      </c>
      <c r="C67" s="1247"/>
      <c r="D67" s="1247"/>
      <c r="E67" s="1247"/>
      <c r="F67" s="1247"/>
      <c r="G67" s="1247"/>
      <c r="H67" s="1247"/>
      <c r="I67" s="1247"/>
      <c r="J67" s="1247"/>
      <c r="K67" s="1247"/>
      <c r="L67" s="1247"/>
      <c r="M67" s="1247"/>
      <c r="N67" s="1247"/>
      <c r="O67" s="1247"/>
      <c r="P67" s="1247"/>
      <c r="Q67" s="1247"/>
      <c r="R67" s="1247"/>
      <c r="S67" s="1247"/>
      <c r="T67" s="1247"/>
      <c r="U67" s="1247"/>
      <c r="V67" s="1247"/>
      <c r="W67" s="1247"/>
      <c r="X67" s="1247"/>
      <c r="Y67" s="1247"/>
      <c r="Z67" s="1247"/>
      <c r="AA67" s="1247"/>
      <c r="AB67" s="1247"/>
      <c r="AC67" s="1247"/>
      <c r="AD67" s="1247"/>
      <c r="AE67" s="1247"/>
      <c r="AF67" s="1247"/>
    </row>
    <row r="68" spans="1:32" ht="50.25" customHeight="1" x14ac:dyDescent="0.25">
      <c r="A68" s="517" t="s">
        <v>1013</v>
      </c>
      <c r="B68" s="1247" t="s">
        <v>5166</v>
      </c>
      <c r="C68" s="1247"/>
      <c r="D68" s="1247"/>
      <c r="E68" s="1247"/>
      <c r="F68" s="1247"/>
      <c r="G68" s="1247"/>
      <c r="H68" s="1247"/>
      <c r="I68" s="1247"/>
      <c r="J68" s="1247"/>
      <c r="K68" s="1247"/>
      <c r="L68" s="1247"/>
      <c r="M68" s="1247"/>
      <c r="N68" s="1247"/>
      <c r="O68" s="1247"/>
      <c r="P68" s="1247"/>
      <c r="Q68" s="1247"/>
      <c r="R68" s="1247"/>
      <c r="S68" s="1247"/>
      <c r="T68" s="1247"/>
      <c r="U68" s="1247"/>
      <c r="V68" s="1247"/>
      <c r="W68" s="1247"/>
      <c r="X68" s="1247"/>
      <c r="Y68" s="1247"/>
      <c r="Z68" s="1247"/>
      <c r="AA68" s="1247"/>
      <c r="AB68" s="1247"/>
      <c r="AC68" s="1247"/>
      <c r="AD68" s="1247"/>
      <c r="AE68" s="1247"/>
      <c r="AF68" s="1247"/>
    </row>
    <row r="69" spans="1:32" ht="65.25" customHeight="1" x14ac:dyDescent="0.25">
      <c r="A69" s="517" t="s">
        <v>1013</v>
      </c>
      <c r="B69" s="1173" t="s">
        <v>5167</v>
      </c>
      <c r="C69" s="1173"/>
      <c r="D69" s="1173"/>
      <c r="E69" s="1173"/>
      <c r="F69" s="1173"/>
      <c r="G69" s="1173"/>
      <c r="H69" s="1173"/>
      <c r="I69" s="1173"/>
      <c r="J69" s="1173"/>
      <c r="K69" s="1173"/>
      <c r="L69" s="1173"/>
      <c r="M69" s="1173"/>
      <c r="N69" s="1173"/>
      <c r="O69" s="1173"/>
      <c r="P69" s="1173"/>
      <c r="Q69" s="1173"/>
      <c r="R69" s="1173"/>
      <c r="S69" s="1173"/>
      <c r="T69" s="1173"/>
      <c r="U69" s="1173"/>
      <c r="V69" s="1173"/>
      <c r="W69" s="1173"/>
      <c r="X69" s="1173"/>
      <c r="Y69" s="1173"/>
      <c r="Z69" s="1173"/>
      <c r="AA69" s="1173"/>
      <c r="AB69" s="1173"/>
      <c r="AC69" s="1173"/>
      <c r="AD69" s="1173"/>
      <c r="AE69" s="1173"/>
      <c r="AF69" s="1173"/>
    </row>
    <row r="70" spans="1:32" ht="51" customHeight="1" x14ac:dyDescent="0.25">
      <c r="A70" s="517" t="s">
        <v>1013</v>
      </c>
      <c r="B70" s="1173" t="s">
        <v>5168</v>
      </c>
      <c r="C70" s="1173"/>
      <c r="D70" s="1173"/>
      <c r="E70" s="1173"/>
      <c r="F70" s="1173"/>
      <c r="G70" s="1173"/>
      <c r="H70" s="1173"/>
      <c r="I70" s="1173"/>
      <c r="J70" s="1173"/>
      <c r="K70" s="1173"/>
      <c r="L70" s="1173"/>
      <c r="M70" s="1173"/>
      <c r="N70" s="1173"/>
      <c r="O70" s="1173"/>
      <c r="P70" s="1173"/>
      <c r="Q70" s="1173"/>
      <c r="R70" s="1173"/>
      <c r="S70" s="1173"/>
      <c r="T70" s="1173"/>
      <c r="U70" s="1173"/>
      <c r="V70" s="1173"/>
      <c r="W70" s="1173"/>
      <c r="X70" s="1173"/>
      <c r="Y70" s="1173"/>
      <c r="Z70" s="1173"/>
      <c r="AA70" s="1173"/>
      <c r="AB70" s="1173"/>
      <c r="AC70" s="1173"/>
      <c r="AD70" s="1173"/>
      <c r="AE70" s="1173"/>
      <c r="AF70" s="1173"/>
    </row>
  </sheetData>
  <sheetProtection algorithmName="SHA-512" hashValue="Eq24c9GLNfOxy3X3FEkQ2Xxl/2YZ0QnikKqnau+LSUPHUKqThGIeLPjrjY1pbL61FUn2kXHQZI+yr97GYpFcbw==" saltValue="3+g1PWghcBXH9os6nyNemg==" spinCount="100000" sheet="1" objects="1" scenarios="1"/>
  <mergeCells count="59">
    <mergeCell ref="B67:AF67"/>
    <mergeCell ref="B68:AF68"/>
    <mergeCell ref="B69:AF69"/>
    <mergeCell ref="B70:AF70"/>
    <mergeCell ref="R56:V56"/>
    <mergeCell ref="A59:H59"/>
    <mergeCell ref="I59:P59"/>
    <mergeCell ref="Q59:X59"/>
    <mergeCell ref="Y59:AF59"/>
    <mergeCell ref="A60:H60"/>
    <mergeCell ref="I60:P60"/>
    <mergeCell ref="Q60:X60"/>
    <mergeCell ref="Y60:AF60"/>
    <mergeCell ref="A63:AF63"/>
    <mergeCell ref="B64:AF64"/>
    <mergeCell ref="B65:AF65"/>
    <mergeCell ref="B66:AF66"/>
    <mergeCell ref="Q43:T43"/>
    <mergeCell ref="U43:V43"/>
    <mergeCell ref="W43:AF43"/>
    <mergeCell ref="A45:D45"/>
    <mergeCell ref="E45:P45"/>
    <mergeCell ref="Q45:T45"/>
    <mergeCell ref="A51:AF51"/>
    <mergeCell ref="U45:V45"/>
    <mergeCell ref="W45:AF45"/>
    <mergeCell ref="A46:D46"/>
    <mergeCell ref="E46:P46"/>
    <mergeCell ref="Q46:T46"/>
    <mergeCell ref="A48:AF48"/>
    <mergeCell ref="A49:AF49"/>
    <mergeCell ref="U46:V46"/>
    <mergeCell ref="A1:AF1"/>
    <mergeCell ref="A3:AF3"/>
    <mergeCell ref="A7:AF7"/>
    <mergeCell ref="B9:I9"/>
    <mergeCell ref="B10:AF10"/>
    <mergeCell ref="B12:I12"/>
    <mergeCell ref="B13:AF13"/>
    <mergeCell ref="B15:I15"/>
    <mergeCell ref="A44:D44"/>
    <mergeCell ref="E44:P44"/>
    <mergeCell ref="Q44:T44"/>
    <mergeCell ref="U44:V44"/>
    <mergeCell ref="W44:AF44"/>
    <mergeCell ref="B16:AF16"/>
    <mergeCell ref="B18:I18"/>
    <mergeCell ref="B19:AF19"/>
    <mergeCell ref="B22:AF22"/>
    <mergeCell ref="A25:AF25"/>
    <mergeCell ref="A42:AF42"/>
    <mergeCell ref="A43:D43"/>
    <mergeCell ref="E43:P43"/>
    <mergeCell ref="W46:AF46"/>
    <mergeCell ref="A47:D47"/>
    <mergeCell ref="E47:P47"/>
    <mergeCell ref="Q47:T47"/>
    <mergeCell ref="U47:V47"/>
    <mergeCell ref="W47:AF47"/>
  </mergeCells>
  <hyperlinks>
    <hyperlink ref="A2" location="TOC!A1" display="Return to TOC" xr:uid="{00000000-0004-0000-1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9"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theme="7" tint="0.79998168889431442"/>
    <pageSetUpPr autoPageBreaks="0"/>
  </sheetPr>
  <dimension ref="A1:AS69"/>
  <sheetViews>
    <sheetView workbookViewId="0">
      <selection activeCell="A2" sqref="A2"/>
    </sheetView>
  </sheetViews>
  <sheetFormatPr defaultColWidth="2.7109375" defaultRowHeight="15" x14ac:dyDescent="0.25"/>
  <cols>
    <col min="1" max="16384" width="2.7109375" style="1"/>
  </cols>
  <sheetData>
    <row r="1" spans="1:45" ht="18.75" x14ac:dyDescent="0.25">
      <c r="A1" s="1464" t="s">
        <v>1127</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45"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45" x14ac:dyDescent="0.25">
      <c r="A3" s="1472" t="s">
        <v>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row>
    <row r="4" spans="1:45"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45" x14ac:dyDescent="0.25">
      <c r="B5" s="1475" t="s">
        <v>10</v>
      </c>
      <c r="C5" s="1475"/>
      <c r="D5" s="1475"/>
      <c r="E5" s="1475"/>
      <c r="F5" s="1475"/>
      <c r="G5" s="1475"/>
      <c r="H5" s="1475"/>
      <c r="I5" s="1475"/>
    </row>
    <row r="6" spans="1:45" s="4" customFormat="1" ht="36" customHeight="1" x14ac:dyDescent="0.25">
      <c r="B6" s="1247" t="s">
        <v>108</v>
      </c>
      <c r="C6" s="1247"/>
      <c r="D6" s="1247"/>
      <c r="E6" s="1247"/>
      <c r="F6" s="1247"/>
      <c r="G6" s="1247"/>
      <c r="H6" s="1247"/>
      <c r="I6" s="1247"/>
      <c r="J6" s="1247"/>
      <c r="K6" s="1247"/>
      <c r="L6" s="1247"/>
      <c r="M6" s="1247"/>
      <c r="N6" s="1247"/>
      <c r="O6" s="1247"/>
      <c r="P6" s="1247"/>
      <c r="Q6" s="1247"/>
      <c r="R6" s="1247"/>
      <c r="S6" s="1247"/>
      <c r="T6" s="1247"/>
      <c r="U6" s="1247"/>
      <c r="V6" s="1247"/>
      <c r="W6" s="1247"/>
      <c r="X6" s="1247"/>
      <c r="Y6" s="1247"/>
      <c r="Z6" s="1247"/>
      <c r="AA6" s="1247"/>
      <c r="AB6" s="1247"/>
      <c r="AC6" s="1247"/>
      <c r="AD6" s="1247"/>
      <c r="AE6" s="1247"/>
      <c r="AF6" s="1247"/>
      <c r="AS6" s="12"/>
    </row>
    <row r="8" spans="1:45" x14ac:dyDescent="0.25">
      <c r="B8" s="1475" t="s">
        <v>11</v>
      </c>
      <c r="C8" s="1475"/>
      <c r="D8" s="1475"/>
      <c r="E8" s="1475"/>
      <c r="F8" s="1475"/>
      <c r="G8" s="1475"/>
      <c r="H8" s="1475"/>
      <c r="I8" s="1475"/>
    </row>
    <row r="9" spans="1:45" s="4" customFormat="1" ht="65.25" customHeight="1" x14ac:dyDescent="0.25">
      <c r="B9" s="1247" t="s">
        <v>107</v>
      </c>
      <c r="C9" s="1247"/>
      <c r="D9" s="1247"/>
      <c r="E9" s="1247"/>
      <c r="F9" s="1247"/>
      <c r="G9" s="1247"/>
      <c r="H9" s="1247"/>
      <c r="I9" s="1247"/>
      <c r="J9" s="1247"/>
      <c r="K9" s="1247"/>
      <c r="L9" s="1247"/>
      <c r="M9" s="1247"/>
      <c r="N9" s="1247"/>
      <c r="O9" s="1247"/>
      <c r="P9" s="1247"/>
      <c r="Q9" s="1247"/>
      <c r="R9" s="1247"/>
      <c r="S9" s="1247"/>
      <c r="T9" s="1247"/>
      <c r="U9" s="1247"/>
      <c r="V9" s="1247"/>
      <c r="W9" s="1247"/>
      <c r="X9" s="1247"/>
      <c r="Y9" s="1247"/>
      <c r="Z9" s="1247"/>
      <c r="AA9" s="1247"/>
      <c r="AB9" s="1247"/>
      <c r="AC9" s="1247"/>
      <c r="AD9" s="1247"/>
      <c r="AE9" s="1247"/>
      <c r="AF9" s="1247"/>
    </row>
    <row r="11" spans="1:45" x14ac:dyDescent="0.25">
      <c r="B11" s="1475" t="s">
        <v>12</v>
      </c>
      <c r="C11" s="1475"/>
      <c r="D11" s="1475"/>
      <c r="E11" s="1475"/>
      <c r="F11" s="1475"/>
      <c r="G11" s="1475"/>
      <c r="H11" s="1475"/>
      <c r="I11" s="1475"/>
    </row>
    <row r="12" spans="1:45" x14ac:dyDescent="0.25">
      <c r="B12" s="1473" t="s">
        <v>109</v>
      </c>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row>
    <row r="14" spans="1:45" x14ac:dyDescent="0.25">
      <c r="B14" s="1475" t="s">
        <v>13</v>
      </c>
      <c r="C14" s="1475"/>
      <c r="D14" s="1475"/>
      <c r="E14" s="1475"/>
      <c r="F14" s="1475"/>
      <c r="G14" s="1475"/>
      <c r="H14" s="1475"/>
      <c r="I14" s="1475"/>
    </row>
    <row r="15" spans="1:45" x14ac:dyDescent="0.25">
      <c r="B15" s="1473" t="s">
        <v>58</v>
      </c>
      <c r="C15" s="1473"/>
      <c r="D15" s="1473"/>
      <c r="E15" s="1473"/>
      <c r="F15" s="1473"/>
      <c r="G15" s="1473"/>
      <c r="H15" s="1473"/>
      <c r="I15" s="1473"/>
      <c r="J15" s="1473"/>
      <c r="K15" s="1473"/>
      <c r="L15" s="1473"/>
      <c r="M15" s="1473"/>
      <c r="N15" s="1473"/>
      <c r="O15" s="1473"/>
      <c r="P15" s="1473"/>
      <c r="Q15" s="1473"/>
      <c r="R15" s="1473"/>
      <c r="S15" s="1473"/>
      <c r="T15" s="1473"/>
      <c r="U15" s="1473"/>
      <c r="V15" s="1473"/>
      <c r="W15" s="1473"/>
      <c r="X15" s="1473"/>
      <c r="Y15" s="1473"/>
      <c r="Z15" s="1473"/>
      <c r="AA15" s="1473"/>
      <c r="AB15" s="1473"/>
      <c r="AC15" s="1473"/>
      <c r="AD15" s="1473"/>
      <c r="AE15" s="1473"/>
      <c r="AF15" s="1473"/>
    </row>
    <row r="17" spans="1:32" x14ac:dyDescent="0.25">
      <c r="B17" s="171" t="s">
        <v>20</v>
      </c>
      <c r="C17" s="171"/>
      <c r="D17" s="171"/>
      <c r="E17" s="171"/>
      <c r="F17" s="171"/>
      <c r="G17" s="171"/>
      <c r="H17" s="171"/>
      <c r="I17" s="171"/>
    </row>
    <row r="18" spans="1:32" ht="36" customHeight="1" x14ac:dyDescent="0.25">
      <c r="B18" s="1247" t="s">
        <v>1699</v>
      </c>
      <c r="C18" s="1247"/>
      <c r="D18" s="1247"/>
      <c r="E18" s="1247"/>
      <c r="F18" s="1247"/>
      <c r="G18" s="1247"/>
      <c r="H18" s="1247"/>
      <c r="I18" s="1247"/>
      <c r="J18" s="1247"/>
      <c r="K18" s="1247"/>
      <c r="L18" s="1247"/>
      <c r="M18" s="1247"/>
      <c r="N18" s="1247"/>
      <c r="O18" s="1247"/>
      <c r="P18" s="1247"/>
      <c r="Q18" s="1247"/>
      <c r="R18" s="1247"/>
      <c r="S18" s="1247"/>
      <c r="T18" s="1247"/>
      <c r="U18" s="1247"/>
      <c r="V18" s="1247"/>
      <c r="W18" s="1247"/>
      <c r="X18" s="1247"/>
      <c r="Y18" s="1247"/>
      <c r="Z18" s="1247"/>
      <c r="AA18" s="1247"/>
      <c r="AB18" s="1247"/>
      <c r="AC18" s="1247"/>
      <c r="AD18" s="1247"/>
      <c r="AE18" s="1247"/>
      <c r="AF18" s="1247"/>
    </row>
    <row r="20" spans="1:32" x14ac:dyDescent="0.25">
      <c r="B20" s="1506" t="s">
        <v>59</v>
      </c>
      <c r="C20" s="1506"/>
      <c r="D20" s="1506"/>
      <c r="E20" s="1506"/>
      <c r="F20" s="1506"/>
      <c r="G20" s="1506"/>
      <c r="H20" s="1506"/>
      <c r="I20" s="1506"/>
      <c r="J20" s="1506"/>
      <c r="K20" s="1506"/>
      <c r="L20" s="1506"/>
      <c r="M20" s="1506"/>
      <c r="N20" s="1506"/>
      <c r="O20" s="1303" t="s">
        <v>60</v>
      </c>
      <c r="P20" s="1303"/>
      <c r="Q20" s="1303"/>
      <c r="R20" s="1303"/>
      <c r="S20" s="1303"/>
      <c r="T20" s="1303"/>
      <c r="U20" s="1303"/>
    </row>
    <row r="21" spans="1:32" x14ac:dyDescent="0.25">
      <c r="B21" s="1754" t="s">
        <v>61</v>
      </c>
      <c r="C21" s="1754"/>
      <c r="D21" s="1754"/>
      <c r="E21" s="1754"/>
      <c r="F21" s="1754"/>
      <c r="G21" s="1754"/>
      <c r="H21" s="1754"/>
      <c r="I21" s="1754"/>
      <c r="J21" s="1754"/>
      <c r="K21" s="1754"/>
      <c r="L21" s="1754"/>
      <c r="M21" s="1754"/>
      <c r="N21" s="1754"/>
      <c r="O21" s="1243" t="s">
        <v>63</v>
      </c>
      <c r="P21" s="1243"/>
      <c r="Q21" s="1243"/>
      <c r="R21" s="1243"/>
      <c r="S21" s="1243"/>
      <c r="T21" s="1243"/>
      <c r="U21" s="1243"/>
    </row>
    <row r="22" spans="1:32" ht="17.25" x14ac:dyDescent="0.25">
      <c r="B22" s="1754" t="s">
        <v>62</v>
      </c>
      <c r="C22" s="1754"/>
      <c r="D22" s="1754"/>
      <c r="E22" s="1754"/>
      <c r="F22" s="1754"/>
      <c r="G22" s="1754"/>
      <c r="H22" s="1754"/>
      <c r="I22" s="1754"/>
      <c r="J22" s="1754"/>
      <c r="K22" s="1754"/>
      <c r="L22" s="1754"/>
      <c r="M22" s="1754"/>
      <c r="N22" s="1754"/>
      <c r="O22" s="1243" t="s">
        <v>1003</v>
      </c>
      <c r="P22" s="1243"/>
      <c r="Q22" s="1243"/>
      <c r="R22" s="1243"/>
      <c r="S22" s="1243"/>
      <c r="T22" s="1243"/>
      <c r="U22" s="1243"/>
    </row>
    <row r="25" spans="1:32" x14ac:dyDescent="0.25">
      <c r="A25" s="1472" t="s">
        <v>14</v>
      </c>
      <c r="B25" s="1472"/>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row>
    <row r="27" spans="1:32" ht="18" x14ac:dyDescent="0.25">
      <c r="A27" s="1752" t="s">
        <v>1507</v>
      </c>
      <c r="B27" s="1586"/>
      <c r="C27" s="1586"/>
      <c r="D27" s="1586"/>
      <c r="E27" s="1586"/>
      <c r="F27" s="1586"/>
      <c r="G27" s="1586"/>
      <c r="H27" s="1587" t="s">
        <v>1499</v>
      </c>
      <c r="I27" s="1753"/>
      <c r="J27" s="1753"/>
      <c r="K27" s="1753"/>
      <c r="L27" s="1753"/>
      <c r="M27" s="1753"/>
      <c r="N27" s="1753"/>
      <c r="O27" s="1753"/>
      <c r="P27" s="1753"/>
      <c r="Q27" s="1753"/>
      <c r="R27" s="1753"/>
      <c r="S27" s="1753"/>
      <c r="T27" s="1753"/>
      <c r="U27" s="1753"/>
      <c r="V27" s="1753"/>
      <c r="W27" s="1753"/>
      <c r="X27" s="1753"/>
      <c r="Y27" s="1753"/>
      <c r="Z27" s="1753"/>
      <c r="AA27" s="1753"/>
      <c r="AB27" s="1753"/>
      <c r="AC27" s="1753"/>
      <c r="AD27" s="1753"/>
      <c r="AE27" s="1753"/>
      <c r="AF27" s="1753"/>
    </row>
    <row r="28" spans="1:32" ht="18" x14ac:dyDescent="0.25">
      <c r="A28" s="1752" t="s">
        <v>1508</v>
      </c>
      <c r="B28" s="1586"/>
      <c r="C28" s="1586"/>
      <c r="D28" s="1586"/>
      <c r="E28" s="1586"/>
      <c r="F28" s="1586"/>
      <c r="G28" s="1586"/>
      <c r="H28" s="1587" t="s">
        <v>1502</v>
      </c>
      <c r="I28" s="1753"/>
      <c r="J28" s="1753"/>
      <c r="K28" s="1753"/>
      <c r="L28" s="1753"/>
      <c r="M28" s="1753"/>
      <c r="N28" s="1753"/>
      <c r="O28" s="1753"/>
      <c r="P28" s="1753"/>
      <c r="Q28" s="1753"/>
      <c r="R28" s="1753"/>
      <c r="S28" s="1753"/>
      <c r="T28" s="1753"/>
      <c r="U28" s="1753"/>
      <c r="V28" s="1753"/>
      <c r="W28" s="1753"/>
      <c r="X28" s="1753"/>
      <c r="Y28" s="1753"/>
      <c r="Z28" s="1753"/>
      <c r="AA28" s="1753"/>
      <c r="AB28" s="1753"/>
      <c r="AC28" s="1753"/>
      <c r="AD28" s="1753"/>
      <c r="AE28" s="1753"/>
      <c r="AF28" s="1753"/>
    </row>
    <row r="29" spans="1:32" ht="18" x14ac:dyDescent="0.25">
      <c r="A29" s="1752" t="s">
        <v>1509</v>
      </c>
      <c r="B29" s="1586"/>
      <c r="C29" s="1586"/>
      <c r="D29" s="1586"/>
      <c r="E29" s="1586"/>
      <c r="F29" s="1586"/>
      <c r="G29" s="1586"/>
      <c r="H29" s="1587" t="s">
        <v>1503</v>
      </c>
      <c r="I29" s="1753"/>
      <c r="J29" s="1753"/>
      <c r="K29" s="1753"/>
      <c r="L29" s="1753"/>
      <c r="M29" s="1753"/>
      <c r="N29" s="1753"/>
      <c r="O29" s="1753"/>
      <c r="P29" s="1753"/>
      <c r="Q29" s="1753"/>
      <c r="R29" s="1753"/>
      <c r="S29" s="1753"/>
      <c r="T29" s="1753"/>
      <c r="U29" s="1753"/>
      <c r="V29" s="1753"/>
      <c r="W29" s="1753"/>
      <c r="X29" s="1753"/>
      <c r="Y29" s="1753"/>
      <c r="Z29" s="1753"/>
      <c r="AA29" s="1753"/>
      <c r="AB29" s="1753"/>
      <c r="AC29" s="1753"/>
      <c r="AD29" s="1753"/>
      <c r="AE29" s="1753"/>
      <c r="AF29" s="1753"/>
    </row>
    <row r="30" spans="1:32" ht="18" x14ac:dyDescent="0.25">
      <c r="A30" s="1752" t="s">
        <v>1510</v>
      </c>
      <c r="B30" s="1586"/>
      <c r="C30" s="1586"/>
      <c r="D30" s="1586"/>
      <c r="E30" s="1586"/>
      <c r="F30" s="1586"/>
      <c r="G30" s="1586"/>
      <c r="H30" s="1587" t="s">
        <v>1505</v>
      </c>
      <c r="I30" s="1753"/>
      <c r="J30" s="1753"/>
      <c r="K30" s="1753"/>
      <c r="L30" s="1753"/>
      <c r="M30" s="1753"/>
      <c r="N30" s="1753"/>
      <c r="O30" s="1753"/>
      <c r="P30" s="1753"/>
      <c r="Q30" s="1753"/>
      <c r="R30" s="1753"/>
      <c r="S30" s="1753"/>
      <c r="T30" s="1753"/>
      <c r="U30" s="1753"/>
      <c r="V30" s="1753"/>
      <c r="W30" s="1753"/>
      <c r="X30" s="1753"/>
      <c r="Y30" s="1753"/>
      <c r="Z30" s="1753"/>
      <c r="AA30" s="1753"/>
      <c r="AB30" s="1753"/>
      <c r="AC30" s="1753"/>
      <c r="AD30" s="1753"/>
      <c r="AE30" s="1753"/>
      <c r="AF30" s="1753"/>
    </row>
    <row r="31" spans="1:32" ht="18" x14ac:dyDescent="0.25">
      <c r="A31" s="1752" t="s">
        <v>1511</v>
      </c>
      <c r="B31" s="1586"/>
      <c r="C31" s="1586"/>
      <c r="D31" s="1586"/>
      <c r="E31" s="1586"/>
      <c r="F31" s="1586"/>
      <c r="G31" s="1586"/>
      <c r="H31" s="1587" t="s">
        <v>1504</v>
      </c>
      <c r="I31" s="1753"/>
      <c r="J31" s="1753"/>
      <c r="K31" s="1753"/>
      <c r="L31" s="1753"/>
      <c r="M31" s="1753"/>
      <c r="N31" s="1753"/>
      <c r="O31" s="1753"/>
      <c r="P31" s="1753"/>
      <c r="Q31" s="1753"/>
      <c r="R31" s="1753"/>
      <c r="S31" s="1753"/>
      <c r="T31" s="1753"/>
      <c r="U31" s="1753"/>
      <c r="V31" s="1753"/>
      <c r="W31" s="1753"/>
      <c r="X31" s="1753"/>
      <c r="Y31" s="1753"/>
      <c r="Z31" s="1753"/>
      <c r="AA31" s="1753"/>
      <c r="AB31" s="1753"/>
      <c r="AC31" s="1753"/>
      <c r="AD31" s="1753"/>
      <c r="AE31" s="1753"/>
      <c r="AF31" s="1753"/>
    </row>
    <row r="34" spans="1:32" x14ac:dyDescent="0.25">
      <c r="A34" s="1472" t="s">
        <v>15</v>
      </c>
      <c r="B34" s="1472"/>
      <c r="C34" s="1472"/>
      <c r="D34" s="1472"/>
      <c r="E34" s="1472"/>
      <c r="F34" s="1472"/>
      <c r="G34" s="1472"/>
      <c r="H34" s="1472"/>
      <c r="I34" s="1472"/>
      <c r="J34" s="1472"/>
      <c r="K34" s="1472"/>
      <c r="L34" s="1472"/>
      <c r="M34" s="1472"/>
      <c r="N34" s="1472"/>
      <c r="O34" s="1472"/>
      <c r="P34" s="1472"/>
      <c r="Q34" s="1472"/>
      <c r="R34" s="1472"/>
      <c r="S34" s="1472"/>
      <c r="T34" s="1472"/>
      <c r="U34" s="1472"/>
      <c r="V34" s="1472"/>
      <c r="W34" s="1472"/>
      <c r="X34" s="1472"/>
      <c r="Y34" s="1472"/>
      <c r="Z34" s="1472"/>
      <c r="AA34" s="1472"/>
      <c r="AB34" s="1472"/>
      <c r="AC34" s="1472"/>
      <c r="AD34" s="1472"/>
      <c r="AE34" s="1472"/>
      <c r="AF34" s="1472"/>
    </row>
    <row r="35" spans="1:32" x14ac:dyDescent="0.25">
      <c r="A35" s="1474" t="s">
        <v>16</v>
      </c>
      <c r="B35" s="1474"/>
      <c r="C35" s="1474"/>
      <c r="D35" s="1474"/>
      <c r="E35" s="1474" t="s">
        <v>10</v>
      </c>
      <c r="F35" s="1474"/>
      <c r="G35" s="1474"/>
      <c r="H35" s="1474"/>
      <c r="I35" s="1474"/>
      <c r="J35" s="1474"/>
      <c r="K35" s="1474"/>
      <c r="L35" s="1474"/>
      <c r="M35" s="1474"/>
      <c r="N35" s="1474"/>
      <c r="O35" s="1474"/>
      <c r="P35" s="1474"/>
      <c r="Q35" s="1474" t="s">
        <v>17</v>
      </c>
      <c r="R35" s="1474"/>
      <c r="S35" s="1474"/>
      <c r="T35" s="1474"/>
      <c r="U35" s="1590" t="s">
        <v>18</v>
      </c>
      <c r="V35" s="1591"/>
      <c r="W35" s="1751"/>
      <c r="X35" s="1590" t="s">
        <v>19</v>
      </c>
      <c r="Y35" s="1591"/>
      <c r="Z35" s="1591"/>
      <c r="AA35" s="1591"/>
      <c r="AB35" s="1591"/>
      <c r="AC35" s="1591"/>
      <c r="AD35" s="1591"/>
      <c r="AE35" s="1591"/>
      <c r="AF35" s="1751"/>
    </row>
    <row r="36" spans="1:32" x14ac:dyDescent="0.25">
      <c r="A36" s="1485" t="s">
        <v>1692</v>
      </c>
      <c r="B36" s="1486"/>
      <c r="C36" s="1486"/>
      <c r="D36" s="1487"/>
      <c r="E36" s="1485" t="s">
        <v>68</v>
      </c>
      <c r="F36" s="1486"/>
      <c r="G36" s="1486"/>
      <c r="H36" s="1486"/>
      <c r="I36" s="1486"/>
      <c r="J36" s="1486"/>
      <c r="K36" s="1486"/>
      <c r="L36" s="1486"/>
      <c r="M36" s="1486"/>
      <c r="N36" s="1486"/>
      <c r="O36" s="1486"/>
      <c r="P36" s="1487"/>
      <c r="Q36" s="1574">
        <v>12</v>
      </c>
      <c r="R36" s="1575"/>
      <c r="S36" s="1575"/>
      <c r="T36" s="1576"/>
      <c r="U36" s="1574" t="s">
        <v>45</v>
      </c>
      <c r="V36" s="1575"/>
      <c r="W36" s="1576"/>
      <c r="X36" s="1574" t="s">
        <v>87</v>
      </c>
      <c r="Y36" s="1575"/>
      <c r="Z36" s="1575"/>
      <c r="AA36" s="1575"/>
      <c r="AB36" s="1575"/>
      <c r="AC36" s="1575"/>
      <c r="AD36" s="1575"/>
      <c r="AE36" s="1575"/>
      <c r="AF36" s="1576"/>
    </row>
    <row r="37" spans="1:32" x14ac:dyDescent="0.25">
      <c r="A37" s="1485" t="s">
        <v>1693</v>
      </c>
      <c r="B37" s="1486"/>
      <c r="C37" s="1486"/>
      <c r="D37" s="1487"/>
      <c r="E37" s="1485" t="s">
        <v>66</v>
      </c>
      <c r="F37" s="1486"/>
      <c r="G37" s="1486"/>
      <c r="H37" s="1486"/>
      <c r="I37" s="1486"/>
      <c r="J37" s="1486"/>
      <c r="K37" s="1486"/>
      <c r="L37" s="1486"/>
      <c r="M37" s="1486"/>
      <c r="N37" s="1486"/>
      <c r="O37" s="1486"/>
      <c r="P37" s="1487"/>
      <c r="Q37" s="1574">
        <v>15</v>
      </c>
      <c r="R37" s="1575"/>
      <c r="S37" s="1575"/>
      <c r="T37" s="1576"/>
      <c r="U37" s="1574" t="s">
        <v>67</v>
      </c>
      <c r="V37" s="1575"/>
      <c r="W37" s="1576"/>
      <c r="X37" s="1574" t="s">
        <v>87</v>
      </c>
      <c r="Y37" s="1575"/>
      <c r="Z37" s="1575"/>
      <c r="AA37" s="1575"/>
      <c r="AB37" s="1575"/>
      <c r="AC37" s="1575"/>
      <c r="AD37" s="1575"/>
      <c r="AE37" s="1575"/>
      <c r="AF37" s="1576"/>
    </row>
    <row r="38" spans="1:32" x14ac:dyDescent="0.25">
      <c r="A38" s="1485" t="s">
        <v>1694</v>
      </c>
      <c r="B38" s="1486"/>
      <c r="C38" s="1486"/>
      <c r="D38" s="1487"/>
      <c r="E38" s="1485" t="s">
        <v>70</v>
      </c>
      <c r="F38" s="1486"/>
      <c r="G38" s="1486"/>
      <c r="H38" s="1486"/>
      <c r="I38" s="1486"/>
      <c r="J38" s="1486"/>
      <c r="K38" s="1486"/>
      <c r="L38" s="1486"/>
      <c r="M38" s="1486"/>
      <c r="N38" s="1486"/>
      <c r="O38" s="1486"/>
      <c r="P38" s="1487"/>
      <c r="Q38" s="1574">
        <v>0.13900000000000001</v>
      </c>
      <c r="R38" s="1575"/>
      <c r="S38" s="1575"/>
      <c r="T38" s="1576"/>
      <c r="U38" s="1574" t="s">
        <v>71</v>
      </c>
      <c r="V38" s="1575"/>
      <c r="W38" s="1576"/>
      <c r="X38" s="1574" t="s">
        <v>87</v>
      </c>
      <c r="Y38" s="1575"/>
      <c r="Z38" s="1575"/>
      <c r="AA38" s="1575"/>
      <c r="AB38" s="1575"/>
      <c r="AC38" s="1575"/>
      <c r="AD38" s="1575"/>
      <c r="AE38" s="1575"/>
      <c r="AF38" s="1576"/>
    </row>
    <row r="39" spans="1:32" x14ac:dyDescent="0.25">
      <c r="A39" s="1485" t="s">
        <v>72</v>
      </c>
      <c r="B39" s="1486"/>
      <c r="C39" s="1486"/>
      <c r="D39" s="1487"/>
      <c r="E39" s="1485" t="s">
        <v>73</v>
      </c>
      <c r="F39" s="1486"/>
      <c r="G39" s="1486"/>
      <c r="H39" s="1486"/>
      <c r="I39" s="1486"/>
      <c r="J39" s="1486"/>
      <c r="K39" s="1486"/>
      <c r="L39" s="1486"/>
      <c r="M39" s="1486"/>
      <c r="N39" s="1486"/>
      <c r="O39" s="1486"/>
      <c r="P39" s="1487"/>
      <c r="Q39" s="1574">
        <v>365</v>
      </c>
      <c r="R39" s="1575"/>
      <c r="S39" s="1575"/>
      <c r="T39" s="1576"/>
      <c r="U39" s="1574" t="s">
        <v>74</v>
      </c>
      <c r="V39" s="1575"/>
      <c r="W39" s="1576"/>
      <c r="X39" s="1574" t="s">
        <v>87</v>
      </c>
      <c r="Y39" s="1575"/>
      <c r="Z39" s="1575"/>
      <c r="AA39" s="1575"/>
      <c r="AB39" s="1575"/>
      <c r="AC39" s="1575"/>
      <c r="AD39" s="1575"/>
      <c r="AE39" s="1575"/>
      <c r="AF39" s="1576"/>
    </row>
    <row r="40" spans="1:32" x14ac:dyDescent="0.25">
      <c r="A40" s="1577" t="s">
        <v>1695</v>
      </c>
      <c r="B40" s="1486"/>
      <c r="C40" s="1486"/>
      <c r="D40" s="1487"/>
      <c r="E40" s="1485" t="s">
        <v>76</v>
      </c>
      <c r="F40" s="1486"/>
      <c r="G40" s="1486"/>
      <c r="H40" s="1486"/>
      <c r="I40" s="1486"/>
      <c r="J40" s="1486"/>
      <c r="K40" s="1486"/>
      <c r="L40" s="1486"/>
      <c r="M40" s="1486"/>
      <c r="N40" s="1486"/>
      <c r="O40" s="1486"/>
      <c r="P40" s="1487"/>
      <c r="Q40" s="1574" t="s">
        <v>31</v>
      </c>
      <c r="R40" s="1575"/>
      <c r="S40" s="1575"/>
      <c r="T40" s="1576"/>
      <c r="U40" s="1574" t="s">
        <v>30</v>
      </c>
      <c r="V40" s="1575"/>
      <c r="W40" s="1576"/>
      <c r="X40" s="1574" t="s">
        <v>88</v>
      </c>
      <c r="Y40" s="1575"/>
      <c r="Z40" s="1575"/>
      <c r="AA40" s="1575"/>
      <c r="AB40" s="1575"/>
      <c r="AC40" s="1575"/>
      <c r="AD40" s="1575"/>
      <c r="AE40" s="1575"/>
      <c r="AF40" s="1576"/>
    </row>
    <row r="41" spans="1:32" x14ac:dyDescent="0.25">
      <c r="A41" s="1485" t="s">
        <v>1696</v>
      </c>
      <c r="B41" s="1486"/>
      <c r="C41" s="1486"/>
      <c r="D41" s="1487"/>
      <c r="E41" s="1485" t="s">
        <v>77</v>
      </c>
      <c r="F41" s="1486"/>
      <c r="G41" s="1486"/>
      <c r="H41" s="1486"/>
      <c r="I41" s="1486"/>
      <c r="J41" s="1486"/>
      <c r="K41" s="1486"/>
      <c r="L41" s="1486"/>
      <c r="M41" s="1486"/>
      <c r="N41" s="1486"/>
      <c r="O41" s="1486"/>
      <c r="P41" s="1487"/>
      <c r="Q41" s="1574" t="s">
        <v>31</v>
      </c>
      <c r="R41" s="1575"/>
      <c r="S41" s="1575"/>
      <c r="T41" s="1576"/>
      <c r="U41" s="1574" t="s">
        <v>788</v>
      </c>
      <c r="V41" s="1575"/>
      <c r="W41" s="1576"/>
      <c r="X41" s="1574" t="s">
        <v>88</v>
      </c>
      <c r="Y41" s="1575"/>
      <c r="Z41" s="1575"/>
      <c r="AA41" s="1575"/>
      <c r="AB41" s="1575"/>
      <c r="AC41" s="1575"/>
      <c r="AD41" s="1575"/>
      <c r="AE41" s="1575"/>
      <c r="AF41" s="1576"/>
    </row>
    <row r="42" spans="1:32" x14ac:dyDescent="0.25">
      <c r="A42" s="1485" t="s">
        <v>78</v>
      </c>
      <c r="B42" s="1486"/>
      <c r="C42" s="1486"/>
      <c r="D42" s="1487"/>
      <c r="E42" s="1485" t="s">
        <v>79</v>
      </c>
      <c r="F42" s="1486"/>
      <c r="G42" s="1486"/>
      <c r="H42" s="1486"/>
      <c r="I42" s="1486"/>
      <c r="J42" s="1486"/>
      <c r="K42" s="1486"/>
      <c r="L42" s="1486"/>
      <c r="M42" s="1486"/>
      <c r="N42" s="1486"/>
      <c r="O42" s="1486"/>
      <c r="P42" s="1487"/>
      <c r="Q42" s="1574" t="s">
        <v>31</v>
      </c>
      <c r="R42" s="1575"/>
      <c r="S42" s="1575"/>
      <c r="T42" s="1576"/>
      <c r="U42" s="1574" t="s">
        <v>80</v>
      </c>
      <c r="V42" s="1575"/>
      <c r="W42" s="1576"/>
      <c r="X42" s="1574" t="s">
        <v>87</v>
      </c>
      <c r="Y42" s="1575"/>
      <c r="Z42" s="1575"/>
      <c r="AA42" s="1575"/>
      <c r="AB42" s="1575"/>
      <c r="AC42" s="1575"/>
      <c r="AD42" s="1575"/>
      <c r="AE42" s="1575"/>
      <c r="AF42" s="1576"/>
    </row>
    <row r="43" spans="1:32" x14ac:dyDescent="0.25">
      <c r="A43" s="1485" t="s">
        <v>1697</v>
      </c>
      <c r="B43" s="1486"/>
      <c r="C43" s="1486"/>
      <c r="D43" s="1487"/>
      <c r="E43" s="1485" t="s">
        <v>83</v>
      </c>
      <c r="F43" s="1486"/>
      <c r="G43" s="1486"/>
      <c r="H43" s="1486"/>
      <c r="I43" s="1486"/>
      <c r="J43" s="1486"/>
      <c r="K43" s="1486"/>
      <c r="L43" s="1486"/>
      <c r="M43" s="1486"/>
      <c r="N43" s="1486"/>
      <c r="O43" s="1486"/>
      <c r="P43" s="1487"/>
      <c r="Q43" s="1574" t="s">
        <v>31</v>
      </c>
      <c r="R43" s="1575"/>
      <c r="S43" s="1575"/>
      <c r="T43" s="1576"/>
      <c r="U43" s="1574" t="s">
        <v>874</v>
      </c>
      <c r="V43" s="1575"/>
      <c r="W43" s="1576"/>
      <c r="X43" s="1574" t="s">
        <v>87</v>
      </c>
      <c r="Y43" s="1575"/>
      <c r="Z43" s="1575"/>
      <c r="AA43" s="1575"/>
      <c r="AB43" s="1575"/>
      <c r="AC43" s="1575"/>
      <c r="AD43" s="1575"/>
      <c r="AE43" s="1575"/>
      <c r="AF43" s="1576"/>
    </row>
    <row r="44" spans="1:32" x14ac:dyDescent="0.25">
      <c r="A44" s="1485" t="s">
        <v>1698</v>
      </c>
      <c r="B44" s="1486"/>
      <c r="C44" s="1486"/>
      <c r="D44" s="1487"/>
      <c r="E44" s="1485" t="s">
        <v>85</v>
      </c>
      <c r="F44" s="1486"/>
      <c r="G44" s="1486"/>
      <c r="H44" s="1486"/>
      <c r="I44" s="1486"/>
      <c r="J44" s="1486"/>
      <c r="K44" s="1486"/>
      <c r="L44" s="1486"/>
      <c r="M44" s="1486"/>
      <c r="N44" s="1486"/>
      <c r="O44" s="1486"/>
      <c r="P44" s="1487"/>
      <c r="Q44" s="1574" t="s">
        <v>31</v>
      </c>
      <c r="R44" s="1575"/>
      <c r="S44" s="1575"/>
      <c r="T44" s="1576"/>
      <c r="U44" s="1574" t="s">
        <v>86</v>
      </c>
      <c r="V44" s="1575"/>
      <c r="W44" s="1576"/>
      <c r="X44" s="1574" t="s">
        <v>87</v>
      </c>
      <c r="Y44" s="1575"/>
      <c r="Z44" s="1575"/>
      <c r="AA44" s="1575"/>
      <c r="AB44" s="1575"/>
      <c r="AC44" s="1575"/>
      <c r="AD44" s="1575"/>
      <c r="AE44" s="1575"/>
      <c r="AF44" s="1576"/>
    </row>
    <row r="45" spans="1:32" x14ac:dyDescent="0.25">
      <c r="A45" s="1485" t="s">
        <v>29</v>
      </c>
      <c r="B45" s="1486"/>
      <c r="C45" s="1486"/>
      <c r="D45" s="1487"/>
      <c r="E45" s="1485" t="s">
        <v>104</v>
      </c>
      <c r="F45" s="1486"/>
      <c r="G45" s="1486"/>
      <c r="H45" s="1486"/>
      <c r="I45" s="1486"/>
      <c r="J45" s="1486"/>
      <c r="K45" s="1486"/>
      <c r="L45" s="1486"/>
      <c r="M45" s="1486"/>
      <c r="N45" s="1486"/>
      <c r="O45" s="1486"/>
      <c r="P45" s="1487"/>
      <c r="Q45" s="1574">
        <v>100</v>
      </c>
      <c r="R45" s="1575"/>
      <c r="S45" s="1575"/>
      <c r="T45" s="1576"/>
      <c r="U45" s="1574" t="s">
        <v>30</v>
      </c>
      <c r="V45" s="1575"/>
      <c r="W45" s="1576"/>
      <c r="X45" s="1574"/>
      <c r="Y45" s="1575"/>
      <c r="Z45" s="1575"/>
      <c r="AA45" s="1575"/>
      <c r="AB45" s="1575"/>
      <c r="AC45" s="1575"/>
      <c r="AD45" s="1575"/>
      <c r="AE45" s="1575"/>
      <c r="AF45" s="1576"/>
    </row>
    <row r="46" spans="1:32" x14ac:dyDescent="0.25">
      <c r="A46" s="1485" t="s">
        <v>42</v>
      </c>
      <c r="B46" s="1486"/>
      <c r="C46" s="1486"/>
      <c r="D46" s="1487"/>
      <c r="E46" s="1485" t="s">
        <v>105</v>
      </c>
      <c r="F46" s="1486"/>
      <c r="G46" s="1486"/>
      <c r="H46" s="1486"/>
      <c r="I46" s="1486"/>
      <c r="J46" s="1486"/>
      <c r="K46" s="1486"/>
      <c r="L46" s="1486"/>
      <c r="M46" s="1486"/>
      <c r="N46" s="1486"/>
      <c r="O46" s="1486"/>
      <c r="P46" s="1487"/>
      <c r="Q46" s="1574">
        <v>100</v>
      </c>
      <c r="R46" s="1575"/>
      <c r="S46" s="1575"/>
      <c r="T46" s="1576"/>
      <c r="U46" s="1574" t="s">
        <v>30</v>
      </c>
      <c r="V46" s="1575"/>
      <c r="W46" s="1576"/>
      <c r="X46" s="1574"/>
      <c r="Y46" s="1575"/>
      <c r="Z46" s="1575"/>
      <c r="AA46" s="1575"/>
      <c r="AB46" s="1575"/>
      <c r="AC46" s="1575"/>
      <c r="AD46" s="1575"/>
      <c r="AE46" s="1575"/>
      <c r="AF46" s="1576"/>
    </row>
    <row r="47" spans="1:32" x14ac:dyDescent="0.25">
      <c r="A47" s="1485" t="s">
        <v>34</v>
      </c>
      <c r="B47" s="1486"/>
      <c r="C47" s="1486"/>
      <c r="D47" s="1487"/>
      <c r="E47" s="1485" t="s">
        <v>35</v>
      </c>
      <c r="F47" s="1486"/>
      <c r="G47" s="1486"/>
      <c r="H47" s="1486"/>
      <c r="I47" s="1486"/>
      <c r="J47" s="1486"/>
      <c r="K47" s="1486"/>
      <c r="L47" s="1486"/>
      <c r="M47" s="1486"/>
      <c r="N47" s="1486"/>
      <c r="O47" s="1486"/>
      <c r="P47" s="1487"/>
      <c r="Q47" s="1574">
        <f>'Master EUL'!X121</f>
        <v>12</v>
      </c>
      <c r="R47" s="1575"/>
      <c r="S47" s="1575"/>
      <c r="T47" s="1576"/>
      <c r="U47" s="1574" t="s">
        <v>36</v>
      </c>
      <c r="V47" s="1575"/>
      <c r="W47" s="1576"/>
      <c r="X47" s="1574" t="s">
        <v>715</v>
      </c>
      <c r="Y47" s="1575"/>
      <c r="Z47" s="1575"/>
      <c r="AA47" s="1575"/>
      <c r="AB47" s="1575"/>
      <c r="AC47" s="1575"/>
      <c r="AD47" s="1575"/>
      <c r="AE47" s="1575"/>
      <c r="AF47" s="1576"/>
    </row>
    <row r="49" spans="1:32" s="2" customFormat="1" ht="50.25" customHeight="1" x14ac:dyDescent="0.25">
      <c r="A49" s="1142" t="s">
        <v>106</v>
      </c>
      <c r="B49" s="1142"/>
      <c r="C49" s="1142"/>
      <c r="D49" s="1142"/>
      <c r="E49" s="1142"/>
      <c r="F49" s="1142"/>
      <c r="G49" s="1142"/>
      <c r="H49" s="1142"/>
      <c r="I49" s="1142"/>
      <c r="J49" s="1142"/>
      <c r="K49" s="1142"/>
      <c r="L49" s="1142"/>
      <c r="M49" s="1142"/>
      <c r="N49" s="1142"/>
      <c r="O49" s="1142"/>
      <c r="P49" s="1142"/>
      <c r="Q49" s="1142"/>
      <c r="R49" s="1142"/>
      <c r="S49" s="1142"/>
      <c r="T49" s="1142"/>
      <c r="U49" s="1142"/>
      <c r="V49" s="1142"/>
      <c r="W49" s="1142"/>
      <c r="X49" s="1142"/>
      <c r="Y49" s="1142"/>
      <c r="Z49" s="1142"/>
      <c r="AA49" s="1142"/>
      <c r="AB49" s="1142"/>
      <c r="AC49" s="1142"/>
      <c r="AD49" s="1142"/>
      <c r="AE49" s="1142"/>
      <c r="AF49" s="1142"/>
    </row>
    <row r="50" spans="1:32" x14ac:dyDescent="0.25">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261"/>
      <c r="AE50" s="261"/>
      <c r="AF50" s="261"/>
    </row>
    <row r="51" spans="1:32" x14ac:dyDescent="0.25">
      <c r="A51" s="1303" t="s">
        <v>89</v>
      </c>
      <c r="B51" s="1303"/>
      <c r="C51" s="1303"/>
      <c r="D51" s="1303"/>
      <c r="E51" s="1303"/>
      <c r="F51" s="1303"/>
      <c r="G51" s="1303"/>
      <c r="H51" s="1303"/>
      <c r="I51" s="1303"/>
      <c r="J51" s="1303"/>
      <c r="K51" s="1303"/>
      <c r="L51" s="1303"/>
      <c r="M51" s="1303"/>
      <c r="N51" s="1303"/>
      <c r="O51" s="1303" t="s">
        <v>95</v>
      </c>
      <c r="P51" s="1303"/>
      <c r="Q51" s="1303"/>
      <c r="R51" s="1303"/>
      <c r="S51" s="1303"/>
      <c r="T51" s="1303"/>
      <c r="U51" s="1303"/>
      <c r="V51" s="1303"/>
      <c r="W51" s="1303"/>
      <c r="X51" s="1303" t="s">
        <v>96</v>
      </c>
      <c r="Y51" s="1303"/>
      <c r="Z51" s="1303"/>
      <c r="AA51" s="1303"/>
      <c r="AB51" s="1303"/>
      <c r="AC51" s="1303"/>
      <c r="AD51" s="1303"/>
      <c r="AE51" s="1303"/>
      <c r="AF51" s="1303"/>
    </row>
    <row r="52" spans="1:32" x14ac:dyDescent="0.25">
      <c r="A52" s="1243" t="s">
        <v>90</v>
      </c>
      <c r="B52" s="1243"/>
      <c r="C52" s="1243"/>
      <c r="D52" s="1243"/>
      <c r="E52" s="1243"/>
      <c r="F52" s="1243"/>
      <c r="G52" s="1243"/>
      <c r="H52" s="1243"/>
      <c r="I52" s="1243"/>
      <c r="J52" s="1243"/>
      <c r="K52" s="1243"/>
      <c r="L52" s="1243"/>
      <c r="M52" s="1243"/>
      <c r="N52" s="1243"/>
      <c r="O52" s="1749">
        <v>1.33</v>
      </c>
      <c r="P52" s="1749"/>
      <c r="Q52" s="1749"/>
      <c r="R52" s="1749"/>
      <c r="S52" s="1749"/>
      <c r="T52" s="1749"/>
      <c r="U52" s="1749"/>
      <c r="V52" s="1749"/>
      <c r="W52" s="1749"/>
      <c r="X52" s="1749">
        <v>0.67</v>
      </c>
      <c r="Y52" s="1749"/>
      <c r="Z52" s="1749"/>
      <c r="AA52" s="1749"/>
      <c r="AB52" s="1749"/>
      <c r="AC52" s="1749"/>
      <c r="AD52" s="1749"/>
      <c r="AE52" s="1749"/>
      <c r="AF52" s="1749"/>
    </row>
    <row r="53" spans="1:32" x14ac:dyDescent="0.25">
      <c r="A53" s="1243" t="s">
        <v>91</v>
      </c>
      <c r="B53" s="1243"/>
      <c r="C53" s="1243"/>
      <c r="D53" s="1243"/>
      <c r="E53" s="1243"/>
      <c r="F53" s="1243"/>
      <c r="G53" s="1243"/>
      <c r="H53" s="1243"/>
      <c r="I53" s="1243"/>
      <c r="J53" s="1243"/>
      <c r="K53" s="1243"/>
      <c r="L53" s="1243"/>
      <c r="M53" s="1243"/>
      <c r="N53" s="1243"/>
      <c r="O53" s="1749">
        <v>0.8</v>
      </c>
      <c r="P53" s="1749"/>
      <c r="Q53" s="1749"/>
      <c r="R53" s="1749"/>
      <c r="S53" s="1749"/>
      <c r="T53" s="1749"/>
      <c r="U53" s="1749"/>
      <c r="V53" s="1749"/>
      <c r="W53" s="1749"/>
      <c r="X53" s="1749">
        <v>0.64</v>
      </c>
      <c r="Y53" s="1749"/>
      <c r="Z53" s="1749"/>
      <c r="AA53" s="1749"/>
      <c r="AB53" s="1749"/>
      <c r="AC53" s="1749"/>
      <c r="AD53" s="1749"/>
      <c r="AE53" s="1749"/>
      <c r="AF53" s="1749"/>
    </row>
    <row r="54" spans="1:32" x14ac:dyDescent="0.25">
      <c r="A54" s="1243" t="s">
        <v>92</v>
      </c>
      <c r="B54" s="1243"/>
      <c r="C54" s="1243"/>
      <c r="D54" s="1243"/>
      <c r="E54" s="1243"/>
      <c r="F54" s="1243"/>
      <c r="G54" s="1243"/>
      <c r="H54" s="1243"/>
      <c r="I54" s="1243"/>
      <c r="J54" s="1243"/>
      <c r="K54" s="1243"/>
      <c r="L54" s="1243"/>
      <c r="M54" s="1243"/>
      <c r="N54" s="1243"/>
      <c r="O54" s="1750">
        <v>0.65</v>
      </c>
      <c r="P54" s="1750"/>
      <c r="Q54" s="1750"/>
      <c r="R54" s="1750"/>
      <c r="S54" s="1750"/>
      <c r="T54" s="1750"/>
      <c r="U54" s="1750"/>
      <c r="V54" s="1750"/>
      <c r="W54" s="1750"/>
      <c r="X54" s="1750">
        <v>0.7</v>
      </c>
      <c r="Y54" s="1750"/>
      <c r="Z54" s="1750"/>
      <c r="AA54" s="1750"/>
      <c r="AB54" s="1750"/>
      <c r="AC54" s="1750"/>
      <c r="AD54" s="1750"/>
      <c r="AE54" s="1750"/>
      <c r="AF54" s="1750"/>
    </row>
    <row r="55" spans="1:32" x14ac:dyDescent="0.25">
      <c r="A55" s="1243" t="s">
        <v>93</v>
      </c>
      <c r="B55" s="1243"/>
      <c r="C55" s="1243"/>
      <c r="D55" s="1243"/>
      <c r="E55" s="1243"/>
      <c r="F55" s="1243"/>
      <c r="G55" s="1243"/>
      <c r="H55" s="1243"/>
      <c r="I55" s="1243"/>
      <c r="J55" s="1243"/>
      <c r="K55" s="1243"/>
      <c r="L55" s="1243"/>
      <c r="M55" s="1243"/>
      <c r="N55" s="1243"/>
      <c r="O55" s="1749">
        <v>11.7</v>
      </c>
      <c r="P55" s="1749"/>
      <c r="Q55" s="1749"/>
      <c r="R55" s="1749"/>
      <c r="S55" s="1749"/>
      <c r="T55" s="1749"/>
      <c r="U55" s="1749"/>
      <c r="V55" s="1749"/>
      <c r="W55" s="1749"/>
      <c r="X55" s="1749">
        <v>16.329999999999998</v>
      </c>
      <c r="Y55" s="1749"/>
      <c r="Z55" s="1749"/>
      <c r="AA55" s="1749"/>
      <c r="AB55" s="1749"/>
      <c r="AC55" s="1749"/>
      <c r="AD55" s="1749"/>
      <c r="AE55" s="1749"/>
      <c r="AF55" s="1749"/>
    </row>
    <row r="56" spans="1:32" x14ac:dyDescent="0.25">
      <c r="A56" s="1243" t="s">
        <v>94</v>
      </c>
      <c r="B56" s="1243"/>
      <c r="C56" s="1243"/>
      <c r="D56" s="1243"/>
      <c r="E56" s="1243"/>
      <c r="F56" s="1243"/>
      <c r="G56" s="1243"/>
      <c r="H56" s="1243"/>
      <c r="I56" s="1243"/>
      <c r="J56" s="1243"/>
      <c r="K56" s="1243"/>
      <c r="L56" s="1243"/>
      <c r="M56" s="1243"/>
      <c r="N56" s="1243"/>
      <c r="O56" s="1749">
        <v>33.33</v>
      </c>
      <c r="P56" s="1749"/>
      <c r="Q56" s="1749"/>
      <c r="R56" s="1749"/>
      <c r="S56" s="1749"/>
      <c r="T56" s="1749"/>
      <c r="U56" s="1749"/>
      <c r="V56" s="1749"/>
      <c r="W56" s="1749"/>
      <c r="X56" s="1749">
        <v>33.33</v>
      </c>
      <c r="Y56" s="1749"/>
      <c r="Z56" s="1749"/>
      <c r="AA56" s="1749"/>
      <c r="AB56" s="1749"/>
      <c r="AC56" s="1749"/>
      <c r="AD56" s="1749"/>
      <c r="AE56" s="1749"/>
      <c r="AF56" s="1749"/>
    </row>
    <row r="59" spans="1:32" x14ac:dyDescent="0.25">
      <c r="A59" s="1472" t="s">
        <v>21</v>
      </c>
      <c r="B59" s="1472"/>
      <c r="C59" s="1472"/>
      <c r="D59" s="1472"/>
      <c r="E59" s="1472"/>
      <c r="F59" s="1472"/>
      <c r="G59" s="1472"/>
      <c r="H59" s="1472"/>
      <c r="I59" s="1472"/>
      <c r="J59" s="1472"/>
      <c r="K59" s="1472"/>
      <c r="L59" s="1472"/>
      <c r="M59" s="1472"/>
      <c r="N59" s="1472"/>
      <c r="O59" s="1472"/>
      <c r="P59" s="1472"/>
      <c r="Q59" s="1472"/>
      <c r="R59" s="1472"/>
      <c r="S59" s="1472"/>
      <c r="T59" s="1472"/>
      <c r="U59" s="1472"/>
      <c r="V59" s="1472"/>
      <c r="W59" s="1472"/>
      <c r="X59" s="1472"/>
      <c r="Y59" s="1472"/>
      <c r="Z59" s="1472"/>
      <c r="AA59" s="1472"/>
      <c r="AB59" s="1472"/>
      <c r="AC59" s="1472"/>
      <c r="AD59" s="1472"/>
      <c r="AE59" s="1472"/>
      <c r="AF59" s="1472"/>
    </row>
    <row r="61" spans="1:32" x14ac:dyDescent="0.25">
      <c r="A61" s="1303" t="s">
        <v>97</v>
      </c>
      <c r="B61" s="1303"/>
      <c r="C61" s="1303"/>
      <c r="D61" s="1303"/>
      <c r="E61" s="1303"/>
      <c r="F61" s="1303"/>
      <c r="G61" s="1303"/>
      <c r="H61" s="1303"/>
      <c r="I61" s="1303"/>
      <c r="J61" s="1303"/>
      <c r="K61" s="1303"/>
      <c r="L61" s="1303"/>
      <c r="M61" s="10"/>
      <c r="N61" s="10"/>
      <c r="O61" s="10"/>
      <c r="P61" s="10"/>
      <c r="Q61" s="1303" t="s">
        <v>102</v>
      </c>
      <c r="R61" s="1303"/>
      <c r="S61" s="1303"/>
      <c r="T61" s="1303"/>
      <c r="U61" s="1303"/>
      <c r="V61" s="1303"/>
      <c r="W61" s="1303"/>
      <c r="X61" s="1303"/>
      <c r="Y61" s="1303"/>
      <c r="Z61" s="1303"/>
      <c r="AA61" s="1303"/>
      <c r="AB61" s="1303"/>
    </row>
    <row r="62" spans="1:32" x14ac:dyDescent="0.25">
      <c r="A62" s="1276" t="s">
        <v>98</v>
      </c>
      <c r="B62" s="1276"/>
      <c r="C62" s="1276"/>
      <c r="D62" s="1276"/>
      <c r="E62" s="1276"/>
      <c r="F62" s="1276"/>
      <c r="G62" s="1276"/>
      <c r="H62" s="1276"/>
      <c r="I62" s="1747">
        <f>Q39*(Q38*O56)/O54</f>
        <v>2601.5346923076927</v>
      </c>
      <c r="J62" s="1747"/>
      <c r="K62" s="1747"/>
      <c r="L62" s="1747"/>
      <c r="Q62" s="1276" t="s">
        <v>98</v>
      </c>
      <c r="R62" s="1276"/>
      <c r="S62" s="1276"/>
      <c r="T62" s="1276"/>
      <c r="U62" s="1276"/>
      <c r="V62" s="1276"/>
      <c r="W62" s="1276"/>
      <c r="X62" s="1276"/>
      <c r="Y62" s="1747">
        <f>Q39*(Q38*X56)/X54</f>
        <v>2415.7107857142864</v>
      </c>
      <c r="Z62" s="1747"/>
      <c r="AA62" s="1747"/>
      <c r="AB62" s="1747"/>
    </row>
    <row r="63" spans="1:32" x14ac:dyDescent="0.25">
      <c r="A63" s="1276" t="s">
        <v>99</v>
      </c>
      <c r="B63" s="1276"/>
      <c r="C63" s="1276"/>
      <c r="D63" s="1276"/>
      <c r="E63" s="1276"/>
      <c r="F63" s="1276"/>
      <c r="G63" s="1276"/>
      <c r="H63" s="1276"/>
      <c r="I63" s="1747">
        <f>Q39*O53*(Q36-(Q37/60)-(O56/O55))</f>
        <v>2599.1743589743587</v>
      </c>
      <c r="J63" s="1747"/>
      <c r="K63" s="1747"/>
      <c r="L63" s="1747"/>
      <c r="Q63" s="1276" t="s">
        <v>99</v>
      </c>
      <c r="R63" s="1276"/>
      <c r="S63" s="1276"/>
      <c r="T63" s="1276"/>
      <c r="U63" s="1276"/>
      <c r="V63" s="1276"/>
      <c r="W63" s="1276"/>
      <c r="X63" s="1276"/>
      <c r="Y63" s="1747">
        <f>Q39*X53*(Q36-(Q37/60)-(X56/X55))</f>
        <v>2268.0156766687078</v>
      </c>
      <c r="Z63" s="1747"/>
      <c r="AA63" s="1747"/>
      <c r="AB63" s="1747"/>
    </row>
    <row r="64" spans="1:32" x14ac:dyDescent="0.25">
      <c r="A64" s="1276" t="s">
        <v>100</v>
      </c>
      <c r="B64" s="1276"/>
      <c r="C64" s="1276"/>
      <c r="D64" s="1276"/>
      <c r="E64" s="1276"/>
      <c r="F64" s="1276"/>
      <c r="G64" s="1276"/>
      <c r="H64" s="1276"/>
      <c r="I64" s="1747">
        <f>O52*Q39</f>
        <v>485.45000000000005</v>
      </c>
      <c r="J64" s="1747"/>
      <c r="K64" s="1747"/>
      <c r="L64" s="1747"/>
      <c r="Q64" s="1276" t="s">
        <v>100</v>
      </c>
      <c r="R64" s="1276"/>
      <c r="S64" s="1276"/>
      <c r="T64" s="1276"/>
      <c r="U64" s="1276"/>
      <c r="V64" s="1276"/>
      <c r="W64" s="1276"/>
      <c r="X64" s="1276"/>
      <c r="Y64" s="1747">
        <f>X52*Q39</f>
        <v>244.55</v>
      </c>
      <c r="Z64" s="1747"/>
      <c r="AA64" s="1747"/>
      <c r="AB64" s="1747"/>
    </row>
    <row r="65" spans="1:34" x14ac:dyDescent="0.25">
      <c r="A65" s="1276" t="s">
        <v>873</v>
      </c>
      <c r="B65" s="1276"/>
      <c r="C65" s="1276"/>
      <c r="D65" s="1276"/>
      <c r="E65" s="1276"/>
      <c r="F65" s="1276"/>
      <c r="G65" s="1276"/>
      <c r="H65" s="1276"/>
      <c r="I65" s="1747">
        <f>SUM(I62:L64)</f>
        <v>5686.1590512820512</v>
      </c>
      <c r="J65" s="1747"/>
      <c r="K65" s="1747"/>
      <c r="L65" s="1747"/>
      <c r="Q65" s="1276" t="s">
        <v>873</v>
      </c>
      <c r="R65" s="1276"/>
      <c r="S65" s="1276"/>
      <c r="T65" s="1276"/>
      <c r="U65" s="1276"/>
      <c r="V65" s="1276"/>
      <c r="W65" s="1276"/>
      <c r="X65" s="1276"/>
      <c r="Y65" s="1747">
        <f>SUM(Y62:AB64)</f>
        <v>4928.2764623829944</v>
      </c>
      <c r="Z65" s="1747"/>
      <c r="AA65" s="1747"/>
      <c r="AB65" s="1747"/>
      <c r="AH65" s="11"/>
    </row>
    <row r="66" spans="1:34" x14ac:dyDescent="0.25">
      <c r="A66" s="1276" t="s">
        <v>101</v>
      </c>
      <c r="B66" s="1276"/>
      <c r="C66" s="1276"/>
      <c r="D66" s="1276"/>
      <c r="E66" s="1276"/>
      <c r="F66" s="1276"/>
      <c r="G66" s="1276"/>
      <c r="H66" s="1276"/>
      <c r="I66" s="1748">
        <f>I65/($Q$36*$Q$39)</f>
        <v>1.298209829059829</v>
      </c>
      <c r="J66" s="1748"/>
      <c r="K66" s="1748"/>
      <c r="L66" s="1748"/>
      <c r="Q66" s="1276" t="s">
        <v>101</v>
      </c>
      <c r="R66" s="1276"/>
      <c r="S66" s="1276"/>
      <c r="T66" s="1276"/>
      <c r="U66" s="1276"/>
      <c r="V66" s="1276"/>
      <c r="W66" s="1276"/>
      <c r="X66" s="1276"/>
      <c r="Y66" s="1748">
        <f>Y65/($Q$36*$Q$39)</f>
        <v>1.1251772745166655</v>
      </c>
      <c r="Z66" s="1748"/>
      <c r="AA66" s="1748"/>
      <c r="AB66" s="1748"/>
    </row>
    <row r="67" spans="1:34" ht="15.75" thickBot="1" x14ac:dyDescent="0.3"/>
    <row r="68" spans="1:34" x14ac:dyDescent="0.25">
      <c r="A68" s="1583" t="s">
        <v>22</v>
      </c>
      <c r="B68" s="1584"/>
      <c r="C68" s="1584"/>
      <c r="D68" s="1584"/>
      <c r="E68" s="1584"/>
      <c r="F68" s="1584"/>
      <c r="G68" s="1584"/>
      <c r="H68" s="1584"/>
      <c r="I68" s="1584" t="s">
        <v>23</v>
      </c>
      <c r="J68" s="1584"/>
      <c r="K68" s="1584"/>
      <c r="L68" s="1584"/>
      <c r="M68" s="1584"/>
      <c r="N68" s="1584"/>
      <c r="O68" s="1584"/>
      <c r="P68" s="1584"/>
      <c r="Q68" s="1584" t="s">
        <v>24</v>
      </c>
      <c r="R68" s="1584"/>
      <c r="S68" s="1584"/>
      <c r="T68" s="1584"/>
      <c r="U68" s="1584"/>
      <c r="V68" s="1584"/>
      <c r="W68" s="1584"/>
      <c r="X68" s="1585"/>
    </row>
    <row r="69" spans="1:34" ht="15.75" thickBot="1" x14ac:dyDescent="0.3">
      <c r="A69" s="1578" t="s">
        <v>103</v>
      </c>
      <c r="B69" s="1579"/>
      <c r="C69" s="1579"/>
      <c r="D69" s="1579"/>
      <c r="E69" s="1579"/>
      <c r="F69" s="1579"/>
      <c r="G69" s="1579"/>
      <c r="H69" s="1579"/>
      <c r="I69" s="1744">
        <f>ROUND(I66-Y66,3)</f>
        <v>0.17299999999999999</v>
      </c>
      <c r="J69" s="1744"/>
      <c r="K69" s="1744"/>
      <c r="L69" s="1744"/>
      <c r="M69" s="1744"/>
      <c r="N69" s="1744"/>
      <c r="O69" s="1744"/>
      <c r="P69" s="1744"/>
      <c r="Q69" s="1745">
        <f>ROUND(I65-Y65,2)</f>
        <v>757.88</v>
      </c>
      <c r="R69" s="1745"/>
      <c r="S69" s="1745"/>
      <c r="T69" s="1745"/>
      <c r="U69" s="1745"/>
      <c r="V69" s="1745"/>
      <c r="W69" s="1745"/>
      <c r="X69" s="1746"/>
    </row>
  </sheetData>
  <sheetProtection algorithmName="SHA-512" hashValue="9JXx/g8T5r3K6i8B2DnG2QUVdbvYUBLn5QffJ8J5IrUSqVdJm50ke2wvdYhNV/jQ0kC3AOR0mjxvDoYalf7Wkg==" saltValue="mgJEmO6zVXDeyo3oGMhIzg==" spinCount="100000" sheet="1" objects="1" scenarios="1"/>
  <mergeCells count="142">
    <mergeCell ref="A1:AF1"/>
    <mergeCell ref="B6:AF6"/>
    <mergeCell ref="B8:I8"/>
    <mergeCell ref="B9:AF9"/>
    <mergeCell ref="B11:I11"/>
    <mergeCell ref="B12:AF12"/>
    <mergeCell ref="B14:I14"/>
    <mergeCell ref="A3:AF3"/>
    <mergeCell ref="B5:I5"/>
    <mergeCell ref="B22:N22"/>
    <mergeCell ref="A25:AF25"/>
    <mergeCell ref="A27:G27"/>
    <mergeCell ref="H27:AF27"/>
    <mergeCell ref="A28:G28"/>
    <mergeCell ref="H28:AF28"/>
    <mergeCell ref="B15:AF15"/>
    <mergeCell ref="B18:AF18"/>
    <mergeCell ref="B20:N20"/>
    <mergeCell ref="B21:N21"/>
    <mergeCell ref="O20:U20"/>
    <mergeCell ref="O21:U21"/>
    <mergeCell ref="O22:U22"/>
    <mergeCell ref="A34:AF34"/>
    <mergeCell ref="A35:D35"/>
    <mergeCell ref="E35:P35"/>
    <mergeCell ref="Q35:T35"/>
    <mergeCell ref="U35:W35"/>
    <mergeCell ref="X35:AF35"/>
    <mergeCell ref="A29:G29"/>
    <mergeCell ref="H29:AF29"/>
    <mergeCell ref="A30:G30"/>
    <mergeCell ref="H30:AF30"/>
    <mergeCell ref="A31:G31"/>
    <mergeCell ref="H31:AF31"/>
    <mergeCell ref="A36:D36"/>
    <mergeCell ref="E36:P36"/>
    <mergeCell ref="Q36:T36"/>
    <mergeCell ref="U36:W36"/>
    <mergeCell ref="X36:AF36"/>
    <mergeCell ref="A37:D37"/>
    <mergeCell ref="E37:P37"/>
    <mergeCell ref="Q37:T37"/>
    <mergeCell ref="U37:W37"/>
    <mergeCell ref="X37:AF37"/>
    <mergeCell ref="A38:D38"/>
    <mergeCell ref="E38:P38"/>
    <mergeCell ref="Q38:T38"/>
    <mergeCell ref="U38:W38"/>
    <mergeCell ref="X38:AF38"/>
    <mergeCell ref="A39:D39"/>
    <mergeCell ref="E39:P39"/>
    <mergeCell ref="Q39:T39"/>
    <mergeCell ref="U39:W39"/>
    <mergeCell ref="X39:AF39"/>
    <mergeCell ref="A40:D40"/>
    <mergeCell ref="E40:P40"/>
    <mergeCell ref="Q40:T40"/>
    <mergeCell ref="U40:W40"/>
    <mergeCell ref="X40:AF40"/>
    <mergeCell ref="A41:D41"/>
    <mergeCell ref="E41:P41"/>
    <mergeCell ref="Q41:T41"/>
    <mergeCell ref="U41:W41"/>
    <mergeCell ref="X41:AF41"/>
    <mergeCell ref="A42:D42"/>
    <mergeCell ref="E42:P42"/>
    <mergeCell ref="Q42:T42"/>
    <mergeCell ref="U42:W42"/>
    <mergeCell ref="X42:AF42"/>
    <mergeCell ref="A43:D43"/>
    <mergeCell ref="E43:P43"/>
    <mergeCell ref="Q43:T43"/>
    <mergeCell ref="U43:W43"/>
    <mergeCell ref="X43:AF43"/>
    <mergeCell ref="A44:D44"/>
    <mergeCell ref="E44:P44"/>
    <mergeCell ref="Q44:T44"/>
    <mergeCell ref="U44:W44"/>
    <mergeCell ref="X44:AF44"/>
    <mergeCell ref="A45:D45"/>
    <mergeCell ref="E45:P45"/>
    <mergeCell ref="Q45:T45"/>
    <mergeCell ref="U45:W45"/>
    <mergeCell ref="X45:AF45"/>
    <mergeCell ref="A46:D46"/>
    <mergeCell ref="E46:P46"/>
    <mergeCell ref="Q46:T46"/>
    <mergeCell ref="U46:W46"/>
    <mergeCell ref="X46:AF46"/>
    <mergeCell ref="A47:D47"/>
    <mergeCell ref="E47:P47"/>
    <mergeCell ref="Q47:T47"/>
    <mergeCell ref="U47:W47"/>
    <mergeCell ref="X47:AF47"/>
    <mergeCell ref="A53:N53"/>
    <mergeCell ref="O53:W53"/>
    <mergeCell ref="X53:AF53"/>
    <mergeCell ref="A54:N54"/>
    <mergeCell ref="O54:W54"/>
    <mergeCell ref="X54:AF54"/>
    <mergeCell ref="A49:AF49"/>
    <mergeCell ref="A51:N51"/>
    <mergeCell ref="O51:W51"/>
    <mergeCell ref="X51:AF51"/>
    <mergeCell ref="A52:N52"/>
    <mergeCell ref="O52:W52"/>
    <mergeCell ref="X52:AF52"/>
    <mergeCell ref="A59:AF59"/>
    <mergeCell ref="A61:L61"/>
    <mergeCell ref="Q61:AB61"/>
    <mergeCell ref="A62:H62"/>
    <mergeCell ref="I62:L62"/>
    <mergeCell ref="Q62:X62"/>
    <mergeCell ref="Y62:AB62"/>
    <mergeCell ref="A55:N55"/>
    <mergeCell ref="O55:W55"/>
    <mergeCell ref="X55:AF55"/>
    <mergeCell ref="A56:N56"/>
    <mergeCell ref="O56:W56"/>
    <mergeCell ref="X56:AF56"/>
    <mergeCell ref="Y65:AB65"/>
    <mergeCell ref="A66:H66"/>
    <mergeCell ref="I66:L66"/>
    <mergeCell ref="Q66:X66"/>
    <mergeCell ref="Y66:AB66"/>
    <mergeCell ref="A63:H63"/>
    <mergeCell ref="I63:L63"/>
    <mergeCell ref="Q63:X63"/>
    <mergeCell ref="Y63:AB63"/>
    <mergeCell ref="A64:H64"/>
    <mergeCell ref="I64:L64"/>
    <mergeCell ref="Q64:X64"/>
    <mergeCell ref="Y64:AB64"/>
    <mergeCell ref="A68:H68"/>
    <mergeCell ref="I68:P68"/>
    <mergeCell ref="Q68:X68"/>
    <mergeCell ref="A69:H69"/>
    <mergeCell ref="I69:P69"/>
    <mergeCell ref="Q69:X69"/>
    <mergeCell ref="A65:H65"/>
    <mergeCell ref="I65:L65"/>
    <mergeCell ref="Q65:X65"/>
  </mergeCells>
  <hyperlinks>
    <hyperlink ref="A2" location="TOC!A1" display="Return to TOC" xr:uid="{00000000-0004-0000-1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5">
    <tabColor theme="7" tint="0.79998168889431442"/>
    <pageSetUpPr autoPageBreaks="0"/>
  </sheetPr>
  <dimension ref="A1:AF84"/>
  <sheetViews>
    <sheetView workbookViewId="0">
      <selection sqref="A1:AF1"/>
    </sheetView>
  </sheetViews>
  <sheetFormatPr defaultColWidth="2.7109375" defaultRowHeight="14.45" customHeight="1" x14ac:dyDescent="0.25"/>
  <cols>
    <col min="1" max="16384" width="2.7109375" style="1"/>
  </cols>
  <sheetData>
    <row r="1" spans="1:32" ht="18.75" x14ac:dyDescent="0.25">
      <c r="A1" s="1464" t="s">
        <v>1133</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ht="15" x14ac:dyDescent="0.25">
      <c r="A3" s="1472" t="s">
        <v>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row>
    <row r="4" spans="1:32" ht="15"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ht="15" x14ac:dyDescent="0.25">
      <c r="B5" s="1475" t="s">
        <v>10</v>
      </c>
      <c r="C5" s="1475"/>
      <c r="D5" s="1475"/>
      <c r="E5" s="1475"/>
      <c r="F5" s="1475"/>
      <c r="G5" s="1475"/>
      <c r="H5" s="1475"/>
      <c r="I5" s="1475"/>
    </row>
    <row r="6" spans="1:32" ht="48.75" customHeight="1" x14ac:dyDescent="0.25">
      <c r="B6" s="1247" t="s">
        <v>110</v>
      </c>
      <c r="C6" s="1247"/>
      <c r="D6" s="1247"/>
      <c r="E6" s="1247"/>
      <c r="F6" s="1247"/>
      <c r="G6" s="1247"/>
      <c r="H6" s="1247"/>
      <c r="I6" s="1247"/>
      <c r="J6" s="1247"/>
      <c r="K6" s="1247"/>
      <c r="L6" s="1247"/>
      <c r="M6" s="1247"/>
      <c r="N6" s="1247"/>
      <c r="O6" s="1247"/>
      <c r="P6" s="1247"/>
      <c r="Q6" s="1247"/>
      <c r="R6" s="1247"/>
      <c r="S6" s="1247"/>
      <c r="T6" s="1247"/>
      <c r="U6" s="1247"/>
      <c r="V6" s="1247"/>
      <c r="W6" s="1247"/>
      <c r="X6" s="1247"/>
      <c r="Y6" s="1247"/>
      <c r="Z6" s="1247"/>
      <c r="AA6" s="1247"/>
      <c r="AB6" s="1247"/>
      <c r="AC6" s="1247"/>
      <c r="AD6" s="1247"/>
      <c r="AE6" s="1247"/>
      <c r="AF6" s="1247"/>
    </row>
    <row r="8" spans="1:32" ht="15" x14ac:dyDescent="0.25">
      <c r="B8" s="1475" t="s">
        <v>11</v>
      </c>
      <c r="C8" s="1475"/>
      <c r="D8" s="1475"/>
      <c r="E8" s="1475"/>
      <c r="F8" s="1475"/>
      <c r="G8" s="1475"/>
      <c r="H8" s="1475"/>
      <c r="I8" s="1475"/>
    </row>
    <row r="9" spans="1:32" ht="15" x14ac:dyDescent="0.25">
      <c r="B9" s="1473" t="s">
        <v>111</v>
      </c>
      <c r="C9" s="1473"/>
      <c r="D9" s="1473"/>
      <c r="E9" s="1473"/>
      <c r="F9" s="1473"/>
      <c r="G9" s="1473"/>
      <c r="H9" s="1473"/>
      <c r="I9" s="1473"/>
      <c r="J9" s="1473"/>
      <c r="K9" s="1473"/>
      <c r="L9" s="1473"/>
      <c r="M9" s="1473"/>
      <c r="N9" s="1473"/>
      <c r="O9" s="1473"/>
      <c r="P9" s="1473"/>
      <c r="Q9" s="1473"/>
      <c r="R9" s="1473"/>
      <c r="S9" s="1473"/>
      <c r="T9" s="1473"/>
      <c r="U9" s="1473"/>
      <c r="V9" s="1473"/>
      <c r="W9" s="1473"/>
      <c r="X9" s="1473"/>
      <c r="Y9" s="1473"/>
      <c r="Z9" s="1473"/>
      <c r="AA9" s="1473"/>
      <c r="AB9" s="1473"/>
      <c r="AC9" s="1473"/>
      <c r="AD9" s="1473"/>
      <c r="AE9" s="1473"/>
      <c r="AF9" s="1473"/>
    </row>
    <row r="11" spans="1:32" ht="15" x14ac:dyDescent="0.25">
      <c r="B11" s="1475" t="s">
        <v>12</v>
      </c>
      <c r="C11" s="1475"/>
      <c r="D11" s="1475"/>
      <c r="E11" s="1475"/>
      <c r="F11" s="1475"/>
      <c r="G11" s="1475"/>
      <c r="H11" s="1475"/>
      <c r="I11" s="1475"/>
    </row>
    <row r="12" spans="1:32" ht="15" x14ac:dyDescent="0.25">
      <c r="B12" s="1473" t="s">
        <v>115</v>
      </c>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row>
    <row r="14" spans="1:32" ht="15" x14ac:dyDescent="0.25">
      <c r="B14" s="1475" t="s">
        <v>13</v>
      </c>
      <c r="C14" s="1475"/>
      <c r="D14" s="1475"/>
      <c r="E14" s="1475"/>
      <c r="F14" s="1475"/>
      <c r="G14" s="1475"/>
      <c r="H14" s="1475"/>
      <c r="I14" s="1475"/>
    </row>
    <row r="15" spans="1:32" s="4" customFormat="1" ht="37.5" customHeight="1" x14ac:dyDescent="0.25">
      <c r="B15" s="1247" t="s">
        <v>112</v>
      </c>
      <c r="C15" s="1247"/>
      <c r="D15" s="1247"/>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row>
    <row r="16" spans="1:32" ht="15" x14ac:dyDescent="0.25">
      <c r="L16" s="11"/>
    </row>
    <row r="17" spans="1:32" ht="15" x14ac:dyDescent="0.25">
      <c r="B17" s="171" t="s">
        <v>20</v>
      </c>
      <c r="C17" s="171"/>
      <c r="D17" s="171"/>
      <c r="E17" s="171"/>
      <c r="F17" s="171"/>
      <c r="G17" s="171"/>
      <c r="H17" s="171"/>
      <c r="I17" s="171"/>
    </row>
    <row r="18" spans="1:32" ht="48.75" customHeight="1" x14ac:dyDescent="0.25">
      <c r="B18" s="1151" t="s">
        <v>113</v>
      </c>
      <c r="C18" s="1151"/>
      <c r="D18" s="1151"/>
      <c r="E18" s="1151"/>
      <c r="F18" s="1151"/>
      <c r="G18" s="1151"/>
      <c r="H18" s="1151"/>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1151"/>
      <c r="AF18" s="1151"/>
    </row>
    <row r="21" spans="1:32" ht="15" x14ac:dyDescent="0.25">
      <c r="A21" s="1472" t="s">
        <v>14</v>
      </c>
      <c r="B21" s="1472"/>
      <c r="C21" s="1472"/>
      <c r="D21" s="1472"/>
      <c r="E21" s="1472"/>
      <c r="F21" s="1472"/>
      <c r="G21" s="1472"/>
      <c r="H21" s="1472"/>
      <c r="I21" s="1472"/>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row>
    <row r="23" spans="1:32" ht="14.45" customHeight="1" x14ac:dyDescent="0.25">
      <c r="A23" s="1343" t="s">
        <v>1506</v>
      </c>
      <c r="B23" s="1343"/>
      <c r="C23" s="1343"/>
      <c r="D23" s="1343"/>
      <c r="E23" s="1343"/>
      <c r="F23" s="1343"/>
      <c r="G23" s="1343"/>
      <c r="H23" s="1343"/>
      <c r="I23" s="1343"/>
      <c r="J23" s="1343"/>
      <c r="K23" s="1343"/>
      <c r="L23" s="1343"/>
      <c r="M23" s="1343"/>
      <c r="N23" s="1343"/>
      <c r="O23" s="1343"/>
      <c r="P23" s="1343"/>
      <c r="Q23" s="1343"/>
      <c r="R23" s="1343"/>
      <c r="S23" s="1343"/>
      <c r="T23" s="1343"/>
      <c r="U23" s="1343"/>
      <c r="V23" s="1343"/>
      <c r="W23" s="1343"/>
      <c r="X23" s="1343"/>
      <c r="Y23" s="1343"/>
      <c r="Z23" s="1343"/>
      <c r="AA23" s="1343"/>
      <c r="AB23" s="1343"/>
      <c r="AC23" s="1343"/>
      <c r="AD23" s="1343"/>
      <c r="AE23" s="1343"/>
      <c r="AF23" s="1343"/>
    </row>
    <row r="26" spans="1:32" ht="15" x14ac:dyDescent="0.25">
      <c r="A26" s="1472" t="s">
        <v>15</v>
      </c>
      <c r="B26" s="1472"/>
      <c r="C26" s="1472"/>
      <c r="D26" s="1472"/>
      <c r="E26" s="1472"/>
      <c r="F26" s="1472"/>
      <c r="G26" s="1472"/>
      <c r="H26" s="1472"/>
      <c r="I26" s="1472"/>
      <c r="J26" s="1472"/>
      <c r="K26" s="1472"/>
      <c r="L26" s="1472"/>
      <c r="M26" s="1472"/>
      <c r="N26" s="1472"/>
      <c r="O26" s="1472"/>
      <c r="P26" s="1472"/>
      <c r="Q26" s="1472"/>
      <c r="R26" s="1472"/>
      <c r="S26" s="1472"/>
      <c r="T26" s="1472"/>
      <c r="U26" s="1472"/>
      <c r="V26" s="1472"/>
      <c r="W26" s="1472"/>
      <c r="X26" s="1472"/>
      <c r="Y26" s="1472"/>
      <c r="Z26" s="1472"/>
      <c r="AA26" s="1472"/>
      <c r="AB26" s="1472"/>
      <c r="AC26" s="1472"/>
      <c r="AD26" s="1472"/>
      <c r="AE26" s="1472"/>
      <c r="AF26" s="1472"/>
    </row>
    <row r="27" spans="1:32" ht="15" x14ac:dyDescent="0.25">
      <c r="A27" s="1474" t="s">
        <v>16</v>
      </c>
      <c r="B27" s="1474"/>
      <c r="C27" s="1474"/>
      <c r="D27" s="1474"/>
      <c r="E27" s="1474" t="s">
        <v>10</v>
      </c>
      <c r="F27" s="1474"/>
      <c r="G27" s="1474"/>
      <c r="H27" s="1474"/>
      <c r="I27" s="1474"/>
      <c r="J27" s="1474"/>
      <c r="K27" s="1474"/>
      <c r="L27" s="1474"/>
      <c r="M27" s="1474"/>
      <c r="N27" s="1474"/>
      <c r="O27" s="1474"/>
      <c r="P27" s="1474"/>
      <c r="Q27" s="1474" t="s">
        <v>17</v>
      </c>
      <c r="R27" s="1474"/>
      <c r="S27" s="1474"/>
      <c r="T27" s="1474"/>
      <c r="U27" s="1590" t="s">
        <v>18</v>
      </c>
      <c r="V27" s="1591"/>
      <c r="W27" s="1751"/>
      <c r="X27" s="1590" t="s">
        <v>19</v>
      </c>
      <c r="Y27" s="1591"/>
      <c r="Z27" s="1591"/>
      <c r="AA27" s="1591"/>
      <c r="AB27" s="1591"/>
      <c r="AC27" s="1591"/>
      <c r="AD27" s="1591"/>
      <c r="AE27" s="1591"/>
      <c r="AF27" s="1751"/>
    </row>
    <row r="28" spans="1:32" ht="15" x14ac:dyDescent="0.25">
      <c r="A28" s="1485" t="s">
        <v>65</v>
      </c>
      <c r="B28" s="1486"/>
      <c r="C28" s="1486"/>
      <c r="D28" s="1487"/>
      <c r="E28" s="1485" t="s">
        <v>68</v>
      </c>
      <c r="F28" s="1486"/>
      <c r="G28" s="1486"/>
      <c r="H28" s="1486"/>
      <c r="I28" s="1486"/>
      <c r="J28" s="1486"/>
      <c r="K28" s="1486"/>
      <c r="L28" s="1486"/>
      <c r="M28" s="1486"/>
      <c r="N28" s="1486"/>
      <c r="O28" s="1486"/>
      <c r="P28" s="1487"/>
      <c r="Q28" s="1574">
        <v>12</v>
      </c>
      <c r="R28" s="1575"/>
      <c r="S28" s="1575"/>
      <c r="T28" s="1576"/>
      <c r="U28" s="1574" t="s">
        <v>45</v>
      </c>
      <c r="V28" s="1575"/>
      <c r="W28" s="1576"/>
      <c r="X28" s="1574" t="s">
        <v>87</v>
      </c>
      <c r="Y28" s="1575"/>
      <c r="Z28" s="1575"/>
      <c r="AA28" s="1575"/>
      <c r="AB28" s="1575"/>
      <c r="AC28" s="1575"/>
      <c r="AD28" s="1575"/>
      <c r="AE28" s="1575"/>
      <c r="AF28" s="1576"/>
    </row>
    <row r="29" spans="1:32" ht="15" x14ac:dyDescent="0.25">
      <c r="A29" s="1485" t="s">
        <v>743</v>
      </c>
      <c r="B29" s="1486"/>
      <c r="C29" s="1486"/>
      <c r="D29" s="1487"/>
      <c r="E29" s="1485" t="s">
        <v>742</v>
      </c>
      <c r="F29" s="1486"/>
      <c r="G29" s="1486"/>
      <c r="H29" s="1486"/>
      <c r="I29" s="1486"/>
      <c r="J29" s="1486"/>
      <c r="K29" s="1486"/>
      <c r="L29" s="1486"/>
      <c r="M29" s="1486"/>
      <c r="N29" s="1486"/>
      <c r="O29" s="1486"/>
      <c r="P29" s="1487"/>
      <c r="Q29" s="1775">
        <v>0.4</v>
      </c>
      <c r="R29" s="1776"/>
      <c r="S29" s="1776"/>
      <c r="T29" s="1777"/>
      <c r="U29" s="1574" t="s">
        <v>28</v>
      </c>
      <c r="V29" s="1575"/>
      <c r="W29" s="1576"/>
      <c r="X29" s="1574" t="s">
        <v>87</v>
      </c>
      <c r="Y29" s="1575"/>
      <c r="Z29" s="1575"/>
      <c r="AA29" s="1575"/>
      <c r="AB29" s="1575"/>
      <c r="AC29" s="1575"/>
      <c r="AD29" s="1575"/>
      <c r="AE29" s="1575"/>
      <c r="AF29" s="1576"/>
    </row>
    <row r="30" spans="1:32" ht="15" x14ac:dyDescent="0.25">
      <c r="A30" s="1485" t="s">
        <v>69</v>
      </c>
      <c r="B30" s="1486"/>
      <c r="C30" s="1486"/>
      <c r="D30" s="1487"/>
      <c r="E30" s="1485" t="s">
        <v>70</v>
      </c>
      <c r="F30" s="1486"/>
      <c r="G30" s="1486"/>
      <c r="H30" s="1486"/>
      <c r="I30" s="1486"/>
      <c r="J30" s="1486"/>
      <c r="K30" s="1486"/>
      <c r="L30" s="1486"/>
      <c r="M30" s="1486"/>
      <c r="N30" s="1486"/>
      <c r="O30" s="1486"/>
      <c r="P30" s="1487"/>
      <c r="Q30" s="1574">
        <v>30.8</v>
      </c>
      <c r="R30" s="1575"/>
      <c r="S30" s="1575"/>
      <c r="T30" s="1576"/>
      <c r="U30" s="1574" t="s">
        <v>731</v>
      </c>
      <c r="V30" s="1575"/>
      <c r="W30" s="1576"/>
      <c r="X30" s="1574" t="s">
        <v>87</v>
      </c>
      <c r="Y30" s="1575"/>
      <c r="Z30" s="1575"/>
      <c r="AA30" s="1575"/>
      <c r="AB30" s="1575"/>
      <c r="AC30" s="1575"/>
      <c r="AD30" s="1575"/>
      <c r="AE30" s="1575"/>
      <c r="AF30" s="1576"/>
    </row>
    <row r="31" spans="1:32" ht="15" x14ac:dyDescent="0.25">
      <c r="A31" s="1485" t="s">
        <v>72</v>
      </c>
      <c r="B31" s="1486"/>
      <c r="C31" s="1486"/>
      <c r="D31" s="1487"/>
      <c r="E31" s="1485" t="s">
        <v>125</v>
      </c>
      <c r="F31" s="1486"/>
      <c r="G31" s="1486"/>
      <c r="H31" s="1486"/>
      <c r="I31" s="1486"/>
      <c r="J31" s="1486"/>
      <c r="K31" s="1486"/>
      <c r="L31" s="1486"/>
      <c r="M31" s="1486"/>
      <c r="N31" s="1486"/>
      <c r="O31" s="1486"/>
      <c r="P31" s="1487"/>
      <c r="Q31" s="1574">
        <v>365</v>
      </c>
      <c r="R31" s="1575"/>
      <c r="S31" s="1575"/>
      <c r="T31" s="1576"/>
      <c r="U31" s="1574" t="s">
        <v>74</v>
      </c>
      <c r="V31" s="1575"/>
      <c r="W31" s="1576"/>
      <c r="X31" s="1574" t="s">
        <v>87</v>
      </c>
      <c r="Y31" s="1575"/>
      <c r="Z31" s="1575"/>
      <c r="AA31" s="1575"/>
      <c r="AB31" s="1575"/>
      <c r="AC31" s="1575"/>
      <c r="AD31" s="1575"/>
      <c r="AE31" s="1575"/>
      <c r="AF31" s="1576"/>
    </row>
    <row r="32" spans="1:32" ht="15" x14ac:dyDescent="0.25">
      <c r="A32" s="1485" t="s">
        <v>75</v>
      </c>
      <c r="B32" s="1486"/>
      <c r="C32" s="1486"/>
      <c r="D32" s="1487"/>
      <c r="E32" s="1485" t="s">
        <v>76</v>
      </c>
      <c r="F32" s="1486"/>
      <c r="G32" s="1486"/>
      <c r="H32" s="1486"/>
      <c r="I32" s="1486"/>
      <c r="J32" s="1486"/>
      <c r="K32" s="1486"/>
      <c r="L32" s="1486"/>
      <c r="M32" s="1486"/>
      <c r="N32" s="1486"/>
      <c r="O32" s="1486"/>
      <c r="P32" s="1487"/>
      <c r="Q32" s="1574" t="s">
        <v>31</v>
      </c>
      <c r="R32" s="1575"/>
      <c r="S32" s="1575"/>
      <c r="T32" s="1576"/>
      <c r="U32" s="1574" t="s">
        <v>28</v>
      </c>
      <c r="V32" s="1575"/>
      <c r="W32" s="1576"/>
      <c r="X32" s="1574" t="s">
        <v>88</v>
      </c>
      <c r="Y32" s="1575"/>
      <c r="Z32" s="1575"/>
      <c r="AA32" s="1575"/>
      <c r="AB32" s="1575"/>
      <c r="AC32" s="1575"/>
      <c r="AD32" s="1575"/>
      <c r="AE32" s="1575"/>
      <c r="AF32" s="1576"/>
    </row>
    <row r="33" spans="1:32" ht="15" x14ac:dyDescent="0.25">
      <c r="A33" s="1485" t="s">
        <v>64</v>
      </c>
      <c r="B33" s="1486"/>
      <c r="C33" s="1486"/>
      <c r="D33" s="1487"/>
      <c r="E33" s="1485" t="s">
        <v>77</v>
      </c>
      <c r="F33" s="1486"/>
      <c r="G33" s="1486"/>
      <c r="H33" s="1486"/>
      <c r="I33" s="1486"/>
      <c r="J33" s="1486"/>
      <c r="K33" s="1486"/>
      <c r="L33" s="1486"/>
      <c r="M33" s="1486"/>
      <c r="N33" s="1486"/>
      <c r="O33" s="1486"/>
      <c r="P33" s="1487"/>
      <c r="Q33" s="1574" t="s">
        <v>31</v>
      </c>
      <c r="R33" s="1575"/>
      <c r="S33" s="1575"/>
      <c r="T33" s="1576"/>
      <c r="U33" s="1574" t="s">
        <v>291</v>
      </c>
      <c r="V33" s="1575"/>
      <c r="W33" s="1576"/>
      <c r="X33" s="1574" t="s">
        <v>88</v>
      </c>
      <c r="Y33" s="1575"/>
      <c r="Z33" s="1575"/>
      <c r="AA33" s="1575"/>
      <c r="AB33" s="1575"/>
      <c r="AC33" s="1575"/>
      <c r="AD33" s="1575"/>
      <c r="AE33" s="1575"/>
      <c r="AF33" s="1576"/>
    </row>
    <row r="34" spans="1:32" ht="15" x14ac:dyDescent="0.25">
      <c r="A34" s="1485" t="s">
        <v>78</v>
      </c>
      <c r="B34" s="1486"/>
      <c r="C34" s="1486"/>
      <c r="D34" s="1487"/>
      <c r="E34" s="1485" t="s">
        <v>79</v>
      </c>
      <c r="F34" s="1486"/>
      <c r="G34" s="1486"/>
      <c r="H34" s="1486"/>
      <c r="I34" s="1486"/>
      <c r="J34" s="1486"/>
      <c r="K34" s="1486"/>
      <c r="L34" s="1486"/>
      <c r="M34" s="1486"/>
      <c r="N34" s="1486"/>
      <c r="O34" s="1486"/>
      <c r="P34" s="1487"/>
      <c r="Q34" s="1574" t="s">
        <v>31</v>
      </c>
      <c r="R34" s="1575"/>
      <c r="S34" s="1575"/>
      <c r="T34" s="1576"/>
      <c r="U34" s="1574" t="s">
        <v>80</v>
      </c>
      <c r="V34" s="1575"/>
      <c r="W34" s="1576"/>
      <c r="X34" s="1574" t="s">
        <v>87</v>
      </c>
      <c r="Y34" s="1575"/>
      <c r="Z34" s="1575"/>
      <c r="AA34" s="1575"/>
      <c r="AB34" s="1575"/>
      <c r="AC34" s="1575"/>
      <c r="AD34" s="1575"/>
      <c r="AE34" s="1575"/>
      <c r="AF34" s="1576"/>
    </row>
    <row r="35" spans="1:32" ht="15" x14ac:dyDescent="0.25">
      <c r="A35" s="1485" t="s">
        <v>84</v>
      </c>
      <c r="B35" s="1486"/>
      <c r="C35" s="1486"/>
      <c r="D35" s="1487"/>
      <c r="E35" s="1485" t="s">
        <v>85</v>
      </c>
      <c r="F35" s="1486"/>
      <c r="G35" s="1486"/>
      <c r="H35" s="1486"/>
      <c r="I35" s="1486"/>
      <c r="J35" s="1486"/>
      <c r="K35" s="1486"/>
      <c r="L35" s="1486"/>
      <c r="M35" s="1486"/>
      <c r="N35" s="1486"/>
      <c r="O35" s="1486"/>
      <c r="P35" s="1487"/>
      <c r="Q35" s="1574">
        <v>100</v>
      </c>
      <c r="R35" s="1575"/>
      <c r="S35" s="1575"/>
      <c r="T35" s="1576"/>
      <c r="U35" s="1574" t="s">
        <v>86</v>
      </c>
      <c r="V35" s="1575"/>
      <c r="W35" s="1576"/>
      <c r="X35" s="1574" t="s">
        <v>87</v>
      </c>
      <c r="Y35" s="1575"/>
      <c r="Z35" s="1575"/>
      <c r="AA35" s="1575"/>
      <c r="AB35" s="1575"/>
      <c r="AC35" s="1575"/>
      <c r="AD35" s="1575"/>
      <c r="AE35" s="1575"/>
      <c r="AF35" s="1576"/>
    </row>
    <row r="36" spans="1:32" ht="15" x14ac:dyDescent="0.25">
      <c r="A36" s="1485" t="s">
        <v>29</v>
      </c>
      <c r="B36" s="1486"/>
      <c r="C36" s="1486"/>
      <c r="D36" s="1487"/>
      <c r="E36" s="1485" t="s">
        <v>104</v>
      </c>
      <c r="F36" s="1486"/>
      <c r="G36" s="1486"/>
      <c r="H36" s="1486"/>
      <c r="I36" s="1486"/>
      <c r="J36" s="1486"/>
      <c r="K36" s="1486"/>
      <c r="L36" s="1486"/>
      <c r="M36" s="1486"/>
      <c r="N36" s="1486"/>
      <c r="O36" s="1486"/>
      <c r="P36" s="1487"/>
      <c r="Q36" s="1574">
        <v>1</v>
      </c>
      <c r="R36" s="1575"/>
      <c r="S36" s="1575"/>
      <c r="T36" s="1576"/>
      <c r="U36" s="1574" t="s">
        <v>28</v>
      </c>
      <c r="V36" s="1575"/>
      <c r="W36" s="1576"/>
      <c r="X36" s="1574"/>
      <c r="Y36" s="1575"/>
      <c r="Z36" s="1575"/>
      <c r="AA36" s="1575"/>
      <c r="AB36" s="1575"/>
      <c r="AC36" s="1575"/>
      <c r="AD36" s="1575"/>
      <c r="AE36" s="1575"/>
      <c r="AF36" s="1576"/>
    </row>
    <row r="37" spans="1:32" ht="15" x14ac:dyDescent="0.25">
      <c r="A37" s="1485" t="s">
        <v>34</v>
      </c>
      <c r="B37" s="1486"/>
      <c r="C37" s="1486"/>
      <c r="D37" s="1487"/>
      <c r="E37" s="1485" t="s">
        <v>35</v>
      </c>
      <c r="F37" s="1486"/>
      <c r="G37" s="1486"/>
      <c r="H37" s="1486"/>
      <c r="I37" s="1486"/>
      <c r="J37" s="1486"/>
      <c r="K37" s="1486"/>
      <c r="L37" s="1486"/>
      <c r="M37" s="1486"/>
      <c r="N37" s="1486"/>
      <c r="O37" s="1486"/>
      <c r="P37" s="1487"/>
      <c r="Q37" s="1574">
        <f>'Master EUL'!X121</f>
        <v>12</v>
      </c>
      <c r="R37" s="1575"/>
      <c r="S37" s="1575"/>
      <c r="T37" s="1576"/>
      <c r="U37" s="1574" t="s">
        <v>46</v>
      </c>
      <c r="V37" s="1575"/>
      <c r="W37" s="1576"/>
      <c r="X37" s="1574"/>
      <c r="Y37" s="1575"/>
      <c r="Z37" s="1575"/>
      <c r="AA37" s="1575"/>
      <c r="AB37" s="1575"/>
      <c r="AC37" s="1575"/>
      <c r="AD37" s="1575"/>
      <c r="AE37" s="1575"/>
      <c r="AF37" s="1576"/>
    </row>
    <row r="38" spans="1:32" ht="15" x14ac:dyDescent="0.25">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ht="15" x14ac:dyDescent="0.25">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row>
    <row r="40" spans="1:32" ht="15" x14ac:dyDescent="0.25">
      <c r="A40" s="1472" t="s">
        <v>21</v>
      </c>
      <c r="B40" s="1472"/>
      <c r="C40" s="1472"/>
      <c r="D40" s="1472"/>
      <c r="E40" s="1472"/>
      <c r="F40" s="1472"/>
      <c r="G40" s="1472"/>
      <c r="H40" s="1472"/>
      <c r="I40" s="1472"/>
      <c r="J40" s="1472"/>
      <c r="K40" s="1472"/>
      <c r="L40" s="1472"/>
      <c r="M40" s="1472"/>
      <c r="N40" s="1472"/>
      <c r="O40" s="1472"/>
      <c r="P40" s="1472"/>
      <c r="Q40" s="1472"/>
      <c r="R40" s="1472"/>
      <c r="S40" s="1472"/>
      <c r="T40" s="1472"/>
      <c r="U40" s="1472"/>
      <c r="V40" s="1472"/>
      <c r="W40" s="1472"/>
      <c r="X40" s="1472"/>
      <c r="Y40" s="1472"/>
      <c r="Z40" s="1472"/>
      <c r="AA40" s="1472"/>
      <c r="AB40" s="1472"/>
      <c r="AC40" s="1472"/>
      <c r="AD40" s="1472"/>
      <c r="AE40" s="1472"/>
      <c r="AF40" s="1472"/>
    </row>
    <row r="42" spans="1:32" s="206" customFormat="1" ht="14.45" customHeight="1" x14ac:dyDescent="0.25">
      <c r="A42" s="190"/>
      <c r="B42" s="1759" t="s">
        <v>712</v>
      </c>
      <c r="C42" s="1759"/>
      <c r="D42" s="1759"/>
      <c r="E42" s="1759"/>
      <c r="F42" s="1759"/>
      <c r="G42" s="1759"/>
      <c r="H42" s="1759"/>
      <c r="I42" s="1759"/>
      <c r="J42" s="1759"/>
      <c r="K42" s="1759"/>
      <c r="L42" s="1770">
        <v>12</v>
      </c>
      <c r="M42" s="1770"/>
      <c r="N42" s="1770"/>
      <c r="O42" s="1770"/>
      <c r="P42" s="1770"/>
      <c r="Q42" s="1773" t="s">
        <v>33</v>
      </c>
      <c r="R42" s="1773"/>
      <c r="S42" s="1773"/>
      <c r="T42" s="1773"/>
      <c r="U42" s="1773"/>
      <c r="V42" s="207" t="s">
        <v>744</v>
      </c>
      <c r="W42" s="208"/>
    </row>
    <row r="43" spans="1:32" s="206" customFormat="1" ht="14.45" customHeight="1" x14ac:dyDescent="0.25">
      <c r="A43" s="190"/>
      <c r="B43" s="1759" t="s">
        <v>125</v>
      </c>
      <c r="C43" s="1759"/>
      <c r="D43" s="1759"/>
      <c r="E43" s="1759"/>
      <c r="F43" s="1759"/>
      <c r="G43" s="1759"/>
      <c r="H43" s="1759"/>
      <c r="I43" s="1759"/>
      <c r="J43" s="1759"/>
      <c r="K43" s="1759"/>
      <c r="L43" s="1770">
        <v>365</v>
      </c>
      <c r="M43" s="1770"/>
      <c r="N43" s="1770"/>
      <c r="O43" s="1770"/>
      <c r="P43" s="1770"/>
      <c r="Q43" s="1773" t="s">
        <v>74</v>
      </c>
      <c r="R43" s="1773"/>
      <c r="S43" s="1773"/>
      <c r="T43" s="1773"/>
      <c r="U43" s="1773"/>
      <c r="V43" s="209"/>
      <c r="W43" s="208"/>
    </row>
    <row r="44" spans="1:32" s="206" customFormat="1" ht="14.45" customHeight="1" x14ac:dyDescent="0.25">
      <c r="A44" s="190"/>
      <c r="B44" s="1759" t="s">
        <v>85</v>
      </c>
      <c r="C44" s="1759"/>
      <c r="D44" s="1759"/>
      <c r="E44" s="1759"/>
      <c r="F44" s="1759"/>
      <c r="G44" s="1759"/>
      <c r="H44" s="1759"/>
      <c r="I44" s="1759"/>
      <c r="J44" s="1759"/>
      <c r="K44" s="1759"/>
      <c r="L44" s="1770">
        <v>100</v>
      </c>
      <c r="M44" s="1770"/>
      <c r="N44" s="1770"/>
      <c r="O44" s="1770"/>
      <c r="P44" s="1770"/>
      <c r="Q44" s="1773" t="s">
        <v>713</v>
      </c>
      <c r="R44" s="1773"/>
      <c r="S44" s="1773"/>
      <c r="T44" s="1773"/>
      <c r="U44" s="1773"/>
      <c r="V44" s="209"/>
      <c r="W44" s="208"/>
    </row>
    <row r="45" spans="1:32" s="206" customFormat="1" ht="14.45" customHeight="1" x14ac:dyDescent="0.25">
      <c r="A45" s="190"/>
      <c r="B45" s="1759" t="s">
        <v>745</v>
      </c>
      <c r="C45" s="1759"/>
      <c r="D45" s="1759"/>
      <c r="E45" s="1759"/>
      <c r="F45" s="1759"/>
      <c r="G45" s="1759"/>
      <c r="H45" s="1759"/>
      <c r="I45" s="1759"/>
      <c r="J45" s="1759"/>
      <c r="K45" s="1759"/>
      <c r="L45" s="1770">
        <v>3</v>
      </c>
      <c r="M45" s="1770"/>
      <c r="N45" s="1770"/>
      <c r="O45" s="1770"/>
      <c r="P45" s="1770"/>
      <c r="Q45" s="1770"/>
      <c r="R45" s="1770"/>
      <c r="S45" s="1770"/>
      <c r="T45" s="1770"/>
      <c r="U45" s="1770"/>
      <c r="V45" s="209"/>
      <c r="W45" s="208"/>
    </row>
    <row r="46" spans="1:32" s="192" customFormat="1" ht="14.45" customHeight="1" x14ac:dyDescent="0.25">
      <c r="A46" s="190"/>
      <c r="W46" s="190"/>
      <c r="Y46" s="190"/>
      <c r="Z46" s="210"/>
      <c r="AA46" s="211"/>
      <c r="AB46" s="210"/>
      <c r="AC46" s="212"/>
    </row>
    <row r="47" spans="1:32" s="206" customFormat="1" ht="14.45" customHeight="1" x14ac:dyDescent="0.25">
      <c r="A47" s="190"/>
      <c r="B47" s="8"/>
      <c r="L47" s="226" t="s">
        <v>714</v>
      </c>
      <c r="M47" s="226"/>
      <c r="N47" s="226"/>
      <c r="O47" s="226"/>
      <c r="P47" s="226"/>
      <c r="Q47" s="226" t="s">
        <v>715</v>
      </c>
      <c r="R47" s="226"/>
      <c r="S47" s="226"/>
      <c r="T47" s="226"/>
      <c r="U47" s="226"/>
      <c r="V47" s="8"/>
      <c r="W47" s="213"/>
      <c r="X47" s="214"/>
      <c r="Y47" s="210"/>
      <c r="Z47" s="212"/>
    </row>
    <row r="48" spans="1:32" s="206" customFormat="1" ht="14.45" customHeight="1" x14ac:dyDescent="0.25">
      <c r="A48" s="190"/>
      <c r="B48" s="1759" t="s">
        <v>241</v>
      </c>
      <c r="C48" s="1759"/>
      <c r="D48" s="1759"/>
      <c r="E48" s="1759"/>
      <c r="F48" s="1759"/>
      <c r="G48" s="1759"/>
      <c r="H48" s="1759"/>
      <c r="I48" s="1759"/>
      <c r="J48" s="1759"/>
      <c r="K48" s="1759"/>
      <c r="L48" s="1774" t="s">
        <v>870</v>
      </c>
      <c r="M48" s="1774"/>
      <c r="N48" s="1774"/>
      <c r="O48" s="1774"/>
      <c r="P48" s="1774"/>
      <c r="Q48" s="1774" t="s">
        <v>746</v>
      </c>
      <c r="R48" s="1774"/>
      <c r="S48" s="1774"/>
      <c r="T48" s="1774"/>
      <c r="U48" s="1774"/>
      <c r="V48" s="1768"/>
      <c r="W48" s="1768"/>
      <c r="X48" s="1768"/>
      <c r="Y48" s="1768"/>
      <c r="Z48" s="1768"/>
      <c r="AA48" s="1768"/>
    </row>
    <row r="49" spans="1:29" s="206" customFormat="1" ht="14.45" customHeight="1" x14ac:dyDescent="0.25">
      <c r="A49" s="190"/>
      <c r="B49" s="1759" t="s">
        <v>747</v>
      </c>
      <c r="C49" s="1759"/>
      <c r="D49" s="1759"/>
      <c r="E49" s="1759"/>
      <c r="F49" s="1759"/>
      <c r="G49" s="1759"/>
      <c r="H49" s="1759"/>
      <c r="I49" s="1759"/>
      <c r="J49" s="1759"/>
      <c r="K49" s="1759"/>
      <c r="L49" s="1771">
        <v>0.4</v>
      </c>
      <c r="M49" s="1771"/>
      <c r="N49" s="1771"/>
      <c r="O49" s="1771"/>
      <c r="P49" s="1771"/>
      <c r="Q49" s="1771">
        <v>0.4</v>
      </c>
      <c r="R49" s="1771"/>
      <c r="S49" s="1771"/>
      <c r="T49" s="1771"/>
      <c r="U49" s="1771"/>
      <c r="V49" s="1276"/>
      <c r="W49" s="1276"/>
      <c r="X49" s="1276"/>
      <c r="Y49" s="1276"/>
      <c r="Z49" s="1276"/>
      <c r="AA49" s="1276"/>
    </row>
    <row r="50" spans="1:29" s="206" customFormat="1" ht="14.45" customHeight="1" x14ac:dyDescent="0.25">
      <c r="B50" s="1759" t="s">
        <v>76</v>
      </c>
      <c r="C50" s="1759"/>
      <c r="D50" s="1759"/>
      <c r="E50" s="1759"/>
      <c r="F50" s="1759"/>
      <c r="G50" s="1759"/>
      <c r="H50" s="1759"/>
      <c r="I50" s="1759"/>
      <c r="J50" s="1759"/>
      <c r="K50" s="1759"/>
      <c r="L50" s="1772">
        <v>0.3</v>
      </c>
      <c r="M50" s="1772"/>
      <c r="N50" s="1772"/>
      <c r="O50" s="1772"/>
      <c r="P50" s="1772"/>
      <c r="Q50" s="1771">
        <v>0.5</v>
      </c>
      <c r="R50" s="1771"/>
      <c r="S50" s="1771"/>
      <c r="T50" s="1771"/>
      <c r="U50" s="1771"/>
      <c r="V50" s="1276"/>
      <c r="W50" s="1276"/>
      <c r="X50" s="1276"/>
      <c r="Y50" s="1276"/>
      <c r="Z50" s="1276"/>
      <c r="AA50" s="1276"/>
    </row>
    <row r="51" spans="1:29" s="206" customFormat="1" ht="14.45" customHeight="1" x14ac:dyDescent="0.25">
      <c r="B51" s="1759" t="s">
        <v>748</v>
      </c>
      <c r="C51" s="1759"/>
      <c r="D51" s="1759"/>
      <c r="E51" s="1759"/>
      <c r="F51" s="1759"/>
      <c r="G51" s="1759"/>
      <c r="H51" s="1759"/>
      <c r="I51" s="1759"/>
      <c r="J51" s="1759"/>
      <c r="K51" s="1759"/>
      <c r="L51" s="1769">
        <v>23.3</v>
      </c>
      <c r="M51" s="1769"/>
      <c r="N51" s="1769"/>
      <c r="O51" s="1769"/>
      <c r="P51" s="1769"/>
      <c r="Q51" s="1769">
        <v>16.7</v>
      </c>
      <c r="R51" s="1769"/>
      <c r="S51" s="1769"/>
      <c r="T51" s="1769"/>
      <c r="U51" s="1769"/>
      <c r="V51" s="1768" t="s">
        <v>871</v>
      </c>
      <c r="W51" s="1768"/>
      <c r="X51" s="1768"/>
      <c r="Y51" s="1768"/>
      <c r="Z51" s="1768"/>
      <c r="AA51" s="1768"/>
    </row>
    <row r="52" spans="1:29" s="206" customFormat="1" ht="14.45" customHeight="1" x14ac:dyDescent="0.25">
      <c r="B52" s="1759" t="s">
        <v>77</v>
      </c>
      <c r="C52" s="1759"/>
      <c r="D52" s="1759"/>
      <c r="E52" s="1759"/>
      <c r="F52" s="1759"/>
      <c r="G52" s="1759"/>
      <c r="H52" s="1759"/>
      <c r="I52" s="1759"/>
      <c r="J52" s="1759"/>
      <c r="K52" s="1759"/>
      <c r="L52" s="1770">
        <v>1200</v>
      </c>
      <c r="M52" s="1770"/>
      <c r="N52" s="1770"/>
      <c r="O52" s="1770"/>
      <c r="P52" s="1770"/>
      <c r="Q52" s="1770">
        <f>IF(L45=3,400,IF(L45=4,530,IF(L45=5,670,800)))</f>
        <v>400</v>
      </c>
      <c r="R52" s="1770"/>
      <c r="S52" s="1770"/>
      <c r="T52" s="1770"/>
      <c r="U52" s="1770"/>
      <c r="V52" s="1768" t="s">
        <v>291</v>
      </c>
      <c r="W52" s="1768"/>
      <c r="X52" s="1768"/>
      <c r="Y52" s="1768"/>
      <c r="Z52" s="1768"/>
      <c r="AA52" s="1768"/>
    </row>
    <row r="53" spans="1:29" s="206" customFormat="1" ht="14.45" customHeight="1" x14ac:dyDescent="0.25">
      <c r="B53" s="1759" t="s">
        <v>716</v>
      </c>
      <c r="C53" s="1759"/>
      <c r="D53" s="1759"/>
      <c r="E53" s="1759"/>
      <c r="F53" s="1759"/>
      <c r="G53" s="1759"/>
      <c r="H53" s="1759"/>
      <c r="I53" s="1759"/>
      <c r="J53" s="1759"/>
      <c r="K53" s="1759"/>
      <c r="L53" s="1766">
        <v>30.8</v>
      </c>
      <c r="M53" s="1766"/>
      <c r="N53" s="1766"/>
      <c r="O53" s="1766"/>
      <c r="P53" s="1766"/>
      <c r="Q53" s="1766"/>
      <c r="R53" s="1766"/>
      <c r="S53" s="1766"/>
      <c r="T53" s="1766"/>
      <c r="U53" s="1766"/>
      <c r="V53" s="1768" t="s">
        <v>749</v>
      </c>
      <c r="W53" s="1768"/>
      <c r="X53" s="1768"/>
      <c r="Y53" s="1768"/>
      <c r="Z53" s="1768"/>
      <c r="AA53" s="1768"/>
    </row>
    <row r="54" spans="1:29" s="166" customFormat="1" ht="14.45" customHeight="1" x14ac:dyDescent="0.25">
      <c r="A54" s="206"/>
      <c r="B54" s="1759" t="s">
        <v>717</v>
      </c>
      <c r="C54" s="1759"/>
      <c r="D54" s="1759"/>
      <c r="E54" s="1759"/>
      <c r="F54" s="1759"/>
      <c r="G54" s="1759"/>
      <c r="H54" s="1759"/>
      <c r="I54" s="1759"/>
      <c r="J54" s="1759"/>
      <c r="K54" s="1759"/>
      <c r="L54" s="1767">
        <f>'Master EUL'!X121</f>
        <v>12</v>
      </c>
      <c r="M54" s="1767"/>
      <c r="N54" s="1767"/>
      <c r="O54" s="1767"/>
      <c r="P54" s="1767"/>
      <c r="Q54" s="1767"/>
      <c r="R54" s="1767"/>
      <c r="S54" s="1767"/>
      <c r="T54" s="1767"/>
      <c r="U54" s="1767"/>
      <c r="V54" s="1768" t="s">
        <v>36</v>
      </c>
      <c r="W54" s="1768"/>
      <c r="X54" s="1768"/>
      <c r="Y54" s="1768"/>
      <c r="Z54" s="1768"/>
      <c r="AA54" s="1768"/>
    </row>
    <row r="55" spans="1:29" s="192" customFormat="1" ht="14.45" customHeight="1" x14ac:dyDescent="0.25">
      <c r="A55" s="190"/>
      <c r="W55" s="213"/>
      <c r="X55" s="215"/>
      <c r="Y55" s="213"/>
      <c r="Z55" s="216"/>
    </row>
    <row r="56" spans="1:29" s="217" customFormat="1" ht="14.45" customHeight="1" x14ac:dyDescent="0.25">
      <c r="A56" s="190"/>
      <c r="B56" s="192"/>
      <c r="L56" s="190"/>
      <c r="Q56" s="192"/>
      <c r="V56" s="192"/>
      <c r="W56" s="218"/>
      <c r="X56" s="219"/>
      <c r="Y56" s="220"/>
      <c r="Z56" s="220"/>
      <c r="AA56" s="221"/>
    </row>
    <row r="57" spans="1:29" s="166" customFormat="1" ht="14.45" customHeight="1" x14ac:dyDescent="0.25">
      <c r="A57" s="206"/>
      <c r="B57" s="8"/>
      <c r="L57" s="226" t="s">
        <v>714</v>
      </c>
      <c r="M57" s="226"/>
      <c r="N57" s="226"/>
      <c r="O57" s="226"/>
      <c r="P57" s="226"/>
      <c r="Q57" s="226" t="s">
        <v>715</v>
      </c>
      <c r="R57" s="226"/>
      <c r="S57" s="226"/>
      <c r="T57" s="226"/>
      <c r="U57" s="226"/>
      <c r="V57" s="8"/>
      <c r="W57" s="218"/>
      <c r="X57" s="219"/>
      <c r="Y57" s="218"/>
      <c r="Z57" s="218"/>
      <c r="AA57" s="201"/>
    </row>
    <row r="58" spans="1:29" s="166" customFormat="1" ht="14.45" customHeight="1" x14ac:dyDescent="0.25">
      <c r="A58" s="206"/>
      <c r="B58" s="1759" t="s">
        <v>718</v>
      </c>
      <c r="C58" s="1759"/>
      <c r="D58" s="1759"/>
      <c r="E58" s="1759"/>
      <c r="F58" s="1759"/>
      <c r="G58" s="1759"/>
      <c r="H58" s="1759"/>
      <c r="I58" s="1759"/>
      <c r="J58" s="1759"/>
      <c r="K58" s="1759"/>
      <c r="L58" s="1285">
        <f>L42*L43</f>
        <v>4380</v>
      </c>
      <c r="M58" s="1285"/>
      <c r="N58" s="1285"/>
      <c r="O58" s="1285"/>
      <c r="P58" s="1285"/>
      <c r="Q58" s="1285"/>
      <c r="R58" s="1285"/>
      <c r="S58" s="1285"/>
      <c r="T58" s="1285"/>
      <c r="U58" s="1285"/>
      <c r="V58" s="1409" t="s">
        <v>33</v>
      </c>
      <c r="W58" s="1410"/>
      <c r="X58" s="1410"/>
      <c r="Y58" s="1411"/>
      <c r="Z58" s="218"/>
      <c r="AA58" s="201"/>
    </row>
    <row r="59" spans="1:29" s="166" customFormat="1" ht="14.45" customHeight="1" x14ac:dyDescent="0.25">
      <c r="A59" s="206"/>
      <c r="B59" s="1759" t="s">
        <v>872</v>
      </c>
      <c r="C59" s="1759"/>
      <c r="D59" s="1759"/>
      <c r="E59" s="1759"/>
      <c r="F59" s="1759"/>
      <c r="G59" s="1759"/>
      <c r="H59" s="1759"/>
      <c r="I59" s="1759"/>
      <c r="J59" s="1759"/>
      <c r="K59" s="1759"/>
      <c r="L59" s="1760">
        <v>1500</v>
      </c>
      <c r="M59" s="1761"/>
      <c r="N59" s="1761"/>
      <c r="O59" s="1761"/>
      <c r="P59" s="1762"/>
      <c r="Q59" s="1760">
        <v>1500</v>
      </c>
      <c r="R59" s="1761"/>
      <c r="S59" s="1761"/>
      <c r="T59" s="1761"/>
      <c r="U59" s="1762"/>
      <c r="V59" s="1763" t="s">
        <v>719</v>
      </c>
      <c r="W59" s="1764"/>
      <c r="X59" s="1764"/>
      <c r="Y59" s="1765"/>
      <c r="Z59" s="218"/>
      <c r="AA59" s="201"/>
    </row>
    <row r="60" spans="1:29" s="166" customFormat="1" ht="14.45" customHeight="1" x14ac:dyDescent="0.25">
      <c r="A60" s="206"/>
      <c r="B60" s="1759" t="s">
        <v>720</v>
      </c>
      <c r="C60" s="1759"/>
      <c r="D60" s="1759"/>
      <c r="E60" s="1759"/>
      <c r="F60" s="1759"/>
      <c r="G60" s="1759"/>
      <c r="H60" s="1759"/>
      <c r="I60" s="1759"/>
      <c r="J60" s="1759"/>
      <c r="K60" s="1759"/>
      <c r="L60" s="1285">
        <f>L44*L53/L50</f>
        <v>10266.666666666668</v>
      </c>
      <c r="M60" s="1285"/>
      <c r="N60" s="1285"/>
      <c r="O60" s="1285"/>
      <c r="P60" s="1285"/>
      <c r="Q60" s="1285">
        <f>L44*L53/Q50</f>
        <v>6160</v>
      </c>
      <c r="R60" s="1285"/>
      <c r="S60" s="1285"/>
      <c r="T60" s="1285"/>
      <c r="U60" s="1285"/>
      <c r="V60" s="1409" t="s">
        <v>719</v>
      </c>
      <c r="W60" s="1410"/>
      <c r="X60" s="1410"/>
      <c r="Y60" s="1411"/>
    </row>
    <row r="61" spans="1:29" s="166" customFormat="1" ht="14.45" customHeight="1" x14ac:dyDescent="0.25">
      <c r="A61" s="206"/>
      <c r="B61" s="1759" t="s">
        <v>721</v>
      </c>
      <c r="C61" s="1759"/>
      <c r="D61" s="1759"/>
      <c r="E61" s="1759"/>
      <c r="F61" s="1759"/>
      <c r="G61" s="1759"/>
      <c r="H61" s="1759"/>
      <c r="I61" s="1759"/>
      <c r="J61" s="1759"/>
      <c r="K61" s="1759"/>
      <c r="L61" s="1285">
        <f>L42-(L44/(L51*L45))</f>
        <v>10.569384835479257</v>
      </c>
      <c r="M61" s="1285"/>
      <c r="N61" s="1285"/>
      <c r="O61" s="1285"/>
      <c r="P61" s="1285"/>
      <c r="Q61" s="1760">
        <f>L42-(L44/(Q51*L45))</f>
        <v>10.003992015968064</v>
      </c>
      <c r="R61" s="1761"/>
      <c r="S61" s="1761"/>
      <c r="T61" s="1761"/>
      <c r="U61" s="1762"/>
      <c r="V61" s="1409" t="s">
        <v>750</v>
      </c>
      <c r="W61" s="1410"/>
      <c r="X61" s="1410"/>
      <c r="Y61" s="1411"/>
    </row>
    <row r="62" spans="1:29" s="166" customFormat="1" ht="14.45" customHeight="1" x14ac:dyDescent="0.25">
      <c r="A62" s="206"/>
      <c r="B62" s="1759" t="s">
        <v>722</v>
      </c>
      <c r="C62" s="1759"/>
      <c r="D62" s="1759"/>
      <c r="E62" s="1759"/>
      <c r="F62" s="1759"/>
      <c r="G62" s="1759"/>
      <c r="H62" s="1759"/>
      <c r="I62" s="1759"/>
      <c r="J62" s="1759"/>
      <c r="K62" s="1759"/>
      <c r="L62" s="1285">
        <f>((1-L49)*L52*L61)+(L49*L51*L45*L53*L61/L50)</f>
        <v>37950.010414878408</v>
      </c>
      <c r="M62" s="1285"/>
      <c r="N62" s="1285"/>
      <c r="O62" s="1285"/>
      <c r="P62" s="1285"/>
      <c r="Q62" s="1285">
        <f>((1-Q49)*Q52*Q61)+(Q49*Q51*L45*L53*Q61/Q50)</f>
        <v>14750.526083832334</v>
      </c>
      <c r="R62" s="1285"/>
      <c r="S62" s="1285"/>
      <c r="T62" s="1285"/>
      <c r="U62" s="1285"/>
      <c r="V62" s="1409" t="s">
        <v>719</v>
      </c>
      <c r="W62" s="1410"/>
      <c r="X62" s="1410"/>
      <c r="Y62" s="1411"/>
    </row>
    <row r="63" spans="1:29" s="166" customFormat="1" ht="14.45" customHeight="1" x14ac:dyDescent="0.25">
      <c r="A63" s="206"/>
      <c r="B63" s="1759" t="s">
        <v>723</v>
      </c>
      <c r="C63" s="1759"/>
      <c r="D63" s="1759"/>
      <c r="E63" s="1759"/>
      <c r="F63" s="1759"/>
      <c r="G63" s="1759"/>
      <c r="H63" s="1759"/>
      <c r="I63" s="1759"/>
      <c r="J63" s="1759"/>
      <c r="K63" s="1759"/>
      <c r="L63" s="1285">
        <f>L60+L62+L59</f>
        <v>49716.677081545073</v>
      </c>
      <c r="M63" s="1285"/>
      <c r="N63" s="1285"/>
      <c r="O63" s="1285"/>
      <c r="P63" s="1285"/>
      <c r="Q63" s="1285">
        <f>Q60+Q62+Q59</f>
        <v>22410.526083832334</v>
      </c>
      <c r="R63" s="1285"/>
      <c r="S63" s="1285"/>
      <c r="T63" s="1285"/>
      <c r="U63" s="1285"/>
      <c r="V63" s="1409" t="s">
        <v>719</v>
      </c>
      <c r="W63" s="1410"/>
      <c r="X63" s="1410"/>
      <c r="Y63" s="1411"/>
    </row>
    <row r="64" spans="1:29" s="192" customFormat="1" ht="14.45" customHeight="1" x14ac:dyDescent="0.25">
      <c r="A64" s="190"/>
      <c r="W64" s="190"/>
      <c r="X64" s="222"/>
      <c r="Y64" s="190"/>
      <c r="Z64" s="210"/>
      <c r="AA64" s="211"/>
      <c r="AB64" s="210"/>
      <c r="AC64" s="212"/>
    </row>
    <row r="65" spans="1:32" s="206" customFormat="1" ht="14.45" customHeight="1" x14ac:dyDescent="0.25">
      <c r="L65" s="226" t="s">
        <v>714</v>
      </c>
      <c r="M65" s="226"/>
      <c r="N65" s="226"/>
      <c r="O65" s="226"/>
      <c r="P65" s="226"/>
      <c r="Q65" s="226" t="s">
        <v>715</v>
      </c>
      <c r="R65" s="226"/>
      <c r="S65" s="226"/>
      <c r="T65" s="226"/>
      <c r="U65" s="226"/>
      <c r="V65" s="1320" t="s">
        <v>752</v>
      </c>
      <c r="W65" s="1320"/>
      <c r="X65" s="1320"/>
      <c r="Y65" s="1320"/>
      <c r="Z65" s="1320"/>
      <c r="AA65" s="1320"/>
    </row>
    <row r="66" spans="1:32" s="206" customFormat="1" ht="14.45" customHeight="1" x14ac:dyDescent="0.25">
      <c r="A66" s="192"/>
      <c r="B66" s="1758" t="s">
        <v>811</v>
      </c>
      <c r="C66" s="1758"/>
      <c r="D66" s="1758"/>
      <c r="E66" s="1758"/>
      <c r="F66" s="1758"/>
      <c r="G66" s="1758"/>
      <c r="H66" s="1758"/>
      <c r="I66" s="1758"/>
      <c r="J66" s="1758"/>
      <c r="K66" s="1758"/>
      <c r="L66" s="1285">
        <f>L63*L43/1000</f>
        <v>18146.587134763951</v>
      </c>
      <c r="M66" s="1285"/>
      <c r="N66" s="1285"/>
      <c r="O66" s="1285"/>
      <c r="P66" s="1285"/>
      <c r="Q66" s="1285">
        <f>Q63*L43/1000</f>
        <v>8179.8420205988014</v>
      </c>
      <c r="R66" s="1285"/>
      <c r="S66" s="1285"/>
      <c r="T66" s="1285"/>
      <c r="U66" s="1285"/>
      <c r="V66" s="1285">
        <f>L66-Q66</f>
        <v>9966.7451141651509</v>
      </c>
      <c r="W66" s="1285"/>
      <c r="X66" s="1285"/>
      <c r="Y66" s="1285"/>
      <c r="Z66" s="1285"/>
      <c r="AA66" s="1285"/>
    </row>
    <row r="67" spans="1:32" s="206" customFormat="1" ht="14.45" customHeight="1" thickBot="1" x14ac:dyDescent="0.3">
      <c r="A67" s="192"/>
      <c r="B67" s="223"/>
      <c r="K67" s="224"/>
      <c r="P67" s="224"/>
      <c r="U67" s="224"/>
      <c r="V67" s="192"/>
      <c r="W67" s="192"/>
    </row>
    <row r="68" spans="1:32" s="206" customFormat="1" ht="14.45" customHeight="1" x14ac:dyDescent="0.25">
      <c r="A68" s="1583" t="s">
        <v>22</v>
      </c>
      <c r="B68" s="1584"/>
      <c r="C68" s="1584"/>
      <c r="D68" s="1584"/>
      <c r="E68" s="1584"/>
      <c r="F68" s="1584"/>
      <c r="G68" s="1584"/>
      <c r="H68" s="1584"/>
      <c r="I68" s="1584" t="s">
        <v>23</v>
      </c>
      <c r="J68" s="1584"/>
      <c r="K68" s="1584"/>
      <c r="L68" s="1584"/>
      <c r="M68" s="1584"/>
      <c r="N68" s="1584"/>
      <c r="O68" s="1584"/>
      <c r="P68" s="1584"/>
      <c r="Q68" s="1584" t="s">
        <v>24</v>
      </c>
      <c r="R68" s="1584"/>
      <c r="S68" s="1584"/>
      <c r="T68" s="1584"/>
      <c r="U68" s="1584"/>
      <c r="V68" s="1584"/>
      <c r="W68" s="1584"/>
      <c r="X68" s="1585"/>
    </row>
    <row r="69" spans="1:32" s="225" customFormat="1" ht="14.45" customHeight="1" thickBot="1" x14ac:dyDescent="0.3">
      <c r="A69" s="1578" t="s">
        <v>964</v>
      </c>
      <c r="B69" s="1579"/>
      <c r="C69" s="1579"/>
      <c r="D69" s="1579"/>
      <c r="E69" s="1579"/>
      <c r="F69" s="1579"/>
      <c r="G69" s="1579"/>
      <c r="H69" s="1579"/>
      <c r="I69" s="1755">
        <f>ROUND(Q69/L58*Q36,3)</f>
        <v>0.75900000000000001</v>
      </c>
      <c r="J69" s="1755"/>
      <c r="K69" s="1755"/>
      <c r="L69" s="1755"/>
      <c r="M69" s="1755"/>
      <c r="N69" s="1755"/>
      <c r="O69" s="1755"/>
      <c r="P69" s="1755"/>
      <c r="Q69" s="1756">
        <f>ROUND(V66/L45,2)</f>
        <v>3322.25</v>
      </c>
      <c r="R69" s="1756"/>
      <c r="S69" s="1756"/>
      <c r="T69" s="1756"/>
      <c r="U69" s="1756"/>
      <c r="V69" s="1756"/>
      <c r="W69" s="1756"/>
      <c r="X69" s="1757"/>
    </row>
    <row r="70" spans="1:32" s="146" customFormat="1" ht="14.45" customHeight="1" x14ac:dyDescent="0.2">
      <c r="A70" s="192"/>
      <c r="B70" s="264"/>
      <c r="C70" s="206"/>
      <c r="D70" s="206"/>
      <c r="E70" s="206"/>
      <c r="F70" s="206"/>
      <c r="G70" s="206"/>
      <c r="H70" s="206"/>
      <c r="I70" s="206"/>
      <c r="J70" s="206"/>
      <c r="K70" s="202"/>
      <c r="L70" s="206"/>
      <c r="M70" s="206"/>
      <c r="N70" s="206"/>
      <c r="O70" s="206"/>
      <c r="P70" s="203"/>
      <c r="Q70" s="206"/>
      <c r="R70" s="206"/>
      <c r="S70" s="206"/>
      <c r="T70" s="206"/>
      <c r="U70" s="200"/>
      <c r="V70" s="265"/>
      <c r="W70" s="192"/>
      <c r="X70" s="206"/>
    </row>
    <row r="71" spans="1:32" s="146" customFormat="1" ht="14.45" customHeight="1" x14ac:dyDescent="0.25">
      <c r="A71" s="225"/>
      <c r="B71" s="309"/>
      <c r="C71" s="310"/>
      <c r="D71" s="310"/>
      <c r="E71" s="225"/>
      <c r="F71" s="225"/>
      <c r="G71" s="225"/>
      <c r="H71" s="225"/>
      <c r="I71" s="225"/>
      <c r="J71" s="225"/>
      <c r="K71" s="225"/>
      <c r="L71" s="225"/>
      <c r="M71" s="225"/>
      <c r="N71" s="225"/>
      <c r="O71" s="225"/>
      <c r="P71" s="225"/>
      <c r="Q71" s="225"/>
      <c r="R71" s="225"/>
      <c r="S71" s="225"/>
      <c r="T71" s="225"/>
      <c r="U71" s="225"/>
      <c r="V71" s="225"/>
      <c r="W71" s="225"/>
      <c r="X71" s="225"/>
    </row>
    <row r="72" spans="1:32" s="166" customFormat="1" ht="14.45" customHeight="1" x14ac:dyDescent="0.25">
      <c r="A72" s="190" t="s">
        <v>724</v>
      </c>
      <c r="B72" s="311"/>
      <c r="C72" s="312"/>
      <c r="D72" s="312"/>
      <c r="E72" s="227"/>
      <c r="F72" s="227"/>
      <c r="G72" s="227"/>
      <c r="H72" s="227"/>
      <c r="I72" s="227"/>
      <c r="J72" s="227"/>
      <c r="K72" s="227"/>
      <c r="L72" s="227"/>
      <c r="M72" s="227"/>
      <c r="N72" s="227"/>
      <c r="O72" s="227"/>
      <c r="P72" s="227"/>
      <c r="Q72" s="227"/>
      <c r="R72" s="227"/>
      <c r="S72" s="227"/>
      <c r="T72" s="227"/>
      <c r="U72" s="227"/>
      <c r="V72" s="227"/>
      <c r="W72" s="227"/>
      <c r="X72" s="227"/>
    </row>
    <row r="73" spans="1:32" s="166" customFormat="1" ht="28.9" customHeight="1" x14ac:dyDescent="0.25">
      <c r="A73" s="190"/>
      <c r="B73" s="1779" t="s">
        <v>374</v>
      </c>
      <c r="C73" s="1779"/>
      <c r="D73" s="1779"/>
      <c r="E73" s="1779"/>
      <c r="F73" s="1779"/>
      <c r="G73" s="1779"/>
      <c r="H73" s="1734" t="s">
        <v>876</v>
      </c>
      <c r="I73" s="1734"/>
      <c r="J73" s="1734"/>
      <c r="K73" s="1734"/>
      <c r="L73" s="1734"/>
      <c r="M73" s="1734"/>
      <c r="N73" s="1734"/>
      <c r="O73" s="1734"/>
      <c r="P73" s="1734"/>
      <c r="Q73" s="1734"/>
      <c r="R73" s="1734"/>
      <c r="S73" s="1734"/>
      <c r="T73" s="1734"/>
      <c r="U73" s="1734"/>
      <c r="V73" s="1734"/>
      <c r="W73" s="1734"/>
      <c r="X73" s="1734"/>
      <c r="Y73" s="1734"/>
      <c r="Z73" s="1734"/>
      <c r="AA73" s="1734"/>
      <c r="AB73" s="1734"/>
      <c r="AC73" s="1734"/>
      <c r="AD73" s="1734"/>
      <c r="AE73" s="1734"/>
      <c r="AF73" s="1734"/>
    </row>
    <row r="74" spans="1:32" s="217" customFormat="1" ht="28.9" customHeight="1" x14ac:dyDescent="0.25">
      <c r="A74" s="166"/>
      <c r="B74" s="1780" t="s">
        <v>725</v>
      </c>
      <c r="C74" s="1780"/>
      <c r="D74" s="1780"/>
      <c r="E74" s="1780"/>
      <c r="F74" s="1780"/>
      <c r="G74" s="1780"/>
      <c r="H74" s="19" t="s">
        <v>726</v>
      </c>
      <c r="I74"/>
      <c r="J74"/>
      <c r="K74"/>
      <c r="L74" s="166"/>
      <c r="N74" s="166"/>
      <c r="O74" s="166"/>
      <c r="P74" s="166"/>
      <c r="Q74" s="166"/>
      <c r="R74" s="166"/>
      <c r="S74" s="166"/>
      <c r="T74" s="166"/>
      <c r="U74" s="166"/>
      <c r="V74" s="166"/>
      <c r="W74" s="166"/>
      <c r="X74" s="166"/>
      <c r="Y74" s="166"/>
      <c r="Z74" s="166"/>
      <c r="AA74" s="166"/>
      <c r="AB74" s="166"/>
      <c r="AC74" s="166"/>
      <c r="AD74" s="166"/>
      <c r="AE74" s="166"/>
    </row>
    <row r="75" spans="1:32" s="192" customFormat="1" ht="14.45" customHeight="1" x14ac:dyDescent="0.25">
      <c r="A75" s="166"/>
      <c r="B75" s="228"/>
      <c r="H75" s="229" t="s">
        <v>727</v>
      </c>
      <c r="K75" s="166"/>
      <c r="L75" s="166"/>
      <c r="M75" s="217"/>
      <c r="N75" s="217"/>
      <c r="O75" s="217"/>
      <c r="P75" s="166"/>
      <c r="Q75" s="166"/>
      <c r="R75" s="166"/>
      <c r="S75" s="166"/>
      <c r="T75" s="166"/>
      <c r="U75" s="166"/>
      <c r="V75" s="166"/>
      <c r="W75" s="166"/>
      <c r="X75" s="166"/>
      <c r="Y75" s="166"/>
      <c r="Z75" s="166"/>
      <c r="AA75" s="166"/>
      <c r="AB75" s="166"/>
      <c r="AC75" s="166"/>
      <c r="AD75" s="166"/>
      <c r="AE75" s="166"/>
    </row>
    <row r="76" spans="1:32" s="166" customFormat="1" ht="14.45" customHeight="1" x14ac:dyDescent="0.25">
      <c r="A76" s="217"/>
      <c r="B76" s="1781" t="s">
        <v>728</v>
      </c>
      <c r="C76" s="1781"/>
      <c r="D76" s="1781"/>
      <c r="E76" s="1781"/>
      <c r="F76" s="1781"/>
      <c r="G76" s="1781"/>
      <c r="H76" s="229" t="s">
        <v>729</v>
      </c>
      <c r="K76" s="217"/>
      <c r="L76" s="217"/>
      <c r="M76" s="217"/>
      <c r="N76" s="217"/>
      <c r="O76" s="217"/>
      <c r="P76" s="217"/>
      <c r="Q76" s="217"/>
      <c r="R76" s="217"/>
      <c r="S76" s="217"/>
      <c r="T76" s="217"/>
      <c r="U76" s="217"/>
      <c r="V76" s="217"/>
      <c r="W76" s="217"/>
      <c r="X76" s="217"/>
      <c r="Y76" s="217"/>
      <c r="Z76" s="217"/>
      <c r="AA76" s="217"/>
      <c r="AB76" s="217"/>
      <c r="AC76" s="217"/>
      <c r="AD76" s="217"/>
      <c r="AE76" s="217"/>
    </row>
    <row r="77" spans="1:32" s="230" customFormat="1" ht="14.45" customHeight="1" x14ac:dyDescent="0.25">
      <c r="A77" s="166"/>
      <c r="B77" s="1781" t="s">
        <v>2188</v>
      </c>
      <c r="C77" s="1781"/>
      <c r="D77" s="1781"/>
      <c r="E77" s="1781"/>
      <c r="F77" s="1781"/>
      <c r="G77" s="1781"/>
      <c r="H77" s="229" t="s">
        <v>730</v>
      </c>
      <c r="K77" s="166"/>
      <c r="L77" s="217"/>
      <c r="M77" s="217"/>
      <c r="N77" s="217"/>
      <c r="O77" s="217"/>
      <c r="P77" s="166"/>
      <c r="Q77" s="166"/>
      <c r="R77" s="166"/>
      <c r="S77" s="166"/>
      <c r="T77" s="166"/>
      <c r="U77" s="166"/>
      <c r="V77" s="166"/>
      <c r="W77" s="166"/>
      <c r="X77" s="166"/>
      <c r="Y77" s="166"/>
      <c r="Z77" s="166"/>
      <c r="AA77" s="166"/>
      <c r="AB77" s="166"/>
      <c r="AC77" s="166"/>
      <c r="AD77" s="166"/>
      <c r="AE77" s="166"/>
    </row>
    <row r="78" spans="1:32" s="230" customFormat="1" ht="14.45" customHeight="1" x14ac:dyDescent="0.25">
      <c r="A78" s="231"/>
      <c r="B78" s="232"/>
      <c r="D78" s="233"/>
      <c r="E78" s="234"/>
      <c r="F78" s="235"/>
      <c r="G78" s="236"/>
      <c r="H78" s="236"/>
      <c r="I78" s="236"/>
      <c r="J78" s="236"/>
      <c r="K78" s="236"/>
    </row>
    <row r="79" spans="1:32" s="230" customFormat="1" ht="14.45" customHeight="1" x14ac:dyDescent="0.25">
      <c r="A79" s="237" t="s">
        <v>751</v>
      </c>
      <c r="B79" s="236"/>
      <c r="D79" s="233"/>
      <c r="E79" s="238"/>
      <c r="F79" s="235"/>
      <c r="G79" s="236"/>
      <c r="H79" s="236"/>
      <c r="I79" s="236"/>
      <c r="J79" s="236"/>
      <c r="K79" s="236"/>
    </row>
    <row r="80" spans="1:32" s="230" customFormat="1" ht="14.45" customHeight="1" x14ac:dyDescent="0.25">
      <c r="A80" s="239"/>
      <c r="B80" s="236"/>
      <c r="D80" s="233"/>
      <c r="E80" s="238"/>
      <c r="F80" s="235"/>
      <c r="G80" s="236"/>
      <c r="H80" s="236"/>
      <c r="I80" s="236"/>
      <c r="J80" s="236"/>
      <c r="K80" s="236"/>
    </row>
    <row r="81" spans="1:32" s="230" customFormat="1" ht="49.5" customHeight="1" x14ac:dyDescent="0.25">
      <c r="B81" s="1778" t="s">
        <v>1310</v>
      </c>
      <c r="C81" s="1778"/>
      <c r="D81" s="1778"/>
      <c r="E81" s="1778"/>
      <c r="F81" s="1778"/>
      <c r="G81" s="1778"/>
      <c r="H81" s="1778"/>
      <c r="I81" s="1778"/>
      <c r="J81" s="1778"/>
      <c r="K81" s="1778"/>
      <c r="L81" s="1778"/>
      <c r="M81" s="1778"/>
      <c r="N81" s="1778"/>
      <c r="O81" s="1778"/>
      <c r="P81" s="1778"/>
      <c r="Q81" s="1778"/>
      <c r="R81" s="1778"/>
      <c r="S81" s="1778"/>
      <c r="T81" s="1778"/>
      <c r="U81" s="1778"/>
      <c r="V81" s="1778"/>
      <c r="W81" s="1778"/>
      <c r="X81" s="1778"/>
      <c r="Y81" s="1778"/>
      <c r="Z81" s="1778"/>
      <c r="AA81" s="1778"/>
      <c r="AB81" s="1778"/>
      <c r="AC81" s="1778"/>
      <c r="AD81" s="1778"/>
      <c r="AE81" s="1778"/>
      <c r="AF81" s="1778"/>
    </row>
    <row r="82" spans="1:32" s="230" customFormat="1" ht="14.45" customHeight="1" x14ac:dyDescent="0.25">
      <c r="A82" s="240"/>
      <c r="B82" s="236"/>
      <c r="D82" s="233"/>
      <c r="E82" s="238"/>
      <c r="F82" s="235"/>
      <c r="G82" s="236"/>
      <c r="H82" s="236"/>
      <c r="I82" s="236"/>
      <c r="J82" s="236"/>
      <c r="K82" s="236"/>
    </row>
    <row r="83" spans="1:32" ht="14.45" customHeight="1" x14ac:dyDescent="0.25">
      <c r="A83" s="241"/>
      <c r="B83" s="242"/>
      <c r="C83" s="242"/>
      <c r="D83" s="230"/>
      <c r="E83" s="230"/>
      <c r="F83" s="230"/>
      <c r="G83" s="230"/>
      <c r="H83" s="230"/>
      <c r="I83" s="230"/>
      <c r="J83" s="230"/>
      <c r="K83" s="230"/>
      <c r="L83" s="230"/>
      <c r="M83" s="230"/>
      <c r="N83" s="230"/>
      <c r="O83" s="230"/>
      <c r="P83" s="230"/>
      <c r="Q83" s="230"/>
      <c r="R83" s="230"/>
      <c r="S83" s="230"/>
      <c r="T83" s="230"/>
      <c r="U83" s="230"/>
      <c r="V83" s="230"/>
      <c r="W83" s="230"/>
      <c r="X83" s="230"/>
    </row>
    <row r="84" spans="1:32" ht="14.45" customHeight="1" x14ac:dyDescent="0.25">
      <c r="A84" s="230"/>
      <c r="C84" s="242"/>
      <c r="D84" s="230"/>
      <c r="E84" s="230"/>
      <c r="F84" s="230"/>
      <c r="G84" s="230"/>
      <c r="H84" s="230"/>
      <c r="I84" s="230"/>
      <c r="J84" s="230"/>
      <c r="K84" s="230"/>
      <c r="L84" s="230"/>
      <c r="M84" s="230"/>
      <c r="N84" s="230"/>
      <c r="O84" s="230"/>
      <c r="P84" s="230"/>
      <c r="Q84" s="230"/>
      <c r="R84" s="230"/>
      <c r="S84" s="230"/>
      <c r="T84" s="230"/>
      <c r="U84" s="230"/>
      <c r="V84" s="230"/>
      <c r="W84" s="230"/>
      <c r="X84" s="230"/>
    </row>
  </sheetData>
  <sheetProtection algorithmName="SHA-512" hashValue="EiASU+onfDpxo2jLN8PEi+tOTlbXw4al/wcoITOtXkbbyU/7tvKUbyZOnazu/AurYjYQ54wyiuo2tBTvRGCkFg==" saltValue="m1aN+DKLG4n35Ph7A8TzJg==" spinCount="100000" sheet="1" objects="1" scenarios="1"/>
  <mergeCells count="147">
    <mergeCell ref="V65:AA65"/>
    <mergeCell ref="B81:AF81"/>
    <mergeCell ref="B73:G73"/>
    <mergeCell ref="B74:G74"/>
    <mergeCell ref="B76:G76"/>
    <mergeCell ref="B77:G77"/>
    <mergeCell ref="H73:AF73"/>
    <mergeCell ref="A1:AF1"/>
    <mergeCell ref="B6:AF6"/>
    <mergeCell ref="B8:I8"/>
    <mergeCell ref="B9:AF9"/>
    <mergeCell ref="B11:I11"/>
    <mergeCell ref="B12:AF12"/>
    <mergeCell ref="B14:I14"/>
    <mergeCell ref="A3:AF3"/>
    <mergeCell ref="B5:I5"/>
    <mergeCell ref="A26:AF26"/>
    <mergeCell ref="A27:D27"/>
    <mergeCell ref="E27:P27"/>
    <mergeCell ref="Q27:T27"/>
    <mergeCell ref="U27:W27"/>
    <mergeCell ref="X27:AF27"/>
    <mergeCell ref="B15:AF15"/>
    <mergeCell ref="B18:AF18"/>
    <mergeCell ref="A21:AF21"/>
    <mergeCell ref="A28:D28"/>
    <mergeCell ref="E28:P28"/>
    <mergeCell ref="Q28:T28"/>
    <mergeCell ref="U28:W28"/>
    <mergeCell ref="X28:AF28"/>
    <mergeCell ref="A29:D29"/>
    <mergeCell ref="E29:P29"/>
    <mergeCell ref="Q29:T29"/>
    <mergeCell ref="U29:W29"/>
    <mergeCell ref="X29:AF29"/>
    <mergeCell ref="A23:AF23"/>
    <mergeCell ref="A30:D30"/>
    <mergeCell ref="E30:P30"/>
    <mergeCell ref="Q30:T30"/>
    <mergeCell ref="U30:W30"/>
    <mergeCell ref="X30:AF30"/>
    <mergeCell ref="A31:D31"/>
    <mergeCell ref="E31:P31"/>
    <mergeCell ref="Q31:T31"/>
    <mergeCell ref="U31:W31"/>
    <mergeCell ref="X31:AF31"/>
    <mergeCell ref="A32:D32"/>
    <mergeCell ref="E32:P32"/>
    <mergeCell ref="Q32:T32"/>
    <mergeCell ref="U32:W32"/>
    <mergeCell ref="X32:AF32"/>
    <mergeCell ref="A33:D33"/>
    <mergeCell ref="E33:P33"/>
    <mergeCell ref="Q33:T33"/>
    <mergeCell ref="U33:W33"/>
    <mergeCell ref="X33:AF33"/>
    <mergeCell ref="A34:D34"/>
    <mergeCell ref="E34:P34"/>
    <mergeCell ref="Q34:T34"/>
    <mergeCell ref="U34:W34"/>
    <mergeCell ref="X34:AF34"/>
    <mergeCell ref="A35:D35"/>
    <mergeCell ref="E35:P35"/>
    <mergeCell ref="Q35:T35"/>
    <mergeCell ref="U35:W35"/>
    <mergeCell ref="X35:AF35"/>
    <mergeCell ref="A36:D36"/>
    <mergeCell ref="E36:P36"/>
    <mergeCell ref="Q36:T36"/>
    <mergeCell ref="U36:W36"/>
    <mergeCell ref="X36:AF36"/>
    <mergeCell ref="A37:D37"/>
    <mergeCell ref="E37:P37"/>
    <mergeCell ref="Q37:T37"/>
    <mergeCell ref="U37:W37"/>
    <mergeCell ref="X37:AF37"/>
    <mergeCell ref="B44:K44"/>
    <mergeCell ref="L44:P44"/>
    <mergeCell ref="Q44:U44"/>
    <mergeCell ref="B45:K45"/>
    <mergeCell ref="L45:U45"/>
    <mergeCell ref="B48:K48"/>
    <mergeCell ref="L48:P48"/>
    <mergeCell ref="Q48:U48"/>
    <mergeCell ref="A40:AF40"/>
    <mergeCell ref="B42:K42"/>
    <mergeCell ref="L42:P42"/>
    <mergeCell ref="Q42:U42"/>
    <mergeCell ref="B43:K43"/>
    <mergeCell ref="L43:P43"/>
    <mergeCell ref="Q43:U43"/>
    <mergeCell ref="V48:AA48"/>
    <mergeCell ref="B51:K51"/>
    <mergeCell ref="L51:P51"/>
    <mergeCell ref="Q51:U51"/>
    <mergeCell ref="V51:AA51"/>
    <mergeCell ref="B52:K52"/>
    <mergeCell ref="L52:P52"/>
    <mergeCell ref="Q52:U52"/>
    <mergeCell ref="B49:K49"/>
    <mergeCell ref="L49:P49"/>
    <mergeCell ref="Q49:U49"/>
    <mergeCell ref="B50:K50"/>
    <mergeCell ref="L50:P50"/>
    <mergeCell ref="Q50:U50"/>
    <mergeCell ref="V49:AA49"/>
    <mergeCell ref="V50:AA50"/>
    <mergeCell ref="V52:AA52"/>
    <mergeCell ref="B58:K58"/>
    <mergeCell ref="L58:U58"/>
    <mergeCell ref="V58:Y58"/>
    <mergeCell ref="B59:K59"/>
    <mergeCell ref="L59:P59"/>
    <mergeCell ref="Q59:U59"/>
    <mergeCell ref="V59:Y59"/>
    <mergeCell ref="B53:K53"/>
    <mergeCell ref="L53:U53"/>
    <mergeCell ref="B54:K54"/>
    <mergeCell ref="L54:U54"/>
    <mergeCell ref="V53:AA53"/>
    <mergeCell ref="V54:AA54"/>
    <mergeCell ref="B62:K62"/>
    <mergeCell ref="L62:P62"/>
    <mergeCell ref="Q62:U62"/>
    <mergeCell ref="V62:Y62"/>
    <mergeCell ref="B63:K63"/>
    <mergeCell ref="L63:P63"/>
    <mergeCell ref="Q63:U63"/>
    <mergeCell ref="V63:Y63"/>
    <mergeCell ref="B60:K60"/>
    <mergeCell ref="L60:P60"/>
    <mergeCell ref="Q60:U60"/>
    <mergeCell ref="V60:Y60"/>
    <mergeCell ref="B61:K61"/>
    <mergeCell ref="L61:P61"/>
    <mergeCell ref="Q61:U61"/>
    <mergeCell ref="V61:Y61"/>
    <mergeCell ref="A69:H69"/>
    <mergeCell ref="I69:P69"/>
    <mergeCell ref="Q69:X69"/>
    <mergeCell ref="B66:K66"/>
    <mergeCell ref="L66:P66"/>
    <mergeCell ref="Q66:U66"/>
    <mergeCell ref="A68:H68"/>
    <mergeCell ref="I68:P68"/>
    <mergeCell ref="Q68:X68"/>
    <mergeCell ref="V66:AA66"/>
  </mergeCells>
  <conditionalFormatting sqref="L42 L56 L48:L54 Q56 V56:V57 Q48:Q50 V47:V49 Q52 B66:B69 K67:K69 P67:P69 U67:U69">
    <cfRule type="expression" dxfId="38" priority="17">
      <formula>#REF!=0</formula>
    </cfRule>
  </conditionalFormatting>
  <conditionalFormatting sqref="V42:W45">
    <cfRule type="expression" dxfId="37" priority="14">
      <formula>SUM(#REF!)=0</formula>
    </cfRule>
  </conditionalFormatting>
  <conditionalFormatting sqref="V42">
    <cfRule type="expression" dxfId="36" priority="16">
      <formula>#REF!="error"</formula>
    </cfRule>
  </conditionalFormatting>
  <conditionalFormatting sqref="V42 L42 L51">
    <cfRule type="expression" dxfId="35" priority="15">
      <formula>#REF!="error"</formula>
    </cfRule>
  </conditionalFormatting>
  <conditionalFormatting sqref="L43">
    <cfRule type="expression" dxfId="34" priority="13">
      <formula>#REF!=0</formula>
    </cfRule>
  </conditionalFormatting>
  <conditionalFormatting sqref="L43">
    <cfRule type="expression" dxfId="33" priority="12">
      <formula>#REF!="error"</formula>
    </cfRule>
  </conditionalFormatting>
  <conditionalFormatting sqref="Q51">
    <cfRule type="expression" dxfId="32" priority="11">
      <formula>#REF!=0</formula>
    </cfRule>
  </conditionalFormatting>
  <conditionalFormatting sqref="Q51">
    <cfRule type="expression" dxfId="31" priority="10">
      <formula>#REF!="error"</formula>
    </cfRule>
  </conditionalFormatting>
  <conditionalFormatting sqref="L43">
    <cfRule type="expression" dxfId="30" priority="9">
      <formula>#REF!=0</formula>
    </cfRule>
  </conditionalFormatting>
  <conditionalFormatting sqref="V58:V63">
    <cfRule type="expression" dxfId="29" priority="2">
      <formula>#REF!=0</formula>
    </cfRule>
  </conditionalFormatting>
  <conditionalFormatting sqref="L43">
    <cfRule type="expression" dxfId="28" priority="8">
      <formula>#REF!="error"</formula>
    </cfRule>
  </conditionalFormatting>
  <conditionalFormatting sqref="L44:L45">
    <cfRule type="expression" dxfId="27" priority="7">
      <formula>#REF!=0</formula>
    </cfRule>
  </conditionalFormatting>
  <conditionalFormatting sqref="L44:L45">
    <cfRule type="expression" dxfId="26" priority="6">
      <formula>#REF!="error"</formula>
    </cfRule>
  </conditionalFormatting>
  <conditionalFormatting sqref="Q42:Q44">
    <cfRule type="expression" dxfId="25" priority="5">
      <formula>#REF!=0</formula>
    </cfRule>
  </conditionalFormatting>
  <conditionalFormatting sqref="Q42:Q44">
    <cfRule type="expression" dxfId="24" priority="4">
      <formula>#REF!="error"</formula>
    </cfRule>
  </conditionalFormatting>
  <conditionalFormatting sqref="V50">
    <cfRule type="expression" dxfId="23" priority="3">
      <formula>#REF!=0</formula>
    </cfRule>
  </conditionalFormatting>
  <conditionalFormatting sqref="V51:V54">
    <cfRule type="expression" dxfId="22" priority="1">
      <formula>#REF!=0</formula>
    </cfRule>
  </conditionalFormatting>
  <hyperlinks>
    <hyperlink ref="A2" location="TOC!A1" display="Return to TOC" xr:uid="{00000000-0004-0000-1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theme="7" tint="0.79998168889431442"/>
    <pageSetUpPr autoPageBreaks="0"/>
  </sheetPr>
  <dimension ref="A1:AH71"/>
  <sheetViews>
    <sheetView workbookViewId="0">
      <selection activeCell="A2" sqref="A2"/>
    </sheetView>
  </sheetViews>
  <sheetFormatPr defaultColWidth="2.7109375" defaultRowHeight="15" x14ac:dyDescent="0.25"/>
  <cols>
    <col min="1" max="16384" width="2.7109375" style="1"/>
  </cols>
  <sheetData>
    <row r="1" spans="1:32" ht="18.75" x14ac:dyDescent="0.25">
      <c r="A1" s="1464" t="s">
        <v>1129</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472" t="s">
        <v>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1475" t="s">
        <v>10</v>
      </c>
      <c r="C5" s="1475"/>
      <c r="D5" s="1475"/>
      <c r="E5" s="1475"/>
      <c r="F5" s="1475"/>
      <c r="G5" s="1475"/>
      <c r="H5" s="1475"/>
      <c r="I5" s="1475"/>
    </row>
    <row r="6" spans="1:32" ht="110.25" customHeight="1" x14ac:dyDescent="0.25">
      <c r="B6" s="1247" t="s">
        <v>116</v>
      </c>
      <c r="C6" s="1247"/>
      <c r="D6" s="1247"/>
      <c r="E6" s="1247"/>
      <c r="F6" s="1247"/>
      <c r="G6" s="1247"/>
      <c r="H6" s="1247"/>
      <c r="I6" s="1247"/>
      <c r="J6" s="1247"/>
      <c r="K6" s="1247"/>
      <c r="L6" s="1247"/>
      <c r="M6" s="1247"/>
      <c r="N6" s="1247"/>
      <c r="O6" s="1247"/>
      <c r="P6" s="1247"/>
      <c r="Q6" s="1247"/>
      <c r="R6" s="1247"/>
      <c r="S6" s="1247"/>
      <c r="T6" s="1247"/>
      <c r="U6" s="1247"/>
      <c r="V6" s="1247"/>
      <c r="W6" s="1247"/>
      <c r="X6" s="1247"/>
      <c r="Y6" s="1247"/>
      <c r="Z6" s="1247"/>
      <c r="AA6" s="1247"/>
      <c r="AB6" s="1247"/>
      <c r="AC6" s="1247"/>
      <c r="AD6" s="1247"/>
      <c r="AE6" s="1247"/>
      <c r="AF6" s="1247"/>
    </row>
    <row r="8" spans="1:32" x14ac:dyDescent="0.25">
      <c r="B8" s="1475" t="s">
        <v>11</v>
      </c>
      <c r="C8" s="1475"/>
      <c r="D8" s="1475"/>
      <c r="E8" s="1475"/>
      <c r="F8" s="1475"/>
      <c r="G8" s="1475"/>
      <c r="H8" s="1475"/>
      <c r="I8" s="1475"/>
    </row>
    <row r="9" spans="1:32" ht="66.75" customHeight="1" x14ac:dyDescent="0.25">
      <c r="B9" s="1247" t="s">
        <v>123</v>
      </c>
      <c r="C9" s="1247"/>
      <c r="D9" s="1247"/>
      <c r="E9" s="1247"/>
      <c r="F9" s="1247"/>
      <c r="G9" s="1247"/>
      <c r="H9" s="1247"/>
      <c r="I9" s="1247"/>
      <c r="J9" s="1247"/>
      <c r="K9" s="1247"/>
      <c r="L9" s="1247"/>
      <c r="M9" s="1247"/>
      <c r="N9" s="1247"/>
      <c r="O9" s="1247"/>
      <c r="P9" s="1247"/>
      <c r="Q9" s="1247"/>
      <c r="R9" s="1247"/>
      <c r="S9" s="1247"/>
      <c r="T9" s="1247"/>
      <c r="U9" s="1247"/>
      <c r="V9" s="1247"/>
      <c r="W9" s="1247"/>
      <c r="X9" s="1247"/>
      <c r="Y9" s="1247"/>
      <c r="Z9" s="1247"/>
      <c r="AA9" s="1247"/>
      <c r="AB9" s="1247"/>
      <c r="AC9" s="1247"/>
      <c r="AD9" s="1247"/>
      <c r="AE9" s="1247"/>
      <c r="AF9" s="1247"/>
    </row>
    <row r="10" spans="1:32" x14ac:dyDescent="0.25">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row>
    <row r="11" spans="1:32" x14ac:dyDescent="0.25">
      <c r="B11" s="1506" t="s">
        <v>59</v>
      </c>
      <c r="C11" s="1506"/>
      <c r="D11" s="1506"/>
      <c r="E11" s="1506"/>
      <c r="F11" s="1506"/>
      <c r="G11" s="1506"/>
      <c r="H11" s="1506"/>
      <c r="I11" s="1506"/>
      <c r="J11" s="1506"/>
      <c r="K11" s="1506"/>
      <c r="L11" s="1506"/>
      <c r="M11" s="1506"/>
      <c r="N11" s="1506"/>
      <c r="O11" s="1303" t="s">
        <v>118</v>
      </c>
      <c r="P11" s="1303"/>
      <c r="Q11" s="1303"/>
      <c r="R11" s="1303"/>
      <c r="S11" s="1303"/>
      <c r="T11" s="1303" t="s">
        <v>119</v>
      </c>
      <c r="U11" s="1303"/>
      <c r="V11" s="1303"/>
      <c r="W11" s="1303"/>
      <c r="X11" s="1303"/>
      <c r="Y11" s="4"/>
      <c r="Z11" s="4"/>
      <c r="AA11" s="4"/>
      <c r="AC11" s="4"/>
      <c r="AD11" s="4"/>
      <c r="AE11" s="4"/>
      <c r="AF11" s="4"/>
    </row>
    <row r="12" spans="1:32" x14ac:dyDescent="0.25">
      <c r="B12" s="1754" t="s">
        <v>61</v>
      </c>
      <c r="C12" s="1754"/>
      <c r="D12" s="1754"/>
      <c r="E12" s="1754"/>
      <c r="F12" s="1754"/>
      <c r="G12" s="1754"/>
      <c r="H12" s="1754"/>
      <c r="I12" s="1754"/>
      <c r="J12" s="1754"/>
      <c r="K12" s="1754"/>
      <c r="L12" s="1754"/>
      <c r="M12" s="1754"/>
      <c r="N12" s="1754"/>
      <c r="O12" s="1243" t="s">
        <v>120</v>
      </c>
      <c r="P12" s="1243"/>
      <c r="Q12" s="1243"/>
      <c r="R12" s="1243"/>
      <c r="S12" s="1243"/>
      <c r="T12" s="1243" t="s">
        <v>120</v>
      </c>
      <c r="U12" s="1243"/>
      <c r="V12" s="1243"/>
      <c r="W12" s="1243"/>
      <c r="X12" s="1243"/>
    </row>
    <row r="13" spans="1:32" x14ac:dyDescent="0.25">
      <c r="B13" s="1754" t="s">
        <v>62</v>
      </c>
      <c r="C13" s="1754"/>
      <c r="D13" s="1754"/>
      <c r="E13" s="1754"/>
      <c r="F13" s="1754"/>
      <c r="G13" s="1754"/>
      <c r="H13" s="1754"/>
      <c r="I13" s="1754"/>
      <c r="J13" s="1754"/>
      <c r="K13" s="1754"/>
      <c r="L13" s="1754"/>
      <c r="M13" s="1754"/>
      <c r="N13" s="1754"/>
      <c r="O13" s="1243" t="s">
        <v>121</v>
      </c>
      <c r="P13" s="1243"/>
      <c r="Q13" s="1243"/>
      <c r="R13" s="1243"/>
      <c r="S13" s="1243"/>
      <c r="T13" s="1243" t="s">
        <v>122</v>
      </c>
      <c r="U13" s="1243"/>
      <c r="V13" s="1243"/>
      <c r="W13" s="1243"/>
      <c r="X13" s="1243"/>
    </row>
    <row r="15" spans="1:32" x14ac:dyDescent="0.25">
      <c r="B15" s="1475" t="s">
        <v>12</v>
      </c>
      <c r="C15" s="1475"/>
      <c r="D15" s="1475"/>
      <c r="E15" s="1475"/>
      <c r="F15" s="1475"/>
      <c r="G15" s="1475"/>
      <c r="H15" s="1475"/>
      <c r="I15" s="1475"/>
    </row>
    <row r="16" spans="1:32" x14ac:dyDescent="0.25">
      <c r="B16" s="1473" t="s">
        <v>1311</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row>
    <row r="18" spans="1:32" x14ac:dyDescent="0.25">
      <c r="B18" s="1475" t="s">
        <v>13</v>
      </c>
      <c r="C18" s="1475"/>
      <c r="D18" s="1475"/>
      <c r="E18" s="1475"/>
      <c r="F18" s="1475"/>
      <c r="G18" s="1475"/>
      <c r="H18" s="1475"/>
      <c r="I18" s="1475"/>
    </row>
    <row r="19" spans="1:32" x14ac:dyDescent="0.25">
      <c r="B19" s="1473" t="s">
        <v>124</v>
      </c>
      <c r="C19" s="1473"/>
      <c r="D19" s="1473"/>
      <c r="E19" s="1473"/>
      <c r="F19" s="1473"/>
      <c r="G19" s="1473"/>
      <c r="H19" s="1473"/>
      <c r="I19" s="1473"/>
      <c r="J19" s="1473"/>
      <c r="K19" s="1473"/>
      <c r="L19" s="1473"/>
      <c r="M19" s="1473"/>
      <c r="N19" s="1473"/>
      <c r="O19" s="1473"/>
      <c r="P19" s="1473"/>
      <c r="Q19" s="1473"/>
      <c r="R19" s="1473"/>
      <c r="S19" s="1473"/>
      <c r="T19" s="1473"/>
      <c r="U19" s="1473"/>
      <c r="V19" s="1473"/>
      <c r="W19" s="1473"/>
      <c r="X19" s="1473"/>
      <c r="Y19" s="1473"/>
      <c r="Z19" s="1473"/>
      <c r="AA19" s="1473"/>
      <c r="AB19" s="1473"/>
      <c r="AC19" s="1473"/>
      <c r="AD19" s="1473"/>
      <c r="AE19" s="1473"/>
      <c r="AF19" s="1473"/>
    </row>
    <row r="21" spans="1:32" x14ac:dyDescent="0.25">
      <c r="B21" s="171" t="s">
        <v>20</v>
      </c>
      <c r="C21" s="171"/>
      <c r="D21" s="171"/>
      <c r="E21" s="171"/>
      <c r="F21" s="171"/>
      <c r="G21" s="171"/>
      <c r="H21" s="171"/>
      <c r="I21" s="171"/>
    </row>
    <row r="22" spans="1:32" x14ac:dyDescent="0.25">
      <c r="B22" s="1473" t="s">
        <v>124</v>
      </c>
      <c r="C22" s="1475"/>
      <c r="D22" s="1475"/>
      <c r="E22" s="1475"/>
      <c r="F22" s="1475"/>
      <c r="G22" s="1475"/>
      <c r="H22" s="1475"/>
      <c r="I22" s="1475"/>
      <c r="J22" s="1475"/>
      <c r="K22" s="1475"/>
      <c r="L22" s="1475"/>
      <c r="M22" s="1475"/>
      <c r="N22" s="1475"/>
      <c r="O22" s="1475"/>
      <c r="P22" s="1475"/>
      <c r="Q22" s="1475"/>
      <c r="R22" s="1475"/>
      <c r="S22" s="1475"/>
      <c r="T22" s="1475"/>
      <c r="U22" s="1475"/>
      <c r="V22" s="1475"/>
      <c r="W22" s="1475"/>
      <c r="X22" s="1475"/>
      <c r="Y22" s="1475"/>
      <c r="Z22" s="1475"/>
      <c r="AA22" s="1475"/>
      <c r="AB22" s="1475"/>
      <c r="AC22" s="1475"/>
      <c r="AD22" s="1475"/>
      <c r="AE22" s="1475"/>
      <c r="AF22" s="1475"/>
    </row>
    <row r="25" spans="1:32" x14ac:dyDescent="0.25">
      <c r="A25" s="1472" t="s">
        <v>14</v>
      </c>
      <c r="B25" s="1472"/>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row>
    <row r="27" spans="1:32" ht="18" x14ac:dyDescent="0.25">
      <c r="A27" s="1752" t="s">
        <v>1507</v>
      </c>
      <c r="B27" s="1586"/>
      <c r="C27" s="1586"/>
      <c r="D27" s="1586"/>
      <c r="E27" s="1586"/>
      <c r="F27" s="1586"/>
      <c r="G27" s="1586"/>
      <c r="H27" s="1587" t="s">
        <v>1499</v>
      </c>
      <c r="I27" s="1753"/>
      <c r="J27" s="1753"/>
      <c r="K27" s="1753"/>
      <c r="L27" s="1753"/>
      <c r="M27" s="1753"/>
      <c r="N27" s="1753"/>
      <c r="O27" s="1753"/>
      <c r="P27" s="1753"/>
      <c r="Q27" s="1753"/>
      <c r="R27" s="1753"/>
      <c r="S27" s="1753"/>
      <c r="T27" s="1753"/>
      <c r="U27" s="1753"/>
      <c r="V27" s="1753"/>
      <c r="W27" s="1753"/>
      <c r="X27" s="1753"/>
      <c r="Y27" s="1753"/>
      <c r="Z27" s="1753"/>
      <c r="AA27" s="1753"/>
      <c r="AB27" s="1753"/>
      <c r="AC27" s="1753"/>
      <c r="AD27" s="1753"/>
      <c r="AE27" s="1753"/>
      <c r="AF27" s="1753"/>
    </row>
    <row r="28" spans="1:32" ht="18" x14ac:dyDescent="0.25">
      <c r="A28" s="1752" t="s">
        <v>1508</v>
      </c>
      <c r="B28" s="1586"/>
      <c r="C28" s="1586"/>
      <c r="D28" s="1586"/>
      <c r="E28" s="1586"/>
      <c r="F28" s="1586"/>
      <c r="G28" s="1586"/>
      <c r="H28" s="1587" t="s">
        <v>1502</v>
      </c>
      <c r="I28" s="1753"/>
      <c r="J28" s="1753"/>
      <c r="K28" s="1753"/>
      <c r="L28" s="1753"/>
      <c r="M28" s="1753"/>
      <c r="N28" s="1753"/>
      <c r="O28" s="1753"/>
      <c r="P28" s="1753"/>
      <c r="Q28" s="1753"/>
      <c r="R28" s="1753"/>
      <c r="S28" s="1753"/>
      <c r="T28" s="1753"/>
      <c r="U28" s="1753"/>
      <c r="V28" s="1753"/>
      <c r="W28" s="1753"/>
      <c r="X28" s="1753"/>
      <c r="Y28" s="1753"/>
      <c r="Z28" s="1753"/>
      <c r="AA28" s="1753"/>
      <c r="AB28" s="1753"/>
      <c r="AC28" s="1753"/>
      <c r="AD28" s="1753"/>
      <c r="AE28" s="1753"/>
      <c r="AF28" s="1753"/>
    </row>
    <row r="29" spans="1:32" ht="18" x14ac:dyDescent="0.25">
      <c r="A29" s="1586" t="s">
        <v>1512</v>
      </c>
      <c r="B29" s="1586"/>
      <c r="C29" s="1586"/>
      <c r="D29" s="1586"/>
      <c r="E29" s="1586"/>
      <c r="F29" s="1586"/>
      <c r="G29" s="1586"/>
      <c r="H29" s="1587" t="s">
        <v>1515</v>
      </c>
      <c r="I29" s="1753"/>
      <c r="J29" s="1753"/>
      <c r="K29" s="1753"/>
      <c r="L29" s="1753"/>
      <c r="M29" s="1753"/>
      <c r="N29" s="1753"/>
      <c r="O29" s="1753"/>
      <c r="P29" s="1753"/>
      <c r="Q29" s="1753"/>
      <c r="R29" s="1753"/>
      <c r="S29" s="1753"/>
      <c r="T29" s="1753"/>
      <c r="U29" s="1753"/>
      <c r="V29" s="1753"/>
      <c r="W29" s="1753"/>
      <c r="X29" s="1753"/>
      <c r="Y29" s="1753"/>
      <c r="Z29" s="1753"/>
      <c r="AA29" s="1753"/>
      <c r="AB29" s="1753"/>
      <c r="AC29" s="1753"/>
      <c r="AD29" s="1753"/>
      <c r="AE29" s="1753"/>
      <c r="AF29" s="1753"/>
    </row>
    <row r="30" spans="1:32" ht="18" x14ac:dyDescent="0.25">
      <c r="A30" s="1586" t="s">
        <v>1513</v>
      </c>
      <c r="B30" s="1586"/>
      <c r="C30" s="1586"/>
      <c r="D30" s="1586"/>
      <c r="E30" s="1586"/>
      <c r="F30" s="1586"/>
      <c r="G30" s="1586"/>
      <c r="H30" s="1587" t="s">
        <v>1505</v>
      </c>
      <c r="I30" s="1753"/>
      <c r="J30" s="1753"/>
      <c r="K30" s="1753"/>
      <c r="L30" s="1753"/>
      <c r="M30" s="1753"/>
      <c r="N30" s="1753"/>
      <c r="O30" s="1753"/>
      <c r="P30" s="1753"/>
      <c r="Q30" s="1753"/>
      <c r="R30" s="1753"/>
      <c r="S30" s="1753"/>
      <c r="T30" s="1753"/>
      <c r="U30" s="1753"/>
      <c r="V30" s="1753"/>
      <c r="W30" s="1753"/>
      <c r="X30" s="1753"/>
      <c r="Y30" s="1753"/>
      <c r="Z30" s="1753"/>
      <c r="AA30" s="1753"/>
      <c r="AB30" s="1753"/>
      <c r="AC30" s="1753"/>
      <c r="AD30" s="1753"/>
      <c r="AE30" s="1753"/>
      <c r="AF30" s="1753"/>
    </row>
    <row r="31" spans="1:32" ht="18" x14ac:dyDescent="0.25">
      <c r="A31" s="1586" t="s">
        <v>1514</v>
      </c>
      <c r="B31" s="1586"/>
      <c r="C31" s="1586"/>
      <c r="D31" s="1586"/>
      <c r="E31" s="1586"/>
      <c r="F31" s="1586"/>
      <c r="G31" s="1586"/>
      <c r="H31" s="1587" t="s">
        <v>1504</v>
      </c>
      <c r="I31" s="1753"/>
      <c r="J31" s="1753"/>
      <c r="K31" s="1753"/>
      <c r="L31" s="1753"/>
      <c r="M31" s="1753"/>
      <c r="N31" s="1753"/>
      <c r="O31" s="1753"/>
      <c r="P31" s="1753"/>
      <c r="Q31" s="1753"/>
      <c r="R31" s="1753"/>
      <c r="S31" s="1753"/>
      <c r="T31" s="1753"/>
      <c r="U31" s="1753"/>
      <c r="V31" s="1753"/>
      <c r="W31" s="1753"/>
      <c r="X31" s="1753"/>
      <c r="Y31" s="1753"/>
      <c r="Z31" s="1753"/>
      <c r="AA31" s="1753"/>
      <c r="AB31" s="1753"/>
      <c r="AC31" s="1753"/>
      <c r="AD31" s="1753"/>
      <c r="AE31" s="1753"/>
      <c r="AF31" s="1753"/>
    </row>
    <row r="34" spans="1:32" x14ac:dyDescent="0.25">
      <c r="A34" s="1472" t="s">
        <v>15</v>
      </c>
      <c r="B34" s="1472"/>
      <c r="C34" s="1472"/>
      <c r="D34" s="1472"/>
      <c r="E34" s="1472"/>
      <c r="F34" s="1472"/>
      <c r="G34" s="1472"/>
      <c r="H34" s="1472"/>
      <c r="I34" s="1472"/>
      <c r="J34" s="1472"/>
      <c r="K34" s="1472"/>
      <c r="L34" s="1472"/>
      <c r="M34" s="1472"/>
      <c r="N34" s="1472"/>
      <c r="O34" s="1472"/>
      <c r="P34" s="1472"/>
      <c r="Q34" s="1472"/>
      <c r="R34" s="1472"/>
      <c r="S34" s="1472"/>
      <c r="T34" s="1472"/>
      <c r="U34" s="1472"/>
      <c r="V34" s="1472"/>
      <c r="W34" s="1472"/>
      <c r="X34" s="1472"/>
      <c r="Y34" s="1472"/>
      <c r="Z34" s="1472"/>
      <c r="AA34" s="1472"/>
      <c r="AB34" s="1472"/>
      <c r="AC34" s="1472"/>
      <c r="AD34" s="1472"/>
      <c r="AE34" s="1472"/>
      <c r="AF34" s="1472"/>
    </row>
    <row r="35" spans="1:32" x14ac:dyDescent="0.25">
      <c r="A35" s="1474" t="s">
        <v>16</v>
      </c>
      <c r="B35" s="1474"/>
      <c r="C35" s="1474"/>
      <c r="D35" s="1474"/>
      <c r="E35" s="1474" t="s">
        <v>10</v>
      </c>
      <c r="F35" s="1474"/>
      <c r="G35" s="1474"/>
      <c r="H35" s="1474"/>
      <c r="I35" s="1474"/>
      <c r="J35" s="1474"/>
      <c r="K35" s="1474"/>
      <c r="L35" s="1474"/>
      <c r="M35" s="1474"/>
      <c r="N35" s="1474"/>
      <c r="O35" s="1474"/>
      <c r="P35" s="1474"/>
      <c r="Q35" s="1474" t="s">
        <v>17</v>
      </c>
      <c r="R35" s="1474"/>
      <c r="S35" s="1474"/>
      <c r="T35" s="1474"/>
      <c r="U35" s="1590" t="s">
        <v>18</v>
      </c>
      <c r="V35" s="1591"/>
      <c r="W35" s="1751"/>
      <c r="X35" s="1590" t="s">
        <v>19</v>
      </c>
      <c r="Y35" s="1591"/>
      <c r="Z35" s="1591"/>
      <c r="AA35" s="1591"/>
      <c r="AB35" s="1591"/>
      <c r="AC35" s="1591"/>
      <c r="AD35" s="1591"/>
      <c r="AE35" s="1591"/>
      <c r="AF35" s="1751"/>
    </row>
    <row r="36" spans="1:32" x14ac:dyDescent="0.25">
      <c r="A36" s="1485" t="s">
        <v>1692</v>
      </c>
      <c r="B36" s="1486"/>
      <c r="C36" s="1486"/>
      <c r="D36" s="1487"/>
      <c r="E36" s="1485" t="s">
        <v>68</v>
      </c>
      <c r="F36" s="1486"/>
      <c r="G36" s="1486"/>
      <c r="H36" s="1486"/>
      <c r="I36" s="1486"/>
      <c r="J36" s="1486"/>
      <c r="K36" s="1486"/>
      <c r="L36" s="1486"/>
      <c r="M36" s="1486"/>
      <c r="N36" s="1486"/>
      <c r="O36" s="1486"/>
      <c r="P36" s="1487"/>
      <c r="Q36" s="1574">
        <v>12</v>
      </c>
      <c r="R36" s="1575"/>
      <c r="S36" s="1575"/>
      <c r="T36" s="1576"/>
      <c r="U36" s="1574" t="s">
        <v>45</v>
      </c>
      <c r="V36" s="1575"/>
      <c r="W36" s="1576"/>
      <c r="X36" s="1574" t="s">
        <v>87</v>
      </c>
      <c r="Y36" s="1575"/>
      <c r="Z36" s="1575"/>
      <c r="AA36" s="1575"/>
      <c r="AB36" s="1575"/>
      <c r="AC36" s="1575"/>
      <c r="AD36" s="1575"/>
      <c r="AE36" s="1575"/>
      <c r="AF36" s="1576"/>
    </row>
    <row r="37" spans="1:32" x14ac:dyDescent="0.25">
      <c r="A37" s="1485" t="s">
        <v>1693</v>
      </c>
      <c r="B37" s="1486"/>
      <c r="C37" s="1486"/>
      <c r="D37" s="1487"/>
      <c r="E37" s="1485" t="s">
        <v>66</v>
      </c>
      <c r="F37" s="1486"/>
      <c r="G37" s="1486"/>
      <c r="H37" s="1486"/>
      <c r="I37" s="1486"/>
      <c r="J37" s="1486"/>
      <c r="K37" s="1486"/>
      <c r="L37" s="1486"/>
      <c r="M37" s="1486"/>
      <c r="N37" s="1486"/>
      <c r="O37" s="1486"/>
      <c r="P37" s="1487"/>
      <c r="Q37" s="1574">
        <v>15</v>
      </c>
      <c r="R37" s="1575"/>
      <c r="S37" s="1575"/>
      <c r="T37" s="1576"/>
      <c r="U37" s="1574" t="s">
        <v>67</v>
      </c>
      <c r="V37" s="1575"/>
      <c r="W37" s="1576"/>
      <c r="X37" s="1574" t="s">
        <v>87</v>
      </c>
      <c r="Y37" s="1575"/>
      <c r="Z37" s="1575"/>
      <c r="AA37" s="1575"/>
      <c r="AB37" s="1575"/>
      <c r="AC37" s="1575"/>
      <c r="AD37" s="1575"/>
      <c r="AE37" s="1575"/>
      <c r="AF37" s="1576"/>
    </row>
    <row r="38" spans="1:32" x14ac:dyDescent="0.25">
      <c r="A38" s="1485" t="s">
        <v>1694</v>
      </c>
      <c r="B38" s="1486"/>
      <c r="C38" s="1486"/>
      <c r="D38" s="1487"/>
      <c r="E38" s="1485" t="s">
        <v>70</v>
      </c>
      <c r="F38" s="1486"/>
      <c r="G38" s="1486"/>
      <c r="H38" s="1486"/>
      <c r="I38" s="1486"/>
      <c r="J38" s="1486"/>
      <c r="K38" s="1486"/>
      <c r="L38" s="1486"/>
      <c r="M38" s="1486"/>
      <c r="N38" s="1486"/>
      <c r="O38" s="1486"/>
      <c r="P38" s="1487"/>
      <c r="Q38" s="1574">
        <v>0.16700000000000001</v>
      </c>
      <c r="R38" s="1575"/>
      <c r="S38" s="1575"/>
      <c r="T38" s="1576"/>
      <c r="U38" s="1574" t="s">
        <v>71</v>
      </c>
      <c r="V38" s="1575"/>
      <c r="W38" s="1576"/>
      <c r="X38" s="1574" t="s">
        <v>87</v>
      </c>
      <c r="Y38" s="1575"/>
      <c r="Z38" s="1575"/>
      <c r="AA38" s="1575"/>
      <c r="AB38" s="1575"/>
      <c r="AC38" s="1575"/>
      <c r="AD38" s="1575"/>
      <c r="AE38" s="1575"/>
      <c r="AF38" s="1576"/>
    </row>
    <row r="39" spans="1:32" x14ac:dyDescent="0.25">
      <c r="A39" s="1485" t="s">
        <v>72</v>
      </c>
      <c r="B39" s="1486"/>
      <c r="C39" s="1486"/>
      <c r="D39" s="1487"/>
      <c r="E39" s="1485" t="s">
        <v>125</v>
      </c>
      <c r="F39" s="1486"/>
      <c r="G39" s="1486"/>
      <c r="H39" s="1486"/>
      <c r="I39" s="1486"/>
      <c r="J39" s="1486"/>
      <c r="K39" s="1486"/>
      <c r="L39" s="1486"/>
      <c r="M39" s="1486"/>
      <c r="N39" s="1486"/>
      <c r="O39" s="1486"/>
      <c r="P39" s="1487"/>
      <c r="Q39" s="1574">
        <v>365</v>
      </c>
      <c r="R39" s="1575"/>
      <c r="S39" s="1575"/>
      <c r="T39" s="1576"/>
      <c r="U39" s="1574" t="s">
        <v>74</v>
      </c>
      <c r="V39" s="1575"/>
      <c r="W39" s="1576"/>
      <c r="X39" s="1574" t="s">
        <v>87</v>
      </c>
      <c r="Y39" s="1575"/>
      <c r="Z39" s="1575"/>
      <c r="AA39" s="1575"/>
      <c r="AB39" s="1575"/>
      <c r="AC39" s="1575"/>
      <c r="AD39" s="1575"/>
      <c r="AE39" s="1575"/>
      <c r="AF39" s="1576"/>
    </row>
    <row r="40" spans="1:32" x14ac:dyDescent="0.25">
      <c r="A40" s="1577" t="s">
        <v>1695</v>
      </c>
      <c r="B40" s="1486"/>
      <c r="C40" s="1486"/>
      <c r="D40" s="1487"/>
      <c r="E40" s="1485" t="s">
        <v>76</v>
      </c>
      <c r="F40" s="1486"/>
      <c r="G40" s="1486"/>
      <c r="H40" s="1486"/>
      <c r="I40" s="1486"/>
      <c r="J40" s="1486"/>
      <c r="K40" s="1486"/>
      <c r="L40" s="1486"/>
      <c r="M40" s="1486"/>
      <c r="N40" s="1486"/>
      <c r="O40" s="1486"/>
      <c r="P40" s="1487"/>
      <c r="Q40" s="1574" t="s">
        <v>31</v>
      </c>
      <c r="R40" s="1575"/>
      <c r="S40" s="1575"/>
      <c r="T40" s="1576"/>
      <c r="U40" s="1574" t="s">
        <v>30</v>
      </c>
      <c r="V40" s="1575"/>
      <c r="W40" s="1576"/>
      <c r="X40" s="1574" t="s">
        <v>88</v>
      </c>
      <c r="Y40" s="1575"/>
      <c r="Z40" s="1575"/>
      <c r="AA40" s="1575"/>
      <c r="AB40" s="1575"/>
      <c r="AC40" s="1575"/>
      <c r="AD40" s="1575"/>
      <c r="AE40" s="1575"/>
      <c r="AF40" s="1576"/>
    </row>
    <row r="41" spans="1:32" x14ac:dyDescent="0.25">
      <c r="A41" s="1485" t="s">
        <v>1696</v>
      </c>
      <c r="B41" s="1486"/>
      <c r="C41" s="1486"/>
      <c r="D41" s="1487"/>
      <c r="E41" s="1485" t="s">
        <v>77</v>
      </c>
      <c r="F41" s="1486"/>
      <c r="G41" s="1486"/>
      <c r="H41" s="1486"/>
      <c r="I41" s="1486"/>
      <c r="J41" s="1486"/>
      <c r="K41" s="1486"/>
      <c r="L41" s="1486"/>
      <c r="M41" s="1486"/>
      <c r="N41" s="1486"/>
      <c r="O41" s="1486"/>
      <c r="P41" s="1487"/>
      <c r="Q41" s="1574" t="s">
        <v>31</v>
      </c>
      <c r="R41" s="1575"/>
      <c r="S41" s="1575"/>
      <c r="T41" s="1576"/>
      <c r="U41" s="1574" t="s">
        <v>26</v>
      </c>
      <c r="V41" s="1575"/>
      <c r="W41" s="1576"/>
      <c r="X41" s="1574" t="s">
        <v>88</v>
      </c>
      <c r="Y41" s="1575"/>
      <c r="Z41" s="1575"/>
      <c r="AA41" s="1575"/>
      <c r="AB41" s="1575"/>
      <c r="AC41" s="1575"/>
      <c r="AD41" s="1575"/>
      <c r="AE41" s="1575"/>
      <c r="AF41" s="1576"/>
    </row>
    <row r="42" spans="1:32" x14ac:dyDescent="0.25">
      <c r="A42" s="1485" t="s">
        <v>78</v>
      </c>
      <c r="B42" s="1486"/>
      <c r="C42" s="1486"/>
      <c r="D42" s="1487"/>
      <c r="E42" s="1485" t="s">
        <v>79</v>
      </c>
      <c r="F42" s="1486"/>
      <c r="G42" s="1486"/>
      <c r="H42" s="1486"/>
      <c r="I42" s="1486"/>
      <c r="J42" s="1486"/>
      <c r="K42" s="1486"/>
      <c r="L42" s="1486"/>
      <c r="M42" s="1486"/>
      <c r="N42" s="1486"/>
      <c r="O42" s="1486"/>
      <c r="P42" s="1487"/>
      <c r="Q42" s="1574" t="s">
        <v>31</v>
      </c>
      <c r="R42" s="1575"/>
      <c r="S42" s="1575"/>
      <c r="T42" s="1576"/>
      <c r="U42" s="1574" t="s">
        <v>80</v>
      </c>
      <c r="V42" s="1575"/>
      <c r="W42" s="1576"/>
      <c r="X42" s="1574" t="s">
        <v>87</v>
      </c>
      <c r="Y42" s="1575"/>
      <c r="Z42" s="1575"/>
      <c r="AA42" s="1575"/>
      <c r="AB42" s="1575"/>
      <c r="AC42" s="1575"/>
      <c r="AD42" s="1575"/>
      <c r="AE42" s="1575"/>
      <c r="AF42" s="1576"/>
    </row>
    <row r="43" spans="1:32" x14ac:dyDescent="0.25">
      <c r="A43" s="1485" t="s">
        <v>1697</v>
      </c>
      <c r="B43" s="1486"/>
      <c r="C43" s="1486"/>
      <c r="D43" s="1487"/>
      <c r="E43" s="1485" t="s">
        <v>81</v>
      </c>
      <c r="F43" s="1486"/>
      <c r="G43" s="1486"/>
      <c r="H43" s="1486"/>
      <c r="I43" s="1486"/>
      <c r="J43" s="1486"/>
      <c r="K43" s="1486"/>
      <c r="L43" s="1486"/>
      <c r="M43" s="1486"/>
      <c r="N43" s="1486"/>
      <c r="O43" s="1486"/>
      <c r="P43" s="1487"/>
      <c r="Q43" s="1574" t="s">
        <v>31</v>
      </c>
      <c r="R43" s="1575"/>
      <c r="S43" s="1575"/>
      <c r="T43" s="1576"/>
      <c r="U43" s="1574" t="s">
        <v>82</v>
      </c>
      <c r="V43" s="1575"/>
      <c r="W43" s="1576"/>
      <c r="X43" s="1574" t="s">
        <v>87</v>
      </c>
      <c r="Y43" s="1575"/>
      <c r="Z43" s="1575"/>
      <c r="AA43" s="1575"/>
      <c r="AB43" s="1575"/>
      <c r="AC43" s="1575"/>
      <c r="AD43" s="1575"/>
      <c r="AE43" s="1575"/>
      <c r="AF43" s="1576"/>
    </row>
    <row r="44" spans="1:32" x14ac:dyDescent="0.25">
      <c r="A44" s="1485" t="s">
        <v>1698</v>
      </c>
      <c r="B44" s="1486"/>
      <c r="C44" s="1486"/>
      <c r="D44" s="1487"/>
      <c r="E44" s="1485" t="s">
        <v>85</v>
      </c>
      <c r="F44" s="1486"/>
      <c r="G44" s="1486"/>
      <c r="H44" s="1486"/>
      <c r="I44" s="1486"/>
      <c r="J44" s="1486"/>
      <c r="K44" s="1486"/>
      <c r="L44" s="1486"/>
      <c r="M44" s="1486"/>
      <c r="N44" s="1486"/>
      <c r="O44" s="1486"/>
      <c r="P44" s="1487"/>
      <c r="Q44" s="1574" t="s">
        <v>31</v>
      </c>
      <c r="R44" s="1575"/>
      <c r="S44" s="1575"/>
      <c r="T44" s="1576"/>
      <c r="U44" s="1574" t="s">
        <v>86</v>
      </c>
      <c r="V44" s="1575"/>
      <c r="W44" s="1576"/>
      <c r="X44" s="1574" t="s">
        <v>87</v>
      </c>
      <c r="Y44" s="1575"/>
      <c r="Z44" s="1575"/>
      <c r="AA44" s="1575"/>
      <c r="AB44" s="1575"/>
      <c r="AC44" s="1575"/>
      <c r="AD44" s="1575"/>
      <c r="AE44" s="1575"/>
      <c r="AF44" s="1576"/>
    </row>
    <row r="45" spans="1:32" x14ac:dyDescent="0.25">
      <c r="A45" s="1485" t="s">
        <v>29</v>
      </c>
      <c r="B45" s="1486"/>
      <c r="C45" s="1486"/>
      <c r="D45" s="1487"/>
      <c r="E45" s="1485" t="s">
        <v>104</v>
      </c>
      <c r="F45" s="1486"/>
      <c r="G45" s="1486"/>
      <c r="H45" s="1486"/>
      <c r="I45" s="1486"/>
      <c r="J45" s="1486"/>
      <c r="K45" s="1486"/>
      <c r="L45" s="1486"/>
      <c r="M45" s="1486"/>
      <c r="N45" s="1486"/>
      <c r="O45" s="1486"/>
      <c r="P45" s="1487"/>
      <c r="Q45" s="1574">
        <v>100</v>
      </c>
      <c r="R45" s="1575"/>
      <c r="S45" s="1575"/>
      <c r="T45" s="1576"/>
      <c r="U45" s="1574" t="s">
        <v>30</v>
      </c>
      <c r="V45" s="1575"/>
      <c r="W45" s="1576"/>
      <c r="X45" s="1574"/>
      <c r="Y45" s="1575"/>
      <c r="Z45" s="1575"/>
      <c r="AA45" s="1575"/>
      <c r="AB45" s="1575"/>
      <c r="AC45" s="1575"/>
      <c r="AD45" s="1575"/>
      <c r="AE45" s="1575"/>
      <c r="AF45" s="1576"/>
    </row>
    <row r="46" spans="1:32" x14ac:dyDescent="0.25">
      <c r="A46" s="1485" t="s">
        <v>42</v>
      </c>
      <c r="B46" s="1486"/>
      <c r="C46" s="1486"/>
      <c r="D46" s="1487"/>
      <c r="E46" s="1485" t="s">
        <v>105</v>
      </c>
      <c r="F46" s="1486"/>
      <c r="G46" s="1486"/>
      <c r="H46" s="1486"/>
      <c r="I46" s="1486"/>
      <c r="J46" s="1486"/>
      <c r="K46" s="1486"/>
      <c r="L46" s="1486"/>
      <c r="M46" s="1486"/>
      <c r="N46" s="1486"/>
      <c r="O46" s="1486"/>
      <c r="P46" s="1487"/>
      <c r="Q46" s="1574">
        <v>100</v>
      </c>
      <c r="R46" s="1575"/>
      <c r="S46" s="1575"/>
      <c r="T46" s="1576"/>
      <c r="U46" s="1574" t="s">
        <v>30</v>
      </c>
      <c r="V46" s="1575"/>
      <c r="W46" s="1576"/>
      <c r="X46" s="1574"/>
      <c r="Y46" s="1575"/>
      <c r="Z46" s="1575"/>
      <c r="AA46" s="1575"/>
      <c r="AB46" s="1575"/>
      <c r="AC46" s="1575"/>
      <c r="AD46" s="1575"/>
      <c r="AE46" s="1575"/>
      <c r="AF46" s="1576"/>
    </row>
    <row r="47" spans="1:32" x14ac:dyDescent="0.25">
      <c r="A47" s="1485" t="s">
        <v>34</v>
      </c>
      <c r="B47" s="1486"/>
      <c r="C47" s="1486"/>
      <c r="D47" s="1487"/>
      <c r="E47" s="1485" t="s">
        <v>35</v>
      </c>
      <c r="F47" s="1486"/>
      <c r="G47" s="1486"/>
      <c r="H47" s="1486"/>
      <c r="I47" s="1486"/>
      <c r="J47" s="1486"/>
      <c r="K47" s="1486"/>
      <c r="L47" s="1486"/>
      <c r="M47" s="1486"/>
      <c r="N47" s="1486"/>
      <c r="O47" s="1486"/>
      <c r="P47" s="1487"/>
      <c r="Q47" s="1574">
        <f>'Master EUL'!X121</f>
        <v>12</v>
      </c>
      <c r="R47" s="1575"/>
      <c r="S47" s="1575"/>
      <c r="T47" s="1576"/>
      <c r="U47" s="1574" t="s">
        <v>46</v>
      </c>
      <c r="V47" s="1575"/>
      <c r="W47" s="1576"/>
      <c r="X47" s="1574"/>
      <c r="Y47" s="1575"/>
      <c r="Z47" s="1575"/>
      <c r="AA47" s="1575"/>
      <c r="AB47" s="1575"/>
      <c r="AC47" s="1575"/>
      <c r="AD47" s="1575"/>
      <c r="AE47" s="1575"/>
      <c r="AF47" s="1576"/>
    </row>
    <row r="48" spans="1:32" x14ac:dyDescent="0.25">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row>
    <row r="49" spans="1:32" ht="33.75" customHeight="1" x14ac:dyDescent="0.25">
      <c r="A49" s="1142" t="s">
        <v>132</v>
      </c>
      <c r="B49" s="1142"/>
      <c r="C49" s="1142"/>
      <c r="D49" s="1142"/>
      <c r="E49" s="1142"/>
      <c r="F49" s="1142"/>
      <c r="G49" s="1142"/>
      <c r="H49" s="1142"/>
      <c r="I49" s="1142"/>
      <c r="J49" s="1142"/>
      <c r="K49" s="1142"/>
      <c r="L49" s="1142"/>
      <c r="M49" s="1142"/>
      <c r="N49" s="1142"/>
      <c r="O49" s="1142"/>
      <c r="P49" s="1142"/>
      <c r="Q49" s="1142"/>
      <c r="R49" s="1142"/>
      <c r="S49" s="1142"/>
      <c r="T49" s="1142"/>
      <c r="U49" s="1142"/>
      <c r="V49" s="1142"/>
      <c r="W49" s="1142"/>
      <c r="X49" s="1142"/>
      <c r="Y49" s="1142"/>
      <c r="Z49" s="1142"/>
      <c r="AA49" s="1142"/>
      <c r="AB49" s="1142"/>
      <c r="AC49" s="1142"/>
      <c r="AD49" s="1142"/>
      <c r="AE49" s="1142"/>
      <c r="AF49" s="1142"/>
    </row>
    <row r="50" spans="1:32" x14ac:dyDescent="0.25">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row>
    <row r="51" spans="1:32" x14ac:dyDescent="0.25">
      <c r="A51" s="1303" t="s">
        <v>89</v>
      </c>
      <c r="B51" s="1303"/>
      <c r="C51" s="1303"/>
      <c r="D51" s="1303"/>
      <c r="E51" s="1303"/>
      <c r="F51" s="1303"/>
      <c r="G51" s="1303"/>
      <c r="H51" s="1303"/>
      <c r="I51" s="1303"/>
      <c r="J51" s="1303"/>
      <c r="K51" s="1303"/>
      <c r="L51" s="1303"/>
      <c r="M51" s="1303"/>
      <c r="N51" s="1303"/>
      <c r="O51" s="1303" t="s">
        <v>131</v>
      </c>
      <c r="P51" s="1303"/>
      <c r="Q51" s="1303"/>
      <c r="R51" s="1303"/>
      <c r="S51" s="1303"/>
      <c r="T51" s="1303"/>
      <c r="U51" s="1303"/>
      <c r="V51" s="1303"/>
      <c r="W51" s="1303" t="s">
        <v>130</v>
      </c>
      <c r="X51" s="1303"/>
      <c r="Y51" s="1303"/>
      <c r="Z51" s="1303"/>
      <c r="AA51" s="1303"/>
      <c r="AB51" s="1303"/>
      <c r="AC51" s="1303"/>
      <c r="AD51" s="1303"/>
      <c r="AE51" s="8"/>
      <c r="AF51" s="8"/>
    </row>
    <row r="52" spans="1:32" x14ac:dyDescent="0.25">
      <c r="A52" s="1303"/>
      <c r="B52" s="1303"/>
      <c r="C52" s="1303"/>
      <c r="D52" s="1303"/>
      <c r="E52" s="1303"/>
      <c r="F52" s="1303"/>
      <c r="G52" s="1303"/>
      <c r="H52" s="1303"/>
      <c r="I52" s="1303"/>
      <c r="J52" s="1303"/>
      <c r="K52" s="1303"/>
      <c r="L52" s="1303"/>
      <c r="M52" s="1303"/>
      <c r="N52" s="1303"/>
      <c r="O52" s="1303" t="s">
        <v>117</v>
      </c>
      <c r="P52" s="1303"/>
      <c r="Q52" s="1303"/>
      <c r="R52" s="1303"/>
      <c r="S52" s="1303" t="s">
        <v>128</v>
      </c>
      <c r="T52" s="1303"/>
      <c r="U52" s="1303"/>
      <c r="V52" s="1303"/>
      <c r="W52" s="1303" t="s">
        <v>117</v>
      </c>
      <c r="X52" s="1303"/>
      <c r="Y52" s="1303"/>
      <c r="Z52" s="1303"/>
      <c r="AA52" s="1303" t="s">
        <v>128</v>
      </c>
      <c r="AB52" s="1303"/>
      <c r="AC52" s="1303"/>
      <c r="AD52" s="1303"/>
      <c r="AE52" s="8"/>
      <c r="AF52" s="8"/>
    </row>
    <row r="53" spans="1:32" x14ac:dyDescent="0.25">
      <c r="A53" s="1134" t="s">
        <v>90</v>
      </c>
      <c r="B53" s="1134"/>
      <c r="C53" s="1134"/>
      <c r="D53" s="1134"/>
      <c r="E53" s="1134"/>
      <c r="F53" s="1134"/>
      <c r="G53" s="1134"/>
      <c r="H53" s="1134"/>
      <c r="I53" s="1134"/>
      <c r="J53" s="1134"/>
      <c r="K53" s="1134"/>
      <c r="L53" s="1134"/>
      <c r="M53" s="1134"/>
      <c r="N53" s="1134"/>
      <c r="O53" s="1243">
        <v>2.2999999999999998</v>
      </c>
      <c r="P53" s="1243"/>
      <c r="Q53" s="1243"/>
      <c r="R53" s="1243"/>
      <c r="S53" s="1243">
        <v>2.5</v>
      </c>
      <c r="T53" s="1243"/>
      <c r="U53" s="1243"/>
      <c r="V53" s="1243"/>
      <c r="W53" s="1243">
        <v>1.7</v>
      </c>
      <c r="X53" s="1243"/>
      <c r="Y53" s="1243"/>
      <c r="Z53" s="1243"/>
      <c r="AA53" s="1243">
        <v>2.1</v>
      </c>
      <c r="AB53" s="1243"/>
      <c r="AC53" s="1243"/>
      <c r="AD53" s="1243"/>
      <c r="AE53" s="8"/>
      <c r="AF53" s="8"/>
    </row>
    <row r="54" spans="1:32" x14ac:dyDescent="0.25">
      <c r="A54" s="1134" t="s">
        <v>91</v>
      </c>
      <c r="B54" s="1134"/>
      <c r="C54" s="1134"/>
      <c r="D54" s="1134"/>
      <c r="E54" s="1134"/>
      <c r="F54" s="1134"/>
      <c r="G54" s="1134"/>
      <c r="H54" s="1134"/>
      <c r="I54" s="1134"/>
      <c r="J54" s="1134"/>
      <c r="K54" s="1134"/>
      <c r="L54" s="1134"/>
      <c r="M54" s="1134"/>
      <c r="N54" s="1134"/>
      <c r="O54" s="1243">
        <v>1.05</v>
      </c>
      <c r="P54" s="1243"/>
      <c r="Q54" s="1243"/>
      <c r="R54" s="1243"/>
      <c r="S54" s="1243">
        <v>1.35</v>
      </c>
      <c r="T54" s="1243"/>
      <c r="U54" s="1243"/>
      <c r="V54" s="1243"/>
      <c r="W54" s="1243">
        <v>1</v>
      </c>
      <c r="X54" s="1243"/>
      <c r="Y54" s="1243"/>
      <c r="Z54" s="1243"/>
      <c r="AA54" s="1243">
        <v>1.1000000000000001</v>
      </c>
      <c r="AB54" s="1243"/>
      <c r="AC54" s="1243"/>
      <c r="AD54" s="1243"/>
      <c r="AE54" s="8"/>
      <c r="AF54" s="8"/>
    </row>
    <row r="55" spans="1:32" x14ac:dyDescent="0.25">
      <c r="A55" s="1134" t="s">
        <v>2187</v>
      </c>
      <c r="B55" s="1134"/>
      <c r="C55" s="1134"/>
      <c r="D55" s="1134"/>
      <c r="E55" s="1134"/>
      <c r="F55" s="1134"/>
      <c r="G55" s="1134"/>
      <c r="H55" s="1134"/>
      <c r="I55" s="1134"/>
      <c r="J55" s="1134"/>
      <c r="K55" s="1134"/>
      <c r="L55" s="1134"/>
      <c r="M55" s="1134"/>
      <c r="N55" s="1134"/>
      <c r="O55" s="1750">
        <v>0.75</v>
      </c>
      <c r="P55" s="1750"/>
      <c r="Q55" s="1750"/>
      <c r="R55" s="1750"/>
      <c r="S55" s="1750">
        <v>0.7</v>
      </c>
      <c r="T55" s="1750"/>
      <c r="U55" s="1750"/>
      <c r="V55" s="1750"/>
      <c r="W55" s="1750">
        <v>0.8</v>
      </c>
      <c r="X55" s="1750"/>
      <c r="Y55" s="1750"/>
      <c r="Z55" s="1750"/>
      <c r="AA55" s="1750">
        <v>0.8</v>
      </c>
      <c r="AB55" s="1750"/>
      <c r="AC55" s="1750"/>
      <c r="AD55" s="1750"/>
      <c r="AE55" s="8"/>
      <c r="AF55" s="8"/>
    </row>
    <row r="56" spans="1:32" x14ac:dyDescent="0.25">
      <c r="A56" s="1134" t="s">
        <v>127</v>
      </c>
      <c r="B56" s="1134"/>
      <c r="C56" s="1134"/>
      <c r="D56" s="1134"/>
      <c r="E56" s="1134"/>
      <c r="F56" s="1134"/>
      <c r="G56" s="1134"/>
      <c r="H56" s="1134"/>
      <c r="I56" s="1134"/>
      <c r="J56" s="1134"/>
      <c r="K56" s="1134"/>
      <c r="L56" s="1134"/>
      <c r="M56" s="1134"/>
      <c r="N56" s="1134"/>
      <c r="O56" s="1243">
        <v>65</v>
      </c>
      <c r="P56" s="1243"/>
      <c r="Q56" s="1243"/>
      <c r="R56" s="1243"/>
      <c r="S56" s="1243">
        <v>100</v>
      </c>
      <c r="T56" s="1243"/>
      <c r="U56" s="1243"/>
      <c r="V56" s="1243"/>
      <c r="W56" s="1243">
        <v>70</v>
      </c>
      <c r="X56" s="1243"/>
      <c r="Y56" s="1243"/>
      <c r="Z56" s="1243"/>
      <c r="AA56" s="1243">
        <v>110</v>
      </c>
      <c r="AB56" s="1243"/>
      <c r="AC56" s="1243"/>
      <c r="AD56" s="1243"/>
      <c r="AE56" s="8"/>
      <c r="AF56" s="8"/>
    </row>
    <row r="57" spans="1:32" x14ac:dyDescent="0.25">
      <c r="A57" s="1134" t="s">
        <v>126</v>
      </c>
      <c r="B57" s="1134"/>
      <c r="C57" s="1134"/>
      <c r="D57" s="1134"/>
      <c r="E57" s="1134"/>
      <c r="F57" s="1134"/>
      <c r="G57" s="1134"/>
      <c r="H57" s="1134"/>
      <c r="I57" s="1134"/>
      <c r="J57" s="1134"/>
      <c r="K57" s="1134"/>
      <c r="L57" s="1134"/>
      <c r="M57" s="1134"/>
      <c r="N57" s="1134"/>
      <c r="O57" s="1243">
        <v>150</v>
      </c>
      <c r="P57" s="1243"/>
      <c r="Q57" s="1243"/>
      <c r="R57" s="1243"/>
      <c r="S57" s="1243">
        <v>150</v>
      </c>
      <c r="T57" s="1243"/>
      <c r="U57" s="1243"/>
      <c r="V57" s="1243"/>
      <c r="W57" s="1243">
        <v>150</v>
      </c>
      <c r="X57" s="1243"/>
      <c r="Y57" s="1243"/>
      <c r="Z57" s="1243"/>
      <c r="AA57" s="1243">
        <v>150</v>
      </c>
      <c r="AB57" s="1243"/>
      <c r="AC57" s="1243"/>
      <c r="AD57" s="1243"/>
      <c r="AE57" s="8"/>
      <c r="AF57" s="8"/>
    </row>
    <row r="58" spans="1:32" x14ac:dyDescent="0.25">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row>
    <row r="59" spans="1:32" x14ac:dyDescent="0.25">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row>
    <row r="60" spans="1:32" x14ac:dyDescent="0.25">
      <c r="A60" s="1472" t="s">
        <v>21</v>
      </c>
      <c r="B60" s="1472"/>
      <c r="C60" s="1472"/>
      <c r="D60" s="1472"/>
      <c r="E60" s="1472"/>
      <c r="F60" s="1472"/>
      <c r="G60" s="1472"/>
      <c r="H60" s="1472"/>
      <c r="I60" s="1472"/>
      <c r="J60" s="1472"/>
      <c r="K60" s="1472"/>
      <c r="L60" s="1472"/>
      <c r="M60" s="1472"/>
      <c r="N60" s="1472"/>
      <c r="O60" s="1472"/>
      <c r="P60" s="1472"/>
      <c r="Q60" s="1472"/>
      <c r="R60" s="1472"/>
      <c r="S60" s="1472"/>
      <c r="T60" s="1472"/>
      <c r="U60" s="1472"/>
      <c r="V60" s="1472"/>
      <c r="W60" s="1472"/>
      <c r="X60" s="1472"/>
      <c r="Y60" s="1472"/>
      <c r="Z60" s="1472"/>
      <c r="AA60" s="1472"/>
      <c r="AB60" s="1472"/>
      <c r="AC60" s="1472"/>
      <c r="AD60" s="1472"/>
      <c r="AE60" s="1472"/>
      <c r="AF60" s="1472"/>
    </row>
    <row r="62" spans="1:32" x14ac:dyDescent="0.25">
      <c r="A62" s="1788" t="s">
        <v>134</v>
      </c>
      <c r="B62" s="1789"/>
      <c r="C62" s="1789"/>
      <c r="D62" s="1789"/>
      <c r="E62" s="1789"/>
      <c r="F62" s="1790"/>
      <c r="G62" s="1303" t="s">
        <v>117</v>
      </c>
      <c r="H62" s="1303"/>
      <c r="I62" s="1303"/>
      <c r="J62" s="1303"/>
      <c r="K62" s="1303" t="s">
        <v>128</v>
      </c>
      <c r="L62" s="1303"/>
      <c r="M62" s="1303"/>
      <c r="N62" s="1303"/>
      <c r="O62" s="10"/>
      <c r="P62" s="10"/>
      <c r="Q62" s="10"/>
      <c r="R62" s="10"/>
      <c r="S62" s="1788" t="s">
        <v>135</v>
      </c>
      <c r="T62" s="1789"/>
      <c r="U62" s="1789"/>
      <c r="V62" s="1789"/>
      <c r="W62" s="1789"/>
      <c r="X62" s="1790"/>
      <c r="Y62" s="1303" t="s">
        <v>117</v>
      </c>
      <c r="Z62" s="1303"/>
      <c r="AA62" s="1303"/>
      <c r="AB62" s="1303"/>
      <c r="AC62" s="1303" t="s">
        <v>128</v>
      </c>
      <c r="AD62" s="1303"/>
      <c r="AE62" s="1303"/>
      <c r="AF62" s="1303"/>
    </row>
    <row r="63" spans="1:32" x14ac:dyDescent="0.25">
      <c r="A63" s="1754" t="s">
        <v>98</v>
      </c>
      <c r="B63" s="1754"/>
      <c r="C63" s="1754"/>
      <c r="D63" s="1754"/>
      <c r="E63" s="1754"/>
      <c r="F63" s="1754"/>
      <c r="G63" s="1787">
        <f>Q39*Q38/O55*O57</f>
        <v>12191.000000000002</v>
      </c>
      <c r="H63" s="1787"/>
      <c r="I63" s="1787"/>
      <c r="J63" s="1787"/>
      <c r="K63" s="1787">
        <f>Q39*Q38/S55*S57</f>
        <v>13061.785714285716</v>
      </c>
      <c r="L63" s="1787"/>
      <c r="M63" s="1787"/>
      <c r="N63" s="1787"/>
      <c r="S63" s="1754" t="s">
        <v>98</v>
      </c>
      <c r="T63" s="1754"/>
      <c r="U63" s="1754"/>
      <c r="V63" s="1754"/>
      <c r="W63" s="1754"/>
      <c r="X63" s="1754"/>
      <c r="Y63" s="1787">
        <f>Q39*Q38/W55*W57</f>
        <v>11429.062500000002</v>
      </c>
      <c r="Z63" s="1787"/>
      <c r="AA63" s="1787"/>
      <c r="AB63" s="1787"/>
      <c r="AC63" s="1787">
        <f>Q39*Q38/AA55*AA57</f>
        <v>11429.062500000002</v>
      </c>
      <c r="AD63" s="1787"/>
      <c r="AE63" s="1787"/>
      <c r="AF63" s="1787"/>
    </row>
    <row r="64" spans="1:32" x14ac:dyDescent="0.25">
      <c r="A64" s="1754" t="s">
        <v>99</v>
      </c>
      <c r="B64" s="1754"/>
      <c r="C64" s="1754"/>
      <c r="D64" s="1754"/>
      <c r="E64" s="1754"/>
      <c r="F64" s="1754"/>
      <c r="G64" s="1787">
        <f>$Q$39*O54*($Q$36-($Q$37/60)-(O57/O56))</f>
        <v>3618.7644230769233</v>
      </c>
      <c r="H64" s="1787"/>
      <c r="I64" s="1787"/>
      <c r="J64" s="1787"/>
      <c r="K64" s="1787">
        <f>$Q$39*S54*($Q$36-($Q$37/60)-(S57/S56))</f>
        <v>5050.6875000000009</v>
      </c>
      <c r="L64" s="1787"/>
      <c r="M64" s="1787"/>
      <c r="N64" s="1787"/>
      <c r="S64" s="1754" t="s">
        <v>99</v>
      </c>
      <c r="T64" s="1754"/>
      <c r="U64" s="1754"/>
      <c r="V64" s="1754"/>
      <c r="W64" s="1754"/>
      <c r="X64" s="1754"/>
      <c r="Y64" s="1787">
        <f>$Q$39*W54*($Q$36-($Q$37/60)-(W57/W56))</f>
        <v>3506.6071428571431</v>
      </c>
      <c r="Z64" s="1787"/>
      <c r="AA64" s="1787"/>
      <c r="AB64" s="1787"/>
      <c r="AC64" s="1787">
        <f>$Q$39*AA54*($Q$36-($Q$37/60)-(AA57/AA56))</f>
        <v>4170.1250000000009</v>
      </c>
      <c r="AD64" s="1787"/>
      <c r="AE64" s="1787"/>
      <c r="AF64" s="1787"/>
    </row>
    <row r="65" spans="1:34" x14ac:dyDescent="0.25">
      <c r="A65" s="1754" t="s">
        <v>100</v>
      </c>
      <c r="B65" s="1754"/>
      <c r="C65" s="1754"/>
      <c r="D65" s="1754"/>
      <c r="E65" s="1754"/>
      <c r="F65" s="1754"/>
      <c r="G65" s="1787">
        <f>O53*Q39</f>
        <v>839.49999999999989</v>
      </c>
      <c r="H65" s="1787"/>
      <c r="I65" s="1787"/>
      <c r="J65" s="1787"/>
      <c r="K65" s="1787">
        <f>S53*Q39</f>
        <v>912.5</v>
      </c>
      <c r="L65" s="1787"/>
      <c r="M65" s="1787"/>
      <c r="N65" s="1787"/>
      <c r="S65" s="1754" t="s">
        <v>100</v>
      </c>
      <c r="T65" s="1754"/>
      <c r="U65" s="1754"/>
      <c r="V65" s="1754"/>
      <c r="W65" s="1754"/>
      <c r="X65" s="1754"/>
      <c r="Y65" s="1787">
        <f>W53*Q39</f>
        <v>620.5</v>
      </c>
      <c r="Z65" s="1787"/>
      <c r="AA65" s="1787"/>
      <c r="AB65" s="1787"/>
      <c r="AC65" s="1787">
        <f>AA53*Q39</f>
        <v>766.5</v>
      </c>
      <c r="AD65" s="1787"/>
      <c r="AE65" s="1787"/>
      <c r="AF65" s="1787"/>
    </row>
    <row r="66" spans="1:34" x14ac:dyDescent="0.25">
      <c r="A66" s="1754" t="s">
        <v>133</v>
      </c>
      <c r="B66" s="1754"/>
      <c r="C66" s="1754"/>
      <c r="D66" s="1754"/>
      <c r="E66" s="1754"/>
      <c r="F66" s="1754"/>
      <c r="G66" s="1787">
        <f>SUM(G63:J65)</f>
        <v>16649.264423076926</v>
      </c>
      <c r="H66" s="1787"/>
      <c r="I66" s="1787"/>
      <c r="J66" s="1787"/>
      <c r="K66" s="1787">
        <f>SUM(K63:N65)</f>
        <v>19024.973214285717</v>
      </c>
      <c r="L66" s="1787"/>
      <c r="M66" s="1787"/>
      <c r="N66" s="1787"/>
      <c r="S66" s="1754" t="s">
        <v>133</v>
      </c>
      <c r="T66" s="1754"/>
      <c r="U66" s="1754"/>
      <c r="V66" s="1754"/>
      <c r="W66" s="1754"/>
      <c r="X66" s="1754"/>
      <c r="Y66" s="1787">
        <f>SUM(Y63:AB65)</f>
        <v>15556.169642857145</v>
      </c>
      <c r="Z66" s="1787"/>
      <c r="AA66" s="1787"/>
      <c r="AB66" s="1787"/>
      <c r="AC66" s="1787">
        <f>SUM(AC63:AF65)</f>
        <v>16365.687500000004</v>
      </c>
      <c r="AD66" s="1787"/>
      <c r="AE66" s="1787"/>
      <c r="AF66" s="1787"/>
      <c r="AH66" s="11"/>
    </row>
    <row r="67" spans="1:34" x14ac:dyDescent="0.25">
      <c r="A67" s="1754" t="s">
        <v>101</v>
      </c>
      <c r="B67" s="1754"/>
      <c r="C67" s="1754"/>
      <c r="D67" s="1754"/>
      <c r="E67" s="1754"/>
      <c r="F67" s="1754"/>
      <c r="G67" s="1786">
        <f>G66/($Q$36*$Q$39)</f>
        <v>3.8012019230769236</v>
      </c>
      <c r="H67" s="1786"/>
      <c r="I67" s="1786"/>
      <c r="J67" s="1786"/>
      <c r="K67" s="1786">
        <f>K66/($Q$36*$Q$39)</f>
        <v>4.3436011904761909</v>
      </c>
      <c r="L67" s="1786"/>
      <c r="M67" s="1786"/>
      <c r="N67" s="1786"/>
      <c r="S67" s="1754" t="s">
        <v>101</v>
      </c>
      <c r="T67" s="1754"/>
      <c r="U67" s="1754"/>
      <c r="V67" s="1754"/>
      <c r="W67" s="1754"/>
      <c r="X67" s="1754"/>
      <c r="Y67" s="1786">
        <f>Y66/($Q$36*$Q$39)</f>
        <v>3.5516369047619052</v>
      </c>
      <c r="Z67" s="1786"/>
      <c r="AA67" s="1786"/>
      <c r="AB67" s="1786"/>
      <c r="AC67" s="1786">
        <f>AC66/($Q$36*$Q$39)</f>
        <v>3.7364583333333341</v>
      </c>
      <c r="AD67" s="1786"/>
      <c r="AE67" s="1786"/>
      <c r="AF67" s="1786"/>
    </row>
    <row r="68" spans="1:34" ht="15.75" thickBot="1" x14ac:dyDescent="0.3"/>
    <row r="69" spans="1:34" x14ac:dyDescent="0.25">
      <c r="A69" s="1583" t="s">
        <v>22</v>
      </c>
      <c r="B69" s="1584"/>
      <c r="C69" s="1584"/>
      <c r="D69" s="1584"/>
      <c r="E69" s="1584"/>
      <c r="F69" s="1584"/>
      <c r="G69" s="1584"/>
      <c r="H69" s="1584"/>
      <c r="I69" s="1584" t="s">
        <v>23</v>
      </c>
      <c r="J69" s="1584"/>
      <c r="K69" s="1584"/>
      <c r="L69" s="1584"/>
      <c r="M69" s="1584"/>
      <c r="N69" s="1584"/>
      <c r="O69" s="1584"/>
      <c r="P69" s="1584"/>
      <c r="Q69" s="1584" t="s">
        <v>24</v>
      </c>
      <c r="R69" s="1584"/>
      <c r="S69" s="1584"/>
      <c r="T69" s="1584"/>
      <c r="U69" s="1584"/>
      <c r="V69" s="1584"/>
      <c r="W69" s="1584"/>
      <c r="X69" s="1585"/>
    </row>
    <row r="70" spans="1:34" x14ac:dyDescent="0.25">
      <c r="A70" s="1782" t="s">
        <v>136</v>
      </c>
      <c r="B70" s="1243"/>
      <c r="C70" s="1243"/>
      <c r="D70" s="1243"/>
      <c r="E70" s="1243"/>
      <c r="F70" s="1243"/>
      <c r="G70" s="1243"/>
      <c r="H70" s="1243"/>
      <c r="I70" s="1783">
        <f>ROUND(G67-Y67,3)</f>
        <v>0.25</v>
      </c>
      <c r="J70" s="1783"/>
      <c r="K70" s="1783"/>
      <c r="L70" s="1783"/>
      <c r="M70" s="1783"/>
      <c r="N70" s="1783"/>
      <c r="O70" s="1783"/>
      <c r="P70" s="1783"/>
      <c r="Q70" s="1784">
        <f>ROUND(G66-Y66,2)</f>
        <v>1093.0899999999999</v>
      </c>
      <c r="R70" s="1784"/>
      <c r="S70" s="1784"/>
      <c r="T70" s="1784"/>
      <c r="U70" s="1784"/>
      <c r="V70" s="1784"/>
      <c r="W70" s="1784"/>
      <c r="X70" s="1785"/>
    </row>
    <row r="71" spans="1:34" ht="15.75" thickBot="1" x14ac:dyDescent="0.3">
      <c r="A71" s="1578" t="s">
        <v>137</v>
      </c>
      <c r="B71" s="1579"/>
      <c r="C71" s="1579"/>
      <c r="D71" s="1579"/>
      <c r="E71" s="1579"/>
      <c r="F71" s="1579"/>
      <c r="G71" s="1579"/>
      <c r="H71" s="1579"/>
      <c r="I71" s="1744">
        <f>ROUND(K67-AC67,3)</f>
        <v>0.60699999999999998</v>
      </c>
      <c r="J71" s="1744"/>
      <c r="K71" s="1744"/>
      <c r="L71" s="1744"/>
      <c r="M71" s="1744"/>
      <c r="N71" s="1744"/>
      <c r="O71" s="1744"/>
      <c r="P71" s="1744"/>
      <c r="Q71" s="1745">
        <f>ROUND(K66-AC66,2)</f>
        <v>2659.29</v>
      </c>
      <c r="R71" s="1745"/>
      <c r="S71" s="1745"/>
      <c r="T71" s="1745"/>
      <c r="U71" s="1745"/>
      <c r="V71" s="1745"/>
      <c r="W71" s="1745"/>
      <c r="X71" s="1746"/>
    </row>
  </sheetData>
  <sheetProtection algorithmName="SHA-512" hashValue="Mo803zHmOW4R7kBKL81Q+vNYDmWqk1m0T4tZ31e2l09gNm7kVm7yW/q1TdiC0SV2/2ljjbHVj5D6dyh5Sqaidw==" saltValue="reXSnxI+a0oosA2/0zzigA==" spinCount="100000" sheet="1" objects="1" scenarios="1"/>
  <mergeCells count="176">
    <mergeCell ref="A1:AF1"/>
    <mergeCell ref="A3:AF3"/>
    <mergeCell ref="B5:I5"/>
    <mergeCell ref="B12:N12"/>
    <mergeCell ref="O12:S12"/>
    <mergeCell ref="T12:X12"/>
    <mergeCell ref="B13:N13"/>
    <mergeCell ref="O13:S13"/>
    <mergeCell ref="T13:X13"/>
    <mergeCell ref="B6:AF6"/>
    <mergeCell ref="B8:I8"/>
    <mergeCell ref="B9:AF9"/>
    <mergeCell ref="B11:N11"/>
    <mergeCell ref="O11:S11"/>
    <mergeCell ref="T11:X11"/>
    <mergeCell ref="A25:AF25"/>
    <mergeCell ref="A27:G27"/>
    <mergeCell ref="H27:AF27"/>
    <mergeCell ref="A28:G28"/>
    <mergeCell ref="H28:AF28"/>
    <mergeCell ref="A29:G29"/>
    <mergeCell ref="H29:AF29"/>
    <mergeCell ref="B15:I15"/>
    <mergeCell ref="B16:AF16"/>
    <mergeCell ref="B18:I18"/>
    <mergeCell ref="B19:AF19"/>
    <mergeCell ref="B22:AF22"/>
    <mergeCell ref="A30:G30"/>
    <mergeCell ref="H30:AF30"/>
    <mergeCell ref="A31:G31"/>
    <mergeCell ref="H31:AF31"/>
    <mergeCell ref="A34:AF34"/>
    <mergeCell ref="A35:D35"/>
    <mergeCell ref="E35:P35"/>
    <mergeCell ref="Q35:T35"/>
    <mergeCell ref="U35:W35"/>
    <mergeCell ref="X35:AF35"/>
    <mergeCell ref="A36:D36"/>
    <mergeCell ref="E36:P36"/>
    <mergeCell ref="Q36:T36"/>
    <mergeCell ref="U36:W36"/>
    <mergeCell ref="X36:AF36"/>
    <mergeCell ref="A37:D37"/>
    <mergeCell ref="E37:P37"/>
    <mergeCell ref="Q37:T37"/>
    <mergeCell ref="U37:W37"/>
    <mergeCell ref="X37:AF37"/>
    <mergeCell ref="A38:D38"/>
    <mergeCell ref="E38:P38"/>
    <mergeCell ref="Q38:T38"/>
    <mergeCell ref="U38:W38"/>
    <mergeCell ref="X38:AF38"/>
    <mergeCell ref="A39:D39"/>
    <mergeCell ref="E39:P39"/>
    <mergeCell ref="Q39:T39"/>
    <mergeCell ref="U39:W39"/>
    <mergeCell ref="X39:AF39"/>
    <mergeCell ref="A40:D40"/>
    <mergeCell ref="E40:P40"/>
    <mergeCell ref="Q40:T40"/>
    <mergeCell ref="U40:W40"/>
    <mergeCell ref="X40:AF40"/>
    <mergeCell ref="A41:D41"/>
    <mergeCell ref="E41:P41"/>
    <mergeCell ref="Q41:T41"/>
    <mergeCell ref="U41:W41"/>
    <mergeCell ref="X41:AF41"/>
    <mergeCell ref="A42:D42"/>
    <mergeCell ref="E42:P42"/>
    <mergeCell ref="Q42:T42"/>
    <mergeCell ref="U42:W42"/>
    <mergeCell ref="X42:AF42"/>
    <mergeCell ref="A43:D43"/>
    <mergeCell ref="E43:P43"/>
    <mergeCell ref="Q43:T43"/>
    <mergeCell ref="U43:W43"/>
    <mergeCell ref="X43:AF43"/>
    <mergeCell ref="A44:D44"/>
    <mergeCell ref="E44:P44"/>
    <mergeCell ref="Q44:T44"/>
    <mergeCell ref="U44:W44"/>
    <mergeCell ref="X44:AF44"/>
    <mergeCell ref="A45:D45"/>
    <mergeCell ref="E45:P45"/>
    <mergeCell ref="Q45:T45"/>
    <mergeCell ref="U45:W45"/>
    <mergeCell ref="X45:AF45"/>
    <mergeCell ref="A49:AF49"/>
    <mergeCell ref="A51:N52"/>
    <mergeCell ref="O51:V51"/>
    <mergeCell ref="W51:AD51"/>
    <mergeCell ref="O52:R52"/>
    <mergeCell ref="S52:V52"/>
    <mergeCell ref="W52:Z52"/>
    <mergeCell ref="AA52:AD52"/>
    <mergeCell ref="A46:D46"/>
    <mergeCell ref="E46:P46"/>
    <mergeCell ref="Q46:T46"/>
    <mergeCell ref="U46:W46"/>
    <mergeCell ref="X46:AF46"/>
    <mergeCell ref="A47:D47"/>
    <mergeCell ref="E47:P47"/>
    <mergeCell ref="Q47:T47"/>
    <mergeCell ref="U47:W47"/>
    <mergeCell ref="X47:AF47"/>
    <mergeCell ref="A53:N53"/>
    <mergeCell ref="O53:R53"/>
    <mergeCell ref="S53:V53"/>
    <mergeCell ref="W53:Z53"/>
    <mergeCell ref="AA53:AD53"/>
    <mergeCell ref="A54:N54"/>
    <mergeCell ref="O54:R54"/>
    <mergeCell ref="S54:V54"/>
    <mergeCell ref="W54:Z54"/>
    <mergeCell ref="AA54:AD54"/>
    <mergeCell ref="A57:N57"/>
    <mergeCell ref="O57:R57"/>
    <mergeCell ref="S57:V57"/>
    <mergeCell ref="W57:Z57"/>
    <mergeCell ref="AA57:AD57"/>
    <mergeCell ref="A60:AF60"/>
    <mergeCell ref="A55:N55"/>
    <mergeCell ref="O55:R55"/>
    <mergeCell ref="S55:V55"/>
    <mergeCell ref="W55:Z55"/>
    <mergeCell ref="AA55:AD55"/>
    <mergeCell ref="A56:N56"/>
    <mergeCell ref="O56:R56"/>
    <mergeCell ref="S56:V56"/>
    <mergeCell ref="W56:Z56"/>
    <mergeCell ref="AA56:AD56"/>
    <mergeCell ref="A63:F63"/>
    <mergeCell ref="G63:J63"/>
    <mergeCell ref="K63:N63"/>
    <mergeCell ref="S63:X63"/>
    <mergeCell ref="Y63:AB63"/>
    <mergeCell ref="AC63:AF63"/>
    <mergeCell ref="A62:F62"/>
    <mergeCell ref="G62:J62"/>
    <mergeCell ref="K62:N62"/>
    <mergeCell ref="S62:X62"/>
    <mergeCell ref="Y62:AB62"/>
    <mergeCell ref="AC62:AF62"/>
    <mergeCell ref="A65:F65"/>
    <mergeCell ref="G65:J65"/>
    <mergeCell ref="K65:N65"/>
    <mergeCell ref="S65:X65"/>
    <mergeCell ref="Y65:AB65"/>
    <mergeCell ref="AC65:AF65"/>
    <mergeCell ref="A64:F64"/>
    <mergeCell ref="G64:J64"/>
    <mergeCell ref="K64:N64"/>
    <mergeCell ref="S64:X64"/>
    <mergeCell ref="Y64:AB64"/>
    <mergeCell ref="AC64:AF64"/>
    <mergeCell ref="A67:F67"/>
    <mergeCell ref="G67:J67"/>
    <mergeCell ref="K67:N67"/>
    <mergeCell ref="S67:X67"/>
    <mergeCell ref="Y67:AB67"/>
    <mergeCell ref="AC67:AF67"/>
    <mergeCell ref="A66:F66"/>
    <mergeCell ref="G66:J66"/>
    <mergeCell ref="K66:N66"/>
    <mergeCell ref="S66:X66"/>
    <mergeCell ref="Y66:AB66"/>
    <mergeCell ref="AC66:AF66"/>
    <mergeCell ref="A71:H71"/>
    <mergeCell ref="I71:P71"/>
    <mergeCell ref="Q71:X71"/>
    <mergeCell ref="A69:H69"/>
    <mergeCell ref="I69:P69"/>
    <mergeCell ref="Q69:X69"/>
    <mergeCell ref="A70:H70"/>
    <mergeCell ref="I70:P70"/>
    <mergeCell ref="Q70:X70"/>
  </mergeCells>
  <hyperlinks>
    <hyperlink ref="A2" location="TOC!A1" display="Return to TOC" xr:uid="{00000000-0004-0000-1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theme="7" tint="0.79998168889431442"/>
    <pageSetUpPr autoPageBreaks="0"/>
  </sheetPr>
  <dimension ref="A1:AJ56"/>
  <sheetViews>
    <sheetView workbookViewId="0">
      <selection sqref="A1:AF1"/>
    </sheetView>
  </sheetViews>
  <sheetFormatPr defaultColWidth="2.7109375" defaultRowHeight="15" x14ac:dyDescent="0.25"/>
  <cols>
    <col min="1" max="16384" width="2.7109375" style="1"/>
  </cols>
  <sheetData>
    <row r="1" spans="1:32" ht="18.75" x14ac:dyDescent="0.25">
      <c r="A1" s="1464" t="s">
        <v>1128</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472" t="s">
        <v>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1475" t="s">
        <v>10</v>
      </c>
      <c r="C5" s="1475"/>
      <c r="D5" s="1475"/>
      <c r="E5" s="1475"/>
      <c r="F5" s="1475"/>
      <c r="G5" s="1475"/>
      <c r="H5" s="1475"/>
      <c r="I5" s="1475"/>
    </row>
    <row r="6" spans="1:32" s="4" customFormat="1" ht="96" customHeight="1" x14ac:dyDescent="0.25">
      <c r="B6" s="1247" t="s">
        <v>138</v>
      </c>
      <c r="C6" s="1247"/>
      <c r="D6" s="1247"/>
      <c r="E6" s="1247"/>
      <c r="F6" s="1247"/>
      <c r="G6" s="1247"/>
      <c r="H6" s="1247"/>
      <c r="I6" s="1247"/>
      <c r="J6" s="1247"/>
      <c r="K6" s="1247"/>
      <c r="L6" s="1247"/>
      <c r="M6" s="1247"/>
      <c r="N6" s="1247"/>
      <c r="O6" s="1247"/>
      <c r="P6" s="1247"/>
      <c r="Q6" s="1247"/>
      <c r="R6" s="1247"/>
      <c r="S6" s="1247"/>
      <c r="T6" s="1247"/>
      <c r="U6" s="1247"/>
      <c r="V6" s="1247"/>
      <c r="W6" s="1247"/>
      <c r="X6" s="1247"/>
      <c r="Y6" s="1247"/>
      <c r="Z6" s="1247"/>
      <c r="AA6" s="1247"/>
      <c r="AB6" s="1247"/>
      <c r="AC6" s="1247"/>
      <c r="AD6" s="1247"/>
      <c r="AE6" s="1247"/>
      <c r="AF6" s="1247"/>
    </row>
    <row r="8" spans="1:32" x14ac:dyDescent="0.25">
      <c r="B8" s="1475" t="s">
        <v>11</v>
      </c>
      <c r="C8" s="1475"/>
      <c r="D8" s="1475"/>
      <c r="E8" s="1475"/>
      <c r="F8" s="1475"/>
      <c r="G8" s="1475"/>
      <c r="H8" s="1475"/>
      <c r="I8" s="1475"/>
    </row>
    <row r="9" spans="1:32" ht="159" customHeight="1" x14ac:dyDescent="0.25">
      <c r="B9" s="1247" t="s">
        <v>139</v>
      </c>
      <c r="C9" s="1476"/>
      <c r="D9" s="1476"/>
      <c r="E9" s="1476"/>
      <c r="F9" s="1476"/>
      <c r="G9" s="1476"/>
      <c r="H9" s="1476"/>
      <c r="I9" s="1476"/>
      <c r="J9" s="1476"/>
      <c r="K9" s="1476"/>
      <c r="L9" s="1476"/>
      <c r="M9" s="1476"/>
      <c r="N9" s="1476"/>
      <c r="O9" s="1476"/>
      <c r="P9" s="1476"/>
      <c r="Q9" s="1476"/>
      <c r="R9" s="1476"/>
      <c r="S9" s="1476"/>
      <c r="T9" s="1476"/>
      <c r="U9" s="1476"/>
      <c r="V9" s="1476"/>
      <c r="W9" s="1476"/>
      <c r="X9" s="1476"/>
      <c r="Y9" s="1476"/>
      <c r="Z9" s="1476"/>
      <c r="AA9" s="1476"/>
      <c r="AB9" s="1476"/>
      <c r="AC9" s="1476"/>
      <c r="AD9" s="1476"/>
      <c r="AE9" s="1476"/>
      <c r="AF9" s="1476"/>
    </row>
    <row r="11" spans="1:32" x14ac:dyDescent="0.25">
      <c r="B11" s="1475" t="s">
        <v>12</v>
      </c>
      <c r="C11" s="1475"/>
      <c r="D11" s="1475"/>
      <c r="E11" s="1475"/>
      <c r="F11" s="1475"/>
      <c r="G11" s="1475"/>
      <c r="H11" s="1475"/>
      <c r="I11" s="1475"/>
    </row>
    <row r="12" spans="1:32" x14ac:dyDescent="0.25">
      <c r="B12" s="1473" t="s">
        <v>158</v>
      </c>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row>
    <row r="14" spans="1:32" x14ac:dyDescent="0.25">
      <c r="B14" s="1475" t="s">
        <v>13</v>
      </c>
      <c r="C14" s="1475"/>
      <c r="D14" s="1475"/>
      <c r="E14" s="1475"/>
      <c r="F14" s="1475"/>
      <c r="G14" s="1475"/>
      <c r="H14" s="1475"/>
      <c r="I14" s="1475"/>
    </row>
    <row r="15" spans="1:32" ht="33.75" customHeight="1" x14ac:dyDescent="0.25">
      <c r="B15" s="1247" t="s">
        <v>140</v>
      </c>
      <c r="C15" s="1247"/>
      <c r="D15" s="1247"/>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row>
    <row r="17" spans="1:32" x14ac:dyDescent="0.25">
      <c r="B17" s="171" t="s">
        <v>20</v>
      </c>
      <c r="C17" s="171"/>
      <c r="D17" s="171"/>
      <c r="E17" s="171"/>
      <c r="F17" s="171"/>
      <c r="G17" s="171"/>
      <c r="H17" s="171"/>
      <c r="I17" s="171"/>
    </row>
    <row r="18" spans="1:32" ht="33.75" customHeight="1" x14ac:dyDescent="0.25">
      <c r="B18" s="1247" t="s">
        <v>141</v>
      </c>
      <c r="C18" s="1247"/>
      <c r="D18" s="1247"/>
      <c r="E18" s="1247"/>
      <c r="F18" s="1247"/>
      <c r="G18" s="1247"/>
      <c r="H18" s="1247"/>
      <c r="I18" s="1247"/>
      <c r="J18" s="1247"/>
      <c r="K18" s="1247"/>
      <c r="L18" s="1247"/>
      <c r="M18" s="1247"/>
      <c r="N18" s="1247"/>
      <c r="O18" s="1247"/>
      <c r="P18" s="1247"/>
      <c r="Q18" s="1247"/>
      <c r="R18" s="1247"/>
      <c r="S18" s="1247"/>
      <c r="T18" s="1247"/>
      <c r="U18" s="1247"/>
      <c r="V18" s="1247"/>
      <c r="W18" s="1247"/>
      <c r="X18" s="1247"/>
      <c r="Y18" s="1247"/>
      <c r="Z18" s="1247"/>
      <c r="AA18" s="1247"/>
      <c r="AB18" s="1247"/>
      <c r="AC18" s="1247"/>
      <c r="AD18" s="1247"/>
      <c r="AE18" s="1247"/>
      <c r="AF18" s="1247"/>
    </row>
    <row r="21" spans="1:32" x14ac:dyDescent="0.25">
      <c r="A21" s="1472" t="s">
        <v>14</v>
      </c>
      <c r="B21" s="1472"/>
      <c r="C21" s="1472"/>
      <c r="D21" s="1472"/>
      <c r="E21" s="1472"/>
      <c r="F21" s="1472"/>
      <c r="G21" s="1472"/>
      <c r="H21" s="1472"/>
      <c r="I21" s="1472"/>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row>
    <row r="23" spans="1:32" ht="18" x14ac:dyDescent="0.25">
      <c r="A23" s="1752" t="s">
        <v>1516</v>
      </c>
      <c r="B23" s="1752"/>
      <c r="C23" s="1752"/>
      <c r="D23" s="1752"/>
      <c r="E23" s="1752"/>
      <c r="F23" s="1752"/>
      <c r="G23" s="204" t="s">
        <v>1518</v>
      </c>
    </row>
    <row r="24" spans="1:32" x14ac:dyDescent="0.25">
      <c r="A24" s="1752" t="s">
        <v>1517</v>
      </c>
      <c r="B24" s="1752"/>
      <c r="C24" s="1752"/>
      <c r="D24" s="1752"/>
      <c r="E24" s="1752"/>
      <c r="F24" s="1752"/>
      <c r="G24" s="204" t="s">
        <v>1519</v>
      </c>
      <c r="H24" s="8"/>
      <c r="I24" s="8"/>
      <c r="J24" s="8"/>
      <c r="K24" s="8"/>
      <c r="L24" s="8"/>
      <c r="M24" s="8"/>
      <c r="N24" s="8"/>
      <c r="O24" s="8"/>
      <c r="P24" s="8"/>
      <c r="Q24" s="8"/>
      <c r="R24" s="8"/>
      <c r="S24" s="8"/>
      <c r="T24" s="8"/>
      <c r="U24" s="8"/>
      <c r="V24" s="8"/>
      <c r="W24" s="8"/>
      <c r="X24" s="8"/>
      <c r="Y24" s="8"/>
      <c r="Z24" s="8"/>
      <c r="AA24" s="8"/>
      <c r="AB24" s="8"/>
      <c r="AC24" s="8"/>
      <c r="AD24" s="8"/>
      <c r="AE24" s="8"/>
      <c r="AF24" s="8"/>
    </row>
    <row r="25" spans="1:32" x14ac:dyDescent="0.25">
      <c r="A25" s="188"/>
      <c r="B25" s="188"/>
      <c r="C25" s="188"/>
      <c r="D25" s="188"/>
      <c r="E25" s="188"/>
      <c r="F25" s="188"/>
      <c r="G25" s="188"/>
      <c r="H25" s="8"/>
      <c r="I25" s="8"/>
      <c r="J25" s="8"/>
      <c r="K25" s="8"/>
      <c r="L25" s="8"/>
      <c r="M25" s="8"/>
      <c r="N25" s="8"/>
      <c r="O25" s="8"/>
      <c r="P25" s="8"/>
      <c r="Q25" s="8"/>
      <c r="R25" s="8"/>
      <c r="S25" s="8"/>
      <c r="T25" s="8"/>
      <c r="U25" s="8"/>
      <c r="V25" s="8"/>
      <c r="W25" s="8"/>
      <c r="X25" s="8"/>
      <c r="Y25" s="8"/>
      <c r="Z25" s="8"/>
      <c r="AA25" s="8"/>
      <c r="AB25" s="8"/>
      <c r="AC25" s="8"/>
      <c r="AD25" s="8"/>
      <c r="AE25" s="8"/>
      <c r="AF25" s="8"/>
    </row>
    <row r="26" spans="1:32" x14ac:dyDescent="0.25">
      <c r="A26" s="188"/>
      <c r="B26" s="188"/>
      <c r="C26" s="188"/>
      <c r="D26" s="188"/>
      <c r="E26" s="188"/>
      <c r="F26" s="188"/>
      <c r="G26" s="188"/>
      <c r="H26" s="8"/>
      <c r="I26" s="8"/>
      <c r="J26" s="8"/>
      <c r="K26" s="8"/>
      <c r="L26" s="8"/>
      <c r="M26" s="8"/>
      <c r="N26" s="8"/>
      <c r="O26" s="8"/>
      <c r="P26" s="8"/>
      <c r="Q26" s="8"/>
      <c r="R26" s="8"/>
      <c r="S26" s="8"/>
      <c r="T26" s="8"/>
      <c r="U26" s="8"/>
      <c r="V26" s="8"/>
      <c r="W26" s="8"/>
      <c r="X26" s="8"/>
      <c r="Y26" s="8"/>
      <c r="Z26" s="8"/>
      <c r="AA26" s="8"/>
      <c r="AB26" s="8"/>
      <c r="AC26" s="8"/>
      <c r="AD26" s="8"/>
      <c r="AE26" s="8"/>
      <c r="AF26" s="8"/>
    </row>
    <row r="27" spans="1:32" x14ac:dyDescent="0.25">
      <c r="A27" s="1472" t="s">
        <v>15</v>
      </c>
      <c r="B27" s="1472"/>
      <c r="C27" s="1472"/>
      <c r="D27" s="1472"/>
      <c r="E27" s="1472"/>
      <c r="F27" s="1472"/>
      <c r="G27" s="1472"/>
      <c r="H27" s="1472"/>
      <c r="I27" s="1472"/>
      <c r="J27" s="1472"/>
      <c r="K27" s="1472"/>
      <c r="L27" s="1472"/>
      <c r="M27" s="1472"/>
      <c r="N27" s="1472"/>
      <c r="O27" s="1472"/>
      <c r="P27" s="1472"/>
      <c r="Q27" s="1472"/>
      <c r="R27" s="1472"/>
      <c r="S27" s="1472"/>
      <c r="T27" s="1472"/>
      <c r="U27" s="1472"/>
      <c r="V27" s="1472"/>
      <c r="W27" s="1472"/>
      <c r="X27" s="1472"/>
      <c r="Y27" s="1472"/>
      <c r="Z27" s="1472"/>
      <c r="AA27" s="1472"/>
      <c r="AB27" s="1472"/>
      <c r="AC27" s="1472"/>
      <c r="AD27" s="1472"/>
      <c r="AE27" s="1472"/>
      <c r="AF27" s="1472"/>
    </row>
    <row r="28" spans="1:32" x14ac:dyDescent="0.25">
      <c r="A28" s="1474" t="s">
        <v>16</v>
      </c>
      <c r="B28" s="1474"/>
      <c r="C28" s="1474"/>
      <c r="D28" s="1474"/>
      <c r="E28" s="1474" t="s">
        <v>10</v>
      </c>
      <c r="F28" s="1474"/>
      <c r="G28" s="1474"/>
      <c r="H28" s="1474"/>
      <c r="I28" s="1474"/>
      <c r="J28" s="1474"/>
      <c r="K28" s="1474"/>
      <c r="L28" s="1474"/>
      <c r="M28" s="1474"/>
      <c r="N28" s="1474"/>
      <c r="O28" s="1474"/>
      <c r="P28" s="1474"/>
      <c r="Q28" s="1474" t="s">
        <v>17</v>
      </c>
      <c r="R28" s="1474"/>
      <c r="S28" s="1474"/>
      <c r="T28" s="1474"/>
      <c r="U28" s="1474" t="s">
        <v>18</v>
      </c>
      <c r="V28" s="1474"/>
      <c r="W28" s="1474" t="s">
        <v>19</v>
      </c>
      <c r="X28" s="1474"/>
      <c r="Y28" s="1474"/>
      <c r="Z28" s="1474"/>
      <c r="AA28" s="1474"/>
      <c r="AB28" s="1474"/>
      <c r="AC28" s="1474"/>
      <c r="AD28" s="1474"/>
      <c r="AE28" s="1474"/>
      <c r="AF28" s="1474"/>
    </row>
    <row r="29" spans="1:32" x14ac:dyDescent="0.25">
      <c r="A29" s="1485" t="s">
        <v>1690</v>
      </c>
      <c r="B29" s="1486"/>
      <c r="C29" s="1486"/>
      <c r="D29" s="1487"/>
      <c r="E29" s="1485" t="s">
        <v>1520</v>
      </c>
      <c r="F29" s="1486"/>
      <c r="G29" s="1486"/>
      <c r="H29" s="1486"/>
      <c r="I29" s="1486"/>
      <c r="J29" s="1486"/>
      <c r="K29" s="1486"/>
      <c r="L29" s="1486"/>
      <c r="M29" s="1486"/>
      <c r="N29" s="1486"/>
      <c r="O29" s="1486"/>
      <c r="P29" s="1487"/>
      <c r="Q29" s="1574" t="s">
        <v>1522</v>
      </c>
      <c r="R29" s="1575"/>
      <c r="S29" s="1575"/>
      <c r="T29" s="1576"/>
      <c r="U29" s="1574" t="s">
        <v>26</v>
      </c>
      <c r="V29" s="1576"/>
      <c r="W29" s="1574"/>
      <c r="X29" s="1575"/>
      <c r="Y29" s="1575"/>
      <c r="Z29" s="1575"/>
      <c r="AA29" s="1575"/>
      <c r="AB29" s="1575"/>
      <c r="AC29" s="1575"/>
      <c r="AD29" s="1575"/>
      <c r="AE29" s="1575"/>
      <c r="AF29" s="1576"/>
    </row>
    <row r="30" spans="1:32" x14ac:dyDescent="0.25">
      <c r="A30" s="1485" t="s">
        <v>1691</v>
      </c>
      <c r="B30" s="1486"/>
      <c r="C30" s="1486"/>
      <c r="D30" s="1487"/>
      <c r="E30" s="1485" t="s">
        <v>1521</v>
      </c>
      <c r="F30" s="1486"/>
      <c r="G30" s="1486"/>
      <c r="H30" s="1486"/>
      <c r="I30" s="1486"/>
      <c r="J30" s="1486"/>
      <c r="K30" s="1486"/>
      <c r="L30" s="1486"/>
      <c r="M30" s="1486"/>
      <c r="N30" s="1486"/>
      <c r="O30" s="1486"/>
      <c r="P30" s="1487"/>
      <c r="Q30" s="1574" t="s">
        <v>1522</v>
      </c>
      <c r="R30" s="1575"/>
      <c r="S30" s="1575"/>
      <c r="T30" s="1576"/>
      <c r="U30" s="1574" t="s">
        <v>26</v>
      </c>
      <c r="V30" s="1576"/>
      <c r="W30" s="1574"/>
      <c r="X30" s="1575"/>
      <c r="Y30" s="1575"/>
      <c r="Z30" s="1575"/>
      <c r="AA30" s="1575"/>
      <c r="AB30" s="1575"/>
      <c r="AC30" s="1575"/>
      <c r="AD30" s="1575"/>
      <c r="AE30" s="1575"/>
      <c r="AF30" s="1576"/>
    </row>
    <row r="31" spans="1:32" x14ac:dyDescent="0.25">
      <c r="A31" s="1485" t="s">
        <v>65</v>
      </c>
      <c r="B31" s="1486"/>
      <c r="C31" s="1486"/>
      <c r="D31" s="1487"/>
      <c r="E31" s="1485" t="s">
        <v>142</v>
      </c>
      <c r="F31" s="1486"/>
      <c r="G31" s="1486"/>
      <c r="H31" s="1486"/>
      <c r="I31" s="1486"/>
      <c r="J31" s="1486"/>
      <c r="K31" s="1486"/>
      <c r="L31" s="1486"/>
      <c r="M31" s="1486"/>
      <c r="N31" s="1486"/>
      <c r="O31" s="1486"/>
      <c r="P31" s="1487"/>
      <c r="Q31" s="1574">
        <v>15</v>
      </c>
      <c r="R31" s="1575"/>
      <c r="S31" s="1575"/>
      <c r="T31" s="1576"/>
      <c r="U31" s="1574" t="s">
        <v>45</v>
      </c>
      <c r="V31" s="1576"/>
      <c r="W31" s="1574"/>
      <c r="X31" s="1575"/>
      <c r="Y31" s="1575"/>
      <c r="Z31" s="1575"/>
      <c r="AA31" s="1575"/>
      <c r="AB31" s="1575"/>
      <c r="AC31" s="1575"/>
      <c r="AD31" s="1575"/>
      <c r="AE31" s="1575"/>
      <c r="AF31" s="1576"/>
    </row>
    <row r="32" spans="1:32" x14ac:dyDescent="0.25">
      <c r="A32" s="1485" t="s">
        <v>72</v>
      </c>
      <c r="B32" s="1486"/>
      <c r="C32" s="1486"/>
      <c r="D32" s="1487"/>
      <c r="E32" s="1485" t="s">
        <v>125</v>
      </c>
      <c r="F32" s="1486"/>
      <c r="G32" s="1486"/>
      <c r="H32" s="1486"/>
      <c r="I32" s="1486"/>
      <c r="J32" s="1486"/>
      <c r="K32" s="1486"/>
      <c r="L32" s="1486"/>
      <c r="M32" s="1486"/>
      <c r="N32" s="1486"/>
      <c r="O32" s="1486"/>
      <c r="P32" s="1487"/>
      <c r="Q32" s="1574">
        <v>365</v>
      </c>
      <c r="R32" s="1575"/>
      <c r="S32" s="1575"/>
      <c r="T32" s="1576"/>
      <c r="U32" s="1574" t="s">
        <v>74</v>
      </c>
      <c r="V32" s="1576"/>
      <c r="W32" s="1574"/>
      <c r="X32" s="1575"/>
      <c r="Y32" s="1575"/>
      <c r="Z32" s="1575"/>
      <c r="AA32" s="1575"/>
      <c r="AB32" s="1575"/>
      <c r="AC32" s="1575"/>
      <c r="AD32" s="1575"/>
      <c r="AE32" s="1575"/>
      <c r="AF32" s="1576"/>
    </row>
    <row r="33" spans="1:32" x14ac:dyDescent="0.25">
      <c r="A33" s="1485" t="s">
        <v>29</v>
      </c>
      <c r="B33" s="1486"/>
      <c r="C33" s="1486"/>
      <c r="D33" s="1487"/>
      <c r="E33" s="1485" t="s">
        <v>104</v>
      </c>
      <c r="F33" s="1486"/>
      <c r="G33" s="1486"/>
      <c r="H33" s="1486"/>
      <c r="I33" s="1486"/>
      <c r="J33" s="1486"/>
      <c r="K33" s="1486"/>
      <c r="L33" s="1486"/>
      <c r="M33" s="1486"/>
      <c r="N33" s="1486"/>
      <c r="O33" s="1486"/>
      <c r="P33" s="1487"/>
      <c r="Q33" s="1574">
        <v>100</v>
      </c>
      <c r="R33" s="1575"/>
      <c r="S33" s="1575"/>
      <c r="T33" s="1576"/>
      <c r="U33" s="1574" t="s">
        <v>30</v>
      </c>
      <c r="V33" s="1576"/>
      <c r="W33" s="1574"/>
      <c r="X33" s="1575"/>
      <c r="Y33" s="1575"/>
      <c r="Z33" s="1575"/>
      <c r="AA33" s="1575"/>
      <c r="AB33" s="1575"/>
      <c r="AC33" s="1575"/>
      <c r="AD33" s="1575"/>
      <c r="AE33" s="1575"/>
      <c r="AF33" s="1576"/>
    </row>
    <row r="34" spans="1:32" x14ac:dyDescent="0.25">
      <c r="A34" s="1485" t="s">
        <v>34</v>
      </c>
      <c r="B34" s="1486"/>
      <c r="C34" s="1486"/>
      <c r="D34" s="1487"/>
      <c r="E34" s="1485" t="s">
        <v>35</v>
      </c>
      <c r="F34" s="1486"/>
      <c r="G34" s="1486"/>
      <c r="H34" s="1486"/>
      <c r="I34" s="1486"/>
      <c r="J34" s="1486"/>
      <c r="K34" s="1486"/>
      <c r="L34" s="1486"/>
      <c r="M34" s="1486"/>
      <c r="N34" s="1486"/>
      <c r="O34" s="1486"/>
      <c r="P34" s="1487"/>
      <c r="Q34" s="1574">
        <f>'Master EUL'!X121</f>
        <v>12</v>
      </c>
      <c r="R34" s="1575"/>
      <c r="S34" s="1575"/>
      <c r="T34" s="1576"/>
      <c r="U34" s="1574" t="s">
        <v>46</v>
      </c>
      <c r="V34" s="1576"/>
      <c r="W34" s="1574"/>
      <c r="X34" s="1575"/>
      <c r="Y34" s="1575"/>
      <c r="Z34" s="1575"/>
      <c r="AA34" s="1575"/>
      <c r="AB34" s="1575"/>
      <c r="AC34" s="1575"/>
      <c r="AD34" s="1575"/>
      <c r="AE34" s="1575"/>
      <c r="AF34" s="1576"/>
    </row>
    <row r="37" spans="1:32" x14ac:dyDescent="0.25">
      <c r="A37" s="1472" t="s">
        <v>21</v>
      </c>
      <c r="B37" s="1472"/>
      <c r="C37" s="1472"/>
      <c r="D37" s="1472"/>
      <c r="E37" s="1472"/>
      <c r="F37" s="1472"/>
      <c r="G37" s="1472"/>
      <c r="H37" s="1472"/>
      <c r="I37" s="1472"/>
      <c r="J37" s="1472"/>
      <c r="K37" s="1472"/>
      <c r="L37" s="1472"/>
      <c r="M37" s="1472"/>
      <c r="N37" s="1472"/>
      <c r="O37" s="1472"/>
      <c r="P37" s="1472"/>
      <c r="Q37" s="1472"/>
      <c r="R37" s="1472"/>
      <c r="S37" s="1472"/>
      <c r="T37" s="1472"/>
      <c r="U37" s="1472"/>
      <c r="V37" s="1472"/>
      <c r="W37" s="1472"/>
      <c r="X37" s="1472"/>
      <c r="Y37" s="1472"/>
      <c r="Z37" s="1472"/>
      <c r="AA37" s="1472"/>
      <c r="AB37" s="1472"/>
      <c r="AC37" s="1472"/>
      <c r="AD37" s="1472"/>
      <c r="AE37" s="1472"/>
      <c r="AF37" s="1472"/>
    </row>
    <row r="39" spans="1:32" ht="110.25" customHeight="1" x14ac:dyDescent="0.25">
      <c r="A39" s="1247" t="s">
        <v>143</v>
      </c>
      <c r="B39" s="1476"/>
      <c r="C39" s="1476"/>
      <c r="D39" s="1476"/>
      <c r="E39" s="1476"/>
      <c r="F39" s="1476"/>
      <c r="G39" s="1476"/>
      <c r="H39" s="1476"/>
      <c r="I39" s="1476"/>
      <c r="J39" s="1476"/>
      <c r="K39" s="1476"/>
      <c r="L39" s="1476"/>
      <c r="M39" s="1476"/>
      <c r="N39" s="1476"/>
      <c r="O39" s="1476"/>
      <c r="P39" s="1476"/>
      <c r="Q39" s="1476"/>
      <c r="R39" s="1476"/>
      <c r="S39" s="1476"/>
      <c r="T39" s="1476"/>
      <c r="U39" s="1476"/>
      <c r="V39" s="1476"/>
      <c r="W39" s="1476"/>
      <c r="X39" s="1476"/>
      <c r="Y39" s="1476"/>
      <c r="Z39" s="1476"/>
      <c r="AA39" s="1476"/>
      <c r="AB39" s="1476"/>
      <c r="AC39" s="1476"/>
      <c r="AD39" s="1476"/>
      <c r="AE39" s="1476"/>
      <c r="AF39" s="1476"/>
    </row>
    <row r="41" spans="1:32" x14ac:dyDescent="0.25">
      <c r="A41" s="1303" t="s">
        <v>144</v>
      </c>
      <c r="B41" s="1303"/>
      <c r="C41" s="1303"/>
      <c r="D41" s="1303"/>
      <c r="E41" s="1303"/>
      <c r="F41" s="1303"/>
      <c r="G41" s="1303"/>
      <c r="H41" s="1303"/>
      <c r="I41" s="1303" t="s">
        <v>154</v>
      </c>
      <c r="J41" s="1303"/>
      <c r="K41" s="1303"/>
      <c r="L41" s="1303"/>
      <c r="M41" s="1303"/>
      <c r="N41" s="1303"/>
      <c r="O41" s="1303"/>
      <c r="P41" s="1303"/>
      <c r="Q41" s="1303"/>
      <c r="R41" s="1303"/>
      <c r="S41" s="1303" t="s">
        <v>155</v>
      </c>
      <c r="T41" s="1303"/>
      <c r="U41" s="1303"/>
      <c r="V41" s="1303"/>
      <c r="W41" s="1303"/>
      <c r="X41" s="1303"/>
      <c r="Y41" s="1303"/>
      <c r="Z41" s="1303"/>
      <c r="AA41" s="1303"/>
      <c r="AB41" s="1303"/>
    </row>
    <row r="42" spans="1:32" x14ac:dyDescent="0.25">
      <c r="A42" s="1303"/>
      <c r="B42" s="1303"/>
      <c r="C42" s="1303"/>
      <c r="D42" s="1303"/>
      <c r="E42" s="1303"/>
      <c r="F42" s="1303"/>
      <c r="G42" s="1303"/>
      <c r="H42" s="1303"/>
      <c r="I42" s="1303" t="s">
        <v>129</v>
      </c>
      <c r="J42" s="1303"/>
      <c r="K42" s="1303"/>
      <c r="L42" s="1303"/>
      <c r="M42" s="1303"/>
      <c r="N42" s="1303" t="s">
        <v>145</v>
      </c>
      <c r="O42" s="1303"/>
      <c r="P42" s="1303"/>
      <c r="Q42" s="1303"/>
      <c r="R42" s="1303"/>
      <c r="S42" s="1303" t="s">
        <v>129</v>
      </c>
      <c r="T42" s="1303"/>
      <c r="U42" s="1303"/>
      <c r="V42" s="1303"/>
      <c r="W42" s="1303"/>
      <c r="X42" s="1303" t="s">
        <v>145</v>
      </c>
      <c r="Y42" s="1303"/>
      <c r="Z42" s="1303"/>
      <c r="AA42" s="1303"/>
      <c r="AB42" s="1303"/>
    </row>
    <row r="43" spans="1:32" x14ac:dyDescent="0.25">
      <c r="A43" s="1548" t="s">
        <v>101</v>
      </c>
      <c r="B43" s="1548"/>
      <c r="C43" s="1548"/>
      <c r="D43" s="1548"/>
      <c r="E43" s="1548"/>
      <c r="F43" s="1548"/>
      <c r="G43" s="1548"/>
      <c r="H43" s="1548"/>
      <c r="I43" s="1793">
        <v>1</v>
      </c>
      <c r="J43" s="1793"/>
      <c r="K43" s="1793"/>
      <c r="L43" s="1793"/>
      <c r="M43" s="1793"/>
      <c r="N43" s="1793">
        <v>0.28000000000000003</v>
      </c>
      <c r="O43" s="1793"/>
      <c r="P43" s="1793"/>
      <c r="Q43" s="1793"/>
      <c r="R43" s="1793"/>
      <c r="S43" s="1793">
        <v>0.38</v>
      </c>
      <c r="T43" s="1793"/>
      <c r="U43" s="1793"/>
      <c r="V43" s="1793"/>
      <c r="W43" s="1793"/>
      <c r="X43" s="1793">
        <v>0.05</v>
      </c>
      <c r="Y43" s="1793"/>
      <c r="Z43" s="1793"/>
      <c r="AA43" s="1793"/>
      <c r="AB43" s="1793"/>
    </row>
    <row r="44" spans="1:32" x14ac:dyDescent="0.25">
      <c r="A44" s="1548" t="s">
        <v>146</v>
      </c>
      <c r="B44" s="1548"/>
      <c r="C44" s="1548"/>
      <c r="D44" s="1548"/>
      <c r="E44" s="1548"/>
      <c r="F44" s="1548"/>
      <c r="G44" s="1548"/>
      <c r="H44" s="1548"/>
      <c r="I44" s="1794">
        <f>I43*$Q$31*$Q$32</f>
        <v>5475</v>
      </c>
      <c r="J44" s="1794"/>
      <c r="K44" s="1794"/>
      <c r="L44" s="1794"/>
      <c r="M44" s="1794"/>
      <c r="N44" s="1794">
        <f>N43*$Q$31*$Q$32</f>
        <v>1533</v>
      </c>
      <c r="O44" s="1794"/>
      <c r="P44" s="1794"/>
      <c r="Q44" s="1794"/>
      <c r="R44" s="1794"/>
      <c r="S44" s="1794">
        <f>S43*$Q$31*$Q$32</f>
        <v>2080.5</v>
      </c>
      <c r="T44" s="1794"/>
      <c r="U44" s="1794"/>
      <c r="V44" s="1794"/>
      <c r="W44" s="1794"/>
      <c r="X44" s="1794">
        <f>X43*$Q$31*$Q$32</f>
        <v>273.75</v>
      </c>
      <c r="Y44" s="1794"/>
      <c r="Z44" s="1794"/>
      <c r="AA44" s="1794"/>
      <c r="AB44" s="1794"/>
    </row>
    <row r="45" spans="1:32" x14ac:dyDescent="0.25">
      <c r="A45" s="1548" t="s">
        <v>147</v>
      </c>
      <c r="B45" s="1548"/>
      <c r="C45" s="1548"/>
      <c r="D45" s="1548"/>
      <c r="E45" s="1548"/>
      <c r="F45" s="1548"/>
      <c r="G45" s="1548"/>
      <c r="H45" s="1548"/>
      <c r="I45" s="1793">
        <f>I43-N43</f>
        <v>0.72</v>
      </c>
      <c r="J45" s="1793"/>
      <c r="K45" s="1793"/>
      <c r="L45" s="1793"/>
      <c r="M45" s="1793"/>
      <c r="N45" s="1793"/>
      <c r="O45" s="1793"/>
      <c r="P45" s="1793"/>
      <c r="Q45" s="1793"/>
      <c r="R45" s="1793"/>
      <c r="S45" s="1793">
        <f>S43-X43</f>
        <v>0.33</v>
      </c>
      <c r="T45" s="1793"/>
      <c r="U45" s="1793"/>
      <c r="V45" s="1793"/>
      <c r="W45" s="1793"/>
      <c r="X45" s="1793"/>
      <c r="Y45" s="1793"/>
      <c r="Z45" s="1793"/>
      <c r="AA45" s="1793"/>
      <c r="AB45" s="1793"/>
    </row>
    <row r="46" spans="1:32" x14ac:dyDescent="0.25">
      <c r="A46" s="1548" t="s">
        <v>148</v>
      </c>
      <c r="B46" s="1548"/>
      <c r="C46" s="1548"/>
      <c r="D46" s="1548"/>
      <c r="E46" s="1548"/>
      <c r="F46" s="1548"/>
      <c r="G46" s="1548"/>
      <c r="H46" s="1548"/>
      <c r="I46" s="1794">
        <f>I44-N44</f>
        <v>3942</v>
      </c>
      <c r="J46" s="1794"/>
      <c r="K46" s="1794"/>
      <c r="L46" s="1794"/>
      <c r="M46" s="1794"/>
      <c r="N46" s="1794"/>
      <c r="O46" s="1794"/>
      <c r="P46" s="1794"/>
      <c r="Q46" s="1794"/>
      <c r="R46" s="1794"/>
      <c r="S46" s="1794">
        <f>S44-X44</f>
        <v>1806.75</v>
      </c>
      <c r="T46" s="1794"/>
      <c r="U46" s="1794"/>
      <c r="V46" s="1794"/>
      <c r="W46" s="1794"/>
      <c r="X46" s="1794"/>
      <c r="Y46" s="1794"/>
      <c r="Z46" s="1794"/>
      <c r="AA46" s="1794"/>
      <c r="AB46" s="1794"/>
    </row>
    <row r="48" spans="1:32" s="8" customFormat="1" ht="65.25" customHeight="1" x14ac:dyDescent="0.25">
      <c r="A48" s="1142" t="s">
        <v>149</v>
      </c>
      <c r="B48" s="1142"/>
      <c r="C48" s="1142"/>
      <c r="D48" s="1142"/>
      <c r="E48" s="1142"/>
      <c r="F48" s="1142"/>
      <c r="G48" s="1142"/>
      <c r="H48" s="1142"/>
      <c r="I48" s="1142"/>
      <c r="J48" s="1142"/>
      <c r="K48" s="1142"/>
      <c r="L48" s="1142"/>
      <c r="M48" s="1142"/>
      <c r="N48" s="1142"/>
      <c r="O48" s="1142"/>
      <c r="P48" s="1142"/>
      <c r="Q48" s="1142"/>
      <c r="R48" s="1142"/>
      <c r="S48" s="1142"/>
      <c r="T48" s="1142"/>
      <c r="U48" s="1142"/>
      <c r="V48" s="1142"/>
      <c r="W48" s="1142"/>
      <c r="X48" s="1142"/>
      <c r="Y48" s="1142"/>
      <c r="Z48" s="1142"/>
      <c r="AA48" s="1142"/>
      <c r="AB48" s="1142"/>
    </row>
    <row r="50" spans="1:36" x14ac:dyDescent="0.25">
      <c r="A50" s="1474" t="s">
        <v>150</v>
      </c>
      <c r="B50" s="1474"/>
      <c r="C50" s="1474"/>
      <c r="D50" s="1474"/>
      <c r="E50" s="1474"/>
      <c r="F50" s="1474" t="s">
        <v>151</v>
      </c>
      <c r="G50" s="1474"/>
      <c r="H50" s="1474"/>
      <c r="I50" s="1474"/>
      <c r="J50" s="1474"/>
      <c r="K50" s="1474"/>
      <c r="L50" s="1474" t="s">
        <v>152</v>
      </c>
      <c r="M50" s="1474"/>
      <c r="N50" s="1474"/>
      <c r="O50" s="1474"/>
      <c r="P50" s="1474"/>
      <c r="Q50" s="1474"/>
      <c r="R50" s="1474"/>
      <c r="S50" s="1474"/>
      <c r="T50" s="1474"/>
      <c r="U50" s="1474" t="s">
        <v>153</v>
      </c>
      <c r="V50" s="1474"/>
      <c r="W50" s="1474"/>
      <c r="X50" s="1474"/>
      <c r="Y50" s="1474"/>
      <c r="Z50" s="1474"/>
      <c r="AA50" s="1474"/>
      <c r="AB50" s="1474"/>
      <c r="AJ50" s="5"/>
    </row>
    <row r="51" spans="1:36" x14ac:dyDescent="0.25">
      <c r="A51" s="1243" t="s">
        <v>154</v>
      </c>
      <c r="B51" s="1243"/>
      <c r="C51" s="1243"/>
      <c r="D51" s="1243"/>
      <c r="E51" s="1243"/>
      <c r="F51" s="1791">
        <v>25</v>
      </c>
      <c r="G51" s="1791"/>
      <c r="H51" s="1791"/>
      <c r="I51" s="1791"/>
      <c r="J51" s="1791"/>
      <c r="K51" s="1791"/>
      <c r="L51" s="1792">
        <v>11.3</v>
      </c>
      <c r="M51" s="1792"/>
      <c r="N51" s="1792"/>
      <c r="O51" s="1792"/>
      <c r="P51" s="1792"/>
      <c r="Q51" s="1792"/>
      <c r="R51" s="1792"/>
      <c r="S51" s="1792"/>
      <c r="T51" s="1792"/>
      <c r="U51" s="1793">
        <v>0.28000000000000003</v>
      </c>
      <c r="V51" s="1793"/>
      <c r="W51" s="1793"/>
      <c r="X51" s="1793"/>
      <c r="Y51" s="1793"/>
      <c r="Z51" s="1793"/>
      <c r="AA51" s="1793"/>
      <c r="AB51" s="1793"/>
      <c r="AJ51" s="5"/>
    </row>
    <row r="52" spans="1:36" x14ac:dyDescent="0.25">
      <c r="A52" s="1243" t="s">
        <v>155</v>
      </c>
      <c r="B52" s="1243"/>
      <c r="C52" s="1243"/>
      <c r="D52" s="1243"/>
      <c r="E52" s="1243"/>
      <c r="F52" s="1791">
        <v>10</v>
      </c>
      <c r="G52" s="1791"/>
      <c r="H52" s="1791"/>
      <c r="I52" s="1791"/>
      <c r="J52" s="1791"/>
      <c r="K52" s="1791"/>
      <c r="L52" s="1792">
        <v>5.7</v>
      </c>
      <c r="M52" s="1792"/>
      <c r="N52" s="1792"/>
      <c r="O52" s="1792"/>
      <c r="P52" s="1792"/>
      <c r="Q52" s="1792"/>
      <c r="R52" s="1792"/>
      <c r="S52" s="1792"/>
      <c r="T52" s="1792"/>
      <c r="U52" s="1793">
        <v>0.05</v>
      </c>
      <c r="V52" s="1793"/>
      <c r="W52" s="1793"/>
      <c r="X52" s="1793"/>
      <c r="Y52" s="1793"/>
      <c r="Z52" s="1793"/>
      <c r="AA52" s="1793"/>
      <c r="AB52" s="1793"/>
    </row>
    <row r="53" spans="1:36" ht="15.75" thickBot="1" x14ac:dyDescent="0.3"/>
    <row r="54" spans="1:36" x14ac:dyDescent="0.25">
      <c r="A54" s="1583" t="s">
        <v>22</v>
      </c>
      <c r="B54" s="1584"/>
      <c r="C54" s="1584"/>
      <c r="D54" s="1584"/>
      <c r="E54" s="1584"/>
      <c r="F54" s="1584"/>
      <c r="G54" s="1584"/>
      <c r="H54" s="1584"/>
      <c r="I54" s="1584" t="s">
        <v>23</v>
      </c>
      <c r="J54" s="1584"/>
      <c r="K54" s="1584"/>
      <c r="L54" s="1584"/>
      <c r="M54" s="1584"/>
      <c r="N54" s="1584"/>
      <c r="O54" s="1584"/>
      <c r="P54" s="1584"/>
      <c r="Q54" s="1584" t="s">
        <v>24</v>
      </c>
      <c r="R54" s="1584"/>
      <c r="S54" s="1584"/>
      <c r="T54" s="1584"/>
      <c r="U54" s="1584"/>
      <c r="V54" s="1584"/>
      <c r="W54" s="1584"/>
      <c r="X54" s="1585"/>
    </row>
    <row r="55" spans="1:36" x14ac:dyDescent="0.25">
      <c r="A55" s="1782" t="s">
        <v>156</v>
      </c>
      <c r="B55" s="1243"/>
      <c r="C55" s="1243"/>
      <c r="D55" s="1243"/>
      <c r="E55" s="1243"/>
      <c r="F55" s="1243"/>
      <c r="G55" s="1243"/>
      <c r="H55" s="1243"/>
      <c r="I55" s="1783">
        <f>ROUND(I45,3)</f>
        <v>0.72</v>
      </c>
      <c r="J55" s="1783"/>
      <c r="K55" s="1783"/>
      <c r="L55" s="1783"/>
      <c r="M55" s="1783"/>
      <c r="N55" s="1783"/>
      <c r="O55" s="1783"/>
      <c r="P55" s="1783"/>
      <c r="Q55" s="1784">
        <f>ROUND(I46,2)</f>
        <v>3942</v>
      </c>
      <c r="R55" s="1784"/>
      <c r="S55" s="1784"/>
      <c r="T55" s="1784"/>
      <c r="U55" s="1784"/>
      <c r="V55" s="1784"/>
      <c r="W55" s="1784"/>
      <c r="X55" s="1785"/>
    </row>
    <row r="56" spans="1:36" ht="15.75" thickBot="1" x14ac:dyDescent="0.3">
      <c r="A56" s="1578" t="s">
        <v>157</v>
      </c>
      <c r="B56" s="1579"/>
      <c r="C56" s="1579"/>
      <c r="D56" s="1579"/>
      <c r="E56" s="1579"/>
      <c r="F56" s="1579"/>
      <c r="G56" s="1579"/>
      <c r="H56" s="1579"/>
      <c r="I56" s="1744">
        <f>ROUND(S45,3)</f>
        <v>0.33</v>
      </c>
      <c r="J56" s="1744"/>
      <c r="K56" s="1744"/>
      <c r="L56" s="1744"/>
      <c r="M56" s="1744"/>
      <c r="N56" s="1744"/>
      <c r="O56" s="1744"/>
      <c r="P56" s="1744"/>
      <c r="Q56" s="1745">
        <f>ROUND(S46,2)</f>
        <v>1806.75</v>
      </c>
      <c r="R56" s="1745"/>
      <c r="S56" s="1745"/>
      <c r="T56" s="1745"/>
      <c r="U56" s="1745"/>
      <c r="V56" s="1745"/>
      <c r="W56" s="1745"/>
      <c r="X56" s="1746"/>
    </row>
  </sheetData>
  <sheetProtection algorithmName="SHA-512" hashValue="GgxDkjyzjsjdhaBp5vdF8RPgK8TecsnkycmXrM5kuBA21F43lRy2N2pEyl87yFyaSc9cO/Vm4qRwte2aE5G1Sw==" saltValue="0tvHAvq3YDP0vZ8ALGgXuA==" spinCount="100000" sheet="1" objects="1" scenarios="1"/>
  <mergeCells count="97">
    <mergeCell ref="A1:AF1"/>
    <mergeCell ref="B14:I14"/>
    <mergeCell ref="A3:AF3"/>
    <mergeCell ref="B5:I5"/>
    <mergeCell ref="B6:AF6"/>
    <mergeCell ref="B8:I8"/>
    <mergeCell ref="B9:AF9"/>
    <mergeCell ref="B11:I11"/>
    <mergeCell ref="B12:AF12"/>
    <mergeCell ref="B15:AF15"/>
    <mergeCell ref="B18:AF18"/>
    <mergeCell ref="A21:AF21"/>
    <mergeCell ref="A23:F23"/>
    <mergeCell ref="A32:D32"/>
    <mergeCell ref="E32:P32"/>
    <mergeCell ref="Q32:T32"/>
    <mergeCell ref="U32:V32"/>
    <mergeCell ref="W32:AF32"/>
    <mergeCell ref="A31:D31"/>
    <mergeCell ref="E31:P31"/>
    <mergeCell ref="Q31:T31"/>
    <mergeCell ref="U31:V31"/>
    <mergeCell ref="W31:AF31"/>
    <mergeCell ref="A24:F24"/>
    <mergeCell ref="A29:D29"/>
    <mergeCell ref="A34:D34"/>
    <mergeCell ref="E34:P34"/>
    <mergeCell ref="Q34:T34"/>
    <mergeCell ref="U34:V34"/>
    <mergeCell ref="W34:AF34"/>
    <mergeCell ref="A33:D33"/>
    <mergeCell ref="E33:P33"/>
    <mergeCell ref="Q33:T33"/>
    <mergeCell ref="U33:V33"/>
    <mergeCell ref="W33:AF33"/>
    <mergeCell ref="A37:AF37"/>
    <mergeCell ref="A39:AF39"/>
    <mergeCell ref="A41:H42"/>
    <mergeCell ref="I41:R41"/>
    <mergeCell ref="S41:AB41"/>
    <mergeCell ref="I42:M42"/>
    <mergeCell ref="N42:R42"/>
    <mergeCell ref="S42:W42"/>
    <mergeCell ref="X42:AB42"/>
    <mergeCell ref="A44:H44"/>
    <mergeCell ref="I44:M44"/>
    <mergeCell ref="N44:R44"/>
    <mergeCell ref="S44:W44"/>
    <mergeCell ref="X44:AB44"/>
    <mergeCell ref="A43:H43"/>
    <mergeCell ref="I43:M43"/>
    <mergeCell ref="N43:R43"/>
    <mergeCell ref="S43:W43"/>
    <mergeCell ref="X43:AB43"/>
    <mergeCell ref="A51:E51"/>
    <mergeCell ref="F51:K51"/>
    <mergeCell ref="L51:T51"/>
    <mergeCell ref="U51:AB51"/>
    <mergeCell ref="A45:H45"/>
    <mergeCell ref="I45:R45"/>
    <mergeCell ref="S45:AB45"/>
    <mergeCell ref="A46:H46"/>
    <mergeCell ref="I46:R46"/>
    <mergeCell ref="S46:AB46"/>
    <mergeCell ref="A48:AB48"/>
    <mergeCell ref="A50:E50"/>
    <mergeCell ref="F50:K50"/>
    <mergeCell ref="L50:T50"/>
    <mergeCell ref="U50:AB50"/>
    <mergeCell ref="A52:E52"/>
    <mergeCell ref="F52:K52"/>
    <mergeCell ref="L52:T52"/>
    <mergeCell ref="U52:AB52"/>
    <mergeCell ref="A54:H54"/>
    <mergeCell ref="I54:P54"/>
    <mergeCell ref="Q54:X54"/>
    <mergeCell ref="A55:H55"/>
    <mergeCell ref="I55:P55"/>
    <mergeCell ref="Q55:X55"/>
    <mergeCell ref="A56:H56"/>
    <mergeCell ref="I56:P56"/>
    <mergeCell ref="Q56:X56"/>
    <mergeCell ref="E29:P29"/>
    <mergeCell ref="Q29:T29"/>
    <mergeCell ref="U29:V29"/>
    <mergeCell ref="A27:AF27"/>
    <mergeCell ref="A28:D28"/>
    <mergeCell ref="E28:P28"/>
    <mergeCell ref="Q28:T28"/>
    <mergeCell ref="U28:V28"/>
    <mergeCell ref="W28:AF28"/>
    <mergeCell ref="W29:AF29"/>
    <mergeCell ref="A30:D30"/>
    <mergeCell ref="E30:P30"/>
    <mergeCell ref="Q30:T30"/>
    <mergeCell ref="U30:V30"/>
    <mergeCell ref="W30:AF30"/>
  </mergeCells>
  <hyperlinks>
    <hyperlink ref="A2" location="TOC!A1" display="Return to TOC" xr:uid="{00000000-0004-0000-17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0">
    <tabColor theme="7" tint="0.79998168889431442"/>
    <pageSetUpPr autoPageBreaks="0"/>
  </sheetPr>
  <dimension ref="A1:AL140"/>
  <sheetViews>
    <sheetView workbookViewId="0">
      <selection sqref="A1:AF1"/>
    </sheetView>
  </sheetViews>
  <sheetFormatPr defaultColWidth="2.7109375" defaultRowHeight="15" x14ac:dyDescent="0.25"/>
  <cols>
    <col min="1" max="16384" width="2.7109375" style="1"/>
  </cols>
  <sheetData>
    <row r="1" spans="1:38" ht="18.75" x14ac:dyDescent="0.25">
      <c r="A1" s="1464" t="s">
        <v>1130</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L1" s="851"/>
    </row>
    <row r="2" spans="1:38" ht="14.45" customHeight="1" x14ac:dyDescent="0.25">
      <c r="A2" s="655"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L2" s="640"/>
    </row>
    <row r="3" spans="1:38" s="227" customFormat="1"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c r="AG3" s="262"/>
      <c r="AH3" s="262"/>
      <c r="AI3" s="262"/>
      <c r="AJ3" s="262"/>
      <c r="AL3" s="638"/>
    </row>
    <row r="4" spans="1:38" s="227" customFormat="1"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262"/>
      <c r="AH4" s="262"/>
      <c r="AI4" s="262"/>
      <c r="AJ4" s="262"/>
      <c r="AL4" s="638"/>
    </row>
    <row r="5" spans="1:38" s="227" customFormat="1" x14ac:dyDescent="0.25">
      <c r="A5" s="262"/>
      <c r="B5" s="1173" t="s">
        <v>5830</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262"/>
      <c r="AH5" s="262"/>
      <c r="AI5" s="262"/>
      <c r="AJ5" s="262"/>
      <c r="AL5" s="638"/>
    </row>
    <row r="6" spans="1:38" s="227" customFormat="1" ht="18.75" x14ac:dyDescent="0.25">
      <c r="A6" s="529"/>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62"/>
      <c r="AH6" s="262"/>
      <c r="AI6" s="262"/>
      <c r="AJ6" s="262"/>
      <c r="AL6" s="638"/>
    </row>
    <row r="7" spans="1:38" x14ac:dyDescent="0.25">
      <c r="A7" s="1582" t="s">
        <v>9</v>
      </c>
      <c r="B7" s="1582"/>
      <c r="C7" s="158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row>
    <row r="8" spans="1:38" x14ac:dyDescent="0.25">
      <c r="A8" s="19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row>
    <row r="9" spans="1:38"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row>
    <row r="10" spans="1:38" ht="159" customHeight="1" x14ac:dyDescent="0.25">
      <c r="A10" s="262"/>
      <c r="B10" s="1173" t="s">
        <v>6006</v>
      </c>
      <c r="C10" s="1287"/>
      <c r="D10" s="1287"/>
      <c r="E10" s="1287"/>
      <c r="F10" s="1287"/>
      <c r="G10" s="1287"/>
      <c r="H10" s="1287"/>
      <c r="I10" s="1287"/>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row>
    <row r="11" spans="1:38"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row>
    <row r="12" spans="1:38"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row>
    <row r="13" spans="1:38" s="4" customFormat="1" ht="108" customHeight="1" x14ac:dyDescent="0.25">
      <c r="A13" s="263"/>
      <c r="B13" s="1173" t="s">
        <v>6007</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L13" s="894"/>
    </row>
    <row r="14" spans="1:38" x14ac:dyDescent="0.2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row>
    <row r="15" spans="1:38" x14ac:dyDescent="0.25">
      <c r="A15" s="262"/>
      <c r="B15" s="1845" t="s">
        <v>12</v>
      </c>
      <c r="C15" s="1845"/>
      <c r="D15" s="1845"/>
      <c r="E15" s="1845"/>
      <c r="F15" s="1845"/>
      <c r="G15" s="1845"/>
      <c r="H15" s="1845"/>
      <c r="I15" s="1845"/>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row>
    <row r="16" spans="1:38" x14ac:dyDescent="0.25">
      <c r="A16" s="262"/>
      <c r="B16" s="1703" t="s">
        <v>1312</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row>
    <row r="17" spans="1:38" x14ac:dyDescent="0.25">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row>
    <row r="18" spans="1:38" x14ac:dyDescent="0.25">
      <c r="A18" s="262"/>
      <c r="B18" s="1845" t="s">
        <v>13</v>
      </c>
      <c r="C18" s="1845"/>
      <c r="D18" s="1845"/>
      <c r="E18" s="1845"/>
      <c r="F18" s="1845"/>
      <c r="G18" s="1845"/>
      <c r="H18" s="1845"/>
      <c r="I18" s="1845"/>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row>
    <row r="19" spans="1:38" ht="47.25" customHeight="1" x14ac:dyDescent="0.25">
      <c r="A19" s="262"/>
      <c r="B19" s="1589" t="s">
        <v>6008</v>
      </c>
      <c r="C19" s="1589"/>
      <c r="D19" s="1589"/>
      <c r="E19" s="1589"/>
      <c r="F19" s="1589"/>
      <c r="G19" s="1589"/>
      <c r="H19" s="1589"/>
      <c r="I19" s="1589"/>
      <c r="J19" s="1589"/>
      <c r="K19" s="1589"/>
      <c r="L19" s="1589"/>
      <c r="M19" s="1589"/>
      <c r="N19" s="1589"/>
      <c r="O19" s="1589"/>
      <c r="P19" s="1589"/>
      <c r="Q19" s="1589"/>
      <c r="R19" s="1589"/>
      <c r="S19" s="1589"/>
      <c r="T19" s="1589"/>
      <c r="U19" s="1589"/>
      <c r="V19" s="1589"/>
      <c r="W19" s="1589"/>
      <c r="X19" s="1589"/>
      <c r="Y19" s="1589"/>
      <c r="Z19" s="1589"/>
      <c r="AA19" s="1589"/>
      <c r="AB19" s="1589"/>
      <c r="AC19" s="1589"/>
      <c r="AD19" s="1589"/>
      <c r="AE19" s="1589"/>
      <c r="AF19" s="1589"/>
      <c r="AL19" s="894"/>
    </row>
    <row r="20" spans="1:38" x14ac:dyDescent="0.25">
      <c r="A20" s="262"/>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row>
    <row r="21" spans="1:38" x14ac:dyDescent="0.25">
      <c r="A21" s="262"/>
      <c r="B21" s="414" t="s">
        <v>20</v>
      </c>
      <c r="C21" s="414"/>
      <c r="D21" s="414"/>
      <c r="E21" s="414"/>
      <c r="F21" s="414"/>
      <c r="G21" s="414"/>
      <c r="H21" s="414"/>
      <c r="I21" s="414"/>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row>
    <row r="22" spans="1:38" ht="61.5" customHeight="1" x14ac:dyDescent="0.25">
      <c r="A22" s="262"/>
      <c r="B22" s="1589" t="s">
        <v>6009</v>
      </c>
      <c r="C22" s="1589"/>
      <c r="D22" s="1589"/>
      <c r="E22" s="1589"/>
      <c r="F22" s="1589"/>
      <c r="G22" s="1589"/>
      <c r="H22" s="1589"/>
      <c r="I22" s="1589"/>
      <c r="J22" s="1589"/>
      <c r="K22" s="1589"/>
      <c r="L22" s="1589"/>
      <c r="M22" s="1589"/>
      <c r="N22" s="1589"/>
      <c r="O22" s="1589"/>
      <c r="P22" s="1589"/>
      <c r="Q22" s="1589"/>
      <c r="R22" s="1589"/>
      <c r="S22" s="1589"/>
      <c r="T22" s="1589"/>
      <c r="U22" s="1589"/>
      <c r="V22" s="1589"/>
      <c r="W22" s="1589"/>
      <c r="X22" s="1589"/>
      <c r="Y22" s="1589"/>
      <c r="Z22" s="1589"/>
      <c r="AA22" s="1589"/>
      <c r="AB22" s="1589"/>
      <c r="AC22" s="1589"/>
      <c r="AD22" s="1589"/>
      <c r="AE22" s="1589"/>
      <c r="AF22" s="1589"/>
      <c r="AK22" s="683"/>
      <c r="AL22" s="894"/>
    </row>
    <row r="23" spans="1:38" ht="13.5" customHeight="1" x14ac:dyDescent="0.25">
      <c r="A23" s="262"/>
      <c r="B23" s="263"/>
      <c r="C23" s="263"/>
      <c r="D23" s="263"/>
      <c r="E23" s="263"/>
      <c r="F23" s="263"/>
      <c r="G23" s="263"/>
      <c r="H23" s="263"/>
      <c r="I23" s="263"/>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c r="AK23" s="683"/>
    </row>
    <row r="24" spans="1:38" x14ac:dyDescent="0.25">
      <c r="A24" s="262"/>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row>
    <row r="25" spans="1:38" x14ac:dyDescent="0.25">
      <c r="A25" s="1621" t="s">
        <v>14</v>
      </c>
      <c r="B25" s="1621"/>
      <c r="C25" s="1621"/>
      <c r="D25" s="1621"/>
      <c r="E25" s="1621"/>
      <c r="F25" s="1621"/>
      <c r="G25" s="1621"/>
      <c r="H25" s="1621"/>
      <c r="I25" s="1621"/>
      <c r="J25" s="1621"/>
      <c r="K25" s="1621"/>
      <c r="L25" s="1621"/>
      <c r="M25" s="1621"/>
      <c r="N25" s="1621"/>
      <c r="O25" s="1621"/>
      <c r="P25" s="1621"/>
      <c r="Q25" s="1621"/>
      <c r="R25" s="1621"/>
      <c r="S25" s="1621"/>
      <c r="T25" s="1621"/>
      <c r="U25" s="1621"/>
      <c r="V25" s="1621"/>
      <c r="W25" s="1621"/>
      <c r="X25" s="1621"/>
      <c r="Y25" s="1621"/>
      <c r="Z25" s="1621"/>
      <c r="AA25" s="1621"/>
      <c r="AB25" s="1621"/>
      <c r="AC25" s="1621"/>
      <c r="AD25" s="1621"/>
      <c r="AE25" s="1621"/>
      <c r="AF25" s="1621"/>
    </row>
    <row r="26" spans="1:38" x14ac:dyDescent="0.25">
      <c r="A26" s="262"/>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row>
    <row r="27" spans="1:38" ht="14.45" customHeight="1" x14ac:dyDescent="0.25">
      <c r="A27" s="868"/>
      <c r="B27" s="519" t="s">
        <v>2194</v>
      </c>
      <c r="C27" s="868"/>
      <c r="D27" s="868"/>
      <c r="E27" s="868"/>
      <c r="F27" s="868"/>
      <c r="G27" s="868"/>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row>
    <row r="28" spans="1:38" x14ac:dyDescent="0.25">
      <c r="A28" s="868"/>
      <c r="B28" s="868"/>
      <c r="C28" s="868"/>
      <c r="D28" s="868"/>
      <c r="E28" s="868"/>
      <c r="F28" s="868"/>
      <c r="G28" s="868"/>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row>
    <row r="29" spans="1:38" x14ac:dyDescent="0.25">
      <c r="A29" s="868"/>
      <c r="B29" s="868"/>
      <c r="C29" s="868"/>
      <c r="D29" s="868"/>
      <c r="E29" s="868"/>
      <c r="F29" s="868"/>
      <c r="G29" s="868"/>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685" t="s">
        <v>1705</v>
      </c>
    </row>
    <row r="30" spans="1:38" x14ac:dyDescent="0.25">
      <c r="A30" s="868"/>
      <c r="B30" s="868"/>
      <c r="C30" s="868"/>
      <c r="D30" s="868"/>
      <c r="E30" s="868"/>
      <c r="F30" s="868"/>
      <c r="G30" s="868"/>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339"/>
    </row>
    <row r="31" spans="1:38" x14ac:dyDescent="0.25">
      <c r="A31" s="868"/>
      <c r="B31" s="519" t="s">
        <v>2303</v>
      </c>
      <c r="C31" s="868"/>
      <c r="D31" s="868"/>
      <c r="E31" s="868"/>
      <c r="F31" s="868"/>
      <c r="G31" s="868"/>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row>
    <row r="32" spans="1:38" x14ac:dyDescent="0.25">
      <c r="A32" s="868"/>
      <c r="B32" s="868"/>
      <c r="C32" s="868"/>
      <c r="D32" s="868"/>
      <c r="E32" s="868"/>
      <c r="F32" s="868"/>
      <c r="G32" s="868"/>
      <c r="H32" s="339"/>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row>
    <row r="33" spans="1:38" x14ac:dyDescent="0.25">
      <c r="A33" s="868"/>
      <c r="B33" s="868"/>
      <c r="C33" s="868"/>
      <c r="D33" s="868"/>
      <c r="E33" s="868"/>
      <c r="F33" s="868"/>
      <c r="G33" s="868"/>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t="s">
        <v>1706</v>
      </c>
    </row>
    <row r="34" spans="1:38" x14ac:dyDescent="0.25">
      <c r="A34" s="868"/>
      <c r="B34" s="868"/>
      <c r="C34" s="868"/>
      <c r="D34" s="868"/>
      <c r="E34" s="868"/>
      <c r="F34" s="868"/>
      <c r="G34" s="868"/>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row>
    <row r="35" spans="1:38" x14ac:dyDescent="0.25">
      <c r="A35" s="868"/>
      <c r="B35" s="519" t="s">
        <v>1998</v>
      </c>
      <c r="C35" s="868"/>
      <c r="D35" s="868"/>
      <c r="E35" s="868"/>
      <c r="F35" s="868"/>
      <c r="G35" s="868"/>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row>
    <row r="36" spans="1:38" x14ac:dyDescent="0.25">
      <c r="A36" s="868"/>
      <c r="B36" s="868"/>
      <c r="C36" s="868"/>
      <c r="D36" s="868"/>
      <c r="E36" s="868"/>
      <c r="F36" s="868"/>
      <c r="G36" s="868"/>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row>
    <row r="37" spans="1:38" x14ac:dyDescent="0.25">
      <c r="A37" s="868"/>
      <c r="B37" s="868"/>
      <c r="C37" s="868"/>
      <c r="D37" s="868"/>
      <c r="E37" s="868"/>
      <c r="F37" s="868"/>
      <c r="G37" s="868"/>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419" t="s">
        <v>1707</v>
      </c>
    </row>
    <row r="38" spans="1:38" ht="15" customHeight="1" x14ac:dyDescent="0.25">
      <c r="A38" s="868"/>
      <c r="B38" s="868"/>
      <c r="C38" s="868"/>
      <c r="D38" s="868"/>
      <c r="E38" s="868"/>
      <c r="F38" s="868"/>
      <c r="G38" s="868"/>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419"/>
    </row>
    <row r="39" spans="1:38" x14ac:dyDescent="0.25">
      <c r="A39" s="262"/>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row>
    <row r="40" spans="1:38" x14ac:dyDescent="0.25">
      <c r="A40" s="1621" t="s">
        <v>15</v>
      </c>
      <c r="B40" s="1621"/>
      <c r="C40" s="1621"/>
      <c r="D40" s="1621"/>
      <c r="E40" s="1621"/>
      <c r="F40" s="1621"/>
      <c r="G40" s="1621"/>
      <c r="H40" s="1621"/>
      <c r="I40" s="1621"/>
      <c r="J40" s="1621"/>
      <c r="K40" s="1621"/>
      <c r="L40" s="1621"/>
      <c r="M40" s="1621"/>
      <c r="N40" s="1621"/>
      <c r="O40" s="1621"/>
      <c r="P40" s="1621"/>
      <c r="Q40" s="1621"/>
      <c r="R40" s="1621"/>
      <c r="S40" s="1621"/>
      <c r="T40" s="1621"/>
      <c r="U40" s="1621"/>
      <c r="V40" s="1621"/>
      <c r="W40" s="1621"/>
      <c r="X40" s="1621"/>
      <c r="Y40" s="1621"/>
      <c r="Z40" s="1621"/>
      <c r="AA40" s="1621"/>
      <c r="AB40" s="1621"/>
      <c r="AC40" s="1621"/>
      <c r="AD40" s="1621"/>
      <c r="AE40" s="1621"/>
      <c r="AF40" s="1621"/>
      <c r="AL40" s="894"/>
    </row>
    <row r="41" spans="1:38" x14ac:dyDescent="0.25">
      <c r="A41" s="1735" t="s">
        <v>16</v>
      </c>
      <c r="B41" s="1735"/>
      <c r="C41" s="1735"/>
      <c r="D41" s="1735"/>
      <c r="E41" s="1735" t="s">
        <v>10</v>
      </c>
      <c r="F41" s="1735"/>
      <c r="G41" s="1735"/>
      <c r="H41" s="1735"/>
      <c r="I41" s="1735"/>
      <c r="J41" s="1735"/>
      <c r="K41" s="1735"/>
      <c r="L41" s="1735"/>
      <c r="M41" s="1735"/>
      <c r="N41" s="1735"/>
      <c r="O41" s="1735"/>
      <c r="P41" s="1735"/>
      <c r="Q41" s="1697" t="s">
        <v>17</v>
      </c>
      <c r="R41" s="1812"/>
      <c r="S41" s="1813"/>
      <c r="T41" s="1735" t="s">
        <v>18</v>
      </c>
      <c r="U41" s="1842"/>
      <c r="V41" s="1842"/>
      <c r="W41" s="1735" t="s">
        <v>1708</v>
      </c>
      <c r="X41" s="1283"/>
      <c r="Y41" s="1283"/>
      <c r="Z41" s="1283"/>
      <c r="AA41" s="1283"/>
      <c r="AB41" s="1283"/>
      <c r="AC41" s="1283"/>
      <c r="AD41" s="1283"/>
      <c r="AE41" s="1283"/>
      <c r="AF41" s="1283"/>
    </row>
    <row r="42" spans="1:38" ht="31.5" customHeight="1" x14ac:dyDescent="0.25">
      <c r="A42" s="1844" t="s">
        <v>6085</v>
      </c>
      <c r="B42" s="1681"/>
      <c r="C42" s="1681"/>
      <c r="D42" s="1682"/>
      <c r="E42" s="1494" t="s">
        <v>6010</v>
      </c>
      <c r="F42" s="1495"/>
      <c r="G42" s="1495"/>
      <c r="H42" s="1495"/>
      <c r="I42" s="1495"/>
      <c r="J42" s="1495"/>
      <c r="K42" s="1495"/>
      <c r="L42" s="1495"/>
      <c r="M42" s="1495"/>
      <c r="N42" s="1495"/>
      <c r="O42" s="1495"/>
      <c r="P42" s="1496"/>
      <c r="Q42" s="1683" t="s">
        <v>4975</v>
      </c>
      <c r="R42" s="1812"/>
      <c r="S42" s="1812"/>
      <c r="T42" s="1841" t="s">
        <v>44</v>
      </c>
      <c r="U42" s="1842"/>
      <c r="V42" s="1842"/>
      <c r="W42" s="1132" t="s">
        <v>43</v>
      </c>
      <c r="X42" s="1271"/>
      <c r="Y42" s="1271"/>
      <c r="Z42" s="1271"/>
      <c r="AA42" s="1271"/>
      <c r="AB42" s="1271"/>
      <c r="AC42" s="1271"/>
      <c r="AD42" s="1271"/>
      <c r="AE42" s="1271"/>
      <c r="AF42" s="1271"/>
      <c r="AL42" s="894"/>
    </row>
    <row r="43" spans="1:38" ht="31.5" customHeight="1" x14ac:dyDescent="0.25">
      <c r="A43" s="1844" t="s">
        <v>6086</v>
      </c>
      <c r="B43" s="1681"/>
      <c r="C43" s="1681"/>
      <c r="D43" s="1682"/>
      <c r="E43" s="1494" t="s">
        <v>6011</v>
      </c>
      <c r="F43" s="1495"/>
      <c r="G43" s="1495"/>
      <c r="H43" s="1495"/>
      <c r="I43" s="1495"/>
      <c r="J43" s="1495"/>
      <c r="K43" s="1495"/>
      <c r="L43" s="1495"/>
      <c r="M43" s="1495"/>
      <c r="N43" s="1495"/>
      <c r="O43" s="1495"/>
      <c r="P43" s="1496"/>
      <c r="Q43" s="1683" t="s">
        <v>4975</v>
      </c>
      <c r="R43" s="1812"/>
      <c r="S43" s="1812"/>
      <c r="T43" s="1841" t="s">
        <v>44</v>
      </c>
      <c r="U43" s="1842"/>
      <c r="V43" s="1842"/>
      <c r="W43" s="1132" t="s">
        <v>43</v>
      </c>
      <c r="X43" s="1271"/>
      <c r="Y43" s="1271"/>
      <c r="Z43" s="1271"/>
      <c r="AA43" s="1271"/>
      <c r="AB43" s="1271"/>
      <c r="AC43" s="1271"/>
      <c r="AD43" s="1271"/>
      <c r="AE43" s="1271"/>
      <c r="AF43" s="1271"/>
      <c r="AL43" s="894"/>
    </row>
    <row r="44" spans="1:38" x14ac:dyDescent="0.25">
      <c r="A44" s="1680" t="s">
        <v>159</v>
      </c>
      <c r="B44" s="1681"/>
      <c r="C44" s="1681"/>
      <c r="D44" s="1682"/>
      <c r="E44" s="1680" t="s">
        <v>162</v>
      </c>
      <c r="F44" s="1681"/>
      <c r="G44" s="1681"/>
      <c r="H44" s="1681"/>
      <c r="I44" s="1681"/>
      <c r="J44" s="1681"/>
      <c r="K44" s="1681"/>
      <c r="L44" s="1681"/>
      <c r="M44" s="1681"/>
      <c r="N44" s="1681"/>
      <c r="O44" s="1681"/>
      <c r="P44" s="1682"/>
      <c r="Q44" s="1693">
        <v>0.75</v>
      </c>
      <c r="R44" s="1812"/>
      <c r="S44" s="1812"/>
      <c r="T44" s="1841"/>
      <c r="U44" s="1842"/>
      <c r="V44" s="1842"/>
      <c r="W44" s="1132" t="s">
        <v>6012</v>
      </c>
      <c r="X44" s="1271"/>
      <c r="Y44" s="1271"/>
      <c r="Z44" s="1271"/>
      <c r="AA44" s="1271"/>
      <c r="AB44" s="1271"/>
      <c r="AC44" s="1271"/>
      <c r="AD44" s="1271"/>
      <c r="AE44" s="1271"/>
      <c r="AF44" s="1271"/>
      <c r="AJ44" s="683"/>
    </row>
    <row r="45" spans="1:38" ht="34.5" customHeight="1" x14ac:dyDescent="0.25">
      <c r="A45" s="1680" t="s">
        <v>6013</v>
      </c>
      <c r="B45" s="1681"/>
      <c r="C45" s="1681"/>
      <c r="D45" s="1682"/>
      <c r="E45" s="1680" t="s">
        <v>6014</v>
      </c>
      <c r="F45" s="1681"/>
      <c r="G45" s="1681"/>
      <c r="H45" s="1681"/>
      <c r="I45" s="1681"/>
      <c r="J45" s="1681"/>
      <c r="K45" s="1681"/>
      <c r="L45" s="1681"/>
      <c r="M45" s="1681"/>
      <c r="N45" s="1681"/>
      <c r="O45" s="1681"/>
      <c r="P45" s="1682"/>
      <c r="Q45" s="1497" t="s">
        <v>6015</v>
      </c>
      <c r="R45" s="1670"/>
      <c r="S45" s="1670"/>
      <c r="T45" s="1841" t="s">
        <v>6016</v>
      </c>
      <c r="U45" s="1842"/>
      <c r="V45" s="1842"/>
      <c r="W45" s="1132"/>
      <c r="X45" s="1271"/>
      <c r="Y45" s="1271"/>
      <c r="Z45" s="1271"/>
      <c r="AA45" s="1271"/>
      <c r="AB45" s="1271"/>
      <c r="AC45" s="1271"/>
      <c r="AD45" s="1271"/>
      <c r="AE45" s="1271"/>
      <c r="AF45" s="1271"/>
    </row>
    <row r="46" spans="1:38" x14ac:dyDescent="0.25">
      <c r="A46" s="1680" t="s">
        <v>72</v>
      </c>
      <c r="B46" s="1681"/>
      <c r="C46" s="1681"/>
      <c r="D46" s="1682"/>
      <c r="E46" s="1680" t="s">
        <v>125</v>
      </c>
      <c r="F46" s="1681"/>
      <c r="G46" s="1681"/>
      <c r="H46" s="1681"/>
      <c r="I46" s="1681"/>
      <c r="J46" s="1681"/>
      <c r="K46" s="1681"/>
      <c r="L46" s="1681"/>
      <c r="M46" s="1681"/>
      <c r="N46" s="1681"/>
      <c r="O46" s="1681"/>
      <c r="P46" s="1682"/>
      <c r="Q46" s="1683">
        <v>365</v>
      </c>
      <c r="R46" s="1812"/>
      <c r="S46" s="1812"/>
      <c r="T46" s="1841" t="s">
        <v>74</v>
      </c>
      <c r="U46" s="1842"/>
      <c r="V46" s="1842"/>
      <c r="W46" s="1132"/>
      <c r="X46" s="1271"/>
      <c r="Y46" s="1271"/>
      <c r="Z46" s="1271"/>
      <c r="AA46" s="1271"/>
      <c r="AB46" s="1271"/>
      <c r="AC46" s="1271"/>
      <c r="AD46" s="1271"/>
      <c r="AE46" s="1271"/>
      <c r="AF46" s="1271"/>
    </row>
    <row r="47" spans="1:38" ht="15.75" x14ac:dyDescent="0.25">
      <c r="A47" s="1680" t="s">
        <v>32</v>
      </c>
      <c r="B47" s="1681"/>
      <c r="C47" s="1681"/>
      <c r="D47" s="1682"/>
      <c r="E47" s="1680" t="s">
        <v>163</v>
      </c>
      <c r="F47" s="1681"/>
      <c r="G47" s="1681"/>
      <c r="H47" s="1681"/>
      <c r="I47" s="1681"/>
      <c r="J47" s="1681"/>
      <c r="K47" s="1681"/>
      <c r="L47" s="1681"/>
      <c r="M47" s="1681"/>
      <c r="N47" s="1681"/>
      <c r="O47" s="1681"/>
      <c r="P47" s="1682"/>
      <c r="Q47" s="1683">
        <v>6570</v>
      </c>
      <c r="R47" s="1812"/>
      <c r="S47" s="1812"/>
      <c r="T47" s="1841" t="s">
        <v>45</v>
      </c>
      <c r="U47" s="1842"/>
      <c r="V47" s="1842"/>
      <c r="W47" s="1132" t="s">
        <v>6017</v>
      </c>
      <c r="X47" s="1271"/>
      <c r="Y47" s="1271"/>
      <c r="Z47" s="1271"/>
      <c r="AA47" s="1271"/>
      <c r="AB47" s="1271"/>
      <c r="AC47" s="1271"/>
      <c r="AD47" s="1271"/>
      <c r="AE47" s="1271"/>
      <c r="AF47" s="1271"/>
      <c r="AJ47" s="899"/>
    </row>
    <row r="48" spans="1:38" ht="16.5" x14ac:dyDescent="0.25">
      <c r="A48" s="1680" t="s">
        <v>29</v>
      </c>
      <c r="B48" s="1681"/>
      <c r="C48" s="1681"/>
      <c r="D48" s="1682"/>
      <c r="E48" s="1680" t="s">
        <v>104</v>
      </c>
      <c r="F48" s="1681"/>
      <c r="G48" s="1681"/>
      <c r="H48" s="1681"/>
      <c r="I48" s="1681"/>
      <c r="J48" s="1681"/>
      <c r="K48" s="1681"/>
      <c r="L48" s="1681"/>
      <c r="M48" s="1681"/>
      <c r="N48" s="1681"/>
      <c r="O48" s="1681"/>
      <c r="P48" s="1682"/>
      <c r="Q48" s="1693">
        <v>0.9</v>
      </c>
      <c r="R48" s="1812"/>
      <c r="S48" s="1812"/>
      <c r="T48" s="1841"/>
      <c r="U48" s="1842"/>
      <c r="V48" s="1842"/>
      <c r="W48" s="1132" t="s">
        <v>5947</v>
      </c>
      <c r="X48" s="1271"/>
      <c r="Y48" s="1271"/>
      <c r="Z48" s="1271"/>
      <c r="AA48" s="1271"/>
      <c r="AB48" s="1271"/>
      <c r="AC48" s="1271"/>
      <c r="AD48" s="1271"/>
      <c r="AE48" s="1271"/>
      <c r="AF48" s="1271"/>
      <c r="AJ48" s="683"/>
      <c r="AL48" s="894"/>
    </row>
    <row r="49" spans="1:38" ht="48.75" customHeight="1" x14ac:dyDescent="0.25">
      <c r="A49" s="1680" t="s">
        <v>2724</v>
      </c>
      <c r="B49" s="1681"/>
      <c r="C49" s="1681"/>
      <c r="D49" s="1682"/>
      <c r="E49" s="1680" t="s">
        <v>2217</v>
      </c>
      <c r="F49" s="1681"/>
      <c r="G49" s="1681"/>
      <c r="H49" s="1681"/>
      <c r="I49" s="1681"/>
      <c r="J49" s="1681"/>
      <c r="K49" s="1681"/>
      <c r="L49" s="1681"/>
      <c r="M49" s="1681"/>
      <c r="N49" s="1681"/>
      <c r="O49" s="1681"/>
      <c r="P49" s="1682"/>
      <c r="Q49" s="1683">
        <f>'Master EUL'!X123</f>
        <v>10</v>
      </c>
      <c r="R49" s="1812"/>
      <c r="S49" s="1812"/>
      <c r="T49" s="1841" t="s">
        <v>46</v>
      </c>
      <c r="U49" s="1842"/>
      <c r="V49" s="1842"/>
      <c r="W49" s="1133" t="s">
        <v>6018</v>
      </c>
      <c r="X49" s="1768"/>
      <c r="Y49" s="1768"/>
      <c r="Z49" s="1768"/>
      <c r="AA49" s="1768"/>
      <c r="AB49" s="1768"/>
      <c r="AC49" s="1768"/>
      <c r="AD49" s="1768"/>
      <c r="AE49" s="1768"/>
      <c r="AF49" s="1768"/>
      <c r="AJ49" s="683"/>
      <c r="AL49" s="640"/>
    </row>
    <row r="50" spans="1:38" ht="15" customHeight="1" x14ac:dyDescent="0.25">
      <c r="A50" s="628" t="s">
        <v>1047</v>
      </c>
      <c r="B50" s="629"/>
      <c r="C50" s="629"/>
      <c r="D50" s="629"/>
      <c r="E50" s="629"/>
      <c r="F50" s="629"/>
      <c r="G50" s="630"/>
      <c r="H50" s="630"/>
      <c r="I50" s="630"/>
      <c r="J50" s="630"/>
      <c r="K50" s="630"/>
      <c r="L50" s="630"/>
      <c r="M50" s="630"/>
      <c r="N50" s="630"/>
      <c r="O50" s="630"/>
      <c r="P50" s="888"/>
      <c r="Q50" s="888"/>
      <c r="R50" s="888"/>
      <c r="S50" s="888"/>
      <c r="T50" s="888"/>
      <c r="U50" s="888"/>
      <c r="V50" s="888"/>
      <c r="W50" s="888"/>
      <c r="X50" s="888"/>
      <c r="Y50" s="630"/>
      <c r="Z50" s="630"/>
      <c r="AA50" s="630"/>
      <c r="AB50" s="630"/>
      <c r="AC50" s="630"/>
      <c r="AD50" s="630"/>
      <c r="AE50" s="630"/>
      <c r="AF50" s="630"/>
      <c r="AJ50" s="683"/>
    </row>
    <row r="51" spans="1:38" ht="61.5" customHeight="1" x14ac:dyDescent="0.25">
      <c r="A51" s="1686" t="s">
        <v>6019</v>
      </c>
      <c r="B51" s="1686"/>
      <c r="C51" s="1686"/>
      <c r="D51" s="1686"/>
      <c r="E51" s="1686"/>
      <c r="F51" s="1686"/>
      <c r="G51" s="1686"/>
      <c r="H51" s="1686"/>
      <c r="I51" s="1686"/>
      <c r="J51" s="1686"/>
      <c r="K51" s="1686"/>
      <c r="L51" s="1686"/>
      <c r="M51" s="1686"/>
      <c r="N51" s="1686"/>
      <c r="O51" s="1686"/>
      <c r="P51" s="1686"/>
      <c r="Q51" s="1686"/>
      <c r="R51" s="1686"/>
      <c r="S51" s="1686"/>
      <c r="T51" s="1686"/>
      <c r="U51" s="1686"/>
      <c r="V51" s="1686"/>
      <c r="W51" s="1686"/>
      <c r="X51" s="1686"/>
      <c r="Y51" s="1686"/>
      <c r="Z51" s="1686"/>
      <c r="AA51" s="1686"/>
      <c r="AB51" s="1686"/>
      <c r="AC51" s="1686"/>
      <c r="AD51" s="1686"/>
      <c r="AE51" s="1686"/>
      <c r="AF51" s="1686"/>
      <c r="AJ51" s="683"/>
    </row>
    <row r="52" spans="1:38" ht="15" customHeight="1" x14ac:dyDescent="0.25">
      <c r="A52" s="870"/>
      <c r="B52" s="870"/>
      <c r="C52" s="870"/>
      <c r="D52" s="870"/>
      <c r="E52" s="870"/>
      <c r="F52" s="870"/>
      <c r="G52" s="870"/>
      <c r="H52" s="870"/>
      <c r="I52" s="870"/>
      <c r="J52" s="870"/>
      <c r="K52" s="870"/>
      <c r="L52" s="870"/>
      <c r="M52" s="870"/>
      <c r="N52" s="870"/>
      <c r="O52" s="870"/>
      <c r="P52" s="870"/>
      <c r="Q52" s="870"/>
      <c r="R52" s="870"/>
      <c r="S52" s="870"/>
      <c r="T52" s="870"/>
      <c r="U52" s="870"/>
      <c r="V52" s="870"/>
      <c r="W52" s="870"/>
      <c r="X52" s="870"/>
      <c r="Y52" s="870"/>
      <c r="Z52" s="870"/>
      <c r="AA52" s="870"/>
      <c r="AB52" s="870"/>
      <c r="AC52" s="870"/>
      <c r="AD52" s="870"/>
      <c r="AE52" s="870"/>
      <c r="AF52" s="870"/>
      <c r="AJ52" s="683"/>
    </row>
    <row r="53" spans="1:38" ht="15" customHeight="1" x14ac:dyDescent="0.25">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row>
    <row r="54" spans="1:38" ht="30" customHeight="1" x14ac:dyDescent="0.25">
      <c r="A54" s="1821" t="s">
        <v>6020</v>
      </c>
      <c r="B54" s="1822"/>
      <c r="C54" s="1822"/>
      <c r="D54" s="1822"/>
      <c r="E54" s="1822"/>
      <c r="F54" s="1822"/>
      <c r="G54" s="1822"/>
      <c r="H54" s="1822"/>
      <c r="I54" s="1822"/>
      <c r="J54" s="1822"/>
      <c r="K54" s="1822"/>
      <c r="L54" s="1822"/>
      <c r="M54" s="1822"/>
      <c r="N54" s="1822"/>
      <c r="O54" s="1822"/>
      <c r="P54" s="1822"/>
      <c r="Q54" s="1822"/>
      <c r="R54" s="1822"/>
      <c r="S54" s="1822"/>
      <c r="T54" s="1822"/>
      <c r="U54" s="1822"/>
      <c r="V54" s="1822"/>
      <c r="W54" s="1822"/>
      <c r="X54" s="1822"/>
      <c r="Y54" s="1822"/>
      <c r="Z54" s="1822"/>
      <c r="AA54" s="1822"/>
      <c r="AB54" s="1822"/>
      <c r="AC54" s="1822"/>
      <c r="AD54" s="1822"/>
      <c r="AE54" s="1822"/>
      <c r="AF54" s="1823"/>
      <c r="AL54" s="894"/>
    </row>
    <row r="55" spans="1:38" ht="64.5" customHeight="1" x14ac:dyDescent="0.25">
      <c r="A55" s="1832" t="s">
        <v>2</v>
      </c>
      <c r="B55" s="1832"/>
      <c r="C55" s="1832"/>
      <c r="D55" s="1832"/>
      <c r="E55" s="1832"/>
      <c r="F55" s="1832"/>
      <c r="G55" s="1832"/>
      <c r="H55" s="1832"/>
      <c r="I55" s="1843" t="s">
        <v>6021</v>
      </c>
      <c r="J55" s="1843"/>
      <c r="K55" s="1843"/>
      <c r="L55" s="1843"/>
      <c r="M55" s="1843"/>
      <c r="N55" s="1843" t="s">
        <v>6022</v>
      </c>
      <c r="O55" s="1843"/>
      <c r="P55" s="1843"/>
      <c r="Q55" s="1843"/>
      <c r="R55" s="1843"/>
      <c r="S55" s="1843"/>
      <c r="T55" s="1843" t="s">
        <v>6023</v>
      </c>
      <c r="U55" s="1843"/>
      <c r="V55" s="1843"/>
      <c r="W55" s="1843"/>
      <c r="X55" s="1843"/>
      <c r="Y55" s="1831" t="s">
        <v>813</v>
      </c>
      <c r="Z55" s="1831"/>
      <c r="AA55" s="1831"/>
      <c r="AB55" s="1831"/>
      <c r="AC55" s="1831"/>
      <c r="AD55" s="1831"/>
      <c r="AE55" s="1831"/>
      <c r="AF55" s="1831"/>
      <c r="AG55" s="150"/>
    </row>
    <row r="56" spans="1:38" ht="14.45" customHeight="1" x14ac:dyDescent="0.25">
      <c r="A56" s="1832" t="s">
        <v>6024</v>
      </c>
      <c r="B56" s="1832"/>
      <c r="C56" s="1832"/>
      <c r="D56" s="1832"/>
      <c r="E56" s="1832"/>
      <c r="F56" s="1832"/>
      <c r="G56" s="1832"/>
      <c r="H56" s="1832"/>
      <c r="I56" s="1833" t="s">
        <v>6025</v>
      </c>
      <c r="J56" s="1833"/>
      <c r="K56" s="1833"/>
      <c r="L56" s="1833"/>
      <c r="M56" s="1833"/>
      <c r="N56" s="1834" t="s">
        <v>6026</v>
      </c>
      <c r="O56" s="1834"/>
      <c r="P56" s="1834"/>
      <c r="Q56" s="1834"/>
      <c r="R56" s="1834"/>
      <c r="S56" s="1834"/>
      <c r="T56" s="1835" t="s">
        <v>6027</v>
      </c>
      <c r="U56" s="1835"/>
      <c r="V56" s="1835"/>
      <c r="W56" s="1835"/>
      <c r="X56" s="1835"/>
      <c r="Y56" s="1836" t="s">
        <v>6028</v>
      </c>
      <c r="Z56" s="1836"/>
      <c r="AA56" s="1836"/>
      <c r="AB56" s="1836"/>
      <c r="AC56" s="1836"/>
      <c r="AD56" s="1836"/>
      <c r="AE56" s="1836"/>
      <c r="AF56" s="1836"/>
      <c r="AG56" s="243"/>
    </row>
    <row r="57" spans="1:38" ht="14.45" customHeight="1" x14ac:dyDescent="0.25">
      <c r="A57" s="1832"/>
      <c r="B57" s="1832"/>
      <c r="C57" s="1832"/>
      <c r="D57" s="1832"/>
      <c r="E57" s="1832"/>
      <c r="F57" s="1832"/>
      <c r="G57" s="1832"/>
      <c r="H57" s="1832"/>
      <c r="I57" s="1833" t="s">
        <v>6087</v>
      </c>
      <c r="J57" s="1833"/>
      <c r="K57" s="1833"/>
      <c r="L57" s="1833"/>
      <c r="M57" s="1833"/>
      <c r="N57" s="1834" t="s">
        <v>6029</v>
      </c>
      <c r="O57" s="1834"/>
      <c r="P57" s="1834"/>
      <c r="Q57" s="1834"/>
      <c r="R57" s="1834"/>
      <c r="S57" s="1834"/>
      <c r="T57" s="1835"/>
      <c r="U57" s="1835"/>
      <c r="V57" s="1835"/>
      <c r="W57" s="1835"/>
      <c r="X57" s="1835"/>
      <c r="Y57" s="1836" t="s">
        <v>6030</v>
      </c>
      <c r="Z57" s="1836"/>
      <c r="AA57" s="1836"/>
      <c r="AB57" s="1836"/>
      <c r="AC57" s="1836"/>
      <c r="AD57" s="1836"/>
      <c r="AE57" s="1836"/>
      <c r="AF57" s="1836"/>
      <c r="AG57" s="243"/>
    </row>
    <row r="58" spans="1:38" ht="14.45" customHeight="1" x14ac:dyDescent="0.25">
      <c r="A58" s="1832"/>
      <c r="B58" s="1832"/>
      <c r="C58" s="1832"/>
      <c r="D58" s="1832"/>
      <c r="E58" s="1832"/>
      <c r="F58" s="1832"/>
      <c r="G58" s="1832"/>
      <c r="H58" s="1832"/>
      <c r="I58" s="1833" t="s">
        <v>6088</v>
      </c>
      <c r="J58" s="1833"/>
      <c r="K58" s="1833"/>
      <c r="L58" s="1833"/>
      <c r="M58" s="1833"/>
      <c r="N58" s="1834" t="s">
        <v>6031</v>
      </c>
      <c r="O58" s="1834"/>
      <c r="P58" s="1834"/>
      <c r="Q58" s="1834"/>
      <c r="R58" s="1834"/>
      <c r="S58" s="1834"/>
      <c r="T58" s="1835"/>
      <c r="U58" s="1835"/>
      <c r="V58" s="1835"/>
      <c r="W58" s="1835"/>
      <c r="X58" s="1835"/>
      <c r="Y58" s="1836" t="s">
        <v>6032</v>
      </c>
      <c r="Z58" s="1836"/>
      <c r="AA58" s="1836"/>
      <c r="AB58" s="1836"/>
      <c r="AC58" s="1836"/>
      <c r="AD58" s="1836"/>
      <c r="AE58" s="1836"/>
      <c r="AF58" s="1836"/>
      <c r="AG58" s="243"/>
    </row>
    <row r="59" spans="1:38" ht="15.75" customHeight="1" x14ac:dyDescent="0.25">
      <c r="A59" s="1832"/>
      <c r="B59" s="1832"/>
      <c r="C59" s="1832"/>
      <c r="D59" s="1832"/>
      <c r="E59" s="1832"/>
      <c r="F59" s="1832"/>
      <c r="G59" s="1832"/>
      <c r="H59" s="1832"/>
      <c r="I59" s="1833" t="s">
        <v>6089</v>
      </c>
      <c r="J59" s="1833"/>
      <c r="K59" s="1833"/>
      <c r="L59" s="1833"/>
      <c r="M59" s="1833"/>
      <c r="N59" s="1834" t="s">
        <v>6033</v>
      </c>
      <c r="O59" s="1834"/>
      <c r="P59" s="1834"/>
      <c r="Q59" s="1834"/>
      <c r="R59" s="1834"/>
      <c r="S59" s="1834"/>
      <c r="T59" s="1835"/>
      <c r="U59" s="1835"/>
      <c r="V59" s="1835"/>
      <c r="W59" s="1835"/>
      <c r="X59" s="1835"/>
      <c r="Y59" s="1836">
        <v>4.6100000000000003</v>
      </c>
      <c r="Z59" s="1836"/>
      <c r="AA59" s="1836"/>
      <c r="AB59" s="1836"/>
      <c r="AC59" s="1836"/>
      <c r="AD59" s="1836"/>
      <c r="AE59" s="1836"/>
      <c r="AF59" s="1836"/>
      <c r="AG59" s="243"/>
    </row>
    <row r="60" spans="1:38" ht="22.5" customHeight="1" x14ac:dyDescent="0.25">
      <c r="A60" s="1840" t="s">
        <v>6034</v>
      </c>
      <c r="B60" s="1840"/>
      <c r="C60" s="1840"/>
      <c r="D60" s="1840"/>
      <c r="E60" s="1840"/>
      <c r="F60" s="1840"/>
      <c r="G60" s="1840"/>
      <c r="H60" s="1840"/>
      <c r="I60" s="1833" t="s">
        <v>6035</v>
      </c>
      <c r="J60" s="1833"/>
      <c r="K60" s="1833"/>
      <c r="L60" s="1833"/>
      <c r="M60" s="1833"/>
      <c r="N60" s="1834" t="s">
        <v>6036</v>
      </c>
      <c r="O60" s="1834"/>
      <c r="P60" s="1834"/>
      <c r="Q60" s="1834"/>
      <c r="R60" s="1834"/>
      <c r="S60" s="1834"/>
      <c r="T60" s="1834" t="s">
        <v>812</v>
      </c>
      <c r="U60" s="1834"/>
      <c r="V60" s="1834"/>
      <c r="W60" s="1834"/>
      <c r="X60" s="1834"/>
      <c r="Y60" s="1836" t="s">
        <v>6037</v>
      </c>
      <c r="Z60" s="1836"/>
      <c r="AA60" s="1836"/>
      <c r="AB60" s="1836"/>
      <c r="AC60" s="1836"/>
      <c r="AD60" s="1836"/>
      <c r="AE60" s="1836"/>
      <c r="AF60" s="1836"/>
      <c r="AG60" s="243"/>
    </row>
    <row r="61" spans="1:38" ht="25.5" customHeight="1" x14ac:dyDescent="0.25">
      <c r="A61" s="1840"/>
      <c r="B61" s="1840"/>
      <c r="C61" s="1840"/>
      <c r="D61" s="1840"/>
      <c r="E61" s="1840"/>
      <c r="F61" s="1840"/>
      <c r="G61" s="1840"/>
      <c r="H61" s="1840"/>
      <c r="I61" s="1833" t="s">
        <v>6090</v>
      </c>
      <c r="J61" s="1833"/>
      <c r="K61" s="1833"/>
      <c r="L61" s="1833"/>
      <c r="M61" s="1833"/>
      <c r="N61" s="1834" t="s">
        <v>6038</v>
      </c>
      <c r="O61" s="1834"/>
      <c r="P61" s="1834"/>
      <c r="Q61" s="1834"/>
      <c r="R61" s="1834"/>
      <c r="S61" s="1834"/>
      <c r="T61" s="1834"/>
      <c r="U61" s="1834"/>
      <c r="V61" s="1834"/>
      <c r="W61" s="1834"/>
      <c r="X61" s="1834"/>
      <c r="Y61" s="1839">
        <v>4.59</v>
      </c>
      <c r="Z61" s="1839"/>
      <c r="AA61" s="1839"/>
      <c r="AB61" s="1839"/>
      <c r="AC61" s="1839"/>
      <c r="AD61" s="1839"/>
      <c r="AE61" s="1839"/>
      <c r="AF61" s="1839"/>
      <c r="AG61" s="243"/>
    </row>
    <row r="62" spans="1:38" ht="14.45" customHeight="1" x14ac:dyDescent="0.25">
      <c r="A62" s="1832" t="s">
        <v>6039</v>
      </c>
      <c r="B62" s="1832"/>
      <c r="C62" s="1832"/>
      <c r="D62" s="1832"/>
      <c r="E62" s="1832"/>
      <c r="F62" s="1832"/>
      <c r="G62" s="1832"/>
      <c r="H62" s="1832"/>
      <c r="I62" s="1833" t="s">
        <v>6040</v>
      </c>
      <c r="J62" s="1833"/>
      <c r="K62" s="1833"/>
      <c r="L62" s="1833"/>
      <c r="M62" s="1833"/>
      <c r="N62" s="1834" t="s">
        <v>6041</v>
      </c>
      <c r="O62" s="1834"/>
      <c r="P62" s="1834"/>
      <c r="Q62" s="1834"/>
      <c r="R62" s="1834"/>
      <c r="S62" s="1834"/>
      <c r="T62" s="1834" t="s">
        <v>6042</v>
      </c>
      <c r="U62" s="1834"/>
      <c r="V62" s="1834"/>
      <c r="W62" s="1834"/>
      <c r="X62" s="1834"/>
      <c r="Y62" s="1836" t="s">
        <v>6043</v>
      </c>
      <c r="Z62" s="1836"/>
      <c r="AA62" s="1836"/>
      <c r="AB62" s="1836"/>
      <c r="AC62" s="1836"/>
      <c r="AD62" s="1836"/>
      <c r="AE62" s="1836"/>
      <c r="AF62" s="1836"/>
      <c r="AG62" s="243"/>
    </row>
    <row r="63" spans="1:38" ht="14.45" customHeight="1" x14ac:dyDescent="0.25">
      <c r="A63" s="1832"/>
      <c r="B63" s="1832"/>
      <c r="C63" s="1832"/>
      <c r="D63" s="1832"/>
      <c r="E63" s="1832"/>
      <c r="F63" s="1832"/>
      <c r="G63" s="1832"/>
      <c r="H63" s="1832"/>
      <c r="I63" s="1833" t="s">
        <v>6091</v>
      </c>
      <c r="J63" s="1833"/>
      <c r="K63" s="1833"/>
      <c r="L63" s="1833"/>
      <c r="M63" s="1833"/>
      <c r="N63" s="1834" t="s">
        <v>6044</v>
      </c>
      <c r="O63" s="1834"/>
      <c r="P63" s="1834"/>
      <c r="Q63" s="1834"/>
      <c r="R63" s="1834"/>
      <c r="S63" s="1834"/>
      <c r="T63" s="1834"/>
      <c r="U63" s="1834"/>
      <c r="V63" s="1834"/>
      <c r="W63" s="1834"/>
      <c r="X63" s="1834"/>
      <c r="Y63" s="1836" t="s">
        <v>6045</v>
      </c>
      <c r="Z63" s="1836"/>
      <c r="AA63" s="1836"/>
      <c r="AB63" s="1836"/>
      <c r="AC63" s="1836"/>
      <c r="AD63" s="1836"/>
      <c r="AE63" s="1836"/>
      <c r="AF63" s="1836"/>
      <c r="AG63" s="243"/>
    </row>
    <row r="64" spans="1:38" x14ac:dyDescent="0.25">
      <c r="A64" s="1832"/>
      <c r="B64" s="1832"/>
      <c r="C64" s="1832"/>
      <c r="D64" s="1832"/>
      <c r="E64" s="1832"/>
      <c r="F64" s="1832"/>
      <c r="G64" s="1832"/>
      <c r="H64" s="1832"/>
      <c r="I64" s="1833" t="s">
        <v>6092</v>
      </c>
      <c r="J64" s="1833"/>
      <c r="K64" s="1833"/>
      <c r="L64" s="1833"/>
      <c r="M64" s="1833"/>
      <c r="N64" s="1834" t="s">
        <v>6046</v>
      </c>
      <c r="O64" s="1834"/>
      <c r="P64" s="1834"/>
      <c r="Q64" s="1834"/>
      <c r="R64" s="1834"/>
      <c r="S64" s="1834"/>
      <c r="T64" s="1834"/>
      <c r="U64" s="1834"/>
      <c r="V64" s="1834"/>
      <c r="W64" s="1834"/>
      <c r="X64" s="1834"/>
      <c r="Y64" s="1839">
        <v>7.35</v>
      </c>
      <c r="Z64" s="1839"/>
      <c r="AA64" s="1839"/>
      <c r="AB64" s="1839"/>
      <c r="AC64" s="1839"/>
      <c r="AD64" s="1839"/>
      <c r="AE64" s="1839"/>
      <c r="AF64" s="1839"/>
    </row>
    <row r="65" spans="1:38" x14ac:dyDescent="0.25">
      <c r="A65" s="197"/>
      <c r="B65" s="197"/>
      <c r="C65" s="197"/>
      <c r="D65" s="197"/>
      <c r="E65" s="197"/>
      <c r="F65" s="197"/>
      <c r="G65" s="197"/>
      <c r="H65" s="197"/>
      <c r="I65" s="451"/>
      <c r="J65" s="451"/>
      <c r="K65" s="451"/>
      <c r="L65" s="451"/>
      <c r="M65" s="451"/>
      <c r="N65" s="450"/>
      <c r="O65" s="450"/>
      <c r="P65" s="450"/>
      <c r="Q65" s="450"/>
      <c r="R65" s="450"/>
      <c r="S65" s="450"/>
      <c r="T65" s="450"/>
      <c r="U65" s="450"/>
      <c r="V65" s="450"/>
      <c r="W65" s="450"/>
      <c r="X65" s="450"/>
      <c r="Y65" s="900"/>
      <c r="Z65" s="900"/>
      <c r="AA65" s="900"/>
      <c r="AB65" s="900"/>
      <c r="AC65" s="900"/>
      <c r="AD65" s="900"/>
      <c r="AE65" s="900"/>
      <c r="AF65" s="900"/>
    </row>
    <row r="66" spans="1:38" x14ac:dyDescent="0.25">
      <c r="A66" s="262"/>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row>
    <row r="67" spans="1:38" ht="33.75" customHeight="1" x14ac:dyDescent="0.25">
      <c r="A67" s="1821" t="s">
        <v>6047</v>
      </c>
      <c r="B67" s="1822"/>
      <c r="C67" s="1822"/>
      <c r="D67" s="1822"/>
      <c r="E67" s="1822"/>
      <c r="F67" s="1822"/>
      <c r="G67" s="1822"/>
      <c r="H67" s="1822"/>
      <c r="I67" s="1822"/>
      <c r="J67" s="1822"/>
      <c r="K67" s="1822"/>
      <c r="L67" s="1822"/>
      <c r="M67" s="1822"/>
      <c r="N67" s="1822"/>
      <c r="O67" s="1822"/>
      <c r="P67" s="1822"/>
      <c r="Q67" s="1822"/>
      <c r="R67" s="1822"/>
      <c r="S67" s="1822"/>
      <c r="T67" s="1822"/>
      <c r="U67" s="1822"/>
      <c r="V67" s="1822"/>
      <c r="W67" s="1822"/>
      <c r="X67" s="1822"/>
      <c r="Y67" s="1822"/>
      <c r="Z67" s="1822"/>
      <c r="AA67" s="1822"/>
      <c r="AB67" s="1822"/>
      <c r="AC67" s="1822"/>
      <c r="AD67" s="1822"/>
      <c r="AE67" s="1822"/>
      <c r="AF67" s="1823"/>
      <c r="AL67" s="894"/>
    </row>
    <row r="68" spans="1:38" ht="48.75" customHeight="1" x14ac:dyDescent="0.25">
      <c r="A68" s="1829" t="s">
        <v>2</v>
      </c>
      <c r="B68" s="1829"/>
      <c r="C68" s="1829"/>
      <c r="D68" s="1829"/>
      <c r="E68" s="1829"/>
      <c r="F68" s="1829"/>
      <c r="G68" s="1829"/>
      <c r="H68" s="1829"/>
      <c r="I68" s="1837" t="s">
        <v>6021</v>
      </c>
      <c r="J68" s="1837"/>
      <c r="K68" s="1837"/>
      <c r="L68" s="1837"/>
      <c r="M68" s="1837"/>
      <c r="N68" s="1837" t="s">
        <v>6022</v>
      </c>
      <c r="O68" s="1837"/>
      <c r="P68" s="1837"/>
      <c r="Q68" s="1837"/>
      <c r="R68" s="1837"/>
      <c r="S68" s="1837"/>
      <c r="T68" s="1837" t="s">
        <v>6023</v>
      </c>
      <c r="U68" s="1837"/>
      <c r="V68" s="1837"/>
      <c r="W68" s="1837"/>
      <c r="X68" s="1837"/>
      <c r="Y68" s="1838" t="s">
        <v>813</v>
      </c>
      <c r="Z68" s="1838"/>
      <c r="AA68" s="1838"/>
      <c r="AB68" s="1838"/>
      <c r="AC68" s="1838"/>
      <c r="AD68" s="1838"/>
      <c r="AE68" s="1838"/>
      <c r="AF68" s="1838"/>
    </row>
    <row r="69" spans="1:38" ht="15" customHeight="1" x14ac:dyDescent="0.25">
      <c r="A69" s="1829" t="s">
        <v>6024</v>
      </c>
      <c r="B69" s="1829"/>
      <c r="C69" s="1829"/>
      <c r="D69" s="1829"/>
      <c r="E69" s="1829"/>
      <c r="F69" s="1829"/>
      <c r="G69" s="1829"/>
      <c r="H69" s="1829"/>
      <c r="I69" s="1826" t="s">
        <v>6048</v>
      </c>
      <c r="J69" s="1826"/>
      <c r="K69" s="1826"/>
      <c r="L69" s="1826"/>
      <c r="M69" s="1826"/>
      <c r="N69" s="1824" t="s">
        <v>6049</v>
      </c>
      <c r="O69" s="1824"/>
      <c r="P69" s="1824"/>
      <c r="Q69" s="1824"/>
      <c r="R69" s="1824"/>
      <c r="S69" s="1824"/>
      <c r="T69" s="1830" t="s">
        <v>6050</v>
      </c>
      <c r="U69" s="1830"/>
      <c r="V69" s="1830"/>
      <c r="W69" s="1830"/>
      <c r="X69" s="1830"/>
      <c r="Y69" s="1825" t="s">
        <v>6051</v>
      </c>
      <c r="Z69" s="1825"/>
      <c r="AA69" s="1825"/>
      <c r="AB69" s="1825"/>
      <c r="AC69" s="1825"/>
      <c r="AD69" s="1825"/>
      <c r="AE69" s="1825"/>
      <c r="AF69" s="1825"/>
    </row>
    <row r="70" spans="1:38" ht="15" customHeight="1" x14ac:dyDescent="0.25">
      <c r="A70" s="1829"/>
      <c r="B70" s="1829"/>
      <c r="C70" s="1829"/>
      <c r="D70" s="1829"/>
      <c r="E70" s="1829"/>
      <c r="F70" s="1829"/>
      <c r="G70" s="1829"/>
      <c r="H70" s="1829"/>
      <c r="I70" s="1826" t="s">
        <v>6093</v>
      </c>
      <c r="J70" s="1826"/>
      <c r="K70" s="1826"/>
      <c r="L70" s="1826"/>
      <c r="M70" s="1826"/>
      <c r="N70" s="1824" t="s">
        <v>6052</v>
      </c>
      <c r="O70" s="1824"/>
      <c r="P70" s="1824"/>
      <c r="Q70" s="1824"/>
      <c r="R70" s="1824"/>
      <c r="S70" s="1824"/>
      <c r="T70" s="1830"/>
      <c r="U70" s="1830"/>
      <c r="V70" s="1830"/>
      <c r="W70" s="1830"/>
      <c r="X70" s="1830"/>
      <c r="Y70" s="1825" t="s">
        <v>6053</v>
      </c>
      <c r="Z70" s="1825"/>
      <c r="AA70" s="1825"/>
      <c r="AB70" s="1825"/>
      <c r="AC70" s="1825"/>
      <c r="AD70" s="1825"/>
      <c r="AE70" s="1825"/>
      <c r="AF70" s="1825"/>
    </row>
    <row r="71" spans="1:38" ht="15" customHeight="1" x14ac:dyDescent="0.25">
      <c r="A71" s="1829"/>
      <c r="B71" s="1829"/>
      <c r="C71" s="1829"/>
      <c r="D71" s="1829"/>
      <c r="E71" s="1829"/>
      <c r="F71" s="1829"/>
      <c r="G71" s="1829"/>
      <c r="H71" s="1829"/>
      <c r="I71" s="1826" t="s">
        <v>6094</v>
      </c>
      <c r="J71" s="1826"/>
      <c r="K71" s="1826"/>
      <c r="L71" s="1826"/>
      <c r="M71" s="1826"/>
      <c r="N71" s="1824" t="s">
        <v>6054</v>
      </c>
      <c r="O71" s="1824"/>
      <c r="P71" s="1824"/>
      <c r="Q71" s="1824"/>
      <c r="R71" s="1824"/>
      <c r="S71" s="1824"/>
      <c r="T71" s="1830"/>
      <c r="U71" s="1830"/>
      <c r="V71" s="1830"/>
      <c r="W71" s="1830"/>
      <c r="X71" s="1830"/>
      <c r="Y71" s="1825">
        <v>5.61</v>
      </c>
      <c r="Z71" s="1825"/>
      <c r="AA71" s="1825"/>
      <c r="AB71" s="1825"/>
      <c r="AC71" s="1825"/>
      <c r="AD71" s="1825"/>
      <c r="AE71" s="1825"/>
      <c r="AF71" s="1825"/>
    </row>
    <row r="72" spans="1:38" ht="21" customHeight="1" x14ac:dyDescent="0.25">
      <c r="A72" s="1828" t="s">
        <v>6034</v>
      </c>
      <c r="B72" s="1828"/>
      <c r="C72" s="1828"/>
      <c r="D72" s="1828"/>
      <c r="E72" s="1828"/>
      <c r="F72" s="1828"/>
      <c r="G72" s="1828"/>
      <c r="H72" s="1828"/>
      <c r="I72" s="1826" t="s">
        <v>6055</v>
      </c>
      <c r="J72" s="1826"/>
      <c r="K72" s="1826"/>
      <c r="L72" s="1826"/>
      <c r="M72" s="1826"/>
      <c r="N72" s="1824" t="s">
        <v>6056</v>
      </c>
      <c r="O72" s="1824"/>
      <c r="P72" s="1824"/>
      <c r="Q72" s="1824"/>
      <c r="R72" s="1824"/>
      <c r="S72" s="1824"/>
      <c r="T72" s="1824" t="s">
        <v>6050</v>
      </c>
      <c r="U72" s="1824"/>
      <c r="V72" s="1824"/>
      <c r="W72" s="1824"/>
      <c r="X72" s="1824"/>
      <c r="Y72" s="1825" t="s">
        <v>6057</v>
      </c>
      <c r="Z72" s="1825"/>
      <c r="AA72" s="1825"/>
      <c r="AB72" s="1825"/>
      <c r="AC72" s="1825"/>
      <c r="AD72" s="1825"/>
      <c r="AE72" s="1825"/>
      <c r="AF72" s="1825"/>
    </row>
    <row r="73" spans="1:38" ht="19.5" customHeight="1" x14ac:dyDescent="0.25">
      <c r="A73" s="1828"/>
      <c r="B73" s="1828"/>
      <c r="C73" s="1828"/>
      <c r="D73" s="1828"/>
      <c r="E73" s="1828"/>
      <c r="F73" s="1828"/>
      <c r="G73" s="1828"/>
      <c r="H73" s="1828"/>
      <c r="I73" s="1826" t="s">
        <v>6095</v>
      </c>
      <c r="J73" s="1826"/>
      <c r="K73" s="1826"/>
      <c r="L73" s="1826"/>
      <c r="M73" s="1826"/>
      <c r="N73" s="1824" t="s">
        <v>6058</v>
      </c>
      <c r="O73" s="1824"/>
      <c r="P73" s="1824"/>
      <c r="Q73" s="1824"/>
      <c r="R73" s="1824"/>
      <c r="S73" s="1824"/>
      <c r="T73" s="1824"/>
      <c r="U73" s="1824"/>
      <c r="V73" s="1824"/>
      <c r="W73" s="1824"/>
      <c r="X73" s="1824"/>
      <c r="Y73" s="1827">
        <v>5.0599999999999996</v>
      </c>
      <c r="Z73" s="1827"/>
      <c r="AA73" s="1827"/>
      <c r="AB73" s="1827"/>
      <c r="AC73" s="1827"/>
      <c r="AD73" s="1827"/>
      <c r="AE73" s="1827"/>
      <c r="AF73" s="1827"/>
    </row>
    <row r="74" spans="1:38" ht="15" customHeight="1" x14ac:dyDescent="0.25">
      <c r="A74" s="1829" t="s">
        <v>6039</v>
      </c>
      <c r="B74" s="1829"/>
      <c r="C74" s="1829"/>
      <c r="D74" s="1829"/>
      <c r="E74" s="1829"/>
      <c r="F74" s="1829"/>
      <c r="G74" s="1829"/>
      <c r="H74" s="1829"/>
      <c r="I74" s="1826" t="s">
        <v>6059</v>
      </c>
      <c r="J74" s="1826"/>
      <c r="K74" s="1826"/>
      <c r="L74" s="1826"/>
      <c r="M74" s="1826"/>
      <c r="N74" s="1824" t="s">
        <v>6060</v>
      </c>
      <c r="O74" s="1824"/>
      <c r="P74" s="1824"/>
      <c r="Q74" s="1824"/>
      <c r="R74" s="1824"/>
      <c r="S74" s="1824"/>
      <c r="T74" s="1824" t="s">
        <v>6050</v>
      </c>
      <c r="U74" s="1824"/>
      <c r="V74" s="1824"/>
      <c r="W74" s="1824"/>
      <c r="X74" s="1824"/>
      <c r="Y74" s="1825" t="s">
        <v>6061</v>
      </c>
      <c r="Z74" s="1825"/>
      <c r="AA74" s="1825"/>
      <c r="AB74" s="1825"/>
      <c r="AC74" s="1825"/>
      <c r="AD74" s="1825"/>
      <c r="AE74" s="1825"/>
      <c r="AF74" s="1825"/>
    </row>
    <row r="75" spans="1:38" ht="19.5" customHeight="1" x14ac:dyDescent="0.25">
      <c r="A75" s="1829"/>
      <c r="B75" s="1829"/>
      <c r="C75" s="1829"/>
      <c r="D75" s="1829"/>
      <c r="E75" s="1829"/>
      <c r="F75" s="1829"/>
      <c r="G75" s="1829"/>
      <c r="H75" s="1829"/>
      <c r="I75" s="1826" t="s">
        <v>6096</v>
      </c>
      <c r="J75" s="1826"/>
      <c r="K75" s="1826"/>
      <c r="L75" s="1826"/>
      <c r="M75" s="1826"/>
      <c r="N75" s="1824" t="s">
        <v>6062</v>
      </c>
      <c r="O75" s="1824"/>
      <c r="P75" s="1824"/>
      <c r="Q75" s="1824"/>
      <c r="R75" s="1824"/>
      <c r="S75" s="1824"/>
      <c r="T75" s="1824"/>
      <c r="U75" s="1824"/>
      <c r="V75" s="1824"/>
      <c r="W75" s="1824"/>
      <c r="X75" s="1824"/>
      <c r="Y75" s="1825" t="s">
        <v>6063</v>
      </c>
      <c r="Z75" s="1825"/>
      <c r="AA75" s="1825"/>
      <c r="AB75" s="1825"/>
      <c r="AC75" s="1825"/>
      <c r="AD75" s="1825"/>
      <c r="AE75" s="1825"/>
      <c r="AF75" s="1825"/>
    </row>
    <row r="76" spans="1:38" x14ac:dyDescent="0.25">
      <c r="A76" s="1829"/>
      <c r="B76" s="1829"/>
      <c r="C76" s="1829"/>
      <c r="D76" s="1829"/>
      <c r="E76" s="1829"/>
      <c r="F76" s="1829"/>
      <c r="G76" s="1829"/>
      <c r="H76" s="1829"/>
      <c r="I76" s="1826" t="s">
        <v>6064</v>
      </c>
      <c r="J76" s="1826"/>
      <c r="K76" s="1826"/>
      <c r="L76" s="1826"/>
      <c r="M76" s="1826"/>
      <c r="N76" s="1824" t="s">
        <v>6065</v>
      </c>
      <c r="O76" s="1824"/>
      <c r="P76" s="1824"/>
      <c r="Q76" s="1824"/>
      <c r="R76" s="1824"/>
      <c r="S76" s="1824"/>
      <c r="T76" s="1824"/>
      <c r="U76" s="1824"/>
      <c r="V76" s="1824"/>
      <c r="W76" s="1824"/>
      <c r="X76" s="1824"/>
      <c r="Y76" s="1827">
        <v>5.0999999999999996</v>
      </c>
      <c r="Z76" s="1827"/>
      <c r="AA76" s="1827"/>
      <c r="AB76" s="1827"/>
      <c r="AC76" s="1827"/>
      <c r="AD76" s="1827"/>
      <c r="AE76" s="1827"/>
      <c r="AF76" s="1827"/>
    </row>
    <row r="77" spans="1:38" x14ac:dyDescent="0.25">
      <c r="A77" s="262"/>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c r="AA77" s="262"/>
      <c r="AB77" s="262"/>
      <c r="AC77" s="262"/>
      <c r="AD77" s="262"/>
      <c r="AE77" s="262"/>
      <c r="AF77" s="262"/>
    </row>
    <row r="78" spans="1:38" x14ac:dyDescent="0.25">
      <c r="A78" s="262"/>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2"/>
      <c r="AF78" s="262"/>
    </row>
    <row r="79" spans="1:38" x14ac:dyDescent="0.25">
      <c r="A79" s="1385" t="s">
        <v>21</v>
      </c>
      <c r="B79" s="1386"/>
      <c r="C79" s="1386"/>
      <c r="D79" s="1386"/>
      <c r="E79" s="1386"/>
      <c r="F79" s="1386"/>
      <c r="G79" s="1386"/>
      <c r="H79" s="1386"/>
      <c r="I79" s="1386"/>
      <c r="J79" s="1386"/>
      <c r="K79" s="1386"/>
      <c r="L79" s="1386"/>
      <c r="M79" s="1386"/>
      <c r="N79" s="1386"/>
      <c r="O79" s="1386"/>
      <c r="P79" s="1386"/>
      <c r="Q79" s="1386"/>
      <c r="R79" s="1386"/>
      <c r="S79" s="1386"/>
      <c r="T79" s="1386"/>
      <c r="U79" s="1386"/>
      <c r="V79" s="1386"/>
      <c r="W79" s="1386"/>
      <c r="X79" s="1386"/>
      <c r="Y79" s="1386"/>
      <c r="Z79" s="1386"/>
      <c r="AA79" s="1386"/>
      <c r="AB79" s="1386"/>
      <c r="AC79" s="1386"/>
      <c r="AD79" s="1386"/>
      <c r="AE79" s="1386"/>
      <c r="AF79" s="1387"/>
      <c r="AL79" s="894"/>
    </row>
    <row r="80" spans="1:38" x14ac:dyDescent="0.25">
      <c r="A80" s="262"/>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F80" s="262"/>
    </row>
    <row r="81" spans="1:38" ht="21.75" customHeight="1" x14ac:dyDescent="0.25">
      <c r="A81" s="1821" t="s">
        <v>6066</v>
      </c>
      <c r="B81" s="1822"/>
      <c r="C81" s="1822"/>
      <c r="D81" s="1822"/>
      <c r="E81" s="1822"/>
      <c r="F81" s="1822"/>
      <c r="G81" s="1822"/>
      <c r="H81" s="1822"/>
      <c r="I81" s="1822"/>
      <c r="J81" s="1822"/>
      <c r="K81" s="1822"/>
      <c r="L81" s="1822"/>
      <c r="M81" s="1822"/>
      <c r="N81" s="1822"/>
      <c r="O81" s="1822"/>
      <c r="P81" s="1822"/>
      <c r="Q81" s="1822"/>
      <c r="R81" s="1822"/>
      <c r="S81" s="1822"/>
      <c r="T81" s="1822"/>
      <c r="U81" s="1822"/>
      <c r="V81" s="1822"/>
      <c r="W81" s="1822"/>
      <c r="X81" s="1822"/>
      <c r="Y81" s="1822"/>
      <c r="Z81" s="1822"/>
      <c r="AA81" s="1822"/>
      <c r="AB81" s="1822"/>
      <c r="AC81" s="1822"/>
      <c r="AD81" s="1822"/>
      <c r="AE81" s="1822"/>
      <c r="AF81" s="1823"/>
      <c r="AL81" s="894"/>
    </row>
    <row r="82" spans="1:38" ht="27" customHeight="1" x14ac:dyDescent="0.25">
      <c r="A82" s="1439" t="s">
        <v>6067</v>
      </c>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1"/>
    </row>
    <row r="83" spans="1:38" ht="48" customHeight="1" x14ac:dyDescent="0.25">
      <c r="A83" s="1720" t="s">
        <v>22</v>
      </c>
      <c r="B83" s="1721"/>
      <c r="C83" s="1721"/>
      <c r="D83" s="1721"/>
      <c r="E83" s="1721"/>
      <c r="F83" s="1722"/>
      <c r="G83" s="1819" t="s">
        <v>6068</v>
      </c>
      <c r="H83" s="1722"/>
      <c r="I83" s="1319" t="s">
        <v>6069</v>
      </c>
      <c r="J83" s="1283"/>
      <c r="K83" s="1283"/>
      <c r="L83" s="1283"/>
      <c r="M83" s="1283"/>
      <c r="N83" s="1283"/>
      <c r="O83" s="1283"/>
      <c r="P83" s="1283"/>
      <c r="Q83" s="1319" t="s">
        <v>6070</v>
      </c>
      <c r="R83" s="1283"/>
      <c r="S83" s="1283"/>
      <c r="T83" s="1283"/>
      <c r="U83" s="1283"/>
      <c r="V83" s="1283"/>
      <c r="W83" s="1283"/>
      <c r="X83" s="1283"/>
      <c r="Y83" s="1319" t="s">
        <v>6071</v>
      </c>
      <c r="Z83" s="1283"/>
      <c r="AA83" s="1283"/>
      <c r="AB83" s="1283"/>
      <c r="AC83" s="1283"/>
      <c r="AD83" s="1283"/>
      <c r="AE83" s="1283"/>
      <c r="AF83" s="1283"/>
    </row>
    <row r="84" spans="1:38" ht="31.5" customHeight="1" x14ac:dyDescent="0.25">
      <c r="A84" s="1723"/>
      <c r="B84" s="1723"/>
      <c r="C84" s="1723"/>
      <c r="D84" s="1723"/>
      <c r="E84" s="1723"/>
      <c r="F84" s="1724"/>
      <c r="G84" s="1820"/>
      <c r="H84" s="1724"/>
      <c r="I84" s="1283" t="s">
        <v>129</v>
      </c>
      <c r="J84" s="1283"/>
      <c r="K84" s="1283"/>
      <c r="L84" s="1283"/>
      <c r="M84" s="1283" t="s">
        <v>6072</v>
      </c>
      <c r="N84" s="1283"/>
      <c r="O84" s="1283"/>
      <c r="P84" s="1283"/>
      <c r="Q84" s="1283" t="s">
        <v>129</v>
      </c>
      <c r="R84" s="1283"/>
      <c r="S84" s="1283"/>
      <c r="T84" s="1283"/>
      <c r="U84" s="1283" t="s">
        <v>6072</v>
      </c>
      <c r="V84" s="1283"/>
      <c r="W84" s="1283"/>
      <c r="X84" s="1283"/>
      <c r="Y84" s="1283" t="s">
        <v>129</v>
      </c>
      <c r="Z84" s="1283"/>
      <c r="AA84" s="1283"/>
      <c r="AB84" s="1283"/>
      <c r="AC84" s="1283" t="s">
        <v>6072</v>
      </c>
      <c r="AD84" s="1283"/>
      <c r="AE84" s="1283"/>
      <c r="AF84" s="1283"/>
    </row>
    <row r="85" spans="1:38" ht="30" customHeight="1" x14ac:dyDescent="0.25">
      <c r="A85" s="1811" t="s">
        <v>6073</v>
      </c>
      <c r="B85" s="1812"/>
      <c r="C85" s="1812"/>
      <c r="D85" s="1812"/>
      <c r="E85" s="1812"/>
      <c r="F85" s="1813"/>
      <c r="G85" s="1814">
        <f>AVERAGE(300,0)</f>
        <v>150</v>
      </c>
      <c r="H85" s="1813"/>
      <c r="I85" s="1285">
        <f>ROUND(10-0.01233*G85,2)</f>
        <v>8.15</v>
      </c>
      <c r="J85" s="1285"/>
      <c r="K85" s="1285"/>
      <c r="L85" s="1285"/>
      <c r="M85" s="1285">
        <f>ROUND(9.2-0.01134*G85,2)</f>
        <v>7.5</v>
      </c>
      <c r="N85" s="1285"/>
      <c r="O85" s="1285"/>
      <c r="P85" s="1285"/>
      <c r="Q85" s="1285">
        <f>I85*G85/100/$Q$44</f>
        <v>16.3</v>
      </c>
      <c r="R85" s="1285"/>
      <c r="S85" s="1285"/>
      <c r="T85" s="1285"/>
      <c r="U85" s="1285">
        <f>M85*G85/100/$Q$44</f>
        <v>15</v>
      </c>
      <c r="V85" s="1285"/>
      <c r="W85" s="1285"/>
      <c r="X85" s="1285"/>
      <c r="Y85" s="1285">
        <f>ROUND(Q85*$Q$46,2)</f>
        <v>5949.5</v>
      </c>
      <c r="Z85" s="1285"/>
      <c r="AA85" s="1285"/>
      <c r="AB85" s="1285"/>
      <c r="AC85" s="1285">
        <f>ROUND(U85*$Q$46,2)</f>
        <v>5475</v>
      </c>
      <c r="AD85" s="1285"/>
      <c r="AE85" s="1285"/>
      <c r="AF85" s="1285"/>
      <c r="AL85" s="894"/>
    </row>
    <row r="86" spans="1:38" ht="30" customHeight="1" x14ac:dyDescent="0.25">
      <c r="A86" s="1811" t="s">
        <v>6097</v>
      </c>
      <c r="B86" s="1812"/>
      <c r="C86" s="1812"/>
      <c r="D86" s="1812"/>
      <c r="E86" s="1812"/>
      <c r="F86" s="1813"/>
      <c r="G86" s="1814">
        <f>AVERAGE(300,800)</f>
        <v>550</v>
      </c>
      <c r="H86" s="1813"/>
      <c r="I86" s="1285">
        <f>ROUND(7.05-0.0025*G86,2)</f>
        <v>5.68</v>
      </c>
      <c r="J86" s="1285"/>
      <c r="K86" s="1285"/>
      <c r="L86" s="1285"/>
      <c r="M86" s="1285">
        <f>6.49-0.0023*G86</f>
        <v>5.2250000000000005</v>
      </c>
      <c r="N86" s="1285"/>
      <c r="O86" s="1285"/>
      <c r="P86" s="1285"/>
      <c r="Q86" s="1285">
        <f t="shared" ref="Q86:Q93" si="0">I86*G86/100/$Q$44</f>
        <v>41.653333333333329</v>
      </c>
      <c r="R86" s="1285"/>
      <c r="S86" s="1285"/>
      <c r="T86" s="1285"/>
      <c r="U86" s="1285">
        <f t="shared" ref="U86:U93" si="1">M86*G86/100/$Q$44</f>
        <v>38.31666666666667</v>
      </c>
      <c r="V86" s="1285"/>
      <c r="W86" s="1285"/>
      <c r="X86" s="1285"/>
      <c r="Y86" s="1285">
        <f t="shared" ref="Y86:Y92" si="2">ROUND(Q86*$Q$46,2)</f>
        <v>15203.47</v>
      </c>
      <c r="Z86" s="1285"/>
      <c r="AA86" s="1285"/>
      <c r="AB86" s="1285"/>
      <c r="AC86" s="1285">
        <f t="shared" ref="AC86:AC93" si="3">ROUND(U86*$Q$46,2)</f>
        <v>13985.58</v>
      </c>
      <c r="AD86" s="1285"/>
      <c r="AE86" s="1285"/>
      <c r="AF86" s="1285"/>
    </row>
    <row r="87" spans="1:38" ht="30" customHeight="1" x14ac:dyDescent="0.25">
      <c r="A87" s="1811" t="s">
        <v>6098</v>
      </c>
      <c r="B87" s="1812"/>
      <c r="C87" s="1812"/>
      <c r="D87" s="1812"/>
      <c r="E87" s="1812"/>
      <c r="F87" s="1813"/>
      <c r="G87" s="1814">
        <f>AVERAGE(800,1500)</f>
        <v>1150</v>
      </c>
      <c r="H87" s="1813"/>
      <c r="I87" s="1285">
        <f>ROUND(5.55-0.00063*G87,2)</f>
        <v>4.83</v>
      </c>
      <c r="J87" s="1285"/>
      <c r="K87" s="1285"/>
      <c r="L87" s="1285"/>
      <c r="M87" s="1285">
        <f>5.11-0.00058*G87</f>
        <v>4.4430000000000005</v>
      </c>
      <c r="N87" s="1285"/>
      <c r="O87" s="1285"/>
      <c r="P87" s="1285"/>
      <c r="Q87" s="1285">
        <f t="shared" si="0"/>
        <v>74.06</v>
      </c>
      <c r="R87" s="1285"/>
      <c r="S87" s="1285"/>
      <c r="T87" s="1285"/>
      <c r="U87" s="1285">
        <f t="shared" si="1"/>
        <v>68.126000000000019</v>
      </c>
      <c r="V87" s="1285"/>
      <c r="W87" s="1285"/>
      <c r="X87" s="1285"/>
      <c r="Y87" s="1285">
        <f t="shared" si="2"/>
        <v>27031.9</v>
      </c>
      <c r="Z87" s="1285"/>
      <c r="AA87" s="1285"/>
      <c r="AB87" s="1285"/>
      <c r="AC87" s="1285">
        <f t="shared" si="3"/>
        <v>24865.99</v>
      </c>
      <c r="AD87" s="1285"/>
      <c r="AE87" s="1285"/>
      <c r="AF87" s="1285"/>
    </row>
    <row r="88" spans="1:38" ht="30" customHeight="1" x14ac:dyDescent="0.25">
      <c r="A88" s="1811" t="s">
        <v>6099</v>
      </c>
      <c r="B88" s="1812"/>
      <c r="C88" s="1812"/>
      <c r="D88" s="1812"/>
      <c r="E88" s="1812"/>
      <c r="F88" s="1813"/>
      <c r="G88" s="1814">
        <f>AVERAGE(1500,4000)</f>
        <v>2750</v>
      </c>
      <c r="H88" s="1813"/>
      <c r="I88" s="1285">
        <v>4.6100000000000003</v>
      </c>
      <c r="J88" s="1285"/>
      <c r="K88" s="1285"/>
      <c r="L88" s="1285"/>
      <c r="M88" s="1285">
        <v>4.24</v>
      </c>
      <c r="N88" s="1285"/>
      <c r="O88" s="1285"/>
      <c r="P88" s="1285"/>
      <c r="Q88" s="1285">
        <f t="shared" si="0"/>
        <v>169.03333333333333</v>
      </c>
      <c r="R88" s="1285"/>
      <c r="S88" s="1285"/>
      <c r="T88" s="1285"/>
      <c r="U88" s="1285">
        <f t="shared" si="1"/>
        <v>155.46666666666667</v>
      </c>
      <c r="V88" s="1285"/>
      <c r="W88" s="1285"/>
      <c r="X88" s="1285"/>
      <c r="Y88" s="1285">
        <f t="shared" si="2"/>
        <v>61697.17</v>
      </c>
      <c r="Z88" s="1285"/>
      <c r="AA88" s="1285"/>
      <c r="AB88" s="1285"/>
      <c r="AC88" s="1285">
        <f t="shared" si="3"/>
        <v>56745.33</v>
      </c>
      <c r="AD88" s="1285"/>
      <c r="AE88" s="1285"/>
      <c r="AF88" s="1285"/>
    </row>
    <row r="89" spans="1:38" ht="30" customHeight="1" x14ac:dyDescent="0.25">
      <c r="A89" s="1811" t="s">
        <v>6100</v>
      </c>
      <c r="B89" s="1812"/>
      <c r="C89" s="1812"/>
      <c r="D89" s="1812"/>
      <c r="E89" s="1812"/>
      <c r="F89" s="1813"/>
      <c r="G89" s="1814">
        <f>AVERAGE(988,0)</f>
        <v>494</v>
      </c>
      <c r="H89" s="1813"/>
      <c r="I89" s="1285">
        <f>ROUND(7.97-0.00342*G89,2)</f>
        <v>6.28</v>
      </c>
      <c r="J89" s="1285"/>
      <c r="K89" s="1285"/>
      <c r="L89" s="1285"/>
      <c r="M89" s="1285">
        <f>7.17-0.00308*G89</f>
        <v>5.6484800000000002</v>
      </c>
      <c r="N89" s="1285"/>
      <c r="O89" s="1285"/>
      <c r="P89" s="1285"/>
      <c r="Q89" s="1285">
        <f t="shared" si="0"/>
        <v>41.364266666666673</v>
      </c>
      <c r="R89" s="1285"/>
      <c r="S89" s="1285"/>
      <c r="T89" s="1285"/>
      <c r="U89" s="1285">
        <f t="shared" si="1"/>
        <v>37.20465493333333</v>
      </c>
      <c r="V89" s="1285"/>
      <c r="W89" s="1285"/>
      <c r="X89" s="1285"/>
      <c r="Y89" s="1285">
        <f t="shared" si="2"/>
        <v>15097.96</v>
      </c>
      <c r="Z89" s="1285"/>
      <c r="AA89" s="1285"/>
      <c r="AB89" s="1285"/>
      <c r="AC89" s="1285">
        <f t="shared" si="3"/>
        <v>13579.7</v>
      </c>
      <c r="AD89" s="1285"/>
      <c r="AE89" s="1285"/>
      <c r="AF89" s="1285"/>
    </row>
    <row r="90" spans="1:38" ht="30" customHeight="1" x14ac:dyDescent="0.25">
      <c r="A90" s="1811" t="s">
        <v>6101</v>
      </c>
      <c r="B90" s="1812"/>
      <c r="C90" s="1812"/>
      <c r="D90" s="1812"/>
      <c r="E90" s="1812"/>
      <c r="F90" s="1813"/>
      <c r="G90" s="1814">
        <f>AVERAGE(988,4000)</f>
        <v>2494</v>
      </c>
      <c r="H90" s="1813"/>
      <c r="I90" s="1285">
        <v>4.59</v>
      </c>
      <c r="J90" s="1285"/>
      <c r="K90" s="1285"/>
      <c r="L90" s="1285"/>
      <c r="M90" s="1285">
        <v>4.13</v>
      </c>
      <c r="N90" s="1285"/>
      <c r="O90" s="1285"/>
      <c r="P90" s="1285"/>
      <c r="Q90" s="1285">
        <f t="shared" si="0"/>
        <v>152.6328</v>
      </c>
      <c r="R90" s="1285"/>
      <c r="S90" s="1285"/>
      <c r="T90" s="1285"/>
      <c r="U90" s="1285">
        <f t="shared" si="1"/>
        <v>137.33626666666666</v>
      </c>
      <c r="V90" s="1285"/>
      <c r="W90" s="1285"/>
      <c r="X90" s="1285"/>
      <c r="Y90" s="1285">
        <f t="shared" si="2"/>
        <v>55710.97</v>
      </c>
      <c r="Z90" s="1285"/>
      <c r="AA90" s="1285"/>
      <c r="AB90" s="1285"/>
      <c r="AC90" s="1285">
        <f t="shared" si="3"/>
        <v>50127.74</v>
      </c>
      <c r="AD90" s="1285"/>
      <c r="AE90" s="1285"/>
      <c r="AF90" s="1285"/>
    </row>
    <row r="91" spans="1:38" ht="30" customHeight="1" x14ac:dyDescent="0.25">
      <c r="A91" s="1811" t="s">
        <v>6074</v>
      </c>
      <c r="B91" s="1812"/>
      <c r="C91" s="1812"/>
      <c r="D91" s="1812"/>
      <c r="E91" s="1812"/>
      <c r="F91" s="1813"/>
      <c r="G91" s="1814">
        <f>AVERAGE(0,110)</f>
        <v>55</v>
      </c>
      <c r="H91" s="1813"/>
      <c r="I91" s="1285">
        <f>ROUND(14.79-0.0469*G91,2)</f>
        <v>12.21</v>
      </c>
      <c r="J91" s="1285"/>
      <c r="K91" s="1285"/>
      <c r="L91" s="1285"/>
      <c r="M91" s="1285">
        <f>12.57-0.0399*G91</f>
        <v>10.375500000000001</v>
      </c>
      <c r="N91" s="1285"/>
      <c r="O91" s="1285"/>
      <c r="P91" s="1285"/>
      <c r="Q91" s="1285">
        <f t="shared" si="0"/>
        <v>8.9540000000000006</v>
      </c>
      <c r="R91" s="1285"/>
      <c r="S91" s="1285"/>
      <c r="T91" s="1285"/>
      <c r="U91" s="1285">
        <f t="shared" si="1"/>
        <v>7.6086999999999998</v>
      </c>
      <c r="V91" s="1285"/>
      <c r="W91" s="1285"/>
      <c r="X91" s="1285"/>
      <c r="Y91" s="1285">
        <f t="shared" si="2"/>
        <v>3268.21</v>
      </c>
      <c r="Z91" s="1285"/>
      <c r="AA91" s="1285"/>
      <c r="AB91" s="1285"/>
      <c r="AC91" s="1285">
        <f t="shared" si="3"/>
        <v>2777.18</v>
      </c>
      <c r="AD91" s="1285"/>
      <c r="AE91" s="1285"/>
      <c r="AF91" s="1285"/>
    </row>
    <row r="92" spans="1:38" ht="30" customHeight="1" x14ac:dyDescent="0.25">
      <c r="A92" s="1811" t="s">
        <v>6102</v>
      </c>
      <c r="B92" s="1812"/>
      <c r="C92" s="1812"/>
      <c r="D92" s="1812"/>
      <c r="E92" s="1812"/>
      <c r="F92" s="1813"/>
      <c r="G92" s="1814">
        <f>AVERAGE(110,200)</f>
        <v>155</v>
      </c>
      <c r="H92" s="1813"/>
      <c r="I92" s="1285">
        <f>ROUND(12.42-0.02533*G92,2)</f>
        <v>8.49</v>
      </c>
      <c r="J92" s="1285"/>
      <c r="K92" s="1285"/>
      <c r="L92" s="1285"/>
      <c r="M92" s="1285">
        <f>10.56-0.0215*G92</f>
        <v>7.2275000000000009</v>
      </c>
      <c r="N92" s="1285"/>
      <c r="O92" s="1285"/>
      <c r="P92" s="1285"/>
      <c r="Q92" s="1285">
        <f t="shared" si="0"/>
        <v>17.546000000000003</v>
      </c>
      <c r="R92" s="1285"/>
      <c r="S92" s="1285"/>
      <c r="T92" s="1285"/>
      <c r="U92" s="1285">
        <f t="shared" si="1"/>
        <v>14.936833333333334</v>
      </c>
      <c r="V92" s="1285"/>
      <c r="W92" s="1285"/>
      <c r="X92" s="1285"/>
      <c r="Y92" s="1285">
        <f t="shared" si="2"/>
        <v>6404.29</v>
      </c>
      <c r="Z92" s="1285"/>
      <c r="AA92" s="1285"/>
      <c r="AB92" s="1285"/>
      <c r="AC92" s="1285">
        <f>ROUND(U92*$Q$46,2)</f>
        <v>5451.94</v>
      </c>
      <c r="AD92" s="1285"/>
      <c r="AE92" s="1285"/>
      <c r="AF92" s="1285"/>
    </row>
    <row r="93" spans="1:38" ht="30" customHeight="1" x14ac:dyDescent="0.25">
      <c r="A93" s="1811" t="s">
        <v>6103</v>
      </c>
      <c r="B93" s="1812"/>
      <c r="C93" s="1812"/>
      <c r="D93" s="1812"/>
      <c r="E93" s="1812"/>
      <c r="F93" s="1813"/>
      <c r="G93" s="1814">
        <f>AVERAGE(200,4000)</f>
        <v>2100</v>
      </c>
      <c r="H93" s="1813"/>
      <c r="I93" s="1285">
        <v>7.35</v>
      </c>
      <c r="J93" s="1285"/>
      <c r="K93" s="1285"/>
      <c r="L93" s="1285"/>
      <c r="M93" s="1285">
        <v>6.25</v>
      </c>
      <c r="N93" s="1285"/>
      <c r="O93" s="1285"/>
      <c r="P93" s="1285"/>
      <c r="Q93" s="1285">
        <f t="shared" si="0"/>
        <v>205.79999999999998</v>
      </c>
      <c r="R93" s="1285"/>
      <c r="S93" s="1285"/>
      <c r="T93" s="1285"/>
      <c r="U93" s="1285">
        <f t="shared" si="1"/>
        <v>175</v>
      </c>
      <c r="V93" s="1285"/>
      <c r="W93" s="1285"/>
      <c r="X93" s="1285"/>
      <c r="Y93" s="1285">
        <f>ROUND(Q93*$Q$46,2)</f>
        <v>75117</v>
      </c>
      <c r="Z93" s="1285"/>
      <c r="AA93" s="1285"/>
      <c r="AB93" s="1285"/>
      <c r="AC93" s="1285">
        <f t="shared" si="3"/>
        <v>63875</v>
      </c>
      <c r="AD93" s="1285"/>
      <c r="AE93" s="1285"/>
      <c r="AF93" s="1285"/>
    </row>
    <row r="94" spans="1:38" ht="30" customHeight="1" x14ac:dyDescent="0.25">
      <c r="A94" s="1440" t="s">
        <v>6075</v>
      </c>
      <c r="B94" s="1440"/>
      <c r="C94" s="1440"/>
      <c r="D94" s="1440"/>
      <c r="E94" s="1440"/>
      <c r="F94" s="1440"/>
      <c r="G94" s="1440"/>
      <c r="H94" s="1440"/>
      <c r="I94" s="1440"/>
      <c r="J94" s="1440"/>
      <c r="K94" s="1440"/>
      <c r="L94" s="1440"/>
      <c r="M94" s="1440"/>
      <c r="N94" s="1440"/>
      <c r="O94" s="1440"/>
      <c r="P94" s="1440"/>
      <c r="Q94" s="1440"/>
      <c r="R94" s="1440"/>
      <c r="S94" s="1440"/>
      <c r="T94" s="1440"/>
      <c r="U94" s="1440"/>
      <c r="V94" s="1440"/>
      <c r="W94" s="1440"/>
      <c r="X94" s="1440"/>
      <c r="Y94" s="1440"/>
      <c r="Z94" s="1440"/>
      <c r="AA94" s="1440"/>
      <c r="AB94" s="1440"/>
      <c r="AC94" s="1440"/>
      <c r="AD94" s="1440"/>
      <c r="AE94" s="1440"/>
      <c r="AF94" s="1441"/>
    </row>
    <row r="95" spans="1:38" ht="40.5" customHeight="1" x14ac:dyDescent="0.25">
      <c r="A95" s="1819" t="s">
        <v>22</v>
      </c>
      <c r="B95" s="1721"/>
      <c r="C95" s="1721"/>
      <c r="D95" s="1721"/>
      <c r="E95" s="1721"/>
      <c r="F95" s="1722"/>
      <c r="G95" s="1819" t="s">
        <v>6068</v>
      </c>
      <c r="H95" s="1722"/>
      <c r="I95" s="1319" t="s">
        <v>6069</v>
      </c>
      <c r="J95" s="1283"/>
      <c r="K95" s="1283"/>
      <c r="L95" s="1283"/>
      <c r="M95" s="1283"/>
      <c r="N95" s="1283"/>
      <c r="O95" s="1283"/>
      <c r="P95" s="1283"/>
      <c r="Q95" s="1319" t="s">
        <v>6070</v>
      </c>
      <c r="R95" s="1283"/>
      <c r="S95" s="1283"/>
      <c r="T95" s="1283"/>
      <c r="U95" s="1283"/>
      <c r="V95" s="1283"/>
      <c r="W95" s="1283"/>
      <c r="X95" s="1283"/>
      <c r="Y95" s="1319" t="s">
        <v>6071</v>
      </c>
      <c r="Z95" s="1283"/>
      <c r="AA95" s="1283"/>
      <c r="AB95" s="1283"/>
      <c r="AC95" s="1283"/>
      <c r="AD95" s="1283"/>
      <c r="AE95" s="1283"/>
      <c r="AF95" s="1283"/>
    </row>
    <row r="96" spans="1:38" ht="38.25" customHeight="1" x14ac:dyDescent="0.25">
      <c r="A96" s="1820"/>
      <c r="B96" s="1723"/>
      <c r="C96" s="1723"/>
      <c r="D96" s="1723"/>
      <c r="E96" s="1723"/>
      <c r="F96" s="1724"/>
      <c r="G96" s="1820"/>
      <c r="H96" s="1724"/>
      <c r="I96" s="1320" t="s">
        <v>129</v>
      </c>
      <c r="J96" s="1320"/>
      <c r="K96" s="1320"/>
      <c r="L96" s="1320"/>
      <c r="M96" s="1320" t="s">
        <v>6072</v>
      </c>
      <c r="N96" s="1320"/>
      <c r="O96" s="1320"/>
      <c r="P96" s="1320"/>
      <c r="Q96" s="1320" t="s">
        <v>129</v>
      </c>
      <c r="R96" s="1320"/>
      <c r="S96" s="1320"/>
      <c r="T96" s="1320"/>
      <c r="U96" s="1320" t="s">
        <v>6072</v>
      </c>
      <c r="V96" s="1320"/>
      <c r="W96" s="1320"/>
      <c r="X96" s="1320"/>
      <c r="Y96" s="1320" t="s">
        <v>129</v>
      </c>
      <c r="Z96" s="1320"/>
      <c r="AA96" s="1320"/>
      <c r="AB96" s="1320"/>
      <c r="AC96" s="1320" t="s">
        <v>6072</v>
      </c>
      <c r="AD96" s="1320"/>
      <c r="AE96" s="1320"/>
      <c r="AF96" s="1320"/>
    </row>
    <row r="97" spans="1:38" ht="30" customHeight="1" x14ac:dyDescent="0.25">
      <c r="A97" s="1811" t="s">
        <v>6076</v>
      </c>
      <c r="B97" s="1812"/>
      <c r="C97" s="1812"/>
      <c r="D97" s="1812"/>
      <c r="E97" s="1812"/>
      <c r="F97" s="1813"/>
      <c r="G97" s="1814">
        <f>AVERAGE(310,0)</f>
        <v>155</v>
      </c>
      <c r="H97" s="1813"/>
      <c r="I97" s="1816">
        <f>ROUND(9.19-0.00629*G97,2)</f>
        <v>8.2200000000000006</v>
      </c>
      <c r="J97" s="1817"/>
      <c r="K97" s="1817"/>
      <c r="L97" s="1818"/>
      <c r="M97" s="1816">
        <f>ROUND(7.9-0.005409*G97,2)</f>
        <v>7.06</v>
      </c>
      <c r="N97" s="1817"/>
      <c r="O97" s="1817"/>
      <c r="P97" s="1818"/>
      <c r="Q97" s="1815">
        <f>I97*G97/100/$Q$44</f>
        <v>16.988000000000003</v>
      </c>
      <c r="R97" s="1815"/>
      <c r="S97" s="1815"/>
      <c r="T97" s="1815"/>
      <c r="U97" s="1815">
        <f>M97*G97/100/$Q$44</f>
        <v>14.590666666666666</v>
      </c>
      <c r="V97" s="1815"/>
      <c r="W97" s="1815"/>
      <c r="X97" s="1815"/>
      <c r="Y97" s="1285">
        <f>Q97*$Q$46</f>
        <v>6200.6200000000008</v>
      </c>
      <c r="Z97" s="1285"/>
      <c r="AA97" s="1285"/>
      <c r="AB97" s="1285"/>
      <c r="AC97" s="1285">
        <f>ROUND(U97*$Q$46,2)</f>
        <v>5325.59</v>
      </c>
      <c r="AD97" s="1285"/>
      <c r="AE97" s="1285"/>
      <c r="AF97" s="1285"/>
      <c r="AL97" s="894"/>
    </row>
    <row r="98" spans="1:38" ht="30" customHeight="1" x14ac:dyDescent="0.25">
      <c r="A98" s="1811" t="s">
        <v>6104</v>
      </c>
      <c r="B98" s="1812"/>
      <c r="C98" s="1812"/>
      <c r="D98" s="1812"/>
      <c r="E98" s="1812"/>
      <c r="F98" s="1813"/>
      <c r="G98" s="1814">
        <f>AVERAGE(310,820)</f>
        <v>565</v>
      </c>
      <c r="H98" s="1813"/>
      <c r="I98" s="1815">
        <f>ROUND(8.23-0.0032*G98,2)</f>
        <v>6.42</v>
      </c>
      <c r="J98" s="1815"/>
      <c r="K98" s="1815"/>
      <c r="L98" s="1815"/>
      <c r="M98" s="1816">
        <f>ROUND(7.08-0.002752*G98,2)</f>
        <v>5.53</v>
      </c>
      <c r="N98" s="1817"/>
      <c r="O98" s="1817"/>
      <c r="P98" s="1818"/>
      <c r="Q98" s="1815">
        <f t="shared" ref="Q98:Q104" si="4">I98*G98/100/$Q$44</f>
        <v>48.364000000000004</v>
      </c>
      <c r="R98" s="1815"/>
      <c r="S98" s="1815"/>
      <c r="T98" s="1815"/>
      <c r="U98" s="1815">
        <f t="shared" ref="U98:U104" si="5">M98*G98/100/$Q$44</f>
        <v>41.659333333333336</v>
      </c>
      <c r="V98" s="1815"/>
      <c r="W98" s="1815"/>
      <c r="X98" s="1815"/>
      <c r="Y98" s="1285">
        <f t="shared" ref="Y98:Y104" si="6">Q98*$Q$46</f>
        <v>17652.86</v>
      </c>
      <c r="Z98" s="1285"/>
      <c r="AA98" s="1285"/>
      <c r="AB98" s="1285"/>
      <c r="AC98" s="1285">
        <f t="shared" ref="AC98:AC104" si="7">ROUND(U98*$Q$46,2)</f>
        <v>15205.66</v>
      </c>
      <c r="AD98" s="1285"/>
      <c r="AE98" s="1285"/>
      <c r="AF98" s="1285"/>
    </row>
    <row r="99" spans="1:38" ht="30" customHeight="1" x14ac:dyDescent="0.25">
      <c r="A99" s="1811" t="s">
        <v>6105</v>
      </c>
      <c r="B99" s="1812"/>
      <c r="C99" s="1812"/>
      <c r="D99" s="1812"/>
      <c r="E99" s="1812"/>
      <c r="F99" s="1813"/>
      <c r="G99" s="1814">
        <f>AVERAGE(820,4000)</f>
        <v>2410</v>
      </c>
      <c r="H99" s="1813"/>
      <c r="I99" s="1815">
        <v>5.61</v>
      </c>
      <c r="J99" s="1815"/>
      <c r="K99" s="1815"/>
      <c r="L99" s="1815"/>
      <c r="M99" s="1816">
        <v>4.82</v>
      </c>
      <c r="N99" s="1817"/>
      <c r="O99" s="1817"/>
      <c r="P99" s="1818"/>
      <c r="Q99" s="1815">
        <f t="shared" si="4"/>
        <v>180.268</v>
      </c>
      <c r="R99" s="1815"/>
      <c r="S99" s="1815"/>
      <c r="T99" s="1815"/>
      <c r="U99" s="1815">
        <f t="shared" si="5"/>
        <v>154.88266666666667</v>
      </c>
      <c r="V99" s="1815"/>
      <c r="W99" s="1815"/>
      <c r="X99" s="1815"/>
      <c r="Y99" s="1285">
        <f t="shared" si="6"/>
        <v>65797.820000000007</v>
      </c>
      <c r="Z99" s="1285"/>
      <c r="AA99" s="1285"/>
      <c r="AB99" s="1285"/>
      <c r="AC99" s="1285">
        <f t="shared" si="7"/>
        <v>56532.17</v>
      </c>
      <c r="AD99" s="1285"/>
      <c r="AE99" s="1285"/>
      <c r="AF99" s="1285"/>
    </row>
    <row r="100" spans="1:38" ht="30" customHeight="1" x14ac:dyDescent="0.25">
      <c r="A100" s="1811" t="s">
        <v>6106</v>
      </c>
      <c r="B100" s="1812"/>
      <c r="C100" s="1812"/>
      <c r="D100" s="1812"/>
      <c r="E100" s="1812"/>
      <c r="F100" s="1813"/>
      <c r="G100" s="1814">
        <f>AVERAGE(800,0)</f>
        <v>400</v>
      </c>
      <c r="H100" s="1813"/>
      <c r="I100" s="1283">
        <f>ROUND(9.7-0.0058*G100,2)</f>
        <v>7.38</v>
      </c>
      <c r="J100" s="1283"/>
      <c r="K100" s="1283"/>
      <c r="L100" s="1283"/>
      <c r="M100" s="1815">
        <f>ROUND(7.76-0.00464*G100,2)</f>
        <v>5.9</v>
      </c>
      <c r="N100" s="1815"/>
      <c r="O100" s="1815"/>
      <c r="P100" s="1815"/>
      <c r="Q100" s="1815">
        <f t="shared" si="4"/>
        <v>39.36</v>
      </c>
      <c r="R100" s="1815"/>
      <c r="S100" s="1815"/>
      <c r="T100" s="1815"/>
      <c r="U100" s="1815">
        <f t="shared" si="5"/>
        <v>31.466666666666669</v>
      </c>
      <c r="V100" s="1815"/>
      <c r="W100" s="1815"/>
      <c r="X100" s="1815"/>
      <c r="Y100" s="1285">
        <f t="shared" si="6"/>
        <v>14366.4</v>
      </c>
      <c r="Z100" s="1285"/>
      <c r="AA100" s="1285"/>
      <c r="AB100" s="1285"/>
      <c r="AC100" s="1285">
        <f t="shared" si="7"/>
        <v>11485.33</v>
      </c>
      <c r="AD100" s="1285"/>
      <c r="AE100" s="1285"/>
      <c r="AF100" s="1285"/>
    </row>
    <row r="101" spans="1:38" ht="30" customHeight="1" x14ac:dyDescent="0.25">
      <c r="A101" s="1811" t="s">
        <v>6107</v>
      </c>
      <c r="B101" s="1812"/>
      <c r="C101" s="1812"/>
      <c r="D101" s="1812"/>
      <c r="E101" s="1812"/>
      <c r="F101" s="1813"/>
      <c r="G101" s="1814">
        <f>AVERAGE(800,4000)</f>
        <v>2400</v>
      </c>
      <c r="H101" s="1813"/>
      <c r="I101" s="1283">
        <v>5.0599999999999996</v>
      </c>
      <c r="J101" s="1283"/>
      <c r="K101" s="1283"/>
      <c r="L101" s="1283"/>
      <c r="M101" s="1815">
        <v>4.05</v>
      </c>
      <c r="N101" s="1815"/>
      <c r="O101" s="1815"/>
      <c r="P101" s="1815"/>
      <c r="Q101" s="1815">
        <f t="shared" si="4"/>
        <v>161.91999999999999</v>
      </c>
      <c r="R101" s="1815"/>
      <c r="S101" s="1815"/>
      <c r="T101" s="1815"/>
      <c r="U101" s="1815">
        <f t="shared" si="5"/>
        <v>129.6</v>
      </c>
      <c r="V101" s="1815"/>
      <c r="W101" s="1815"/>
      <c r="X101" s="1815"/>
      <c r="Y101" s="1285">
        <f t="shared" si="6"/>
        <v>59100.799999999996</v>
      </c>
      <c r="Z101" s="1285"/>
      <c r="AA101" s="1285"/>
      <c r="AB101" s="1285"/>
      <c r="AC101" s="1285">
        <f t="shared" si="7"/>
        <v>47304</v>
      </c>
      <c r="AD101" s="1285"/>
      <c r="AE101" s="1285"/>
      <c r="AF101" s="1285"/>
    </row>
    <row r="102" spans="1:38" ht="30" customHeight="1" x14ac:dyDescent="0.25">
      <c r="A102" s="1811" t="s">
        <v>6077</v>
      </c>
      <c r="B102" s="1812"/>
      <c r="C102" s="1812"/>
      <c r="D102" s="1812"/>
      <c r="E102" s="1812"/>
      <c r="F102" s="1813"/>
      <c r="G102" s="1814">
        <f>AVERAGE(0,200)</f>
        <v>100</v>
      </c>
      <c r="H102" s="1813"/>
      <c r="I102" s="1283">
        <f>ROUND(14.22-0.03*G102,2)</f>
        <v>11.22</v>
      </c>
      <c r="J102" s="1283"/>
      <c r="K102" s="1283"/>
      <c r="L102" s="1283"/>
      <c r="M102" s="1815">
        <f>ROUND(12.37-0.0261*G102,2)</f>
        <v>9.76</v>
      </c>
      <c r="N102" s="1815"/>
      <c r="O102" s="1815"/>
      <c r="P102" s="1815"/>
      <c r="Q102" s="1815">
        <f t="shared" si="4"/>
        <v>14.96</v>
      </c>
      <c r="R102" s="1815"/>
      <c r="S102" s="1815"/>
      <c r="T102" s="1815"/>
      <c r="U102" s="1815">
        <f t="shared" si="5"/>
        <v>13.013333333333334</v>
      </c>
      <c r="V102" s="1815"/>
      <c r="W102" s="1815"/>
      <c r="X102" s="1815"/>
      <c r="Y102" s="1285">
        <f t="shared" si="6"/>
        <v>5460.4000000000005</v>
      </c>
      <c r="Z102" s="1285"/>
      <c r="AA102" s="1285"/>
      <c r="AB102" s="1285"/>
      <c r="AC102" s="1285">
        <f t="shared" si="7"/>
        <v>4749.87</v>
      </c>
      <c r="AD102" s="1285"/>
      <c r="AE102" s="1285"/>
      <c r="AF102" s="1285"/>
    </row>
    <row r="103" spans="1:38" ht="30" customHeight="1" x14ac:dyDescent="0.25">
      <c r="A103" s="1811" t="s">
        <v>6108</v>
      </c>
      <c r="B103" s="1812"/>
      <c r="C103" s="1812"/>
      <c r="D103" s="1812"/>
      <c r="E103" s="1812"/>
      <c r="F103" s="1813"/>
      <c r="G103" s="1814">
        <f>AVERAGE(200,700)</f>
        <v>450</v>
      </c>
      <c r="H103" s="1813"/>
      <c r="I103" s="1283">
        <f>ROUND(9.47-0.00624*G103,2)</f>
        <v>6.66</v>
      </c>
      <c r="J103" s="1283"/>
      <c r="K103" s="1283"/>
      <c r="L103" s="1283"/>
      <c r="M103" s="1815">
        <f>ROUND(8.24-0.005429*G103,2)</f>
        <v>5.8</v>
      </c>
      <c r="N103" s="1815"/>
      <c r="O103" s="1815"/>
      <c r="P103" s="1815"/>
      <c r="Q103" s="1815">
        <f t="shared" si="4"/>
        <v>39.96</v>
      </c>
      <c r="R103" s="1815"/>
      <c r="S103" s="1815"/>
      <c r="T103" s="1815"/>
      <c r="U103" s="1815">
        <f t="shared" si="5"/>
        <v>34.800000000000004</v>
      </c>
      <c r="V103" s="1815"/>
      <c r="W103" s="1815"/>
      <c r="X103" s="1815"/>
      <c r="Y103" s="1285">
        <f t="shared" si="6"/>
        <v>14585.4</v>
      </c>
      <c r="Z103" s="1285"/>
      <c r="AA103" s="1285"/>
      <c r="AB103" s="1285"/>
      <c r="AC103" s="1285">
        <f t="shared" si="7"/>
        <v>12702</v>
      </c>
      <c r="AD103" s="1285"/>
      <c r="AE103" s="1285"/>
      <c r="AF103" s="1285"/>
    </row>
    <row r="104" spans="1:38" ht="30" customHeight="1" x14ac:dyDescent="0.25">
      <c r="A104" s="1811" t="s">
        <v>6109</v>
      </c>
      <c r="B104" s="1812"/>
      <c r="C104" s="1812"/>
      <c r="D104" s="1812"/>
      <c r="E104" s="1812"/>
      <c r="F104" s="1813"/>
      <c r="G104" s="1814">
        <f>AVERAGE(700,4000)</f>
        <v>2350</v>
      </c>
      <c r="H104" s="1813"/>
      <c r="I104" s="1283">
        <v>5.0999999999999996</v>
      </c>
      <c r="J104" s="1283"/>
      <c r="K104" s="1283"/>
      <c r="L104" s="1283"/>
      <c r="M104" s="1815">
        <v>4.4400000000000004</v>
      </c>
      <c r="N104" s="1815"/>
      <c r="O104" s="1815"/>
      <c r="P104" s="1815"/>
      <c r="Q104" s="1815">
        <f t="shared" si="4"/>
        <v>159.79999999999998</v>
      </c>
      <c r="R104" s="1815"/>
      <c r="S104" s="1815"/>
      <c r="T104" s="1815"/>
      <c r="U104" s="1815">
        <f t="shared" si="5"/>
        <v>139.12000000000003</v>
      </c>
      <c r="V104" s="1815"/>
      <c r="W104" s="1815"/>
      <c r="X104" s="1815"/>
      <c r="Y104" s="1285">
        <f t="shared" si="6"/>
        <v>58326.999999999993</v>
      </c>
      <c r="Z104" s="1285"/>
      <c r="AA104" s="1285"/>
      <c r="AB104" s="1285"/>
      <c r="AC104" s="1285">
        <f t="shared" si="7"/>
        <v>50778.8</v>
      </c>
      <c r="AD104" s="1285"/>
      <c r="AE104" s="1285"/>
      <c r="AF104" s="1285"/>
    </row>
    <row r="105" spans="1:38" x14ac:dyDescent="0.25">
      <c r="A105" s="262"/>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62"/>
      <c r="AE105" s="262"/>
      <c r="AF105" s="262"/>
    </row>
    <row r="106" spans="1:38" ht="15.75" thickBot="1" x14ac:dyDescent="0.3">
      <c r="A106" s="262"/>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62"/>
      <c r="AE106" s="262"/>
      <c r="AF106" s="262"/>
    </row>
    <row r="107" spans="1:38" x14ac:dyDescent="0.25">
      <c r="A107" s="1810" t="s">
        <v>22</v>
      </c>
      <c r="B107" s="1643"/>
      <c r="C107" s="1643"/>
      <c r="D107" s="1643"/>
      <c r="E107" s="1643"/>
      <c r="F107" s="1643"/>
      <c r="G107" s="1643"/>
      <c r="H107" s="1643"/>
      <c r="I107" s="1643" t="s">
        <v>23</v>
      </c>
      <c r="J107" s="1643"/>
      <c r="K107" s="1643"/>
      <c r="L107" s="1643"/>
      <c r="M107" s="1643"/>
      <c r="N107" s="1643"/>
      <c r="O107" s="1643"/>
      <c r="P107" s="1643"/>
      <c r="Q107" s="1643" t="s">
        <v>24</v>
      </c>
      <c r="R107" s="1643"/>
      <c r="S107" s="1643"/>
      <c r="T107" s="1643"/>
      <c r="U107" s="1643"/>
      <c r="V107" s="1643"/>
      <c r="W107" s="1643"/>
      <c r="X107" s="1643"/>
      <c r="Y107" s="1643" t="s">
        <v>2012</v>
      </c>
      <c r="Z107" s="1643"/>
      <c r="AA107" s="1643"/>
      <c r="AB107" s="1643"/>
      <c r="AC107" s="1643"/>
      <c r="AD107" s="1643"/>
      <c r="AE107" s="1643"/>
      <c r="AF107" s="1644"/>
      <c r="AL107" s="894"/>
    </row>
    <row r="108" spans="1:38" ht="30" customHeight="1" x14ac:dyDescent="0.25">
      <c r="A108" s="1795" t="s">
        <v>6073</v>
      </c>
      <c r="B108" s="1283"/>
      <c r="C108" s="1283"/>
      <c r="D108" s="1283"/>
      <c r="E108" s="1283"/>
      <c r="F108" s="1283"/>
      <c r="G108" s="1283"/>
      <c r="H108" s="1283"/>
      <c r="I108" s="1624">
        <f>ROUND((Q108/$Q$47)*$Q$48,3)</f>
        <v>6.5000000000000002E-2</v>
      </c>
      <c r="J108" s="1624"/>
      <c r="K108" s="1624"/>
      <c r="L108" s="1624"/>
      <c r="M108" s="1624"/>
      <c r="N108" s="1624"/>
      <c r="O108" s="1624"/>
      <c r="P108" s="1624"/>
      <c r="Q108" s="1646">
        <f>ROUND(Y85-AC85,2)</f>
        <v>474.5</v>
      </c>
      <c r="R108" s="1646"/>
      <c r="S108" s="1646"/>
      <c r="T108" s="1646"/>
      <c r="U108" s="1646"/>
      <c r="V108" s="1646"/>
      <c r="W108" s="1646"/>
      <c r="X108" s="1646"/>
      <c r="Y108" s="1628">
        <f>ROUND(Q108*$Q$49,2)</f>
        <v>4745</v>
      </c>
      <c r="Z108" s="1628"/>
      <c r="AA108" s="1628"/>
      <c r="AB108" s="1628"/>
      <c r="AC108" s="1628"/>
      <c r="AD108" s="1628"/>
      <c r="AE108" s="1628"/>
      <c r="AF108" s="1629"/>
      <c r="AL108" s="894"/>
    </row>
    <row r="109" spans="1:38" ht="30" customHeight="1" x14ac:dyDescent="0.25">
      <c r="A109" s="1795" t="s">
        <v>6097</v>
      </c>
      <c r="B109" s="1283"/>
      <c r="C109" s="1283"/>
      <c r="D109" s="1283"/>
      <c r="E109" s="1283"/>
      <c r="F109" s="1283"/>
      <c r="G109" s="1283"/>
      <c r="H109" s="1283"/>
      <c r="I109" s="1796">
        <f t="shared" ref="I109:I124" si="8">ROUND((Q109/$Q$47)*$Q$48,3)</f>
        <v>0.16700000000000001</v>
      </c>
      <c r="J109" s="1797"/>
      <c r="K109" s="1797"/>
      <c r="L109" s="1797"/>
      <c r="M109" s="1797"/>
      <c r="N109" s="1797"/>
      <c r="O109" s="1797"/>
      <c r="P109" s="1798"/>
      <c r="Q109" s="1646">
        <f t="shared" ref="Q109:Q116" si="9">ROUND(Y86-AC86,2)</f>
        <v>1217.8900000000001</v>
      </c>
      <c r="R109" s="1646"/>
      <c r="S109" s="1646"/>
      <c r="T109" s="1646"/>
      <c r="U109" s="1646"/>
      <c r="V109" s="1646"/>
      <c r="W109" s="1646"/>
      <c r="X109" s="1646"/>
      <c r="Y109" s="1799">
        <f t="shared" ref="Y109:Y124" si="10">ROUND(Q109*$Q$49,2)</f>
        <v>12178.9</v>
      </c>
      <c r="Z109" s="1800"/>
      <c r="AA109" s="1800"/>
      <c r="AB109" s="1800"/>
      <c r="AC109" s="1800"/>
      <c r="AD109" s="1800"/>
      <c r="AE109" s="1800"/>
      <c r="AF109" s="1801"/>
      <c r="AL109" s="894"/>
    </row>
    <row r="110" spans="1:38" ht="30" customHeight="1" x14ac:dyDescent="0.25">
      <c r="A110" s="1795" t="s">
        <v>6098</v>
      </c>
      <c r="B110" s="1283"/>
      <c r="C110" s="1283"/>
      <c r="D110" s="1283"/>
      <c r="E110" s="1283"/>
      <c r="F110" s="1283"/>
      <c r="G110" s="1283"/>
      <c r="H110" s="1283"/>
      <c r="I110" s="1796">
        <f t="shared" si="8"/>
        <v>0.29699999999999999</v>
      </c>
      <c r="J110" s="1797"/>
      <c r="K110" s="1797"/>
      <c r="L110" s="1797"/>
      <c r="M110" s="1797"/>
      <c r="N110" s="1797"/>
      <c r="O110" s="1797"/>
      <c r="P110" s="1798"/>
      <c r="Q110" s="1646">
        <f t="shared" si="9"/>
        <v>2165.91</v>
      </c>
      <c r="R110" s="1646"/>
      <c r="S110" s="1646"/>
      <c r="T110" s="1646"/>
      <c r="U110" s="1646"/>
      <c r="V110" s="1646"/>
      <c r="W110" s="1646"/>
      <c r="X110" s="1646"/>
      <c r="Y110" s="1799">
        <f t="shared" si="10"/>
        <v>21659.1</v>
      </c>
      <c r="Z110" s="1800"/>
      <c r="AA110" s="1800"/>
      <c r="AB110" s="1800"/>
      <c r="AC110" s="1800"/>
      <c r="AD110" s="1800"/>
      <c r="AE110" s="1800"/>
      <c r="AF110" s="1801"/>
      <c r="AL110" s="894"/>
    </row>
    <row r="111" spans="1:38" ht="30" customHeight="1" x14ac:dyDescent="0.25">
      <c r="A111" s="1795" t="s">
        <v>6110</v>
      </c>
      <c r="B111" s="1283"/>
      <c r="C111" s="1283"/>
      <c r="D111" s="1283"/>
      <c r="E111" s="1283"/>
      <c r="F111" s="1283"/>
      <c r="G111" s="1283"/>
      <c r="H111" s="1283"/>
      <c r="I111" s="1796">
        <f t="shared" si="8"/>
        <v>0.67800000000000005</v>
      </c>
      <c r="J111" s="1797"/>
      <c r="K111" s="1797"/>
      <c r="L111" s="1797"/>
      <c r="M111" s="1797"/>
      <c r="N111" s="1797"/>
      <c r="O111" s="1797"/>
      <c r="P111" s="1798"/>
      <c r="Q111" s="1646">
        <f t="shared" si="9"/>
        <v>4951.84</v>
      </c>
      <c r="R111" s="1646"/>
      <c r="S111" s="1646"/>
      <c r="T111" s="1646"/>
      <c r="U111" s="1646"/>
      <c r="V111" s="1646"/>
      <c r="W111" s="1646"/>
      <c r="X111" s="1646"/>
      <c r="Y111" s="1799">
        <f t="shared" si="10"/>
        <v>49518.400000000001</v>
      </c>
      <c r="Z111" s="1800"/>
      <c r="AA111" s="1800"/>
      <c r="AB111" s="1800"/>
      <c r="AC111" s="1800"/>
      <c r="AD111" s="1800"/>
      <c r="AE111" s="1800"/>
      <c r="AF111" s="1801"/>
    </row>
    <row r="112" spans="1:38" ht="30" customHeight="1" x14ac:dyDescent="0.25">
      <c r="A112" s="1795" t="s">
        <v>6111</v>
      </c>
      <c r="B112" s="1283"/>
      <c r="C112" s="1283"/>
      <c r="D112" s="1283"/>
      <c r="E112" s="1283"/>
      <c r="F112" s="1283"/>
      <c r="G112" s="1283"/>
      <c r="H112" s="1283"/>
      <c r="I112" s="1796">
        <f t="shared" si="8"/>
        <v>0.20799999999999999</v>
      </c>
      <c r="J112" s="1797"/>
      <c r="K112" s="1797"/>
      <c r="L112" s="1797"/>
      <c r="M112" s="1797"/>
      <c r="N112" s="1797"/>
      <c r="O112" s="1797"/>
      <c r="P112" s="1798"/>
      <c r="Q112" s="1646">
        <f t="shared" si="9"/>
        <v>1518.26</v>
      </c>
      <c r="R112" s="1646"/>
      <c r="S112" s="1646"/>
      <c r="T112" s="1646"/>
      <c r="U112" s="1646"/>
      <c r="V112" s="1646"/>
      <c r="W112" s="1646"/>
      <c r="X112" s="1646"/>
      <c r="Y112" s="1799">
        <f t="shared" si="10"/>
        <v>15182.6</v>
      </c>
      <c r="Z112" s="1800"/>
      <c r="AA112" s="1800"/>
      <c r="AB112" s="1800"/>
      <c r="AC112" s="1800"/>
      <c r="AD112" s="1800"/>
      <c r="AE112" s="1800"/>
      <c r="AF112" s="1801"/>
    </row>
    <row r="113" spans="1:32" ht="30" customHeight="1" x14ac:dyDescent="0.25">
      <c r="A113" s="1795" t="s">
        <v>6101</v>
      </c>
      <c r="B113" s="1283"/>
      <c r="C113" s="1283"/>
      <c r="D113" s="1283"/>
      <c r="E113" s="1283"/>
      <c r="F113" s="1283"/>
      <c r="G113" s="1283"/>
      <c r="H113" s="1283"/>
      <c r="I113" s="1796">
        <f t="shared" si="8"/>
        <v>0.76500000000000001</v>
      </c>
      <c r="J113" s="1797"/>
      <c r="K113" s="1797"/>
      <c r="L113" s="1797"/>
      <c r="M113" s="1797"/>
      <c r="N113" s="1797"/>
      <c r="O113" s="1797"/>
      <c r="P113" s="1798"/>
      <c r="Q113" s="1646">
        <f t="shared" si="9"/>
        <v>5583.23</v>
      </c>
      <c r="R113" s="1646"/>
      <c r="S113" s="1646"/>
      <c r="T113" s="1646"/>
      <c r="U113" s="1646"/>
      <c r="V113" s="1646"/>
      <c r="W113" s="1646"/>
      <c r="X113" s="1646"/>
      <c r="Y113" s="1799">
        <f t="shared" si="10"/>
        <v>55832.3</v>
      </c>
      <c r="Z113" s="1800"/>
      <c r="AA113" s="1800"/>
      <c r="AB113" s="1800"/>
      <c r="AC113" s="1800"/>
      <c r="AD113" s="1800"/>
      <c r="AE113" s="1800"/>
      <c r="AF113" s="1801"/>
    </row>
    <row r="114" spans="1:32" ht="30" customHeight="1" x14ac:dyDescent="0.25">
      <c r="A114" s="1795" t="s">
        <v>6074</v>
      </c>
      <c r="B114" s="1283"/>
      <c r="C114" s="1283"/>
      <c r="D114" s="1283"/>
      <c r="E114" s="1283"/>
      <c r="F114" s="1283"/>
      <c r="G114" s="1283"/>
      <c r="H114" s="1283"/>
      <c r="I114" s="1796">
        <f t="shared" si="8"/>
        <v>6.7000000000000004E-2</v>
      </c>
      <c r="J114" s="1797"/>
      <c r="K114" s="1797"/>
      <c r="L114" s="1797"/>
      <c r="M114" s="1797"/>
      <c r="N114" s="1797"/>
      <c r="O114" s="1797"/>
      <c r="P114" s="1798"/>
      <c r="Q114" s="1646">
        <f t="shared" si="9"/>
        <v>491.03</v>
      </c>
      <c r="R114" s="1646"/>
      <c r="S114" s="1646"/>
      <c r="T114" s="1646"/>
      <c r="U114" s="1646"/>
      <c r="V114" s="1646"/>
      <c r="W114" s="1646"/>
      <c r="X114" s="1646"/>
      <c r="Y114" s="1799">
        <f t="shared" si="10"/>
        <v>4910.3</v>
      </c>
      <c r="Z114" s="1800"/>
      <c r="AA114" s="1800"/>
      <c r="AB114" s="1800"/>
      <c r="AC114" s="1800"/>
      <c r="AD114" s="1800"/>
      <c r="AE114" s="1800"/>
      <c r="AF114" s="1801"/>
    </row>
    <row r="115" spans="1:32" ht="30" customHeight="1" x14ac:dyDescent="0.25">
      <c r="A115" s="1795" t="s">
        <v>6102</v>
      </c>
      <c r="B115" s="1283"/>
      <c r="C115" s="1283"/>
      <c r="D115" s="1283"/>
      <c r="E115" s="1283"/>
      <c r="F115" s="1283"/>
      <c r="G115" s="1283"/>
      <c r="H115" s="1283"/>
      <c r="I115" s="1796">
        <f t="shared" si="8"/>
        <v>0.13</v>
      </c>
      <c r="J115" s="1797"/>
      <c r="K115" s="1797"/>
      <c r="L115" s="1797"/>
      <c r="M115" s="1797"/>
      <c r="N115" s="1797"/>
      <c r="O115" s="1797"/>
      <c r="P115" s="1798"/>
      <c r="Q115" s="1646">
        <f t="shared" si="9"/>
        <v>952.35</v>
      </c>
      <c r="R115" s="1646"/>
      <c r="S115" s="1646"/>
      <c r="T115" s="1646"/>
      <c r="U115" s="1646"/>
      <c r="V115" s="1646"/>
      <c r="W115" s="1646"/>
      <c r="X115" s="1646"/>
      <c r="Y115" s="1799">
        <f t="shared" si="10"/>
        <v>9523.5</v>
      </c>
      <c r="Z115" s="1800"/>
      <c r="AA115" s="1800"/>
      <c r="AB115" s="1800"/>
      <c r="AC115" s="1800"/>
      <c r="AD115" s="1800"/>
      <c r="AE115" s="1800"/>
      <c r="AF115" s="1801"/>
    </row>
    <row r="116" spans="1:32" ht="30" customHeight="1" x14ac:dyDescent="0.25">
      <c r="A116" s="1795" t="s">
        <v>6103</v>
      </c>
      <c r="B116" s="1283"/>
      <c r="C116" s="1283"/>
      <c r="D116" s="1283"/>
      <c r="E116" s="1283"/>
      <c r="F116" s="1283"/>
      <c r="G116" s="1283"/>
      <c r="H116" s="1283"/>
      <c r="I116" s="1796">
        <f t="shared" si="8"/>
        <v>1.54</v>
      </c>
      <c r="J116" s="1797"/>
      <c r="K116" s="1797"/>
      <c r="L116" s="1797"/>
      <c r="M116" s="1797"/>
      <c r="N116" s="1797"/>
      <c r="O116" s="1797"/>
      <c r="P116" s="1798"/>
      <c r="Q116" s="1646">
        <f t="shared" si="9"/>
        <v>11242</v>
      </c>
      <c r="R116" s="1646"/>
      <c r="S116" s="1646"/>
      <c r="T116" s="1646"/>
      <c r="U116" s="1646"/>
      <c r="V116" s="1646"/>
      <c r="W116" s="1646"/>
      <c r="X116" s="1646"/>
      <c r="Y116" s="1799">
        <f t="shared" si="10"/>
        <v>112420</v>
      </c>
      <c r="Z116" s="1800"/>
      <c r="AA116" s="1800"/>
      <c r="AB116" s="1800"/>
      <c r="AC116" s="1800"/>
      <c r="AD116" s="1800"/>
      <c r="AE116" s="1800"/>
      <c r="AF116" s="1801"/>
    </row>
    <row r="117" spans="1:32" ht="30" customHeight="1" x14ac:dyDescent="0.25">
      <c r="A117" s="1795" t="s">
        <v>6078</v>
      </c>
      <c r="B117" s="1283"/>
      <c r="C117" s="1283"/>
      <c r="D117" s="1283"/>
      <c r="E117" s="1283"/>
      <c r="F117" s="1283"/>
      <c r="G117" s="1283"/>
      <c r="H117" s="1283"/>
      <c r="I117" s="1796">
        <f t="shared" si="8"/>
        <v>0.12</v>
      </c>
      <c r="J117" s="1797"/>
      <c r="K117" s="1797"/>
      <c r="L117" s="1797"/>
      <c r="M117" s="1797"/>
      <c r="N117" s="1797"/>
      <c r="O117" s="1797"/>
      <c r="P117" s="1798"/>
      <c r="Q117" s="1625">
        <f>ROUND(Y97-AC97,2)</f>
        <v>875.03</v>
      </c>
      <c r="R117" s="1626"/>
      <c r="S117" s="1626"/>
      <c r="T117" s="1626"/>
      <c r="U117" s="1626"/>
      <c r="V117" s="1626"/>
      <c r="W117" s="1626"/>
      <c r="X117" s="1627"/>
      <c r="Y117" s="1799">
        <f t="shared" si="10"/>
        <v>8750.2999999999993</v>
      </c>
      <c r="Z117" s="1800"/>
      <c r="AA117" s="1800"/>
      <c r="AB117" s="1800"/>
      <c r="AC117" s="1800"/>
      <c r="AD117" s="1800"/>
      <c r="AE117" s="1800"/>
      <c r="AF117" s="1801"/>
    </row>
    <row r="118" spans="1:32" ht="30" customHeight="1" x14ac:dyDescent="0.25">
      <c r="A118" s="1795" t="s">
        <v>6112</v>
      </c>
      <c r="B118" s="1283"/>
      <c r="C118" s="1283"/>
      <c r="D118" s="1283"/>
      <c r="E118" s="1283"/>
      <c r="F118" s="1283"/>
      <c r="G118" s="1283"/>
      <c r="H118" s="1283"/>
      <c r="I118" s="1796">
        <f t="shared" si="8"/>
        <v>0.33500000000000002</v>
      </c>
      <c r="J118" s="1797"/>
      <c r="K118" s="1797"/>
      <c r="L118" s="1797"/>
      <c r="M118" s="1797"/>
      <c r="N118" s="1797"/>
      <c r="O118" s="1797"/>
      <c r="P118" s="1798"/>
      <c r="Q118" s="1625">
        <f t="shared" ref="Q118:Q123" si="11">ROUND(Y98-AC98,2)</f>
        <v>2447.1999999999998</v>
      </c>
      <c r="R118" s="1626"/>
      <c r="S118" s="1626"/>
      <c r="T118" s="1626"/>
      <c r="U118" s="1626"/>
      <c r="V118" s="1626"/>
      <c r="W118" s="1626"/>
      <c r="X118" s="1627"/>
      <c r="Y118" s="1799">
        <f t="shared" si="10"/>
        <v>24472</v>
      </c>
      <c r="Z118" s="1800"/>
      <c r="AA118" s="1800"/>
      <c r="AB118" s="1800"/>
      <c r="AC118" s="1800"/>
      <c r="AD118" s="1800"/>
      <c r="AE118" s="1800"/>
      <c r="AF118" s="1801"/>
    </row>
    <row r="119" spans="1:32" ht="30" customHeight="1" x14ac:dyDescent="0.25">
      <c r="A119" s="1795" t="s">
        <v>6113</v>
      </c>
      <c r="B119" s="1283"/>
      <c r="C119" s="1283"/>
      <c r="D119" s="1283"/>
      <c r="E119" s="1283"/>
      <c r="F119" s="1283"/>
      <c r="G119" s="1283"/>
      <c r="H119" s="1283"/>
      <c r="I119" s="1796">
        <f t="shared" si="8"/>
        <v>1.2689999999999999</v>
      </c>
      <c r="J119" s="1797"/>
      <c r="K119" s="1797"/>
      <c r="L119" s="1797"/>
      <c r="M119" s="1797"/>
      <c r="N119" s="1797"/>
      <c r="O119" s="1797"/>
      <c r="P119" s="1798"/>
      <c r="Q119" s="1625">
        <f t="shared" si="11"/>
        <v>9265.65</v>
      </c>
      <c r="R119" s="1626"/>
      <c r="S119" s="1626"/>
      <c r="T119" s="1626"/>
      <c r="U119" s="1626"/>
      <c r="V119" s="1626"/>
      <c r="W119" s="1626"/>
      <c r="X119" s="1627"/>
      <c r="Y119" s="1799">
        <f t="shared" si="10"/>
        <v>92656.5</v>
      </c>
      <c r="Z119" s="1800"/>
      <c r="AA119" s="1800"/>
      <c r="AB119" s="1800"/>
      <c r="AC119" s="1800"/>
      <c r="AD119" s="1800"/>
      <c r="AE119" s="1800"/>
      <c r="AF119" s="1801"/>
    </row>
    <row r="120" spans="1:32" ht="30" customHeight="1" x14ac:dyDescent="0.25">
      <c r="A120" s="1795" t="s">
        <v>6114</v>
      </c>
      <c r="B120" s="1283"/>
      <c r="C120" s="1283"/>
      <c r="D120" s="1283"/>
      <c r="E120" s="1283"/>
      <c r="F120" s="1283"/>
      <c r="G120" s="1283"/>
      <c r="H120" s="1283"/>
      <c r="I120" s="1796">
        <f t="shared" si="8"/>
        <v>0.39500000000000002</v>
      </c>
      <c r="J120" s="1797"/>
      <c r="K120" s="1797"/>
      <c r="L120" s="1797"/>
      <c r="M120" s="1797"/>
      <c r="N120" s="1797"/>
      <c r="O120" s="1797"/>
      <c r="P120" s="1798"/>
      <c r="Q120" s="1625">
        <f t="shared" si="11"/>
        <v>2881.07</v>
      </c>
      <c r="R120" s="1626"/>
      <c r="S120" s="1626"/>
      <c r="T120" s="1626"/>
      <c r="U120" s="1626"/>
      <c r="V120" s="1626"/>
      <c r="W120" s="1626"/>
      <c r="X120" s="1627"/>
      <c r="Y120" s="1799">
        <f t="shared" si="10"/>
        <v>28810.7</v>
      </c>
      <c r="Z120" s="1800"/>
      <c r="AA120" s="1800"/>
      <c r="AB120" s="1800"/>
      <c r="AC120" s="1800"/>
      <c r="AD120" s="1800"/>
      <c r="AE120" s="1800"/>
      <c r="AF120" s="1801"/>
    </row>
    <row r="121" spans="1:32" ht="30" customHeight="1" x14ac:dyDescent="0.25">
      <c r="A121" s="1795" t="s">
        <v>6115</v>
      </c>
      <c r="B121" s="1283"/>
      <c r="C121" s="1283"/>
      <c r="D121" s="1283"/>
      <c r="E121" s="1283"/>
      <c r="F121" s="1283"/>
      <c r="G121" s="1283"/>
      <c r="H121" s="1283"/>
      <c r="I121" s="1796">
        <f t="shared" si="8"/>
        <v>1.6160000000000001</v>
      </c>
      <c r="J121" s="1797"/>
      <c r="K121" s="1797"/>
      <c r="L121" s="1797"/>
      <c r="M121" s="1797"/>
      <c r="N121" s="1797"/>
      <c r="O121" s="1797"/>
      <c r="P121" s="1798"/>
      <c r="Q121" s="1625">
        <f t="shared" si="11"/>
        <v>11796.8</v>
      </c>
      <c r="R121" s="1626"/>
      <c r="S121" s="1626"/>
      <c r="T121" s="1626"/>
      <c r="U121" s="1626"/>
      <c r="V121" s="1626"/>
      <c r="W121" s="1626"/>
      <c r="X121" s="1627"/>
      <c r="Y121" s="1799">
        <f t="shared" si="10"/>
        <v>117968</v>
      </c>
      <c r="Z121" s="1800"/>
      <c r="AA121" s="1800"/>
      <c r="AB121" s="1800"/>
      <c r="AC121" s="1800"/>
      <c r="AD121" s="1800"/>
      <c r="AE121" s="1800"/>
      <c r="AF121" s="1801"/>
    </row>
    <row r="122" spans="1:32" ht="30" customHeight="1" x14ac:dyDescent="0.25">
      <c r="A122" s="1795" t="s">
        <v>6079</v>
      </c>
      <c r="B122" s="1283"/>
      <c r="C122" s="1283"/>
      <c r="D122" s="1283"/>
      <c r="E122" s="1283"/>
      <c r="F122" s="1283"/>
      <c r="G122" s="1283"/>
      <c r="H122" s="1283"/>
      <c r="I122" s="1796">
        <f t="shared" si="8"/>
        <v>9.7000000000000003E-2</v>
      </c>
      <c r="J122" s="1797"/>
      <c r="K122" s="1797"/>
      <c r="L122" s="1797"/>
      <c r="M122" s="1797"/>
      <c r="N122" s="1797"/>
      <c r="O122" s="1797"/>
      <c r="P122" s="1798"/>
      <c r="Q122" s="1625">
        <f t="shared" si="11"/>
        <v>710.53</v>
      </c>
      <c r="R122" s="1626"/>
      <c r="S122" s="1626"/>
      <c r="T122" s="1626"/>
      <c r="U122" s="1626"/>
      <c r="V122" s="1626"/>
      <c r="W122" s="1626"/>
      <c r="X122" s="1627"/>
      <c r="Y122" s="1799">
        <f t="shared" si="10"/>
        <v>7105.3</v>
      </c>
      <c r="Z122" s="1800"/>
      <c r="AA122" s="1800"/>
      <c r="AB122" s="1800"/>
      <c r="AC122" s="1800"/>
      <c r="AD122" s="1800"/>
      <c r="AE122" s="1800"/>
      <c r="AF122" s="1801"/>
    </row>
    <row r="123" spans="1:32" ht="30" customHeight="1" x14ac:dyDescent="0.25">
      <c r="A123" s="1795" t="s">
        <v>6116</v>
      </c>
      <c r="B123" s="1283"/>
      <c r="C123" s="1283"/>
      <c r="D123" s="1283"/>
      <c r="E123" s="1283"/>
      <c r="F123" s="1283"/>
      <c r="G123" s="1283"/>
      <c r="H123" s="1283"/>
      <c r="I123" s="1796">
        <f t="shared" si="8"/>
        <v>0.25800000000000001</v>
      </c>
      <c r="J123" s="1797"/>
      <c r="K123" s="1797"/>
      <c r="L123" s="1797"/>
      <c r="M123" s="1797"/>
      <c r="N123" s="1797"/>
      <c r="O123" s="1797"/>
      <c r="P123" s="1798"/>
      <c r="Q123" s="1625">
        <f t="shared" si="11"/>
        <v>1883.4</v>
      </c>
      <c r="R123" s="1626"/>
      <c r="S123" s="1626"/>
      <c r="T123" s="1626"/>
      <c r="U123" s="1626"/>
      <c r="V123" s="1626"/>
      <c r="W123" s="1626"/>
      <c r="X123" s="1627"/>
      <c r="Y123" s="1799">
        <f t="shared" si="10"/>
        <v>18834</v>
      </c>
      <c r="Z123" s="1800"/>
      <c r="AA123" s="1800"/>
      <c r="AB123" s="1800"/>
      <c r="AC123" s="1800"/>
      <c r="AD123" s="1800"/>
      <c r="AE123" s="1800"/>
      <c r="AF123" s="1801"/>
    </row>
    <row r="124" spans="1:32" ht="30" customHeight="1" thickBot="1" x14ac:dyDescent="0.3">
      <c r="A124" s="1802" t="s">
        <v>6117</v>
      </c>
      <c r="B124" s="1803"/>
      <c r="C124" s="1803"/>
      <c r="D124" s="1803"/>
      <c r="E124" s="1803"/>
      <c r="F124" s="1803"/>
      <c r="G124" s="1803"/>
      <c r="H124" s="1803"/>
      <c r="I124" s="1804">
        <f t="shared" si="8"/>
        <v>1.034</v>
      </c>
      <c r="J124" s="1805"/>
      <c r="K124" s="1805"/>
      <c r="L124" s="1805"/>
      <c r="M124" s="1805"/>
      <c r="N124" s="1805"/>
      <c r="O124" s="1805"/>
      <c r="P124" s="1806"/>
      <c r="Q124" s="1635">
        <f>ROUND(Y104-AC104,2)</f>
        <v>7548.2</v>
      </c>
      <c r="R124" s="1636"/>
      <c r="S124" s="1636"/>
      <c r="T124" s="1636"/>
      <c r="U124" s="1636"/>
      <c r="V124" s="1636"/>
      <c r="W124" s="1636"/>
      <c r="X124" s="1637"/>
      <c r="Y124" s="1807">
        <f t="shared" si="10"/>
        <v>75482</v>
      </c>
      <c r="Z124" s="1808"/>
      <c r="AA124" s="1808"/>
      <c r="AB124" s="1808"/>
      <c r="AC124" s="1808"/>
      <c r="AD124" s="1808"/>
      <c r="AE124" s="1808"/>
      <c r="AF124" s="1809"/>
    </row>
    <row r="125" spans="1:32" x14ac:dyDescent="0.25">
      <c r="A125" s="262"/>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62"/>
      <c r="AE125" s="262"/>
      <c r="AF125" s="262"/>
    </row>
    <row r="126" spans="1:32" x14ac:dyDescent="0.25">
      <c r="A126" s="262"/>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c r="AA126" s="262"/>
      <c r="AB126" s="262"/>
      <c r="AC126" s="262"/>
      <c r="AD126" s="262"/>
      <c r="AE126" s="262"/>
      <c r="AF126" s="262"/>
    </row>
    <row r="127" spans="1:32" x14ac:dyDescent="0.25">
      <c r="A127" s="1621" t="s">
        <v>1753</v>
      </c>
      <c r="B127" s="1621"/>
      <c r="C127" s="1621"/>
      <c r="D127" s="1621"/>
      <c r="E127" s="1621"/>
      <c r="F127" s="1621"/>
      <c r="G127" s="1621"/>
      <c r="H127" s="1621"/>
      <c r="I127" s="1621"/>
      <c r="J127" s="1621"/>
      <c r="K127" s="1621"/>
      <c r="L127" s="1621"/>
      <c r="M127" s="1621"/>
      <c r="N127" s="1621"/>
      <c r="O127" s="1621"/>
      <c r="P127" s="1621"/>
      <c r="Q127" s="1621"/>
      <c r="R127" s="1621"/>
      <c r="S127" s="1621"/>
      <c r="T127" s="1621"/>
      <c r="U127" s="1621"/>
      <c r="V127" s="1621"/>
      <c r="W127" s="1621"/>
      <c r="X127" s="1621"/>
      <c r="Y127" s="1621"/>
      <c r="Z127" s="1621"/>
      <c r="AA127" s="1621"/>
      <c r="AB127" s="1621"/>
      <c r="AC127" s="1621"/>
      <c r="AD127" s="1621"/>
      <c r="AE127" s="1621"/>
      <c r="AF127" s="1621"/>
    </row>
    <row r="128" spans="1:32" ht="15" customHeight="1" x14ac:dyDescent="0.25">
      <c r="A128" s="262"/>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row>
    <row r="129" spans="1:32" ht="15" customHeight="1" x14ac:dyDescent="0.25">
      <c r="A129" s="517" t="s">
        <v>1013</v>
      </c>
      <c r="B129" s="1173" t="s">
        <v>6080</v>
      </c>
      <c r="C129" s="1173"/>
      <c r="D129" s="1173"/>
      <c r="E129" s="1173"/>
      <c r="F129" s="1173"/>
      <c r="G129" s="1173"/>
      <c r="H129" s="1173"/>
      <c r="I129" s="1173"/>
      <c r="J129" s="1173"/>
      <c r="K129" s="1173"/>
      <c r="L129" s="1173"/>
      <c r="M129" s="1173"/>
      <c r="N129" s="1173"/>
      <c r="O129" s="1173"/>
      <c r="P129" s="1173"/>
      <c r="Q129" s="1173"/>
      <c r="R129" s="1173"/>
      <c r="S129" s="1173"/>
      <c r="T129" s="1173"/>
      <c r="U129" s="1173"/>
      <c r="V129" s="1173"/>
      <c r="W129" s="1173"/>
      <c r="X129" s="1173"/>
      <c r="Y129" s="1173"/>
      <c r="Z129" s="1173"/>
      <c r="AA129" s="1173"/>
      <c r="AB129" s="1173"/>
      <c r="AC129" s="1173"/>
      <c r="AD129" s="1173"/>
      <c r="AE129" s="1173"/>
      <c r="AF129" s="1173"/>
    </row>
    <row r="130" spans="1:32" ht="33" customHeight="1" x14ac:dyDescent="0.25">
      <c r="A130" s="517" t="s">
        <v>1013</v>
      </c>
      <c r="B130" s="1173" t="s">
        <v>6081</v>
      </c>
      <c r="C130" s="1173"/>
      <c r="D130" s="1173"/>
      <c r="E130" s="1173"/>
      <c r="F130" s="1173"/>
      <c r="G130" s="1173"/>
      <c r="H130" s="1173"/>
      <c r="I130" s="1173"/>
      <c r="J130" s="1173"/>
      <c r="K130" s="1173"/>
      <c r="L130" s="1173"/>
      <c r="M130" s="1173"/>
      <c r="N130" s="1173"/>
      <c r="O130" s="1173"/>
      <c r="P130" s="1173"/>
      <c r="Q130" s="1173"/>
      <c r="R130" s="1173"/>
      <c r="S130" s="1173"/>
      <c r="T130" s="1173"/>
      <c r="U130" s="1173"/>
      <c r="V130" s="1173"/>
      <c r="W130" s="1173"/>
      <c r="X130" s="1173"/>
      <c r="Y130" s="1173"/>
      <c r="Z130" s="1173"/>
      <c r="AA130" s="1173"/>
      <c r="AB130" s="1173"/>
      <c r="AC130" s="1173"/>
      <c r="AD130" s="1173"/>
      <c r="AE130" s="1173"/>
      <c r="AF130" s="1173"/>
    </row>
    <row r="131" spans="1:32" ht="64.5" customHeight="1" x14ac:dyDescent="0.25">
      <c r="A131" s="517" t="s">
        <v>1013</v>
      </c>
      <c r="B131" s="1173" t="s">
        <v>6082</v>
      </c>
      <c r="C131" s="1173"/>
      <c r="D131" s="1173"/>
      <c r="E131" s="1173"/>
      <c r="F131" s="1173"/>
      <c r="G131" s="1173"/>
      <c r="H131" s="1173"/>
      <c r="I131" s="1173"/>
      <c r="J131" s="1173"/>
      <c r="K131" s="1173"/>
      <c r="L131" s="1173"/>
      <c r="M131" s="1173"/>
      <c r="N131" s="1173"/>
      <c r="O131" s="1173"/>
      <c r="P131" s="1173"/>
      <c r="Q131" s="1173"/>
      <c r="R131" s="1173"/>
      <c r="S131" s="1173"/>
      <c r="T131" s="1173"/>
      <c r="U131" s="1173"/>
      <c r="V131" s="1173"/>
      <c r="W131" s="1173"/>
      <c r="X131" s="1173"/>
      <c r="Y131" s="1173"/>
      <c r="Z131" s="1173"/>
      <c r="AA131" s="1173"/>
      <c r="AB131" s="1173"/>
      <c r="AC131" s="1173"/>
      <c r="AD131" s="1173"/>
      <c r="AE131" s="1173"/>
      <c r="AF131" s="1173"/>
    </row>
    <row r="132" spans="1:32" ht="60" customHeight="1" x14ac:dyDescent="0.25">
      <c r="A132" s="517" t="s">
        <v>1013</v>
      </c>
      <c r="B132" s="1173" t="s">
        <v>5916</v>
      </c>
      <c r="C132" s="1173"/>
      <c r="D132" s="1173"/>
      <c r="E132" s="1173"/>
      <c r="F132" s="1173"/>
      <c r="G132" s="1173"/>
      <c r="H132" s="1173"/>
      <c r="I132" s="1173"/>
      <c r="J132" s="1173"/>
      <c r="K132" s="1173"/>
      <c r="L132" s="1173"/>
      <c r="M132" s="1173"/>
      <c r="N132" s="1173"/>
      <c r="O132" s="1173"/>
      <c r="P132" s="1173"/>
      <c r="Q132" s="1173"/>
      <c r="R132" s="1173"/>
      <c r="S132" s="1173"/>
      <c r="T132" s="1173"/>
      <c r="U132" s="1173"/>
      <c r="V132" s="1173"/>
      <c r="W132" s="1173"/>
      <c r="X132" s="1173"/>
      <c r="Y132" s="1173"/>
      <c r="Z132" s="1173"/>
      <c r="AA132" s="1173"/>
      <c r="AB132" s="1173"/>
      <c r="AC132" s="1173"/>
      <c r="AD132" s="1173"/>
      <c r="AE132" s="1173"/>
      <c r="AF132" s="1173"/>
    </row>
    <row r="133" spans="1:32" ht="30.75" customHeight="1" x14ac:dyDescent="0.25">
      <c r="A133" s="517" t="s">
        <v>1013</v>
      </c>
      <c r="B133" s="1173" t="s">
        <v>6083</v>
      </c>
      <c r="C133" s="1173"/>
      <c r="D133" s="1173"/>
      <c r="E133" s="1173"/>
      <c r="F133" s="1173"/>
      <c r="G133" s="1173"/>
      <c r="H133" s="1173"/>
      <c r="I133" s="1173"/>
      <c r="J133" s="1173"/>
      <c r="K133" s="1173"/>
      <c r="L133" s="1173"/>
      <c r="M133" s="1173"/>
      <c r="N133" s="1173"/>
      <c r="O133" s="1173"/>
      <c r="P133" s="1173"/>
      <c r="Q133" s="1173"/>
      <c r="R133" s="1173"/>
      <c r="S133" s="1173"/>
      <c r="T133" s="1173"/>
      <c r="U133" s="1173"/>
      <c r="V133" s="1173"/>
      <c r="W133" s="1173"/>
      <c r="X133" s="1173"/>
      <c r="Y133" s="1173"/>
      <c r="Z133" s="1173"/>
      <c r="AA133" s="1173"/>
      <c r="AB133" s="1173"/>
      <c r="AC133" s="1173"/>
      <c r="AD133" s="1173"/>
      <c r="AE133" s="1173"/>
      <c r="AF133" s="1173"/>
    </row>
    <row r="134" spans="1:32" ht="31.5" customHeight="1" x14ac:dyDescent="0.25">
      <c r="A134" s="517" t="s">
        <v>1013</v>
      </c>
      <c r="B134" s="1173" t="s">
        <v>5918</v>
      </c>
      <c r="C134" s="1173"/>
      <c r="D134" s="1173"/>
      <c r="E134" s="1173"/>
      <c r="F134" s="1173"/>
      <c r="G134" s="1173"/>
      <c r="H134" s="1173"/>
      <c r="I134" s="1173"/>
      <c r="J134" s="1173"/>
      <c r="K134" s="1173"/>
      <c r="L134" s="1173"/>
      <c r="M134" s="1173"/>
      <c r="N134" s="1173"/>
      <c r="O134" s="1173"/>
      <c r="P134" s="1173"/>
      <c r="Q134" s="1173"/>
      <c r="R134" s="1173"/>
      <c r="S134" s="1173"/>
      <c r="T134" s="1173"/>
      <c r="U134" s="1173"/>
      <c r="V134" s="1173"/>
      <c r="W134" s="1173"/>
      <c r="X134" s="1173"/>
      <c r="Y134" s="1173"/>
      <c r="Z134" s="1173"/>
      <c r="AA134" s="1173"/>
      <c r="AB134" s="1173"/>
      <c r="AC134" s="1173"/>
      <c r="AD134" s="1173"/>
      <c r="AE134" s="1173"/>
      <c r="AF134" s="1173"/>
    </row>
    <row r="135" spans="1:32" ht="33" customHeight="1" x14ac:dyDescent="0.25">
      <c r="A135" s="517" t="s">
        <v>1013</v>
      </c>
      <c r="B135" s="1173" t="s">
        <v>5919</v>
      </c>
      <c r="C135" s="1173"/>
      <c r="D135" s="1173"/>
      <c r="E135" s="1173"/>
      <c r="F135" s="1173"/>
      <c r="G135" s="1173"/>
      <c r="H135" s="1173"/>
      <c r="I135" s="1173"/>
      <c r="J135" s="1173"/>
      <c r="K135" s="1173"/>
      <c r="L135" s="1173"/>
      <c r="M135" s="1173"/>
      <c r="N135" s="1173"/>
      <c r="O135" s="1173"/>
      <c r="P135" s="1173"/>
      <c r="Q135" s="1173"/>
      <c r="R135" s="1173"/>
      <c r="S135" s="1173"/>
      <c r="T135" s="1173"/>
      <c r="U135" s="1173"/>
      <c r="V135" s="1173"/>
      <c r="W135" s="1173"/>
      <c r="X135" s="1173"/>
      <c r="Y135" s="1173"/>
      <c r="Z135" s="1173"/>
      <c r="AA135" s="1173"/>
      <c r="AB135" s="1173"/>
      <c r="AC135" s="1173"/>
      <c r="AD135" s="1173"/>
      <c r="AE135" s="1173"/>
      <c r="AF135" s="1173"/>
    </row>
    <row r="136" spans="1:32" ht="34.5" customHeight="1" x14ac:dyDescent="0.25">
      <c r="A136" s="517" t="s">
        <v>1013</v>
      </c>
      <c r="B136" s="1173" t="s">
        <v>5920</v>
      </c>
      <c r="C136" s="1173"/>
      <c r="D136" s="1173"/>
      <c r="E136" s="1173"/>
      <c r="F136" s="1173"/>
      <c r="G136" s="1173"/>
      <c r="H136" s="1173"/>
      <c r="I136" s="1173"/>
      <c r="J136" s="1173"/>
      <c r="K136" s="1173"/>
      <c r="L136" s="1173"/>
      <c r="M136" s="1173"/>
      <c r="N136" s="1173"/>
      <c r="O136" s="1173"/>
      <c r="P136" s="1173"/>
      <c r="Q136" s="1173"/>
      <c r="R136" s="1173"/>
      <c r="S136" s="1173"/>
      <c r="T136" s="1173"/>
      <c r="U136" s="1173"/>
      <c r="V136" s="1173"/>
      <c r="W136" s="1173"/>
      <c r="X136" s="1173"/>
      <c r="Y136" s="1173"/>
      <c r="Z136" s="1173"/>
      <c r="AA136" s="1173"/>
      <c r="AB136" s="1173"/>
      <c r="AC136" s="1173"/>
      <c r="AD136" s="1173"/>
      <c r="AE136" s="1173"/>
      <c r="AF136" s="1173"/>
    </row>
    <row r="137" spans="1:32" ht="31.5" customHeight="1" x14ac:dyDescent="0.25">
      <c r="A137" s="517" t="s">
        <v>1013</v>
      </c>
      <c r="B137" s="1173" t="s">
        <v>5921</v>
      </c>
      <c r="C137" s="1173"/>
      <c r="D137" s="1173"/>
      <c r="E137" s="1173"/>
      <c r="F137" s="1173"/>
      <c r="G137" s="1173"/>
      <c r="H137" s="1173"/>
      <c r="I137" s="1173"/>
      <c r="J137" s="1173"/>
      <c r="K137" s="1173"/>
      <c r="L137" s="1173"/>
      <c r="M137" s="1173"/>
      <c r="N137" s="1173"/>
      <c r="O137" s="1173"/>
      <c r="P137" s="1173"/>
      <c r="Q137" s="1173"/>
      <c r="R137" s="1173"/>
      <c r="S137" s="1173"/>
      <c r="T137" s="1173"/>
      <c r="U137" s="1173"/>
      <c r="V137" s="1173"/>
      <c r="W137" s="1173"/>
      <c r="X137" s="1173"/>
      <c r="Y137" s="1173"/>
      <c r="Z137" s="1173"/>
      <c r="AA137" s="1173"/>
      <c r="AB137" s="1173"/>
      <c r="AC137" s="1173"/>
      <c r="AD137" s="1173"/>
      <c r="AE137" s="1173"/>
      <c r="AF137" s="1173"/>
    </row>
    <row r="138" spans="1:32" ht="31.5" customHeight="1" x14ac:dyDescent="0.25">
      <c r="A138" s="517" t="s">
        <v>1013</v>
      </c>
      <c r="B138" s="1173" t="s">
        <v>6084</v>
      </c>
      <c r="C138" s="1173"/>
      <c r="D138" s="1173"/>
      <c r="E138" s="1173"/>
      <c r="F138" s="1173"/>
      <c r="G138" s="1173"/>
      <c r="H138" s="1173"/>
      <c r="I138" s="1173"/>
      <c r="J138" s="1173"/>
      <c r="K138" s="1173"/>
      <c r="L138" s="1173"/>
      <c r="M138" s="1173"/>
      <c r="N138" s="1173"/>
      <c r="O138" s="1173"/>
      <c r="P138" s="1173"/>
      <c r="Q138" s="1173"/>
      <c r="R138" s="1173"/>
      <c r="S138" s="1173"/>
      <c r="T138" s="1173"/>
      <c r="U138" s="1173"/>
      <c r="V138" s="1173"/>
      <c r="W138" s="1173"/>
      <c r="X138" s="1173"/>
      <c r="Y138" s="1173"/>
      <c r="Z138" s="1173"/>
      <c r="AA138" s="1173"/>
      <c r="AB138" s="1173"/>
      <c r="AC138" s="1173"/>
      <c r="AD138" s="1173"/>
      <c r="AE138" s="1173"/>
      <c r="AF138" s="1173"/>
    </row>
    <row r="139" spans="1:32" ht="33.75" customHeight="1" x14ac:dyDescent="0.25">
      <c r="A139" s="517" t="s">
        <v>1013</v>
      </c>
      <c r="B139" s="1173" t="s">
        <v>5199</v>
      </c>
      <c r="C139" s="1173"/>
      <c r="D139" s="1173"/>
      <c r="E139" s="1173"/>
      <c r="F139" s="1173"/>
      <c r="G139" s="1173"/>
      <c r="H139" s="1173"/>
      <c r="I139" s="1173"/>
      <c r="J139" s="1173"/>
      <c r="K139" s="1173"/>
      <c r="L139" s="1173"/>
      <c r="M139" s="1173"/>
      <c r="N139" s="1173"/>
      <c r="O139" s="1173"/>
      <c r="P139" s="1173"/>
      <c r="Q139" s="1173"/>
      <c r="R139" s="1173"/>
      <c r="S139" s="1173"/>
      <c r="T139" s="1173"/>
      <c r="U139" s="1173"/>
      <c r="V139" s="1173"/>
      <c r="W139" s="1173"/>
      <c r="X139" s="1173"/>
      <c r="Y139" s="1173"/>
      <c r="Z139" s="1173"/>
      <c r="AA139" s="1173"/>
      <c r="AB139" s="1173"/>
      <c r="AC139" s="1173"/>
      <c r="AD139" s="1173"/>
      <c r="AE139" s="1173"/>
      <c r="AF139" s="1173"/>
    </row>
    <row r="140" spans="1:32" ht="33" customHeight="1" x14ac:dyDescent="0.25">
      <c r="A140" s="517" t="s">
        <v>1013</v>
      </c>
      <c r="B140" s="1173" t="s">
        <v>5922</v>
      </c>
      <c r="C140" s="1173"/>
      <c r="D140" s="1173"/>
      <c r="E140" s="1173"/>
      <c r="F140" s="1173"/>
      <c r="G140" s="1173"/>
      <c r="H140" s="1173"/>
      <c r="I140" s="1173"/>
      <c r="J140" s="1173"/>
      <c r="K140" s="1173"/>
      <c r="L140" s="1173"/>
      <c r="M140" s="1173"/>
      <c r="N140" s="1173"/>
      <c r="O140" s="1173"/>
      <c r="P140" s="1173"/>
      <c r="Q140" s="1173"/>
      <c r="R140" s="1173"/>
      <c r="S140" s="1173"/>
      <c r="T140" s="1173"/>
      <c r="U140" s="1173"/>
      <c r="V140" s="1173"/>
      <c r="W140" s="1173"/>
      <c r="X140" s="1173"/>
      <c r="Y140" s="1173"/>
      <c r="Z140" s="1173"/>
      <c r="AA140" s="1173"/>
      <c r="AB140" s="1173"/>
      <c r="AC140" s="1173"/>
      <c r="AD140" s="1173"/>
      <c r="AE140" s="1173"/>
      <c r="AF140" s="1173"/>
    </row>
  </sheetData>
  <sheetProtection algorithmName="SHA-512" hashValue="OCSsghegoruyK82CJrBoWky9BBiHAmGhDPF5GwJpFeFcln2LwlxYLeu3ckhZ3O6Ri57owxjDpRxPCVdg2N4HdQ==" saltValue="UYgALjRW/JSc6S2MIlgL2A==" spinCount="100000" sheet="1" objects="1" scenarios="1"/>
  <mergeCells count="383">
    <mergeCell ref="A40:AF40"/>
    <mergeCell ref="A41:D41"/>
    <mergeCell ref="E41:P41"/>
    <mergeCell ref="Q41:S41"/>
    <mergeCell ref="T41:V41"/>
    <mergeCell ref="W41:AF41"/>
    <mergeCell ref="A25:AF25"/>
    <mergeCell ref="A1:AF1"/>
    <mergeCell ref="A7:AF7"/>
    <mergeCell ref="B9:I9"/>
    <mergeCell ref="B19:AF19"/>
    <mergeCell ref="B22:AF22"/>
    <mergeCell ref="B10:AF10"/>
    <mergeCell ref="B12:I12"/>
    <mergeCell ref="B13:AF13"/>
    <mergeCell ref="B15:I15"/>
    <mergeCell ref="B16:AF16"/>
    <mergeCell ref="B18:I18"/>
    <mergeCell ref="A43:D43"/>
    <mergeCell ref="E43:P43"/>
    <mergeCell ref="A42:D42"/>
    <mergeCell ref="E42:P42"/>
    <mergeCell ref="Q42:S42"/>
    <mergeCell ref="T42:V42"/>
    <mergeCell ref="W42:AF42"/>
    <mergeCell ref="Q43:S43"/>
    <mergeCell ref="T43:V43"/>
    <mergeCell ref="W43:AF43"/>
    <mergeCell ref="A44:D44"/>
    <mergeCell ref="E44:P44"/>
    <mergeCell ref="A45:D45"/>
    <mergeCell ref="E45:P45"/>
    <mergeCell ref="Q44:S44"/>
    <mergeCell ref="T44:V44"/>
    <mergeCell ref="W44:AF44"/>
    <mergeCell ref="Q45:S45"/>
    <mergeCell ref="T45:V45"/>
    <mergeCell ref="W45:AF45"/>
    <mergeCell ref="A46:D46"/>
    <mergeCell ref="E46:P46"/>
    <mergeCell ref="A47:D47"/>
    <mergeCell ref="E47:P47"/>
    <mergeCell ref="Q46:S46"/>
    <mergeCell ref="T46:V46"/>
    <mergeCell ref="W46:AF46"/>
    <mergeCell ref="Q47:S47"/>
    <mergeCell ref="T47:V47"/>
    <mergeCell ref="W47:AF47"/>
    <mergeCell ref="A60:H61"/>
    <mergeCell ref="I60:M60"/>
    <mergeCell ref="N60:S60"/>
    <mergeCell ref="T60:X61"/>
    <mergeCell ref="Y60:AF60"/>
    <mergeCell ref="I61:M61"/>
    <mergeCell ref="N61:S61"/>
    <mergeCell ref="Y61:AF61"/>
    <mergeCell ref="A48:D48"/>
    <mergeCell ref="E48:P48"/>
    <mergeCell ref="A49:D49"/>
    <mergeCell ref="E49:P49"/>
    <mergeCell ref="Q48:S48"/>
    <mergeCell ref="T48:V48"/>
    <mergeCell ref="W48:AF48"/>
    <mergeCell ref="Q49:S49"/>
    <mergeCell ref="T49:V49"/>
    <mergeCell ref="W49:AF49"/>
    <mergeCell ref="A51:AF51"/>
    <mergeCell ref="A54:AF54"/>
    <mergeCell ref="A55:H55"/>
    <mergeCell ref="I55:M55"/>
    <mergeCell ref="N55:S55"/>
    <mergeCell ref="T55:X55"/>
    <mergeCell ref="A74:H76"/>
    <mergeCell ref="I74:M74"/>
    <mergeCell ref="A67:AF67"/>
    <mergeCell ref="A68:H68"/>
    <mergeCell ref="I68:M68"/>
    <mergeCell ref="N68:S68"/>
    <mergeCell ref="T68:X68"/>
    <mergeCell ref="Y68:AF68"/>
    <mergeCell ref="A62:H64"/>
    <mergeCell ref="I62:M62"/>
    <mergeCell ref="N62:S62"/>
    <mergeCell ref="T62:X64"/>
    <mergeCell ref="Y62:AF62"/>
    <mergeCell ref="I63:M63"/>
    <mergeCell ref="N63:S63"/>
    <mergeCell ref="Y63:AF63"/>
    <mergeCell ref="I64:M64"/>
    <mergeCell ref="N64:S64"/>
    <mergeCell ref="Y64:AF64"/>
    <mergeCell ref="Y69:AF69"/>
    <mergeCell ref="I70:M70"/>
    <mergeCell ref="N70:S70"/>
    <mergeCell ref="Y70:AF70"/>
    <mergeCell ref="I71:M71"/>
    <mergeCell ref="Y55:AF55"/>
    <mergeCell ref="A56:H59"/>
    <mergeCell ref="I56:M56"/>
    <mergeCell ref="N56:S56"/>
    <mergeCell ref="T56:X59"/>
    <mergeCell ref="Y56:AF56"/>
    <mergeCell ref="I57:M57"/>
    <mergeCell ref="N57:S57"/>
    <mergeCell ref="Y57:AF57"/>
    <mergeCell ref="I58:M58"/>
    <mergeCell ref="N58:S58"/>
    <mergeCell ref="Y58:AF58"/>
    <mergeCell ref="I59:M59"/>
    <mergeCell ref="N59:S59"/>
    <mergeCell ref="Y59:AF59"/>
    <mergeCell ref="N71:S71"/>
    <mergeCell ref="Y71:AF71"/>
    <mergeCell ref="A72:H73"/>
    <mergeCell ref="I72:M72"/>
    <mergeCell ref="N72:S72"/>
    <mergeCell ref="T72:X73"/>
    <mergeCell ref="Y72:AF72"/>
    <mergeCell ref="I73:M73"/>
    <mergeCell ref="N73:S73"/>
    <mergeCell ref="Y73:AF73"/>
    <mergeCell ref="A69:H71"/>
    <mergeCell ref="I69:M69"/>
    <mergeCell ref="N69:S69"/>
    <mergeCell ref="T69:X71"/>
    <mergeCell ref="N74:S74"/>
    <mergeCell ref="T74:X76"/>
    <mergeCell ref="Y74:AF74"/>
    <mergeCell ref="I75:M75"/>
    <mergeCell ref="N75:S75"/>
    <mergeCell ref="Y75:AF75"/>
    <mergeCell ref="I76:M76"/>
    <mergeCell ref="N76:S76"/>
    <mergeCell ref="Y76:AF76"/>
    <mergeCell ref="A79:AF79"/>
    <mergeCell ref="A81:AF81"/>
    <mergeCell ref="A82:AF82"/>
    <mergeCell ref="A83:F84"/>
    <mergeCell ref="G83:H84"/>
    <mergeCell ref="I83:P83"/>
    <mergeCell ref="Q83:X83"/>
    <mergeCell ref="Y83:AF83"/>
    <mergeCell ref="I84:L84"/>
    <mergeCell ref="M84:P84"/>
    <mergeCell ref="Q84:T84"/>
    <mergeCell ref="U84:X84"/>
    <mergeCell ref="Y84:AB84"/>
    <mergeCell ref="AC84:AF84"/>
    <mergeCell ref="A85:F85"/>
    <mergeCell ref="G85:H85"/>
    <mergeCell ref="I85:L85"/>
    <mergeCell ref="M85:P85"/>
    <mergeCell ref="Q85:T85"/>
    <mergeCell ref="U85:X85"/>
    <mergeCell ref="Y85:AB85"/>
    <mergeCell ref="AC85:AF85"/>
    <mergeCell ref="A86:F86"/>
    <mergeCell ref="G86:H86"/>
    <mergeCell ref="I86:L86"/>
    <mergeCell ref="M86:P86"/>
    <mergeCell ref="Q86:T86"/>
    <mergeCell ref="U86:X86"/>
    <mergeCell ref="Y86:AB86"/>
    <mergeCell ref="AC86:AF86"/>
    <mergeCell ref="A87:F87"/>
    <mergeCell ref="G87:H87"/>
    <mergeCell ref="I87:L87"/>
    <mergeCell ref="M87:P87"/>
    <mergeCell ref="Q87:T87"/>
    <mergeCell ref="U87:X87"/>
    <mergeCell ref="Y87:AB87"/>
    <mergeCell ref="AC87:AF87"/>
    <mergeCell ref="A88:F88"/>
    <mergeCell ref="G88:H88"/>
    <mergeCell ref="I88:L88"/>
    <mergeCell ref="M88:P88"/>
    <mergeCell ref="Q88:T88"/>
    <mergeCell ref="U88:X88"/>
    <mergeCell ref="Y88:AB88"/>
    <mergeCell ref="AC88:AF88"/>
    <mergeCell ref="A89:F89"/>
    <mergeCell ref="G89:H89"/>
    <mergeCell ref="I89:L89"/>
    <mergeCell ref="M89:P89"/>
    <mergeCell ref="Q89:T89"/>
    <mergeCell ref="U89:X89"/>
    <mergeCell ref="Y89:AB89"/>
    <mergeCell ref="AC89:AF89"/>
    <mergeCell ref="A90:F90"/>
    <mergeCell ref="G90:H90"/>
    <mergeCell ref="I90:L90"/>
    <mergeCell ref="M90:P90"/>
    <mergeCell ref="Q90:T90"/>
    <mergeCell ref="U90:X90"/>
    <mergeCell ref="Y90:AB90"/>
    <mergeCell ref="AC90:AF90"/>
    <mergeCell ref="A91:F91"/>
    <mergeCell ref="G91:H91"/>
    <mergeCell ref="I91:L91"/>
    <mergeCell ref="M91:P91"/>
    <mergeCell ref="Q91:T91"/>
    <mergeCell ref="U91:X91"/>
    <mergeCell ref="Y91:AB91"/>
    <mergeCell ref="AC91:AF91"/>
    <mergeCell ref="A92:F92"/>
    <mergeCell ref="G92:H92"/>
    <mergeCell ref="I92:L92"/>
    <mergeCell ref="M92:P92"/>
    <mergeCell ref="Q92:T92"/>
    <mergeCell ref="U92:X92"/>
    <mergeCell ref="Y92:AB92"/>
    <mergeCell ref="AC92:AF92"/>
    <mergeCell ref="A93:F93"/>
    <mergeCell ref="G93:H93"/>
    <mergeCell ref="I93:L93"/>
    <mergeCell ref="M93:P93"/>
    <mergeCell ref="Q93:T93"/>
    <mergeCell ref="U93:X93"/>
    <mergeCell ref="Y93:AB93"/>
    <mergeCell ref="AC93:AF93"/>
    <mergeCell ref="A94:AF94"/>
    <mergeCell ref="A95:F96"/>
    <mergeCell ref="G95:H96"/>
    <mergeCell ref="I95:P95"/>
    <mergeCell ref="Q95:X95"/>
    <mergeCell ref="Y95:AF95"/>
    <mergeCell ref="I96:L96"/>
    <mergeCell ref="M96:P96"/>
    <mergeCell ref="Q96:T96"/>
    <mergeCell ref="U96:X96"/>
    <mergeCell ref="Y96:AB96"/>
    <mergeCell ref="AC96:AF96"/>
    <mergeCell ref="A97:F97"/>
    <mergeCell ref="G97:H97"/>
    <mergeCell ref="I97:L97"/>
    <mergeCell ref="M97:P97"/>
    <mergeCell ref="Q97:T97"/>
    <mergeCell ref="U97:X97"/>
    <mergeCell ref="Y97:AB97"/>
    <mergeCell ref="AC97:AF97"/>
    <mergeCell ref="A98:F98"/>
    <mergeCell ref="G98:H98"/>
    <mergeCell ref="I98:L98"/>
    <mergeCell ref="M98:P98"/>
    <mergeCell ref="Q98:T98"/>
    <mergeCell ref="U98:X98"/>
    <mergeCell ref="Y98:AB98"/>
    <mergeCell ref="AC98:AF98"/>
    <mergeCell ref="A99:F99"/>
    <mergeCell ref="G99:H99"/>
    <mergeCell ref="I99:L99"/>
    <mergeCell ref="M99:P99"/>
    <mergeCell ref="Q99:T99"/>
    <mergeCell ref="U99:X99"/>
    <mergeCell ref="Y99:AB99"/>
    <mergeCell ref="AC99:AF99"/>
    <mergeCell ref="A100:F100"/>
    <mergeCell ref="G100:H100"/>
    <mergeCell ref="I100:L100"/>
    <mergeCell ref="M100:P100"/>
    <mergeCell ref="Q100:T100"/>
    <mergeCell ref="U100:X100"/>
    <mergeCell ref="Y100:AB100"/>
    <mergeCell ref="AC100:AF100"/>
    <mergeCell ref="A101:F101"/>
    <mergeCell ref="G101:H101"/>
    <mergeCell ref="I101:L101"/>
    <mergeCell ref="M101:P101"/>
    <mergeCell ref="Q101:T101"/>
    <mergeCell ref="U101:X101"/>
    <mergeCell ref="Y101:AB101"/>
    <mergeCell ref="AC101:AF101"/>
    <mergeCell ref="A102:F102"/>
    <mergeCell ref="G102:H102"/>
    <mergeCell ref="I102:L102"/>
    <mergeCell ref="M102:P102"/>
    <mergeCell ref="Q102:T102"/>
    <mergeCell ref="U102:X102"/>
    <mergeCell ref="Y102:AB102"/>
    <mergeCell ref="AC102:AF102"/>
    <mergeCell ref="A103:F103"/>
    <mergeCell ref="G103:H103"/>
    <mergeCell ref="I103:L103"/>
    <mergeCell ref="M103:P103"/>
    <mergeCell ref="Q103:T103"/>
    <mergeCell ref="U103:X103"/>
    <mergeCell ref="Y103:AB103"/>
    <mergeCell ref="AC103:AF103"/>
    <mergeCell ref="A104:F104"/>
    <mergeCell ref="G104:H104"/>
    <mergeCell ref="I104:L104"/>
    <mergeCell ref="M104:P104"/>
    <mergeCell ref="Q104:T104"/>
    <mergeCell ref="U104:X104"/>
    <mergeCell ref="Y104:AB104"/>
    <mergeCell ref="AC104:AF104"/>
    <mergeCell ref="A107:H107"/>
    <mergeCell ref="I107:P107"/>
    <mergeCell ref="Q107:X107"/>
    <mergeCell ref="Y107:AF107"/>
    <mergeCell ref="A108:H108"/>
    <mergeCell ref="I108:P108"/>
    <mergeCell ref="Q108:X108"/>
    <mergeCell ref="Y108:AF108"/>
    <mergeCell ref="A109:H109"/>
    <mergeCell ref="I109:P109"/>
    <mergeCell ref="Q109:X109"/>
    <mergeCell ref="Y109:AF109"/>
    <mergeCell ref="A110:H110"/>
    <mergeCell ref="I110:P110"/>
    <mergeCell ref="Q110:X110"/>
    <mergeCell ref="Y110:AF110"/>
    <mergeCell ref="A111:H111"/>
    <mergeCell ref="I111:P111"/>
    <mergeCell ref="Q111:X111"/>
    <mergeCell ref="Y111:AF111"/>
    <mergeCell ref="A112:H112"/>
    <mergeCell ref="I112:P112"/>
    <mergeCell ref="Q112:X112"/>
    <mergeCell ref="Y112:AF112"/>
    <mergeCell ref="A113:H113"/>
    <mergeCell ref="I113:P113"/>
    <mergeCell ref="Q113:X113"/>
    <mergeCell ref="Y113:AF113"/>
    <mergeCell ref="A114:H114"/>
    <mergeCell ref="I114:P114"/>
    <mergeCell ref="Q114:X114"/>
    <mergeCell ref="Y114:AF114"/>
    <mergeCell ref="A115:H115"/>
    <mergeCell ref="I115:P115"/>
    <mergeCell ref="Q115:X115"/>
    <mergeCell ref="Y115:AF115"/>
    <mergeCell ref="A116:H116"/>
    <mergeCell ref="I116:P116"/>
    <mergeCell ref="Q116:X116"/>
    <mergeCell ref="Y116:AF116"/>
    <mergeCell ref="A117:H117"/>
    <mergeCell ref="I117:P117"/>
    <mergeCell ref="Q117:X117"/>
    <mergeCell ref="Y117:AF117"/>
    <mergeCell ref="A118:H118"/>
    <mergeCell ref="I118:P118"/>
    <mergeCell ref="Q118:X118"/>
    <mergeCell ref="Y118:AF118"/>
    <mergeCell ref="I124:P124"/>
    <mergeCell ref="Q124:X124"/>
    <mergeCell ref="Y124:AF124"/>
    <mergeCell ref="A119:H119"/>
    <mergeCell ref="I119:P119"/>
    <mergeCell ref="Q119:X119"/>
    <mergeCell ref="Y119:AF119"/>
    <mergeCell ref="A120:H120"/>
    <mergeCell ref="I120:P120"/>
    <mergeCell ref="Q120:X120"/>
    <mergeCell ref="Y120:AF120"/>
    <mergeCell ref="A121:H121"/>
    <mergeCell ref="I121:P121"/>
    <mergeCell ref="Q121:X121"/>
    <mergeCell ref="Y121:AF121"/>
    <mergeCell ref="B137:AF137"/>
    <mergeCell ref="B138:AF138"/>
    <mergeCell ref="B139:AF139"/>
    <mergeCell ref="B140:AF140"/>
    <mergeCell ref="A3:AF3"/>
    <mergeCell ref="B5:AF5"/>
    <mergeCell ref="A127:AF127"/>
    <mergeCell ref="B129:AF129"/>
    <mergeCell ref="B130:AF130"/>
    <mergeCell ref="B131:AF131"/>
    <mergeCell ref="B132:AF132"/>
    <mergeCell ref="B133:AF133"/>
    <mergeCell ref="B134:AF134"/>
    <mergeCell ref="B135:AF135"/>
    <mergeCell ref="B136:AF136"/>
    <mergeCell ref="A122:H122"/>
    <mergeCell ref="I122:P122"/>
    <mergeCell ref="Q122:X122"/>
    <mergeCell ref="Y122:AF122"/>
    <mergeCell ref="A123:H123"/>
    <mergeCell ref="I123:P123"/>
    <mergeCell ref="Q123:X123"/>
    <mergeCell ref="Y123:AF123"/>
    <mergeCell ref="A124:H124"/>
  </mergeCells>
  <hyperlinks>
    <hyperlink ref="A2" location="TOC!A1" display="Return to TOC" xr:uid="{C57E0302-84C1-47ED-9BF7-7AD65CBD1D23}"/>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tabColor theme="7" tint="0.79998168889431442"/>
    <pageSetUpPr autoPageBreaks="0"/>
  </sheetPr>
  <dimension ref="A1:BU106"/>
  <sheetViews>
    <sheetView workbookViewId="0">
      <selection activeCell="A2" sqref="A2"/>
    </sheetView>
  </sheetViews>
  <sheetFormatPr defaultColWidth="2.7109375" defaultRowHeight="15" x14ac:dyDescent="0.25"/>
  <cols>
    <col min="1" max="16384" width="2.7109375" style="1"/>
  </cols>
  <sheetData>
    <row r="1" spans="1:73" customFormat="1" ht="18.75" x14ac:dyDescent="0.25">
      <c r="A1" s="1464" t="s">
        <v>1131</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G1" s="1"/>
      <c r="AH1" s="1"/>
      <c r="AI1" s="1"/>
      <c r="AJ1" s="1"/>
      <c r="AK1" s="1"/>
      <c r="AL1" s="902"/>
      <c r="AM1" s="1"/>
    </row>
    <row r="2" spans="1:73" customFormat="1" ht="18.75" x14ac:dyDescent="0.25">
      <c r="A2" s="655"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1"/>
      <c r="AH2" s="1"/>
      <c r="AI2" s="1"/>
      <c r="AJ2" s="1"/>
      <c r="AK2" s="1"/>
      <c r="AL2" s="893"/>
      <c r="AM2" s="1"/>
    </row>
    <row r="3" spans="1:73" customForma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c r="AG3" s="1"/>
      <c r="AH3" s="1"/>
      <c r="AI3" s="1"/>
      <c r="AL3" s="839"/>
    </row>
    <row r="4" spans="1:73" customForma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1"/>
      <c r="AH4" s="1"/>
      <c r="AI4" s="1"/>
      <c r="AL4" s="839"/>
    </row>
    <row r="5" spans="1:73" customFormat="1" x14ac:dyDescent="0.25">
      <c r="A5" s="262"/>
      <c r="B5" s="1589" t="s">
        <v>5830</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
      <c r="AH5" s="1"/>
      <c r="AI5" s="1"/>
      <c r="AL5" s="624"/>
    </row>
    <row r="6" spans="1:73" customFormat="1" x14ac:dyDescent="0.25">
      <c r="A6" s="227"/>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L6" s="839"/>
    </row>
    <row r="7" spans="1:73" customFormat="1"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c r="AG7" s="1"/>
      <c r="AH7" s="1"/>
      <c r="AI7" s="1"/>
      <c r="AJ7" s="1"/>
      <c r="AK7" s="1"/>
      <c r="AL7" s="839"/>
      <c r="AM7" s="1"/>
    </row>
    <row r="8" spans="1:73" customFormat="1" x14ac:dyDescent="0.25">
      <c r="A8" s="19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G8" s="1"/>
      <c r="AH8" s="1"/>
      <c r="AI8" s="1"/>
      <c r="AJ8" s="1"/>
      <c r="AK8" s="1"/>
      <c r="AL8" s="839"/>
      <c r="AM8" s="1"/>
    </row>
    <row r="9" spans="1:73" customFormat="1"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c r="AG9" s="1"/>
      <c r="AH9" s="1"/>
      <c r="AI9" s="1"/>
      <c r="AJ9" s="1"/>
      <c r="AK9" s="1"/>
      <c r="AL9" s="839"/>
      <c r="AM9" s="1"/>
    </row>
    <row r="10" spans="1:73" customFormat="1" ht="108.75" customHeight="1" x14ac:dyDescent="0.25">
      <c r="A10" s="263"/>
      <c r="B10" s="1173" t="s">
        <v>6119</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G10" s="4"/>
      <c r="AH10" s="4"/>
      <c r="AI10" s="4"/>
      <c r="AJ10" s="4"/>
      <c r="AK10" s="4"/>
      <c r="AL10" s="624"/>
      <c r="AM10" s="885"/>
      <c r="AN10" s="885"/>
      <c r="AO10" s="885"/>
      <c r="AP10" s="885"/>
      <c r="AQ10" s="885"/>
      <c r="AR10" s="885"/>
      <c r="AS10" s="885"/>
      <c r="AT10" s="885"/>
      <c r="AU10" s="885"/>
      <c r="AV10" s="885"/>
      <c r="AW10" s="885"/>
      <c r="AX10" s="885"/>
      <c r="AY10" s="885"/>
      <c r="AZ10" s="885"/>
      <c r="BA10" s="885"/>
      <c r="BB10" s="885"/>
      <c r="BC10" s="885"/>
      <c r="BD10" s="885"/>
      <c r="BE10" s="885"/>
      <c r="BF10" s="885"/>
      <c r="BG10" s="885"/>
      <c r="BH10" s="885"/>
      <c r="BI10" s="885"/>
      <c r="BJ10" s="885"/>
      <c r="BK10" s="885"/>
      <c r="BL10" s="885"/>
      <c r="BM10" s="885"/>
      <c r="BN10" s="885"/>
      <c r="BO10" s="885"/>
      <c r="BP10" s="885"/>
      <c r="BQ10" s="885"/>
      <c r="BR10" s="885"/>
      <c r="BS10" s="885"/>
      <c r="BT10" s="885"/>
      <c r="BU10" s="885"/>
    </row>
    <row r="11" spans="1:73" customFormat="1"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G11" s="1"/>
      <c r="AH11" s="1"/>
      <c r="AI11" s="1"/>
      <c r="AJ11" s="1"/>
      <c r="AK11" s="1"/>
      <c r="AL11" s="839"/>
      <c r="AM11" s="1"/>
    </row>
    <row r="12" spans="1:73" customFormat="1"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1"/>
      <c r="AH12" s="1"/>
      <c r="AI12" s="1"/>
      <c r="AJ12" s="1"/>
      <c r="AK12" s="1"/>
      <c r="AL12" s="839"/>
      <c r="AM12" s="1"/>
    </row>
    <row r="13" spans="1:73" customFormat="1" ht="63" customHeight="1" x14ac:dyDescent="0.25">
      <c r="A13" s="262"/>
      <c r="B13" s="1173" t="s">
        <v>6120</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G13" s="1"/>
      <c r="AH13" s="1"/>
      <c r="AI13" s="1"/>
      <c r="AJ13" s="1"/>
      <c r="AK13" s="1"/>
      <c r="AL13" s="624"/>
      <c r="AM13" s="885"/>
      <c r="AN13" s="885"/>
      <c r="AO13" s="885"/>
      <c r="AP13" s="885"/>
      <c r="AQ13" s="885"/>
      <c r="AR13" s="885"/>
      <c r="AS13" s="885"/>
      <c r="AT13" s="885"/>
      <c r="AU13" s="885"/>
      <c r="AV13" s="885"/>
      <c r="AW13" s="885"/>
      <c r="AX13" s="885"/>
      <c r="AY13" s="885"/>
      <c r="AZ13" s="885"/>
      <c r="BA13" s="885"/>
      <c r="BB13" s="885"/>
      <c r="BC13" s="885"/>
      <c r="BD13" s="885"/>
      <c r="BE13" s="885"/>
      <c r="BF13" s="885"/>
      <c r="BG13" s="885"/>
      <c r="BH13" s="885"/>
      <c r="BI13" s="885"/>
      <c r="BJ13" s="885"/>
      <c r="BK13" s="885"/>
      <c r="BL13" s="885"/>
      <c r="BM13" s="885"/>
      <c r="BN13" s="885"/>
      <c r="BO13" s="885"/>
      <c r="BP13" s="885"/>
      <c r="BQ13" s="885"/>
      <c r="BR13" s="885"/>
      <c r="BS13" s="885"/>
      <c r="BT13" s="885"/>
      <c r="BU13" s="885"/>
    </row>
    <row r="14" spans="1:73" customFormat="1" x14ac:dyDescent="0.25">
      <c r="A14" s="262"/>
      <c r="B14" s="647"/>
      <c r="C14" s="647"/>
      <c r="D14" s="647"/>
      <c r="E14" s="647"/>
      <c r="F14" s="647"/>
      <c r="G14" s="647"/>
      <c r="H14" s="647"/>
      <c r="I14" s="647"/>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c r="AG14" s="1"/>
      <c r="AH14" s="1"/>
      <c r="AI14" s="1"/>
      <c r="AJ14" s="1"/>
      <c r="AK14" s="1"/>
      <c r="AL14" s="885"/>
      <c r="AM14" s="885"/>
      <c r="AN14" s="885"/>
      <c r="AO14" s="885"/>
      <c r="AP14" s="885"/>
      <c r="AQ14" s="885"/>
      <c r="AR14" s="885"/>
      <c r="AS14" s="885"/>
      <c r="AT14" s="885"/>
      <c r="AU14" s="885"/>
      <c r="AV14" s="885"/>
      <c r="AW14" s="885"/>
      <c r="AX14" s="885"/>
      <c r="AY14" s="885"/>
      <c r="AZ14" s="885"/>
      <c r="BA14" s="885"/>
      <c r="BB14" s="885"/>
      <c r="BC14" s="885"/>
      <c r="BD14" s="885"/>
      <c r="BE14" s="885"/>
      <c r="BF14" s="885"/>
      <c r="BG14" s="885"/>
      <c r="BH14" s="885"/>
      <c r="BI14" s="885"/>
      <c r="BJ14" s="885"/>
      <c r="BK14" s="885"/>
      <c r="BL14" s="885"/>
      <c r="BM14" s="885"/>
      <c r="BN14" s="885"/>
      <c r="BO14" s="885"/>
      <c r="BP14" s="885"/>
      <c r="BQ14" s="885"/>
      <c r="BR14" s="885"/>
      <c r="BS14" s="885"/>
      <c r="BT14" s="885"/>
      <c r="BU14" s="885"/>
    </row>
    <row r="15" spans="1:73" customFormat="1" ht="30.75" customHeight="1" x14ac:dyDescent="0.25">
      <c r="A15" s="262"/>
      <c r="B15" s="1868" t="s">
        <v>6164</v>
      </c>
      <c r="C15" s="1868"/>
      <c r="D15" s="1868"/>
      <c r="E15" s="1868"/>
      <c r="F15" s="1868"/>
      <c r="G15" s="1868"/>
      <c r="H15" s="1868"/>
      <c r="I15" s="1868"/>
      <c r="J15" s="1868"/>
      <c r="K15" s="1868"/>
      <c r="L15" s="1868"/>
      <c r="M15" s="1868"/>
      <c r="N15" s="1868"/>
      <c r="O15" s="1868"/>
      <c r="P15" s="1868"/>
      <c r="Q15" s="1868"/>
      <c r="R15" s="1868"/>
      <c r="S15" s="1868"/>
      <c r="T15" s="1868"/>
      <c r="U15" s="1868"/>
      <c r="V15" s="1868"/>
      <c r="W15" s="1868"/>
      <c r="X15" s="1868"/>
      <c r="Y15" s="1868"/>
      <c r="Z15" s="1868"/>
      <c r="AA15" s="1868"/>
      <c r="AB15" s="1868"/>
      <c r="AC15" s="1868"/>
      <c r="AD15" s="1868"/>
      <c r="AE15" s="1868"/>
      <c r="AF15" s="1868"/>
      <c r="AG15" s="1"/>
      <c r="AH15" s="1"/>
      <c r="AI15" s="1"/>
      <c r="AJ15" s="1"/>
      <c r="AK15" s="1"/>
      <c r="AL15" s="624"/>
      <c r="AM15" s="885"/>
      <c r="AN15" s="885"/>
      <c r="AO15" s="885"/>
      <c r="AP15" s="885"/>
      <c r="AQ15" s="885"/>
      <c r="AR15" s="885"/>
      <c r="AS15" s="885"/>
      <c r="AT15" s="885"/>
      <c r="AU15" s="885"/>
      <c r="AV15" s="885"/>
      <c r="AW15" s="885"/>
      <c r="AX15" s="885"/>
      <c r="AY15" s="885"/>
      <c r="AZ15" s="885"/>
      <c r="BA15" s="885"/>
      <c r="BB15" s="885"/>
      <c r="BC15" s="885"/>
      <c r="BD15" s="885"/>
      <c r="BE15" s="885"/>
      <c r="BF15" s="885"/>
      <c r="BG15" s="885"/>
      <c r="BH15" s="885"/>
      <c r="BI15" s="885"/>
      <c r="BJ15" s="885"/>
      <c r="BK15" s="885"/>
      <c r="BL15" s="885"/>
      <c r="BM15" s="885"/>
      <c r="BN15" s="885"/>
      <c r="BO15" s="885"/>
      <c r="BP15" s="885"/>
      <c r="BQ15" s="885"/>
      <c r="BR15" s="885"/>
      <c r="BS15" s="885"/>
      <c r="BT15" s="885"/>
      <c r="BU15" s="885"/>
    </row>
    <row r="16" spans="1:73" customFormat="1" x14ac:dyDescent="0.25">
      <c r="A16" s="262"/>
      <c r="B16" s="1869" t="s">
        <v>6121</v>
      </c>
      <c r="C16" s="1869"/>
      <c r="D16" s="1869"/>
      <c r="E16" s="1869"/>
      <c r="F16" s="1869"/>
      <c r="G16" s="1869"/>
      <c r="H16" s="1869"/>
      <c r="I16" s="1869"/>
      <c r="J16" s="1869"/>
      <c r="K16" s="1869"/>
      <c r="L16" s="1869"/>
      <c r="M16" s="1869"/>
      <c r="N16" s="1869"/>
      <c r="O16" s="1869"/>
      <c r="P16" s="1869"/>
      <c r="Q16" s="1869"/>
      <c r="R16" s="1869" t="s">
        <v>6122</v>
      </c>
      <c r="S16" s="1869"/>
      <c r="T16" s="1869"/>
      <c r="U16" s="1869"/>
      <c r="V16" s="1869"/>
      <c r="W16" s="1869"/>
      <c r="X16" s="1869"/>
      <c r="Y16" s="1869"/>
      <c r="Z16" s="1869"/>
      <c r="AA16" s="1869"/>
      <c r="AB16" s="1869"/>
      <c r="AC16" s="1869"/>
      <c r="AD16" s="1869"/>
      <c r="AE16" s="1869"/>
      <c r="AF16" s="1869"/>
      <c r="AG16" s="1"/>
      <c r="AH16" s="1"/>
      <c r="AI16" s="1"/>
      <c r="AJ16" s="1"/>
      <c r="AK16" s="1"/>
      <c r="AL16" s="893"/>
      <c r="AM16" s="885"/>
      <c r="AN16" s="885"/>
      <c r="AO16" s="885"/>
      <c r="AP16" s="885"/>
      <c r="AQ16" s="885"/>
      <c r="AR16" s="885"/>
      <c r="AS16" s="885"/>
      <c r="AT16" s="885"/>
      <c r="AU16" s="885"/>
      <c r="AV16" s="885"/>
      <c r="AW16" s="885"/>
      <c r="AX16" s="885"/>
      <c r="AY16" s="885"/>
      <c r="AZ16" s="885"/>
      <c r="BA16" s="885"/>
      <c r="BB16" s="885"/>
      <c r="BC16" s="885"/>
      <c r="BD16" s="885"/>
      <c r="BE16" s="885"/>
      <c r="BF16" s="839"/>
      <c r="BG16" s="885"/>
      <c r="BH16" s="885"/>
      <c r="BI16" s="885"/>
      <c r="BJ16" s="885"/>
      <c r="BK16" s="885"/>
      <c r="BL16" s="885"/>
      <c r="BM16" s="885"/>
      <c r="BN16" s="885"/>
      <c r="BO16" s="885"/>
      <c r="BP16" s="885"/>
      <c r="BQ16" s="885"/>
      <c r="BR16" s="885"/>
      <c r="BS16" s="885"/>
      <c r="BT16" s="885"/>
      <c r="BU16" s="885"/>
    </row>
    <row r="17" spans="1:73" customFormat="1" x14ac:dyDescent="0.25">
      <c r="A17" s="262"/>
      <c r="B17" s="1730" t="s">
        <v>5845</v>
      </c>
      <c r="C17" s="1731"/>
      <c r="D17" s="1731"/>
      <c r="E17" s="1731"/>
      <c r="F17" s="1731"/>
      <c r="G17" s="1731"/>
      <c r="H17" s="1731"/>
      <c r="I17" s="1731"/>
      <c r="J17" s="1731"/>
      <c r="K17" s="1731"/>
      <c r="L17" s="1731"/>
      <c r="M17" s="1731"/>
      <c r="N17" s="1731"/>
      <c r="O17" s="1731"/>
      <c r="P17" s="1731"/>
      <c r="Q17" s="1732"/>
      <c r="R17" s="1870">
        <v>1</v>
      </c>
      <c r="S17" s="1871"/>
      <c r="T17" s="1871"/>
      <c r="U17" s="1871"/>
      <c r="V17" s="1871"/>
      <c r="W17" s="1871"/>
      <c r="X17" s="1871"/>
      <c r="Y17" s="1871"/>
      <c r="Z17" s="1871"/>
      <c r="AA17" s="1871"/>
      <c r="AB17" s="1871"/>
      <c r="AC17" s="1871"/>
      <c r="AD17" s="1871"/>
      <c r="AE17" s="1871"/>
      <c r="AF17" s="1871"/>
      <c r="AG17" s="1"/>
      <c r="AH17" s="1"/>
      <c r="AI17" s="1"/>
      <c r="AJ17" s="1"/>
      <c r="AK17" s="1"/>
      <c r="AL17" s="885"/>
      <c r="AM17" s="885"/>
      <c r="AN17" s="885"/>
      <c r="AO17" s="885"/>
      <c r="AP17" s="885"/>
      <c r="AQ17" s="885"/>
      <c r="AR17" s="885"/>
      <c r="AS17" s="885"/>
      <c r="AT17" s="885"/>
      <c r="AU17" s="885"/>
      <c r="AV17" s="885"/>
      <c r="AW17" s="885"/>
      <c r="AX17" s="885"/>
      <c r="AY17" s="885"/>
      <c r="AZ17" s="885"/>
      <c r="BA17" s="885"/>
      <c r="BB17" s="885"/>
      <c r="BC17" s="885"/>
      <c r="BD17" s="885"/>
      <c r="BE17" s="885"/>
      <c r="BF17" s="885"/>
      <c r="BG17" s="885"/>
      <c r="BH17" s="885"/>
      <c r="BI17" s="885"/>
      <c r="BJ17" s="885"/>
      <c r="BK17" s="885"/>
      <c r="BL17" s="885"/>
      <c r="BM17" s="885"/>
      <c r="BN17" s="885"/>
      <c r="BO17" s="885"/>
      <c r="BP17" s="885"/>
      <c r="BQ17" s="885"/>
      <c r="BR17" s="885"/>
      <c r="BS17" s="885"/>
      <c r="BT17" s="885"/>
      <c r="BU17" s="885"/>
    </row>
    <row r="18" spans="1:73" customFormat="1" x14ac:dyDescent="0.25">
      <c r="A18" s="262"/>
      <c r="B18" s="1730" t="s">
        <v>5848</v>
      </c>
      <c r="C18" s="1731"/>
      <c r="D18" s="1731"/>
      <c r="E18" s="1731"/>
      <c r="F18" s="1731"/>
      <c r="G18" s="1731"/>
      <c r="H18" s="1731"/>
      <c r="I18" s="1731"/>
      <c r="J18" s="1731"/>
      <c r="K18" s="1731"/>
      <c r="L18" s="1731"/>
      <c r="M18" s="1731"/>
      <c r="N18" s="1731"/>
      <c r="O18" s="1731"/>
      <c r="P18" s="1731"/>
      <c r="Q18" s="1732"/>
      <c r="R18" s="1870">
        <v>1.2</v>
      </c>
      <c r="S18" s="1871"/>
      <c r="T18" s="1871"/>
      <c r="U18" s="1871"/>
      <c r="V18" s="1871"/>
      <c r="W18" s="1871"/>
      <c r="X18" s="1871"/>
      <c r="Y18" s="1871"/>
      <c r="Z18" s="1871"/>
      <c r="AA18" s="1871"/>
      <c r="AB18" s="1871"/>
      <c r="AC18" s="1871"/>
      <c r="AD18" s="1871"/>
      <c r="AE18" s="1871"/>
      <c r="AF18" s="1871"/>
      <c r="AG18" s="1"/>
      <c r="AH18" s="1"/>
      <c r="AI18" s="1"/>
      <c r="AJ18" s="1"/>
      <c r="AK18" s="1"/>
      <c r="AL18" s="885"/>
      <c r="AM18" s="885"/>
      <c r="AN18" s="885"/>
      <c r="AO18" s="885"/>
      <c r="AP18" s="885"/>
      <c r="AQ18" s="885"/>
      <c r="AR18" s="885"/>
      <c r="AS18" s="885"/>
      <c r="AT18" s="885"/>
      <c r="AU18" s="885"/>
      <c r="AV18" s="885"/>
      <c r="AW18" s="885"/>
      <c r="AX18" s="885"/>
      <c r="AY18" s="885"/>
      <c r="AZ18" s="885"/>
      <c r="BA18" s="885"/>
      <c r="BB18" s="885"/>
      <c r="BC18" s="885"/>
      <c r="BD18" s="885"/>
      <c r="BE18" s="885"/>
      <c r="BF18" s="885"/>
      <c r="BG18" s="885"/>
      <c r="BH18" s="885"/>
      <c r="BI18" s="885"/>
      <c r="BJ18" s="885"/>
      <c r="BK18" s="885"/>
      <c r="BL18" s="885"/>
      <c r="BM18" s="885"/>
      <c r="BN18" s="885"/>
      <c r="BO18" s="885"/>
      <c r="BP18" s="885"/>
      <c r="BQ18" s="885"/>
      <c r="BR18" s="885"/>
      <c r="BS18" s="885"/>
      <c r="BT18" s="885"/>
      <c r="BU18" s="885"/>
    </row>
    <row r="19" spans="1:73" customFormat="1" x14ac:dyDescent="0.25">
      <c r="A19" s="262"/>
      <c r="B19" s="1730" t="s">
        <v>5850</v>
      </c>
      <c r="C19" s="1731"/>
      <c r="D19" s="1731"/>
      <c r="E19" s="1731"/>
      <c r="F19" s="1731"/>
      <c r="G19" s="1731"/>
      <c r="H19" s="1731"/>
      <c r="I19" s="1731"/>
      <c r="J19" s="1731"/>
      <c r="K19" s="1731"/>
      <c r="L19" s="1731"/>
      <c r="M19" s="1731"/>
      <c r="N19" s="1731"/>
      <c r="O19" s="1731"/>
      <c r="P19" s="1731"/>
      <c r="Q19" s="1732"/>
      <c r="R19" s="1870">
        <v>1.28</v>
      </c>
      <c r="S19" s="1871"/>
      <c r="T19" s="1871"/>
      <c r="U19" s="1871"/>
      <c r="V19" s="1871"/>
      <c r="W19" s="1871"/>
      <c r="X19" s="1871"/>
      <c r="Y19" s="1871"/>
      <c r="Z19" s="1871"/>
      <c r="AA19" s="1871"/>
      <c r="AB19" s="1871"/>
      <c r="AC19" s="1871"/>
      <c r="AD19" s="1871"/>
      <c r="AE19" s="1871"/>
      <c r="AF19" s="1871"/>
      <c r="AG19" s="1"/>
      <c r="AH19" s="1"/>
      <c r="AI19" s="1"/>
      <c r="AJ19" s="1"/>
      <c r="AK19" s="1"/>
      <c r="AL19" s="885"/>
      <c r="AM19" s="885"/>
      <c r="AN19" s="885"/>
      <c r="AO19" s="885"/>
      <c r="AP19" s="885"/>
      <c r="AQ19" s="885"/>
      <c r="AR19" s="885"/>
      <c r="AS19" s="885"/>
      <c r="AT19" s="885"/>
      <c r="AU19" s="885"/>
      <c r="AV19" s="885"/>
      <c r="AW19" s="885"/>
      <c r="AX19" s="885"/>
      <c r="AY19" s="885"/>
      <c r="AZ19" s="885"/>
      <c r="BA19" s="885"/>
      <c r="BB19" s="885"/>
      <c r="BC19" s="885"/>
      <c r="BD19" s="885"/>
      <c r="BE19" s="885"/>
      <c r="BF19" s="885"/>
      <c r="BG19" s="885"/>
      <c r="BH19" s="885"/>
      <c r="BI19" s="885"/>
      <c r="BJ19" s="885"/>
      <c r="BK19" s="885"/>
      <c r="BL19" s="885"/>
      <c r="BM19" s="885"/>
      <c r="BN19" s="885"/>
      <c r="BO19" s="885"/>
      <c r="BP19" s="885"/>
      <c r="BQ19" s="885"/>
      <c r="BR19" s="885"/>
      <c r="BS19" s="885"/>
      <c r="BT19" s="885"/>
      <c r="BU19" s="885"/>
    </row>
    <row r="20" spans="1:73" customFormat="1" x14ac:dyDescent="0.25">
      <c r="A20" s="262"/>
      <c r="B20" s="635" t="s">
        <v>1048</v>
      </c>
      <c r="C20" s="870"/>
      <c r="D20" s="870"/>
      <c r="E20" s="870"/>
      <c r="F20" s="870"/>
      <c r="G20" s="870"/>
      <c r="H20" s="870"/>
      <c r="I20" s="870"/>
      <c r="J20" s="870"/>
      <c r="K20" s="870"/>
      <c r="L20" s="870"/>
      <c r="M20" s="870"/>
      <c r="N20" s="870"/>
      <c r="O20" s="870"/>
      <c r="P20" s="870"/>
      <c r="Q20" s="870"/>
      <c r="R20" s="903"/>
      <c r="S20" s="904"/>
      <c r="T20" s="904"/>
      <c r="U20" s="904"/>
      <c r="V20" s="904"/>
      <c r="W20" s="904"/>
      <c r="X20" s="904"/>
      <c r="Y20" s="904"/>
      <c r="Z20" s="904"/>
      <c r="AA20" s="904"/>
      <c r="AB20" s="904"/>
      <c r="AC20" s="904"/>
      <c r="AD20" s="904"/>
      <c r="AE20" s="904"/>
      <c r="AF20" s="904"/>
      <c r="AG20" s="1"/>
      <c r="AH20" s="1"/>
      <c r="AI20" s="1"/>
      <c r="AJ20" s="1"/>
      <c r="AK20" s="1"/>
      <c r="AL20" s="885"/>
      <c r="AM20" s="885"/>
      <c r="AN20" s="885"/>
      <c r="AO20" s="885"/>
      <c r="AP20" s="885"/>
      <c r="AQ20" s="885"/>
      <c r="AR20" s="885"/>
      <c r="AS20" s="885"/>
      <c r="AT20" s="885"/>
      <c r="AU20" s="885"/>
      <c r="AV20" s="885"/>
      <c r="AW20" s="885"/>
      <c r="AX20" s="885"/>
      <c r="AY20" s="885"/>
      <c r="AZ20" s="885"/>
      <c r="BA20" s="885"/>
      <c r="BB20" s="885"/>
      <c r="BC20" s="885"/>
      <c r="BD20" s="885"/>
      <c r="BE20" s="885"/>
      <c r="BF20" s="885"/>
      <c r="BG20" s="885"/>
      <c r="BH20" s="885"/>
      <c r="BI20" s="885"/>
      <c r="BJ20" s="885"/>
      <c r="BK20" s="885"/>
      <c r="BL20" s="885"/>
      <c r="BM20" s="885"/>
      <c r="BN20" s="885"/>
      <c r="BO20" s="885"/>
      <c r="BP20" s="885"/>
      <c r="BQ20" s="885"/>
      <c r="BR20" s="885"/>
      <c r="BS20" s="885"/>
      <c r="BT20" s="885"/>
      <c r="BU20" s="885"/>
    </row>
    <row r="21" spans="1:73" customFormat="1" ht="39" customHeight="1" x14ac:dyDescent="0.25">
      <c r="A21" s="262"/>
      <c r="B21" s="1686" t="s">
        <v>6123</v>
      </c>
      <c r="C21" s="1686"/>
      <c r="D21" s="1686"/>
      <c r="E21" s="1686"/>
      <c r="F21" s="1686"/>
      <c r="G21" s="1686"/>
      <c r="H21" s="1686"/>
      <c r="I21" s="1686"/>
      <c r="J21" s="1686"/>
      <c r="K21" s="1686"/>
      <c r="L21" s="1686"/>
      <c r="M21" s="1686"/>
      <c r="N21" s="1686"/>
      <c r="O21" s="1686"/>
      <c r="P21" s="1686"/>
      <c r="Q21" s="1686"/>
      <c r="R21" s="1686"/>
      <c r="S21" s="1686"/>
      <c r="T21" s="1686"/>
      <c r="U21" s="1686"/>
      <c r="V21" s="1686"/>
      <c r="W21" s="1686"/>
      <c r="X21" s="1686"/>
      <c r="Y21" s="1686"/>
      <c r="Z21" s="1686"/>
      <c r="AA21" s="1686"/>
      <c r="AB21" s="1686"/>
      <c r="AC21" s="1686"/>
      <c r="AD21" s="1686"/>
      <c r="AE21" s="1686"/>
      <c r="AF21" s="1686"/>
      <c r="AG21" s="1"/>
      <c r="AH21" s="1"/>
      <c r="AI21" s="1"/>
      <c r="AJ21" s="1"/>
      <c r="AK21" s="1"/>
      <c r="AL21" s="885"/>
      <c r="AM21" s="885"/>
      <c r="AN21" s="885"/>
      <c r="AO21" s="885"/>
      <c r="AP21" s="885"/>
      <c r="AQ21" s="885"/>
      <c r="AR21" s="885"/>
      <c r="AS21" s="885"/>
      <c r="AT21" s="885"/>
      <c r="AU21" s="885"/>
      <c r="AV21" s="885"/>
      <c r="AW21" s="885"/>
      <c r="AX21" s="885"/>
      <c r="AY21" s="885"/>
      <c r="AZ21" s="885"/>
      <c r="BA21" s="885"/>
      <c r="BB21" s="885"/>
      <c r="BC21" s="885"/>
      <c r="BD21" s="885"/>
      <c r="BE21" s="885"/>
      <c r="BF21" s="885"/>
      <c r="BG21" s="885"/>
      <c r="BH21" s="885"/>
      <c r="BI21" s="885"/>
      <c r="BJ21" s="885"/>
      <c r="BK21" s="885"/>
      <c r="BL21" s="885"/>
      <c r="BM21" s="885"/>
      <c r="BN21" s="885"/>
      <c r="BO21" s="885"/>
      <c r="BP21" s="885"/>
      <c r="BQ21" s="885"/>
      <c r="BR21" s="885"/>
      <c r="BS21" s="885"/>
      <c r="BT21" s="885"/>
      <c r="BU21" s="885"/>
    </row>
    <row r="22" spans="1:73" customFormat="1" x14ac:dyDescent="0.25">
      <c r="A22" s="262"/>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c r="AG22" s="1"/>
      <c r="AH22" s="1"/>
      <c r="AI22" s="1"/>
      <c r="AJ22" s="1"/>
      <c r="AK22" s="1"/>
      <c r="AL22" s="885"/>
      <c r="AM22" s="885"/>
      <c r="AN22" s="885"/>
      <c r="AO22" s="885"/>
      <c r="AP22" s="885"/>
      <c r="AQ22" s="885"/>
      <c r="AR22" s="885"/>
      <c r="AS22" s="885"/>
      <c r="AT22" s="885"/>
      <c r="AU22" s="885"/>
      <c r="AV22" s="885"/>
      <c r="AW22" s="885"/>
      <c r="AX22" s="885"/>
      <c r="AY22" s="885"/>
      <c r="AZ22" s="885"/>
      <c r="BA22" s="885"/>
      <c r="BB22" s="885"/>
      <c r="BC22" s="885"/>
      <c r="BD22" s="885"/>
      <c r="BE22" s="885"/>
      <c r="BF22" s="885"/>
      <c r="BG22" s="885"/>
      <c r="BH22" s="885"/>
      <c r="BI22" s="885"/>
      <c r="BJ22" s="885"/>
      <c r="BK22" s="885"/>
      <c r="BL22" s="885"/>
      <c r="BM22" s="885"/>
      <c r="BN22" s="885"/>
      <c r="BO22" s="885"/>
      <c r="BP22" s="885"/>
      <c r="BQ22" s="885"/>
      <c r="BR22" s="885"/>
      <c r="BS22" s="885"/>
      <c r="BT22" s="885"/>
      <c r="BU22" s="885"/>
    </row>
    <row r="23" spans="1:73" customFormat="1" x14ac:dyDescent="0.25">
      <c r="A23" s="262"/>
      <c r="B23" s="1845" t="s">
        <v>12</v>
      </c>
      <c r="C23" s="1845"/>
      <c r="D23" s="1845"/>
      <c r="E23" s="1845"/>
      <c r="F23" s="1845"/>
      <c r="G23" s="1845"/>
      <c r="H23" s="1845"/>
      <c r="I23" s="1845"/>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G23" s="1"/>
      <c r="AH23" s="1"/>
      <c r="AI23" s="1"/>
      <c r="AJ23" s="1"/>
      <c r="AK23" s="1"/>
      <c r="AL23" s="839"/>
      <c r="AM23" s="1"/>
    </row>
    <row r="24" spans="1:73" customFormat="1" x14ac:dyDescent="0.25">
      <c r="A24" s="262"/>
      <c r="B24" s="1703" t="s">
        <v>6124</v>
      </c>
      <c r="C24" s="1703"/>
      <c r="D24" s="1703"/>
      <c r="E24" s="1703"/>
      <c r="F24" s="1703"/>
      <c r="G24" s="1703"/>
      <c r="H24" s="1703"/>
      <c r="I24" s="1703"/>
      <c r="J24" s="1703"/>
      <c r="K24" s="1703"/>
      <c r="L24" s="1703"/>
      <c r="M24" s="1703"/>
      <c r="N24" s="1703"/>
      <c r="O24" s="1703"/>
      <c r="P24" s="1703"/>
      <c r="Q24" s="1703"/>
      <c r="R24" s="1703"/>
      <c r="S24" s="1703"/>
      <c r="T24" s="1703"/>
      <c r="U24" s="1703"/>
      <c r="V24" s="1703"/>
      <c r="W24" s="1703"/>
      <c r="X24" s="1703"/>
      <c r="Y24" s="1703"/>
      <c r="Z24" s="1703"/>
      <c r="AA24" s="1703"/>
      <c r="AB24" s="1703"/>
      <c r="AC24" s="1703"/>
      <c r="AD24" s="1703"/>
      <c r="AE24" s="1703"/>
      <c r="AF24" s="1703"/>
      <c r="AG24" s="1"/>
      <c r="AH24" s="1"/>
      <c r="AI24" s="1"/>
      <c r="AJ24" s="1"/>
      <c r="AK24" s="1"/>
      <c r="AL24" s="839"/>
      <c r="AM24" s="1"/>
    </row>
    <row r="25" spans="1:73" customFormat="1" x14ac:dyDescent="0.25">
      <c r="A25" s="262"/>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1"/>
      <c r="AH25" s="1"/>
      <c r="AI25" s="1"/>
      <c r="AJ25" s="1"/>
      <c r="AK25" s="1"/>
      <c r="AL25" s="839"/>
      <c r="AM25" s="1"/>
    </row>
    <row r="26" spans="1:73" customFormat="1" x14ac:dyDescent="0.25">
      <c r="A26" s="262"/>
      <c r="B26" s="1845" t="s">
        <v>13</v>
      </c>
      <c r="C26" s="1845"/>
      <c r="D26" s="1845"/>
      <c r="E26" s="1845"/>
      <c r="F26" s="1845"/>
      <c r="G26" s="1845"/>
      <c r="H26" s="1845"/>
      <c r="I26" s="1845"/>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c r="AG26" s="1"/>
      <c r="AH26" s="1"/>
      <c r="AI26" s="1"/>
      <c r="AJ26" s="1"/>
      <c r="AK26" s="1"/>
      <c r="AL26" s="839"/>
      <c r="AM26" s="1"/>
    </row>
    <row r="27" spans="1:73" customFormat="1" ht="50.25" customHeight="1" x14ac:dyDescent="0.25">
      <c r="A27" s="262"/>
      <c r="B27" s="1173" t="s">
        <v>6165</v>
      </c>
      <c r="C27" s="1173"/>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c r="AE27" s="1173"/>
      <c r="AF27" s="1173"/>
      <c r="AG27" s="1"/>
      <c r="AH27" s="1"/>
      <c r="AI27" s="1"/>
      <c r="AJ27" s="1"/>
      <c r="AK27" s="1"/>
      <c r="AL27" s="624"/>
      <c r="AM27" s="624"/>
      <c r="AN27" s="624"/>
      <c r="AO27" s="624"/>
      <c r="AP27" s="624"/>
      <c r="AQ27" s="624"/>
      <c r="AR27" s="624"/>
      <c r="AS27" s="624"/>
      <c r="AT27" s="624"/>
      <c r="AU27" s="624"/>
      <c r="AV27" s="624"/>
      <c r="AW27" s="624"/>
      <c r="AX27" s="624"/>
      <c r="AY27" s="624"/>
      <c r="AZ27" s="624"/>
      <c r="BA27" s="624"/>
      <c r="BB27" s="624"/>
      <c r="BC27" s="624"/>
      <c r="BD27" s="624"/>
      <c r="BE27" s="624"/>
      <c r="BF27" s="624"/>
      <c r="BG27" s="624"/>
      <c r="BH27" s="624"/>
      <c r="BI27" s="624"/>
      <c r="BJ27" s="624"/>
      <c r="BK27" s="624"/>
      <c r="BL27" s="624"/>
      <c r="BM27" s="624"/>
      <c r="BN27" s="624"/>
      <c r="BO27" s="624"/>
      <c r="BP27" s="624"/>
      <c r="BQ27" s="624"/>
      <c r="BR27" s="624"/>
      <c r="BS27" s="624"/>
      <c r="BT27" s="624"/>
      <c r="BU27" s="624"/>
    </row>
    <row r="28" spans="1:73" customFormat="1" x14ac:dyDescent="0.25">
      <c r="A28" s="262"/>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1"/>
      <c r="AH28" s="1"/>
      <c r="AI28" s="1"/>
      <c r="AJ28" s="1"/>
      <c r="AK28" s="1"/>
      <c r="AL28" s="839"/>
      <c r="AM28" s="1"/>
    </row>
    <row r="29" spans="1:73" customFormat="1" x14ac:dyDescent="0.25">
      <c r="A29" s="262"/>
      <c r="B29" s="414" t="s">
        <v>20</v>
      </c>
      <c r="C29" s="414"/>
      <c r="D29" s="414"/>
      <c r="E29" s="414"/>
      <c r="F29" s="414"/>
      <c r="G29" s="414"/>
      <c r="H29" s="414"/>
      <c r="I29" s="414"/>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1"/>
      <c r="AH29" s="1"/>
      <c r="AI29" s="1"/>
      <c r="AJ29" s="1"/>
      <c r="AK29" s="1"/>
      <c r="AL29" s="839"/>
      <c r="AM29" s="1"/>
    </row>
    <row r="30" spans="1:73" customFormat="1" ht="51" customHeight="1" x14ac:dyDescent="0.25">
      <c r="A30" s="262"/>
      <c r="B30" s="1173" t="s">
        <v>6166</v>
      </c>
      <c r="C30" s="1173"/>
      <c r="D30" s="1173"/>
      <c r="E30" s="1173"/>
      <c r="F30" s="1173"/>
      <c r="G30" s="1173"/>
      <c r="H30" s="1173"/>
      <c r="I30" s="1173"/>
      <c r="J30" s="1173"/>
      <c r="K30" s="1173"/>
      <c r="L30" s="1173"/>
      <c r="M30" s="1173"/>
      <c r="N30" s="1173"/>
      <c r="O30" s="1173"/>
      <c r="P30" s="1173"/>
      <c r="Q30" s="1173"/>
      <c r="R30" s="1173"/>
      <c r="S30" s="1173"/>
      <c r="T30" s="1173"/>
      <c r="U30" s="1173"/>
      <c r="V30" s="1173"/>
      <c r="W30" s="1173"/>
      <c r="X30" s="1173"/>
      <c r="Y30" s="1173"/>
      <c r="Z30" s="1173"/>
      <c r="AA30" s="1173"/>
      <c r="AB30" s="1173"/>
      <c r="AC30" s="1173"/>
      <c r="AD30" s="1173"/>
      <c r="AE30" s="1173"/>
      <c r="AF30" s="1173"/>
      <c r="AG30" s="1"/>
      <c r="AH30" s="1"/>
      <c r="AI30" s="1"/>
      <c r="AJ30" s="1"/>
      <c r="AK30" s="1"/>
      <c r="AL30" s="624"/>
      <c r="AM30" s="624"/>
      <c r="AN30" s="624"/>
      <c r="AO30" s="624"/>
      <c r="AP30" s="624"/>
      <c r="AQ30" s="624"/>
      <c r="AR30" s="624"/>
      <c r="AS30" s="624"/>
      <c r="AT30" s="624"/>
      <c r="AU30" s="624"/>
      <c r="AV30" s="624"/>
      <c r="AW30" s="624"/>
      <c r="AX30" s="624"/>
      <c r="AY30" s="624"/>
      <c r="AZ30" s="624"/>
      <c r="BA30" s="624"/>
      <c r="BB30" s="624"/>
      <c r="BC30" s="624"/>
      <c r="BD30" s="624"/>
      <c r="BE30" s="624"/>
      <c r="BF30" s="624"/>
      <c r="BG30" s="624"/>
      <c r="BH30" s="624"/>
      <c r="BI30" s="624"/>
      <c r="BJ30" s="624"/>
      <c r="BK30" s="624"/>
      <c r="BL30" s="624"/>
      <c r="BM30" s="624"/>
      <c r="BN30" s="624"/>
      <c r="BO30" s="624"/>
      <c r="BP30" s="624"/>
      <c r="BQ30" s="624"/>
      <c r="BR30" s="624"/>
      <c r="BS30" s="624"/>
      <c r="BT30" s="624"/>
      <c r="BU30" s="624"/>
    </row>
    <row r="31" spans="1:73" customFormat="1" x14ac:dyDescent="0.25">
      <c r="A31" s="262"/>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1"/>
      <c r="AH31" s="1"/>
      <c r="AI31" s="1"/>
      <c r="AJ31" s="1"/>
      <c r="AK31" s="1"/>
      <c r="AL31" s="839"/>
      <c r="AM31" s="1"/>
    </row>
    <row r="32" spans="1:73" customFormat="1" x14ac:dyDescent="0.25">
      <c r="A32" s="262"/>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1"/>
      <c r="AH32" s="1"/>
      <c r="AI32" s="1"/>
      <c r="AJ32" s="1"/>
      <c r="AK32" s="1"/>
      <c r="AL32" s="839"/>
      <c r="AM32" s="1"/>
    </row>
    <row r="33" spans="1:71" customFormat="1" x14ac:dyDescent="0.25">
      <c r="A33" s="1621" t="s">
        <v>14</v>
      </c>
      <c r="B33" s="1621"/>
      <c r="C33" s="1621"/>
      <c r="D33" s="1621"/>
      <c r="E33" s="1621"/>
      <c r="F33" s="1621"/>
      <c r="G33" s="1621"/>
      <c r="H33" s="1621"/>
      <c r="I33" s="1621"/>
      <c r="J33" s="1621"/>
      <c r="K33" s="1621"/>
      <c r="L33" s="1621"/>
      <c r="M33" s="1621"/>
      <c r="N33" s="1621"/>
      <c r="O33" s="1621"/>
      <c r="P33" s="1621"/>
      <c r="Q33" s="1621"/>
      <c r="R33" s="1621"/>
      <c r="S33" s="1621"/>
      <c r="T33" s="1621"/>
      <c r="U33" s="1621"/>
      <c r="V33" s="1621"/>
      <c r="W33" s="1621"/>
      <c r="X33" s="1621"/>
      <c r="Y33" s="1621"/>
      <c r="Z33" s="1621"/>
      <c r="AA33" s="1621"/>
      <c r="AB33" s="1621"/>
      <c r="AC33" s="1621"/>
      <c r="AD33" s="1621"/>
      <c r="AE33" s="1621"/>
      <c r="AF33" s="1621"/>
      <c r="AG33" s="1"/>
      <c r="AH33" s="1"/>
      <c r="AI33" s="1"/>
      <c r="AJ33" s="1"/>
      <c r="AK33" s="1"/>
      <c r="AL33" s="839"/>
      <c r="AM33" s="1"/>
    </row>
    <row r="34" spans="1:71" customFormat="1" x14ac:dyDescent="0.25">
      <c r="A34" s="262"/>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1"/>
      <c r="AH34" s="1"/>
      <c r="AI34" s="1"/>
      <c r="AJ34" s="1"/>
      <c r="AK34" s="1"/>
      <c r="AL34" s="839"/>
      <c r="AM34" s="1"/>
      <c r="BG34" s="692"/>
      <c r="BS34" s="692"/>
    </row>
    <row r="35" spans="1:71" customFormat="1" x14ac:dyDescent="0.25">
      <c r="A35" s="519" t="s">
        <v>2194</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1"/>
      <c r="AH35" s="1"/>
      <c r="AI35" s="1"/>
      <c r="AJ35" s="1"/>
      <c r="AK35" s="1"/>
      <c r="AL35" s="624"/>
      <c r="AM35" s="1"/>
      <c r="BG35" s="692"/>
      <c r="BS35" s="692"/>
    </row>
    <row r="36" spans="1:71" customFormat="1" x14ac:dyDescent="0.25">
      <c r="A36" s="262"/>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1"/>
      <c r="AH36" s="1"/>
      <c r="AI36" s="1"/>
      <c r="AJ36" s="1"/>
      <c r="AK36" s="1"/>
      <c r="AL36" s="839"/>
      <c r="AM36" s="1"/>
      <c r="BG36" s="692"/>
      <c r="BS36" s="692"/>
    </row>
    <row r="37" spans="1:71" customFormat="1" ht="42" customHeight="1" x14ac:dyDescent="0.25">
      <c r="A37" s="262"/>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419" t="s">
        <v>1705</v>
      </c>
      <c r="AG37" s="1"/>
      <c r="AH37" s="1"/>
      <c r="AI37" s="1"/>
      <c r="AJ37" s="1"/>
      <c r="AK37" s="1"/>
      <c r="AL37" s="839"/>
      <c r="AM37" s="1"/>
      <c r="BG37" s="692"/>
      <c r="BS37" s="692"/>
    </row>
    <row r="38" spans="1:71" customFormat="1" x14ac:dyDescent="0.25">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1"/>
      <c r="AH38" s="1"/>
      <c r="AI38" s="1"/>
      <c r="AJ38" s="1"/>
      <c r="AK38" s="1"/>
      <c r="AL38" s="839"/>
      <c r="AM38" s="1"/>
      <c r="BG38" s="692"/>
      <c r="BS38" s="692"/>
    </row>
    <row r="39" spans="1:71" customFormat="1" x14ac:dyDescent="0.25">
      <c r="A39" s="519" t="s">
        <v>2303</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1"/>
      <c r="AH39" s="1"/>
      <c r="AI39" s="1"/>
      <c r="AJ39" s="1"/>
      <c r="AK39" s="1"/>
      <c r="AL39" s="624"/>
      <c r="AM39" s="1"/>
      <c r="BG39" s="692"/>
      <c r="BS39" s="692"/>
    </row>
    <row r="40" spans="1:71" customFormat="1" x14ac:dyDescent="0.25">
      <c r="A40" s="262"/>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1"/>
      <c r="AH40" s="1"/>
      <c r="AI40" s="1"/>
      <c r="AJ40" s="1"/>
      <c r="AK40" s="1"/>
      <c r="AL40" s="839"/>
      <c r="AM40" s="1"/>
      <c r="BG40" s="692"/>
      <c r="BS40" s="692"/>
    </row>
    <row r="41" spans="1:71" customFormat="1" ht="27" customHeight="1" x14ac:dyDescent="0.25">
      <c r="A41" s="262"/>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419" t="s">
        <v>1706</v>
      </c>
      <c r="AG41" s="1"/>
      <c r="AH41" s="1"/>
      <c r="AI41" s="1"/>
      <c r="AJ41" s="1"/>
      <c r="AK41" s="1"/>
      <c r="AL41" s="839"/>
      <c r="AM41" s="1"/>
      <c r="BG41" s="692"/>
      <c r="BS41" s="692"/>
    </row>
    <row r="42" spans="1:71" customFormat="1" x14ac:dyDescent="0.25">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1"/>
      <c r="AH42" s="1"/>
      <c r="AI42" s="1"/>
      <c r="AJ42" s="1"/>
      <c r="AK42" s="1"/>
      <c r="AL42" s="839"/>
      <c r="AM42" s="1"/>
      <c r="BG42" s="692"/>
      <c r="BS42" s="692"/>
    </row>
    <row r="43" spans="1:71" customFormat="1" x14ac:dyDescent="0.25">
      <c r="A43" s="519" t="s">
        <v>1998</v>
      </c>
      <c r="B43" s="869"/>
      <c r="C43" s="869"/>
      <c r="D43" s="869"/>
      <c r="E43" s="869"/>
      <c r="F43" s="869"/>
      <c r="G43" s="869"/>
      <c r="H43" s="339"/>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
      <c r="AH43" s="1"/>
      <c r="AI43" s="1"/>
      <c r="AL43" s="624"/>
      <c r="BG43" s="692"/>
    </row>
    <row r="44" spans="1:71" customFormat="1" x14ac:dyDescent="0.25">
      <c r="A44" s="905"/>
      <c r="B44" s="262"/>
      <c r="C44" s="262"/>
      <c r="D44" s="262"/>
      <c r="E44" s="262"/>
      <c r="F44" s="262"/>
      <c r="G44" s="262"/>
      <c r="H44" s="419"/>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1"/>
      <c r="AH44" s="1"/>
      <c r="AI44" s="1"/>
      <c r="AL44" s="839"/>
    </row>
    <row r="45" spans="1:71" customFormat="1" ht="20.25" customHeight="1" x14ac:dyDescent="0.25">
      <c r="A45" s="262"/>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419" t="s">
        <v>1707</v>
      </c>
      <c r="AG45" s="1"/>
      <c r="AH45" s="1"/>
      <c r="AI45" s="1"/>
      <c r="AL45" s="839"/>
    </row>
    <row r="46" spans="1:71" customFormat="1" x14ac:dyDescent="0.25">
      <c r="A46" s="262"/>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1"/>
      <c r="AH46" s="1"/>
      <c r="AI46" s="1"/>
      <c r="AJ46" s="1"/>
      <c r="AK46" s="1"/>
      <c r="AL46" s="839"/>
      <c r="AM46" s="1"/>
    </row>
    <row r="47" spans="1:71" customFormat="1" x14ac:dyDescent="0.25">
      <c r="A47" s="262"/>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1"/>
      <c r="AH47" s="1"/>
      <c r="AI47" s="1"/>
      <c r="AJ47" s="1"/>
      <c r="AK47" s="1"/>
      <c r="AL47" s="839"/>
      <c r="AM47" s="1"/>
    </row>
    <row r="48" spans="1:71" customFormat="1" x14ac:dyDescent="0.25">
      <c r="A48" s="1621" t="s">
        <v>15</v>
      </c>
      <c r="B48" s="1621"/>
      <c r="C48" s="1621"/>
      <c r="D48" s="1621"/>
      <c r="E48" s="1621"/>
      <c r="F48" s="1621"/>
      <c r="G48" s="1621"/>
      <c r="H48" s="1621"/>
      <c r="I48" s="1621"/>
      <c r="J48" s="1621"/>
      <c r="K48" s="1621"/>
      <c r="L48" s="1621"/>
      <c r="M48" s="1621"/>
      <c r="N48" s="1621"/>
      <c r="O48" s="1621"/>
      <c r="P48" s="1621"/>
      <c r="Q48" s="1621"/>
      <c r="R48" s="1621"/>
      <c r="S48" s="1621"/>
      <c r="T48" s="1621"/>
      <c r="U48" s="1621"/>
      <c r="V48" s="1621"/>
      <c r="W48" s="1621"/>
      <c r="X48" s="1621"/>
      <c r="Y48" s="1621"/>
      <c r="Z48" s="1621"/>
      <c r="AA48" s="1621"/>
      <c r="AB48" s="1621"/>
      <c r="AC48" s="1621"/>
      <c r="AD48" s="1621"/>
      <c r="AE48" s="1621"/>
      <c r="AF48" s="1621"/>
      <c r="AG48" s="1"/>
      <c r="AH48" s="1"/>
      <c r="AI48" s="1"/>
      <c r="AJ48" s="1"/>
      <c r="AK48" s="1"/>
      <c r="AL48" s="839"/>
      <c r="AM48" s="1"/>
    </row>
    <row r="49" spans="1:39" customFormat="1" x14ac:dyDescent="0.25">
      <c r="A49" s="1735" t="s">
        <v>16</v>
      </c>
      <c r="B49" s="1735"/>
      <c r="C49" s="1735"/>
      <c r="D49" s="1735"/>
      <c r="E49" s="1735" t="s">
        <v>10</v>
      </c>
      <c r="F49" s="1735"/>
      <c r="G49" s="1735"/>
      <c r="H49" s="1735"/>
      <c r="I49" s="1735"/>
      <c r="J49" s="1735"/>
      <c r="K49" s="1735"/>
      <c r="L49" s="1735"/>
      <c r="M49" s="1735"/>
      <c r="N49" s="1735"/>
      <c r="O49" s="1735"/>
      <c r="P49" s="1735"/>
      <c r="Q49" s="1735" t="s">
        <v>17</v>
      </c>
      <c r="R49" s="1735"/>
      <c r="S49" s="1735"/>
      <c r="T49" s="1735"/>
      <c r="U49" s="1735" t="s">
        <v>18</v>
      </c>
      <c r="V49" s="1735"/>
      <c r="W49" s="1735"/>
      <c r="X49" s="1735"/>
      <c r="Y49" s="1735" t="s">
        <v>1708</v>
      </c>
      <c r="Z49" s="1735"/>
      <c r="AA49" s="1735"/>
      <c r="AB49" s="1735"/>
      <c r="AC49" s="1735"/>
      <c r="AD49" s="1735"/>
      <c r="AE49" s="1735"/>
      <c r="AF49" s="1735"/>
      <c r="AG49" s="1"/>
      <c r="AH49" s="1"/>
      <c r="AI49" s="1"/>
      <c r="AJ49" s="1"/>
      <c r="AK49" s="1"/>
      <c r="AL49" s="624"/>
      <c r="AM49" s="1"/>
    </row>
    <row r="50" spans="1:39" customFormat="1" ht="122.25" customHeight="1" x14ac:dyDescent="0.25">
      <c r="A50" s="1132" t="s">
        <v>6167</v>
      </c>
      <c r="B50" s="1132"/>
      <c r="C50" s="1132"/>
      <c r="D50" s="1132"/>
      <c r="E50" s="1133" t="s">
        <v>6125</v>
      </c>
      <c r="F50" s="1133"/>
      <c r="G50" s="1133"/>
      <c r="H50" s="1133"/>
      <c r="I50" s="1133"/>
      <c r="J50" s="1133"/>
      <c r="K50" s="1133"/>
      <c r="L50" s="1133"/>
      <c r="M50" s="1133"/>
      <c r="N50" s="1133"/>
      <c r="O50" s="1133"/>
      <c r="P50" s="1133"/>
      <c r="Q50" s="1841">
        <v>1.2</v>
      </c>
      <c r="R50" s="1841"/>
      <c r="S50" s="1841"/>
      <c r="T50" s="1841"/>
      <c r="U50" s="1841" t="s">
        <v>6126</v>
      </c>
      <c r="V50" s="1841"/>
      <c r="W50" s="1841"/>
      <c r="X50" s="1841"/>
      <c r="Y50" s="1133" t="s">
        <v>6127</v>
      </c>
      <c r="Z50" s="1132"/>
      <c r="AA50" s="1132"/>
      <c r="AB50" s="1132"/>
      <c r="AC50" s="1132"/>
      <c r="AD50" s="1132"/>
      <c r="AE50" s="1132"/>
      <c r="AF50" s="1132"/>
      <c r="AG50" s="1"/>
      <c r="AH50" s="1"/>
      <c r="AI50" s="1"/>
      <c r="AJ50" s="1"/>
      <c r="AK50" s="1"/>
      <c r="AL50" s="624"/>
      <c r="AM50" s="1"/>
    </row>
    <row r="51" spans="1:39" customFormat="1" ht="89.25" customHeight="1" x14ac:dyDescent="0.25">
      <c r="A51" s="1132" t="s">
        <v>6168</v>
      </c>
      <c r="B51" s="1132"/>
      <c r="C51" s="1132"/>
      <c r="D51" s="1132"/>
      <c r="E51" s="1133" t="s">
        <v>6128</v>
      </c>
      <c r="F51" s="1133"/>
      <c r="G51" s="1133"/>
      <c r="H51" s="1133"/>
      <c r="I51" s="1133"/>
      <c r="J51" s="1133"/>
      <c r="K51" s="1133"/>
      <c r="L51" s="1133"/>
      <c r="M51" s="1133"/>
      <c r="N51" s="1133"/>
      <c r="O51" s="1133"/>
      <c r="P51" s="1133"/>
      <c r="Q51" s="1841">
        <v>1.07</v>
      </c>
      <c r="R51" s="1841"/>
      <c r="S51" s="1841"/>
      <c r="T51" s="1841"/>
      <c r="U51" s="1841" t="s">
        <v>6126</v>
      </c>
      <c r="V51" s="1841"/>
      <c r="W51" s="1841"/>
      <c r="X51" s="1841"/>
      <c r="Y51" s="1133" t="s">
        <v>6129</v>
      </c>
      <c r="Z51" s="1132"/>
      <c r="AA51" s="1132"/>
      <c r="AB51" s="1132"/>
      <c r="AC51" s="1132"/>
      <c r="AD51" s="1132"/>
      <c r="AE51" s="1132"/>
      <c r="AF51" s="1132"/>
      <c r="AG51" s="1"/>
      <c r="AH51" s="1"/>
      <c r="AI51" s="1"/>
      <c r="AJ51" s="1"/>
      <c r="AK51" s="1"/>
      <c r="AL51" s="624"/>
      <c r="AM51" s="1"/>
    </row>
    <row r="52" spans="1:39" customFormat="1" ht="41.25" customHeight="1" x14ac:dyDescent="0.25">
      <c r="A52" s="1132" t="s">
        <v>6169</v>
      </c>
      <c r="B52" s="1132"/>
      <c r="C52" s="1132"/>
      <c r="D52" s="1132"/>
      <c r="E52" s="1133" t="s">
        <v>6130</v>
      </c>
      <c r="F52" s="1133"/>
      <c r="G52" s="1133"/>
      <c r="H52" s="1133"/>
      <c r="I52" s="1133"/>
      <c r="J52" s="1133"/>
      <c r="K52" s="1133"/>
      <c r="L52" s="1133"/>
      <c r="M52" s="1133"/>
      <c r="N52" s="1133"/>
      <c r="O52" s="1133"/>
      <c r="P52" s="1133"/>
      <c r="Q52" s="1841">
        <v>120</v>
      </c>
      <c r="R52" s="1841"/>
      <c r="S52" s="1841"/>
      <c r="T52" s="1841"/>
      <c r="U52" s="1841" t="s">
        <v>6131</v>
      </c>
      <c r="V52" s="1841"/>
      <c r="W52" s="1841"/>
      <c r="X52" s="1841"/>
      <c r="Y52" s="1133" t="s">
        <v>6170</v>
      </c>
      <c r="Z52" s="1132"/>
      <c r="AA52" s="1132"/>
      <c r="AB52" s="1132"/>
      <c r="AC52" s="1132"/>
      <c r="AD52" s="1132"/>
      <c r="AE52" s="1132"/>
      <c r="AF52" s="1132"/>
      <c r="AG52" s="1"/>
      <c r="AH52" s="1"/>
      <c r="AI52" s="1"/>
      <c r="AJ52" s="1"/>
      <c r="AK52" s="1"/>
      <c r="AL52" s="624"/>
      <c r="AM52" s="1"/>
    </row>
    <row r="53" spans="1:39" customFormat="1" ht="57" customHeight="1" x14ac:dyDescent="0.25">
      <c r="A53" s="1132" t="s">
        <v>6171</v>
      </c>
      <c r="B53" s="1132"/>
      <c r="C53" s="1132"/>
      <c r="D53" s="1132"/>
      <c r="E53" s="1132" t="s">
        <v>125</v>
      </c>
      <c r="F53" s="1132"/>
      <c r="G53" s="1132"/>
      <c r="H53" s="1132"/>
      <c r="I53" s="1132"/>
      <c r="J53" s="1132"/>
      <c r="K53" s="1132"/>
      <c r="L53" s="1132"/>
      <c r="M53" s="1132"/>
      <c r="N53" s="1132"/>
      <c r="O53" s="1132"/>
      <c r="P53" s="1132"/>
      <c r="Q53" s="1674" t="s">
        <v>1106</v>
      </c>
      <c r="R53" s="1674"/>
      <c r="S53" s="1674"/>
      <c r="T53" s="1674"/>
      <c r="U53" s="1841" t="s">
        <v>6132</v>
      </c>
      <c r="V53" s="1841"/>
      <c r="W53" s="1841"/>
      <c r="X53" s="1841"/>
      <c r="Y53" s="1133" t="s">
        <v>6172</v>
      </c>
      <c r="Z53" s="1132"/>
      <c r="AA53" s="1132"/>
      <c r="AB53" s="1132"/>
      <c r="AC53" s="1132"/>
      <c r="AD53" s="1132"/>
      <c r="AE53" s="1132"/>
      <c r="AF53" s="1132"/>
      <c r="AG53" s="1"/>
      <c r="AH53" s="1"/>
      <c r="AI53" s="1"/>
      <c r="AJ53" s="1"/>
      <c r="AK53" s="1"/>
      <c r="AL53" s="624"/>
      <c r="AM53" s="1"/>
    </row>
    <row r="54" spans="1:39" customFormat="1" ht="35.25" customHeight="1" x14ac:dyDescent="0.25">
      <c r="A54" s="1867" t="s">
        <v>1713</v>
      </c>
      <c r="B54" s="1866"/>
      <c r="C54" s="1866"/>
      <c r="D54" s="1866"/>
      <c r="E54" s="1132" t="s">
        <v>1714</v>
      </c>
      <c r="F54" s="1132"/>
      <c r="G54" s="1132"/>
      <c r="H54" s="1132"/>
      <c r="I54" s="1132"/>
      <c r="J54" s="1132"/>
      <c r="K54" s="1132"/>
      <c r="L54" s="1132"/>
      <c r="M54" s="1132"/>
      <c r="N54" s="1132"/>
      <c r="O54" s="1132"/>
      <c r="P54" s="1132"/>
      <c r="Q54" s="1674">
        <v>8.3000000000000007</v>
      </c>
      <c r="R54" s="1674"/>
      <c r="S54" s="1674"/>
      <c r="T54" s="1674"/>
      <c r="U54" s="1841" t="s">
        <v>6173</v>
      </c>
      <c r="V54" s="1841"/>
      <c r="W54" s="1841"/>
      <c r="X54" s="1841"/>
      <c r="Y54" s="1865" t="s">
        <v>28</v>
      </c>
      <c r="Z54" s="1674"/>
      <c r="AA54" s="1674"/>
      <c r="AB54" s="1674"/>
      <c r="AC54" s="1674"/>
      <c r="AD54" s="1674"/>
      <c r="AE54" s="1674"/>
      <c r="AF54" s="1674"/>
      <c r="AG54" s="1"/>
      <c r="AH54" s="1"/>
      <c r="AI54" s="1"/>
      <c r="AJ54" s="1"/>
      <c r="AK54" s="1"/>
      <c r="AL54" s="624"/>
      <c r="AM54" s="1"/>
    </row>
    <row r="55" spans="1:39" customFormat="1" ht="27.75" customHeight="1" x14ac:dyDescent="0.25">
      <c r="A55" s="1866" t="s">
        <v>6174</v>
      </c>
      <c r="B55" s="1866"/>
      <c r="C55" s="1866"/>
      <c r="D55" s="1866"/>
      <c r="E55" s="1132" t="s">
        <v>1718</v>
      </c>
      <c r="F55" s="1132"/>
      <c r="G55" s="1132"/>
      <c r="H55" s="1132"/>
      <c r="I55" s="1132"/>
      <c r="J55" s="1132"/>
      <c r="K55" s="1132"/>
      <c r="L55" s="1132"/>
      <c r="M55" s="1132"/>
      <c r="N55" s="1132"/>
      <c r="O55" s="1132"/>
      <c r="P55" s="1132"/>
      <c r="Q55" s="1841">
        <v>1</v>
      </c>
      <c r="R55" s="1841"/>
      <c r="S55" s="1841"/>
      <c r="T55" s="1841"/>
      <c r="U55" s="1841" t="s">
        <v>6175</v>
      </c>
      <c r="V55" s="1841"/>
      <c r="W55" s="1841"/>
      <c r="X55" s="1841"/>
      <c r="Y55" s="1865" t="s">
        <v>28</v>
      </c>
      <c r="Z55" s="1674"/>
      <c r="AA55" s="1674"/>
      <c r="AB55" s="1674"/>
      <c r="AC55" s="1674"/>
      <c r="AD55" s="1674"/>
      <c r="AE55" s="1674"/>
      <c r="AF55" s="1674"/>
      <c r="AG55" s="1"/>
      <c r="AH55" s="1"/>
      <c r="AI55" s="1"/>
      <c r="AJ55" s="1"/>
      <c r="AK55" s="1"/>
      <c r="AL55" s="624"/>
      <c r="AM55" s="1"/>
    </row>
    <row r="56" spans="1:39" customFormat="1" ht="27.75" customHeight="1" x14ac:dyDescent="0.25">
      <c r="A56" s="1132" t="s">
        <v>6176</v>
      </c>
      <c r="B56" s="1132"/>
      <c r="C56" s="1132"/>
      <c r="D56" s="1132"/>
      <c r="E56" s="1132" t="s">
        <v>6133</v>
      </c>
      <c r="F56" s="1132"/>
      <c r="G56" s="1132"/>
      <c r="H56" s="1132"/>
      <c r="I56" s="1132"/>
      <c r="J56" s="1132"/>
      <c r="K56" s="1132"/>
      <c r="L56" s="1132"/>
      <c r="M56" s="1132"/>
      <c r="N56" s="1132"/>
      <c r="O56" s="1132"/>
      <c r="P56" s="1132"/>
      <c r="Q56" s="1674">
        <v>114.1</v>
      </c>
      <c r="R56" s="1674"/>
      <c r="S56" s="1674"/>
      <c r="T56" s="1674"/>
      <c r="U56" s="1841" t="s">
        <v>166</v>
      </c>
      <c r="V56" s="1841"/>
      <c r="W56" s="1841"/>
      <c r="X56" s="1841"/>
      <c r="Y56" s="1133" t="s">
        <v>6177</v>
      </c>
      <c r="Z56" s="1133"/>
      <c r="AA56" s="1133"/>
      <c r="AB56" s="1133"/>
      <c r="AC56" s="1133"/>
      <c r="AD56" s="1133"/>
      <c r="AE56" s="1133"/>
      <c r="AF56" s="1133"/>
      <c r="AG56" s="1"/>
      <c r="AH56" s="1"/>
      <c r="AI56" s="1"/>
      <c r="AJ56" s="1"/>
      <c r="AK56" s="1"/>
      <c r="AL56" s="624"/>
      <c r="AM56" s="1"/>
    </row>
    <row r="57" spans="1:39" customFormat="1" ht="27.75" customHeight="1" x14ac:dyDescent="0.25">
      <c r="A57" s="1132" t="s">
        <v>6178</v>
      </c>
      <c r="B57" s="1132"/>
      <c r="C57" s="1132"/>
      <c r="D57" s="1132"/>
      <c r="E57" s="1132" t="s">
        <v>6134</v>
      </c>
      <c r="F57" s="1132"/>
      <c r="G57" s="1132"/>
      <c r="H57" s="1132"/>
      <c r="I57" s="1132"/>
      <c r="J57" s="1132"/>
      <c r="K57" s="1132"/>
      <c r="L57" s="1132"/>
      <c r="M57" s="1132"/>
      <c r="N57" s="1132"/>
      <c r="O57" s="1132"/>
      <c r="P57" s="1132"/>
      <c r="Q57" s="1674">
        <v>75</v>
      </c>
      <c r="R57" s="1674"/>
      <c r="S57" s="1674"/>
      <c r="T57" s="1674"/>
      <c r="U57" s="1841" t="s">
        <v>166</v>
      </c>
      <c r="V57" s="1841"/>
      <c r="W57" s="1841"/>
      <c r="X57" s="1841"/>
      <c r="Y57" s="1133" t="s">
        <v>6179</v>
      </c>
      <c r="Z57" s="1133"/>
      <c r="AA57" s="1133"/>
      <c r="AB57" s="1133"/>
      <c r="AC57" s="1133"/>
      <c r="AD57" s="1133"/>
      <c r="AE57" s="1133"/>
      <c r="AF57" s="1133"/>
      <c r="AG57" s="1"/>
      <c r="AH57" s="1"/>
      <c r="AI57" s="1"/>
      <c r="AJ57" s="1"/>
      <c r="AK57" s="1"/>
      <c r="AL57" s="624"/>
      <c r="AM57" s="1"/>
    </row>
    <row r="58" spans="1:39" customFormat="1" ht="102" customHeight="1" x14ac:dyDescent="0.25">
      <c r="A58" s="1132" t="s">
        <v>6135</v>
      </c>
      <c r="B58" s="1132"/>
      <c r="C58" s="1132"/>
      <c r="D58" s="1132"/>
      <c r="E58" s="1132" t="s">
        <v>6136</v>
      </c>
      <c r="F58" s="1132"/>
      <c r="G58" s="1132"/>
      <c r="H58" s="1132"/>
      <c r="I58" s="1132"/>
      <c r="J58" s="1132"/>
      <c r="K58" s="1132"/>
      <c r="L58" s="1132"/>
      <c r="M58" s="1132"/>
      <c r="N58" s="1132"/>
      <c r="O58" s="1132"/>
      <c r="P58" s="1132"/>
      <c r="Q58" s="1674" t="s">
        <v>1106</v>
      </c>
      <c r="R58" s="1674"/>
      <c r="S58" s="1674"/>
      <c r="T58" s="1674"/>
      <c r="U58" s="1841" t="s">
        <v>28</v>
      </c>
      <c r="V58" s="1841"/>
      <c r="W58" s="1841"/>
      <c r="X58" s="1841"/>
      <c r="Y58" s="1133" t="s">
        <v>6180</v>
      </c>
      <c r="Z58" s="1133"/>
      <c r="AA58" s="1133"/>
      <c r="AB58" s="1133"/>
      <c r="AC58" s="1133"/>
      <c r="AD58" s="1133"/>
      <c r="AE58" s="1133"/>
      <c r="AF58" s="1133"/>
      <c r="AG58" s="1"/>
      <c r="AH58" s="1"/>
      <c r="AI58" s="1"/>
      <c r="AJ58" s="1"/>
      <c r="AK58" s="1"/>
      <c r="AL58" s="624"/>
      <c r="AM58" s="1"/>
    </row>
    <row r="59" spans="1:39" customFormat="1" ht="36.75" customHeight="1" x14ac:dyDescent="0.25">
      <c r="A59" s="1132" t="s">
        <v>167</v>
      </c>
      <c r="B59" s="1132"/>
      <c r="C59" s="1132"/>
      <c r="D59" s="1132"/>
      <c r="E59" s="1132" t="s">
        <v>168</v>
      </c>
      <c r="F59" s="1132"/>
      <c r="G59" s="1132"/>
      <c r="H59" s="1132"/>
      <c r="I59" s="1132"/>
      <c r="J59" s="1132"/>
      <c r="K59" s="1132"/>
      <c r="L59" s="1132"/>
      <c r="M59" s="1132"/>
      <c r="N59" s="1132"/>
      <c r="O59" s="1132"/>
      <c r="P59" s="1132"/>
      <c r="Q59" s="1864">
        <v>3412</v>
      </c>
      <c r="R59" s="1864"/>
      <c r="S59" s="1864"/>
      <c r="T59" s="1864"/>
      <c r="U59" s="1841" t="s">
        <v>1201</v>
      </c>
      <c r="V59" s="1841"/>
      <c r="W59" s="1841"/>
      <c r="X59" s="1841"/>
      <c r="Y59" s="1865" t="s">
        <v>28</v>
      </c>
      <c r="Z59" s="1674"/>
      <c r="AA59" s="1674"/>
      <c r="AB59" s="1674"/>
      <c r="AC59" s="1674"/>
      <c r="AD59" s="1674"/>
      <c r="AE59" s="1674"/>
      <c r="AF59" s="1674"/>
      <c r="AG59" s="1"/>
      <c r="AH59" s="1"/>
      <c r="AI59" s="1"/>
      <c r="AJ59" s="1"/>
      <c r="AK59" s="1"/>
      <c r="AL59" s="839"/>
      <c r="AM59" s="1"/>
    </row>
    <row r="60" spans="1:39" customFormat="1" ht="140.25" customHeight="1" x14ac:dyDescent="0.25">
      <c r="A60" s="1132" t="s">
        <v>29</v>
      </c>
      <c r="B60" s="1132"/>
      <c r="C60" s="1132"/>
      <c r="D60" s="1132"/>
      <c r="E60" s="1133" t="s">
        <v>6137</v>
      </c>
      <c r="F60" s="1133"/>
      <c r="G60" s="1133"/>
      <c r="H60" s="1133"/>
      <c r="I60" s="1133"/>
      <c r="J60" s="1133"/>
      <c r="K60" s="1133"/>
      <c r="L60" s="1133"/>
      <c r="M60" s="1133"/>
      <c r="N60" s="1133"/>
      <c r="O60" s="1133"/>
      <c r="P60" s="1133"/>
      <c r="Q60" s="1674">
        <v>0.74</v>
      </c>
      <c r="R60" s="1674"/>
      <c r="S60" s="1674"/>
      <c r="T60" s="1674"/>
      <c r="U60" s="1841" t="s">
        <v>28</v>
      </c>
      <c r="V60" s="1841"/>
      <c r="W60" s="1841"/>
      <c r="X60" s="1841"/>
      <c r="Y60" s="1494" t="s">
        <v>6181</v>
      </c>
      <c r="Z60" s="1495"/>
      <c r="AA60" s="1495"/>
      <c r="AB60" s="1495"/>
      <c r="AC60" s="1495"/>
      <c r="AD60" s="1495"/>
      <c r="AE60" s="1495"/>
      <c r="AF60" s="1496"/>
      <c r="AG60" s="1"/>
      <c r="AH60" s="1"/>
      <c r="AI60" s="1"/>
      <c r="AJ60" s="1"/>
      <c r="AK60" s="1"/>
      <c r="AL60" s="624"/>
      <c r="AM60" s="1"/>
    </row>
    <row r="61" spans="1:39" customFormat="1" ht="99.75" customHeight="1" x14ac:dyDescent="0.25">
      <c r="A61" s="1132" t="s">
        <v>257</v>
      </c>
      <c r="B61" s="1132"/>
      <c r="C61" s="1132"/>
      <c r="D61" s="1132"/>
      <c r="E61" s="1133" t="s">
        <v>6138</v>
      </c>
      <c r="F61" s="1133"/>
      <c r="G61" s="1133"/>
      <c r="H61" s="1133"/>
      <c r="I61" s="1133"/>
      <c r="J61" s="1133"/>
      <c r="K61" s="1133"/>
      <c r="L61" s="1133"/>
      <c r="M61" s="1133"/>
      <c r="N61" s="1133"/>
      <c r="O61" s="1133"/>
      <c r="P61" s="1133"/>
      <c r="Q61" s="1675">
        <v>3947</v>
      </c>
      <c r="R61" s="1674"/>
      <c r="S61" s="1674"/>
      <c r="T61" s="1674"/>
      <c r="U61" s="1841" t="s">
        <v>45</v>
      </c>
      <c r="V61" s="1841"/>
      <c r="W61" s="1841"/>
      <c r="X61" s="1841"/>
      <c r="Y61" s="1494" t="s">
        <v>6182</v>
      </c>
      <c r="Z61" s="1495"/>
      <c r="AA61" s="1495"/>
      <c r="AB61" s="1495"/>
      <c r="AC61" s="1495"/>
      <c r="AD61" s="1495"/>
      <c r="AE61" s="1495"/>
      <c r="AF61" s="1496"/>
      <c r="AG61" s="1"/>
      <c r="AH61" s="1"/>
      <c r="AI61" s="1"/>
      <c r="AJ61" s="1"/>
      <c r="AK61" s="1"/>
      <c r="AL61" s="624"/>
      <c r="AM61" s="1"/>
    </row>
    <row r="62" spans="1:39" customFormat="1" ht="25.5" customHeight="1" x14ac:dyDescent="0.25">
      <c r="A62" s="1132" t="s">
        <v>3935</v>
      </c>
      <c r="B62" s="1132"/>
      <c r="C62" s="1132"/>
      <c r="D62" s="1132"/>
      <c r="E62" s="1132" t="s">
        <v>2217</v>
      </c>
      <c r="F62" s="1132"/>
      <c r="G62" s="1132"/>
      <c r="H62" s="1132"/>
      <c r="I62" s="1132"/>
      <c r="J62" s="1132"/>
      <c r="K62" s="1132"/>
      <c r="L62" s="1132"/>
      <c r="M62" s="1132"/>
      <c r="N62" s="1132"/>
      <c r="O62" s="1132"/>
      <c r="P62" s="1132"/>
      <c r="Q62" s="1841">
        <f>'Master EUL'!X120</f>
        <v>5</v>
      </c>
      <c r="R62" s="1841"/>
      <c r="S62" s="1841"/>
      <c r="T62" s="1841"/>
      <c r="U62" s="1841" t="s">
        <v>46</v>
      </c>
      <c r="V62" s="1841"/>
      <c r="W62" s="1841"/>
      <c r="X62" s="1841"/>
      <c r="Y62" s="1132" t="s">
        <v>6139</v>
      </c>
      <c r="Z62" s="1132"/>
      <c r="AA62" s="1132"/>
      <c r="AB62" s="1132"/>
      <c r="AC62" s="1132"/>
      <c r="AD62" s="1132"/>
      <c r="AE62" s="1132"/>
      <c r="AF62" s="1132"/>
      <c r="AG62" s="1"/>
      <c r="AH62" s="1"/>
      <c r="AI62" s="1"/>
      <c r="AJ62" s="1"/>
      <c r="AK62" s="1"/>
      <c r="AL62" s="624"/>
      <c r="AM62" s="1"/>
    </row>
    <row r="63" spans="1:39" customFormat="1" x14ac:dyDescent="0.25">
      <c r="A63" s="628" t="s">
        <v>1047</v>
      </c>
      <c r="B63" s="629"/>
      <c r="C63" s="629"/>
      <c r="D63" s="629"/>
      <c r="E63" s="629"/>
      <c r="F63" s="629"/>
      <c r="G63" s="629"/>
      <c r="H63" s="629"/>
      <c r="I63" s="629"/>
      <c r="J63" s="629"/>
      <c r="K63" s="629"/>
      <c r="L63" s="629"/>
      <c r="M63" s="629"/>
      <c r="N63" s="629"/>
      <c r="O63" s="629"/>
      <c r="P63" s="629"/>
      <c r="Q63" s="632"/>
      <c r="R63" s="632"/>
      <c r="S63" s="632"/>
      <c r="T63" s="632"/>
      <c r="U63" s="632"/>
      <c r="V63" s="632"/>
      <c r="W63" s="632"/>
      <c r="X63" s="632"/>
      <c r="Y63" s="629"/>
      <c r="Z63" s="629"/>
      <c r="AA63" s="629"/>
      <c r="AB63" s="629"/>
      <c r="AC63" s="629"/>
      <c r="AD63" s="629"/>
      <c r="AE63" s="629"/>
      <c r="AF63" s="629"/>
      <c r="AG63" s="1"/>
      <c r="AH63" s="1"/>
      <c r="AI63" s="1"/>
      <c r="AJ63" s="1"/>
      <c r="AK63" s="1"/>
      <c r="AL63" s="893"/>
      <c r="AM63" s="1"/>
    </row>
    <row r="64" spans="1:39" customFormat="1" x14ac:dyDescent="0.25">
      <c r="A64" s="1686" t="s">
        <v>6140</v>
      </c>
      <c r="B64" s="1686"/>
      <c r="C64" s="1686"/>
      <c r="D64" s="1686"/>
      <c r="E64" s="1686"/>
      <c r="F64" s="1686"/>
      <c r="G64" s="1686"/>
      <c r="H64" s="1686"/>
      <c r="I64" s="1686"/>
      <c r="J64" s="1686"/>
      <c r="K64" s="1686"/>
      <c r="L64" s="1686"/>
      <c r="M64" s="1686"/>
      <c r="N64" s="1686"/>
      <c r="O64" s="1686"/>
      <c r="P64" s="1686"/>
      <c r="Q64" s="1686"/>
      <c r="R64" s="1686"/>
      <c r="S64" s="1686"/>
      <c r="T64" s="1686"/>
      <c r="U64" s="1686"/>
      <c r="V64" s="1686"/>
      <c r="W64" s="1686"/>
      <c r="X64" s="1686"/>
      <c r="Y64" s="1686"/>
      <c r="Z64" s="1686"/>
      <c r="AA64" s="1686"/>
      <c r="AB64" s="1686"/>
      <c r="AC64" s="1686"/>
      <c r="AD64" s="1686"/>
      <c r="AE64" s="1686"/>
      <c r="AF64" s="1686"/>
      <c r="AG64" s="1"/>
      <c r="AH64" s="1"/>
      <c r="AI64" s="1"/>
      <c r="AJ64" s="1"/>
      <c r="AK64" s="1"/>
      <c r="AL64" s="839"/>
      <c r="AM64" s="1"/>
    </row>
    <row r="65" spans="1:43" customFormat="1" ht="36.75" customHeight="1" x14ac:dyDescent="0.25">
      <c r="A65" s="1686" t="s">
        <v>6141</v>
      </c>
      <c r="B65" s="1686"/>
      <c r="C65" s="1686"/>
      <c r="D65" s="1686"/>
      <c r="E65" s="1686"/>
      <c r="F65" s="1686"/>
      <c r="G65" s="1686"/>
      <c r="H65" s="1686"/>
      <c r="I65" s="1686"/>
      <c r="J65" s="1686"/>
      <c r="K65" s="1686"/>
      <c r="L65" s="1686"/>
      <c r="M65" s="1686"/>
      <c r="N65" s="1686"/>
      <c r="O65" s="1686"/>
      <c r="P65" s="1686"/>
      <c r="Q65" s="1686"/>
      <c r="R65" s="1686"/>
      <c r="S65" s="1686"/>
      <c r="T65" s="1686"/>
      <c r="U65" s="1686"/>
      <c r="V65" s="1686"/>
      <c r="W65" s="1686"/>
      <c r="X65" s="1686"/>
      <c r="Y65" s="1686"/>
      <c r="Z65" s="1686"/>
      <c r="AA65" s="1686"/>
      <c r="AB65" s="1686"/>
      <c r="AC65" s="1686"/>
      <c r="AD65" s="1686"/>
      <c r="AE65" s="1686"/>
      <c r="AF65" s="1686"/>
      <c r="AG65" s="1"/>
      <c r="AH65" s="1"/>
      <c r="AI65" s="1"/>
      <c r="AJ65" s="1"/>
      <c r="AK65" s="1"/>
      <c r="AL65" s="839"/>
      <c r="AM65" s="1"/>
    </row>
    <row r="66" spans="1:43" customFormat="1" ht="42" customHeight="1" x14ac:dyDescent="0.25">
      <c r="A66" s="1686" t="s">
        <v>6142</v>
      </c>
      <c r="B66" s="1686"/>
      <c r="C66" s="1686"/>
      <c r="D66" s="1686"/>
      <c r="E66" s="1686"/>
      <c r="F66" s="1686"/>
      <c r="G66" s="1686"/>
      <c r="H66" s="1686"/>
      <c r="I66" s="1686"/>
      <c r="J66" s="1686"/>
      <c r="K66" s="1686"/>
      <c r="L66" s="1686"/>
      <c r="M66" s="1686"/>
      <c r="N66" s="1686"/>
      <c r="O66" s="1686"/>
      <c r="P66" s="1686"/>
      <c r="Q66" s="1686"/>
      <c r="R66" s="1686"/>
      <c r="S66" s="1686"/>
      <c r="T66" s="1686"/>
      <c r="U66" s="1686"/>
      <c r="V66" s="1686"/>
      <c r="W66" s="1686"/>
      <c r="X66" s="1686"/>
      <c r="Y66" s="1686"/>
      <c r="Z66" s="1686"/>
      <c r="AA66" s="1686"/>
      <c r="AB66" s="1686"/>
      <c r="AC66" s="1686"/>
      <c r="AD66" s="1686"/>
      <c r="AE66" s="1686"/>
      <c r="AF66" s="1686"/>
      <c r="AG66" s="1"/>
      <c r="AH66" s="1"/>
      <c r="AI66" s="1"/>
      <c r="AJ66" s="1"/>
      <c r="AK66" s="1"/>
      <c r="AL66" s="839"/>
      <c r="AM66" s="1"/>
    </row>
    <row r="67" spans="1:43" customFormat="1" ht="30.75" customHeight="1" x14ac:dyDescent="0.25">
      <c r="A67" s="1686" t="s">
        <v>6143</v>
      </c>
      <c r="B67" s="1686"/>
      <c r="C67" s="1686"/>
      <c r="D67" s="1686"/>
      <c r="E67" s="1686"/>
      <c r="F67" s="1686"/>
      <c r="G67" s="1686"/>
      <c r="H67" s="1686"/>
      <c r="I67" s="1686"/>
      <c r="J67" s="1686"/>
      <c r="K67" s="1686"/>
      <c r="L67" s="1686"/>
      <c r="M67" s="1686"/>
      <c r="N67" s="1686"/>
      <c r="O67" s="1686"/>
      <c r="P67" s="1686"/>
      <c r="Q67" s="1686"/>
      <c r="R67" s="1686"/>
      <c r="S67" s="1686"/>
      <c r="T67" s="1686"/>
      <c r="U67" s="1686"/>
      <c r="V67" s="1686"/>
      <c r="W67" s="1686"/>
      <c r="X67" s="1686"/>
      <c r="Y67" s="1686"/>
      <c r="Z67" s="1686"/>
      <c r="AA67" s="1686"/>
      <c r="AB67" s="1686"/>
      <c r="AC67" s="1686"/>
      <c r="AD67" s="1686"/>
      <c r="AE67" s="1686"/>
      <c r="AF67" s="1686"/>
      <c r="AG67" s="1"/>
      <c r="AH67" s="1"/>
      <c r="AI67" s="1"/>
      <c r="AJ67" s="1"/>
      <c r="AK67" s="1"/>
      <c r="AL67" s="839"/>
      <c r="AM67" s="1"/>
    </row>
    <row r="68" spans="1:43" customFormat="1" ht="40.5" customHeight="1" x14ac:dyDescent="0.25">
      <c r="A68" s="1686" t="s">
        <v>6144</v>
      </c>
      <c r="B68" s="1686"/>
      <c r="C68" s="1686"/>
      <c r="D68" s="1686"/>
      <c r="E68" s="1686"/>
      <c r="F68" s="1686"/>
      <c r="G68" s="1686"/>
      <c r="H68" s="1686"/>
      <c r="I68" s="1686"/>
      <c r="J68" s="1686"/>
      <c r="K68" s="1686"/>
      <c r="L68" s="1686"/>
      <c r="M68" s="1686"/>
      <c r="N68" s="1686"/>
      <c r="O68" s="1686"/>
      <c r="P68" s="1686"/>
      <c r="Q68" s="1686"/>
      <c r="R68" s="1686"/>
      <c r="S68" s="1686"/>
      <c r="T68" s="1686"/>
      <c r="U68" s="1686"/>
      <c r="V68" s="1686"/>
      <c r="W68" s="1686"/>
      <c r="X68" s="1686"/>
      <c r="Y68" s="1686"/>
      <c r="Z68" s="1686"/>
      <c r="AA68" s="1686"/>
      <c r="AB68" s="1686"/>
      <c r="AC68" s="1686"/>
      <c r="AD68" s="1686"/>
      <c r="AE68" s="1686"/>
      <c r="AF68" s="1686"/>
      <c r="AG68" s="1"/>
      <c r="AH68" s="1"/>
      <c r="AI68" s="1"/>
      <c r="AJ68" s="1"/>
      <c r="AK68" s="1"/>
      <c r="AL68" s="839"/>
      <c r="AM68" s="1"/>
    </row>
    <row r="69" spans="1:43" customFormat="1" x14ac:dyDescent="0.25">
      <c r="A69" s="1686" t="s">
        <v>6145</v>
      </c>
      <c r="B69" s="1686"/>
      <c r="C69" s="1686"/>
      <c r="D69" s="1686"/>
      <c r="E69" s="1686"/>
      <c r="F69" s="1686"/>
      <c r="G69" s="1686"/>
      <c r="H69" s="1686"/>
      <c r="I69" s="1686"/>
      <c r="J69" s="1686"/>
      <c r="K69" s="1686"/>
      <c r="L69" s="1686"/>
      <c r="M69" s="1686"/>
      <c r="N69" s="1686"/>
      <c r="O69" s="1686"/>
      <c r="P69" s="1686"/>
      <c r="Q69" s="1686"/>
      <c r="R69" s="1686"/>
      <c r="S69" s="1686"/>
      <c r="T69" s="1686"/>
      <c r="U69" s="1686"/>
      <c r="V69" s="1686"/>
      <c r="W69" s="1686"/>
      <c r="X69" s="1686"/>
      <c r="Y69" s="1686"/>
      <c r="Z69" s="1686"/>
      <c r="AA69" s="1686"/>
      <c r="AB69" s="1686"/>
      <c r="AC69" s="1686"/>
      <c r="AD69" s="1686"/>
      <c r="AE69" s="1686"/>
      <c r="AF69" s="1686"/>
      <c r="AG69" s="1"/>
      <c r="AH69" s="1"/>
      <c r="AI69" s="1"/>
      <c r="AJ69" s="1"/>
      <c r="AK69" s="1"/>
      <c r="AL69" s="839"/>
      <c r="AM69" s="1"/>
    </row>
    <row r="70" spans="1:43" customFormat="1" ht="51.75" customHeight="1" x14ac:dyDescent="0.25">
      <c r="A70" s="1686" t="s">
        <v>6146</v>
      </c>
      <c r="B70" s="1686"/>
      <c r="C70" s="1686"/>
      <c r="D70" s="1686"/>
      <c r="E70" s="1686"/>
      <c r="F70" s="1686"/>
      <c r="G70" s="1686"/>
      <c r="H70" s="1686"/>
      <c r="I70" s="1686"/>
      <c r="J70" s="1686"/>
      <c r="K70" s="1686"/>
      <c r="L70" s="1686"/>
      <c r="M70" s="1686"/>
      <c r="N70" s="1686"/>
      <c r="O70" s="1686"/>
      <c r="P70" s="1686"/>
      <c r="Q70" s="1686"/>
      <c r="R70" s="1686"/>
      <c r="S70" s="1686"/>
      <c r="T70" s="1686"/>
      <c r="U70" s="1686"/>
      <c r="V70" s="1686"/>
      <c r="W70" s="1686"/>
      <c r="X70" s="1686"/>
      <c r="Y70" s="1686"/>
      <c r="Z70" s="1686"/>
      <c r="AA70" s="1686"/>
      <c r="AB70" s="1686"/>
      <c r="AC70" s="1686"/>
      <c r="AD70" s="1686"/>
      <c r="AE70" s="1686"/>
      <c r="AF70" s="1686"/>
      <c r="AG70" s="1"/>
      <c r="AH70" s="1"/>
      <c r="AI70" s="1"/>
      <c r="AJ70" s="1"/>
      <c r="AK70" s="1"/>
      <c r="AL70" s="839"/>
      <c r="AM70" s="1"/>
    </row>
    <row r="71" spans="1:43" customFormat="1" x14ac:dyDescent="0.25">
      <c r="A71" s="870"/>
      <c r="B71" s="870"/>
      <c r="C71" s="870"/>
      <c r="D71" s="870"/>
      <c r="E71" s="870"/>
      <c r="F71" s="870"/>
      <c r="G71" s="870"/>
      <c r="H71" s="870"/>
      <c r="I71" s="870"/>
      <c r="J71" s="870"/>
      <c r="K71" s="870"/>
      <c r="L71" s="870"/>
      <c r="M71" s="870"/>
      <c r="N71" s="870"/>
      <c r="O71" s="870"/>
      <c r="P71" s="870"/>
      <c r="Q71" s="870"/>
      <c r="R71" s="870"/>
      <c r="S71" s="870"/>
      <c r="T71" s="870"/>
      <c r="U71" s="870"/>
      <c r="V71" s="870"/>
      <c r="W71" s="870"/>
      <c r="X71" s="870"/>
      <c r="Y71" s="870"/>
      <c r="Z71" s="870"/>
      <c r="AA71" s="870"/>
      <c r="AB71" s="870"/>
      <c r="AC71" s="870"/>
      <c r="AD71" s="870"/>
      <c r="AE71" s="870"/>
      <c r="AF71" s="870"/>
      <c r="AG71" s="1"/>
      <c r="AH71" s="1"/>
      <c r="AI71" s="1"/>
      <c r="AJ71" s="1"/>
      <c r="AK71" s="1"/>
      <c r="AL71" s="839"/>
      <c r="AM71" s="1"/>
    </row>
    <row r="72" spans="1:43" customFormat="1" ht="17.25" x14ac:dyDescent="0.25">
      <c r="A72" s="732" t="s">
        <v>6183</v>
      </c>
      <c r="B72" s="227"/>
      <c r="C72" s="227"/>
      <c r="D72" s="227"/>
      <c r="E72" s="227"/>
      <c r="F72" s="227"/>
      <c r="G72" s="227"/>
      <c r="H72" s="227"/>
      <c r="I72" s="227"/>
      <c r="J72" s="227"/>
      <c r="K72" s="227"/>
      <c r="L72" s="227"/>
      <c r="M72" s="227"/>
      <c r="N72" s="227"/>
      <c r="O72" s="227"/>
      <c r="P72" s="227"/>
      <c r="Q72" s="227"/>
      <c r="R72" s="227"/>
      <c r="S72" s="227"/>
      <c r="T72" s="227"/>
      <c r="U72" s="870"/>
      <c r="V72" s="870"/>
      <c r="W72" s="870"/>
      <c r="X72" s="870"/>
      <c r="Y72" s="870"/>
      <c r="Z72" s="870"/>
      <c r="AA72" s="870"/>
      <c r="AB72" s="870"/>
      <c r="AC72" s="870"/>
      <c r="AD72" s="870"/>
      <c r="AE72" s="870"/>
      <c r="AF72" s="870"/>
      <c r="AG72" s="1"/>
      <c r="AH72" s="1"/>
      <c r="AI72" s="1"/>
      <c r="AJ72" s="1"/>
      <c r="AK72" s="1"/>
      <c r="AL72" s="624"/>
      <c r="AM72" s="1"/>
    </row>
    <row r="73" spans="1:43" customFormat="1" ht="45.75" customHeight="1" x14ac:dyDescent="0.25">
      <c r="A73" s="1534" t="s">
        <v>54</v>
      </c>
      <c r="B73" s="1535"/>
      <c r="C73" s="1535"/>
      <c r="D73" s="1535"/>
      <c r="E73" s="1535"/>
      <c r="F73" s="1535"/>
      <c r="G73" s="1535"/>
      <c r="H73" s="1536"/>
      <c r="I73" s="1537" t="s">
        <v>6184</v>
      </c>
      <c r="J73" s="1537"/>
      <c r="K73" s="1537"/>
      <c r="L73" s="1537"/>
      <c r="M73" s="1534" t="s">
        <v>6147</v>
      </c>
      <c r="N73" s="1535"/>
      <c r="O73" s="1535"/>
      <c r="P73" s="1535"/>
      <c r="Q73" s="1535"/>
      <c r="R73" s="1535"/>
      <c r="S73" s="1535"/>
      <c r="T73" s="1536"/>
      <c r="U73" s="1534" t="s">
        <v>6148</v>
      </c>
      <c r="V73" s="1535"/>
      <c r="W73" s="1535"/>
      <c r="X73" s="1535"/>
      <c r="Y73" s="1535"/>
      <c r="Z73" s="1535"/>
      <c r="AA73" s="1535"/>
      <c r="AB73" s="1536"/>
      <c r="AC73" s="870"/>
      <c r="AD73" s="870"/>
      <c r="AE73" s="870"/>
      <c r="AF73" s="870"/>
      <c r="AG73" s="901"/>
      <c r="AH73" s="901"/>
      <c r="AI73" s="901"/>
      <c r="AJ73" s="901"/>
      <c r="AK73" s="1"/>
      <c r="AL73" s="1"/>
      <c r="AM73" s="1"/>
      <c r="AN73" s="1"/>
      <c r="AO73" s="1"/>
      <c r="AP73" s="839"/>
      <c r="AQ73" s="1"/>
    </row>
    <row r="74" spans="1:43" customFormat="1" x14ac:dyDescent="0.25">
      <c r="A74" s="1841" t="s">
        <v>867</v>
      </c>
      <c r="B74" s="1841"/>
      <c r="C74" s="1841"/>
      <c r="D74" s="1841"/>
      <c r="E74" s="1841"/>
      <c r="F74" s="1841"/>
      <c r="G74" s="1841"/>
      <c r="H74" s="1841"/>
      <c r="I74" s="1860">
        <v>365</v>
      </c>
      <c r="J74" s="1860"/>
      <c r="K74" s="1860"/>
      <c r="L74" s="1860"/>
      <c r="M74" s="1861">
        <f>ROUND(0.9349-(0.0001*55),2)</f>
        <v>0.93</v>
      </c>
      <c r="N74" s="1862"/>
      <c r="O74" s="1862"/>
      <c r="P74" s="1862"/>
      <c r="Q74" s="1862"/>
      <c r="R74" s="1862"/>
      <c r="S74" s="1862"/>
      <c r="T74" s="1863"/>
      <c r="U74" s="1861">
        <f>ROUND(2.2418-0.0011*56,2)</f>
        <v>2.1800000000000002</v>
      </c>
      <c r="V74" s="1862"/>
      <c r="W74" s="1862"/>
      <c r="X74" s="1862"/>
      <c r="Y74" s="1862"/>
      <c r="Z74" s="1862"/>
      <c r="AA74" s="1862"/>
      <c r="AB74" s="1863"/>
      <c r="AC74" s="870"/>
      <c r="AD74" s="870"/>
      <c r="AE74" s="870"/>
      <c r="AF74" s="870"/>
      <c r="AG74" s="901"/>
      <c r="AH74" s="901"/>
      <c r="AI74" s="901"/>
      <c r="AJ74" s="901"/>
      <c r="AK74" s="1"/>
      <c r="AL74" s="1"/>
      <c r="AM74" s="1"/>
      <c r="AN74" s="1"/>
      <c r="AO74" s="1"/>
      <c r="AP74" s="839"/>
      <c r="AQ74" s="1"/>
    </row>
    <row r="75" spans="1:43" customFormat="1" x14ac:dyDescent="0.25">
      <c r="A75" s="1841" t="s">
        <v>868</v>
      </c>
      <c r="B75" s="1841"/>
      <c r="C75" s="1841"/>
      <c r="D75" s="1841"/>
      <c r="E75" s="1841"/>
      <c r="F75" s="1841"/>
      <c r="G75" s="1841"/>
      <c r="H75" s="1841"/>
      <c r="I75" s="1860">
        <v>274</v>
      </c>
      <c r="J75" s="1860"/>
      <c r="K75" s="1860"/>
      <c r="L75" s="1860"/>
      <c r="M75" s="1861">
        <f t="shared" ref="M75:M76" si="0">ROUND(0.9349-(0.0001*55),2)</f>
        <v>0.93</v>
      </c>
      <c r="N75" s="1862"/>
      <c r="O75" s="1862"/>
      <c r="P75" s="1862"/>
      <c r="Q75" s="1862"/>
      <c r="R75" s="1862"/>
      <c r="S75" s="1862"/>
      <c r="T75" s="1863"/>
      <c r="U75" s="1861">
        <f>ROUND(2.2418-0.0011*120,2)</f>
        <v>2.11</v>
      </c>
      <c r="V75" s="1862"/>
      <c r="W75" s="1862"/>
      <c r="X75" s="1862"/>
      <c r="Y75" s="1862"/>
      <c r="Z75" s="1862"/>
      <c r="AA75" s="1862"/>
      <c r="AB75" s="1863"/>
      <c r="AC75" s="870"/>
      <c r="AD75" s="870"/>
      <c r="AE75" s="870"/>
      <c r="AF75" s="870"/>
      <c r="AG75" s="901"/>
      <c r="AH75" s="901"/>
      <c r="AI75" s="901"/>
      <c r="AJ75" s="901"/>
      <c r="AK75" s="1"/>
      <c r="AL75" s="1"/>
      <c r="AM75" s="1"/>
      <c r="AN75" s="1"/>
      <c r="AO75" s="1"/>
      <c r="AP75" s="839"/>
      <c r="AQ75" s="1"/>
    </row>
    <row r="76" spans="1:43" customFormat="1" x14ac:dyDescent="0.25">
      <c r="A76" s="1841" t="s">
        <v>869</v>
      </c>
      <c r="B76" s="1841"/>
      <c r="C76" s="1841"/>
      <c r="D76" s="1841"/>
      <c r="E76" s="1841"/>
      <c r="F76" s="1841"/>
      <c r="G76" s="1841"/>
      <c r="H76" s="1841"/>
      <c r="I76" s="1860">
        <v>200</v>
      </c>
      <c r="J76" s="1860"/>
      <c r="K76" s="1860"/>
      <c r="L76" s="1860"/>
      <c r="M76" s="1861">
        <f t="shared" si="0"/>
        <v>0.93</v>
      </c>
      <c r="N76" s="1862"/>
      <c r="O76" s="1862"/>
      <c r="P76" s="1862"/>
      <c r="Q76" s="1862"/>
      <c r="R76" s="1862"/>
      <c r="S76" s="1862"/>
      <c r="T76" s="1863"/>
      <c r="U76" s="1861">
        <f>ROUND(2.2418-0.0011*120,2)</f>
        <v>2.11</v>
      </c>
      <c r="V76" s="1862"/>
      <c r="W76" s="1862"/>
      <c r="X76" s="1862"/>
      <c r="Y76" s="1862"/>
      <c r="Z76" s="1862"/>
      <c r="AA76" s="1862"/>
      <c r="AB76" s="1863"/>
      <c r="AC76" s="870"/>
      <c r="AD76" s="870"/>
      <c r="AE76" s="870"/>
      <c r="AF76" s="870"/>
      <c r="AG76" s="901"/>
      <c r="AH76" s="901"/>
      <c r="AI76" s="901"/>
      <c r="AJ76" s="901"/>
      <c r="AK76" s="1"/>
      <c r="AL76" s="1"/>
      <c r="AM76" s="1"/>
      <c r="AN76" s="1"/>
      <c r="AO76" s="1"/>
      <c r="AP76" s="839"/>
      <c r="AQ76" s="1"/>
    </row>
    <row r="77" spans="1:43" customFormat="1" x14ac:dyDescent="0.25">
      <c r="A77" s="628" t="s">
        <v>1048</v>
      </c>
      <c r="B77" s="870"/>
      <c r="C77" s="870"/>
      <c r="D77" s="870"/>
      <c r="E77" s="870"/>
      <c r="F77" s="870"/>
      <c r="G77" s="870"/>
      <c r="H77" s="870"/>
      <c r="I77" s="870"/>
      <c r="J77" s="870"/>
      <c r="K77" s="870"/>
      <c r="L77" s="870"/>
      <c r="M77" s="870"/>
      <c r="N77" s="870"/>
      <c r="O77" s="870"/>
      <c r="P77" s="870"/>
      <c r="Q77" s="870"/>
      <c r="R77" s="870"/>
      <c r="S77" s="870"/>
      <c r="T77" s="870"/>
      <c r="U77" s="870"/>
      <c r="V77" s="870"/>
      <c r="W77" s="870"/>
      <c r="X77" s="870"/>
      <c r="Y77" s="870"/>
      <c r="Z77" s="870"/>
      <c r="AA77" s="870"/>
      <c r="AB77" s="870"/>
      <c r="AC77" s="870"/>
      <c r="AD77" s="870"/>
      <c r="AE77" s="870"/>
      <c r="AF77" s="870"/>
      <c r="AG77" s="1"/>
      <c r="AH77" s="1"/>
      <c r="AI77" s="1"/>
      <c r="AJ77" s="1"/>
      <c r="AK77" s="1"/>
      <c r="AL77" s="839"/>
      <c r="AM77" s="1"/>
    </row>
    <row r="78" spans="1:43" customFormat="1" ht="28.5" customHeight="1" x14ac:dyDescent="0.25">
      <c r="A78" s="1686" t="s">
        <v>6149</v>
      </c>
      <c r="B78" s="1686"/>
      <c r="C78" s="1686"/>
      <c r="D78" s="1686"/>
      <c r="E78" s="1686"/>
      <c r="F78" s="1686"/>
      <c r="G78" s="1686"/>
      <c r="H78" s="1686"/>
      <c r="I78" s="1686"/>
      <c r="J78" s="1686"/>
      <c r="K78" s="1686"/>
      <c r="L78" s="1686"/>
      <c r="M78" s="1686"/>
      <c r="N78" s="1686"/>
      <c r="O78" s="1686"/>
      <c r="P78" s="1686"/>
      <c r="Q78" s="1686"/>
      <c r="R78" s="1686"/>
      <c r="S78" s="1686"/>
      <c r="T78" s="1686"/>
      <c r="U78" s="1686"/>
      <c r="V78" s="1686"/>
      <c r="W78" s="1686"/>
      <c r="X78" s="1686"/>
      <c r="Y78" s="1686"/>
      <c r="Z78" s="1686"/>
      <c r="AA78" s="1686"/>
      <c r="AB78" s="1686"/>
      <c r="AC78" s="654"/>
      <c r="AD78" s="654"/>
      <c r="AE78" s="654"/>
      <c r="AF78" s="654"/>
      <c r="AG78" s="1"/>
      <c r="AH78" s="1"/>
      <c r="AI78" s="1"/>
      <c r="AJ78" s="1"/>
      <c r="AK78" s="1"/>
      <c r="AL78" s="839"/>
      <c r="AM78" s="1"/>
    </row>
    <row r="79" spans="1:43" customFormat="1" x14ac:dyDescent="0.25">
      <c r="A79" s="870"/>
      <c r="B79" s="870"/>
      <c r="C79" s="870"/>
      <c r="D79" s="870"/>
      <c r="E79" s="870"/>
      <c r="F79" s="870"/>
      <c r="G79" s="870"/>
      <c r="H79" s="870"/>
      <c r="I79" s="870"/>
      <c r="J79" s="870"/>
      <c r="K79" s="870"/>
      <c r="L79" s="870"/>
      <c r="M79" s="870"/>
      <c r="N79" s="870"/>
      <c r="O79" s="870"/>
      <c r="P79" s="870"/>
      <c r="Q79" s="870"/>
      <c r="R79" s="870"/>
      <c r="S79" s="870"/>
      <c r="T79" s="870"/>
      <c r="U79" s="870"/>
      <c r="V79" s="870"/>
      <c r="W79" s="870"/>
      <c r="X79" s="870"/>
      <c r="Y79" s="870"/>
      <c r="Z79" s="870"/>
      <c r="AA79" s="870"/>
      <c r="AB79" s="870"/>
      <c r="AC79" s="870"/>
      <c r="AD79" s="870"/>
      <c r="AE79" s="870"/>
      <c r="AF79" s="870"/>
      <c r="AG79" s="1"/>
      <c r="AH79" s="1"/>
      <c r="AI79" s="1"/>
      <c r="AJ79" s="1"/>
      <c r="AK79" s="1"/>
      <c r="AL79" s="839"/>
      <c r="AM79" s="1"/>
    </row>
    <row r="80" spans="1:43" customFormat="1" x14ac:dyDescent="0.25">
      <c r="A80" s="262"/>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F80" s="262"/>
      <c r="AG80" s="1"/>
      <c r="AH80" s="1"/>
      <c r="AI80" s="1"/>
      <c r="AJ80" s="1"/>
      <c r="AK80" s="1"/>
      <c r="AL80" s="839"/>
      <c r="AM80" s="1"/>
    </row>
    <row r="81" spans="1:39" customFormat="1" x14ac:dyDescent="0.25">
      <c r="A81" s="1621" t="s">
        <v>21</v>
      </c>
      <c r="B81" s="1621"/>
      <c r="C81" s="1621"/>
      <c r="D81" s="1621"/>
      <c r="E81" s="1621"/>
      <c r="F81" s="1621"/>
      <c r="G81" s="1621"/>
      <c r="H81" s="1621"/>
      <c r="I81" s="1621"/>
      <c r="J81" s="1621"/>
      <c r="K81" s="1621"/>
      <c r="L81" s="1621"/>
      <c r="M81" s="1621"/>
      <c r="N81" s="1621"/>
      <c r="O81" s="1621"/>
      <c r="P81" s="1621"/>
      <c r="Q81" s="1621"/>
      <c r="R81" s="1621"/>
      <c r="S81" s="1621"/>
      <c r="T81" s="1621"/>
      <c r="U81" s="1621"/>
      <c r="V81" s="1621"/>
      <c r="W81" s="1621"/>
      <c r="X81" s="1621"/>
      <c r="Y81" s="1621"/>
      <c r="Z81" s="1621"/>
      <c r="AA81" s="1621"/>
      <c r="AB81" s="1621"/>
      <c r="AC81" s="1621"/>
      <c r="AD81" s="1621"/>
      <c r="AE81" s="1621"/>
      <c r="AF81" s="1621"/>
      <c r="AG81" s="1"/>
      <c r="AH81" s="1"/>
      <c r="AI81" s="1"/>
      <c r="AJ81" s="1"/>
      <c r="AK81" s="1"/>
      <c r="AL81" s="839"/>
      <c r="AM81" s="1"/>
    </row>
    <row r="82" spans="1:39" customFormat="1" ht="15.75" thickBot="1" x14ac:dyDescent="0.3">
      <c r="A82" s="262"/>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62"/>
      <c r="AF82" s="262"/>
      <c r="AG82" s="1"/>
      <c r="AH82" s="1"/>
      <c r="AI82" s="1"/>
      <c r="AJ82" s="1"/>
      <c r="AK82" s="1"/>
      <c r="AL82" s="839"/>
      <c r="AM82" s="1"/>
    </row>
    <row r="83" spans="1:39" customFormat="1" ht="33" customHeight="1" x14ac:dyDescent="0.25">
      <c r="A83" s="1810" t="s">
        <v>22</v>
      </c>
      <c r="B83" s="1643"/>
      <c r="C83" s="1643"/>
      <c r="D83" s="1643"/>
      <c r="E83" s="1643"/>
      <c r="F83" s="1643"/>
      <c r="G83" s="1643"/>
      <c r="H83" s="1643"/>
      <c r="I83" s="1642" t="s">
        <v>23</v>
      </c>
      <c r="J83" s="1642"/>
      <c r="K83" s="1642"/>
      <c r="L83" s="1642"/>
      <c r="M83" s="1642"/>
      <c r="N83" s="1642"/>
      <c r="O83" s="1642"/>
      <c r="P83" s="1642"/>
      <c r="Q83" s="1642" t="s">
        <v>24</v>
      </c>
      <c r="R83" s="1642"/>
      <c r="S83" s="1642"/>
      <c r="T83" s="1642"/>
      <c r="U83" s="1642"/>
      <c r="V83" s="1642"/>
      <c r="W83" s="1642"/>
      <c r="X83" s="1858"/>
      <c r="Y83" s="1642" t="s">
        <v>2012</v>
      </c>
      <c r="Z83" s="1642"/>
      <c r="AA83" s="1642"/>
      <c r="AB83" s="1642"/>
      <c r="AC83" s="1642"/>
      <c r="AD83" s="1642"/>
      <c r="AE83" s="1642"/>
      <c r="AF83" s="1859"/>
      <c r="AG83" s="1"/>
      <c r="AH83" s="1"/>
      <c r="AI83" s="1"/>
      <c r="AJ83" s="1"/>
      <c r="AK83" s="1"/>
      <c r="AL83" s="624"/>
      <c r="AM83" s="1"/>
    </row>
    <row r="84" spans="1:39" customFormat="1" ht="46.5" customHeight="1" x14ac:dyDescent="0.25">
      <c r="A84" s="1846" t="s">
        <v>6150</v>
      </c>
      <c r="B84" s="1768"/>
      <c r="C84" s="1768"/>
      <c r="D84" s="1768"/>
      <c r="E84" s="1768"/>
      <c r="F84" s="1768"/>
      <c r="G84" s="1768"/>
      <c r="H84" s="1768"/>
      <c r="I84" s="1847">
        <f>ROUND(Q84*$Q$60/$Q$61,3)</f>
        <v>0.109</v>
      </c>
      <c r="J84" s="1847"/>
      <c r="K84" s="1847"/>
      <c r="L84" s="1847"/>
      <c r="M84" s="1847"/>
      <c r="N84" s="1847"/>
      <c r="O84" s="1847"/>
      <c r="P84" s="1847"/>
      <c r="Q84" s="1848">
        <f>ROUND(($Q$50-$Q$51)*$Q$52*I74*$Q$54*$Q$55*($Q$56-$Q$57)/(M74*$Q$59),2)</f>
        <v>582.34</v>
      </c>
      <c r="R84" s="1848"/>
      <c r="S84" s="1848"/>
      <c r="T84" s="1848"/>
      <c r="U84" s="1848"/>
      <c r="V84" s="1848"/>
      <c r="W84" s="1848"/>
      <c r="X84" s="1857"/>
      <c r="Y84" s="1849">
        <f>ROUND(Q84*$Q$62,2)</f>
        <v>2911.7</v>
      </c>
      <c r="Z84" s="1849"/>
      <c r="AA84" s="1849"/>
      <c r="AB84" s="1849"/>
      <c r="AC84" s="1849"/>
      <c r="AD84" s="1849"/>
      <c r="AE84" s="1849"/>
      <c r="AF84" s="1850"/>
      <c r="AG84" s="4"/>
      <c r="AH84" s="4"/>
      <c r="AI84" s="4"/>
      <c r="AJ84" s="4"/>
      <c r="AK84" s="4"/>
      <c r="AL84" s="885"/>
      <c r="AM84" s="4"/>
    </row>
    <row r="85" spans="1:39" customFormat="1" ht="41.25" customHeight="1" x14ac:dyDescent="0.25">
      <c r="A85" s="1846" t="s">
        <v>1462</v>
      </c>
      <c r="B85" s="1768"/>
      <c r="C85" s="1768"/>
      <c r="D85" s="1768"/>
      <c r="E85" s="1768"/>
      <c r="F85" s="1768"/>
      <c r="G85" s="1768"/>
      <c r="H85" s="1768"/>
      <c r="I85" s="1847">
        <f t="shared" ref="I85:I88" si="1">ROUND(Q85*$Q$60/$Q$61,3)</f>
        <v>8.2000000000000003E-2</v>
      </c>
      <c r="J85" s="1847"/>
      <c r="K85" s="1847"/>
      <c r="L85" s="1847"/>
      <c r="M85" s="1847"/>
      <c r="N85" s="1847"/>
      <c r="O85" s="1847"/>
      <c r="P85" s="1847"/>
      <c r="Q85" s="1848">
        <f>ROUND(($Q$50-$Q$51)*$Q$52*I75*$Q$54*$Q$55*($Q$56-$Q$57)/(M75*$Q$59),2)</f>
        <v>437.16</v>
      </c>
      <c r="R85" s="1848"/>
      <c r="S85" s="1848"/>
      <c r="T85" s="1848"/>
      <c r="U85" s="1848"/>
      <c r="V85" s="1848"/>
      <c r="W85" s="1848"/>
      <c r="X85" s="1848"/>
      <c r="Y85" s="1849">
        <f t="shared" ref="Y85:Y88" si="2">ROUND(Q85*$Q$62,2)</f>
        <v>2185.8000000000002</v>
      </c>
      <c r="Z85" s="1849"/>
      <c r="AA85" s="1849"/>
      <c r="AB85" s="1849"/>
      <c r="AC85" s="1849"/>
      <c r="AD85" s="1849"/>
      <c r="AE85" s="1849"/>
      <c r="AF85" s="1850"/>
      <c r="AG85" s="4"/>
      <c r="AH85" s="4"/>
      <c r="AI85" s="4"/>
      <c r="AJ85" s="4"/>
      <c r="AK85" s="4"/>
      <c r="AL85" s="885"/>
      <c r="AM85" s="4"/>
    </row>
    <row r="86" spans="1:39" customFormat="1" ht="37.5" customHeight="1" x14ac:dyDescent="0.25">
      <c r="A86" s="1846" t="s">
        <v>1463</v>
      </c>
      <c r="B86" s="1768"/>
      <c r="C86" s="1768"/>
      <c r="D86" s="1768"/>
      <c r="E86" s="1768"/>
      <c r="F86" s="1768"/>
      <c r="G86" s="1768"/>
      <c r="H86" s="1768"/>
      <c r="I86" s="1847">
        <f t="shared" si="1"/>
        <v>0.06</v>
      </c>
      <c r="J86" s="1847"/>
      <c r="K86" s="1847"/>
      <c r="L86" s="1847"/>
      <c r="M86" s="1847"/>
      <c r="N86" s="1847"/>
      <c r="O86" s="1847"/>
      <c r="P86" s="1847"/>
      <c r="Q86" s="1848">
        <f>ROUND(($Q$50-$Q$51)*$Q$52*I76*$Q$54*$Q$55*($Q$56-$Q$57)/(M76*$Q$59),2)</f>
        <v>319.08999999999997</v>
      </c>
      <c r="R86" s="1848"/>
      <c r="S86" s="1848"/>
      <c r="T86" s="1848"/>
      <c r="U86" s="1848"/>
      <c r="V86" s="1848"/>
      <c r="W86" s="1848"/>
      <c r="X86" s="1848"/>
      <c r="Y86" s="1849">
        <f t="shared" si="2"/>
        <v>1595.45</v>
      </c>
      <c r="Z86" s="1849"/>
      <c r="AA86" s="1849"/>
      <c r="AB86" s="1849"/>
      <c r="AC86" s="1849"/>
      <c r="AD86" s="1849"/>
      <c r="AE86" s="1849"/>
      <c r="AF86" s="1850"/>
      <c r="AG86" s="4"/>
      <c r="AH86" s="4"/>
      <c r="AI86" s="4"/>
      <c r="AJ86" s="4"/>
      <c r="AK86" s="4"/>
      <c r="AL86" s="885"/>
      <c r="AM86" s="4"/>
    </row>
    <row r="87" spans="1:39" customFormat="1" ht="45" customHeight="1" x14ac:dyDescent="0.25">
      <c r="A87" s="1846" t="s">
        <v>6151</v>
      </c>
      <c r="B87" s="1768"/>
      <c r="C87" s="1768"/>
      <c r="D87" s="1768"/>
      <c r="E87" s="1768"/>
      <c r="F87" s="1768"/>
      <c r="G87" s="1768"/>
      <c r="H87" s="1768"/>
      <c r="I87" s="1847">
        <f t="shared" si="1"/>
        <v>4.7E-2</v>
      </c>
      <c r="J87" s="1847"/>
      <c r="K87" s="1847"/>
      <c r="L87" s="1847"/>
      <c r="M87" s="1847"/>
      <c r="N87" s="1847"/>
      <c r="O87" s="1847"/>
      <c r="P87" s="1847"/>
      <c r="Q87" s="1848">
        <f>ROUND(($Q$50-$Q$51)*$Q$52*I74*$Q$54*$Q$55*($Q$56-$Q$57)/(U74*$Q$59),2)</f>
        <v>248.43</v>
      </c>
      <c r="R87" s="1848"/>
      <c r="S87" s="1848"/>
      <c r="T87" s="1848"/>
      <c r="U87" s="1848"/>
      <c r="V87" s="1848"/>
      <c r="W87" s="1848"/>
      <c r="X87" s="1848"/>
      <c r="Y87" s="1849">
        <f t="shared" si="2"/>
        <v>1242.1500000000001</v>
      </c>
      <c r="Z87" s="1849"/>
      <c r="AA87" s="1849"/>
      <c r="AB87" s="1849"/>
      <c r="AC87" s="1849"/>
      <c r="AD87" s="1849"/>
      <c r="AE87" s="1849"/>
      <c r="AF87" s="1850"/>
      <c r="AG87" s="4"/>
      <c r="AH87" s="4"/>
      <c r="AI87" s="4"/>
      <c r="AJ87" s="4"/>
      <c r="AK87" s="4"/>
      <c r="AL87" s="885"/>
      <c r="AM87" s="4"/>
    </row>
    <row r="88" spans="1:39" customFormat="1" ht="48" customHeight="1" x14ac:dyDescent="0.25">
      <c r="A88" s="1846" t="s">
        <v>1464</v>
      </c>
      <c r="B88" s="1768"/>
      <c r="C88" s="1768"/>
      <c r="D88" s="1768"/>
      <c r="E88" s="1768"/>
      <c r="F88" s="1768"/>
      <c r="G88" s="1768"/>
      <c r="H88" s="1768"/>
      <c r="I88" s="1847">
        <f t="shared" si="1"/>
        <v>3.5999999999999997E-2</v>
      </c>
      <c r="J88" s="1847"/>
      <c r="K88" s="1847"/>
      <c r="L88" s="1847"/>
      <c r="M88" s="1847"/>
      <c r="N88" s="1847"/>
      <c r="O88" s="1847"/>
      <c r="P88" s="1847"/>
      <c r="Q88" s="1848">
        <f>ROUND(($Q$50-$Q$51)*$Q$52*I75*$Q$54*$Q$55*($Q$56-$Q$57)/(U75*$Q$59),2)</f>
        <v>192.68</v>
      </c>
      <c r="R88" s="1848"/>
      <c r="S88" s="1848"/>
      <c r="T88" s="1848"/>
      <c r="U88" s="1848"/>
      <c r="V88" s="1848"/>
      <c r="W88" s="1848"/>
      <c r="X88" s="1848"/>
      <c r="Y88" s="1849">
        <f t="shared" si="2"/>
        <v>963.4</v>
      </c>
      <c r="Z88" s="1849"/>
      <c r="AA88" s="1849"/>
      <c r="AB88" s="1849"/>
      <c r="AC88" s="1849"/>
      <c r="AD88" s="1849"/>
      <c r="AE88" s="1849"/>
      <c r="AF88" s="1850"/>
      <c r="AG88" s="4"/>
      <c r="AH88" s="4"/>
      <c r="AI88" s="4"/>
      <c r="AJ88" s="4"/>
      <c r="AK88" s="4"/>
      <c r="AL88" s="885"/>
      <c r="AM88" s="4"/>
    </row>
    <row r="89" spans="1:39" customFormat="1" ht="42" customHeight="1" thickBot="1" x14ac:dyDescent="0.3">
      <c r="A89" s="1851" t="s">
        <v>1465</v>
      </c>
      <c r="B89" s="1852"/>
      <c r="C89" s="1852"/>
      <c r="D89" s="1852"/>
      <c r="E89" s="1852"/>
      <c r="F89" s="1852"/>
      <c r="G89" s="1852"/>
      <c r="H89" s="1852"/>
      <c r="I89" s="1853">
        <f>ROUND(Q89*$Q$60/$Q$61,3)</f>
        <v>2.5999999999999999E-2</v>
      </c>
      <c r="J89" s="1853"/>
      <c r="K89" s="1853"/>
      <c r="L89" s="1853"/>
      <c r="M89" s="1853"/>
      <c r="N89" s="1853"/>
      <c r="O89" s="1853"/>
      <c r="P89" s="1853"/>
      <c r="Q89" s="1854">
        <f>ROUND(($Q$50-$Q$51)*$Q$52*I76*$Q$54*$Q$55*($Q$56-$Q$57)/(U76*$Q$59),2)</f>
        <v>140.63999999999999</v>
      </c>
      <c r="R89" s="1854"/>
      <c r="S89" s="1854"/>
      <c r="T89" s="1854"/>
      <c r="U89" s="1854"/>
      <c r="V89" s="1854"/>
      <c r="W89" s="1854"/>
      <c r="X89" s="1854"/>
      <c r="Y89" s="1855">
        <f>ROUND(Q89*$Q$62,2)</f>
        <v>703.2</v>
      </c>
      <c r="Z89" s="1855"/>
      <c r="AA89" s="1855"/>
      <c r="AB89" s="1855"/>
      <c r="AC89" s="1855"/>
      <c r="AD89" s="1855"/>
      <c r="AE89" s="1855"/>
      <c r="AF89" s="1856"/>
      <c r="AG89" s="4"/>
      <c r="AH89" s="4"/>
      <c r="AI89" s="4"/>
      <c r="AJ89" s="4"/>
      <c r="AK89" s="4"/>
      <c r="AL89" s="885"/>
      <c r="AM89" s="4"/>
    </row>
    <row r="90" spans="1:39" customFormat="1" x14ac:dyDescent="0.25">
      <c r="A90" s="262"/>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262"/>
      <c r="AF90" s="262"/>
      <c r="AG90" s="1"/>
      <c r="AH90" s="1"/>
      <c r="AI90" s="1"/>
      <c r="AJ90" s="1"/>
      <c r="AK90" s="1"/>
      <c r="AL90" s="839"/>
      <c r="AM90" s="1"/>
    </row>
    <row r="91" spans="1:39" customFormat="1" x14ac:dyDescent="0.25">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262"/>
      <c r="AG91" s="1"/>
      <c r="AH91" s="1"/>
      <c r="AI91" s="1"/>
      <c r="AJ91" s="1"/>
      <c r="AK91" s="1"/>
      <c r="AL91" s="839"/>
      <c r="AM91" s="1"/>
    </row>
    <row r="92" spans="1:39" customFormat="1" x14ac:dyDescent="0.25">
      <c r="A92" s="1621" t="s">
        <v>1753</v>
      </c>
      <c r="B92" s="1621"/>
      <c r="C92" s="1621"/>
      <c r="D92" s="1621"/>
      <c r="E92" s="1621"/>
      <c r="F92" s="1621"/>
      <c r="G92" s="1621"/>
      <c r="H92" s="1621"/>
      <c r="I92" s="1621"/>
      <c r="J92" s="1621"/>
      <c r="K92" s="1621"/>
      <c r="L92" s="1621"/>
      <c r="M92" s="1621"/>
      <c r="N92" s="1621"/>
      <c r="O92" s="1621"/>
      <c r="P92" s="1621"/>
      <c r="Q92" s="1621"/>
      <c r="R92" s="1621"/>
      <c r="S92" s="1621"/>
      <c r="T92" s="1621"/>
      <c r="U92" s="1621"/>
      <c r="V92" s="1621"/>
      <c r="W92" s="1621"/>
      <c r="X92" s="1621"/>
      <c r="Y92" s="1621"/>
      <c r="Z92" s="1621"/>
      <c r="AA92" s="1621"/>
      <c r="AB92" s="1621"/>
      <c r="AC92" s="1621"/>
      <c r="AD92" s="1621"/>
      <c r="AE92" s="1621"/>
      <c r="AF92" s="1621"/>
      <c r="AG92" s="1"/>
      <c r="AH92" s="1"/>
      <c r="AI92" s="1"/>
      <c r="AJ92" s="1"/>
      <c r="AK92" s="1"/>
      <c r="AL92" s="624"/>
      <c r="AM92" s="1"/>
    </row>
    <row r="93" spans="1:39" customFormat="1" x14ac:dyDescent="0.25">
      <c r="A93" s="262"/>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c r="AE93" s="262"/>
      <c r="AF93" s="262"/>
      <c r="AG93" s="1"/>
      <c r="AH93" s="1"/>
      <c r="AI93" s="1"/>
      <c r="AJ93" s="1"/>
      <c r="AK93" s="1"/>
      <c r="AL93" s="839"/>
      <c r="AM93" s="1"/>
    </row>
    <row r="94" spans="1:39" customFormat="1" x14ac:dyDescent="0.25">
      <c r="A94" s="517" t="s">
        <v>1013</v>
      </c>
      <c r="B94" s="1287" t="s">
        <v>6152</v>
      </c>
      <c r="C94" s="1287"/>
      <c r="D94" s="1287"/>
      <c r="E94" s="1287"/>
      <c r="F94" s="1287"/>
      <c r="G94" s="1287"/>
      <c r="H94" s="1287"/>
      <c r="I94" s="1287"/>
      <c r="J94" s="1287"/>
      <c r="K94" s="1287"/>
      <c r="L94" s="1287"/>
      <c r="M94" s="1287"/>
      <c r="N94" s="1287"/>
      <c r="O94" s="1287"/>
      <c r="P94" s="1287"/>
      <c r="Q94" s="1287"/>
      <c r="R94" s="1287"/>
      <c r="S94" s="1287"/>
      <c r="T94" s="1287"/>
      <c r="U94" s="1287"/>
      <c r="V94" s="1287"/>
      <c r="W94" s="1287"/>
      <c r="X94" s="1287"/>
      <c r="Y94" s="1287"/>
      <c r="Z94" s="1287"/>
      <c r="AA94" s="1287"/>
      <c r="AB94" s="1287"/>
      <c r="AC94" s="1287"/>
      <c r="AD94" s="1287"/>
      <c r="AE94" s="1287"/>
      <c r="AF94" s="1287"/>
      <c r="AG94" s="1"/>
      <c r="AH94" s="1"/>
      <c r="AI94" s="1"/>
      <c r="AJ94" s="1"/>
      <c r="AK94" s="1"/>
      <c r="AL94" s="839"/>
      <c r="AM94" s="1"/>
    </row>
    <row r="95" spans="1:39" customFormat="1" x14ac:dyDescent="0.25">
      <c r="A95" s="517" t="s">
        <v>1013</v>
      </c>
      <c r="B95" s="1173" t="s">
        <v>6153</v>
      </c>
      <c r="C95" s="1173"/>
      <c r="D95" s="1173"/>
      <c r="E95" s="1173"/>
      <c r="F95" s="1173"/>
      <c r="G95" s="1173"/>
      <c r="H95" s="1173"/>
      <c r="I95" s="1173"/>
      <c r="J95" s="1173"/>
      <c r="K95" s="1173"/>
      <c r="L95" s="1173"/>
      <c r="M95" s="1173"/>
      <c r="N95" s="1173"/>
      <c r="O95" s="1173"/>
      <c r="P95" s="1173"/>
      <c r="Q95" s="1173"/>
      <c r="R95" s="1173"/>
      <c r="S95" s="1173"/>
      <c r="T95" s="1173"/>
      <c r="U95" s="1173"/>
      <c r="V95" s="1173"/>
      <c r="W95" s="1173"/>
      <c r="X95" s="1173"/>
      <c r="Y95" s="1173"/>
      <c r="Z95" s="1173"/>
      <c r="AA95" s="1173"/>
      <c r="AB95" s="1173"/>
      <c r="AC95" s="1173"/>
      <c r="AD95" s="1173"/>
      <c r="AE95" s="1173"/>
      <c r="AF95" s="1173"/>
      <c r="AG95" s="1"/>
      <c r="AH95" s="1"/>
      <c r="AI95" s="1"/>
      <c r="AJ95" s="1"/>
      <c r="AK95" s="1"/>
      <c r="AL95" s="839"/>
      <c r="AM95" s="1"/>
    </row>
    <row r="96" spans="1:39" customFormat="1" ht="30.75" customHeight="1" x14ac:dyDescent="0.25">
      <c r="A96" s="517" t="s">
        <v>1013</v>
      </c>
      <c r="B96" s="1173" t="s">
        <v>6154</v>
      </c>
      <c r="C96" s="1173"/>
      <c r="D96" s="1173"/>
      <c r="E96" s="1173"/>
      <c r="F96" s="1173"/>
      <c r="G96" s="1173"/>
      <c r="H96" s="1173"/>
      <c r="I96" s="1173"/>
      <c r="J96" s="1173"/>
      <c r="K96" s="1173"/>
      <c r="L96" s="1173"/>
      <c r="M96" s="1173"/>
      <c r="N96" s="1173"/>
      <c r="O96" s="1173"/>
      <c r="P96" s="1173"/>
      <c r="Q96" s="1173"/>
      <c r="R96" s="1173"/>
      <c r="S96" s="1173"/>
      <c r="T96" s="1173"/>
      <c r="U96" s="1173"/>
      <c r="V96" s="1173"/>
      <c r="W96" s="1173"/>
      <c r="X96" s="1173"/>
      <c r="Y96" s="1173"/>
      <c r="Z96" s="1173"/>
      <c r="AA96" s="1173"/>
      <c r="AB96" s="1173"/>
      <c r="AC96" s="1173"/>
      <c r="AD96" s="1173"/>
      <c r="AE96" s="1173"/>
      <c r="AF96" s="1173"/>
      <c r="AG96" s="1"/>
      <c r="AH96" s="1"/>
      <c r="AI96" s="1"/>
      <c r="AJ96" s="1"/>
      <c r="AK96" s="1"/>
      <c r="AL96" s="839"/>
      <c r="AM96" s="1"/>
    </row>
    <row r="97" spans="1:39" customFormat="1" ht="63" customHeight="1" x14ac:dyDescent="0.25">
      <c r="A97" s="517" t="s">
        <v>1013</v>
      </c>
      <c r="B97" s="1173" t="s">
        <v>5274</v>
      </c>
      <c r="C97" s="1173"/>
      <c r="D97" s="1173"/>
      <c r="E97" s="1173"/>
      <c r="F97" s="1173"/>
      <c r="G97" s="1173"/>
      <c r="H97" s="1173"/>
      <c r="I97" s="1173"/>
      <c r="J97" s="1173"/>
      <c r="K97" s="1173"/>
      <c r="L97" s="1173"/>
      <c r="M97" s="1173"/>
      <c r="N97" s="1173"/>
      <c r="O97" s="1173"/>
      <c r="P97" s="1173"/>
      <c r="Q97" s="1173"/>
      <c r="R97" s="1173"/>
      <c r="S97" s="1173"/>
      <c r="T97" s="1173"/>
      <c r="U97" s="1173"/>
      <c r="V97" s="1173"/>
      <c r="W97" s="1173"/>
      <c r="X97" s="1173"/>
      <c r="Y97" s="1173"/>
      <c r="Z97" s="1173"/>
      <c r="AA97" s="1173"/>
      <c r="AB97" s="1173"/>
      <c r="AC97" s="1173"/>
      <c r="AD97" s="1173"/>
      <c r="AE97" s="1173"/>
      <c r="AF97" s="1173"/>
      <c r="AG97" s="1"/>
      <c r="AH97" s="1"/>
      <c r="AI97" s="1"/>
      <c r="AJ97" s="1"/>
      <c r="AK97" s="1"/>
      <c r="AL97" s="839"/>
      <c r="AM97" s="1"/>
    </row>
    <row r="98" spans="1:39" customFormat="1" ht="92.25" customHeight="1" x14ac:dyDescent="0.25">
      <c r="A98" s="517" t="s">
        <v>1013</v>
      </c>
      <c r="B98" s="1173" t="s">
        <v>6155</v>
      </c>
      <c r="C98" s="1173"/>
      <c r="D98" s="1173"/>
      <c r="E98" s="1173"/>
      <c r="F98" s="1173"/>
      <c r="G98" s="1173"/>
      <c r="H98" s="1173"/>
      <c r="I98" s="1173"/>
      <c r="J98" s="1173"/>
      <c r="K98" s="1173"/>
      <c r="L98" s="1173"/>
      <c r="M98" s="1173"/>
      <c r="N98" s="1173"/>
      <c r="O98" s="1173"/>
      <c r="P98" s="1173"/>
      <c r="Q98" s="1173"/>
      <c r="R98" s="1173"/>
      <c r="S98" s="1173"/>
      <c r="T98" s="1173"/>
      <c r="U98" s="1173"/>
      <c r="V98" s="1173"/>
      <c r="W98" s="1173"/>
      <c r="X98" s="1173"/>
      <c r="Y98" s="1173"/>
      <c r="Z98" s="1173"/>
      <c r="AA98" s="1173"/>
      <c r="AB98" s="1173"/>
      <c r="AC98" s="1173"/>
      <c r="AD98" s="1173"/>
      <c r="AE98" s="1173"/>
      <c r="AF98" s="1173"/>
      <c r="AG98" s="1"/>
      <c r="AH98" s="1"/>
      <c r="AI98" s="1"/>
      <c r="AJ98" s="1"/>
      <c r="AK98" s="1"/>
      <c r="AL98" s="839"/>
      <c r="AM98" s="1"/>
    </row>
    <row r="99" spans="1:39" customFormat="1" ht="50.25" customHeight="1" x14ac:dyDescent="0.25">
      <c r="A99" s="517" t="s">
        <v>1013</v>
      </c>
      <c r="B99" s="1173" t="s">
        <v>6156</v>
      </c>
      <c r="C99" s="1173"/>
      <c r="D99" s="1173"/>
      <c r="E99" s="1173"/>
      <c r="F99" s="1173"/>
      <c r="G99" s="1173"/>
      <c r="H99" s="1173"/>
      <c r="I99" s="1173"/>
      <c r="J99" s="1173"/>
      <c r="K99" s="1173"/>
      <c r="L99" s="1173"/>
      <c r="M99" s="1173"/>
      <c r="N99" s="1173"/>
      <c r="O99" s="1173"/>
      <c r="P99" s="1173"/>
      <c r="Q99" s="1173"/>
      <c r="R99" s="1173"/>
      <c r="S99" s="1173"/>
      <c r="T99" s="1173"/>
      <c r="U99" s="1173"/>
      <c r="V99" s="1173"/>
      <c r="W99" s="1173"/>
      <c r="X99" s="1173"/>
      <c r="Y99" s="1173"/>
      <c r="Z99" s="1173"/>
      <c r="AA99" s="1173"/>
      <c r="AB99" s="1173"/>
      <c r="AC99" s="1173"/>
      <c r="AD99" s="1173"/>
      <c r="AE99" s="1173"/>
      <c r="AF99" s="1173"/>
      <c r="AG99" s="1"/>
      <c r="AH99" s="1"/>
      <c r="AI99" s="1"/>
      <c r="AJ99" s="1"/>
      <c r="AK99" s="1"/>
      <c r="AL99" s="839"/>
      <c r="AM99" s="1"/>
    </row>
    <row r="100" spans="1:39" customFormat="1" ht="60" customHeight="1" x14ac:dyDescent="0.25">
      <c r="A100" s="517" t="s">
        <v>1013</v>
      </c>
      <c r="B100" s="1173" t="s">
        <v>6157</v>
      </c>
      <c r="C100" s="1173"/>
      <c r="D100" s="1173"/>
      <c r="E100" s="1173"/>
      <c r="F100" s="1173"/>
      <c r="G100" s="1173"/>
      <c r="H100" s="1173"/>
      <c r="I100" s="1173"/>
      <c r="J100" s="1173"/>
      <c r="K100" s="1173"/>
      <c r="L100" s="1173"/>
      <c r="M100" s="1173"/>
      <c r="N100" s="1173"/>
      <c r="O100" s="1173"/>
      <c r="P100" s="1173"/>
      <c r="Q100" s="1173"/>
      <c r="R100" s="1173"/>
      <c r="S100" s="1173"/>
      <c r="T100" s="1173"/>
      <c r="U100" s="1173"/>
      <c r="V100" s="1173"/>
      <c r="W100" s="1173"/>
      <c r="X100" s="1173"/>
      <c r="Y100" s="1173"/>
      <c r="Z100" s="1173"/>
      <c r="AA100" s="1173"/>
      <c r="AB100" s="1173"/>
      <c r="AC100" s="1173"/>
      <c r="AD100" s="1173"/>
      <c r="AE100" s="1173"/>
      <c r="AF100" s="1173"/>
      <c r="AG100" s="1"/>
      <c r="AH100" s="1"/>
      <c r="AI100" s="1"/>
      <c r="AJ100" s="1"/>
      <c r="AK100" s="1"/>
      <c r="AL100" s="839"/>
      <c r="AM100" s="1"/>
    </row>
    <row r="101" spans="1:39" customFormat="1" x14ac:dyDescent="0.25">
      <c r="A101" s="517" t="s">
        <v>1013</v>
      </c>
      <c r="B101" s="1173" t="s">
        <v>6158</v>
      </c>
      <c r="C101" s="1173"/>
      <c r="D101" s="1173"/>
      <c r="E101" s="1173"/>
      <c r="F101" s="1173"/>
      <c r="G101" s="1173"/>
      <c r="H101" s="1173"/>
      <c r="I101" s="1173"/>
      <c r="J101" s="1173"/>
      <c r="K101" s="1173"/>
      <c r="L101" s="1173"/>
      <c r="M101" s="1173"/>
      <c r="N101" s="1173"/>
      <c r="O101" s="1173"/>
      <c r="P101" s="1173"/>
      <c r="Q101" s="1173"/>
      <c r="R101" s="1173"/>
      <c r="S101" s="1173"/>
      <c r="T101" s="1173"/>
      <c r="U101" s="1173"/>
      <c r="V101" s="1173"/>
      <c r="W101" s="1173"/>
      <c r="X101" s="1173"/>
      <c r="Y101" s="1173"/>
      <c r="Z101" s="1173"/>
      <c r="AA101" s="1173"/>
      <c r="AB101" s="1173"/>
      <c r="AC101" s="1173"/>
      <c r="AD101" s="1173"/>
      <c r="AE101" s="1173"/>
      <c r="AF101" s="1173"/>
      <c r="AG101" s="1"/>
      <c r="AH101" s="1"/>
      <c r="AI101" s="1"/>
      <c r="AJ101" s="1"/>
      <c r="AK101" s="1"/>
      <c r="AL101" s="839"/>
      <c r="AM101" s="1"/>
    </row>
    <row r="102" spans="1:39" customFormat="1" ht="33.75" customHeight="1" x14ac:dyDescent="0.25">
      <c r="A102" s="517" t="s">
        <v>1013</v>
      </c>
      <c r="B102" s="1173" t="s">
        <v>6159</v>
      </c>
      <c r="C102" s="1173"/>
      <c r="D102" s="1173"/>
      <c r="E102" s="1173"/>
      <c r="F102" s="1173"/>
      <c r="G102" s="1173"/>
      <c r="H102" s="1173"/>
      <c r="I102" s="1173"/>
      <c r="J102" s="1173"/>
      <c r="K102" s="1173"/>
      <c r="L102" s="1173"/>
      <c r="M102" s="1173"/>
      <c r="N102" s="1173"/>
      <c r="O102" s="1173"/>
      <c r="P102" s="1173"/>
      <c r="Q102" s="1173"/>
      <c r="R102" s="1173"/>
      <c r="S102" s="1173"/>
      <c r="T102" s="1173"/>
      <c r="U102" s="1173"/>
      <c r="V102" s="1173"/>
      <c r="W102" s="1173"/>
      <c r="X102" s="1173"/>
      <c r="Y102" s="1173"/>
      <c r="Z102" s="1173"/>
      <c r="AA102" s="1173"/>
      <c r="AB102" s="1173"/>
      <c r="AC102" s="1173"/>
      <c r="AD102" s="1173"/>
      <c r="AE102" s="1173"/>
      <c r="AF102" s="1173"/>
      <c r="AG102" s="1"/>
      <c r="AH102" s="1"/>
      <c r="AI102" s="1"/>
      <c r="AJ102" s="1"/>
      <c r="AK102" s="1"/>
      <c r="AL102" s="839"/>
      <c r="AM102" s="1"/>
    </row>
    <row r="103" spans="1:39" customFormat="1" ht="45" customHeight="1" x14ac:dyDescent="0.25">
      <c r="A103" s="517" t="s">
        <v>1013</v>
      </c>
      <c r="B103" s="1173" t="s">
        <v>6160</v>
      </c>
      <c r="C103" s="1173"/>
      <c r="D103" s="1173"/>
      <c r="E103" s="1173"/>
      <c r="F103" s="1173"/>
      <c r="G103" s="1173"/>
      <c r="H103" s="1173"/>
      <c r="I103" s="1173"/>
      <c r="J103" s="1173"/>
      <c r="K103" s="1173"/>
      <c r="L103" s="1173"/>
      <c r="M103" s="1173"/>
      <c r="N103" s="1173"/>
      <c r="O103" s="1173"/>
      <c r="P103" s="1173"/>
      <c r="Q103" s="1173"/>
      <c r="R103" s="1173"/>
      <c r="S103" s="1173"/>
      <c r="T103" s="1173"/>
      <c r="U103" s="1173"/>
      <c r="V103" s="1173"/>
      <c r="W103" s="1173"/>
      <c r="X103" s="1173"/>
      <c r="Y103" s="1173"/>
      <c r="Z103" s="1173"/>
      <c r="AA103" s="1173"/>
      <c r="AB103" s="1173"/>
      <c r="AC103" s="1173"/>
      <c r="AD103" s="1173"/>
      <c r="AE103" s="1173"/>
      <c r="AF103" s="1173"/>
      <c r="AG103" s="1"/>
      <c r="AH103" s="1"/>
      <c r="AI103" s="1"/>
      <c r="AJ103" s="1"/>
      <c r="AK103" s="1"/>
      <c r="AL103" s="839"/>
      <c r="AM103" s="1"/>
    </row>
    <row r="104" spans="1:39" customFormat="1" ht="33" customHeight="1" x14ac:dyDescent="0.25">
      <c r="A104" s="517" t="s">
        <v>1013</v>
      </c>
      <c r="B104" s="1173" t="s">
        <v>6161</v>
      </c>
      <c r="C104" s="1173"/>
      <c r="D104" s="1173"/>
      <c r="E104" s="1173"/>
      <c r="F104" s="1173"/>
      <c r="G104" s="1173"/>
      <c r="H104" s="1173"/>
      <c r="I104" s="1173"/>
      <c r="J104" s="1173"/>
      <c r="K104" s="1173"/>
      <c r="L104" s="1173"/>
      <c r="M104" s="1173"/>
      <c r="N104" s="1173"/>
      <c r="O104" s="1173"/>
      <c r="P104" s="1173"/>
      <c r="Q104" s="1173"/>
      <c r="R104" s="1173"/>
      <c r="S104" s="1173"/>
      <c r="T104" s="1173"/>
      <c r="U104" s="1173"/>
      <c r="V104" s="1173"/>
      <c r="W104" s="1173"/>
      <c r="X104" s="1173"/>
      <c r="Y104" s="1173"/>
      <c r="Z104" s="1173"/>
      <c r="AA104" s="1173"/>
      <c r="AB104" s="1173"/>
      <c r="AC104" s="1173"/>
      <c r="AD104" s="1173"/>
      <c r="AE104" s="1173"/>
      <c r="AF104" s="1173"/>
      <c r="AG104" s="1"/>
      <c r="AH104" s="1"/>
      <c r="AI104" s="1"/>
      <c r="AJ104" s="1"/>
      <c r="AK104" s="1"/>
      <c r="AL104" s="839"/>
      <c r="AM104" s="1"/>
    </row>
    <row r="105" spans="1:39" customFormat="1" ht="33" customHeight="1" x14ac:dyDescent="0.25">
      <c r="A105" s="517" t="s">
        <v>1013</v>
      </c>
      <c r="B105" s="1173" t="s">
        <v>6162</v>
      </c>
      <c r="C105" s="1173"/>
      <c r="D105" s="1173"/>
      <c r="E105" s="1173"/>
      <c r="F105" s="1173"/>
      <c r="G105" s="1173"/>
      <c r="H105" s="1173"/>
      <c r="I105" s="1173"/>
      <c r="J105" s="1173"/>
      <c r="K105" s="1173"/>
      <c r="L105" s="1173"/>
      <c r="M105" s="1173"/>
      <c r="N105" s="1173"/>
      <c r="O105" s="1173"/>
      <c r="P105" s="1173"/>
      <c r="Q105" s="1173"/>
      <c r="R105" s="1173"/>
      <c r="S105" s="1173"/>
      <c r="T105" s="1173"/>
      <c r="U105" s="1173"/>
      <c r="V105" s="1173"/>
      <c r="W105" s="1173"/>
      <c r="X105" s="1173"/>
      <c r="Y105" s="1173"/>
      <c r="Z105" s="1173"/>
      <c r="AA105" s="1173"/>
      <c r="AB105" s="1173"/>
      <c r="AC105" s="1173"/>
      <c r="AD105" s="1173"/>
      <c r="AE105" s="1173"/>
      <c r="AF105" s="1173"/>
      <c r="AG105" s="1"/>
      <c r="AH105" s="1"/>
      <c r="AI105" s="1"/>
      <c r="AJ105" s="1"/>
      <c r="AK105" s="1"/>
      <c r="AL105" s="839"/>
      <c r="AM105" s="1"/>
    </row>
    <row r="106" spans="1:39" customFormat="1" ht="31.5" customHeight="1" x14ac:dyDescent="0.25">
      <c r="A106" s="517" t="s">
        <v>1013</v>
      </c>
      <c r="B106" s="1173" t="s">
        <v>6163</v>
      </c>
      <c r="C106" s="1173"/>
      <c r="D106" s="1173"/>
      <c r="E106" s="1173"/>
      <c r="F106" s="1173"/>
      <c r="G106" s="1173"/>
      <c r="H106" s="1173"/>
      <c r="I106" s="1173"/>
      <c r="J106" s="1173"/>
      <c r="K106" s="1173"/>
      <c r="L106" s="1173"/>
      <c r="M106" s="1173"/>
      <c r="N106" s="1173"/>
      <c r="O106" s="1173"/>
      <c r="P106" s="1173"/>
      <c r="Q106" s="1173"/>
      <c r="R106" s="1173"/>
      <c r="S106" s="1173"/>
      <c r="T106" s="1173"/>
      <c r="U106" s="1173"/>
      <c r="V106" s="1173"/>
      <c r="W106" s="1173"/>
      <c r="X106" s="1173"/>
      <c r="Y106" s="1173"/>
      <c r="Z106" s="1173"/>
      <c r="AA106" s="1173"/>
      <c r="AB106" s="1173"/>
      <c r="AC106" s="1173"/>
      <c r="AD106" s="1173"/>
      <c r="AE106" s="1173"/>
      <c r="AF106" s="1173"/>
      <c r="AG106" s="1"/>
      <c r="AH106" s="1"/>
      <c r="AI106" s="1"/>
      <c r="AJ106" s="1"/>
      <c r="AK106" s="1"/>
      <c r="AL106" s="839"/>
      <c r="AM106" s="1"/>
    </row>
  </sheetData>
  <sheetProtection algorithmName="SHA-512" hashValue="po6yfShnQBAvb8x9jvFyps9M0M/DfnWXtdaze5DZBefNFy7zdzGLgX9+g5zNDrJJrYeeeFGjHPuiEtEbeg/kkQ==" saltValue="VhMbpY91Q/S1foUOnB72UQ==" spinCount="100000" sheet="1" objects="1" scenarios="1"/>
  <mergeCells count="162">
    <mergeCell ref="B23:I23"/>
    <mergeCell ref="B24:AF24"/>
    <mergeCell ref="B26:I26"/>
    <mergeCell ref="B16:Q16"/>
    <mergeCell ref="R16:AF16"/>
    <mergeCell ref="B17:Q17"/>
    <mergeCell ref="R17:AF17"/>
    <mergeCell ref="B18:Q18"/>
    <mergeCell ref="R18:AF18"/>
    <mergeCell ref="B19:Q19"/>
    <mergeCell ref="R19:AF19"/>
    <mergeCell ref="B21:AF21"/>
    <mergeCell ref="B15:AF15"/>
    <mergeCell ref="A1:AF1"/>
    <mergeCell ref="A3:AF3"/>
    <mergeCell ref="B5:AF5"/>
    <mergeCell ref="A7:AF7"/>
    <mergeCell ref="B9:I9"/>
    <mergeCell ref="B10:AF10"/>
    <mergeCell ref="B12:I12"/>
    <mergeCell ref="B13:AF13"/>
    <mergeCell ref="B27:AF27"/>
    <mergeCell ref="Y49:AF49"/>
    <mergeCell ref="A50:D50"/>
    <mergeCell ref="E50:P50"/>
    <mergeCell ref="Q50:T50"/>
    <mergeCell ref="U50:X50"/>
    <mergeCell ref="Y50:AF50"/>
    <mergeCell ref="A51:D51"/>
    <mergeCell ref="E51:P51"/>
    <mergeCell ref="Q51:T51"/>
    <mergeCell ref="U51:X51"/>
    <mergeCell ref="Y51:AF51"/>
    <mergeCell ref="A49:D49"/>
    <mergeCell ref="E49:P49"/>
    <mergeCell ref="Q49:T49"/>
    <mergeCell ref="U49:X49"/>
    <mergeCell ref="A48:AF48"/>
    <mergeCell ref="A33:AF33"/>
    <mergeCell ref="B30:AF30"/>
    <mergeCell ref="A54:D54"/>
    <mergeCell ref="E54:P54"/>
    <mergeCell ref="Q54:T54"/>
    <mergeCell ref="U54:X54"/>
    <mergeCell ref="Y54:AF54"/>
    <mergeCell ref="A52:D52"/>
    <mergeCell ref="E52:P52"/>
    <mergeCell ref="Q52:T52"/>
    <mergeCell ref="U52:X52"/>
    <mergeCell ref="Y52:AF52"/>
    <mergeCell ref="A53:D53"/>
    <mergeCell ref="E53:P53"/>
    <mergeCell ref="Q53:T53"/>
    <mergeCell ref="U53:X53"/>
    <mergeCell ref="Y53:AF53"/>
    <mergeCell ref="A55:D55"/>
    <mergeCell ref="E55:P55"/>
    <mergeCell ref="Q55:T55"/>
    <mergeCell ref="U55:X55"/>
    <mergeCell ref="Y55:AF55"/>
    <mergeCell ref="A56:D56"/>
    <mergeCell ref="E56:P56"/>
    <mergeCell ref="Q56:T56"/>
    <mergeCell ref="U56:X56"/>
    <mergeCell ref="Y56:AF56"/>
    <mergeCell ref="A57:D57"/>
    <mergeCell ref="E57:P57"/>
    <mergeCell ref="Q57:T57"/>
    <mergeCell ref="U57:X57"/>
    <mergeCell ref="Y57:AF57"/>
    <mergeCell ref="A58:D58"/>
    <mergeCell ref="E58:P58"/>
    <mergeCell ref="Q58:T58"/>
    <mergeCell ref="U58:X58"/>
    <mergeCell ref="Y58:AF58"/>
    <mergeCell ref="A59:D59"/>
    <mergeCell ref="E59:P59"/>
    <mergeCell ref="Q59:T59"/>
    <mergeCell ref="U59:X59"/>
    <mergeCell ref="Y59:AF59"/>
    <mergeCell ref="A60:D60"/>
    <mergeCell ref="E60:P60"/>
    <mergeCell ref="Q60:T60"/>
    <mergeCell ref="U60:X60"/>
    <mergeCell ref="Y60:AF60"/>
    <mergeCell ref="A61:D61"/>
    <mergeCell ref="E61:P61"/>
    <mergeCell ref="Q61:T61"/>
    <mergeCell ref="U61:X61"/>
    <mergeCell ref="Y61:AF61"/>
    <mergeCell ref="A62:D62"/>
    <mergeCell ref="E62:P62"/>
    <mergeCell ref="Q62:T62"/>
    <mergeCell ref="U62:X62"/>
    <mergeCell ref="Y62:AF62"/>
    <mergeCell ref="A64:AF64"/>
    <mergeCell ref="A65:AF65"/>
    <mergeCell ref="A66:AF66"/>
    <mergeCell ref="A67:AF67"/>
    <mergeCell ref="A68:AF68"/>
    <mergeCell ref="A69:AF69"/>
    <mergeCell ref="A70:AF70"/>
    <mergeCell ref="A73:H73"/>
    <mergeCell ref="I73:L73"/>
    <mergeCell ref="M73:T73"/>
    <mergeCell ref="U73:AB73"/>
    <mergeCell ref="A83:H83"/>
    <mergeCell ref="I83:P83"/>
    <mergeCell ref="Q83:X83"/>
    <mergeCell ref="Y83:AF83"/>
    <mergeCell ref="A78:AB78"/>
    <mergeCell ref="A81:AF81"/>
    <mergeCell ref="A74:H74"/>
    <mergeCell ref="I74:L74"/>
    <mergeCell ref="M74:T74"/>
    <mergeCell ref="U74:AB74"/>
    <mergeCell ref="A75:H75"/>
    <mergeCell ref="I75:L75"/>
    <mergeCell ref="M75:T75"/>
    <mergeCell ref="U75:AB75"/>
    <mergeCell ref="A76:H76"/>
    <mergeCell ref="I76:L76"/>
    <mergeCell ref="M76:T76"/>
    <mergeCell ref="U76:AB76"/>
    <mergeCell ref="A84:H84"/>
    <mergeCell ref="I84:P84"/>
    <mergeCell ref="Q84:X84"/>
    <mergeCell ref="Y84:AF84"/>
    <mergeCell ref="A85:H85"/>
    <mergeCell ref="I85:P85"/>
    <mergeCell ref="Q85:X85"/>
    <mergeCell ref="Y85:AF85"/>
    <mergeCell ref="A86:H86"/>
    <mergeCell ref="I86:P86"/>
    <mergeCell ref="Q86:X86"/>
    <mergeCell ref="Y86:AF86"/>
    <mergeCell ref="A87:H87"/>
    <mergeCell ref="I87:P87"/>
    <mergeCell ref="Q87:X87"/>
    <mergeCell ref="Y87:AF87"/>
    <mergeCell ref="A88:H88"/>
    <mergeCell ref="I88:P88"/>
    <mergeCell ref="Q88:X88"/>
    <mergeCell ref="Y88:AF88"/>
    <mergeCell ref="A89:H89"/>
    <mergeCell ref="I89:P89"/>
    <mergeCell ref="Q89:X89"/>
    <mergeCell ref="Y89:AF89"/>
    <mergeCell ref="B102:AF102"/>
    <mergeCell ref="B103:AF103"/>
    <mergeCell ref="B104:AF104"/>
    <mergeCell ref="B105:AF105"/>
    <mergeCell ref="B106:AF106"/>
    <mergeCell ref="A92:AF92"/>
    <mergeCell ref="B94:AF94"/>
    <mergeCell ref="B95:AF95"/>
    <mergeCell ref="B96:AF96"/>
    <mergeCell ref="B97:AF97"/>
    <mergeCell ref="B98:AF98"/>
    <mergeCell ref="B99:AF99"/>
    <mergeCell ref="B100:AF100"/>
    <mergeCell ref="B101:AF101"/>
  </mergeCells>
  <hyperlinks>
    <hyperlink ref="A2" location="TOC!A1" display="Return to TOC" xr:uid="{D77F7B2E-BB6D-4AA1-9FE7-32ED2A936033}"/>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7:AF45"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7" tint="0.79998168889431442"/>
    <pageSetUpPr autoPageBreaks="0"/>
  </sheetPr>
  <dimension ref="A1:BD106"/>
  <sheetViews>
    <sheetView workbookViewId="0">
      <selection sqref="A1:AF1"/>
    </sheetView>
  </sheetViews>
  <sheetFormatPr defaultColWidth="2.7109375" defaultRowHeight="15" x14ac:dyDescent="0.25"/>
  <cols>
    <col min="1" max="16384" width="2.7109375" style="1"/>
  </cols>
  <sheetData>
    <row r="1" spans="1:56" ht="18.75" x14ac:dyDescent="0.25">
      <c r="A1" s="1464" t="s">
        <v>1132</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L1" s="892"/>
    </row>
    <row r="2" spans="1:56" ht="18.75" x14ac:dyDescent="0.25">
      <c r="A2" s="655" t="s">
        <v>1702</v>
      </c>
      <c r="B2" s="284"/>
      <c r="C2" s="284"/>
      <c r="D2" s="284"/>
      <c r="E2" s="284"/>
      <c r="AL2" s="893"/>
    </row>
    <row r="3" spans="1:56"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c r="AL3" s="839"/>
    </row>
    <row r="4" spans="1:56"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L4" s="839"/>
    </row>
    <row r="5" spans="1:56" x14ac:dyDescent="0.25">
      <c r="A5" s="262"/>
      <c r="B5" s="1589" t="s">
        <v>5857</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L5" s="839"/>
    </row>
    <row r="6" spans="1:56" x14ac:dyDescent="0.25">
      <c r="A6" s="262"/>
      <c r="B6" s="262"/>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L6" s="839"/>
    </row>
    <row r="7" spans="1:56"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c r="AL7" s="839"/>
    </row>
    <row r="8" spans="1:56" x14ac:dyDescent="0.25">
      <c r="A8" s="19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L8" s="839"/>
    </row>
    <row r="9" spans="1:56"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c r="AL9" s="839"/>
    </row>
    <row r="10" spans="1:56" ht="128.25" customHeight="1" x14ac:dyDescent="0.25">
      <c r="A10" s="262"/>
      <c r="B10" s="1173" t="s">
        <v>5169</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L10" s="885"/>
      <c r="AM10" s="31"/>
      <c r="AN10" s="31"/>
      <c r="AO10" s="31"/>
      <c r="AP10" s="31"/>
      <c r="AQ10" s="31"/>
      <c r="AR10" s="31"/>
      <c r="AS10" s="31"/>
      <c r="AT10" s="31"/>
      <c r="AU10" s="31"/>
      <c r="AV10" s="31"/>
      <c r="AW10" s="31"/>
      <c r="AX10" s="31"/>
      <c r="AY10" s="31"/>
      <c r="AZ10" s="31"/>
      <c r="BA10" s="31"/>
      <c r="BB10" s="31"/>
      <c r="BC10" s="31"/>
      <c r="BD10" s="31"/>
    </row>
    <row r="11" spans="1:56"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L11" s="25"/>
    </row>
    <row r="12" spans="1:56"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L12" s="839"/>
    </row>
    <row r="13" spans="1:56" ht="33.6" customHeight="1" x14ac:dyDescent="0.25">
      <c r="A13" s="263"/>
      <c r="B13" s="1173" t="s">
        <v>169</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L13" s="839"/>
    </row>
    <row r="14" spans="1:56" x14ac:dyDescent="0.2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L14" s="839"/>
    </row>
    <row r="15" spans="1:56" ht="14.45" customHeight="1" x14ac:dyDescent="0.25">
      <c r="A15" s="262"/>
      <c r="B15" s="1845" t="s">
        <v>12</v>
      </c>
      <c r="C15" s="1845"/>
      <c r="D15" s="1845"/>
      <c r="E15" s="1845"/>
      <c r="F15" s="1845"/>
      <c r="G15" s="1845"/>
      <c r="H15" s="1845"/>
      <c r="I15" s="1845"/>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L15" s="839"/>
    </row>
    <row r="16" spans="1:56" ht="14.45" customHeight="1" x14ac:dyDescent="0.25">
      <c r="A16" s="262"/>
      <c r="B16" s="1703" t="s">
        <v>1313</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c r="AL16" s="885"/>
    </row>
    <row r="17" spans="1:38" ht="14.45" customHeight="1" x14ac:dyDescent="0.25">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L17" s="839"/>
    </row>
    <row r="18" spans="1:38" x14ac:dyDescent="0.25">
      <c r="A18" s="262"/>
      <c r="B18" s="1845" t="s">
        <v>13</v>
      </c>
      <c r="C18" s="1845"/>
      <c r="D18" s="1845"/>
      <c r="E18" s="1845"/>
      <c r="F18" s="1845"/>
      <c r="G18" s="1845"/>
      <c r="H18" s="1845"/>
      <c r="I18" s="1845"/>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L18" s="839"/>
    </row>
    <row r="19" spans="1:38" ht="63" customHeight="1" x14ac:dyDescent="0.25">
      <c r="A19" s="263"/>
      <c r="B19" s="1173" t="s">
        <v>6191</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L19" s="839"/>
    </row>
    <row r="20" spans="1:38" x14ac:dyDescent="0.25">
      <c r="A20" s="262"/>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L20" s="839"/>
    </row>
    <row r="21" spans="1:38" x14ac:dyDescent="0.25">
      <c r="A21" s="262"/>
      <c r="B21" s="414" t="s">
        <v>20</v>
      </c>
      <c r="C21" s="414"/>
      <c r="D21" s="414"/>
      <c r="E21" s="414"/>
      <c r="F21" s="414"/>
      <c r="G21" s="414"/>
      <c r="H21" s="414"/>
      <c r="I21" s="414"/>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L21" s="839"/>
    </row>
    <row r="22" spans="1:38" ht="34.9" customHeight="1" x14ac:dyDescent="0.25">
      <c r="A22" s="262"/>
      <c r="B22" s="1173" t="s">
        <v>6192</v>
      </c>
      <c r="C22" s="1173"/>
      <c r="D22" s="1173"/>
      <c r="E22" s="1173"/>
      <c r="F22" s="1173"/>
      <c r="G22" s="1173"/>
      <c r="H22" s="1173"/>
      <c r="I22" s="1173"/>
      <c r="J22" s="1173"/>
      <c r="K22" s="1173"/>
      <c r="L22" s="1173"/>
      <c r="M22" s="1173"/>
      <c r="N22" s="1173"/>
      <c r="O22" s="1173"/>
      <c r="P22" s="1173"/>
      <c r="Q22" s="1173"/>
      <c r="R22" s="1173"/>
      <c r="S22" s="1173"/>
      <c r="T22" s="1173"/>
      <c r="U22" s="1173"/>
      <c r="V22" s="1173"/>
      <c r="W22" s="1173"/>
      <c r="X22" s="1173"/>
      <c r="Y22" s="1173"/>
      <c r="Z22" s="1173"/>
      <c r="AA22" s="1173"/>
      <c r="AB22" s="1173"/>
      <c r="AC22" s="1173"/>
      <c r="AD22" s="1173"/>
      <c r="AE22" s="1173"/>
      <c r="AF22" s="1173"/>
      <c r="AL22" s="839"/>
    </row>
    <row r="23" spans="1:38" x14ac:dyDescent="0.25">
      <c r="A23" s="262"/>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L23" s="839"/>
    </row>
    <row r="24" spans="1:38" x14ac:dyDescent="0.25">
      <c r="A24" s="262"/>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L24" s="839"/>
    </row>
    <row r="25" spans="1:38" x14ac:dyDescent="0.25">
      <c r="A25" s="1385" t="s">
        <v>14</v>
      </c>
      <c r="B25" s="1386"/>
      <c r="C25" s="1386"/>
      <c r="D25" s="1386"/>
      <c r="E25" s="1386"/>
      <c r="F25" s="1386"/>
      <c r="G25" s="1386"/>
      <c r="H25" s="1386"/>
      <c r="I25" s="1386"/>
      <c r="J25" s="1386"/>
      <c r="K25" s="1386"/>
      <c r="L25" s="1386"/>
      <c r="M25" s="1386"/>
      <c r="N25" s="1386"/>
      <c r="O25" s="1386"/>
      <c r="P25" s="1386"/>
      <c r="Q25" s="1386"/>
      <c r="R25" s="1386"/>
      <c r="S25" s="1386"/>
      <c r="T25" s="1386"/>
      <c r="U25" s="1386"/>
      <c r="V25" s="1386"/>
      <c r="W25" s="1386"/>
      <c r="X25" s="1386"/>
      <c r="Y25" s="1386"/>
      <c r="Z25" s="1386"/>
      <c r="AA25" s="1386"/>
      <c r="AB25" s="1386"/>
      <c r="AC25" s="1386"/>
      <c r="AD25" s="1386"/>
      <c r="AE25" s="1386"/>
      <c r="AF25" s="1387"/>
      <c r="AL25" s="839"/>
    </row>
    <row r="26" spans="1:38" x14ac:dyDescent="0.25">
      <c r="A26" s="262"/>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c r="AL26" s="839"/>
    </row>
    <row r="27" spans="1:38" x14ac:dyDescent="0.25">
      <c r="A27" s="868"/>
      <c r="B27" s="519" t="s">
        <v>2194</v>
      </c>
      <c r="C27" s="868"/>
      <c r="D27" s="868"/>
      <c r="E27" s="868"/>
      <c r="F27" s="868"/>
      <c r="G27" s="868"/>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L27" s="839"/>
    </row>
    <row r="28" spans="1:38" x14ac:dyDescent="0.25">
      <c r="A28" s="868"/>
      <c r="B28" s="868"/>
      <c r="C28" s="868"/>
      <c r="D28" s="868"/>
      <c r="E28" s="868"/>
      <c r="F28" s="868"/>
      <c r="G28" s="868"/>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L28" s="839"/>
    </row>
    <row r="29" spans="1:38" x14ac:dyDescent="0.25">
      <c r="A29" s="868"/>
      <c r="B29" s="868"/>
      <c r="C29" s="868"/>
      <c r="D29" s="868"/>
      <c r="E29" s="868"/>
      <c r="F29" s="868"/>
      <c r="G29" s="868"/>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685" t="s">
        <v>1705</v>
      </c>
      <c r="AL29" s="839"/>
    </row>
    <row r="30" spans="1:38" x14ac:dyDescent="0.25">
      <c r="A30" s="868"/>
      <c r="B30" s="868"/>
      <c r="C30" s="868"/>
      <c r="D30" s="868"/>
      <c r="E30" s="868"/>
      <c r="F30" s="868"/>
      <c r="G30" s="868"/>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339"/>
      <c r="AL30" s="839"/>
    </row>
    <row r="31" spans="1:38" x14ac:dyDescent="0.25">
      <c r="A31" s="868"/>
      <c r="B31" s="519" t="s">
        <v>2303</v>
      </c>
      <c r="C31" s="868"/>
      <c r="D31" s="868"/>
      <c r="E31" s="868"/>
      <c r="F31" s="868"/>
      <c r="G31" s="868"/>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L31" s="839"/>
    </row>
    <row r="32" spans="1:38" x14ac:dyDescent="0.25">
      <c r="A32" s="868"/>
      <c r="B32" s="868"/>
      <c r="C32" s="868"/>
      <c r="D32" s="868"/>
      <c r="E32" s="868"/>
      <c r="F32" s="868"/>
      <c r="G32" s="868"/>
      <c r="H32" s="339"/>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c r="AL32" s="839"/>
    </row>
    <row r="33" spans="1:54" x14ac:dyDescent="0.25">
      <c r="A33" s="868"/>
      <c r="B33" s="868"/>
      <c r="C33" s="868"/>
      <c r="D33" s="868"/>
      <c r="E33" s="868"/>
      <c r="F33" s="868"/>
      <c r="G33" s="868"/>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t="s">
        <v>1706</v>
      </c>
      <c r="AL33" s="839"/>
    </row>
    <row r="34" spans="1:54" x14ac:dyDescent="0.25">
      <c r="A34" s="868"/>
      <c r="B34" s="868"/>
      <c r="C34" s="868"/>
      <c r="D34" s="868"/>
      <c r="E34" s="868"/>
      <c r="F34" s="868"/>
      <c r="G34" s="868"/>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L34" s="839"/>
    </row>
    <row r="35" spans="1:54" x14ac:dyDescent="0.25">
      <c r="A35" s="868"/>
      <c r="B35" s="519" t="s">
        <v>1998</v>
      </c>
      <c r="C35" s="868"/>
      <c r="D35" s="868"/>
      <c r="E35" s="868"/>
      <c r="F35" s="868"/>
      <c r="G35" s="868"/>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L35" s="839"/>
    </row>
    <row r="36" spans="1:54" x14ac:dyDescent="0.25">
      <c r="A36" s="868"/>
      <c r="B36" s="868"/>
      <c r="C36" s="868"/>
      <c r="D36" s="868"/>
      <c r="E36" s="868"/>
      <c r="F36" s="868"/>
      <c r="G36" s="868"/>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L36" s="839"/>
    </row>
    <row r="37" spans="1:54" x14ac:dyDescent="0.25">
      <c r="A37" s="868"/>
      <c r="B37" s="868"/>
      <c r="C37" s="868"/>
      <c r="D37" s="868"/>
      <c r="E37" s="868"/>
      <c r="F37" s="868"/>
      <c r="G37" s="868"/>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419" t="s">
        <v>1707</v>
      </c>
      <c r="AL37" s="839"/>
    </row>
    <row r="38" spans="1:54" x14ac:dyDescent="0.25">
      <c r="A38" s="868"/>
      <c r="B38" s="868"/>
      <c r="C38" s="868"/>
      <c r="D38" s="868"/>
      <c r="E38" s="868"/>
      <c r="F38" s="868"/>
      <c r="G38" s="868"/>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L38" s="839"/>
    </row>
    <row r="39" spans="1:54" x14ac:dyDescent="0.25">
      <c r="A39" s="262"/>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L39" s="839"/>
    </row>
    <row r="40" spans="1:54" ht="14.45" customHeight="1" x14ac:dyDescent="0.25">
      <c r="A40" s="1385" t="s">
        <v>15</v>
      </c>
      <c r="B40" s="1386"/>
      <c r="C40" s="1386"/>
      <c r="D40" s="1386"/>
      <c r="E40" s="1386"/>
      <c r="F40" s="1386"/>
      <c r="G40" s="1386"/>
      <c r="H40" s="1386"/>
      <c r="I40" s="1386"/>
      <c r="J40" s="1386"/>
      <c r="K40" s="1386"/>
      <c r="L40" s="1386"/>
      <c r="M40" s="1386"/>
      <c r="N40" s="1386"/>
      <c r="O40" s="1386"/>
      <c r="P40" s="1386"/>
      <c r="Q40" s="1386"/>
      <c r="R40" s="1386"/>
      <c r="S40" s="1386"/>
      <c r="T40" s="1386"/>
      <c r="U40" s="1386"/>
      <c r="V40" s="1386"/>
      <c r="W40" s="1386"/>
      <c r="X40" s="1386"/>
      <c r="Y40" s="1386"/>
      <c r="Z40" s="1386"/>
      <c r="AA40" s="1386"/>
      <c r="AB40" s="1386"/>
      <c r="AC40" s="1386"/>
      <c r="AD40" s="1386"/>
      <c r="AE40" s="1386"/>
      <c r="AF40" s="1387"/>
      <c r="AL40" s="839"/>
    </row>
    <row r="41" spans="1:54" x14ac:dyDescent="0.25">
      <c r="A41" s="1697" t="s">
        <v>16</v>
      </c>
      <c r="B41" s="1698"/>
      <c r="C41" s="1698"/>
      <c r="D41" s="1699"/>
      <c r="E41" s="1697" t="s">
        <v>10</v>
      </c>
      <c r="F41" s="1698"/>
      <c r="G41" s="1698"/>
      <c r="H41" s="1698"/>
      <c r="I41" s="1698"/>
      <c r="J41" s="1698"/>
      <c r="K41" s="1698"/>
      <c r="L41" s="1698"/>
      <c r="M41" s="1698"/>
      <c r="N41" s="1698"/>
      <c r="O41" s="1698"/>
      <c r="P41" s="1699"/>
      <c r="Q41" s="1697" t="s">
        <v>17</v>
      </c>
      <c r="R41" s="1698"/>
      <c r="S41" s="1698"/>
      <c r="T41" s="1699"/>
      <c r="U41" s="1697" t="s">
        <v>18</v>
      </c>
      <c r="V41" s="1699"/>
      <c r="W41" s="1697" t="s">
        <v>19</v>
      </c>
      <c r="X41" s="1698"/>
      <c r="Y41" s="1698"/>
      <c r="Z41" s="1698"/>
      <c r="AA41" s="1698"/>
      <c r="AB41" s="1698"/>
      <c r="AC41" s="1698"/>
      <c r="AD41" s="1698"/>
      <c r="AE41" s="1698"/>
      <c r="AF41" s="1699"/>
      <c r="AL41" s="839"/>
      <c r="AY41" s="906"/>
      <c r="AZ41" s="906"/>
      <c r="BA41" s="906"/>
      <c r="BB41" s="906"/>
    </row>
    <row r="42" spans="1:54" ht="33.6" customHeight="1" x14ac:dyDescent="0.25">
      <c r="A42" s="1680" t="s">
        <v>5926</v>
      </c>
      <c r="B42" s="1681"/>
      <c r="C42" s="1681"/>
      <c r="D42" s="1682"/>
      <c r="E42" s="1680" t="s">
        <v>5170</v>
      </c>
      <c r="F42" s="1681"/>
      <c r="G42" s="1681"/>
      <c r="H42" s="1681"/>
      <c r="I42" s="1681"/>
      <c r="J42" s="1681"/>
      <c r="K42" s="1681"/>
      <c r="L42" s="1681"/>
      <c r="M42" s="1681"/>
      <c r="N42" s="1681"/>
      <c r="O42" s="1681"/>
      <c r="P42" s="1682"/>
      <c r="Q42" s="1683" t="s">
        <v>626</v>
      </c>
      <c r="R42" s="1684"/>
      <c r="S42" s="1684"/>
      <c r="T42" s="1685"/>
      <c r="U42" s="1497" t="s">
        <v>82</v>
      </c>
      <c r="V42" s="1499"/>
      <c r="W42" s="1497" t="s">
        <v>5171</v>
      </c>
      <c r="X42" s="1498"/>
      <c r="Y42" s="1498"/>
      <c r="Z42" s="1498"/>
      <c r="AA42" s="1498"/>
      <c r="AB42" s="1498"/>
      <c r="AC42" s="1498"/>
      <c r="AD42" s="1498"/>
      <c r="AE42" s="1498"/>
      <c r="AF42" s="1499"/>
      <c r="AL42" s="839"/>
    </row>
    <row r="43" spans="1:54" ht="36.6" customHeight="1" x14ac:dyDescent="0.25">
      <c r="A43" s="1680" t="s">
        <v>5927</v>
      </c>
      <c r="B43" s="1681"/>
      <c r="C43" s="1681"/>
      <c r="D43" s="1682"/>
      <c r="E43" s="1494" t="s">
        <v>5172</v>
      </c>
      <c r="F43" s="1495"/>
      <c r="G43" s="1495"/>
      <c r="H43" s="1495"/>
      <c r="I43" s="1495"/>
      <c r="J43" s="1495"/>
      <c r="K43" s="1495"/>
      <c r="L43" s="1495"/>
      <c r="M43" s="1495"/>
      <c r="N43" s="1495"/>
      <c r="O43" s="1495"/>
      <c r="P43" s="1496"/>
      <c r="Q43" s="1683" t="s">
        <v>626</v>
      </c>
      <c r="R43" s="1684"/>
      <c r="S43" s="1684"/>
      <c r="T43" s="1685"/>
      <c r="U43" s="1497" t="s">
        <v>82</v>
      </c>
      <c r="V43" s="1499"/>
      <c r="W43" s="1683" t="s">
        <v>6185</v>
      </c>
      <c r="X43" s="1684"/>
      <c r="Y43" s="1684"/>
      <c r="Z43" s="1684"/>
      <c r="AA43" s="1684"/>
      <c r="AB43" s="1684"/>
      <c r="AC43" s="1684"/>
      <c r="AD43" s="1684"/>
      <c r="AE43" s="1684"/>
      <c r="AF43" s="1685"/>
      <c r="AH43" s="640"/>
      <c r="AL43" s="839"/>
    </row>
    <row r="44" spans="1:54" x14ac:dyDescent="0.25">
      <c r="A44" s="1680" t="s">
        <v>72</v>
      </c>
      <c r="B44" s="1681"/>
      <c r="C44" s="1681"/>
      <c r="D44" s="1682"/>
      <c r="E44" s="1680" t="s">
        <v>125</v>
      </c>
      <c r="F44" s="1681"/>
      <c r="G44" s="1681"/>
      <c r="H44" s="1681"/>
      <c r="I44" s="1681"/>
      <c r="J44" s="1681"/>
      <c r="K44" s="1681"/>
      <c r="L44" s="1681"/>
      <c r="M44" s="1681"/>
      <c r="N44" s="1681"/>
      <c r="O44" s="1681"/>
      <c r="P44" s="1682"/>
      <c r="Q44" s="1683">
        <v>365</v>
      </c>
      <c r="R44" s="1684"/>
      <c r="S44" s="1684"/>
      <c r="T44" s="1685"/>
      <c r="U44" s="1683" t="s">
        <v>74</v>
      </c>
      <c r="V44" s="1685"/>
      <c r="W44" s="1683"/>
      <c r="X44" s="1684"/>
      <c r="Y44" s="1684"/>
      <c r="Z44" s="1684"/>
      <c r="AA44" s="1684"/>
      <c r="AB44" s="1684"/>
      <c r="AC44" s="1684"/>
      <c r="AD44" s="1684"/>
      <c r="AE44" s="1684"/>
      <c r="AF44" s="1685"/>
      <c r="AL44" s="839"/>
    </row>
    <row r="45" spans="1:54" x14ac:dyDescent="0.25">
      <c r="A45" s="1680" t="s">
        <v>32</v>
      </c>
      <c r="B45" s="1681"/>
      <c r="C45" s="1681"/>
      <c r="D45" s="1682"/>
      <c r="E45" s="1680" t="s">
        <v>163</v>
      </c>
      <c r="F45" s="1681"/>
      <c r="G45" s="1681"/>
      <c r="H45" s="1681"/>
      <c r="I45" s="1681"/>
      <c r="J45" s="1681"/>
      <c r="K45" s="1681"/>
      <c r="L45" s="1681"/>
      <c r="M45" s="1681"/>
      <c r="N45" s="1681"/>
      <c r="O45" s="1681"/>
      <c r="P45" s="1682"/>
      <c r="Q45" s="1690">
        <v>8760</v>
      </c>
      <c r="R45" s="1691"/>
      <c r="S45" s="1691"/>
      <c r="T45" s="1692"/>
      <c r="U45" s="1683" t="s">
        <v>45</v>
      </c>
      <c r="V45" s="1685"/>
      <c r="W45" s="1683"/>
      <c r="X45" s="1684"/>
      <c r="Y45" s="1684"/>
      <c r="Z45" s="1684"/>
      <c r="AA45" s="1684"/>
      <c r="AB45" s="1684"/>
      <c r="AC45" s="1684"/>
      <c r="AD45" s="1684"/>
      <c r="AE45" s="1684"/>
      <c r="AF45" s="1685"/>
      <c r="AL45" s="839"/>
    </row>
    <row r="46" spans="1:54" ht="14.45" customHeight="1" x14ac:dyDescent="0.25">
      <c r="A46" s="1680" t="s">
        <v>29</v>
      </c>
      <c r="B46" s="1681"/>
      <c r="C46" s="1681"/>
      <c r="D46" s="1682"/>
      <c r="E46" s="1680" t="s">
        <v>104</v>
      </c>
      <c r="F46" s="1681"/>
      <c r="G46" s="1681"/>
      <c r="H46" s="1681"/>
      <c r="I46" s="1681"/>
      <c r="J46" s="1681"/>
      <c r="K46" s="1681"/>
      <c r="L46" s="1681"/>
      <c r="M46" s="1681"/>
      <c r="N46" s="1681"/>
      <c r="O46" s="1681"/>
      <c r="P46" s="1682"/>
      <c r="Q46" s="1683">
        <v>1</v>
      </c>
      <c r="R46" s="1684"/>
      <c r="S46" s="1684"/>
      <c r="T46" s="1685"/>
      <c r="U46" s="1683" t="s">
        <v>28</v>
      </c>
      <c r="V46" s="1685"/>
      <c r="W46" s="1683"/>
      <c r="X46" s="1684"/>
      <c r="Y46" s="1684"/>
      <c r="Z46" s="1684"/>
      <c r="AA46" s="1684"/>
      <c r="AB46" s="1684"/>
      <c r="AC46" s="1684"/>
      <c r="AD46" s="1684"/>
      <c r="AE46" s="1684"/>
      <c r="AF46" s="1685"/>
      <c r="AL46" s="839"/>
    </row>
    <row r="47" spans="1:54" ht="42.75" customHeight="1" x14ac:dyDescent="0.25">
      <c r="A47" s="1680" t="s">
        <v>2724</v>
      </c>
      <c r="B47" s="1681"/>
      <c r="C47" s="1681"/>
      <c r="D47" s="1682"/>
      <c r="E47" s="1680" t="s">
        <v>5979</v>
      </c>
      <c r="F47" s="1681"/>
      <c r="G47" s="1681"/>
      <c r="H47" s="1681"/>
      <c r="I47" s="1681"/>
      <c r="J47" s="1681"/>
      <c r="K47" s="1681"/>
      <c r="L47" s="1681"/>
      <c r="M47" s="1681"/>
      <c r="N47" s="1681"/>
      <c r="O47" s="1681"/>
      <c r="P47" s="1682"/>
      <c r="Q47" s="1683">
        <f>'Master EUL'!X121</f>
        <v>12</v>
      </c>
      <c r="R47" s="1684"/>
      <c r="S47" s="1684"/>
      <c r="T47" s="1685"/>
      <c r="U47" s="1683" t="s">
        <v>46</v>
      </c>
      <c r="V47" s="1685"/>
      <c r="W47" s="1497" t="s">
        <v>6186</v>
      </c>
      <c r="X47" s="1498"/>
      <c r="Y47" s="1498"/>
      <c r="Z47" s="1498"/>
      <c r="AA47" s="1498"/>
      <c r="AB47" s="1498"/>
      <c r="AC47" s="1498"/>
      <c r="AD47" s="1498"/>
      <c r="AE47" s="1498"/>
      <c r="AF47" s="1499"/>
      <c r="AL47" s="893"/>
    </row>
    <row r="48" spans="1:54" x14ac:dyDescent="0.25">
      <c r="A48" s="629"/>
      <c r="B48" s="629"/>
      <c r="C48" s="629"/>
      <c r="D48" s="629"/>
      <c r="E48" s="629"/>
      <c r="F48" s="629"/>
      <c r="G48" s="629"/>
      <c r="H48" s="629"/>
      <c r="I48" s="629"/>
      <c r="J48" s="629"/>
      <c r="K48" s="629"/>
      <c r="L48" s="629"/>
      <c r="M48" s="629"/>
      <c r="N48" s="629"/>
      <c r="O48" s="629"/>
      <c r="P48" s="629"/>
      <c r="Q48" s="632"/>
      <c r="R48" s="632"/>
      <c r="S48" s="632"/>
      <c r="T48" s="632"/>
      <c r="U48" s="632"/>
      <c r="V48" s="632"/>
      <c r="W48" s="632"/>
      <c r="X48" s="632"/>
      <c r="Y48" s="632"/>
      <c r="Z48" s="632"/>
      <c r="AA48" s="632"/>
      <c r="AB48" s="632"/>
      <c r="AC48" s="632"/>
      <c r="AD48" s="632"/>
      <c r="AE48" s="632"/>
      <c r="AF48" s="632"/>
      <c r="AL48" s="839"/>
    </row>
    <row r="49" spans="1:38" x14ac:dyDescent="0.25">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L49" s="839"/>
    </row>
    <row r="50" spans="1:38" x14ac:dyDescent="0.25">
      <c r="A50" s="1621" t="s">
        <v>21</v>
      </c>
      <c r="B50" s="1621"/>
      <c r="C50" s="1621"/>
      <c r="D50" s="1621"/>
      <c r="E50" s="1621"/>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1621"/>
      <c r="AB50" s="1621"/>
      <c r="AC50" s="1621"/>
      <c r="AD50" s="1621"/>
      <c r="AE50" s="1621"/>
      <c r="AF50" s="1621"/>
      <c r="AL50" s="839"/>
    </row>
    <row r="51" spans="1:38" x14ac:dyDescent="0.25">
      <c r="A51" s="190"/>
      <c r="B51" s="190"/>
      <c r="C51" s="190"/>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L51" s="839"/>
    </row>
    <row r="52" spans="1:38" x14ac:dyDescent="0.25">
      <c r="A52" s="338" t="s">
        <v>5173</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I52" s="839"/>
      <c r="AL52" s="839"/>
    </row>
    <row r="53" spans="1:38" ht="28.9" customHeight="1" x14ac:dyDescent="0.25">
      <c r="A53" s="1319" t="s">
        <v>732</v>
      </c>
      <c r="B53" s="1319"/>
      <c r="C53" s="1319"/>
      <c r="D53" s="1319"/>
      <c r="E53" s="1319" t="s">
        <v>733</v>
      </c>
      <c r="F53" s="1319"/>
      <c r="G53" s="1319"/>
      <c r="H53" s="1319" t="s">
        <v>6193</v>
      </c>
      <c r="I53" s="1319"/>
      <c r="J53" s="1319"/>
      <c r="K53" s="1319"/>
      <c r="L53" s="1319"/>
      <c r="M53" s="1319"/>
      <c r="N53" s="1319" t="s">
        <v>739</v>
      </c>
      <c r="O53" s="1319"/>
      <c r="P53" s="1319"/>
      <c r="Q53" s="1319"/>
      <c r="R53" s="1319"/>
      <c r="S53" s="1319"/>
      <c r="T53" s="1319" t="s">
        <v>740</v>
      </c>
      <c r="U53" s="1319"/>
      <c r="V53" s="1319"/>
      <c r="W53" s="1319"/>
      <c r="X53" s="1319"/>
      <c r="Y53" s="1319"/>
      <c r="Z53" s="1319" t="s">
        <v>741</v>
      </c>
      <c r="AA53" s="1319"/>
      <c r="AB53" s="1319"/>
      <c r="AC53" s="1319"/>
      <c r="AD53" s="1319" t="s">
        <v>458</v>
      </c>
      <c r="AE53" s="1319"/>
      <c r="AF53" s="1319"/>
      <c r="AL53" s="683"/>
    </row>
    <row r="54" spans="1:38" x14ac:dyDescent="0.25">
      <c r="A54" s="1319"/>
      <c r="B54" s="1319"/>
      <c r="C54" s="1319"/>
      <c r="D54" s="1319"/>
      <c r="E54" s="1319"/>
      <c r="F54" s="1319"/>
      <c r="G54" s="1319"/>
      <c r="H54" s="1320" t="s">
        <v>531</v>
      </c>
      <c r="I54" s="1320"/>
      <c r="J54" s="1320"/>
      <c r="K54" s="1320" t="s">
        <v>734</v>
      </c>
      <c r="L54" s="1320"/>
      <c r="M54" s="1320"/>
      <c r="N54" s="1320" t="s">
        <v>531</v>
      </c>
      <c r="O54" s="1320"/>
      <c r="P54" s="1320"/>
      <c r="Q54" s="1320" t="s">
        <v>734</v>
      </c>
      <c r="R54" s="1320"/>
      <c r="S54" s="1320"/>
      <c r="T54" s="1320" t="s">
        <v>531</v>
      </c>
      <c r="U54" s="1320"/>
      <c r="V54" s="1320"/>
      <c r="W54" s="1320" t="s">
        <v>734</v>
      </c>
      <c r="X54" s="1320"/>
      <c r="Y54" s="1320"/>
      <c r="Z54" s="1319"/>
      <c r="AA54" s="1319"/>
      <c r="AB54" s="1319"/>
      <c r="AC54" s="1319"/>
      <c r="AD54" s="1319"/>
      <c r="AE54" s="1319"/>
      <c r="AF54" s="1319"/>
      <c r="AL54" s="885"/>
    </row>
    <row r="55" spans="1:38" x14ac:dyDescent="0.25">
      <c r="A55" s="1878" t="s">
        <v>5174</v>
      </c>
      <c r="B55" s="1878"/>
      <c r="C55" s="1878"/>
      <c r="D55" s="1878"/>
      <c r="E55" s="1878"/>
      <c r="F55" s="1878"/>
      <c r="G55" s="1878"/>
      <c r="H55" s="1878"/>
      <c r="I55" s="1878"/>
      <c r="J55" s="1878"/>
      <c r="K55" s="1878"/>
      <c r="L55" s="1878"/>
      <c r="M55" s="1878"/>
      <c r="N55" s="1878"/>
      <c r="O55" s="1878"/>
      <c r="P55" s="1878"/>
      <c r="Q55" s="1878"/>
      <c r="R55" s="1878"/>
      <c r="S55" s="1878"/>
      <c r="T55" s="1878"/>
      <c r="U55" s="1878"/>
      <c r="V55" s="1878"/>
      <c r="W55" s="1878"/>
      <c r="X55" s="1878"/>
      <c r="Y55" s="1878"/>
      <c r="Z55" s="1878"/>
      <c r="AA55" s="1878"/>
      <c r="AB55" s="1878"/>
      <c r="AC55" s="1878"/>
      <c r="AD55" s="1878"/>
      <c r="AE55" s="1878"/>
      <c r="AF55" s="1878"/>
      <c r="AL55" s="885"/>
    </row>
    <row r="56" spans="1:38" x14ac:dyDescent="0.25">
      <c r="A56" s="1872" t="s">
        <v>5175</v>
      </c>
      <c r="B56" s="1873"/>
      <c r="C56" s="1873"/>
      <c r="D56" s="1873"/>
      <c r="E56" s="1873"/>
      <c r="F56" s="1873"/>
      <c r="G56" s="1873"/>
      <c r="H56" s="1873"/>
      <c r="I56" s="1873"/>
      <c r="J56" s="1873"/>
      <c r="K56" s="1873"/>
      <c r="L56" s="1873"/>
      <c r="M56" s="1873"/>
      <c r="N56" s="1873"/>
      <c r="O56" s="1873"/>
      <c r="P56" s="1873"/>
      <c r="Q56" s="1873"/>
      <c r="R56" s="1873"/>
      <c r="S56" s="1873"/>
      <c r="T56" s="1873"/>
      <c r="U56" s="1873"/>
      <c r="V56" s="1873"/>
      <c r="W56" s="1873"/>
      <c r="X56" s="1873"/>
      <c r="Y56" s="1873"/>
      <c r="Z56" s="1873"/>
      <c r="AA56" s="1873"/>
      <c r="AB56" s="1873"/>
      <c r="AC56" s="1873"/>
      <c r="AD56" s="1873"/>
      <c r="AE56" s="1873"/>
      <c r="AF56" s="1873"/>
      <c r="AL56" s="885"/>
    </row>
    <row r="57" spans="1:38" x14ac:dyDescent="0.25">
      <c r="A57" s="1874" t="s">
        <v>5176</v>
      </c>
      <c r="B57" s="1874"/>
      <c r="C57" s="1874"/>
      <c r="D57" s="1874"/>
      <c r="E57" s="1875">
        <v>7.5</v>
      </c>
      <c r="F57" s="1875"/>
      <c r="G57" s="1875"/>
      <c r="H57" s="1876">
        <v>0.22</v>
      </c>
      <c r="I57" s="1876"/>
      <c r="J57" s="1876"/>
      <c r="K57" s="1876">
        <v>0.21</v>
      </c>
      <c r="L57" s="1876"/>
      <c r="M57" s="1876"/>
      <c r="N57" s="1876">
        <v>1.38</v>
      </c>
      <c r="O57" s="1876"/>
      <c r="P57" s="1876"/>
      <c r="Q57" s="1876">
        <v>0.9</v>
      </c>
      <c r="R57" s="1876"/>
      <c r="S57" s="1876"/>
      <c r="T57" s="1876">
        <f>E57*H57+N57</f>
        <v>3.03</v>
      </c>
      <c r="U57" s="1876"/>
      <c r="V57" s="1876"/>
      <c r="W57" s="1876">
        <f>E57*K57+Q57</f>
        <v>2.4750000000000001</v>
      </c>
      <c r="X57" s="1876"/>
      <c r="Y57" s="1876"/>
      <c r="Z57" s="1877">
        <f>(T57-W57)*$Q$44</f>
        <v>202.5749999999999</v>
      </c>
      <c r="AA57" s="1877"/>
      <c r="AB57" s="1877"/>
      <c r="AC57" s="1877"/>
      <c r="AD57" s="1876">
        <f>$Q$46*Z57/$Q$45</f>
        <v>2.3124999999999989E-2</v>
      </c>
      <c r="AE57" s="1876"/>
      <c r="AF57" s="1876"/>
      <c r="AL57" s="885"/>
    </row>
    <row r="58" spans="1:38" x14ac:dyDescent="0.25">
      <c r="A58" s="1874" t="s">
        <v>5177</v>
      </c>
      <c r="B58" s="1874"/>
      <c r="C58" s="1874"/>
      <c r="D58" s="1874"/>
      <c r="E58" s="1875">
        <v>22.5</v>
      </c>
      <c r="F58" s="1875"/>
      <c r="G58" s="1875"/>
      <c r="H58" s="1876">
        <v>0.22</v>
      </c>
      <c r="I58" s="1876"/>
      <c r="J58" s="1876"/>
      <c r="K58" s="1876">
        <v>0.12</v>
      </c>
      <c r="L58" s="1876"/>
      <c r="M58" s="1876"/>
      <c r="N58" s="1876">
        <v>1.38</v>
      </c>
      <c r="O58" s="1876"/>
      <c r="P58" s="1876"/>
      <c r="Q58" s="1876">
        <v>2.2480000000000002</v>
      </c>
      <c r="R58" s="1876"/>
      <c r="S58" s="1876"/>
      <c r="T58" s="1876">
        <f>E58*H58+N58</f>
        <v>6.33</v>
      </c>
      <c r="U58" s="1876"/>
      <c r="V58" s="1876"/>
      <c r="W58" s="1876">
        <f>E58*K58+Q58</f>
        <v>4.9480000000000004</v>
      </c>
      <c r="X58" s="1876"/>
      <c r="Y58" s="1876"/>
      <c r="Z58" s="1877">
        <f>(T58-W58)*$Q$44</f>
        <v>504.42999999999989</v>
      </c>
      <c r="AA58" s="1877"/>
      <c r="AB58" s="1877"/>
      <c r="AC58" s="1877"/>
      <c r="AD58" s="1876">
        <f>$Q$46*Z58/$Q$45</f>
        <v>5.758333333333332E-2</v>
      </c>
      <c r="AE58" s="1876"/>
      <c r="AF58" s="1876"/>
      <c r="AJ58" s="9"/>
      <c r="AL58" s="885"/>
    </row>
    <row r="59" spans="1:38" x14ac:dyDescent="0.25">
      <c r="A59" s="1874" t="s">
        <v>5178</v>
      </c>
      <c r="B59" s="1874"/>
      <c r="C59" s="1874"/>
      <c r="D59" s="1874"/>
      <c r="E59" s="1875">
        <v>40</v>
      </c>
      <c r="F59" s="1875"/>
      <c r="G59" s="1875"/>
      <c r="H59" s="1876">
        <v>0.22</v>
      </c>
      <c r="I59" s="1876"/>
      <c r="J59" s="1876"/>
      <c r="K59" s="1876">
        <v>0.25779999999999997</v>
      </c>
      <c r="L59" s="1876"/>
      <c r="M59" s="1876"/>
      <c r="N59" s="1876">
        <v>1.38</v>
      </c>
      <c r="O59" s="1876"/>
      <c r="P59" s="1876"/>
      <c r="Q59" s="1876">
        <v>-1.8864000000000001</v>
      </c>
      <c r="R59" s="1876"/>
      <c r="S59" s="1876"/>
      <c r="T59" s="1876">
        <f>E59*H59+N59</f>
        <v>10.18</v>
      </c>
      <c r="U59" s="1876"/>
      <c r="V59" s="1876"/>
      <c r="W59" s="1876">
        <f>E59*K59+Q59</f>
        <v>8.4255999999999993</v>
      </c>
      <c r="X59" s="1876"/>
      <c r="Y59" s="1876"/>
      <c r="Z59" s="1877">
        <f>(T59-W59)*$Q$44</f>
        <v>640.35600000000011</v>
      </c>
      <c r="AA59" s="1877"/>
      <c r="AB59" s="1877"/>
      <c r="AC59" s="1877"/>
      <c r="AD59" s="1876">
        <f>$Q$46*Z59/$Q$45</f>
        <v>7.3100000000000012E-2</v>
      </c>
      <c r="AE59" s="1876"/>
      <c r="AF59" s="1876"/>
      <c r="AL59" s="885"/>
    </row>
    <row r="60" spans="1:38" x14ac:dyDescent="0.25">
      <c r="A60" s="1874" t="s">
        <v>5179</v>
      </c>
      <c r="B60" s="1874"/>
      <c r="C60" s="1874"/>
      <c r="D60" s="1874"/>
      <c r="E60" s="1875">
        <v>60</v>
      </c>
      <c r="F60" s="1875"/>
      <c r="G60" s="1875"/>
      <c r="H60" s="1876">
        <v>0.22</v>
      </c>
      <c r="I60" s="1876"/>
      <c r="J60" s="1876"/>
      <c r="K60" s="1876">
        <v>0.14000000000000001</v>
      </c>
      <c r="L60" s="1876"/>
      <c r="M60" s="1876"/>
      <c r="N60" s="1876">
        <v>1.38</v>
      </c>
      <c r="O60" s="1876"/>
      <c r="P60" s="1876"/>
      <c r="Q60" s="1876">
        <v>4.4000000000000004</v>
      </c>
      <c r="R60" s="1876"/>
      <c r="S60" s="1876"/>
      <c r="T60" s="1876">
        <f>E60*H60+N60</f>
        <v>14.579999999999998</v>
      </c>
      <c r="U60" s="1876"/>
      <c r="V60" s="1876"/>
      <c r="W60" s="1876">
        <f>E60*K60+Q60</f>
        <v>12.8</v>
      </c>
      <c r="X60" s="1876"/>
      <c r="Y60" s="1876"/>
      <c r="Z60" s="1877">
        <f>(T60-W60)*$Q$44</f>
        <v>649.69999999999914</v>
      </c>
      <c r="AA60" s="1877"/>
      <c r="AB60" s="1877"/>
      <c r="AC60" s="1877"/>
      <c r="AD60" s="1876">
        <f>$Q$46*Z60/$Q$45</f>
        <v>7.4166666666666561E-2</v>
      </c>
      <c r="AE60" s="1876"/>
      <c r="AF60" s="1876"/>
      <c r="AL60" s="885"/>
    </row>
    <row r="61" spans="1:38" x14ac:dyDescent="0.25">
      <c r="A61" s="1872" t="s">
        <v>5180</v>
      </c>
      <c r="B61" s="1873"/>
      <c r="C61" s="1873"/>
      <c r="D61" s="1873"/>
      <c r="E61" s="1873"/>
      <c r="F61" s="1873"/>
      <c r="G61" s="1873"/>
      <c r="H61" s="1873"/>
      <c r="I61" s="1873"/>
      <c r="J61" s="1873"/>
      <c r="K61" s="1873"/>
      <c r="L61" s="1873"/>
      <c r="M61" s="1873"/>
      <c r="N61" s="1873"/>
      <c r="O61" s="1873"/>
      <c r="P61" s="1873"/>
      <c r="Q61" s="1873"/>
      <c r="R61" s="1873"/>
      <c r="S61" s="1873"/>
      <c r="T61" s="1873"/>
      <c r="U61" s="1873"/>
      <c r="V61" s="1873"/>
      <c r="W61" s="1873"/>
      <c r="X61" s="1873"/>
      <c r="Y61" s="1873"/>
      <c r="Z61" s="1873"/>
      <c r="AA61" s="1873"/>
      <c r="AB61" s="1873"/>
      <c r="AC61" s="1873"/>
      <c r="AD61" s="1873"/>
      <c r="AE61" s="1873"/>
      <c r="AF61" s="1873"/>
      <c r="AL61" s="885"/>
    </row>
    <row r="62" spans="1:38" x14ac:dyDescent="0.25">
      <c r="A62" s="1874" t="s">
        <v>5176</v>
      </c>
      <c r="B62" s="1874"/>
      <c r="C62" s="1874"/>
      <c r="D62" s="1874"/>
      <c r="E62" s="1875">
        <v>7.5</v>
      </c>
      <c r="F62" s="1875"/>
      <c r="G62" s="1875"/>
      <c r="H62" s="1876">
        <v>0.28999999999999998</v>
      </c>
      <c r="I62" s="1876"/>
      <c r="J62" s="1876"/>
      <c r="K62" s="1876">
        <v>0.23200000000000001</v>
      </c>
      <c r="L62" s="1876"/>
      <c r="M62" s="1876"/>
      <c r="N62" s="1876">
        <v>2.95</v>
      </c>
      <c r="O62" s="1876"/>
      <c r="P62" s="1876"/>
      <c r="Q62" s="1876">
        <v>2.36</v>
      </c>
      <c r="R62" s="1876"/>
      <c r="S62" s="1876"/>
      <c r="T62" s="1876">
        <f>E62*H62+N62</f>
        <v>5.125</v>
      </c>
      <c r="U62" s="1876"/>
      <c r="V62" s="1876"/>
      <c r="W62" s="1876">
        <f>E62*K62+Q62</f>
        <v>4.0999999999999996</v>
      </c>
      <c r="X62" s="1876"/>
      <c r="Y62" s="1876"/>
      <c r="Z62" s="1877">
        <f>(T62-W62)*$Q$44</f>
        <v>374.12500000000011</v>
      </c>
      <c r="AA62" s="1877"/>
      <c r="AB62" s="1877"/>
      <c r="AC62" s="1877"/>
      <c r="AD62" s="1876">
        <f>$Q$46*Z62/$Q$45</f>
        <v>4.2708333333333348E-2</v>
      </c>
      <c r="AE62" s="1876"/>
      <c r="AF62" s="1876"/>
      <c r="AL62" s="885"/>
    </row>
    <row r="63" spans="1:38" x14ac:dyDescent="0.25">
      <c r="A63" s="1874" t="s">
        <v>5177</v>
      </c>
      <c r="B63" s="1874"/>
      <c r="C63" s="1874"/>
      <c r="D63" s="1874"/>
      <c r="E63" s="1875">
        <v>22.5</v>
      </c>
      <c r="F63" s="1875"/>
      <c r="G63" s="1875"/>
      <c r="H63" s="1876">
        <v>0.28999999999999998</v>
      </c>
      <c r="I63" s="1876"/>
      <c r="J63" s="1876"/>
      <c r="K63" s="1876">
        <v>0.23200000000000001</v>
      </c>
      <c r="L63" s="1876"/>
      <c r="M63" s="1876"/>
      <c r="N63" s="1876">
        <v>2.95</v>
      </c>
      <c r="O63" s="1876"/>
      <c r="P63" s="1876"/>
      <c r="Q63" s="1876">
        <v>2.36</v>
      </c>
      <c r="R63" s="1876"/>
      <c r="S63" s="1876"/>
      <c r="T63" s="1876">
        <f>E63*H63+N63</f>
        <v>9.4749999999999996</v>
      </c>
      <c r="U63" s="1876"/>
      <c r="V63" s="1876"/>
      <c r="W63" s="1876">
        <f>E63*K63+Q63</f>
        <v>7.58</v>
      </c>
      <c r="X63" s="1876"/>
      <c r="Y63" s="1876"/>
      <c r="Z63" s="1877">
        <f>(T63-W63)*$Q$44</f>
        <v>691.67499999999984</v>
      </c>
      <c r="AA63" s="1877"/>
      <c r="AB63" s="1877"/>
      <c r="AC63" s="1877"/>
      <c r="AD63" s="1876">
        <f>$Q$46*Z63/$Q$45</f>
        <v>7.8958333333333311E-2</v>
      </c>
      <c r="AE63" s="1876"/>
      <c r="AF63" s="1876"/>
      <c r="AL63" s="885"/>
    </row>
    <row r="64" spans="1:38" x14ac:dyDescent="0.25">
      <c r="A64" s="1874" t="s">
        <v>5178</v>
      </c>
      <c r="B64" s="1874"/>
      <c r="C64" s="1874"/>
      <c r="D64" s="1874"/>
      <c r="E64" s="1875">
        <v>40</v>
      </c>
      <c r="F64" s="1875"/>
      <c r="G64" s="1875"/>
      <c r="H64" s="1876">
        <v>0.28999999999999998</v>
      </c>
      <c r="I64" s="1876"/>
      <c r="J64" s="1876"/>
      <c r="K64" s="1876">
        <v>0.23200000000000001</v>
      </c>
      <c r="L64" s="1876"/>
      <c r="M64" s="1876"/>
      <c r="N64" s="1876">
        <v>2.95</v>
      </c>
      <c r="O64" s="1876"/>
      <c r="P64" s="1876"/>
      <c r="Q64" s="1876">
        <v>2.36</v>
      </c>
      <c r="R64" s="1876"/>
      <c r="S64" s="1876"/>
      <c r="T64" s="1876">
        <f>E64*H64+N64</f>
        <v>14.55</v>
      </c>
      <c r="U64" s="1876"/>
      <c r="V64" s="1876"/>
      <c r="W64" s="1876">
        <f>E64*K64+Q64</f>
        <v>11.64</v>
      </c>
      <c r="X64" s="1876"/>
      <c r="Y64" s="1876"/>
      <c r="Z64" s="1877">
        <f>(T64-W64)*$Q$44</f>
        <v>1062.1500000000001</v>
      </c>
      <c r="AA64" s="1877"/>
      <c r="AB64" s="1877"/>
      <c r="AC64" s="1877"/>
      <c r="AD64" s="1876">
        <f>$Q$46*Z64/$Q$45</f>
        <v>0.12125000000000001</v>
      </c>
      <c r="AE64" s="1876"/>
      <c r="AF64" s="1876"/>
      <c r="AL64" s="885"/>
    </row>
    <row r="65" spans="1:38" x14ac:dyDescent="0.25">
      <c r="A65" s="1874" t="s">
        <v>5179</v>
      </c>
      <c r="B65" s="1874"/>
      <c r="C65" s="1874"/>
      <c r="D65" s="1874"/>
      <c r="E65" s="1875">
        <v>60</v>
      </c>
      <c r="F65" s="1875"/>
      <c r="G65" s="1875"/>
      <c r="H65" s="1876">
        <v>0.28999999999999998</v>
      </c>
      <c r="I65" s="1876"/>
      <c r="J65" s="1876"/>
      <c r="K65" s="1876">
        <v>0.23200000000000001</v>
      </c>
      <c r="L65" s="1876"/>
      <c r="M65" s="1876"/>
      <c r="N65" s="1876">
        <v>2.95</v>
      </c>
      <c r="O65" s="1876"/>
      <c r="P65" s="1876"/>
      <c r="Q65" s="1876">
        <v>2.36</v>
      </c>
      <c r="R65" s="1876"/>
      <c r="S65" s="1876"/>
      <c r="T65" s="1876">
        <f>E65*H65+N65</f>
        <v>20.349999999999998</v>
      </c>
      <c r="U65" s="1876"/>
      <c r="V65" s="1876"/>
      <c r="W65" s="1876">
        <f>E65*K65+Q65</f>
        <v>16.28</v>
      </c>
      <c r="X65" s="1876"/>
      <c r="Y65" s="1876"/>
      <c r="Z65" s="1877">
        <f>(T65-W65)*$Q$44</f>
        <v>1485.5499999999988</v>
      </c>
      <c r="AA65" s="1877"/>
      <c r="AB65" s="1877"/>
      <c r="AC65" s="1877"/>
      <c r="AD65" s="1876">
        <f>$Q$46*Z65/$Q$45</f>
        <v>0.1695833333333332</v>
      </c>
      <c r="AE65" s="1876"/>
      <c r="AF65" s="1876"/>
      <c r="AL65" s="885"/>
    </row>
    <row r="66" spans="1:38" x14ac:dyDescent="0.25">
      <c r="A66" s="1878" t="s">
        <v>5181</v>
      </c>
      <c r="B66" s="1878"/>
      <c r="C66" s="1878"/>
      <c r="D66" s="1878"/>
      <c r="E66" s="1878"/>
      <c r="F66" s="1878"/>
      <c r="G66" s="1878"/>
      <c r="H66" s="1878"/>
      <c r="I66" s="1878"/>
      <c r="J66" s="1878"/>
      <c r="K66" s="1878"/>
      <c r="L66" s="1878"/>
      <c r="M66" s="1878"/>
      <c r="N66" s="1878"/>
      <c r="O66" s="1878"/>
      <c r="P66" s="1878"/>
      <c r="Q66" s="1878"/>
      <c r="R66" s="1878"/>
      <c r="S66" s="1878"/>
      <c r="T66" s="1878"/>
      <c r="U66" s="1878"/>
      <c r="V66" s="1878"/>
      <c r="W66" s="1878"/>
      <c r="X66" s="1878"/>
      <c r="Y66" s="1878"/>
      <c r="Z66" s="1878"/>
      <c r="AA66" s="1878"/>
      <c r="AB66" s="1878"/>
      <c r="AC66" s="1878"/>
      <c r="AD66" s="1878"/>
      <c r="AE66" s="1878"/>
      <c r="AF66" s="1878"/>
      <c r="AL66" s="885"/>
    </row>
    <row r="67" spans="1:38" x14ac:dyDescent="0.25">
      <c r="A67" s="1872" t="s">
        <v>5182</v>
      </c>
      <c r="B67" s="1873"/>
      <c r="C67" s="1873"/>
      <c r="D67" s="1873"/>
      <c r="E67" s="1873"/>
      <c r="F67" s="1873"/>
      <c r="G67" s="1873"/>
      <c r="H67" s="1873"/>
      <c r="I67" s="1873"/>
      <c r="J67" s="1873"/>
      <c r="K67" s="1873"/>
      <c r="L67" s="1873"/>
      <c r="M67" s="1873"/>
      <c r="N67" s="1873"/>
      <c r="O67" s="1873"/>
      <c r="P67" s="1873"/>
      <c r="Q67" s="1873"/>
      <c r="R67" s="1873"/>
      <c r="S67" s="1873"/>
      <c r="T67" s="1873"/>
      <c r="U67" s="1873"/>
      <c r="V67" s="1873"/>
      <c r="W67" s="1873"/>
      <c r="X67" s="1873"/>
      <c r="Y67" s="1873"/>
      <c r="Z67" s="1873"/>
      <c r="AA67" s="1873"/>
      <c r="AB67" s="1873"/>
      <c r="AC67" s="1873"/>
      <c r="AD67" s="1873"/>
      <c r="AE67" s="1873"/>
      <c r="AF67" s="1873"/>
      <c r="AL67" s="885"/>
    </row>
    <row r="68" spans="1:38" x14ac:dyDescent="0.25">
      <c r="A68" s="1874" t="s">
        <v>5176</v>
      </c>
      <c r="B68" s="1874"/>
      <c r="C68" s="1874"/>
      <c r="D68" s="1874"/>
      <c r="E68" s="1875">
        <v>7.5</v>
      </c>
      <c r="F68" s="1875"/>
      <c r="G68" s="1875"/>
      <c r="H68" s="1876">
        <v>0.06</v>
      </c>
      <c r="I68" s="1876"/>
      <c r="J68" s="1876"/>
      <c r="K68" s="1876">
        <v>5.7000000000000002E-2</v>
      </c>
      <c r="L68" s="1876"/>
      <c r="M68" s="1876"/>
      <c r="N68" s="1876">
        <v>1.1200000000000001</v>
      </c>
      <c r="O68" s="1876"/>
      <c r="P68" s="1876"/>
      <c r="Q68" s="1876">
        <v>0.55000000000000004</v>
      </c>
      <c r="R68" s="1876"/>
      <c r="S68" s="1876"/>
      <c r="T68" s="1876">
        <f>E68*H68+N68</f>
        <v>1.57</v>
      </c>
      <c r="U68" s="1876"/>
      <c r="V68" s="1876"/>
      <c r="W68" s="1876">
        <f>E68*K68+Q68</f>
        <v>0.97750000000000004</v>
      </c>
      <c r="X68" s="1876"/>
      <c r="Y68" s="1876"/>
      <c r="Z68" s="1877">
        <f>(T68-W68)*$Q$44</f>
        <v>216.26250000000002</v>
      </c>
      <c r="AA68" s="1877"/>
      <c r="AB68" s="1877"/>
      <c r="AC68" s="1877"/>
      <c r="AD68" s="1876">
        <f>$Q$46*Z68/$Q$45</f>
        <v>2.4687500000000001E-2</v>
      </c>
      <c r="AE68" s="1876"/>
      <c r="AF68" s="1876"/>
      <c r="AL68" s="885"/>
    </row>
    <row r="69" spans="1:38" x14ac:dyDescent="0.25">
      <c r="A69" s="1874" t="s">
        <v>5177</v>
      </c>
      <c r="B69" s="1874"/>
      <c r="C69" s="1874"/>
      <c r="D69" s="1874"/>
      <c r="E69" s="1875">
        <v>22.5</v>
      </c>
      <c r="F69" s="1875"/>
      <c r="G69" s="1875"/>
      <c r="H69" s="1876">
        <v>0.06</v>
      </c>
      <c r="I69" s="1876"/>
      <c r="J69" s="1876"/>
      <c r="K69" s="1876">
        <v>5.7000000000000002E-2</v>
      </c>
      <c r="L69" s="1876"/>
      <c r="M69" s="1876"/>
      <c r="N69" s="1876">
        <v>1.1200000000000001</v>
      </c>
      <c r="O69" s="1876"/>
      <c r="P69" s="1876"/>
      <c r="Q69" s="1876">
        <v>0.55000000000000004</v>
      </c>
      <c r="R69" s="1876"/>
      <c r="S69" s="1876"/>
      <c r="T69" s="1876">
        <f>E69*H69+N69</f>
        <v>2.4699999999999998</v>
      </c>
      <c r="U69" s="1876"/>
      <c r="V69" s="1876"/>
      <c r="W69" s="1876">
        <f>E69*K69+Q69</f>
        <v>1.8325</v>
      </c>
      <c r="X69" s="1876"/>
      <c r="Y69" s="1876"/>
      <c r="Z69" s="1877">
        <f>(T69-W69)*$Q$44</f>
        <v>232.68749999999991</v>
      </c>
      <c r="AA69" s="1877"/>
      <c r="AB69" s="1877"/>
      <c r="AC69" s="1877"/>
      <c r="AD69" s="1876">
        <f>$Q$46*Z69/$Q$45</f>
        <v>2.6562499999999989E-2</v>
      </c>
      <c r="AE69" s="1876"/>
      <c r="AF69" s="1876"/>
      <c r="AL69" s="885"/>
    </row>
    <row r="70" spans="1:38" x14ac:dyDescent="0.25">
      <c r="A70" s="1874" t="s">
        <v>5178</v>
      </c>
      <c r="B70" s="1874"/>
      <c r="C70" s="1874"/>
      <c r="D70" s="1874"/>
      <c r="E70" s="1875">
        <v>40</v>
      </c>
      <c r="F70" s="1875"/>
      <c r="G70" s="1875"/>
      <c r="H70" s="1876">
        <v>0.06</v>
      </c>
      <c r="I70" s="1876"/>
      <c r="J70" s="1876"/>
      <c r="K70" s="1876">
        <v>5.7000000000000002E-2</v>
      </c>
      <c r="L70" s="1876"/>
      <c r="M70" s="1876"/>
      <c r="N70" s="1876">
        <v>1.1200000000000001</v>
      </c>
      <c r="O70" s="1876"/>
      <c r="P70" s="1876"/>
      <c r="Q70" s="1876">
        <v>0.55000000000000004</v>
      </c>
      <c r="R70" s="1876"/>
      <c r="S70" s="1876"/>
      <c r="T70" s="1876">
        <f>E70*H70+N70</f>
        <v>3.52</v>
      </c>
      <c r="U70" s="1876"/>
      <c r="V70" s="1876"/>
      <c r="W70" s="1876">
        <f>E70*K70+Q70</f>
        <v>2.83</v>
      </c>
      <c r="X70" s="1876"/>
      <c r="Y70" s="1876"/>
      <c r="Z70" s="1877">
        <f>(T70-W70)*$Q$44</f>
        <v>251.85</v>
      </c>
      <c r="AA70" s="1877"/>
      <c r="AB70" s="1877"/>
      <c r="AC70" s="1877"/>
      <c r="AD70" s="1876">
        <f>$Q$46*Z70/$Q$45</f>
        <v>2.8749999999999998E-2</v>
      </c>
      <c r="AE70" s="1876"/>
      <c r="AF70" s="1876"/>
      <c r="AL70" s="885"/>
    </row>
    <row r="71" spans="1:38" x14ac:dyDescent="0.25">
      <c r="A71" s="1874" t="s">
        <v>5179</v>
      </c>
      <c r="B71" s="1874"/>
      <c r="C71" s="1874"/>
      <c r="D71" s="1874"/>
      <c r="E71" s="1875">
        <v>60</v>
      </c>
      <c r="F71" s="1875"/>
      <c r="G71" s="1875"/>
      <c r="H71" s="1876">
        <v>0.06</v>
      </c>
      <c r="I71" s="1876"/>
      <c r="J71" s="1876"/>
      <c r="K71" s="1876">
        <v>5.7000000000000002E-2</v>
      </c>
      <c r="L71" s="1876"/>
      <c r="M71" s="1876"/>
      <c r="N71" s="1876">
        <v>1.1200000000000001</v>
      </c>
      <c r="O71" s="1876"/>
      <c r="P71" s="1876"/>
      <c r="Q71" s="1876">
        <v>0.55000000000000004</v>
      </c>
      <c r="R71" s="1876"/>
      <c r="S71" s="1876"/>
      <c r="T71" s="1876">
        <f>E71*H71+N71</f>
        <v>4.72</v>
      </c>
      <c r="U71" s="1876"/>
      <c r="V71" s="1876"/>
      <c r="W71" s="1876">
        <f>E71*K71+Q71</f>
        <v>3.9699999999999998</v>
      </c>
      <c r="X71" s="1876"/>
      <c r="Y71" s="1876"/>
      <c r="Z71" s="1877">
        <f>(T71-W71)*$Q$44</f>
        <v>273.75</v>
      </c>
      <c r="AA71" s="1877"/>
      <c r="AB71" s="1877"/>
      <c r="AC71" s="1877"/>
      <c r="AD71" s="1876">
        <f>$Q$46*Z71/$Q$45</f>
        <v>3.125E-2</v>
      </c>
      <c r="AE71" s="1876"/>
      <c r="AF71" s="1876"/>
      <c r="AL71" s="885"/>
    </row>
    <row r="72" spans="1:38" x14ac:dyDescent="0.25">
      <c r="A72" s="1872" t="s">
        <v>5180</v>
      </c>
      <c r="B72" s="1873"/>
      <c r="C72" s="1873"/>
      <c r="D72" s="1873"/>
      <c r="E72" s="1873"/>
      <c r="F72" s="1873"/>
      <c r="G72" s="1873"/>
      <c r="H72" s="1873"/>
      <c r="I72" s="1873"/>
      <c r="J72" s="1873"/>
      <c r="K72" s="1873"/>
      <c r="L72" s="1873"/>
      <c r="M72" s="1873"/>
      <c r="N72" s="1873"/>
      <c r="O72" s="1873"/>
      <c r="P72" s="1873"/>
      <c r="Q72" s="1873"/>
      <c r="R72" s="1873"/>
      <c r="S72" s="1873"/>
      <c r="T72" s="1873"/>
      <c r="U72" s="1873"/>
      <c r="V72" s="1873"/>
      <c r="W72" s="1873"/>
      <c r="X72" s="1873"/>
      <c r="Y72" s="1873"/>
      <c r="Z72" s="1873"/>
      <c r="AA72" s="1873"/>
      <c r="AB72" s="1873"/>
      <c r="AC72" s="1873"/>
      <c r="AD72" s="1873"/>
      <c r="AE72" s="1873"/>
      <c r="AF72" s="1873"/>
      <c r="AL72" s="885"/>
    </row>
    <row r="73" spans="1:38" x14ac:dyDescent="0.25">
      <c r="A73" s="1874" t="s">
        <v>5176</v>
      </c>
      <c r="B73" s="1874"/>
      <c r="C73" s="1874"/>
      <c r="D73" s="1874"/>
      <c r="E73" s="1875">
        <v>7.5</v>
      </c>
      <c r="F73" s="1875"/>
      <c r="G73" s="1875"/>
      <c r="H73" s="1876">
        <v>0.08</v>
      </c>
      <c r="I73" s="1876"/>
      <c r="J73" s="1876"/>
      <c r="K73" s="1876">
        <v>5.7000000000000002E-2</v>
      </c>
      <c r="L73" s="1876"/>
      <c r="M73" s="1876"/>
      <c r="N73" s="1876">
        <v>1.23</v>
      </c>
      <c r="O73" s="1876"/>
      <c r="P73" s="1876"/>
      <c r="Q73" s="1876">
        <v>0.55000000000000004</v>
      </c>
      <c r="R73" s="1876"/>
      <c r="S73" s="1876"/>
      <c r="T73" s="1876">
        <f>E73*H73+N73</f>
        <v>1.83</v>
      </c>
      <c r="U73" s="1876"/>
      <c r="V73" s="1876"/>
      <c r="W73" s="1876">
        <f>E73*K73+Q73</f>
        <v>0.97750000000000004</v>
      </c>
      <c r="X73" s="1876"/>
      <c r="Y73" s="1876"/>
      <c r="Z73" s="1877">
        <f>(T73-W73)*$Q$44</f>
        <v>311.16250000000002</v>
      </c>
      <c r="AA73" s="1877"/>
      <c r="AB73" s="1877"/>
      <c r="AC73" s="1877"/>
      <c r="AD73" s="1876">
        <f>$Q$46*Z73/$Q$45</f>
        <v>3.5520833333333335E-2</v>
      </c>
      <c r="AE73" s="1876"/>
      <c r="AF73" s="1876"/>
      <c r="AL73" s="839"/>
    </row>
    <row r="74" spans="1:38" x14ac:dyDescent="0.25">
      <c r="A74" s="1874" t="s">
        <v>5177</v>
      </c>
      <c r="B74" s="1874"/>
      <c r="C74" s="1874"/>
      <c r="D74" s="1874"/>
      <c r="E74" s="1875">
        <v>22.5</v>
      </c>
      <c r="F74" s="1875"/>
      <c r="G74" s="1875"/>
      <c r="H74" s="1876">
        <v>0.08</v>
      </c>
      <c r="I74" s="1876"/>
      <c r="J74" s="1876"/>
      <c r="K74" s="1876">
        <v>5.7000000000000002E-2</v>
      </c>
      <c r="L74" s="1876"/>
      <c r="M74" s="1876"/>
      <c r="N74" s="1876">
        <v>1.23</v>
      </c>
      <c r="O74" s="1876"/>
      <c r="P74" s="1876"/>
      <c r="Q74" s="1876">
        <v>0.55000000000000004</v>
      </c>
      <c r="R74" s="1876"/>
      <c r="S74" s="1876"/>
      <c r="T74" s="1876">
        <f>E74*H74+N74</f>
        <v>3.0300000000000002</v>
      </c>
      <c r="U74" s="1876"/>
      <c r="V74" s="1876"/>
      <c r="W74" s="1876">
        <f>E74*K74+Q74</f>
        <v>1.8325</v>
      </c>
      <c r="X74" s="1876"/>
      <c r="Y74" s="1876"/>
      <c r="Z74" s="1877">
        <f>(T74-W74)*$Q$44</f>
        <v>437.08750000000009</v>
      </c>
      <c r="AA74" s="1877"/>
      <c r="AB74" s="1877"/>
      <c r="AC74" s="1877"/>
      <c r="AD74" s="1876">
        <f>$Q$46*Z74/$Q$45</f>
        <v>4.9895833333333341E-2</v>
      </c>
      <c r="AE74" s="1876"/>
      <c r="AF74" s="1876"/>
      <c r="AL74" s="839"/>
    </row>
    <row r="75" spans="1:38" x14ac:dyDescent="0.25">
      <c r="A75" s="1874" t="s">
        <v>5178</v>
      </c>
      <c r="B75" s="1874"/>
      <c r="C75" s="1874"/>
      <c r="D75" s="1874"/>
      <c r="E75" s="1875">
        <v>40</v>
      </c>
      <c r="F75" s="1875"/>
      <c r="G75" s="1875"/>
      <c r="H75" s="1876">
        <v>0.08</v>
      </c>
      <c r="I75" s="1876"/>
      <c r="J75" s="1876"/>
      <c r="K75" s="1876">
        <v>5.7000000000000002E-2</v>
      </c>
      <c r="L75" s="1876"/>
      <c r="M75" s="1876"/>
      <c r="N75" s="1876">
        <v>1.23</v>
      </c>
      <c r="O75" s="1876"/>
      <c r="P75" s="1876"/>
      <c r="Q75" s="1876">
        <v>0.55000000000000004</v>
      </c>
      <c r="R75" s="1876"/>
      <c r="S75" s="1876"/>
      <c r="T75" s="1876">
        <f>E75*H75+N75</f>
        <v>4.43</v>
      </c>
      <c r="U75" s="1876"/>
      <c r="V75" s="1876"/>
      <c r="W75" s="1876">
        <f>E75*K75+Q75</f>
        <v>2.83</v>
      </c>
      <c r="X75" s="1876"/>
      <c r="Y75" s="1876"/>
      <c r="Z75" s="1877">
        <f>(T75-W75)*$Q$44</f>
        <v>583.99999999999989</v>
      </c>
      <c r="AA75" s="1877"/>
      <c r="AB75" s="1877"/>
      <c r="AC75" s="1877"/>
      <c r="AD75" s="1876">
        <f>$Q$46*Z75/$Q$45</f>
        <v>6.6666666666666652E-2</v>
      </c>
      <c r="AE75" s="1876"/>
      <c r="AF75" s="1876"/>
      <c r="AL75" s="839"/>
    </row>
    <row r="76" spans="1:38" x14ac:dyDescent="0.25">
      <c r="A76" s="1874" t="s">
        <v>5179</v>
      </c>
      <c r="B76" s="1874"/>
      <c r="C76" s="1874"/>
      <c r="D76" s="1874"/>
      <c r="E76" s="1875">
        <v>60</v>
      </c>
      <c r="F76" s="1875"/>
      <c r="G76" s="1875"/>
      <c r="H76" s="1876">
        <v>0.08</v>
      </c>
      <c r="I76" s="1876"/>
      <c r="J76" s="1876"/>
      <c r="K76" s="1876">
        <v>5.7000000000000002E-2</v>
      </c>
      <c r="L76" s="1876"/>
      <c r="M76" s="1876"/>
      <c r="N76" s="1876">
        <v>1.23</v>
      </c>
      <c r="O76" s="1876"/>
      <c r="P76" s="1876"/>
      <c r="Q76" s="1876">
        <v>0.55000000000000004</v>
      </c>
      <c r="R76" s="1876"/>
      <c r="S76" s="1876"/>
      <c r="T76" s="1876">
        <f>E76*H76+N76</f>
        <v>6.0299999999999994</v>
      </c>
      <c r="U76" s="1876"/>
      <c r="V76" s="1876"/>
      <c r="W76" s="1876">
        <f>E76*K76+Q76</f>
        <v>3.9699999999999998</v>
      </c>
      <c r="X76" s="1876"/>
      <c r="Y76" s="1876"/>
      <c r="Z76" s="1877">
        <f>(T76-W76)*$Q$44</f>
        <v>751.89999999999986</v>
      </c>
      <c r="AA76" s="1877"/>
      <c r="AB76" s="1877"/>
      <c r="AC76" s="1877"/>
      <c r="AD76" s="1876">
        <f>$Q$46*Z76/$Q$45</f>
        <v>8.5833333333333317E-2</v>
      </c>
      <c r="AE76" s="1876"/>
      <c r="AF76" s="1876"/>
      <c r="AL76" s="839"/>
    </row>
    <row r="77" spans="1:38" ht="15.75" thickBot="1" x14ac:dyDescent="0.3">
      <c r="A77" s="191"/>
      <c r="B77" s="191"/>
      <c r="C77" s="191"/>
      <c r="D77" s="191"/>
      <c r="E77" s="907"/>
      <c r="F77" s="907"/>
      <c r="G77" s="907"/>
      <c r="H77" s="908"/>
      <c r="I77" s="908"/>
      <c r="J77" s="908"/>
      <c r="K77" s="908"/>
      <c r="L77" s="908"/>
      <c r="M77" s="908"/>
      <c r="N77" s="908"/>
      <c r="O77" s="908"/>
      <c r="P77" s="908"/>
      <c r="Q77" s="908"/>
      <c r="R77" s="908"/>
      <c r="S77" s="908"/>
      <c r="T77" s="908"/>
      <c r="U77" s="908"/>
      <c r="V77" s="908"/>
      <c r="W77" s="908"/>
      <c r="X77" s="908"/>
      <c r="Y77" s="908"/>
      <c r="Z77" s="909"/>
      <c r="AA77" s="909"/>
      <c r="AB77" s="909"/>
      <c r="AC77" s="909"/>
      <c r="AD77" s="908"/>
      <c r="AE77" s="908"/>
      <c r="AF77" s="908"/>
      <c r="AL77" s="839"/>
    </row>
    <row r="78" spans="1:38" x14ac:dyDescent="0.25">
      <c r="A78" s="1810" t="s">
        <v>22</v>
      </c>
      <c r="B78" s="1643"/>
      <c r="C78" s="1643"/>
      <c r="D78" s="1643"/>
      <c r="E78" s="1643"/>
      <c r="F78" s="1643"/>
      <c r="G78" s="1643"/>
      <c r="H78" s="1643"/>
      <c r="I78" s="1643" t="s">
        <v>23</v>
      </c>
      <c r="J78" s="1643"/>
      <c r="K78" s="1643"/>
      <c r="L78" s="1643"/>
      <c r="M78" s="1643"/>
      <c r="N78" s="1643"/>
      <c r="O78" s="1643"/>
      <c r="P78" s="1643"/>
      <c r="Q78" s="1643" t="s">
        <v>24</v>
      </c>
      <c r="R78" s="1643"/>
      <c r="S78" s="1643"/>
      <c r="T78" s="1643"/>
      <c r="U78" s="1643"/>
      <c r="V78" s="1643"/>
      <c r="W78" s="1643"/>
      <c r="X78" s="1643"/>
      <c r="Y78" s="1879" t="s">
        <v>2012</v>
      </c>
      <c r="Z78" s="1880"/>
      <c r="AA78" s="1880"/>
      <c r="AB78" s="1880"/>
      <c r="AC78" s="1880"/>
      <c r="AD78" s="1880"/>
      <c r="AE78" s="1880"/>
      <c r="AF78" s="1881"/>
      <c r="AL78" s="839"/>
    </row>
    <row r="79" spans="1:38" ht="28.15" customHeight="1" x14ac:dyDescent="0.25">
      <c r="A79" s="1795" t="s">
        <v>5183</v>
      </c>
      <c r="B79" s="1283"/>
      <c r="C79" s="1283"/>
      <c r="D79" s="1283"/>
      <c r="E79" s="1283" t="s">
        <v>736</v>
      </c>
      <c r="F79" s="1283"/>
      <c r="G79" s="1283"/>
      <c r="H79" s="1283"/>
      <c r="I79" s="1624">
        <f>ROUND(AD57,3)</f>
        <v>2.3E-2</v>
      </c>
      <c r="J79" s="1624"/>
      <c r="K79" s="1624"/>
      <c r="L79" s="1624"/>
      <c r="M79" s="1624"/>
      <c r="N79" s="1624"/>
      <c r="O79" s="1624"/>
      <c r="P79" s="1624"/>
      <c r="Q79" s="1882">
        <f>ROUND(Z57,2)</f>
        <v>202.58</v>
      </c>
      <c r="R79" s="1882"/>
      <c r="S79" s="1882"/>
      <c r="T79" s="1882"/>
      <c r="U79" s="1882"/>
      <c r="V79" s="1882"/>
      <c r="W79" s="1882"/>
      <c r="X79" s="1882"/>
      <c r="Y79" s="1883">
        <f>Q79*Q$47</f>
        <v>2430.96</v>
      </c>
      <c r="Z79" s="1883"/>
      <c r="AA79" s="1883"/>
      <c r="AB79" s="1883"/>
      <c r="AC79" s="1883"/>
      <c r="AD79" s="1883"/>
      <c r="AE79" s="1883"/>
      <c r="AF79" s="1884"/>
      <c r="AL79" s="839"/>
    </row>
    <row r="80" spans="1:38" ht="28.15" customHeight="1" x14ac:dyDescent="0.25">
      <c r="A80" s="1795" t="s">
        <v>5184</v>
      </c>
      <c r="B80" s="1283"/>
      <c r="C80" s="1283"/>
      <c r="D80" s="1283"/>
      <c r="E80" s="1283" t="s">
        <v>736</v>
      </c>
      <c r="F80" s="1283"/>
      <c r="G80" s="1283"/>
      <c r="H80" s="1283"/>
      <c r="I80" s="1624">
        <f>ROUND(AD58,3)</f>
        <v>5.8000000000000003E-2</v>
      </c>
      <c r="J80" s="1624"/>
      <c r="K80" s="1624"/>
      <c r="L80" s="1624"/>
      <c r="M80" s="1624"/>
      <c r="N80" s="1624"/>
      <c r="O80" s="1624"/>
      <c r="P80" s="1624"/>
      <c r="Q80" s="1882">
        <f t="shared" ref="Q80:Q82" si="0">ROUND(Z58,2)</f>
        <v>504.43</v>
      </c>
      <c r="R80" s="1882"/>
      <c r="S80" s="1882"/>
      <c r="T80" s="1882"/>
      <c r="U80" s="1882"/>
      <c r="V80" s="1882"/>
      <c r="W80" s="1882"/>
      <c r="X80" s="1882"/>
      <c r="Y80" s="1883">
        <f t="shared" ref="Y80:Y94" si="1">Q80*Q$47</f>
        <v>6053.16</v>
      </c>
      <c r="Z80" s="1883"/>
      <c r="AA80" s="1883"/>
      <c r="AB80" s="1883"/>
      <c r="AC80" s="1883"/>
      <c r="AD80" s="1883"/>
      <c r="AE80" s="1883"/>
      <c r="AF80" s="1884"/>
    </row>
    <row r="81" spans="1:38" ht="28.15" customHeight="1" x14ac:dyDescent="0.25">
      <c r="A81" s="1795" t="s">
        <v>5185</v>
      </c>
      <c r="B81" s="1283"/>
      <c r="C81" s="1283"/>
      <c r="D81" s="1283"/>
      <c r="E81" s="1283" t="s">
        <v>737</v>
      </c>
      <c r="F81" s="1283"/>
      <c r="G81" s="1283"/>
      <c r="H81" s="1283"/>
      <c r="I81" s="1624">
        <f t="shared" ref="I81:I82" si="2">ROUND(AD59,3)</f>
        <v>7.2999999999999995E-2</v>
      </c>
      <c r="J81" s="1624"/>
      <c r="K81" s="1624"/>
      <c r="L81" s="1624"/>
      <c r="M81" s="1624"/>
      <c r="N81" s="1624"/>
      <c r="O81" s="1624"/>
      <c r="P81" s="1624"/>
      <c r="Q81" s="1882">
        <f t="shared" si="0"/>
        <v>640.36</v>
      </c>
      <c r="R81" s="1882"/>
      <c r="S81" s="1882"/>
      <c r="T81" s="1882"/>
      <c r="U81" s="1882"/>
      <c r="V81" s="1882"/>
      <c r="W81" s="1882"/>
      <c r="X81" s="1882"/>
      <c r="Y81" s="1883">
        <f t="shared" si="1"/>
        <v>7684.32</v>
      </c>
      <c r="Z81" s="1883"/>
      <c r="AA81" s="1883"/>
      <c r="AB81" s="1883"/>
      <c r="AC81" s="1883"/>
      <c r="AD81" s="1883"/>
      <c r="AE81" s="1883"/>
      <c r="AF81" s="1884"/>
      <c r="AL81" s="839"/>
    </row>
    <row r="82" spans="1:38" ht="28.15" customHeight="1" x14ac:dyDescent="0.25">
      <c r="A82" s="1795" t="s">
        <v>6194</v>
      </c>
      <c r="B82" s="1283"/>
      <c r="C82" s="1283"/>
      <c r="D82" s="1283"/>
      <c r="E82" s="1283" t="s">
        <v>738</v>
      </c>
      <c r="F82" s="1283"/>
      <c r="G82" s="1283"/>
      <c r="H82" s="1283"/>
      <c r="I82" s="1624">
        <f t="shared" si="2"/>
        <v>7.3999999999999996E-2</v>
      </c>
      <c r="J82" s="1624"/>
      <c r="K82" s="1624"/>
      <c r="L82" s="1624"/>
      <c r="M82" s="1624"/>
      <c r="N82" s="1624"/>
      <c r="O82" s="1624"/>
      <c r="P82" s="1624"/>
      <c r="Q82" s="1882">
        <f t="shared" si="0"/>
        <v>649.70000000000005</v>
      </c>
      <c r="R82" s="1882"/>
      <c r="S82" s="1882"/>
      <c r="T82" s="1882"/>
      <c r="U82" s="1882"/>
      <c r="V82" s="1882"/>
      <c r="W82" s="1882"/>
      <c r="X82" s="1882"/>
      <c r="Y82" s="1883">
        <f t="shared" si="1"/>
        <v>7796.4000000000005</v>
      </c>
      <c r="Z82" s="1883"/>
      <c r="AA82" s="1883"/>
      <c r="AB82" s="1883"/>
      <c r="AC82" s="1883"/>
      <c r="AD82" s="1883"/>
      <c r="AE82" s="1883"/>
      <c r="AF82" s="1884"/>
      <c r="AL82" s="839"/>
    </row>
    <row r="83" spans="1:38" ht="28.15" customHeight="1" x14ac:dyDescent="0.25">
      <c r="A83" s="1795" t="s">
        <v>5186</v>
      </c>
      <c r="B83" s="1283"/>
      <c r="C83" s="1283"/>
      <c r="D83" s="1283"/>
      <c r="E83" s="1283" t="s">
        <v>735</v>
      </c>
      <c r="F83" s="1283"/>
      <c r="G83" s="1283"/>
      <c r="H83" s="1283"/>
      <c r="I83" s="1624">
        <f>ROUND(AD62,3)</f>
        <v>4.2999999999999997E-2</v>
      </c>
      <c r="J83" s="1624"/>
      <c r="K83" s="1624"/>
      <c r="L83" s="1624"/>
      <c r="M83" s="1624"/>
      <c r="N83" s="1624"/>
      <c r="O83" s="1624"/>
      <c r="P83" s="1624"/>
      <c r="Q83" s="1882">
        <f>ROUND(Z62,2)</f>
        <v>374.13</v>
      </c>
      <c r="R83" s="1882"/>
      <c r="S83" s="1882"/>
      <c r="T83" s="1882"/>
      <c r="U83" s="1882"/>
      <c r="V83" s="1882"/>
      <c r="W83" s="1882"/>
      <c r="X83" s="1882"/>
      <c r="Y83" s="1883">
        <f t="shared" si="1"/>
        <v>4489.5599999999995</v>
      </c>
      <c r="Z83" s="1883"/>
      <c r="AA83" s="1883"/>
      <c r="AB83" s="1883"/>
      <c r="AC83" s="1883"/>
      <c r="AD83" s="1883"/>
      <c r="AE83" s="1883"/>
      <c r="AF83" s="1884"/>
      <c r="AL83" s="839"/>
    </row>
    <row r="84" spans="1:38" ht="28.15" customHeight="1" x14ac:dyDescent="0.25">
      <c r="A84" s="1795" t="s">
        <v>5187</v>
      </c>
      <c r="B84" s="1283"/>
      <c r="C84" s="1283"/>
      <c r="D84" s="1283"/>
      <c r="E84" s="1283" t="s">
        <v>736</v>
      </c>
      <c r="F84" s="1283"/>
      <c r="G84" s="1283"/>
      <c r="H84" s="1283"/>
      <c r="I84" s="1624">
        <f t="shared" ref="I84:I86" si="3">ROUND(AD63,3)</f>
        <v>7.9000000000000001E-2</v>
      </c>
      <c r="J84" s="1624"/>
      <c r="K84" s="1624"/>
      <c r="L84" s="1624"/>
      <c r="M84" s="1624"/>
      <c r="N84" s="1624"/>
      <c r="O84" s="1624"/>
      <c r="P84" s="1624"/>
      <c r="Q84" s="1882">
        <f t="shared" ref="Q84:Q86" si="4">ROUND(Z63,2)</f>
        <v>691.68</v>
      </c>
      <c r="R84" s="1882"/>
      <c r="S84" s="1882"/>
      <c r="T84" s="1882"/>
      <c r="U84" s="1882"/>
      <c r="V84" s="1882"/>
      <c r="W84" s="1882"/>
      <c r="X84" s="1882"/>
      <c r="Y84" s="1883">
        <f t="shared" si="1"/>
        <v>8300.16</v>
      </c>
      <c r="Z84" s="1883"/>
      <c r="AA84" s="1883"/>
      <c r="AB84" s="1883"/>
      <c r="AC84" s="1883"/>
      <c r="AD84" s="1883"/>
      <c r="AE84" s="1883"/>
      <c r="AF84" s="1884"/>
      <c r="AL84" s="839"/>
    </row>
    <row r="85" spans="1:38" ht="28.15" customHeight="1" x14ac:dyDescent="0.25">
      <c r="A85" s="1795" t="s">
        <v>5188</v>
      </c>
      <c r="B85" s="1283"/>
      <c r="C85" s="1283"/>
      <c r="D85" s="1283"/>
      <c r="E85" s="1283" t="s">
        <v>737</v>
      </c>
      <c r="F85" s="1283"/>
      <c r="G85" s="1283"/>
      <c r="H85" s="1283"/>
      <c r="I85" s="1624">
        <f t="shared" si="3"/>
        <v>0.121</v>
      </c>
      <c r="J85" s="1624"/>
      <c r="K85" s="1624"/>
      <c r="L85" s="1624"/>
      <c r="M85" s="1624"/>
      <c r="N85" s="1624"/>
      <c r="O85" s="1624"/>
      <c r="P85" s="1624"/>
      <c r="Q85" s="1885">
        <f t="shared" si="4"/>
        <v>1062.1500000000001</v>
      </c>
      <c r="R85" s="1885"/>
      <c r="S85" s="1885"/>
      <c r="T85" s="1885"/>
      <c r="U85" s="1885"/>
      <c r="V85" s="1885"/>
      <c r="W85" s="1885"/>
      <c r="X85" s="1885"/>
      <c r="Y85" s="1883">
        <f t="shared" si="1"/>
        <v>12745.800000000001</v>
      </c>
      <c r="Z85" s="1883"/>
      <c r="AA85" s="1883"/>
      <c r="AB85" s="1883"/>
      <c r="AC85" s="1883"/>
      <c r="AD85" s="1883"/>
      <c r="AE85" s="1883"/>
      <c r="AF85" s="1884"/>
      <c r="AL85" s="839"/>
    </row>
    <row r="86" spans="1:38" ht="28.15" customHeight="1" x14ac:dyDescent="0.25">
      <c r="A86" s="1795" t="s">
        <v>5189</v>
      </c>
      <c r="B86" s="1283"/>
      <c r="C86" s="1283"/>
      <c r="D86" s="1283"/>
      <c r="E86" s="1283" t="s">
        <v>738</v>
      </c>
      <c r="F86" s="1283"/>
      <c r="G86" s="1283"/>
      <c r="H86" s="1283"/>
      <c r="I86" s="1624">
        <f t="shared" si="3"/>
        <v>0.17</v>
      </c>
      <c r="J86" s="1624"/>
      <c r="K86" s="1624"/>
      <c r="L86" s="1624"/>
      <c r="M86" s="1624"/>
      <c r="N86" s="1624"/>
      <c r="O86" s="1624"/>
      <c r="P86" s="1624"/>
      <c r="Q86" s="1885">
        <f t="shared" si="4"/>
        <v>1485.55</v>
      </c>
      <c r="R86" s="1885"/>
      <c r="S86" s="1885"/>
      <c r="T86" s="1885"/>
      <c r="U86" s="1885"/>
      <c r="V86" s="1885"/>
      <c r="W86" s="1885"/>
      <c r="X86" s="1885"/>
      <c r="Y86" s="1886">
        <f t="shared" si="1"/>
        <v>17826.599999999999</v>
      </c>
      <c r="Z86" s="1883"/>
      <c r="AA86" s="1883"/>
      <c r="AB86" s="1883"/>
      <c r="AC86" s="1883"/>
      <c r="AD86" s="1883"/>
      <c r="AE86" s="1883"/>
      <c r="AF86" s="1884"/>
      <c r="AL86" s="839"/>
    </row>
    <row r="87" spans="1:38" ht="28.15" customHeight="1" x14ac:dyDescent="0.25">
      <c r="A87" s="1795" t="s">
        <v>5190</v>
      </c>
      <c r="B87" s="1283"/>
      <c r="C87" s="1283"/>
      <c r="D87" s="1283"/>
      <c r="E87" s="1283" t="s">
        <v>735</v>
      </c>
      <c r="F87" s="1283"/>
      <c r="G87" s="1283"/>
      <c r="H87" s="1283"/>
      <c r="I87" s="1624">
        <f>ROUND(AD68,3)</f>
        <v>2.5000000000000001E-2</v>
      </c>
      <c r="J87" s="1624"/>
      <c r="K87" s="1624"/>
      <c r="L87" s="1624"/>
      <c r="M87" s="1624"/>
      <c r="N87" s="1624"/>
      <c r="O87" s="1624"/>
      <c r="P87" s="1624"/>
      <c r="Q87" s="1882">
        <f>ROUND(Z68,2)</f>
        <v>216.26</v>
      </c>
      <c r="R87" s="1882"/>
      <c r="S87" s="1882"/>
      <c r="T87" s="1882"/>
      <c r="U87" s="1882"/>
      <c r="V87" s="1882"/>
      <c r="W87" s="1882"/>
      <c r="X87" s="1882"/>
      <c r="Y87" s="1883">
        <f t="shared" si="1"/>
        <v>2595.12</v>
      </c>
      <c r="Z87" s="1883"/>
      <c r="AA87" s="1883"/>
      <c r="AB87" s="1883"/>
      <c r="AC87" s="1883"/>
      <c r="AD87" s="1883"/>
      <c r="AE87" s="1883"/>
      <c r="AF87" s="1884"/>
      <c r="AL87" s="839"/>
    </row>
    <row r="88" spans="1:38" ht="28.15" customHeight="1" x14ac:dyDescent="0.25">
      <c r="A88" s="1795" t="s">
        <v>5191</v>
      </c>
      <c r="B88" s="1874"/>
      <c r="C88" s="1874"/>
      <c r="D88" s="1874"/>
      <c r="E88" s="1874" t="s">
        <v>736</v>
      </c>
      <c r="F88" s="1874"/>
      <c r="G88" s="1874"/>
      <c r="H88" s="1874"/>
      <c r="I88" s="1624">
        <f t="shared" ref="I88:I90" si="5">ROUND(AD69,3)</f>
        <v>2.7E-2</v>
      </c>
      <c r="J88" s="1624"/>
      <c r="K88" s="1624"/>
      <c r="L88" s="1624"/>
      <c r="M88" s="1624"/>
      <c r="N88" s="1624"/>
      <c r="O88" s="1624"/>
      <c r="P88" s="1624"/>
      <c r="Q88" s="1882">
        <f t="shared" ref="Q88:Q90" si="6">ROUND(Z69,2)</f>
        <v>232.69</v>
      </c>
      <c r="R88" s="1882"/>
      <c r="S88" s="1882"/>
      <c r="T88" s="1882"/>
      <c r="U88" s="1882"/>
      <c r="V88" s="1882"/>
      <c r="W88" s="1882"/>
      <c r="X88" s="1882"/>
      <c r="Y88" s="1883">
        <f t="shared" si="1"/>
        <v>2792.2799999999997</v>
      </c>
      <c r="Z88" s="1883"/>
      <c r="AA88" s="1883"/>
      <c r="AB88" s="1883"/>
      <c r="AC88" s="1883"/>
      <c r="AD88" s="1883"/>
      <c r="AE88" s="1883"/>
      <c r="AF88" s="1884"/>
      <c r="AL88" s="839"/>
    </row>
    <row r="89" spans="1:38" ht="28.15" customHeight="1" x14ac:dyDescent="0.25">
      <c r="A89" s="1795" t="s">
        <v>5192</v>
      </c>
      <c r="B89" s="1874"/>
      <c r="C89" s="1874"/>
      <c r="D89" s="1874"/>
      <c r="E89" s="1874" t="s">
        <v>737</v>
      </c>
      <c r="F89" s="1874"/>
      <c r="G89" s="1874"/>
      <c r="H89" s="1874"/>
      <c r="I89" s="1624">
        <f t="shared" si="5"/>
        <v>2.9000000000000001E-2</v>
      </c>
      <c r="J89" s="1624"/>
      <c r="K89" s="1624"/>
      <c r="L89" s="1624"/>
      <c r="M89" s="1624"/>
      <c r="N89" s="1624"/>
      <c r="O89" s="1624"/>
      <c r="P89" s="1624"/>
      <c r="Q89" s="1882">
        <f t="shared" si="6"/>
        <v>251.85</v>
      </c>
      <c r="R89" s="1882"/>
      <c r="S89" s="1882"/>
      <c r="T89" s="1882"/>
      <c r="U89" s="1882"/>
      <c r="V89" s="1882"/>
      <c r="W89" s="1882"/>
      <c r="X89" s="1882"/>
      <c r="Y89" s="1883">
        <f t="shared" si="1"/>
        <v>3022.2</v>
      </c>
      <c r="Z89" s="1883"/>
      <c r="AA89" s="1883"/>
      <c r="AB89" s="1883"/>
      <c r="AC89" s="1883"/>
      <c r="AD89" s="1883"/>
      <c r="AE89" s="1883"/>
      <c r="AF89" s="1884"/>
      <c r="AL89" s="839"/>
    </row>
    <row r="90" spans="1:38" ht="28.15" customHeight="1" x14ac:dyDescent="0.25">
      <c r="A90" s="1795" t="s">
        <v>6195</v>
      </c>
      <c r="B90" s="1874"/>
      <c r="C90" s="1874"/>
      <c r="D90" s="1874"/>
      <c r="E90" s="1874" t="s">
        <v>738</v>
      </c>
      <c r="F90" s="1874"/>
      <c r="G90" s="1874"/>
      <c r="H90" s="1874"/>
      <c r="I90" s="1624">
        <f t="shared" si="5"/>
        <v>3.1E-2</v>
      </c>
      <c r="J90" s="1624"/>
      <c r="K90" s="1624"/>
      <c r="L90" s="1624"/>
      <c r="M90" s="1624"/>
      <c r="N90" s="1624"/>
      <c r="O90" s="1624"/>
      <c r="P90" s="1624"/>
      <c r="Q90" s="1882">
        <f t="shared" si="6"/>
        <v>273.75</v>
      </c>
      <c r="R90" s="1882"/>
      <c r="S90" s="1882"/>
      <c r="T90" s="1882"/>
      <c r="U90" s="1882"/>
      <c r="V90" s="1882"/>
      <c r="W90" s="1882"/>
      <c r="X90" s="1882"/>
      <c r="Y90" s="1883">
        <f t="shared" si="1"/>
        <v>3285</v>
      </c>
      <c r="Z90" s="1883"/>
      <c r="AA90" s="1883"/>
      <c r="AB90" s="1883"/>
      <c r="AC90" s="1883"/>
      <c r="AD90" s="1883"/>
      <c r="AE90" s="1883"/>
      <c r="AF90" s="1884"/>
      <c r="AL90" s="839"/>
    </row>
    <row r="91" spans="1:38" ht="28.15" customHeight="1" x14ac:dyDescent="0.25">
      <c r="A91" s="1795" t="s">
        <v>5193</v>
      </c>
      <c r="B91" s="1874"/>
      <c r="C91" s="1874"/>
      <c r="D91" s="1874"/>
      <c r="E91" s="1874" t="s">
        <v>735</v>
      </c>
      <c r="F91" s="1874"/>
      <c r="G91" s="1874"/>
      <c r="H91" s="1874"/>
      <c r="I91" s="1624">
        <f>ROUND(AD73,3)</f>
        <v>3.5999999999999997E-2</v>
      </c>
      <c r="J91" s="1624"/>
      <c r="K91" s="1624"/>
      <c r="L91" s="1624"/>
      <c r="M91" s="1624"/>
      <c r="N91" s="1624"/>
      <c r="O91" s="1624"/>
      <c r="P91" s="1624"/>
      <c r="Q91" s="1882">
        <f>ROUND(Z73,2)</f>
        <v>311.16000000000003</v>
      </c>
      <c r="R91" s="1882"/>
      <c r="S91" s="1882"/>
      <c r="T91" s="1882"/>
      <c r="U91" s="1882"/>
      <c r="V91" s="1882"/>
      <c r="W91" s="1882"/>
      <c r="X91" s="1882"/>
      <c r="Y91" s="1883">
        <f t="shared" si="1"/>
        <v>3733.92</v>
      </c>
      <c r="Z91" s="1883"/>
      <c r="AA91" s="1883"/>
      <c r="AB91" s="1883"/>
      <c r="AC91" s="1883"/>
      <c r="AD91" s="1883"/>
      <c r="AE91" s="1883"/>
      <c r="AF91" s="1884"/>
      <c r="AL91" s="839"/>
    </row>
    <row r="92" spans="1:38" ht="28.15" customHeight="1" x14ac:dyDescent="0.25">
      <c r="A92" s="1795" t="s">
        <v>5194</v>
      </c>
      <c r="B92" s="1874"/>
      <c r="C92" s="1874"/>
      <c r="D92" s="1874"/>
      <c r="E92" s="1874" t="s">
        <v>736</v>
      </c>
      <c r="F92" s="1874"/>
      <c r="G92" s="1874"/>
      <c r="H92" s="1874"/>
      <c r="I92" s="1624">
        <f t="shared" ref="I92:I94" si="7">ROUND(AD74,3)</f>
        <v>0.05</v>
      </c>
      <c r="J92" s="1624"/>
      <c r="K92" s="1624"/>
      <c r="L92" s="1624"/>
      <c r="M92" s="1624"/>
      <c r="N92" s="1624"/>
      <c r="O92" s="1624"/>
      <c r="P92" s="1624"/>
      <c r="Q92" s="1882">
        <f t="shared" ref="Q92:Q94" si="8">ROUND(Z74,2)</f>
        <v>437.09</v>
      </c>
      <c r="R92" s="1882"/>
      <c r="S92" s="1882"/>
      <c r="T92" s="1882"/>
      <c r="U92" s="1882"/>
      <c r="V92" s="1882"/>
      <c r="W92" s="1882"/>
      <c r="X92" s="1882"/>
      <c r="Y92" s="1883">
        <f t="shared" si="1"/>
        <v>5245.08</v>
      </c>
      <c r="Z92" s="1883"/>
      <c r="AA92" s="1883"/>
      <c r="AB92" s="1883"/>
      <c r="AC92" s="1883"/>
      <c r="AD92" s="1883"/>
      <c r="AE92" s="1883"/>
      <c r="AF92" s="1884"/>
      <c r="AL92" s="839"/>
    </row>
    <row r="93" spans="1:38" ht="28.15" customHeight="1" x14ac:dyDescent="0.25">
      <c r="A93" s="1795" t="s">
        <v>5195</v>
      </c>
      <c r="B93" s="1874"/>
      <c r="C93" s="1874"/>
      <c r="D93" s="1874"/>
      <c r="E93" s="1874" t="s">
        <v>737</v>
      </c>
      <c r="F93" s="1874"/>
      <c r="G93" s="1874"/>
      <c r="H93" s="1874"/>
      <c r="I93" s="1624">
        <f t="shared" si="7"/>
        <v>6.7000000000000004E-2</v>
      </c>
      <c r="J93" s="1624"/>
      <c r="K93" s="1624"/>
      <c r="L93" s="1624"/>
      <c r="M93" s="1624"/>
      <c r="N93" s="1624"/>
      <c r="O93" s="1624"/>
      <c r="P93" s="1624"/>
      <c r="Q93" s="1882">
        <f t="shared" si="8"/>
        <v>584</v>
      </c>
      <c r="R93" s="1882"/>
      <c r="S93" s="1882"/>
      <c r="T93" s="1882"/>
      <c r="U93" s="1882"/>
      <c r="V93" s="1882"/>
      <c r="W93" s="1882"/>
      <c r="X93" s="1882"/>
      <c r="Y93" s="1883">
        <f t="shared" si="1"/>
        <v>7008</v>
      </c>
      <c r="Z93" s="1883"/>
      <c r="AA93" s="1883"/>
      <c r="AB93" s="1883"/>
      <c r="AC93" s="1883"/>
      <c r="AD93" s="1883"/>
      <c r="AE93" s="1883"/>
      <c r="AF93" s="1884"/>
      <c r="AL93" s="839"/>
    </row>
    <row r="94" spans="1:38" ht="28.15" customHeight="1" thickBot="1" x14ac:dyDescent="0.3">
      <c r="A94" s="1802" t="s">
        <v>5196</v>
      </c>
      <c r="B94" s="1887"/>
      <c r="C94" s="1887"/>
      <c r="D94" s="1887"/>
      <c r="E94" s="1887" t="s">
        <v>738</v>
      </c>
      <c r="F94" s="1887"/>
      <c r="G94" s="1887"/>
      <c r="H94" s="1887"/>
      <c r="I94" s="1634">
        <f t="shared" si="7"/>
        <v>8.5999999999999993E-2</v>
      </c>
      <c r="J94" s="1634"/>
      <c r="K94" s="1634"/>
      <c r="L94" s="1634"/>
      <c r="M94" s="1634"/>
      <c r="N94" s="1634"/>
      <c r="O94" s="1634"/>
      <c r="P94" s="1634"/>
      <c r="Q94" s="1888">
        <f t="shared" si="8"/>
        <v>751.9</v>
      </c>
      <c r="R94" s="1888"/>
      <c r="S94" s="1888"/>
      <c r="T94" s="1888"/>
      <c r="U94" s="1888"/>
      <c r="V94" s="1888"/>
      <c r="W94" s="1888"/>
      <c r="X94" s="1888"/>
      <c r="Y94" s="1889">
        <f t="shared" si="1"/>
        <v>9022.7999999999993</v>
      </c>
      <c r="Z94" s="1889"/>
      <c r="AA94" s="1889"/>
      <c r="AB94" s="1889"/>
      <c r="AC94" s="1889"/>
      <c r="AD94" s="1889"/>
      <c r="AE94" s="1889"/>
      <c r="AF94" s="1890"/>
      <c r="AL94" s="839"/>
    </row>
    <row r="95" spans="1:38" x14ac:dyDescent="0.25">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262"/>
      <c r="AF95" s="262"/>
      <c r="AL95" s="839"/>
    </row>
    <row r="96" spans="1:38" x14ac:dyDescent="0.25">
      <c r="A96" s="262"/>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62"/>
      <c r="AE96" s="262"/>
      <c r="AF96" s="262"/>
      <c r="AL96" s="839"/>
    </row>
    <row r="97" spans="1:38" x14ac:dyDescent="0.25">
      <c r="A97" s="1621" t="s">
        <v>1753</v>
      </c>
      <c r="B97" s="1621"/>
      <c r="C97" s="1621"/>
      <c r="D97" s="1621"/>
      <c r="E97" s="1621"/>
      <c r="F97" s="1621"/>
      <c r="G97" s="1621"/>
      <c r="H97" s="1621"/>
      <c r="I97" s="1621"/>
      <c r="J97" s="1621"/>
      <c r="K97" s="1621"/>
      <c r="L97" s="1621"/>
      <c r="M97" s="1621"/>
      <c r="N97" s="1621"/>
      <c r="O97" s="1621"/>
      <c r="P97" s="1621"/>
      <c r="Q97" s="1621"/>
      <c r="R97" s="1621"/>
      <c r="S97" s="1621"/>
      <c r="T97" s="1621"/>
      <c r="U97" s="1621"/>
      <c r="V97" s="1621"/>
      <c r="W97" s="1621"/>
      <c r="X97" s="1621"/>
      <c r="Y97" s="1621"/>
      <c r="Z97" s="1621"/>
      <c r="AA97" s="1621"/>
      <c r="AB97" s="1621"/>
      <c r="AC97" s="1621"/>
      <c r="AD97" s="1621"/>
      <c r="AE97" s="1621"/>
      <c r="AF97" s="1621"/>
      <c r="AL97" s="839"/>
    </row>
    <row r="98" spans="1:38" x14ac:dyDescent="0.25">
      <c r="A98" s="262"/>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262"/>
      <c r="AE98" s="262"/>
      <c r="AF98" s="262"/>
      <c r="AL98" s="839"/>
    </row>
    <row r="99" spans="1:38" ht="15" customHeight="1" x14ac:dyDescent="0.25">
      <c r="A99" s="517" t="s">
        <v>1013</v>
      </c>
      <c r="B99" s="1173" t="s">
        <v>6187</v>
      </c>
      <c r="C99" s="1173"/>
      <c r="D99" s="1173"/>
      <c r="E99" s="1173"/>
      <c r="F99" s="1173"/>
      <c r="G99" s="1173"/>
      <c r="H99" s="1173"/>
      <c r="I99" s="1173"/>
      <c r="J99" s="1173"/>
      <c r="K99" s="1173"/>
      <c r="L99" s="1173"/>
      <c r="M99" s="1173"/>
      <c r="N99" s="1173"/>
      <c r="O99" s="1173"/>
      <c r="P99" s="1173"/>
      <c r="Q99" s="1173"/>
      <c r="R99" s="1173"/>
      <c r="S99" s="1173"/>
      <c r="T99" s="1173"/>
      <c r="U99" s="1173"/>
      <c r="V99" s="1173"/>
      <c r="W99" s="1173"/>
      <c r="X99" s="1173"/>
      <c r="Y99" s="1173"/>
      <c r="Z99" s="1173"/>
      <c r="AA99" s="1173"/>
      <c r="AB99" s="1173"/>
      <c r="AC99" s="1173"/>
      <c r="AD99" s="1173"/>
      <c r="AE99" s="1173"/>
      <c r="AF99" s="1173"/>
      <c r="AL99" s="683"/>
    </row>
    <row r="100" spans="1:38" ht="49.5" customHeight="1" x14ac:dyDescent="0.25">
      <c r="A100" s="517" t="s">
        <v>1013</v>
      </c>
      <c r="B100" s="1173" t="s">
        <v>5197</v>
      </c>
      <c r="C100" s="1173"/>
      <c r="D100" s="1173"/>
      <c r="E100" s="1173"/>
      <c r="F100" s="1173"/>
      <c r="G100" s="1173"/>
      <c r="H100" s="1173"/>
      <c r="I100" s="1173"/>
      <c r="J100" s="1173"/>
      <c r="K100" s="1173"/>
      <c r="L100" s="1173"/>
      <c r="M100" s="1173"/>
      <c r="N100" s="1173"/>
      <c r="O100" s="1173"/>
      <c r="P100" s="1173"/>
      <c r="Q100" s="1173"/>
      <c r="R100" s="1173"/>
      <c r="S100" s="1173"/>
      <c r="T100" s="1173"/>
      <c r="U100" s="1173"/>
      <c r="V100" s="1173"/>
      <c r="W100" s="1173"/>
      <c r="X100" s="1173"/>
      <c r="Y100" s="1173"/>
      <c r="Z100" s="1173"/>
      <c r="AA100" s="1173"/>
      <c r="AB100" s="1173"/>
      <c r="AC100" s="1173"/>
      <c r="AD100" s="1173"/>
      <c r="AE100" s="1173"/>
      <c r="AF100" s="1173"/>
      <c r="AL100" s="683"/>
    </row>
    <row r="101" spans="1:38" ht="78.75" customHeight="1" x14ac:dyDescent="0.25">
      <c r="A101" s="517" t="s">
        <v>1013</v>
      </c>
      <c r="B101" s="1173" t="s">
        <v>6188</v>
      </c>
      <c r="C101" s="1173"/>
      <c r="D101" s="1173"/>
      <c r="E101" s="1173"/>
      <c r="F101" s="1173"/>
      <c r="G101" s="1173"/>
      <c r="H101" s="1173"/>
      <c r="I101" s="1173"/>
      <c r="J101" s="1173"/>
      <c r="K101" s="1173"/>
      <c r="L101" s="1173"/>
      <c r="M101" s="1173"/>
      <c r="N101" s="1173"/>
      <c r="O101" s="1173"/>
      <c r="P101" s="1173"/>
      <c r="Q101" s="1173"/>
      <c r="R101" s="1173"/>
      <c r="S101" s="1173"/>
      <c r="T101" s="1173"/>
      <c r="U101" s="1173"/>
      <c r="V101" s="1173"/>
      <c r="W101" s="1173"/>
      <c r="X101" s="1173"/>
      <c r="Y101" s="1173"/>
      <c r="Z101" s="1173"/>
      <c r="AA101" s="1173"/>
      <c r="AB101" s="1173"/>
      <c r="AC101" s="1173"/>
      <c r="AD101" s="1173"/>
      <c r="AE101" s="1173"/>
      <c r="AF101" s="1173"/>
      <c r="AL101" s="683"/>
    </row>
    <row r="102" spans="1:38" ht="42.6" customHeight="1" x14ac:dyDescent="0.25">
      <c r="A102" s="517" t="s">
        <v>1013</v>
      </c>
      <c r="B102" s="1173" t="s">
        <v>6189</v>
      </c>
      <c r="C102" s="1173"/>
      <c r="D102" s="1173"/>
      <c r="E102" s="1173"/>
      <c r="F102" s="1173"/>
      <c r="G102" s="1173"/>
      <c r="H102" s="1173"/>
      <c r="I102" s="1173"/>
      <c r="J102" s="1173"/>
      <c r="K102" s="1173"/>
      <c r="L102" s="1173"/>
      <c r="M102" s="1173"/>
      <c r="N102" s="1173"/>
      <c r="O102" s="1173"/>
      <c r="P102" s="1173"/>
      <c r="Q102" s="1173"/>
      <c r="R102" s="1173"/>
      <c r="S102" s="1173"/>
      <c r="T102" s="1173"/>
      <c r="U102" s="1173"/>
      <c r="V102" s="1173"/>
      <c r="W102" s="1173"/>
      <c r="X102" s="1173"/>
      <c r="Y102" s="1173"/>
      <c r="Z102" s="1173"/>
      <c r="AA102" s="1173"/>
      <c r="AB102" s="1173"/>
      <c r="AC102" s="1173"/>
      <c r="AD102" s="1173"/>
      <c r="AE102" s="1173"/>
      <c r="AF102" s="1173"/>
      <c r="AL102" s="683"/>
    </row>
    <row r="103" spans="1:38" ht="33" customHeight="1" x14ac:dyDescent="0.25">
      <c r="A103" s="517" t="s">
        <v>1013</v>
      </c>
      <c r="B103" s="1173" t="s">
        <v>5920</v>
      </c>
      <c r="C103" s="1173"/>
      <c r="D103" s="1173"/>
      <c r="E103" s="1173"/>
      <c r="F103" s="1173"/>
      <c r="G103" s="1173"/>
      <c r="H103" s="1173"/>
      <c r="I103" s="1173"/>
      <c r="J103" s="1173"/>
      <c r="K103" s="1173"/>
      <c r="L103" s="1173"/>
      <c r="M103" s="1173"/>
      <c r="N103" s="1173"/>
      <c r="O103" s="1173"/>
      <c r="P103" s="1173"/>
      <c r="Q103" s="1173"/>
      <c r="R103" s="1173"/>
      <c r="S103" s="1173"/>
      <c r="T103" s="1173"/>
      <c r="U103" s="1173"/>
      <c r="V103" s="1173"/>
      <c r="W103" s="1173"/>
      <c r="X103" s="1173"/>
      <c r="Y103" s="1173"/>
      <c r="Z103" s="1173"/>
      <c r="AA103" s="1173"/>
      <c r="AB103" s="1173"/>
      <c r="AC103" s="1173"/>
      <c r="AD103" s="1173"/>
      <c r="AE103" s="1173"/>
      <c r="AF103" s="1173"/>
      <c r="AL103" s="683"/>
    </row>
    <row r="104" spans="1:38" ht="15" customHeight="1" x14ac:dyDescent="0.25">
      <c r="A104" s="517" t="s">
        <v>1013</v>
      </c>
      <c r="B104" s="1173" t="s">
        <v>6190</v>
      </c>
      <c r="C104" s="1173"/>
      <c r="D104" s="1173"/>
      <c r="E104" s="1173"/>
      <c r="F104" s="1173"/>
      <c r="G104" s="1173"/>
      <c r="H104" s="1173"/>
      <c r="I104" s="1173"/>
      <c r="J104" s="1173"/>
      <c r="K104" s="1173"/>
      <c r="L104" s="1173"/>
      <c r="M104" s="1173"/>
      <c r="N104" s="1173"/>
      <c r="O104" s="1173"/>
      <c r="P104" s="1173"/>
      <c r="Q104" s="1173"/>
      <c r="R104" s="1173"/>
      <c r="S104" s="1173"/>
      <c r="T104" s="1173"/>
      <c r="U104" s="1173"/>
      <c r="V104" s="1173"/>
      <c r="W104" s="1173"/>
      <c r="X104" s="1173"/>
      <c r="Y104" s="1173"/>
      <c r="Z104" s="1173"/>
      <c r="AA104" s="1173"/>
      <c r="AB104" s="1173"/>
      <c r="AC104" s="1173"/>
      <c r="AD104" s="1173"/>
      <c r="AE104" s="1173"/>
      <c r="AF104" s="1173"/>
      <c r="AL104" s="683"/>
    </row>
    <row r="105" spans="1:38" ht="32.25" customHeight="1" x14ac:dyDescent="0.25">
      <c r="A105" s="517" t="s">
        <v>1013</v>
      </c>
      <c r="B105" s="1173" t="s">
        <v>5199</v>
      </c>
      <c r="C105" s="1173"/>
      <c r="D105" s="1173"/>
      <c r="E105" s="1173"/>
      <c r="F105" s="1173"/>
      <c r="G105" s="1173"/>
      <c r="H105" s="1173"/>
      <c r="I105" s="1173"/>
      <c r="J105" s="1173"/>
      <c r="K105" s="1173"/>
      <c r="L105" s="1173"/>
      <c r="M105" s="1173"/>
      <c r="N105" s="1173"/>
      <c r="O105" s="1173"/>
      <c r="P105" s="1173"/>
      <c r="Q105" s="1173"/>
      <c r="R105" s="1173"/>
      <c r="S105" s="1173"/>
      <c r="T105" s="1173"/>
      <c r="U105" s="1173"/>
      <c r="V105" s="1173"/>
      <c r="W105" s="1173"/>
      <c r="X105" s="1173"/>
      <c r="Y105" s="1173"/>
      <c r="Z105" s="1173"/>
      <c r="AA105" s="1173"/>
      <c r="AB105" s="1173"/>
      <c r="AC105" s="1173"/>
      <c r="AD105" s="1173"/>
      <c r="AE105" s="1173"/>
      <c r="AF105" s="1173"/>
      <c r="AL105" s="683"/>
    </row>
    <row r="106" spans="1:38" ht="30" customHeight="1" x14ac:dyDescent="0.25">
      <c r="A106" s="517" t="s">
        <v>1013</v>
      </c>
      <c r="B106" s="1173" t="s">
        <v>5922</v>
      </c>
      <c r="C106" s="1173"/>
      <c r="D106" s="1173"/>
      <c r="E106" s="1173"/>
      <c r="F106" s="1173"/>
      <c r="G106" s="1173"/>
      <c r="H106" s="1173"/>
      <c r="I106" s="1173"/>
      <c r="J106" s="1173"/>
      <c r="K106" s="1173"/>
      <c r="L106" s="1173"/>
      <c r="M106" s="1173"/>
      <c r="N106" s="1173"/>
      <c r="O106" s="1173"/>
      <c r="P106" s="1173"/>
      <c r="Q106" s="1173"/>
      <c r="R106" s="1173"/>
      <c r="S106" s="1173"/>
      <c r="T106" s="1173"/>
      <c r="U106" s="1173"/>
      <c r="V106" s="1173"/>
      <c r="W106" s="1173"/>
      <c r="X106" s="1173"/>
      <c r="Y106" s="1173"/>
      <c r="Z106" s="1173"/>
      <c r="AA106" s="1173"/>
      <c r="AB106" s="1173"/>
      <c r="AC106" s="1173"/>
      <c r="AD106" s="1173"/>
      <c r="AE106" s="1173"/>
      <c r="AF106" s="1173"/>
      <c r="AL106" s="683"/>
    </row>
  </sheetData>
  <sheetProtection algorithmName="SHA-512" hashValue="GNqThKn7fEXE0sQwmbIsNmGyylZuw+tufxVulQMp3wia0vntlJZK9zU9I0RmftY7/f6OoXN9KJ1KdAUQ+CarmQ==" saltValue="DFE5G0uRWli1p1xjKT9rfg==" spinCount="100000" sheet="1" objects="1" scenarios="1"/>
  <mergeCells count="307">
    <mergeCell ref="A97:AF97"/>
    <mergeCell ref="B99:AF99"/>
    <mergeCell ref="B100:AF100"/>
    <mergeCell ref="B101:AF101"/>
    <mergeCell ref="B102:AF102"/>
    <mergeCell ref="B103:AF103"/>
    <mergeCell ref="B104:AF104"/>
    <mergeCell ref="B105:AF105"/>
    <mergeCell ref="B106:AF106"/>
    <mergeCell ref="A92:H92"/>
    <mergeCell ref="I92:P92"/>
    <mergeCell ref="Q92:X92"/>
    <mergeCell ref="Y92:AF92"/>
    <mergeCell ref="A93:H93"/>
    <mergeCell ref="I93:P93"/>
    <mergeCell ref="Q93:X93"/>
    <mergeCell ref="Y93:AF93"/>
    <mergeCell ref="A94:H94"/>
    <mergeCell ref="I94:P94"/>
    <mergeCell ref="Q94:X94"/>
    <mergeCell ref="Y94:AF94"/>
    <mergeCell ref="A89:H89"/>
    <mergeCell ref="I89:P89"/>
    <mergeCell ref="Q89:X89"/>
    <mergeCell ref="Y89:AF89"/>
    <mergeCell ref="A90:H90"/>
    <mergeCell ref="I90:P90"/>
    <mergeCell ref="Q90:X90"/>
    <mergeCell ref="Y90:AF90"/>
    <mergeCell ref="A91:H91"/>
    <mergeCell ref="I91:P91"/>
    <mergeCell ref="Q91:X91"/>
    <mergeCell ref="Y91:AF91"/>
    <mergeCell ref="A86:H86"/>
    <mergeCell ref="I86:P86"/>
    <mergeCell ref="Q86:X86"/>
    <mergeCell ref="Y86:AF86"/>
    <mergeCell ref="A87:H87"/>
    <mergeCell ref="I87:P87"/>
    <mergeCell ref="Q87:X87"/>
    <mergeCell ref="Y87:AF87"/>
    <mergeCell ref="A88:H88"/>
    <mergeCell ref="I88:P88"/>
    <mergeCell ref="Q88:X88"/>
    <mergeCell ref="Y88:AF88"/>
    <mergeCell ref="A83:H83"/>
    <mergeCell ref="I83:P83"/>
    <mergeCell ref="Q83:X83"/>
    <mergeCell ref="Y83:AF83"/>
    <mergeCell ref="A84:H84"/>
    <mergeCell ref="I84:P84"/>
    <mergeCell ref="Q84:X84"/>
    <mergeCell ref="Y84:AF84"/>
    <mergeCell ref="A85:H85"/>
    <mergeCell ref="I85:P85"/>
    <mergeCell ref="Q85:X85"/>
    <mergeCell ref="Y85:AF85"/>
    <mergeCell ref="A80:H80"/>
    <mergeCell ref="I80:P80"/>
    <mergeCell ref="Q80:X80"/>
    <mergeCell ref="Y80:AF80"/>
    <mergeCell ref="A81:H81"/>
    <mergeCell ref="I81:P81"/>
    <mergeCell ref="Q81:X81"/>
    <mergeCell ref="Y81:AF81"/>
    <mergeCell ref="A82:H82"/>
    <mergeCell ref="I82:P82"/>
    <mergeCell ref="Q82:X82"/>
    <mergeCell ref="Y82:AF82"/>
    <mergeCell ref="AD76:AF76"/>
    <mergeCell ref="A78:H78"/>
    <mergeCell ref="I78:P78"/>
    <mergeCell ref="Q78:X78"/>
    <mergeCell ref="Y78:AF78"/>
    <mergeCell ref="A79:H79"/>
    <mergeCell ref="I79:P79"/>
    <mergeCell ref="Q79:X79"/>
    <mergeCell ref="Y79:AF79"/>
    <mergeCell ref="A76:D76"/>
    <mergeCell ref="E76:G76"/>
    <mergeCell ref="H76:J76"/>
    <mergeCell ref="K76:M76"/>
    <mergeCell ref="N76:P76"/>
    <mergeCell ref="Q76:S76"/>
    <mergeCell ref="T76:V76"/>
    <mergeCell ref="W76:Y76"/>
    <mergeCell ref="Z76:AC76"/>
    <mergeCell ref="AD74:AF74"/>
    <mergeCell ref="A75:D75"/>
    <mergeCell ref="E75:G75"/>
    <mergeCell ref="H75:J75"/>
    <mergeCell ref="K75:M75"/>
    <mergeCell ref="N75:P75"/>
    <mergeCell ref="Q75:S75"/>
    <mergeCell ref="T75:V75"/>
    <mergeCell ref="W75:Y75"/>
    <mergeCell ref="Z75:AC75"/>
    <mergeCell ref="AD75:AF75"/>
    <mergeCell ref="A74:D74"/>
    <mergeCell ref="E74:G74"/>
    <mergeCell ref="H74:J74"/>
    <mergeCell ref="K74:M74"/>
    <mergeCell ref="N74:P74"/>
    <mergeCell ref="Q74:S74"/>
    <mergeCell ref="T74:V74"/>
    <mergeCell ref="W74:Y74"/>
    <mergeCell ref="Z74:AC74"/>
    <mergeCell ref="AD71:AF71"/>
    <mergeCell ref="A72:AF72"/>
    <mergeCell ref="A73:D73"/>
    <mergeCell ref="E73:G73"/>
    <mergeCell ref="H73:J73"/>
    <mergeCell ref="K73:M73"/>
    <mergeCell ref="N73:P73"/>
    <mergeCell ref="Q73:S73"/>
    <mergeCell ref="T73:V73"/>
    <mergeCell ref="W73:Y73"/>
    <mergeCell ref="Z73:AC73"/>
    <mergeCell ref="AD73:AF73"/>
    <mergeCell ref="A71:D71"/>
    <mergeCell ref="E71:G71"/>
    <mergeCell ref="H71:J71"/>
    <mergeCell ref="K71:M71"/>
    <mergeCell ref="N71:P71"/>
    <mergeCell ref="Q71:S71"/>
    <mergeCell ref="T71:V71"/>
    <mergeCell ref="W71:Y71"/>
    <mergeCell ref="Z71:AC71"/>
    <mergeCell ref="AD69:AF69"/>
    <mergeCell ref="A70:D70"/>
    <mergeCell ref="E70:G70"/>
    <mergeCell ref="H70:J70"/>
    <mergeCell ref="K70:M70"/>
    <mergeCell ref="N70:P70"/>
    <mergeCell ref="Q70:S70"/>
    <mergeCell ref="T70:V70"/>
    <mergeCell ref="W70:Y70"/>
    <mergeCell ref="Z70:AC70"/>
    <mergeCell ref="AD70:AF70"/>
    <mergeCell ref="A69:D69"/>
    <mergeCell ref="E69:G69"/>
    <mergeCell ref="H69:J69"/>
    <mergeCell ref="K69:M69"/>
    <mergeCell ref="N69:P69"/>
    <mergeCell ref="Q69:S69"/>
    <mergeCell ref="T69:V69"/>
    <mergeCell ref="W69:Y69"/>
    <mergeCell ref="Z69:AC69"/>
    <mergeCell ref="AD65:AF65"/>
    <mergeCell ref="A66:AF66"/>
    <mergeCell ref="A67:AF67"/>
    <mergeCell ref="A68:D68"/>
    <mergeCell ref="E68:G68"/>
    <mergeCell ref="H68:J68"/>
    <mergeCell ref="K68:M68"/>
    <mergeCell ref="N68:P68"/>
    <mergeCell ref="Q68:S68"/>
    <mergeCell ref="T68:V68"/>
    <mergeCell ref="W68:Y68"/>
    <mergeCell ref="Z68:AC68"/>
    <mergeCell ref="AD68:AF68"/>
    <mergeCell ref="A65:D65"/>
    <mergeCell ref="E65:G65"/>
    <mergeCell ref="H65:J65"/>
    <mergeCell ref="K65:M65"/>
    <mergeCell ref="N65:P65"/>
    <mergeCell ref="Q65:S65"/>
    <mergeCell ref="T65:V65"/>
    <mergeCell ref="W65:Y65"/>
    <mergeCell ref="Z65:AC65"/>
    <mergeCell ref="AD63:AF63"/>
    <mergeCell ref="A64:D64"/>
    <mergeCell ref="E64:G64"/>
    <mergeCell ref="H64:J64"/>
    <mergeCell ref="K64:M64"/>
    <mergeCell ref="N64:P64"/>
    <mergeCell ref="Q64:S64"/>
    <mergeCell ref="T64:V64"/>
    <mergeCell ref="W64:Y64"/>
    <mergeCell ref="Z64:AC64"/>
    <mergeCell ref="AD64:AF64"/>
    <mergeCell ref="A63:D63"/>
    <mergeCell ref="E63:G63"/>
    <mergeCell ref="H63:J63"/>
    <mergeCell ref="K63:M63"/>
    <mergeCell ref="N63:P63"/>
    <mergeCell ref="Q63:S63"/>
    <mergeCell ref="T63:V63"/>
    <mergeCell ref="W63:Y63"/>
    <mergeCell ref="Z63:AC63"/>
    <mergeCell ref="W60:Y60"/>
    <mergeCell ref="Z60:AC60"/>
    <mergeCell ref="AD60:AF60"/>
    <mergeCell ref="A61:AF61"/>
    <mergeCell ref="A62:D62"/>
    <mergeCell ref="E62:G62"/>
    <mergeCell ref="H62:J62"/>
    <mergeCell ref="K62:M62"/>
    <mergeCell ref="N62:P62"/>
    <mergeCell ref="Q62:S62"/>
    <mergeCell ref="T62:V62"/>
    <mergeCell ref="W62:Y62"/>
    <mergeCell ref="Z62:AC62"/>
    <mergeCell ref="AD62:AF62"/>
    <mergeCell ref="A60:D60"/>
    <mergeCell ref="E60:G60"/>
    <mergeCell ref="H60:J60"/>
    <mergeCell ref="K60:M60"/>
    <mergeCell ref="N60:P60"/>
    <mergeCell ref="Q60:S60"/>
    <mergeCell ref="T60:V60"/>
    <mergeCell ref="W54:Y54"/>
    <mergeCell ref="A55:AF55"/>
    <mergeCell ref="Z58:AC58"/>
    <mergeCell ref="AD58:AF58"/>
    <mergeCell ref="A59:D59"/>
    <mergeCell ref="E59:G59"/>
    <mergeCell ref="H59:J59"/>
    <mergeCell ref="K59:M59"/>
    <mergeCell ref="N59:P59"/>
    <mergeCell ref="Q59:S59"/>
    <mergeCell ref="T59:V59"/>
    <mergeCell ref="W59:Y59"/>
    <mergeCell ref="Z59:AC59"/>
    <mergeCell ref="AD59:AF59"/>
    <mergeCell ref="A58:D58"/>
    <mergeCell ref="E58:G58"/>
    <mergeCell ref="H58:J58"/>
    <mergeCell ref="K58:M58"/>
    <mergeCell ref="N58:P58"/>
    <mergeCell ref="Q58:S58"/>
    <mergeCell ref="T58:V58"/>
    <mergeCell ref="W58:Y58"/>
    <mergeCell ref="A1:AF1"/>
    <mergeCell ref="A3:AF3"/>
    <mergeCell ref="B5:AF5"/>
    <mergeCell ref="A7:AF7"/>
    <mergeCell ref="B9:I9"/>
    <mergeCell ref="B10:AF10"/>
    <mergeCell ref="B12:I12"/>
    <mergeCell ref="B13:AF13"/>
    <mergeCell ref="B15:I15"/>
    <mergeCell ref="B16:AF16"/>
    <mergeCell ref="B18:I18"/>
    <mergeCell ref="B19:AF19"/>
    <mergeCell ref="B22:AF22"/>
    <mergeCell ref="A25:AF25"/>
    <mergeCell ref="A40:AF40"/>
    <mergeCell ref="A42:D42"/>
    <mergeCell ref="A41:D41"/>
    <mergeCell ref="E41:P41"/>
    <mergeCell ref="Q41:T41"/>
    <mergeCell ref="U41:V41"/>
    <mergeCell ref="W41:AF41"/>
    <mergeCell ref="E42:P42"/>
    <mergeCell ref="Q42:T42"/>
    <mergeCell ref="U42:V42"/>
    <mergeCell ref="W42:AF42"/>
    <mergeCell ref="A44:D44"/>
    <mergeCell ref="A43:D43"/>
    <mergeCell ref="E43:P43"/>
    <mergeCell ref="Q43:T43"/>
    <mergeCell ref="U43:V43"/>
    <mergeCell ref="W43:AF43"/>
    <mergeCell ref="A45:D45"/>
    <mergeCell ref="E44:P44"/>
    <mergeCell ref="Q44:T44"/>
    <mergeCell ref="U44:V44"/>
    <mergeCell ref="W44:AF44"/>
    <mergeCell ref="E45:P45"/>
    <mergeCell ref="Q45:T45"/>
    <mergeCell ref="U45:V45"/>
    <mergeCell ref="W45:AF45"/>
    <mergeCell ref="A46:D46"/>
    <mergeCell ref="E46:P46"/>
    <mergeCell ref="Q46:T46"/>
    <mergeCell ref="U46:V46"/>
    <mergeCell ref="W46:AF46"/>
    <mergeCell ref="A47:D47"/>
    <mergeCell ref="E47:P47"/>
    <mergeCell ref="Q47:T47"/>
    <mergeCell ref="U47:V47"/>
    <mergeCell ref="W47:AF47"/>
    <mergeCell ref="A50:AF50"/>
    <mergeCell ref="A53:D54"/>
    <mergeCell ref="E53:G54"/>
    <mergeCell ref="H53:M53"/>
    <mergeCell ref="N53:S53"/>
    <mergeCell ref="T53:Y53"/>
    <mergeCell ref="A56:AF56"/>
    <mergeCell ref="A57:D57"/>
    <mergeCell ref="E57:G57"/>
    <mergeCell ref="H57:J57"/>
    <mergeCell ref="K57:M57"/>
    <mergeCell ref="N57:P57"/>
    <mergeCell ref="Q57:S57"/>
    <mergeCell ref="T57:V57"/>
    <mergeCell ref="W57:Y57"/>
    <mergeCell ref="Z57:AC57"/>
    <mergeCell ref="AD57:AF57"/>
    <mergeCell ref="Z53:AC54"/>
    <mergeCell ref="AD53:AF54"/>
    <mergeCell ref="H54:J54"/>
    <mergeCell ref="K54:M54"/>
    <mergeCell ref="N54:P54"/>
    <mergeCell ref="Q54:S54"/>
    <mergeCell ref="T54:V54"/>
  </mergeCells>
  <hyperlinks>
    <hyperlink ref="A2" location="TOC!A1" display="Return to TOC" xr:uid="{9195857E-E8B9-4E46-A3BB-497189D4DA23}"/>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theme="7" tint="0.79998168889431442"/>
    <pageSetUpPr autoPageBreaks="0"/>
  </sheetPr>
  <dimension ref="A1:BO107"/>
  <sheetViews>
    <sheetView workbookViewId="0">
      <selection sqref="A1:AF1"/>
    </sheetView>
  </sheetViews>
  <sheetFormatPr defaultColWidth="2.7109375" defaultRowHeight="15" x14ac:dyDescent="0.25"/>
  <cols>
    <col min="1" max="16384" width="2.7109375" style="1"/>
  </cols>
  <sheetData>
    <row r="1" spans="1:38" ht="18.75" x14ac:dyDescent="0.25">
      <c r="A1" s="1464" t="s">
        <v>1122</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H1" s="640"/>
      <c r="AL1" s="892"/>
    </row>
    <row r="2" spans="1:38" ht="14.45" customHeight="1" x14ac:dyDescent="0.25">
      <c r="A2" s="655"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L2" s="893"/>
    </row>
    <row r="3" spans="1:38"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c r="AL3" s="839"/>
    </row>
    <row r="4" spans="1:38"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L4" s="839"/>
    </row>
    <row r="5" spans="1:38" x14ac:dyDescent="0.25">
      <c r="A5" s="262"/>
      <c r="B5" s="1589" t="s">
        <v>5857</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L5" s="839"/>
    </row>
    <row r="6" spans="1:38" x14ac:dyDescent="0.25">
      <c r="A6" s="262"/>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L6" s="839"/>
    </row>
    <row r="7" spans="1:38"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c r="AL7" s="839"/>
    </row>
    <row r="8" spans="1:38" x14ac:dyDescent="0.25">
      <c r="A8" s="19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L8" s="839"/>
    </row>
    <row r="9" spans="1:38"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c r="AH9" s="910"/>
      <c r="AL9" s="839"/>
    </row>
    <row r="10" spans="1:38" s="4" customFormat="1" ht="120.75" customHeight="1" x14ac:dyDescent="0.25">
      <c r="A10" s="262"/>
      <c r="B10" s="1173" t="s">
        <v>5200</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L10" s="885"/>
    </row>
    <row r="11" spans="1:38"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L11" s="839"/>
    </row>
    <row r="12" spans="1:38"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L12" s="839"/>
    </row>
    <row r="13" spans="1:38" ht="33" customHeight="1" x14ac:dyDescent="0.25">
      <c r="A13" s="263"/>
      <c r="B13" s="1173" t="s">
        <v>169</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H13" s="911"/>
      <c r="AL13" s="839"/>
    </row>
    <row r="14" spans="1:38" x14ac:dyDescent="0.2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L14" s="839"/>
    </row>
    <row r="15" spans="1:38" x14ac:dyDescent="0.25">
      <c r="A15" s="262"/>
      <c r="B15" s="1845" t="s">
        <v>12</v>
      </c>
      <c r="C15" s="1845"/>
      <c r="D15" s="1845"/>
      <c r="E15" s="1845"/>
      <c r="F15" s="1845"/>
      <c r="G15" s="1845"/>
      <c r="H15" s="1845"/>
      <c r="I15" s="1845"/>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L15" s="839"/>
    </row>
    <row r="16" spans="1:38" s="4" customFormat="1" ht="16.149999999999999" customHeight="1" x14ac:dyDescent="0.25">
      <c r="A16" s="262"/>
      <c r="B16" s="1703" t="s">
        <v>39</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c r="AH16" s="912"/>
      <c r="AL16" s="885"/>
    </row>
    <row r="17" spans="1:38" x14ac:dyDescent="0.25">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L17" s="839"/>
    </row>
    <row r="18" spans="1:38" x14ac:dyDescent="0.25">
      <c r="A18" s="262"/>
      <c r="B18" s="1845" t="s">
        <v>13</v>
      </c>
      <c r="C18" s="1845"/>
      <c r="D18" s="1845"/>
      <c r="E18" s="1845"/>
      <c r="F18" s="1845"/>
      <c r="G18" s="1845"/>
      <c r="H18" s="1845"/>
      <c r="I18" s="1845"/>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L18" s="839"/>
    </row>
    <row r="19" spans="1:38" ht="65.25" customHeight="1" x14ac:dyDescent="0.25">
      <c r="A19" s="263"/>
      <c r="B19" s="1173" t="s">
        <v>6198</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H19" s="912"/>
      <c r="AL19" s="839"/>
    </row>
    <row r="20" spans="1:38" x14ac:dyDescent="0.25">
      <c r="A20" s="262"/>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L20" s="839"/>
    </row>
    <row r="21" spans="1:38" x14ac:dyDescent="0.25">
      <c r="A21" s="262"/>
      <c r="B21" s="414" t="s">
        <v>20</v>
      </c>
      <c r="C21" s="414"/>
      <c r="D21" s="414"/>
      <c r="E21" s="414"/>
      <c r="F21" s="414"/>
      <c r="G21" s="414"/>
      <c r="H21" s="414"/>
      <c r="I21" s="414"/>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L21" s="839"/>
    </row>
    <row r="22" spans="1:38" ht="34.15" customHeight="1" x14ac:dyDescent="0.25">
      <c r="A22" s="262"/>
      <c r="B22" s="1173" t="s">
        <v>6199</v>
      </c>
      <c r="C22" s="1173"/>
      <c r="D22" s="1173"/>
      <c r="E22" s="1173"/>
      <c r="F22" s="1173"/>
      <c r="G22" s="1173"/>
      <c r="H22" s="1173"/>
      <c r="I22" s="1173"/>
      <c r="J22" s="1173"/>
      <c r="K22" s="1173"/>
      <c r="L22" s="1173"/>
      <c r="M22" s="1173"/>
      <c r="N22" s="1173"/>
      <c r="O22" s="1173"/>
      <c r="P22" s="1173"/>
      <c r="Q22" s="1173"/>
      <c r="R22" s="1173"/>
      <c r="S22" s="1173"/>
      <c r="T22" s="1173"/>
      <c r="U22" s="1173"/>
      <c r="V22" s="1173"/>
      <c r="W22" s="1173"/>
      <c r="X22" s="1173"/>
      <c r="Y22" s="1173"/>
      <c r="Z22" s="1173"/>
      <c r="AA22" s="1173"/>
      <c r="AB22" s="1173"/>
      <c r="AC22" s="1173"/>
      <c r="AD22" s="1173"/>
      <c r="AE22" s="1173"/>
      <c r="AF22" s="1173"/>
      <c r="AL22" s="839"/>
    </row>
    <row r="23" spans="1:38" x14ac:dyDescent="0.25">
      <c r="A23" s="262"/>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L23" s="839"/>
    </row>
    <row r="24" spans="1:38" x14ac:dyDescent="0.25">
      <c r="A24" s="262"/>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L24" s="839"/>
    </row>
    <row r="25" spans="1:38" x14ac:dyDescent="0.25">
      <c r="A25" s="1621" t="s">
        <v>14</v>
      </c>
      <c r="B25" s="1621"/>
      <c r="C25" s="1621"/>
      <c r="D25" s="1621"/>
      <c r="E25" s="1621"/>
      <c r="F25" s="1621"/>
      <c r="G25" s="1621"/>
      <c r="H25" s="1621"/>
      <c r="I25" s="1621"/>
      <c r="J25" s="1621"/>
      <c r="K25" s="1621"/>
      <c r="L25" s="1621"/>
      <c r="M25" s="1621"/>
      <c r="N25" s="1621"/>
      <c r="O25" s="1621"/>
      <c r="P25" s="1621"/>
      <c r="Q25" s="1621"/>
      <c r="R25" s="1621"/>
      <c r="S25" s="1621"/>
      <c r="T25" s="1621"/>
      <c r="U25" s="1621"/>
      <c r="V25" s="1621"/>
      <c r="W25" s="1621"/>
      <c r="X25" s="1621"/>
      <c r="Y25" s="1621"/>
      <c r="Z25" s="1621"/>
      <c r="AA25" s="1621"/>
      <c r="AB25" s="1621"/>
      <c r="AC25" s="1621"/>
      <c r="AD25" s="1621"/>
      <c r="AE25" s="1621"/>
      <c r="AF25" s="1621"/>
      <c r="AL25" s="839"/>
    </row>
    <row r="26" spans="1:38" x14ac:dyDescent="0.25">
      <c r="A26" s="262"/>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c r="AL26" s="839"/>
    </row>
    <row r="27" spans="1:38" x14ac:dyDescent="0.25">
      <c r="A27" s="262"/>
      <c r="B27" s="519" t="s">
        <v>2194</v>
      </c>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L27" s="839"/>
    </row>
    <row r="28" spans="1:38" x14ac:dyDescent="0.25">
      <c r="A28" s="262"/>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L28" s="839"/>
    </row>
    <row r="29" spans="1:38" x14ac:dyDescent="0.25">
      <c r="A29" s="262"/>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685" t="s">
        <v>1705</v>
      </c>
      <c r="AL29" s="839"/>
    </row>
    <row r="30" spans="1:38" x14ac:dyDescent="0.25">
      <c r="A30" s="262"/>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L30" s="839"/>
    </row>
    <row r="31" spans="1:38" x14ac:dyDescent="0.25">
      <c r="A31" s="262"/>
      <c r="B31" s="519" t="s">
        <v>2303</v>
      </c>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L31" s="839"/>
    </row>
    <row r="32" spans="1:38" x14ac:dyDescent="0.25">
      <c r="A32" s="262"/>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L32" s="839"/>
    </row>
    <row r="33" spans="1:54" x14ac:dyDescent="0.25">
      <c r="A33" s="262"/>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262"/>
      <c r="AF33" s="339" t="s">
        <v>1706</v>
      </c>
      <c r="AL33" s="839"/>
    </row>
    <row r="34" spans="1:54" x14ac:dyDescent="0.25">
      <c r="A34" s="262"/>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L34" s="839"/>
    </row>
    <row r="35" spans="1:54" x14ac:dyDescent="0.25">
      <c r="A35" s="262"/>
      <c r="B35" s="519" t="s">
        <v>1998</v>
      </c>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L35" s="839"/>
    </row>
    <row r="36" spans="1:54" x14ac:dyDescent="0.25">
      <c r="A36" s="262"/>
      <c r="B36" s="519"/>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L36" s="839"/>
    </row>
    <row r="37" spans="1:54" x14ac:dyDescent="0.25">
      <c r="A37" s="262"/>
      <c r="B37" s="519"/>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419" t="s">
        <v>1707</v>
      </c>
      <c r="AL37" s="839"/>
    </row>
    <row r="38" spans="1:54" x14ac:dyDescent="0.25">
      <c r="A38" s="262"/>
      <c r="B38" s="519"/>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L38" s="839"/>
    </row>
    <row r="39" spans="1:54" x14ac:dyDescent="0.25">
      <c r="A39" s="262"/>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L39" s="839"/>
    </row>
    <row r="40" spans="1:54" x14ac:dyDescent="0.25">
      <c r="A40" s="1621" t="s">
        <v>15</v>
      </c>
      <c r="B40" s="1621"/>
      <c r="C40" s="1621"/>
      <c r="D40" s="1621"/>
      <c r="E40" s="1621"/>
      <c r="F40" s="1621"/>
      <c r="G40" s="1621"/>
      <c r="H40" s="1621"/>
      <c r="I40" s="1621"/>
      <c r="J40" s="1621"/>
      <c r="K40" s="1621"/>
      <c r="L40" s="1621"/>
      <c r="M40" s="1621"/>
      <c r="N40" s="1621"/>
      <c r="O40" s="1621"/>
      <c r="P40" s="1621"/>
      <c r="Q40" s="1621"/>
      <c r="R40" s="1621"/>
      <c r="S40" s="1621"/>
      <c r="T40" s="1621"/>
      <c r="U40" s="1621"/>
      <c r="V40" s="1621"/>
      <c r="W40" s="1621"/>
      <c r="X40" s="1621"/>
      <c r="Y40" s="1621"/>
      <c r="Z40" s="1621"/>
      <c r="AA40" s="1621"/>
      <c r="AB40" s="1621"/>
      <c r="AC40" s="1621"/>
      <c r="AD40" s="1621"/>
      <c r="AE40" s="1621"/>
      <c r="AF40" s="1621"/>
      <c r="AL40" s="839"/>
    </row>
    <row r="41" spans="1:54" ht="14.45" customHeight="1" x14ac:dyDescent="0.25">
      <c r="A41" s="1735" t="s">
        <v>16</v>
      </c>
      <c r="B41" s="1735"/>
      <c r="C41" s="1735"/>
      <c r="D41" s="1735"/>
      <c r="E41" s="1735" t="s">
        <v>10</v>
      </c>
      <c r="F41" s="1735"/>
      <c r="G41" s="1735"/>
      <c r="H41" s="1735"/>
      <c r="I41" s="1735"/>
      <c r="J41" s="1735"/>
      <c r="K41" s="1735"/>
      <c r="L41" s="1735"/>
      <c r="M41" s="1735"/>
      <c r="N41" s="1735"/>
      <c r="O41" s="1735"/>
      <c r="P41" s="1735"/>
      <c r="Q41" s="1735" t="s">
        <v>17</v>
      </c>
      <c r="R41" s="1735"/>
      <c r="S41" s="1735"/>
      <c r="T41" s="1735"/>
      <c r="U41" s="1735" t="s">
        <v>18</v>
      </c>
      <c r="V41" s="1735"/>
      <c r="W41" s="1735" t="s">
        <v>1708</v>
      </c>
      <c r="X41" s="1735"/>
      <c r="Y41" s="1735"/>
      <c r="Z41" s="1735"/>
      <c r="AA41" s="1735"/>
      <c r="AB41" s="1735"/>
      <c r="AC41" s="1735"/>
      <c r="AD41" s="1735"/>
      <c r="AE41" s="1735"/>
      <c r="AF41" s="1735"/>
      <c r="AL41" s="839"/>
      <c r="AY41" s="906"/>
      <c r="AZ41" s="906"/>
      <c r="BA41" s="906"/>
      <c r="BB41" s="906"/>
    </row>
    <row r="42" spans="1:54" ht="30.75" customHeight="1" x14ac:dyDescent="0.25">
      <c r="A42" s="1680" t="s">
        <v>5926</v>
      </c>
      <c r="B42" s="1681"/>
      <c r="C42" s="1681"/>
      <c r="D42" s="1682"/>
      <c r="E42" s="1494" t="s">
        <v>5170</v>
      </c>
      <c r="F42" s="1495"/>
      <c r="G42" s="1495"/>
      <c r="H42" s="1495"/>
      <c r="I42" s="1495"/>
      <c r="J42" s="1495"/>
      <c r="K42" s="1495"/>
      <c r="L42" s="1495"/>
      <c r="M42" s="1495"/>
      <c r="N42" s="1495"/>
      <c r="O42" s="1495"/>
      <c r="P42" s="1496"/>
      <c r="Q42" s="1683" t="s">
        <v>626</v>
      </c>
      <c r="R42" s="1684"/>
      <c r="S42" s="1684"/>
      <c r="T42" s="1685"/>
      <c r="U42" s="1497" t="s">
        <v>82</v>
      </c>
      <c r="V42" s="1499"/>
      <c r="W42" s="1497" t="s">
        <v>5171</v>
      </c>
      <c r="X42" s="1498"/>
      <c r="Y42" s="1498"/>
      <c r="Z42" s="1498"/>
      <c r="AA42" s="1498"/>
      <c r="AB42" s="1498"/>
      <c r="AC42" s="1498"/>
      <c r="AD42" s="1498"/>
      <c r="AE42" s="1498"/>
      <c r="AF42" s="1499"/>
      <c r="AL42" s="839"/>
    </row>
    <row r="43" spans="1:54" ht="29.25" customHeight="1" x14ac:dyDescent="0.25">
      <c r="A43" s="1680" t="s">
        <v>5927</v>
      </c>
      <c r="B43" s="1681"/>
      <c r="C43" s="1681"/>
      <c r="D43" s="1682"/>
      <c r="E43" s="1494" t="s">
        <v>5172</v>
      </c>
      <c r="F43" s="1495"/>
      <c r="G43" s="1495"/>
      <c r="H43" s="1495"/>
      <c r="I43" s="1495"/>
      <c r="J43" s="1495"/>
      <c r="K43" s="1495"/>
      <c r="L43" s="1495"/>
      <c r="M43" s="1495"/>
      <c r="N43" s="1495"/>
      <c r="O43" s="1495"/>
      <c r="P43" s="1496"/>
      <c r="Q43" s="1683" t="s">
        <v>626</v>
      </c>
      <c r="R43" s="1684"/>
      <c r="S43" s="1684"/>
      <c r="T43" s="1685"/>
      <c r="U43" s="1497" t="s">
        <v>82</v>
      </c>
      <c r="V43" s="1499"/>
      <c r="W43" s="1683" t="s">
        <v>6185</v>
      </c>
      <c r="X43" s="1684"/>
      <c r="Y43" s="1684"/>
      <c r="Z43" s="1684"/>
      <c r="AA43" s="1684"/>
      <c r="AB43" s="1684"/>
      <c r="AC43" s="1684"/>
      <c r="AD43" s="1684"/>
      <c r="AE43" s="1684"/>
      <c r="AF43" s="1685"/>
      <c r="AH43" s="640"/>
      <c r="AL43" s="839"/>
    </row>
    <row r="44" spans="1:54" ht="14.45" customHeight="1" x14ac:dyDescent="0.25">
      <c r="A44" s="1680" t="s">
        <v>72</v>
      </c>
      <c r="B44" s="1681"/>
      <c r="C44" s="1681"/>
      <c r="D44" s="1682"/>
      <c r="E44" s="1680" t="s">
        <v>125</v>
      </c>
      <c r="F44" s="1681"/>
      <c r="G44" s="1681"/>
      <c r="H44" s="1681"/>
      <c r="I44" s="1681"/>
      <c r="J44" s="1681"/>
      <c r="K44" s="1681"/>
      <c r="L44" s="1681"/>
      <c r="M44" s="1681"/>
      <c r="N44" s="1681"/>
      <c r="O44" s="1681"/>
      <c r="P44" s="1682"/>
      <c r="Q44" s="1683">
        <v>365</v>
      </c>
      <c r="R44" s="1684"/>
      <c r="S44" s="1684"/>
      <c r="T44" s="1685"/>
      <c r="U44" s="1683" t="s">
        <v>74</v>
      </c>
      <c r="V44" s="1685"/>
      <c r="W44" s="1683"/>
      <c r="X44" s="1684"/>
      <c r="Y44" s="1684"/>
      <c r="Z44" s="1684"/>
      <c r="AA44" s="1684"/>
      <c r="AB44" s="1684"/>
      <c r="AC44" s="1684"/>
      <c r="AD44" s="1684"/>
      <c r="AE44" s="1684"/>
      <c r="AF44" s="1685"/>
      <c r="AL44" s="839"/>
    </row>
    <row r="45" spans="1:54" ht="14.45" customHeight="1" x14ac:dyDescent="0.25">
      <c r="A45" s="1680" t="s">
        <v>32</v>
      </c>
      <c r="B45" s="1681"/>
      <c r="C45" s="1681"/>
      <c r="D45" s="1682"/>
      <c r="E45" s="1680" t="s">
        <v>163</v>
      </c>
      <c r="F45" s="1681"/>
      <c r="G45" s="1681"/>
      <c r="H45" s="1681"/>
      <c r="I45" s="1681"/>
      <c r="J45" s="1681"/>
      <c r="K45" s="1681"/>
      <c r="L45" s="1681"/>
      <c r="M45" s="1681"/>
      <c r="N45" s="1681"/>
      <c r="O45" s="1681"/>
      <c r="P45" s="1682"/>
      <c r="Q45" s="1690">
        <v>8760</v>
      </c>
      <c r="R45" s="1691"/>
      <c r="S45" s="1691"/>
      <c r="T45" s="1692"/>
      <c r="U45" s="1683" t="s">
        <v>45</v>
      </c>
      <c r="V45" s="1685"/>
      <c r="W45" s="1683"/>
      <c r="X45" s="1684"/>
      <c r="Y45" s="1684"/>
      <c r="Z45" s="1684"/>
      <c r="AA45" s="1684"/>
      <c r="AB45" s="1684"/>
      <c r="AC45" s="1684"/>
      <c r="AD45" s="1684"/>
      <c r="AE45" s="1684"/>
      <c r="AF45" s="1685"/>
      <c r="AL45" s="839"/>
    </row>
    <row r="46" spans="1:54" ht="14.45" customHeight="1" x14ac:dyDescent="0.25">
      <c r="A46" s="1680" t="s">
        <v>29</v>
      </c>
      <c r="B46" s="1681"/>
      <c r="C46" s="1681"/>
      <c r="D46" s="1682"/>
      <c r="E46" s="1680" t="s">
        <v>104</v>
      </c>
      <c r="F46" s="1681"/>
      <c r="G46" s="1681"/>
      <c r="H46" s="1681"/>
      <c r="I46" s="1681"/>
      <c r="J46" s="1681"/>
      <c r="K46" s="1681"/>
      <c r="L46" s="1681"/>
      <c r="M46" s="1681"/>
      <c r="N46" s="1681"/>
      <c r="O46" s="1681"/>
      <c r="P46" s="1682"/>
      <c r="Q46" s="1683">
        <v>1</v>
      </c>
      <c r="R46" s="1684"/>
      <c r="S46" s="1684"/>
      <c r="T46" s="1685"/>
      <c r="U46" s="1683" t="s">
        <v>28</v>
      </c>
      <c r="V46" s="1685"/>
      <c r="W46" s="1683"/>
      <c r="X46" s="1684"/>
      <c r="Y46" s="1684"/>
      <c r="Z46" s="1684"/>
      <c r="AA46" s="1684"/>
      <c r="AB46" s="1684"/>
      <c r="AC46" s="1684"/>
      <c r="AD46" s="1684"/>
      <c r="AE46" s="1684"/>
      <c r="AF46" s="1685"/>
      <c r="AL46" s="839"/>
    </row>
    <row r="47" spans="1:54" ht="42" customHeight="1" x14ac:dyDescent="0.25">
      <c r="A47" s="1680" t="s">
        <v>2724</v>
      </c>
      <c r="B47" s="1681"/>
      <c r="C47" s="1681"/>
      <c r="D47" s="1682"/>
      <c r="E47" s="1132" t="s">
        <v>2217</v>
      </c>
      <c r="F47" s="1132"/>
      <c r="G47" s="1132"/>
      <c r="H47" s="1132"/>
      <c r="I47" s="1132"/>
      <c r="J47" s="1132"/>
      <c r="K47" s="1132"/>
      <c r="L47" s="1132"/>
      <c r="M47" s="1132"/>
      <c r="N47" s="1132"/>
      <c r="O47" s="1132"/>
      <c r="P47" s="1132"/>
      <c r="Q47" s="1683">
        <f>'Master EUL'!X121</f>
        <v>12</v>
      </c>
      <c r="R47" s="1684"/>
      <c r="S47" s="1684"/>
      <c r="T47" s="1685"/>
      <c r="U47" s="1683" t="s">
        <v>46</v>
      </c>
      <c r="V47" s="1685"/>
      <c r="W47" s="1497" t="s">
        <v>6196</v>
      </c>
      <c r="X47" s="1498"/>
      <c r="Y47" s="1498"/>
      <c r="Z47" s="1498"/>
      <c r="AA47" s="1498"/>
      <c r="AB47" s="1498"/>
      <c r="AC47" s="1498"/>
      <c r="AD47" s="1498"/>
      <c r="AE47" s="1498"/>
      <c r="AF47" s="1499"/>
      <c r="AH47" s="683"/>
      <c r="AL47" s="893"/>
    </row>
    <row r="48" spans="1:54" x14ac:dyDescent="0.25">
      <c r="A48" s="262"/>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L48" s="839"/>
    </row>
    <row r="49" spans="1:39" x14ac:dyDescent="0.25">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L49" s="839"/>
    </row>
    <row r="50" spans="1:39" x14ac:dyDescent="0.25">
      <c r="A50" s="1621" t="s">
        <v>21</v>
      </c>
      <c r="B50" s="1621"/>
      <c r="C50" s="1621"/>
      <c r="D50" s="1621"/>
      <c r="E50" s="1621"/>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1621"/>
      <c r="AB50" s="1621"/>
      <c r="AC50" s="1621"/>
      <c r="AD50" s="1621"/>
      <c r="AE50" s="1621"/>
      <c r="AF50" s="1621"/>
      <c r="AL50" s="839"/>
    </row>
    <row r="51" spans="1:39" x14ac:dyDescent="0.25">
      <c r="A51" s="190"/>
      <c r="B51" s="190"/>
      <c r="C51" s="190"/>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L51" s="839"/>
    </row>
    <row r="52" spans="1:39" s="4" customFormat="1" x14ac:dyDescent="0.25">
      <c r="A52" s="338" t="s">
        <v>5173</v>
      </c>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L52" s="683"/>
      <c r="AM52" s="884"/>
    </row>
    <row r="53" spans="1:39" s="4" customFormat="1" ht="28.9" customHeight="1" x14ac:dyDescent="0.25">
      <c r="A53" s="1319" t="s">
        <v>732</v>
      </c>
      <c r="B53" s="1319"/>
      <c r="C53" s="1319"/>
      <c r="D53" s="1319"/>
      <c r="E53" s="1319" t="s">
        <v>733</v>
      </c>
      <c r="F53" s="1319"/>
      <c r="G53" s="1319"/>
      <c r="H53" s="1319" t="s">
        <v>5201</v>
      </c>
      <c r="I53" s="1319"/>
      <c r="J53" s="1319"/>
      <c r="K53" s="1319"/>
      <c r="L53" s="1319"/>
      <c r="M53" s="1319"/>
      <c r="N53" s="1319" t="s">
        <v>739</v>
      </c>
      <c r="O53" s="1319"/>
      <c r="P53" s="1319"/>
      <c r="Q53" s="1319"/>
      <c r="R53" s="1319"/>
      <c r="S53" s="1319"/>
      <c r="T53" s="1319" t="s">
        <v>740</v>
      </c>
      <c r="U53" s="1319"/>
      <c r="V53" s="1319"/>
      <c r="W53" s="1319"/>
      <c r="X53" s="1319"/>
      <c r="Y53" s="1319"/>
      <c r="Z53" s="1319" t="s">
        <v>741</v>
      </c>
      <c r="AA53" s="1319"/>
      <c r="AB53" s="1319"/>
      <c r="AC53" s="1319"/>
      <c r="AD53" s="1319" t="s">
        <v>458</v>
      </c>
      <c r="AE53" s="1319"/>
      <c r="AF53" s="1319"/>
      <c r="AL53" s="885"/>
    </row>
    <row r="54" spans="1:39" s="4" customFormat="1" x14ac:dyDescent="0.25">
      <c r="A54" s="1319"/>
      <c r="B54" s="1319"/>
      <c r="C54" s="1319"/>
      <c r="D54" s="1319"/>
      <c r="E54" s="1319"/>
      <c r="F54" s="1319"/>
      <c r="G54" s="1319"/>
      <c r="H54" s="1319" t="s">
        <v>531</v>
      </c>
      <c r="I54" s="1319"/>
      <c r="J54" s="1319"/>
      <c r="K54" s="1319" t="s">
        <v>734</v>
      </c>
      <c r="L54" s="1319"/>
      <c r="M54" s="1319"/>
      <c r="N54" s="1319" t="s">
        <v>531</v>
      </c>
      <c r="O54" s="1319"/>
      <c r="P54" s="1319"/>
      <c r="Q54" s="1319" t="s">
        <v>734</v>
      </c>
      <c r="R54" s="1319"/>
      <c r="S54" s="1319"/>
      <c r="T54" s="1319" t="s">
        <v>531</v>
      </c>
      <c r="U54" s="1319"/>
      <c r="V54" s="1319"/>
      <c r="W54" s="1319" t="s">
        <v>734</v>
      </c>
      <c r="X54" s="1319"/>
      <c r="Y54" s="1319"/>
      <c r="Z54" s="1319"/>
      <c r="AA54" s="1319"/>
      <c r="AB54" s="1319"/>
      <c r="AC54" s="1319"/>
      <c r="AD54" s="1319"/>
      <c r="AE54" s="1319"/>
      <c r="AF54" s="1319"/>
      <c r="AL54" s="885"/>
    </row>
    <row r="55" spans="1:39" s="4" customFormat="1" ht="14.45" customHeight="1" x14ac:dyDescent="0.25">
      <c r="A55" s="1900" t="s">
        <v>5174</v>
      </c>
      <c r="B55" s="1900"/>
      <c r="C55" s="1900"/>
      <c r="D55" s="1900"/>
      <c r="E55" s="1900"/>
      <c r="F55" s="1900"/>
      <c r="G55" s="1900"/>
      <c r="H55" s="1900"/>
      <c r="I55" s="1900"/>
      <c r="J55" s="1900"/>
      <c r="K55" s="1900"/>
      <c r="L55" s="1900"/>
      <c r="M55" s="1900"/>
      <c r="N55" s="1900"/>
      <c r="O55" s="1900"/>
      <c r="P55" s="1900"/>
      <c r="Q55" s="1900"/>
      <c r="R55" s="1900"/>
      <c r="S55" s="1900"/>
      <c r="T55" s="1900"/>
      <c r="U55" s="1900"/>
      <c r="V55" s="1900"/>
      <c r="W55" s="1900"/>
      <c r="X55" s="1900"/>
      <c r="Y55" s="1900"/>
      <c r="Z55" s="1900"/>
      <c r="AA55" s="1900"/>
      <c r="AB55" s="1900"/>
      <c r="AC55" s="1900"/>
      <c r="AD55" s="1900"/>
      <c r="AE55" s="1900"/>
      <c r="AF55" s="1900"/>
      <c r="AL55" s="885"/>
    </row>
    <row r="56" spans="1:39" s="4" customFormat="1" x14ac:dyDescent="0.25">
      <c r="A56" s="1891" t="s">
        <v>5175</v>
      </c>
      <c r="B56" s="1892"/>
      <c r="C56" s="1892"/>
      <c r="D56" s="1892"/>
      <c r="E56" s="1892"/>
      <c r="F56" s="1892"/>
      <c r="G56" s="1892"/>
      <c r="H56" s="1892"/>
      <c r="I56" s="1892"/>
      <c r="J56" s="1892"/>
      <c r="K56" s="1892"/>
      <c r="L56" s="1892"/>
      <c r="M56" s="1892"/>
      <c r="N56" s="1892"/>
      <c r="O56" s="1892"/>
      <c r="P56" s="1892"/>
      <c r="Q56" s="1892"/>
      <c r="R56" s="1892"/>
      <c r="S56" s="1892"/>
      <c r="T56" s="1892"/>
      <c r="U56" s="1892"/>
      <c r="V56" s="1892"/>
      <c r="W56" s="1892"/>
      <c r="X56" s="1892"/>
      <c r="Y56" s="1892"/>
      <c r="Z56" s="1892"/>
      <c r="AA56" s="1892"/>
      <c r="AB56" s="1892"/>
      <c r="AC56" s="1892"/>
      <c r="AD56" s="1892"/>
      <c r="AE56" s="1892"/>
      <c r="AF56" s="1892"/>
      <c r="AL56" s="885"/>
    </row>
    <row r="57" spans="1:39" s="4" customFormat="1" x14ac:dyDescent="0.25">
      <c r="A57" s="1874" t="s">
        <v>5176</v>
      </c>
      <c r="B57" s="1874"/>
      <c r="C57" s="1874"/>
      <c r="D57" s="1874"/>
      <c r="E57" s="1893">
        <v>7.5</v>
      </c>
      <c r="F57" s="1893"/>
      <c r="G57" s="1893"/>
      <c r="H57" s="1894">
        <v>0.05</v>
      </c>
      <c r="I57" s="1895"/>
      <c r="J57" s="1896"/>
      <c r="K57" s="1894">
        <v>2.6700000000000002E-2</v>
      </c>
      <c r="L57" s="1895"/>
      <c r="M57" s="1896"/>
      <c r="N57" s="1894">
        <v>1.36</v>
      </c>
      <c r="O57" s="1895"/>
      <c r="P57" s="1896"/>
      <c r="Q57" s="1876">
        <v>0.8</v>
      </c>
      <c r="R57" s="1876"/>
      <c r="S57" s="1876"/>
      <c r="T57" s="1894">
        <f>E57*H57+N57</f>
        <v>1.7350000000000001</v>
      </c>
      <c r="U57" s="1895"/>
      <c r="V57" s="1896"/>
      <c r="W57" s="1894">
        <f>E57*K57+Q57</f>
        <v>1.0002500000000001</v>
      </c>
      <c r="X57" s="1895"/>
      <c r="Y57" s="1896"/>
      <c r="Z57" s="1897">
        <f>(T57-W57)*$Q$44</f>
        <v>268.18375000000003</v>
      </c>
      <c r="AA57" s="1898"/>
      <c r="AB57" s="1898"/>
      <c r="AC57" s="1899"/>
      <c r="AD57" s="1894">
        <f>$Q$46*Z57/$Q$45</f>
        <v>3.0614583333333337E-2</v>
      </c>
      <c r="AE57" s="1895"/>
      <c r="AF57" s="1896"/>
      <c r="AL57" s="885"/>
    </row>
    <row r="58" spans="1:39" s="4" customFormat="1" x14ac:dyDescent="0.25">
      <c r="A58" s="1874" t="s">
        <v>5177</v>
      </c>
      <c r="B58" s="1874"/>
      <c r="C58" s="1874"/>
      <c r="D58" s="1874"/>
      <c r="E58" s="1893">
        <v>22.5</v>
      </c>
      <c r="F58" s="1893"/>
      <c r="G58" s="1893"/>
      <c r="H58" s="1894">
        <v>0.05</v>
      </c>
      <c r="I58" s="1895"/>
      <c r="J58" s="1896"/>
      <c r="K58" s="1894">
        <v>0.05</v>
      </c>
      <c r="L58" s="1895"/>
      <c r="M58" s="1896"/>
      <c r="N58" s="1894">
        <v>1.36</v>
      </c>
      <c r="O58" s="1895"/>
      <c r="P58" s="1896"/>
      <c r="Q58" s="1876">
        <v>0.45</v>
      </c>
      <c r="R58" s="1876"/>
      <c r="S58" s="1876"/>
      <c r="T58" s="1894">
        <f>E58*H58+N58</f>
        <v>2.4850000000000003</v>
      </c>
      <c r="U58" s="1895"/>
      <c r="V58" s="1896"/>
      <c r="W58" s="1894">
        <f>E58*K58+Q58</f>
        <v>1.575</v>
      </c>
      <c r="X58" s="1895"/>
      <c r="Y58" s="1896"/>
      <c r="Z58" s="1897">
        <f t="shared" ref="Z58:Z60" si="0">(T58-W58)*$Q$44</f>
        <v>332.15000000000015</v>
      </c>
      <c r="AA58" s="1898"/>
      <c r="AB58" s="1898"/>
      <c r="AC58" s="1899"/>
      <c r="AD58" s="1894">
        <f t="shared" ref="AD58:AD60" si="1">$Q$46*Z58/$Q$45</f>
        <v>3.7916666666666682E-2</v>
      </c>
      <c r="AE58" s="1895"/>
      <c r="AF58" s="1896"/>
      <c r="AL58" s="885"/>
    </row>
    <row r="59" spans="1:39" s="4" customFormat="1" x14ac:dyDescent="0.25">
      <c r="A59" s="1874" t="s">
        <v>5178</v>
      </c>
      <c r="B59" s="1874"/>
      <c r="C59" s="1874"/>
      <c r="D59" s="1874"/>
      <c r="E59" s="1893">
        <v>40</v>
      </c>
      <c r="F59" s="1893"/>
      <c r="G59" s="1893"/>
      <c r="H59" s="1894">
        <v>0.05</v>
      </c>
      <c r="I59" s="1895"/>
      <c r="J59" s="1896"/>
      <c r="K59" s="1894">
        <v>0.05</v>
      </c>
      <c r="L59" s="1895"/>
      <c r="M59" s="1896"/>
      <c r="N59" s="1894">
        <v>1.36</v>
      </c>
      <c r="O59" s="1895"/>
      <c r="P59" s="1896"/>
      <c r="Q59" s="1876">
        <v>0.45</v>
      </c>
      <c r="R59" s="1876"/>
      <c r="S59" s="1876"/>
      <c r="T59" s="1894">
        <f>E59*H59+N59</f>
        <v>3.3600000000000003</v>
      </c>
      <c r="U59" s="1895"/>
      <c r="V59" s="1896"/>
      <c r="W59" s="1894">
        <f>E59*K59+Q59</f>
        <v>2.4500000000000002</v>
      </c>
      <c r="X59" s="1895"/>
      <c r="Y59" s="1896"/>
      <c r="Z59" s="1897">
        <f t="shared" si="0"/>
        <v>332.15000000000003</v>
      </c>
      <c r="AA59" s="1898"/>
      <c r="AB59" s="1898"/>
      <c r="AC59" s="1899"/>
      <c r="AD59" s="1894">
        <f t="shared" si="1"/>
        <v>3.7916666666666668E-2</v>
      </c>
      <c r="AE59" s="1895"/>
      <c r="AF59" s="1896"/>
      <c r="AL59" s="885"/>
    </row>
    <row r="60" spans="1:39" s="4" customFormat="1" x14ac:dyDescent="0.25">
      <c r="A60" s="1874" t="s">
        <v>5179</v>
      </c>
      <c r="B60" s="1874"/>
      <c r="C60" s="1874"/>
      <c r="D60" s="1874"/>
      <c r="E60" s="1893">
        <v>60</v>
      </c>
      <c r="F60" s="1893"/>
      <c r="G60" s="1893"/>
      <c r="H60" s="1894">
        <v>0.05</v>
      </c>
      <c r="I60" s="1895"/>
      <c r="J60" s="1896"/>
      <c r="K60" s="1894">
        <v>2.5000000000000001E-2</v>
      </c>
      <c r="L60" s="1895"/>
      <c r="M60" s="1896"/>
      <c r="N60" s="1894">
        <v>1.36</v>
      </c>
      <c r="O60" s="1895"/>
      <c r="P60" s="1896"/>
      <c r="Q60" s="1876">
        <v>1.6991000000000001</v>
      </c>
      <c r="R60" s="1876"/>
      <c r="S60" s="1876"/>
      <c r="T60" s="1894">
        <f>E60*H60+N60</f>
        <v>4.3600000000000003</v>
      </c>
      <c r="U60" s="1895"/>
      <c r="V60" s="1896"/>
      <c r="W60" s="1894">
        <f>E60*K60+Q60</f>
        <v>3.1991000000000001</v>
      </c>
      <c r="X60" s="1895"/>
      <c r="Y60" s="1896"/>
      <c r="Z60" s="1897">
        <f t="shared" si="0"/>
        <v>423.72850000000011</v>
      </c>
      <c r="AA60" s="1898"/>
      <c r="AB60" s="1898"/>
      <c r="AC60" s="1899"/>
      <c r="AD60" s="1894">
        <f t="shared" si="1"/>
        <v>4.8370833333333349E-2</v>
      </c>
      <c r="AE60" s="1895"/>
      <c r="AF60" s="1896"/>
      <c r="AL60" s="885"/>
    </row>
    <row r="61" spans="1:39" s="4" customFormat="1" x14ac:dyDescent="0.25">
      <c r="A61" s="1891" t="s">
        <v>5180</v>
      </c>
      <c r="B61" s="1892"/>
      <c r="C61" s="1892"/>
      <c r="D61" s="1892"/>
      <c r="E61" s="1892"/>
      <c r="F61" s="1892"/>
      <c r="G61" s="1892"/>
      <c r="H61" s="1892"/>
      <c r="I61" s="1892"/>
      <c r="J61" s="1892"/>
      <c r="K61" s="1892"/>
      <c r="L61" s="1892"/>
      <c r="M61" s="1892"/>
      <c r="N61" s="1892"/>
      <c r="O61" s="1892"/>
      <c r="P61" s="1892"/>
      <c r="Q61" s="1892"/>
      <c r="R61" s="1892"/>
      <c r="S61" s="1892"/>
      <c r="T61" s="1892"/>
      <c r="U61" s="1892"/>
      <c r="V61" s="1892"/>
      <c r="W61" s="1892"/>
      <c r="X61" s="1892"/>
      <c r="Y61" s="1892"/>
      <c r="Z61" s="1892"/>
      <c r="AA61" s="1892"/>
      <c r="AB61" s="1892"/>
      <c r="AC61" s="1892"/>
      <c r="AD61" s="1892"/>
      <c r="AE61" s="1892"/>
      <c r="AF61" s="1892"/>
      <c r="AL61" s="885"/>
    </row>
    <row r="62" spans="1:39" s="4" customFormat="1" ht="14.45" customHeight="1" x14ac:dyDescent="0.25">
      <c r="A62" s="1874" t="s">
        <v>5176</v>
      </c>
      <c r="B62" s="1874"/>
      <c r="C62" s="1874"/>
      <c r="D62" s="1874"/>
      <c r="E62" s="1893">
        <v>7.5</v>
      </c>
      <c r="F62" s="1893"/>
      <c r="G62" s="1893"/>
      <c r="H62" s="1901">
        <v>0.1</v>
      </c>
      <c r="I62" s="1901"/>
      <c r="J62" s="1901"/>
      <c r="K62" s="1901">
        <v>9.5000000000000001E-2</v>
      </c>
      <c r="L62" s="1901"/>
      <c r="M62" s="1901"/>
      <c r="N62" s="1901">
        <v>0.86</v>
      </c>
      <c r="O62" s="1901"/>
      <c r="P62" s="1901"/>
      <c r="Q62" s="1901">
        <v>0.44500000000000001</v>
      </c>
      <c r="R62" s="1901"/>
      <c r="S62" s="1901"/>
      <c r="T62" s="1901">
        <f>E62*H62+N62</f>
        <v>1.6099999999999999</v>
      </c>
      <c r="U62" s="1901"/>
      <c r="V62" s="1901"/>
      <c r="W62" s="1901">
        <f>E62*K62+Q62</f>
        <v>1.1575</v>
      </c>
      <c r="X62" s="1901"/>
      <c r="Y62" s="1901"/>
      <c r="Z62" s="1902">
        <f t="shared" ref="Z62:Z65" si="2">(T62-W62)*$Q$44</f>
        <v>165.16249999999997</v>
      </c>
      <c r="AA62" s="1902"/>
      <c r="AB62" s="1902"/>
      <c r="AC62" s="1902"/>
      <c r="AD62" s="1901">
        <f>$Q$46*Z62/$Q$45</f>
        <v>1.8854166666666661E-2</v>
      </c>
      <c r="AE62" s="1901"/>
      <c r="AF62" s="1901"/>
      <c r="AL62" s="885"/>
    </row>
    <row r="63" spans="1:39" s="4" customFormat="1" ht="14.45" customHeight="1" x14ac:dyDescent="0.25">
      <c r="A63" s="1874" t="s">
        <v>5177</v>
      </c>
      <c r="B63" s="1874"/>
      <c r="C63" s="1874"/>
      <c r="D63" s="1874"/>
      <c r="E63" s="1893">
        <v>22.5</v>
      </c>
      <c r="F63" s="1893"/>
      <c r="G63" s="1893"/>
      <c r="H63" s="1901">
        <v>0.1</v>
      </c>
      <c r="I63" s="1901"/>
      <c r="J63" s="1901"/>
      <c r="K63" s="1901">
        <v>0.05</v>
      </c>
      <c r="L63" s="1901"/>
      <c r="M63" s="1901"/>
      <c r="N63" s="1901">
        <v>0.86</v>
      </c>
      <c r="O63" s="1901"/>
      <c r="P63" s="1901"/>
      <c r="Q63" s="1901">
        <v>1.1200000000000001</v>
      </c>
      <c r="R63" s="1901"/>
      <c r="S63" s="1901"/>
      <c r="T63" s="1901">
        <f>E63*H63+N63</f>
        <v>3.11</v>
      </c>
      <c r="U63" s="1901"/>
      <c r="V63" s="1901"/>
      <c r="W63" s="1901">
        <f>E63*K63+Q63</f>
        <v>2.2450000000000001</v>
      </c>
      <c r="X63" s="1901"/>
      <c r="Y63" s="1901"/>
      <c r="Z63" s="1902">
        <f t="shared" si="2"/>
        <v>315.72499999999991</v>
      </c>
      <c r="AA63" s="1902"/>
      <c r="AB63" s="1902"/>
      <c r="AC63" s="1902"/>
      <c r="AD63" s="1901">
        <f t="shared" ref="AD63:AD65" si="3">$Q$46*Z63/$Q$45</f>
        <v>3.6041666666666659E-2</v>
      </c>
      <c r="AE63" s="1901"/>
      <c r="AF63" s="1901"/>
      <c r="AL63" s="885"/>
    </row>
    <row r="64" spans="1:39" s="4" customFormat="1" ht="14.45" customHeight="1" x14ac:dyDescent="0.25">
      <c r="A64" s="1874" t="s">
        <v>5178</v>
      </c>
      <c r="B64" s="1874"/>
      <c r="C64" s="1874"/>
      <c r="D64" s="1874"/>
      <c r="E64" s="1893">
        <v>40</v>
      </c>
      <c r="F64" s="1893"/>
      <c r="G64" s="1893"/>
      <c r="H64" s="1901">
        <v>0.1</v>
      </c>
      <c r="I64" s="1901"/>
      <c r="J64" s="1901"/>
      <c r="K64" s="1901">
        <v>7.5999999999999998E-2</v>
      </c>
      <c r="L64" s="1901"/>
      <c r="M64" s="1901"/>
      <c r="N64" s="1901">
        <v>0.86</v>
      </c>
      <c r="O64" s="1901"/>
      <c r="P64" s="1901"/>
      <c r="Q64" s="1901">
        <v>0.34</v>
      </c>
      <c r="R64" s="1901"/>
      <c r="S64" s="1901"/>
      <c r="T64" s="1901">
        <f>E64*H64+N64</f>
        <v>4.8600000000000003</v>
      </c>
      <c r="U64" s="1901"/>
      <c r="V64" s="1901"/>
      <c r="W64" s="1901">
        <f>E64*K64+Q64</f>
        <v>3.38</v>
      </c>
      <c r="X64" s="1901"/>
      <c r="Y64" s="1901"/>
      <c r="Z64" s="1902">
        <f t="shared" si="2"/>
        <v>540.20000000000016</v>
      </c>
      <c r="AA64" s="1902"/>
      <c r="AB64" s="1902"/>
      <c r="AC64" s="1902"/>
      <c r="AD64" s="1901">
        <f t="shared" si="3"/>
        <v>6.1666666666666682E-2</v>
      </c>
      <c r="AE64" s="1901"/>
      <c r="AF64" s="1901"/>
      <c r="AL64" s="885"/>
    </row>
    <row r="65" spans="1:38" s="4" customFormat="1" x14ac:dyDescent="0.25">
      <c r="A65" s="1874" t="s">
        <v>5202</v>
      </c>
      <c r="B65" s="1874"/>
      <c r="C65" s="1874"/>
      <c r="D65" s="1874"/>
      <c r="E65" s="1893">
        <v>60</v>
      </c>
      <c r="F65" s="1893"/>
      <c r="G65" s="1893"/>
      <c r="H65" s="1901">
        <v>0.1</v>
      </c>
      <c r="I65" s="1901"/>
      <c r="J65" s="1901"/>
      <c r="K65" s="1901">
        <v>0.105</v>
      </c>
      <c r="L65" s="1901"/>
      <c r="M65" s="1901"/>
      <c r="N65" s="1901">
        <v>0.86</v>
      </c>
      <c r="O65" s="1901"/>
      <c r="P65" s="1901"/>
      <c r="Q65" s="1901">
        <v>-1.111</v>
      </c>
      <c r="R65" s="1901"/>
      <c r="S65" s="1901"/>
      <c r="T65" s="1901">
        <f>E65*H65+N65</f>
        <v>6.86</v>
      </c>
      <c r="U65" s="1901"/>
      <c r="V65" s="1901"/>
      <c r="W65" s="1901">
        <f>E65*K65+Q65</f>
        <v>5.1890000000000001</v>
      </c>
      <c r="X65" s="1901"/>
      <c r="Y65" s="1901"/>
      <c r="Z65" s="1902">
        <f t="shared" si="2"/>
        <v>609.91500000000008</v>
      </c>
      <c r="AA65" s="1902"/>
      <c r="AB65" s="1902"/>
      <c r="AC65" s="1902"/>
      <c r="AD65" s="1901">
        <f t="shared" si="3"/>
        <v>6.9625000000000006E-2</v>
      </c>
      <c r="AE65" s="1901"/>
      <c r="AF65" s="1901"/>
      <c r="AL65" s="885"/>
    </row>
    <row r="66" spans="1:38" s="4" customFormat="1" x14ac:dyDescent="0.25">
      <c r="A66" s="1900" t="s">
        <v>5181</v>
      </c>
      <c r="B66" s="1900"/>
      <c r="C66" s="1900"/>
      <c r="D66" s="1900"/>
      <c r="E66" s="1900"/>
      <c r="F66" s="1900"/>
      <c r="G66" s="1900"/>
      <c r="H66" s="1900"/>
      <c r="I66" s="1900"/>
      <c r="J66" s="1900"/>
      <c r="K66" s="1900"/>
      <c r="L66" s="1900"/>
      <c r="M66" s="1900"/>
      <c r="N66" s="1900"/>
      <c r="O66" s="1900"/>
      <c r="P66" s="1900"/>
      <c r="Q66" s="1900"/>
      <c r="R66" s="1900"/>
      <c r="S66" s="1900"/>
      <c r="T66" s="1900"/>
      <c r="U66" s="1900"/>
      <c r="V66" s="1900"/>
      <c r="W66" s="1900"/>
      <c r="X66" s="1900"/>
      <c r="Y66" s="1900"/>
      <c r="Z66" s="1900"/>
      <c r="AA66" s="1900"/>
      <c r="AB66" s="1900"/>
      <c r="AC66" s="1900"/>
      <c r="AD66" s="1900"/>
      <c r="AE66" s="1900"/>
      <c r="AF66" s="1900"/>
      <c r="AL66" s="885"/>
    </row>
    <row r="67" spans="1:38" s="4" customFormat="1" x14ac:dyDescent="0.25">
      <c r="A67" s="1891" t="s">
        <v>5182</v>
      </c>
      <c r="B67" s="1892"/>
      <c r="C67" s="1892"/>
      <c r="D67" s="1892"/>
      <c r="E67" s="1892"/>
      <c r="F67" s="1892"/>
      <c r="G67" s="1892"/>
      <c r="H67" s="1892"/>
      <c r="I67" s="1892"/>
      <c r="J67" s="1892"/>
      <c r="K67" s="1892"/>
      <c r="L67" s="1892"/>
      <c r="M67" s="1892"/>
      <c r="N67" s="1892"/>
      <c r="O67" s="1892"/>
      <c r="P67" s="1892"/>
      <c r="Q67" s="1892"/>
      <c r="R67" s="1892"/>
      <c r="S67" s="1892"/>
      <c r="T67" s="1892"/>
      <c r="U67" s="1892"/>
      <c r="V67" s="1892"/>
      <c r="W67" s="1892"/>
      <c r="X67" s="1892"/>
      <c r="Y67" s="1892"/>
      <c r="Z67" s="1892"/>
      <c r="AA67" s="1892"/>
      <c r="AB67" s="1892"/>
      <c r="AC67" s="1892"/>
      <c r="AD67" s="1892"/>
      <c r="AE67" s="1892"/>
      <c r="AF67" s="1892"/>
      <c r="AL67" s="885"/>
    </row>
    <row r="68" spans="1:38" s="4" customFormat="1" ht="14.45" customHeight="1" x14ac:dyDescent="0.25">
      <c r="A68" s="1874" t="s">
        <v>5176</v>
      </c>
      <c r="B68" s="1874"/>
      <c r="C68" s="1874"/>
      <c r="D68" s="1874"/>
      <c r="E68" s="1893">
        <v>7.5</v>
      </c>
      <c r="F68" s="1893"/>
      <c r="G68" s="1893"/>
      <c r="H68" s="1901">
        <v>0.05</v>
      </c>
      <c r="I68" s="1901"/>
      <c r="J68" s="1901"/>
      <c r="K68" s="1901">
        <v>0.05</v>
      </c>
      <c r="L68" s="1901"/>
      <c r="M68" s="1901"/>
      <c r="N68" s="1901">
        <v>0.91</v>
      </c>
      <c r="O68" s="1901"/>
      <c r="P68" s="1901"/>
      <c r="Q68" s="1901">
        <v>0.28000000000000003</v>
      </c>
      <c r="R68" s="1901"/>
      <c r="S68" s="1901"/>
      <c r="T68" s="1901">
        <f>E68*H68+N68</f>
        <v>1.2850000000000001</v>
      </c>
      <c r="U68" s="1901"/>
      <c r="V68" s="1901"/>
      <c r="W68" s="1901">
        <f>E68*K68+Q68</f>
        <v>0.65500000000000003</v>
      </c>
      <c r="X68" s="1901"/>
      <c r="Y68" s="1901"/>
      <c r="Z68" s="1902">
        <f>(T68-W68)*$Q$44</f>
        <v>229.95000000000005</v>
      </c>
      <c r="AA68" s="1902"/>
      <c r="AB68" s="1902"/>
      <c r="AC68" s="1902"/>
      <c r="AD68" s="1901">
        <f t="shared" ref="AD68:AD71" si="4">$Q$46*Z68/$Q$45</f>
        <v>2.6250000000000006E-2</v>
      </c>
      <c r="AE68" s="1901"/>
      <c r="AF68" s="1901"/>
      <c r="AL68" s="885"/>
    </row>
    <row r="69" spans="1:38" s="4" customFormat="1" ht="14.45" customHeight="1" x14ac:dyDescent="0.25">
      <c r="A69" s="1874" t="s">
        <v>5177</v>
      </c>
      <c r="B69" s="1874"/>
      <c r="C69" s="1874"/>
      <c r="D69" s="1874"/>
      <c r="E69" s="1893">
        <v>22.5</v>
      </c>
      <c r="F69" s="1893"/>
      <c r="G69" s="1893"/>
      <c r="H69" s="1901">
        <v>0.05</v>
      </c>
      <c r="I69" s="1901"/>
      <c r="J69" s="1901"/>
      <c r="K69" s="1901">
        <v>0.05</v>
      </c>
      <c r="L69" s="1901"/>
      <c r="M69" s="1901"/>
      <c r="N69" s="1901">
        <v>0.91</v>
      </c>
      <c r="O69" s="1901"/>
      <c r="P69" s="1901"/>
      <c r="Q69" s="1901">
        <v>0.28000000000000003</v>
      </c>
      <c r="R69" s="1901"/>
      <c r="S69" s="1901"/>
      <c r="T69" s="1901">
        <f>E69*H69+N69</f>
        <v>2.0350000000000001</v>
      </c>
      <c r="U69" s="1901"/>
      <c r="V69" s="1901"/>
      <c r="W69" s="1901">
        <f>E69*K69+Q69</f>
        <v>1.405</v>
      </c>
      <c r="X69" s="1901"/>
      <c r="Y69" s="1901"/>
      <c r="Z69" s="1902">
        <f t="shared" ref="Z69:Z71" si="5">(T69-W69)*$Q$44</f>
        <v>229.95000000000005</v>
      </c>
      <c r="AA69" s="1902"/>
      <c r="AB69" s="1902"/>
      <c r="AC69" s="1902"/>
      <c r="AD69" s="1901">
        <f t="shared" si="4"/>
        <v>2.6250000000000006E-2</v>
      </c>
      <c r="AE69" s="1901"/>
      <c r="AF69" s="1901"/>
      <c r="AL69" s="885"/>
    </row>
    <row r="70" spans="1:38" s="4" customFormat="1" ht="14.45" customHeight="1" x14ac:dyDescent="0.25">
      <c r="A70" s="1874" t="s">
        <v>5178</v>
      </c>
      <c r="B70" s="1874"/>
      <c r="C70" s="1874"/>
      <c r="D70" s="1874"/>
      <c r="E70" s="1893">
        <v>40</v>
      </c>
      <c r="F70" s="1893"/>
      <c r="G70" s="1893"/>
      <c r="H70" s="1901">
        <v>0.05</v>
      </c>
      <c r="I70" s="1901"/>
      <c r="J70" s="1901"/>
      <c r="K70" s="1901">
        <v>0.05</v>
      </c>
      <c r="L70" s="1901"/>
      <c r="M70" s="1901"/>
      <c r="N70" s="1901">
        <v>0.91</v>
      </c>
      <c r="O70" s="1901"/>
      <c r="P70" s="1901"/>
      <c r="Q70" s="1901">
        <v>0.28000000000000003</v>
      </c>
      <c r="R70" s="1901"/>
      <c r="S70" s="1901"/>
      <c r="T70" s="1901">
        <f>E70*H70+N70</f>
        <v>2.91</v>
      </c>
      <c r="U70" s="1901"/>
      <c r="V70" s="1901"/>
      <c r="W70" s="1901">
        <f>E70*K70+Q70</f>
        <v>2.2800000000000002</v>
      </c>
      <c r="X70" s="1901"/>
      <c r="Y70" s="1901"/>
      <c r="Z70" s="1902">
        <f t="shared" si="5"/>
        <v>229.94999999999996</v>
      </c>
      <c r="AA70" s="1902"/>
      <c r="AB70" s="1902"/>
      <c r="AC70" s="1902"/>
      <c r="AD70" s="1901">
        <f t="shared" si="4"/>
        <v>2.6249999999999996E-2</v>
      </c>
      <c r="AE70" s="1901"/>
      <c r="AF70" s="1901"/>
      <c r="AL70" s="885"/>
    </row>
    <row r="71" spans="1:38" s="4" customFormat="1" x14ac:dyDescent="0.25">
      <c r="A71" s="1874" t="s">
        <v>5179</v>
      </c>
      <c r="B71" s="1874"/>
      <c r="C71" s="1874"/>
      <c r="D71" s="1874"/>
      <c r="E71" s="1893">
        <v>60</v>
      </c>
      <c r="F71" s="1893"/>
      <c r="G71" s="1893"/>
      <c r="H71" s="1901">
        <v>0.05</v>
      </c>
      <c r="I71" s="1901"/>
      <c r="J71" s="1901"/>
      <c r="K71" s="1901">
        <v>0.05</v>
      </c>
      <c r="L71" s="1901"/>
      <c r="M71" s="1901"/>
      <c r="N71" s="1901">
        <v>0.91</v>
      </c>
      <c r="O71" s="1901"/>
      <c r="P71" s="1901"/>
      <c r="Q71" s="1901">
        <v>0.28000000000000003</v>
      </c>
      <c r="R71" s="1901"/>
      <c r="S71" s="1901"/>
      <c r="T71" s="1901">
        <f>E71*H71+N71</f>
        <v>3.91</v>
      </c>
      <c r="U71" s="1901"/>
      <c r="V71" s="1901"/>
      <c r="W71" s="1901">
        <f>E71*K71+Q71</f>
        <v>3.2800000000000002</v>
      </c>
      <c r="X71" s="1901"/>
      <c r="Y71" s="1901"/>
      <c r="Z71" s="1902">
        <f t="shared" si="5"/>
        <v>229.94999999999996</v>
      </c>
      <c r="AA71" s="1902"/>
      <c r="AB71" s="1902"/>
      <c r="AC71" s="1902"/>
      <c r="AD71" s="1901">
        <f t="shared" si="4"/>
        <v>2.6249999999999996E-2</v>
      </c>
      <c r="AE71" s="1901"/>
      <c r="AF71" s="1901"/>
      <c r="AL71" s="885"/>
    </row>
    <row r="72" spans="1:38" x14ac:dyDescent="0.25">
      <c r="A72" s="1872" t="s">
        <v>5180</v>
      </c>
      <c r="B72" s="1873"/>
      <c r="C72" s="1873"/>
      <c r="D72" s="1873"/>
      <c r="E72" s="1873"/>
      <c r="F72" s="1873"/>
      <c r="G72" s="1873"/>
      <c r="H72" s="1873"/>
      <c r="I72" s="1873"/>
      <c r="J72" s="1873"/>
      <c r="K72" s="1873"/>
      <c r="L72" s="1873"/>
      <c r="M72" s="1873"/>
      <c r="N72" s="1873"/>
      <c r="O72" s="1873"/>
      <c r="P72" s="1873"/>
      <c r="Q72" s="1873"/>
      <c r="R72" s="1873"/>
      <c r="S72" s="1873"/>
      <c r="T72" s="1873"/>
      <c r="U72" s="1873"/>
      <c r="V72" s="1873"/>
      <c r="W72" s="1873"/>
      <c r="X72" s="1873"/>
      <c r="Y72" s="1873"/>
      <c r="Z72" s="1873"/>
      <c r="AA72" s="1873"/>
      <c r="AB72" s="1873"/>
      <c r="AC72" s="1873"/>
      <c r="AD72" s="1873"/>
      <c r="AE72" s="1873"/>
      <c r="AF72" s="1873"/>
      <c r="AL72" s="839"/>
    </row>
    <row r="73" spans="1:38" x14ac:dyDescent="0.25">
      <c r="A73" s="1874" t="s">
        <v>5176</v>
      </c>
      <c r="B73" s="1874"/>
      <c r="C73" s="1874"/>
      <c r="D73" s="1874"/>
      <c r="E73" s="1875">
        <v>7.5</v>
      </c>
      <c r="F73" s="1875"/>
      <c r="G73" s="1875"/>
      <c r="H73" s="1876">
        <v>0.06</v>
      </c>
      <c r="I73" s="1876"/>
      <c r="J73" s="1876"/>
      <c r="K73" s="1876">
        <v>0.05</v>
      </c>
      <c r="L73" s="1876"/>
      <c r="M73" s="1876"/>
      <c r="N73" s="1876">
        <v>0.37</v>
      </c>
      <c r="O73" s="1876"/>
      <c r="P73" s="1876"/>
      <c r="Q73" s="1876">
        <v>0.28000000000000003</v>
      </c>
      <c r="R73" s="1876"/>
      <c r="S73" s="1876"/>
      <c r="T73" s="1876">
        <f>E73*H73+N73</f>
        <v>0.82</v>
      </c>
      <c r="U73" s="1876"/>
      <c r="V73" s="1876"/>
      <c r="W73" s="1876">
        <f>E73*K73+Q73</f>
        <v>0.65500000000000003</v>
      </c>
      <c r="X73" s="1876"/>
      <c r="Y73" s="1876"/>
      <c r="Z73" s="1902">
        <f t="shared" ref="Z73:Z76" si="6">(T73-W73)*$Q$44</f>
        <v>60.224999999999973</v>
      </c>
      <c r="AA73" s="1902"/>
      <c r="AB73" s="1902"/>
      <c r="AC73" s="1902"/>
      <c r="AD73" s="1901">
        <f t="shared" ref="AD73:AD76" si="7">$Q$46*Z73/$Q$45</f>
        <v>6.8749999999999966E-3</v>
      </c>
      <c r="AE73" s="1901"/>
      <c r="AF73" s="1901"/>
      <c r="AL73" s="839"/>
    </row>
    <row r="74" spans="1:38" ht="14.45" customHeight="1" x14ac:dyDescent="0.25">
      <c r="A74" s="1874" t="s">
        <v>5177</v>
      </c>
      <c r="B74" s="1874"/>
      <c r="C74" s="1874"/>
      <c r="D74" s="1874"/>
      <c r="E74" s="1875">
        <v>22.5</v>
      </c>
      <c r="F74" s="1875"/>
      <c r="G74" s="1875"/>
      <c r="H74" s="1876">
        <v>0.06</v>
      </c>
      <c r="I74" s="1876"/>
      <c r="J74" s="1876"/>
      <c r="K74" s="1876">
        <v>0.05</v>
      </c>
      <c r="L74" s="1876"/>
      <c r="M74" s="1876"/>
      <c r="N74" s="1876">
        <v>0.37</v>
      </c>
      <c r="O74" s="1876"/>
      <c r="P74" s="1876"/>
      <c r="Q74" s="1876">
        <v>0.28000000000000003</v>
      </c>
      <c r="R74" s="1876"/>
      <c r="S74" s="1876"/>
      <c r="T74" s="1876">
        <f>E74*H74+N74</f>
        <v>1.7199999999999998</v>
      </c>
      <c r="U74" s="1876"/>
      <c r="V74" s="1876"/>
      <c r="W74" s="1876">
        <f>E74*K74+Q74</f>
        <v>1.405</v>
      </c>
      <c r="X74" s="1876"/>
      <c r="Y74" s="1876"/>
      <c r="Z74" s="1902">
        <f t="shared" si="6"/>
        <v>114.97499999999989</v>
      </c>
      <c r="AA74" s="1902"/>
      <c r="AB74" s="1902"/>
      <c r="AC74" s="1902"/>
      <c r="AD74" s="1901">
        <f t="shared" si="7"/>
        <v>1.3124999999999987E-2</v>
      </c>
      <c r="AE74" s="1901"/>
      <c r="AF74" s="1901"/>
      <c r="AL74" s="839"/>
    </row>
    <row r="75" spans="1:38" x14ac:dyDescent="0.25">
      <c r="A75" s="1874" t="s">
        <v>5178</v>
      </c>
      <c r="B75" s="1874"/>
      <c r="C75" s="1874"/>
      <c r="D75" s="1874"/>
      <c r="E75" s="1875">
        <v>40</v>
      </c>
      <c r="F75" s="1875"/>
      <c r="G75" s="1875"/>
      <c r="H75" s="1876">
        <v>0.06</v>
      </c>
      <c r="I75" s="1876"/>
      <c r="J75" s="1876"/>
      <c r="K75" s="1876">
        <v>0.05</v>
      </c>
      <c r="L75" s="1876"/>
      <c r="M75" s="1876"/>
      <c r="N75" s="1876">
        <v>0.37</v>
      </c>
      <c r="O75" s="1876"/>
      <c r="P75" s="1876"/>
      <c r="Q75" s="1876">
        <v>0.28000000000000003</v>
      </c>
      <c r="R75" s="1876"/>
      <c r="S75" s="1876"/>
      <c r="T75" s="1876">
        <f>E75*H75+N75</f>
        <v>2.77</v>
      </c>
      <c r="U75" s="1876"/>
      <c r="V75" s="1876"/>
      <c r="W75" s="1876">
        <f>E75*K75+Q75</f>
        <v>2.2800000000000002</v>
      </c>
      <c r="X75" s="1876"/>
      <c r="Y75" s="1876"/>
      <c r="Z75" s="1902">
        <f t="shared" si="6"/>
        <v>178.84999999999991</v>
      </c>
      <c r="AA75" s="1902"/>
      <c r="AB75" s="1902"/>
      <c r="AC75" s="1902"/>
      <c r="AD75" s="1901">
        <f t="shared" si="7"/>
        <v>2.0416666666666656E-2</v>
      </c>
      <c r="AE75" s="1901"/>
      <c r="AF75" s="1901"/>
      <c r="AL75" s="839"/>
    </row>
    <row r="76" spans="1:38" x14ac:dyDescent="0.25">
      <c r="A76" s="1874" t="s">
        <v>5179</v>
      </c>
      <c r="B76" s="1874"/>
      <c r="C76" s="1874"/>
      <c r="D76" s="1874"/>
      <c r="E76" s="1875">
        <v>60</v>
      </c>
      <c r="F76" s="1875"/>
      <c r="G76" s="1875"/>
      <c r="H76" s="1876">
        <v>0.06</v>
      </c>
      <c r="I76" s="1876"/>
      <c r="J76" s="1876"/>
      <c r="K76" s="1876">
        <v>0.05</v>
      </c>
      <c r="L76" s="1876"/>
      <c r="M76" s="1876"/>
      <c r="N76" s="1876">
        <v>0.37</v>
      </c>
      <c r="O76" s="1876"/>
      <c r="P76" s="1876"/>
      <c r="Q76" s="1876">
        <v>0.28000000000000003</v>
      </c>
      <c r="R76" s="1876"/>
      <c r="S76" s="1876"/>
      <c r="T76" s="1876">
        <f>E76*H76+N76</f>
        <v>3.9699999999999998</v>
      </c>
      <c r="U76" s="1876"/>
      <c r="V76" s="1876"/>
      <c r="W76" s="1876">
        <f>E76*K76+Q76</f>
        <v>3.2800000000000002</v>
      </c>
      <c r="X76" s="1876"/>
      <c r="Y76" s="1876"/>
      <c r="Z76" s="1902">
        <f t="shared" si="6"/>
        <v>251.84999999999982</v>
      </c>
      <c r="AA76" s="1902"/>
      <c r="AB76" s="1902"/>
      <c r="AC76" s="1902"/>
      <c r="AD76" s="1901">
        <f t="shared" si="7"/>
        <v>2.874999999999998E-2</v>
      </c>
      <c r="AE76" s="1901"/>
      <c r="AF76" s="1901"/>
      <c r="AL76" s="839"/>
    </row>
    <row r="77" spans="1:38" x14ac:dyDescent="0.25">
      <c r="A77" s="262"/>
      <c r="B77" s="262"/>
      <c r="C77" s="262"/>
      <c r="D77" s="262"/>
      <c r="E77" s="913"/>
      <c r="F77" s="913"/>
      <c r="G77" s="913"/>
      <c r="H77" s="914"/>
      <c r="I77" s="914"/>
      <c r="J77" s="914"/>
      <c r="K77" s="914"/>
      <c r="L77" s="914"/>
      <c r="M77" s="914"/>
      <c r="N77" s="914"/>
      <c r="O77" s="914"/>
      <c r="P77" s="914"/>
      <c r="Q77" s="914"/>
      <c r="R77" s="914"/>
      <c r="S77" s="914"/>
      <c r="T77" s="914"/>
      <c r="U77" s="914"/>
      <c r="V77" s="914"/>
      <c r="W77" s="914"/>
      <c r="X77" s="914"/>
      <c r="Y77" s="914"/>
      <c r="Z77" s="915"/>
      <c r="AA77" s="915"/>
      <c r="AB77" s="915"/>
      <c r="AC77" s="915"/>
      <c r="AD77" s="914"/>
      <c r="AE77" s="914"/>
      <c r="AF77" s="914"/>
      <c r="AL77" s="839"/>
    </row>
    <row r="78" spans="1:38" ht="15.75" thickBot="1" x14ac:dyDescent="0.3">
      <c r="A78" s="262"/>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2"/>
      <c r="AF78" s="262"/>
      <c r="AL78" s="839"/>
    </row>
    <row r="79" spans="1:38" x14ac:dyDescent="0.25">
      <c r="A79" s="1810" t="s">
        <v>22</v>
      </c>
      <c r="B79" s="1643"/>
      <c r="C79" s="1643"/>
      <c r="D79" s="1643"/>
      <c r="E79" s="1643"/>
      <c r="F79" s="1643"/>
      <c r="G79" s="1643"/>
      <c r="H79" s="1643"/>
      <c r="I79" s="1643" t="s">
        <v>23</v>
      </c>
      <c r="J79" s="1643"/>
      <c r="K79" s="1643"/>
      <c r="L79" s="1643"/>
      <c r="M79" s="1643"/>
      <c r="N79" s="1643"/>
      <c r="O79" s="1643"/>
      <c r="P79" s="1643"/>
      <c r="Q79" s="1643" t="s">
        <v>24</v>
      </c>
      <c r="R79" s="1643"/>
      <c r="S79" s="1643"/>
      <c r="T79" s="1643"/>
      <c r="U79" s="1643"/>
      <c r="V79" s="1643"/>
      <c r="W79" s="1643"/>
      <c r="X79" s="1643"/>
      <c r="Y79" s="1643" t="s">
        <v>2012</v>
      </c>
      <c r="Z79" s="1903"/>
      <c r="AA79" s="1903"/>
      <c r="AB79" s="1903"/>
      <c r="AC79" s="1903"/>
      <c r="AD79" s="1903"/>
      <c r="AE79" s="1903"/>
      <c r="AF79" s="1904"/>
      <c r="AL79" s="839"/>
    </row>
    <row r="80" spans="1:38" ht="31.9" customHeight="1" x14ac:dyDescent="0.25">
      <c r="A80" s="1795" t="s">
        <v>5183</v>
      </c>
      <c r="B80" s="1283"/>
      <c r="C80" s="1283"/>
      <c r="D80" s="1283"/>
      <c r="E80" s="1283" t="s">
        <v>736</v>
      </c>
      <c r="F80" s="1283"/>
      <c r="G80" s="1283"/>
      <c r="H80" s="1283"/>
      <c r="I80" s="1624">
        <f>ROUND(AD57,3)</f>
        <v>3.1E-2</v>
      </c>
      <c r="J80" s="1624"/>
      <c r="K80" s="1624"/>
      <c r="L80" s="1624"/>
      <c r="M80" s="1624"/>
      <c r="N80" s="1624"/>
      <c r="O80" s="1624"/>
      <c r="P80" s="1624"/>
      <c r="Q80" s="1882">
        <f>ROUND(Z57,2)</f>
        <v>268.18</v>
      </c>
      <c r="R80" s="1882"/>
      <c r="S80" s="1882"/>
      <c r="T80" s="1882"/>
      <c r="U80" s="1882"/>
      <c r="V80" s="1882"/>
      <c r="W80" s="1882"/>
      <c r="X80" s="1882"/>
      <c r="Y80" s="1883">
        <f>Q80*Q$47</f>
        <v>3218.16</v>
      </c>
      <c r="Z80" s="1883"/>
      <c r="AA80" s="1883"/>
      <c r="AB80" s="1883"/>
      <c r="AC80" s="1883"/>
      <c r="AD80" s="1883"/>
      <c r="AE80" s="1883"/>
      <c r="AF80" s="1884"/>
      <c r="AL80" s="839"/>
    </row>
    <row r="81" spans="1:38" ht="34.9" customHeight="1" x14ac:dyDescent="0.25">
      <c r="A81" s="1795" t="s">
        <v>5184</v>
      </c>
      <c r="B81" s="1283"/>
      <c r="C81" s="1283"/>
      <c r="D81" s="1283"/>
      <c r="E81" s="1283" t="s">
        <v>736</v>
      </c>
      <c r="F81" s="1283"/>
      <c r="G81" s="1283"/>
      <c r="H81" s="1283"/>
      <c r="I81" s="1624">
        <f>ROUND(AD58,3)</f>
        <v>3.7999999999999999E-2</v>
      </c>
      <c r="J81" s="1624"/>
      <c r="K81" s="1624"/>
      <c r="L81" s="1624"/>
      <c r="M81" s="1624"/>
      <c r="N81" s="1624"/>
      <c r="O81" s="1624"/>
      <c r="P81" s="1624"/>
      <c r="Q81" s="1882">
        <f>ROUND(Z58,2)</f>
        <v>332.15</v>
      </c>
      <c r="R81" s="1882"/>
      <c r="S81" s="1882"/>
      <c r="T81" s="1882"/>
      <c r="U81" s="1882"/>
      <c r="V81" s="1882"/>
      <c r="W81" s="1882"/>
      <c r="X81" s="1882"/>
      <c r="Y81" s="1883">
        <f>Q81*Q$47</f>
        <v>3985.7999999999997</v>
      </c>
      <c r="Z81" s="1883"/>
      <c r="AA81" s="1883"/>
      <c r="AB81" s="1883"/>
      <c r="AC81" s="1883"/>
      <c r="AD81" s="1883"/>
      <c r="AE81" s="1883"/>
      <c r="AF81" s="1884"/>
      <c r="AL81" s="839"/>
    </row>
    <row r="82" spans="1:38" ht="34.9" customHeight="1" x14ac:dyDescent="0.25">
      <c r="A82" s="1795" t="s">
        <v>5185</v>
      </c>
      <c r="B82" s="1283"/>
      <c r="C82" s="1283"/>
      <c r="D82" s="1283"/>
      <c r="E82" s="1283" t="s">
        <v>737</v>
      </c>
      <c r="F82" s="1283"/>
      <c r="G82" s="1283"/>
      <c r="H82" s="1283"/>
      <c r="I82" s="1624">
        <f>ROUND(AD59,3)</f>
        <v>3.7999999999999999E-2</v>
      </c>
      <c r="J82" s="1624"/>
      <c r="K82" s="1624"/>
      <c r="L82" s="1624"/>
      <c r="M82" s="1624"/>
      <c r="N82" s="1624"/>
      <c r="O82" s="1624"/>
      <c r="P82" s="1624"/>
      <c r="Q82" s="1882">
        <f>ROUND(Z59,2)</f>
        <v>332.15</v>
      </c>
      <c r="R82" s="1882"/>
      <c r="S82" s="1882"/>
      <c r="T82" s="1882"/>
      <c r="U82" s="1882"/>
      <c r="V82" s="1882"/>
      <c r="W82" s="1882"/>
      <c r="X82" s="1882"/>
      <c r="Y82" s="1883">
        <f t="shared" ref="Y82:Y95" si="8">Q82*Q$47</f>
        <v>3985.7999999999997</v>
      </c>
      <c r="Z82" s="1883"/>
      <c r="AA82" s="1883"/>
      <c r="AB82" s="1883"/>
      <c r="AC82" s="1883"/>
      <c r="AD82" s="1883"/>
      <c r="AE82" s="1883"/>
      <c r="AF82" s="1884"/>
      <c r="AL82" s="839"/>
    </row>
    <row r="83" spans="1:38" ht="34.9" customHeight="1" x14ac:dyDescent="0.25">
      <c r="A83" s="1795" t="s">
        <v>6194</v>
      </c>
      <c r="B83" s="1283"/>
      <c r="C83" s="1283"/>
      <c r="D83" s="1283"/>
      <c r="E83" s="1283" t="s">
        <v>738</v>
      </c>
      <c r="F83" s="1283"/>
      <c r="G83" s="1283"/>
      <c r="H83" s="1283"/>
      <c r="I83" s="1624">
        <f>ROUND(AD60,3)</f>
        <v>4.8000000000000001E-2</v>
      </c>
      <c r="J83" s="1624"/>
      <c r="K83" s="1624"/>
      <c r="L83" s="1624"/>
      <c r="M83" s="1624"/>
      <c r="N83" s="1624"/>
      <c r="O83" s="1624"/>
      <c r="P83" s="1624"/>
      <c r="Q83" s="1882">
        <f>ROUND(Z60,2)</f>
        <v>423.73</v>
      </c>
      <c r="R83" s="1882"/>
      <c r="S83" s="1882"/>
      <c r="T83" s="1882"/>
      <c r="U83" s="1882"/>
      <c r="V83" s="1882"/>
      <c r="W83" s="1882"/>
      <c r="X83" s="1882"/>
      <c r="Y83" s="1883">
        <f t="shared" si="8"/>
        <v>5084.76</v>
      </c>
      <c r="Z83" s="1883"/>
      <c r="AA83" s="1883"/>
      <c r="AB83" s="1883"/>
      <c r="AC83" s="1883"/>
      <c r="AD83" s="1883"/>
      <c r="AE83" s="1883"/>
      <c r="AF83" s="1884"/>
      <c r="AL83" s="839"/>
    </row>
    <row r="84" spans="1:38" ht="34.9" customHeight="1" x14ac:dyDescent="0.25">
      <c r="A84" s="1795" t="s">
        <v>5186</v>
      </c>
      <c r="B84" s="1283"/>
      <c r="C84" s="1283"/>
      <c r="D84" s="1283"/>
      <c r="E84" s="1283" t="s">
        <v>735</v>
      </c>
      <c r="F84" s="1283"/>
      <c r="G84" s="1283"/>
      <c r="H84" s="1283"/>
      <c r="I84" s="1624">
        <f>ROUND(AD62,3)</f>
        <v>1.9E-2</v>
      </c>
      <c r="J84" s="1624"/>
      <c r="K84" s="1624"/>
      <c r="L84" s="1624"/>
      <c r="M84" s="1624"/>
      <c r="N84" s="1624"/>
      <c r="O84" s="1624"/>
      <c r="P84" s="1624"/>
      <c r="Q84" s="1882">
        <f>ROUND(Z62,2)</f>
        <v>165.16</v>
      </c>
      <c r="R84" s="1882"/>
      <c r="S84" s="1882"/>
      <c r="T84" s="1882"/>
      <c r="U84" s="1882"/>
      <c r="V84" s="1882"/>
      <c r="W84" s="1882"/>
      <c r="X84" s="1882"/>
      <c r="Y84" s="1883">
        <f t="shared" si="8"/>
        <v>1981.92</v>
      </c>
      <c r="Z84" s="1883"/>
      <c r="AA84" s="1883"/>
      <c r="AB84" s="1883"/>
      <c r="AC84" s="1883"/>
      <c r="AD84" s="1883"/>
      <c r="AE84" s="1883"/>
      <c r="AF84" s="1884"/>
      <c r="AL84" s="839"/>
    </row>
    <row r="85" spans="1:38" ht="34.9" customHeight="1" x14ac:dyDescent="0.25">
      <c r="A85" s="1795" t="s">
        <v>5187</v>
      </c>
      <c r="B85" s="1283"/>
      <c r="C85" s="1283"/>
      <c r="D85" s="1283"/>
      <c r="E85" s="1283" t="s">
        <v>736</v>
      </c>
      <c r="F85" s="1283"/>
      <c r="G85" s="1283"/>
      <c r="H85" s="1283"/>
      <c r="I85" s="1624">
        <f t="shared" ref="I85:I87" si="9">ROUND(AD63,3)</f>
        <v>3.5999999999999997E-2</v>
      </c>
      <c r="J85" s="1624"/>
      <c r="K85" s="1624"/>
      <c r="L85" s="1624"/>
      <c r="M85" s="1624"/>
      <c r="N85" s="1624"/>
      <c r="O85" s="1624"/>
      <c r="P85" s="1624"/>
      <c r="Q85" s="1882">
        <f t="shared" ref="Q85:Q87" si="10">ROUND(Z63,2)</f>
        <v>315.73</v>
      </c>
      <c r="R85" s="1882"/>
      <c r="S85" s="1882"/>
      <c r="T85" s="1882"/>
      <c r="U85" s="1882"/>
      <c r="V85" s="1882"/>
      <c r="W85" s="1882"/>
      <c r="X85" s="1882"/>
      <c r="Y85" s="1883">
        <f t="shared" si="8"/>
        <v>3788.76</v>
      </c>
      <c r="Z85" s="1883"/>
      <c r="AA85" s="1883"/>
      <c r="AB85" s="1883"/>
      <c r="AC85" s="1883"/>
      <c r="AD85" s="1883"/>
      <c r="AE85" s="1883"/>
      <c r="AF85" s="1884"/>
      <c r="AL85" s="839"/>
    </row>
    <row r="86" spans="1:38" ht="34.9" customHeight="1" x14ac:dyDescent="0.25">
      <c r="A86" s="1795" t="s">
        <v>5188</v>
      </c>
      <c r="B86" s="1283"/>
      <c r="C86" s="1283"/>
      <c r="D86" s="1283"/>
      <c r="E86" s="1283" t="s">
        <v>737</v>
      </c>
      <c r="F86" s="1283"/>
      <c r="G86" s="1283"/>
      <c r="H86" s="1283"/>
      <c r="I86" s="1624">
        <f t="shared" si="9"/>
        <v>6.2E-2</v>
      </c>
      <c r="J86" s="1624"/>
      <c r="K86" s="1624"/>
      <c r="L86" s="1624"/>
      <c r="M86" s="1624"/>
      <c r="N86" s="1624"/>
      <c r="O86" s="1624"/>
      <c r="P86" s="1624"/>
      <c r="Q86" s="1882">
        <f t="shared" si="10"/>
        <v>540.20000000000005</v>
      </c>
      <c r="R86" s="1882"/>
      <c r="S86" s="1882"/>
      <c r="T86" s="1882"/>
      <c r="U86" s="1882"/>
      <c r="V86" s="1882"/>
      <c r="W86" s="1882"/>
      <c r="X86" s="1882"/>
      <c r="Y86" s="1883">
        <f t="shared" si="8"/>
        <v>6482.4000000000005</v>
      </c>
      <c r="Z86" s="1883"/>
      <c r="AA86" s="1883"/>
      <c r="AB86" s="1883"/>
      <c r="AC86" s="1883"/>
      <c r="AD86" s="1883"/>
      <c r="AE86" s="1883"/>
      <c r="AF86" s="1884"/>
      <c r="AL86" s="839"/>
    </row>
    <row r="87" spans="1:38" ht="34.9" customHeight="1" x14ac:dyDescent="0.25">
      <c r="A87" s="1795" t="s">
        <v>5189</v>
      </c>
      <c r="B87" s="1283"/>
      <c r="C87" s="1283"/>
      <c r="D87" s="1283"/>
      <c r="E87" s="1283" t="s">
        <v>738</v>
      </c>
      <c r="F87" s="1283"/>
      <c r="G87" s="1283"/>
      <c r="H87" s="1283"/>
      <c r="I87" s="1624">
        <f t="shared" si="9"/>
        <v>7.0000000000000007E-2</v>
      </c>
      <c r="J87" s="1624"/>
      <c r="K87" s="1624"/>
      <c r="L87" s="1624"/>
      <c r="M87" s="1624"/>
      <c r="N87" s="1624"/>
      <c r="O87" s="1624"/>
      <c r="P87" s="1624"/>
      <c r="Q87" s="1882">
        <f t="shared" si="10"/>
        <v>609.91999999999996</v>
      </c>
      <c r="R87" s="1882"/>
      <c r="S87" s="1882"/>
      <c r="T87" s="1882"/>
      <c r="U87" s="1882"/>
      <c r="V87" s="1882"/>
      <c r="W87" s="1882"/>
      <c r="X87" s="1882"/>
      <c r="Y87" s="1886">
        <f t="shared" si="8"/>
        <v>7319.0399999999991</v>
      </c>
      <c r="Z87" s="1883"/>
      <c r="AA87" s="1883"/>
      <c r="AB87" s="1883"/>
      <c r="AC87" s="1883"/>
      <c r="AD87" s="1883"/>
      <c r="AE87" s="1883"/>
      <c r="AF87" s="1884"/>
      <c r="AL87" s="839"/>
    </row>
    <row r="88" spans="1:38" ht="34.9" customHeight="1" x14ac:dyDescent="0.25">
      <c r="A88" s="1795" t="s">
        <v>5203</v>
      </c>
      <c r="B88" s="1283"/>
      <c r="C88" s="1283"/>
      <c r="D88" s="1283"/>
      <c r="E88" s="1283" t="s">
        <v>735</v>
      </c>
      <c r="F88" s="1283"/>
      <c r="G88" s="1283"/>
      <c r="H88" s="1283"/>
      <c r="I88" s="1624">
        <f>ROUND(AD68,3)</f>
        <v>2.5999999999999999E-2</v>
      </c>
      <c r="J88" s="1624"/>
      <c r="K88" s="1624"/>
      <c r="L88" s="1624"/>
      <c r="M88" s="1624"/>
      <c r="N88" s="1624"/>
      <c r="O88" s="1624"/>
      <c r="P88" s="1624"/>
      <c r="Q88" s="1882">
        <f>ROUND(Z68,2)</f>
        <v>229.95</v>
      </c>
      <c r="R88" s="1882"/>
      <c r="S88" s="1882"/>
      <c r="T88" s="1882"/>
      <c r="U88" s="1882"/>
      <c r="V88" s="1882"/>
      <c r="W88" s="1882"/>
      <c r="X88" s="1882"/>
      <c r="Y88" s="1883">
        <f t="shared" si="8"/>
        <v>2759.3999999999996</v>
      </c>
      <c r="Z88" s="1883"/>
      <c r="AA88" s="1883"/>
      <c r="AB88" s="1883"/>
      <c r="AC88" s="1883"/>
      <c r="AD88" s="1883"/>
      <c r="AE88" s="1883"/>
      <c r="AF88" s="1884"/>
      <c r="AL88" s="839"/>
    </row>
    <row r="89" spans="1:38" ht="34.9" customHeight="1" x14ac:dyDescent="0.25">
      <c r="A89" s="1795" t="s">
        <v>5191</v>
      </c>
      <c r="B89" s="1874"/>
      <c r="C89" s="1874"/>
      <c r="D89" s="1874"/>
      <c r="E89" s="1874" t="s">
        <v>736</v>
      </c>
      <c r="F89" s="1874"/>
      <c r="G89" s="1874"/>
      <c r="H89" s="1874"/>
      <c r="I89" s="1624">
        <f t="shared" ref="I89:I91" si="11">ROUND(AD69,3)</f>
        <v>2.5999999999999999E-2</v>
      </c>
      <c r="J89" s="1624"/>
      <c r="K89" s="1624"/>
      <c r="L89" s="1624"/>
      <c r="M89" s="1624"/>
      <c r="N89" s="1624"/>
      <c r="O89" s="1624"/>
      <c r="P89" s="1624"/>
      <c r="Q89" s="1882">
        <f t="shared" ref="Q89:Q91" si="12">ROUND(Z69,2)</f>
        <v>229.95</v>
      </c>
      <c r="R89" s="1882"/>
      <c r="S89" s="1882"/>
      <c r="T89" s="1882"/>
      <c r="U89" s="1882"/>
      <c r="V89" s="1882"/>
      <c r="W89" s="1882"/>
      <c r="X89" s="1882"/>
      <c r="Y89" s="1883">
        <f t="shared" si="8"/>
        <v>2759.3999999999996</v>
      </c>
      <c r="Z89" s="1883"/>
      <c r="AA89" s="1883"/>
      <c r="AB89" s="1883"/>
      <c r="AC89" s="1883"/>
      <c r="AD89" s="1883"/>
      <c r="AE89" s="1883"/>
      <c r="AF89" s="1884"/>
      <c r="AL89" s="839"/>
    </row>
    <row r="90" spans="1:38" ht="34.9" customHeight="1" x14ac:dyDescent="0.25">
      <c r="A90" s="1795" t="s">
        <v>5192</v>
      </c>
      <c r="B90" s="1874"/>
      <c r="C90" s="1874"/>
      <c r="D90" s="1874"/>
      <c r="E90" s="1874" t="s">
        <v>737</v>
      </c>
      <c r="F90" s="1874"/>
      <c r="G90" s="1874"/>
      <c r="H90" s="1874"/>
      <c r="I90" s="1624">
        <f t="shared" si="11"/>
        <v>2.5999999999999999E-2</v>
      </c>
      <c r="J90" s="1624"/>
      <c r="K90" s="1624"/>
      <c r="L90" s="1624"/>
      <c r="M90" s="1624"/>
      <c r="N90" s="1624"/>
      <c r="O90" s="1624"/>
      <c r="P90" s="1624"/>
      <c r="Q90" s="1882">
        <f t="shared" si="12"/>
        <v>229.95</v>
      </c>
      <c r="R90" s="1882"/>
      <c r="S90" s="1882"/>
      <c r="T90" s="1882"/>
      <c r="U90" s="1882"/>
      <c r="V90" s="1882"/>
      <c r="W90" s="1882"/>
      <c r="X90" s="1882"/>
      <c r="Y90" s="1883">
        <f t="shared" si="8"/>
        <v>2759.3999999999996</v>
      </c>
      <c r="Z90" s="1883"/>
      <c r="AA90" s="1883"/>
      <c r="AB90" s="1883"/>
      <c r="AC90" s="1883"/>
      <c r="AD90" s="1883"/>
      <c r="AE90" s="1883"/>
      <c r="AF90" s="1884"/>
      <c r="AL90" s="839"/>
    </row>
    <row r="91" spans="1:38" ht="34.9" customHeight="1" x14ac:dyDescent="0.25">
      <c r="A91" s="1795" t="s">
        <v>6195</v>
      </c>
      <c r="B91" s="1874"/>
      <c r="C91" s="1874"/>
      <c r="D91" s="1874"/>
      <c r="E91" s="1874" t="s">
        <v>738</v>
      </c>
      <c r="F91" s="1874"/>
      <c r="G91" s="1874"/>
      <c r="H91" s="1874"/>
      <c r="I91" s="1624">
        <f t="shared" si="11"/>
        <v>2.5999999999999999E-2</v>
      </c>
      <c r="J91" s="1624"/>
      <c r="K91" s="1624"/>
      <c r="L91" s="1624"/>
      <c r="M91" s="1624"/>
      <c r="N91" s="1624"/>
      <c r="O91" s="1624"/>
      <c r="P91" s="1624"/>
      <c r="Q91" s="1882">
        <f t="shared" si="12"/>
        <v>229.95</v>
      </c>
      <c r="R91" s="1882"/>
      <c r="S91" s="1882"/>
      <c r="T91" s="1882"/>
      <c r="U91" s="1882"/>
      <c r="V91" s="1882"/>
      <c r="W91" s="1882"/>
      <c r="X91" s="1882"/>
      <c r="Y91" s="1883">
        <f t="shared" si="8"/>
        <v>2759.3999999999996</v>
      </c>
      <c r="Z91" s="1883"/>
      <c r="AA91" s="1883"/>
      <c r="AB91" s="1883"/>
      <c r="AC91" s="1883"/>
      <c r="AD91" s="1883"/>
      <c r="AE91" s="1883"/>
      <c r="AF91" s="1884"/>
      <c r="AL91" s="839"/>
    </row>
    <row r="92" spans="1:38" ht="34.9" customHeight="1" x14ac:dyDescent="0.25">
      <c r="A92" s="1795" t="s">
        <v>5204</v>
      </c>
      <c r="B92" s="1874"/>
      <c r="C92" s="1874"/>
      <c r="D92" s="1874"/>
      <c r="E92" s="1874" t="s">
        <v>735</v>
      </c>
      <c r="F92" s="1874"/>
      <c r="G92" s="1874"/>
      <c r="H92" s="1874"/>
      <c r="I92" s="1624">
        <f>ROUND(AD73,3)</f>
        <v>7.0000000000000001E-3</v>
      </c>
      <c r="J92" s="1624"/>
      <c r="K92" s="1624"/>
      <c r="L92" s="1624"/>
      <c r="M92" s="1624"/>
      <c r="N92" s="1624"/>
      <c r="O92" s="1624"/>
      <c r="P92" s="1624"/>
      <c r="Q92" s="1882">
        <f>ROUND(Z73,2)</f>
        <v>60.23</v>
      </c>
      <c r="R92" s="1882"/>
      <c r="S92" s="1882"/>
      <c r="T92" s="1882"/>
      <c r="U92" s="1882"/>
      <c r="V92" s="1882"/>
      <c r="W92" s="1882"/>
      <c r="X92" s="1882"/>
      <c r="Y92" s="1883">
        <f t="shared" si="8"/>
        <v>722.76</v>
      </c>
      <c r="Z92" s="1883"/>
      <c r="AA92" s="1883"/>
      <c r="AB92" s="1883"/>
      <c r="AC92" s="1883"/>
      <c r="AD92" s="1883"/>
      <c r="AE92" s="1883"/>
      <c r="AF92" s="1884"/>
      <c r="AL92" s="839"/>
    </row>
    <row r="93" spans="1:38" ht="34.9" customHeight="1" x14ac:dyDescent="0.25">
      <c r="A93" s="1795" t="s">
        <v>5194</v>
      </c>
      <c r="B93" s="1874"/>
      <c r="C93" s="1874"/>
      <c r="D93" s="1874"/>
      <c r="E93" s="1874" t="s">
        <v>736</v>
      </c>
      <c r="F93" s="1874"/>
      <c r="G93" s="1874"/>
      <c r="H93" s="1874"/>
      <c r="I93" s="1624">
        <f t="shared" ref="I93:I95" si="13">ROUND(AD74,3)</f>
        <v>1.2999999999999999E-2</v>
      </c>
      <c r="J93" s="1624"/>
      <c r="K93" s="1624"/>
      <c r="L93" s="1624"/>
      <c r="M93" s="1624"/>
      <c r="N93" s="1624"/>
      <c r="O93" s="1624"/>
      <c r="P93" s="1624"/>
      <c r="Q93" s="1882">
        <f t="shared" ref="Q93:Q95" si="14">ROUND(Z74,2)</f>
        <v>114.98</v>
      </c>
      <c r="R93" s="1882"/>
      <c r="S93" s="1882"/>
      <c r="T93" s="1882"/>
      <c r="U93" s="1882"/>
      <c r="V93" s="1882"/>
      <c r="W93" s="1882"/>
      <c r="X93" s="1882"/>
      <c r="Y93" s="1883">
        <f t="shared" si="8"/>
        <v>1379.76</v>
      </c>
      <c r="Z93" s="1883"/>
      <c r="AA93" s="1883"/>
      <c r="AB93" s="1883"/>
      <c r="AC93" s="1883"/>
      <c r="AD93" s="1883"/>
      <c r="AE93" s="1883"/>
      <c r="AF93" s="1884"/>
      <c r="AL93" s="839"/>
    </row>
    <row r="94" spans="1:38" ht="34.9" customHeight="1" x14ac:dyDescent="0.25">
      <c r="A94" s="1795" t="s">
        <v>5195</v>
      </c>
      <c r="B94" s="1874"/>
      <c r="C94" s="1874"/>
      <c r="D94" s="1874"/>
      <c r="E94" s="1874" t="s">
        <v>737</v>
      </c>
      <c r="F94" s="1874"/>
      <c r="G94" s="1874"/>
      <c r="H94" s="1874"/>
      <c r="I94" s="1624">
        <f t="shared" si="13"/>
        <v>0.02</v>
      </c>
      <c r="J94" s="1624"/>
      <c r="K94" s="1624"/>
      <c r="L94" s="1624"/>
      <c r="M94" s="1624"/>
      <c r="N94" s="1624"/>
      <c r="O94" s="1624"/>
      <c r="P94" s="1624"/>
      <c r="Q94" s="1882">
        <f t="shared" si="14"/>
        <v>178.85</v>
      </c>
      <c r="R94" s="1882"/>
      <c r="S94" s="1882"/>
      <c r="T94" s="1882"/>
      <c r="U94" s="1882"/>
      <c r="V94" s="1882"/>
      <c r="W94" s="1882"/>
      <c r="X94" s="1882"/>
      <c r="Y94" s="1883">
        <f t="shared" si="8"/>
        <v>2146.1999999999998</v>
      </c>
      <c r="Z94" s="1883"/>
      <c r="AA94" s="1883"/>
      <c r="AB94" s="1883"/>
      <c r="AC94" s="1883"/>
      <c r="AD94" s="1883"/>
      <c r="AE94" s="1883"/>
      <c r="AF94" s="1884"/>
      <c r="AL94" s="839"/>
    </row>
    <row r="95" spans="1:38" ht="34.9" customHeight="1" thickBot="1" x14ac:dyDescent="0.3">
      <c r="A95" s="1802" t="s">
        <v>5196</v>
      </c>
      <c r="B95" s="1887"/>
      <c r="C95" s="1887"/>
      <c r="D95" s="1887"/>
      <c r="E95" s="1887" t="s">
        <v>738</v>
      </c>
      <c r="F95" s="1887"/>
      <c r="G95" s="1887"/>
      <c r="H95" s="1887"/>
      <c r="I95" s="1634">
        <f t="shared" si="13"/>
        <v>2.9000000000000001E-2</v>
      </c>
      <c r="J95" s="1634"/>
      <c r="K95" s="1634"/>
      <c r="L95" s="1634"/>
      <c r="M95" s="1634"/>
      <c r="N95" s="1634"/>
      <c r="O95" s="1634"/>
      <c r="P95" s="1634"/>
      <c r="Q95" s="1888">
        <f t="shared" si="14"/>
        <v>251.85</v>
      </c>
      <c r="R95" s="1888"/>
      <c r="S95" s="1888"/>
      <c r="T95" s="1888"/>
      <c r="U95" s="1888"/>
      <c r="V95" s="1888"/>
      <c r="W95" s="1888"/>
      <c r="X95" s="1888"/>
      <c r="Y95" s="1889">
        <f t="shared" si="8"/>
        <v>3022.2</v>
      </c>
      <c r="Z95" s="1889"/>
      <c r="AA95" s="1889"/>
      <c r="AB95" s="1889"/>
      <c r="AC95" s="1889"/>
      <c r="AD95" s="1889"/>
      <c r="AE95" s="1889"/>
      <c r="AF95" s="1890"/>
      <c r="AL95" s="839"/>
    </row>
    <row r="96" spans="1:38" x14ac:dyDescent="0.25">
      <c r="A96" s="262"/>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62"/>
      <c r="AE96" s="262"/>
      <c r="AF96" s="262"/>
      <c r="AL96" s="839"/>
    </row>
    <row r="97" spans="1:67" x14ac:dyDescent="0.25">
      <c r="A97" s="262"/>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2"/>
      <c r="AE97" s="262"/>
      <c r="AF97" s="262"/>
      <c r="AL97" s="839"/>
    </row>
    <row r="98" spans="1:67" x14ac:dyDescent="0.25">
      <c r="A98" s="1621" t="s">
        <v>1753</v>
      </c>
      <c r="B98" s="1621"/>
      <c r="C98" s="1621"/>
      <c r="D98" s="1621"/>
      <c r="E98" s="1621"/>
      <c r="F98" s="1621"/>
      <c r="G98" s="1621"/>
      <c r="H98" s="1621"/>
      <c r="I98" s="1621"/>
      <c r="J98" s="1621"/>
      <c r="K98" s="1621"/>
      <c r="L98" s="1621"/>
      <c r="M98" s="1621"/>
      <c r="N98" s="1621"/>
      <c r="O98" s="1621"/>
      <c r="P98" s="1621"/>
      <c r="Q98" s="1621"/>
      <c r="R98" s="1621"/>
      <c r="S98" s="1621"/>
      <c r="T98" s="1621"/>
      <c r="U98" s="1621"/>
      <c r="V98" s="1621"/>
      <c r="W98" s="1621"/>
      <c r="X98" s="1621"/>
      <c r="Y98" s="1621"/>
      <c r="Z98" s="1621"/>
      <c r="AA98" s="1621"/>
      <c r="AB98" s="1621"/>
      <c r="AC98" s="1621"/>
      <c r="AD98" s="1621"/>
      <c r="AE98" s="1621"/>
      <c r="AF98" s="1621"/>
      <c r="AL98" s="839"/>
    </row>
    <row r="99" spans="1:67" x14ac:dyDescent="0.25">
      <c r="A99" s="262"/>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2"/>
      <c r="AE99" s="262"/>
      <c r="AF99" s="262"/>
      <c r="AL99" s="839"/>
    </row>
    <row r="100" spans="1:67" x14ac:dyDescent="0.25">
      <c r="A100" s="517" t="s">
        <v>1013</v>
      </c>
      <c r="B100" s="1173" t="s">
        <v>6197</v>
      </c>
      <c r="C100" s="1173"/>
      <c r="D100" s="1173"/>
      <c r="E100" s="1173"/>
      <c r="F100" s="1173"/>
      <c r="G100" s="1173"/>
      <c r="H100" s="1173"/>
      <c r="I100" s="1173"/>
      <c r="J100" s="1173"/>
      <c r="K100" s="1173"/>
      <c r="L100" s="1173"/>
      <c r="M100" s="1173"/>
      <c r="N100" s="1173"/>
      <c r="O100" s="1173"/>
      <c r="P100" s="1173"/>
      <c r="Q100" s="1173"/>
      <c r="R100" s="1173"/>
      <c r="S100" s="1173"/>
      <c r="T100" s="1173"/>
      <c r="U100" s="1173"/>
      <c r="V100" s="1173"/>
      <c r="W100" s="1173"/>
      <c r="X100" s="1173"/>
      <c r="Y100" s="1173"/>
      <c r="Z100" s="1173"/>
      <c r="AA100" s="1173"/>
      <c r="AB100" s="1173"/>
      <c r="AC100" s="1173"/>
      <c r="AD100" s="1173"/>
      <c r="AE100" s="1173"/>
      <c r="AF100" s="1173"/>
      <c r="AL100" s="683"/>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row>
    <row r="101" spans="1:67" ht="45.75" customHeight="1" x14ac:dyDescent="0.25">
      <c r="A101" s="517" t="s">
        <v>1013</v>
      </c>
      <c r="B101" s="1173" t="s">
        <v>5197</v>
      </c>
      <c r="C101" s="1173"/>
      <c r="D101" s="1173"/>
      <c r="E101" s="1173"/>
      <c r="F101" s="1173"/>
      <c r="G101" s="1173"/>
      <c r="H101" s="1173"/>
      <c r="I101" s="1173"/>
      <c r="J101" s="1173"/>
      <c r="K101" s="1173"/>
      <c r="L101" s="1173"/>
      <c r="M101" s="1173"/>
      <c r="N101" s="1173"/>
      <c r="O101" s="1173"/>
      <c r="P101" s="1173"/>
      <c r="Q101" s="1173"/>
      <c r="R101" s="1173"/>
      <c r="S101" s="1173"/>
      <c r="T101" s="1173"/>
      <c r="U101" s="1173"/>
      <c r="V101" s="1173"/>
      <c r="W101" s="1173"/>
      <c r="X101" s="1173"/>
      <c r="Y101" s="1173"/>
      <c r="Z101" s="1173"/>
      <c r="AA101" s="1173"/>
      <c r="AB101" s="1173"/>
      <c r="AC101" s="1173"/>
      <c r="AD101" s="1173"/>
      <c r="AE101" s="1173"/>
      <c r="AF101" s="1173"/>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row>
    <row r="102" spans="1:67" ht="77.25" customHeight="1" x14ac:dyDescent="0.25">
      <c r="A102" s="517" t="s">
        <v>1013</v>
      </c>
      <c r="B102" s="1173" t="s">
        <v>6188</v>
      </c>
      <c r="C102" s="1173"/>
      <c r="D102" s="1173"/>
      <c r="E102" s="1173"/>
      <c r="F102" s="1173"/>
      <c r="G102" s="1173"/>
      <c r="H102" s="1173"/>
      <c r="I102" s="1173"/>
      <c r="J102" s="1173"/>
      <c r="K102" s="1173"/>
      <c r="L102" s="1173"/>
      <c r="M102" s="1173"/>
      <c r="N102" s="1173"/>
      <c r="O102" s="1173"/>
      <c r="P102" s="1173"/>
      <c r="Q102" s="1173"/>
      <c r="R102" s="1173"/>
      <c r="S102" s="1173"/>
      <c r="T102" s="1173"/>
      <c r="U102" s="1173"/>
      <c r="V102" s="1173"/>
      <c r="W102" s="1173"/>
      <c r="X102" s="1173"/>
      <c r="Y102" s="1173"/>
      <c r="Z102" s="1173"/>
      <c r="AA102" s="1173"/>
      <c r="AB102" s="1173"/>
      <c r="AC102" s="1173"/>
      <c r="AD102" s="1173"/>
      <c r="AE102" s="1173"/>
      <c r="AF102" s="1173"/>
      <c r="AL102" s="683"/>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row>
    <row r="103" spans="1:67" ht="45.6" customHeight="1" x14ac:dyDescent="0.25">
      <c r="A103" s="517" t="s">
        <v>1013</v>
      </c>
      <c r="B103" s="1173" t="s">
        <v>6189</v>
      </c>
      <c r="C103" s="1173"/>
      <c r="D103" s="1173"/>
      <c r="E103" s="1173"/>
      <c r="F103" s="1173"/>
      <c r="G103" s="1173"/>
      <c r="H103" s="1173"/>
      <c r="I103" s="1173"/>
      <c r="J103" s="1173"/>
      <c r="K103" s="1173"/>
      <c r="L103" s="1173"/>
      <c r="M103" s="1173"/>
      <c r="N103" s="1173"/>
      <c r="O103" s="1173"/>
      <c r="P103" s="1173"/>
      <c r="Q103" s="1173"/>
      <c r="R103" s="1173"/>
      <c r="S103" s="1173"/>
      <c r="T103" s="1173"/>
      <c r="U103" s="1173"/>
      <c r="V103" s="1173"/>
      <c r="W103" s="1173"/>
      <c r="X103" s="1173"/>
      <c r="Y103" s="1173"/>
      <c r="Z103" s="1173"/>
      <c r="AA103" s="1173"/>
      <c r="AB103" s="1173"/>
      <c r="AC103" s="1173"/>
      <c r="AD103" s="1173"/>
      <c r="AE103" s="1173"/>
      <c r="AF103" s="1173"/>
      <c r="AL103" s="683"/>
    </row>
    <row r="104" spans="1:67" ht="33" customHeight="1" x14ac:dyDescent="0.25">
      <c r="A104" s="517" t="s">
        <v>1013</v>
      </c>
      <c r="B104" s="1173" t="s">
        <v>5920</v>
      </c>
      <c r="C104" s="1173"/>
      <c r="D104" s="1173"/>
      <c r="E104" s="1173"/>
      <c r="F104" s="1173"/>
      <c r="G104" s="1173"/>
      <c r="H104" s="1173"/>
      <c r="I104" s="1173"/>
      <c r="J104" s="1173"/>
      <c r="K104" s="1173"/>
      <c r="L104" s="1173"/>
      <c r="M104" s="1173"/>
      <c r="N104" s="1173"/>
      <c r="O104" s="1173"/>
      <c r="P104" s="1173"/>
      <c r="Q104" s="1173"/>
      <c r="R104" s="1173"/>
      <c r="S104" s="1173"/>
      <c r="T104" s="1173"/>
      <c r="U104" s="1173"/>
      <c r="V104" s="1173"/>
      <c r="W104" s="1173"/>
      <c r="X104" s="1173"/>
      <c r="Y104" s="1173"/>
      <c r="Z104" s="1173"/>
      <c r="AA104" s="1173"/>
      <c r="AB104" s="1173"/>
      <c r="AC104" s="1173"/>
      <c r="AD104" s="1173"/>
      <c r="AE104" s="1173"/>
      <c r="AF104" s="1173"/>
      <c r="AL104" s="683"/>
    </row>
    <row r="105" spans="1:67" x14ac:dyDescent="0.25">
      <c r="A105" s="517" t="s">
        <v>1013</v>
      </c>
      <c r="B105" s="1173" t="s">
        <v>6190</v>
      </c>
      <c r="C105" s="1173"/>
      <c r="D105" s="1173"/>
      <c r="E105" s="1173"/>
      <c r="F105" s="1173"/>
      <c r="G105" s="1173"/>
      <c r="H105" s="1173"/>
      <c r="I105" s="1173"/>
      <c r="J105" s="1173"/>
      <c r="K105" s="1173"/>
      <c r="L105" s="1173"/>
      <c r="M105" s="1173"/>
      <c r="N105" s="1173"/>
      <c r="O105" s="1173"/>
      <c r="P105" s="1173"/>
      <c r="Q105" s="1173"/>
      <c r="R105" s="1173"/>
      <c r="S105" s="1173"/>
      <c r="T105" s="1173"/>
      <c r="U105" s="1173"/>
      <c r="V105" s="1173"/>
      <c r="W105" s="1173"/>
      <c r="X105" s="1173"/>
      <c r="Y105" s="1173"/>
      <c r="Z105" s="1173"/>
      <c r="AA105" s="1173"/>
      <c r="AB105" s="1173"/>
      <c r="AC105" s="1173"/>
      <c r="AD105" s="1173"/>
      <c r="AE105" s="1173"/>
      <c r="AF105" s="1173"/>
      <c r="AL105" s="683"/>
    </row>
    <row r="106" spans="1:67" ht="33" customHeight="1" x14ac:dyDescent="0.25">
      <c r="A106" s="517" t="s">
        <v>1013</v>
      </c>
      <c r="B106" s="1173" t="s">
        <v>5199</v>
      </c>
      <c r="C106" s="1173"/>
      <c r="D106" s="1173"/>
      <c r="E106" s="1173"/>
      <c r="F106" s="1173"/>
      <c r="G106" s="1173"/>
      <c r="H106" s="1173"/>
      <c r="I106" s="1173"/>
      <c r="J106" s="1173"/>
      <c r="K106" s="1173"/>
      <c r="L106" s="1173"/>
      <c r="M106" s="1173"/>
      <c r="N106" s="1173"/>
      <c r="O106" s="1173"/>
      <c r="P106" s="1173"/>
      <c r="Q106" s="1173"/>
      <c r="R106" s="1173"/>
      <c r="S106" s="1173"/>
      <c r="T106" s="1173"/>
      <c r="U106" s="1173"/>
      <c r="V106" s="1173"/>
      <c r="W106" s="1173"/>
      <c r="X106" s="1173"/>
      <c r="Y106" s="1173"/>
      <c r="Z106" s="1173"/>
      <c r="AA106" s="1173"/>
      <c r="AB106" s="1173"/>
      <c r="AC106" s="1173"/>
      <c r="AD106" s="1173"/>
      <c r="AE106" s="1173"/>
      <c r="AF106" s="1173"/>
      <c r="AL106" s="683"/>
    </row>
    <row r="107" spans="1:67" ht="33.75" customHeight="1" x14ac:dyDescent="0.25">
      <c r="A107" s="517" t="s">
        <v>1013</v>
      </c>
      <c r="B107" s="1173" t="s">
        <v>5922</v>
      </c>
      <c r="C107" s="1173"/>
      <c r="D107" s="1173"/>
      <c r="E107" s="1173"/>
      <c r="F107" s="1173"/>
      <c r="G107" s="1173"/>
      <c r="H107" s="1173"/>
      <c r="I107" s="1173"/>
      <c r="J107" s="1173"/>
      <c r="K107" s="1173"/>
      <c r="L107" s="1173"/>
      <c r="M107" s="1173"/>
      <c r="N107" s="1173"/>
      <c r="O107" s="1173"/>
      <c r="P107" s="1173"/>
      <c r="Q107" s="1173"/>
      <c r="R107" s="1173"/>
      <c r="S107" s="1173"/>
      <c r="T107" s="1173"/>
      <c r="U107" s="1173"/>
      <c r="V107" s="1173"/>
      <c r="W107" s="1173"/>
      <c r="X107" s="1173"/>
      <c r="Y107" s="1173"/>
      <c r="Z107" s="1173"/>
      <c r="AA107" s="1173"/>
      <c r="AB107" s="1173"/>
      <c r="AC107" s="1173"/>
      <c r="AD107" s="1173"/>
      <c r="AE107" s="1173"/>
      <c r="AF107" s="1173"/>
      <c r="AL107" s="683"/>
    </row>
  </sheetData>
  <sheetProtection algorithmName="SHA-512" hashValue="VvtCCHFUNWbSzBI2pswb8eZqnQESqPK62iIVIPLeOgKS3kxvo0NZB+U6xF7iy0cRgqsz0BTUVT13qn6MWxtLzA==" saltValue="sq/NHtKzN7c+kMLYvbgRyg==" spinCount="100000" sheet="1" objects="1" scenarios="1"/>
  <mergeCells count="307">
    <mergeCell ref="A98:AF98"/>
    <mergeCell ref="B100:AF100"/>
    <mergeCell ref="B101:AF101"/>
    <mergeCell ref="B102:AF102"/>
    <mergeCell ref="B103:AF103"/>
    <mergeCell ref="B104:AF104"/>
    <mergeCell ref="B105:AF105"/>
    <mergeCell ref="B106:AF106"/>
    <mergeCell ref="B107:AF107"/>
    <mergeCell ref="A93:H93"/>
    <mergeCell ref="I93:P93"/>
    <mergeCell ref="Q93:X93"/>
    <mergeCell ref="Y93:AF93"/>
    <mergeCell ref="A94:H94"/>
    <mergeCell ref="I94:P94"/>
    <mergeCell ref="Q94:X94"/>
    <mergeCell ref="Y94:AF94"/>
    <mergeCell ref="A95:H95"/>
    <mergeCell ref="I95:P95"/>
    <mergeCell ref="Q95:X95"/>
    <mergeCell ref="Y95:AF95"/>
    <mergeCell ref="A90:H90"/>
    <mergeCell ref="I90:P90"/>
    <mergeCell ref="Q90:X90"/>
    <mergeCell ref="Y90:AF90"/>
    <mergeCell ref="A91:H91"/>
    <mergeCell ref="I91:P91"/>
    <mergeCell ref="Q91:X91"/>
    <mergeCell ref="Y91:AF91"/>
    <mergeCell ref="A92:H92"/>
    <mergeCell ref="I92:P92"/>
    <mergeCell ref="Q92:X92"/>
    <mergeCell ref="Y92:AF92"/>
    <mergeCell ref="A87:H87"/>
    <mergeCell ref="I87:P87"/>
    <mergeCell ref="Q87:X87"/>
    <mergeCell ref="Y87:AF87"/>
    <mergeCell ref="A88:H88"/>
    <mergeCell ref="I88:P88"/>
    <mergeCell ref="Q88:X88"/>
    <mergeCell ref="Y88:AF88"/>
    <mergeCell ref="A89:H89"/>
    <mergeCell ref="I89:P89"/>
    <mergeCell ref="Q89:X89"/>
    <mergeCell ref="Y89:AF89"/>
    <mergeCell ref="A84:H84"/>
    <mergeCell ref="I84:P84"/>
    <mergeCell ref="Q84:X84"/>
    <mergeCell ref="Y84:AF84"/>
    <mergeCell ref="A85:H85"/>
    <mergeCell ref="I85:P85"/>
    <mergeCell ref="Q85:X85"/>
    <mergeCell ref="Y85:AF85"/>
    <mergeCell ref="A86:H86"/>
    <mergeCell ref="I86:P86"/>
    <mergeCell ref="Q86:X86"/>
    <mergeCell ref="Y86:AF86"/>
    <mergeCell ref="A81:H81"/>
    <mergeCell ref="I81:P81"/>
    <mergeCell ref="Q81:X81"/>
    <mergeCell ref="Y81:AF81"/>
    <mergeCell ref="A82:H82"/>
    <mergeCell ref="I82:P82"/>
    <mergeCell ref="Q82:X82"/>
    <mergeCell ref="Y82:AF82"/>
    <mergeCell ref="A83:H83"/>
    <mergeCell ref="I83:P83"/>
    <mergeCell ref="Q83:X83"/>
    <mergeCell ref="Y83:AF83"/>
    <mergeCell ref="AD76:AF76"/>
    <mergeCell ref="A79:H79"/>
    <mergeCell ref="I79:P79"/>
    <mergeCell ref="Q79:X79"/>
    <mergeCell ref="Y79:AF79"/>
    <mergeCell ref="A80:H80"/>
    <mergeCell ref="I80:P80"/>
    <mergeCell ref="Q80:X80"/>
    <mergeCell ref="Y80:AF80"/>
    <mergeCell ref="A76:D76"/>
    <mergeCell ref="E76:G76"/>
    <mergeCell ref="H76:J76"/>
    <mergeCell ref="K76:M76"/>
    <mergeCell ref="N76:P76"/>
    <mergeCell ref="Q76:S76"/>
    <mergeCell ref="T76:V76"/>
    <mergeCell ref="W76:Y76"/>
    <mergeCell ref="Z76:AC76"/>
    <mergeCell ref="AD74:AF74"/>
    <mergeCell ref="A75:D75"/>
    <mergeCell ref="E75:G75"/>
    <mergeCell ref="H75:J75"/>
    <mergeCell ref="K75:M75"/>
    <mergeCell ref="N75:P75"/>
    <mergeCell ref="Q75:S75"/>
    <mergeCell ref="T75:V75"/>
    <mergeCell ref="W75:Y75"/>
    <mergeCell ref="Z75:AC75"/>
    <mergeCell ref="AD75:AF75"/>
    <mergeCell ref="A74:D74"/>
    <mergeCell ref="E74:G74"/>
    <mergeCell ref="H74:J74"/>
    <mergeCell ref="K74:M74"/>
    <mergeCell ref="N74:P74"/>
    <mergeCell ref="Q74:S74"/>
    <mergeCell ref="T74:V74"/>
    <mergeCell ref="W74:Y74"/>
    <mergeCell ref="Z74:AC74"/>
    <mergeCell ref="AD71:AF71"/>
    <mergeCell ref="A72:AF72"/>
    <mergeCell ref="A73:D73"/>
    <mergeCell ref="E73:G73"/>
    <mergeCell ref="H73:J73"/>
    <mergeCell ref="K73:M73"/>
    <mergeCell ref="N73:P73"/>
    <mergeCell ref="Q73:S73"/>
    <mergeCell ref="T73:V73"/>
    <mergeCell ref="W73:Y73"/>
    <mergeCell ref="Z73:AC73"/>
    <mergeCell ref="AD73:AF73"/>
    <mergeCell ref="A71:D71"/>
    <mergeCell ref="E71:G71"/>
    <mergeCell ref="H71:J71"/>
    <mergeCell ref="K71:M71"/>
    <mergeCell ref="N71:P71"/>
    <mergeCell ref="Q71:S71"/>
    <mergeCell ref="T71:V71"/>
    <mergeCell ref="W71:Y71"/>
    <mergeCell ref="Z71:AC71"/>
    <mergeCell ref="AD69:AF69"/>
    <mergeCell ref="A70:D70"/>
    <mergeCell ref="E70:G70"/>
    <mergeCell ref="H70:J70"/>
    <mergeCell ref="K70:M70"/>
    <mergeCell ref="N70:P70"/>
    <mergeCell ref="Q70:S70"/>
    <mergeCell ref="T70:V70"/>
    <mergeCell ref="W70:Y70"/>
    <mergeCell ref="Z70:AC70"/>
    <mergeCell ref="AD70:AF70"/>
    <mergeCell ref="A69:D69"/>
    <mergeCell ref="E69:G69"/>
    <mergeCell ref="H69:J69"/>
    <mergeCell ref="K69:M69"/>
    <mergeCell ref="N69:P69"/>
    <mergeCell ref="Q69:S69"/>
    <mergeCell ref="T69:V69"/>
    <mergeCell ref="W69:Y69"/>
    <mergeCell ref="Z69:AC69"/>
    <mergeCell ref="AD65:AF65"/>
    <mergeCell ref="A66:AF66"/>
    <mergeCell ref="A67:AF67"/>
    <mergeCell ref="A68:D68"/>
    <mergeCell ref="E68:G68"/>
    <mergeCell ref="H68:J68"/>
    <mergeCell ref="K68:M68"/>
    <mergeCell ref="N68:P68"/>
    <mergeCell ref="Q68:S68"/>
    <mergeCell ref="T68:V68"/>
    <mergeCell ref="W68:Y68"/>
    <mergeCell ref="Z68:AC68"/>
    <mergeCell ref="AD68:AF68"/>
    <mergeCell ref="A65:D65"/>
    <mergeCell ref="E65:G65"/>
    <mergeCell ref="H65:J65"/>
    <mergeCell ref="K65:M65"/>
    <mergeCell ref="N65:P65"/>
    <mergeCell ref="Q65:S65"/>
    <mergeCell ref="T65:V65"/>
    <mergeCell ref="W65:Y65"/>
    <mergeCell ref="Z65:AC65"/>
    <mergeCell ref="AD63:AF63"/>
    <mergeCell ref="A64:D64"/>
    <mergeCell ref="E64:G64"/>
    <mergeCell ref="H64:J64"/>
    <mergeCell ref="K64:M64"/>
    <mergeCell ref="N64:P64"/>
    <mergeCell ref="Q64:S64"/>
    <mergeCell ref="T64:V64"/>
    <mergeCell ref="W64:Y64"/>
    <mergeCell ref="Z64:AC64"/>
    <mergeCell ref="AD64:AF64"/>
    <mergeCell ref="A63:D63"/>
    <mergeCell ref="E63:G63"/>
    <mergeCell ref="H63:J63"/>
    <mergeCell ref="K63:M63"/>
    <mergeCell ref="N63:P63"/>
    <mergeCell ref="Q63:S63"/>
    <mergeCell ref="T63:V63"/>
    <mergeCell ref="W63:Y63"/>
    <mergeCell ref="Z63:AC63"/>
    <mergeCell ref="W60:Y60"/>
    <mergeCell ref="Z60:AC60"/>
    <mergeCell ref="AD60:AF60"/>
    <mergeCell ref="A61:AF61"/>
    <mergeCell ref="A62:D62"/>
    <mergeCell ref="E62:G62"/>
    <mergeCell ref="H62:J62"/>
    <mergeCell ref="K62:M62"/>
    <mergeCell ref="N62:P62"/>
    <mergeCell ref="Q62:S62"/>
    <mergeCell ref="T62:V62"/>
    <mergeCell ref="W62:Y62"/>
    <mergeCell ref="Z62:AC62"/>
    <mergeCell ref="AD62:AF62"/>
    <mergeCell ref="A60:D60"/>
    <mergeCell ref="E60:G60"/>
    <mergeCell ref="H60:J60"/>
    <mergeCell ref="K60:M60"/>
    <mergeCell ref="N60:P60"/>
    <mergeCell ref="Q60:S60"/>
    <mergeCell ref="T60:V60"/>
    <mergeCell ref="W54:Y54"/>
    <mergeCell ref="A55:AF55"/>
    <mergeCell ref="Z58:AC58"/>
    <mergeCell ref="AD58:AF58"/>
    <mergeCell ref="A59:D59"/>
    <mergeCell ref="E59:G59"/>
    <mergeCell ref="H59:J59"/>
    <mergeCell ref="K59:M59"/>
    <mergeCell ref="N59:P59"/>
    <mergeCell ref="Q59:S59"/>
    <mergeCell ref="T59:V59"/>
    <mergeCell ref="W59:Y59"/>
    <mergeCell ref="Z59:AC59"/>
    <mergeCell ref="AD59:AF59"/>
    <mergeCell ref="A58:D58"/>
    <mergeCell ref="E58:G58"/>
    <mergeCell ref="H58:J58"/>
    <mergeCell ref="K58:M58"/>
    <mergeCell ref="N58:P58"/>
    <mergeCell ref="Q58:S58"/>
    <mergeCell ref="T58:V58"/>
    <mergeCell ref="W58:Y58"/>
    <mergeCell ref="A1:AF1"/>
    <mergeCell ref="A3:AF3"/>
    <mergeCell ref="B5:AF5"/>
    <mergeCell ref="A7:AF7"/>
    <mergeCell ref="B9:I9"/>
    <mergeCell ref="B10:AF10"/>
    <mergeCell ref="B12:I12"/>
    <mergeCell ref="B13:AF13"/>
    <mergeCell ref="B15:I15"/>
    <mergeCell ref="B16:AF16"/>
    <mergeCell ref="B18:I18"/>
    <mergeCell ref="B19:AF19"/>
    <mergeCell ref="B22:AF22"/>
    <mergeCell ref="A25:AF25"/>
    <mergeCell ref="A40:AF40"/>
    <mergeCell ref="A42:D42"/>
    <mergeCell ref="A41:D41"/>
    <mergeCell ref="E41:P41"/>
    <mergeCell ref="Q41:T41"/>
    <mergeCell ref="U41:V41"/>
    <mergeCell ref="W41:AF41"/>
    <mergeCell ref="E42:P42"/>
    <mergeCell ref="Q42:T42"/>
    <mergeCell ref="U42:V42"/>
    <mergeCell ref="W42:AF42"/>
    <mergeCell ref="A44:D44"/>
    <mergeCell ref="A43:D43"/>
    <mergeCell ref="E43:P43"/>
    <mergeCell ref="Q43:T43"/>
    <mergeCell ref="U43:V43"/>
    <mergeCell ref="W43:AF43"/>
    <mergeCell ref="A45:D45"/>
    <mergeCell ref="E44:P44"/>
    <mergeCell ref="Q44:T44"/>
    <mergeCell ref="U44:V44"/>
    <mergeCell ref="W44:AF44"/>
    <mergeCell ref="E45:P45"/>
    <mergeCell ref="Q45:T45"/>
    <mergeCell ref="U45:V45"/>
    <mergeCell ref="W45:AF45"/>
    <mergeCell ref="A46:D46"/>
    <mergeCell ref="E46:P46"/>
    <mergeCell ref="Q46:T46"/>
    <mergeCell ref="U46:V46"/>
    <mergeCell ref="W46:AF46"/>
    <mergeCell ref="A47:D47"/>
    <mergeCell ref="E47:P47"/>
    <mergeCell ref="Q47:T47"/>
    <mergeCell ref="U47:V47"/>
    <mergeCell ref="W47:AF47"/>
    <mergeCell ref="A50:AF50"/>
    <mergeCell ref="A53:D54"/>
    <mergeCell ref="E53:G54"/>
    <mergeCell ref="H53:M53"/>
    <mergeCell ref="N53:S53"/>
    <mergeCell ref="T53:Y53"/>
    <mergeCell ref="A56:AF56"/>
    <mergeCell ref="A57:D57"/>
    <mergeCell ref="E57:G57"/>
    <mergeCell ref="H57:J57"/>
    <mergeCell ref="K57:M57"/>
    <mergeCell ref="N57:P57"/>
    <mergeCell ref="Q57:S57"/>
    <mergeCell ref="T57:V57"/>
    <mergeCell ref="W57:Y57"/>
    <mergeCell ref="Z57:AC57"/>
    <mergeCell ref="AD57:AF57"/>
    <mergeCell ref="Z53:AC54"/>
    <mergeCell ref="AD53:AF54"/>
    <mergeCell ref="H54:J54"/>
    <mergeCell ref="K54:M54"/>
    <mergeCell ref="N54:P54"/>
    <mergeCell ref="Q54:S54"/>
    <mergeCell ref="T54:V54"/>
  </mergeCells>
  <hyperlinks>
    <hyperlink ref="A2" location="TOC!A1" display="Return to TOC" xr:uid="{ABADA638-292C-48BA-814F-1989B28D8729}"/>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C110"/>
  <sheetViews>
    <sheetView showGridLines="0" zoomScale="85" zoomScaleNormal="85" workbookViewId="0">
      <selection sqref="A1:C1"/>
    </sheetView>
  </sheetViews>
  <sheetFormatPr defaultRowHeight="15" x14ac:dyDescent="0.25"/>
  <cols>
    <col min="1" max="1" width="29.7109375" bestFit="1" customWidth="1"/>
    <col min="2" max="2" width="17.85546875" bestFit="1" customWidth="1"/>
    <col min="3" max="3" width="36.28515625" style="148" bestFit="1" customWidth="1"/>
  </cols>
  <sheetData>
    <row r="1" spans="1:3" ht="18" customHeight="1" thickBot="1" x14ac:dyDescent="0.3">
      <c r="A1" s="1130" t="s">
        <v>1324</v>
      </c>
      <c r="B1" s="1131"/>
      <c r="C1" s="1131"/>
    </row>
    <row r="2" spans="1:3" ht="14.45" customHeight="1" x14ac:dyDescent="0.25">
      <c r="A2" s="284"/>
      <c r="B2" s="284"/>
      <c r="C2" s="284"/>
    </row>
    <row r="3" spans="1:3" ht="15.75" x14ac:dyDescent="0.25">
      <c r="A3" s="944" t="s">
        <v>1335</v>
      </c>
      <c r="B3" s="23"/>
    </row>
    <row r="4" spans="1:3" x14ac:dyDescent="0.25">
      <c r="A4" s="668" t="s">
        <v>5961</v>
      </c>
      <c r="B4" s="23"/>
    </row>
    <row r="5" spans="1:3" x14ac:dyDescent="0.25">
      <c r="A5" s="668" t="s">
        <v>7201</v>
      </c>
      <c r="B5" s="19"/>
    </row>
    <row r="6" spans="1:3" x14ac:dyDescent="0.25">
      <c r="A6" s="668" t="s">
        <v>5963</v>
      </c>
      <c r="B6" s="19"/>
    </row>
    <row r="7" spans="1:3" x14ac:dyDescent="0.25">
      <c r="A7" s="668" t="s">
        <v>5962</v>
      </c>
      <c r="B7" s="19"/>
    </row>
    <row r="8" spans="1:3" x14ac:dyDescent="0.25">
      <c r="A8" s="668" t="s">
        <v>7233</v>
      </c>
      <c r="B8" s="19"/>
    </row>
    <row r="9" spans="1:3" x14ac:dyDescent="0.25">
      <c r="A9" s="668" t="s">
        <v>5964</v>
      </c>
      <c r="B9" s="19"/>
    </row>
    <row r="10" spans="1:3" x14ac:dyDescent="0.25">
      <c r="A10" s="668" t="s">
        <v>5133</v>
      </c>
      <c r="B10" s="19"/>
    </row>
    <row r="11" spans="1:3" x14ac:dyDescent="0.25">
      <c r="A11" s="668" t="s">
        <v>7272</v>
      </c>
      <c r="B11" s="19"/>
    </row>
    <row r="12" spans="1:3" x14ac:dyDescent="0.25">
      <c r="A12" s="668" t="s">
        <v>5965</v>
      </c>
      <c r="B12" s="19"/>
    </row>
    <row r="13" spans="1:3" x14ac:dyDescent="0.25">
      <c r="A13" s="668" t="s">
        <v>1322</v>
      </c>
      <c r="B13" s="19"/>
    </row>
    <row r="14" spans="1:3" x14ac:dyDescent="0.25">
      <c r="A14" s="668" t="s">
        <v>3810</v>
      </c>
      <c r="B14" s="19"/>
    </row>
    <row r="15" spans="1:3" x14ac:dyDescent="0.25">
      <c r="A15" s="668" t="s">
        <v>6534</v>
      </c>
      <c r="B15" s="19"/>
    </row>
    <row r="16" spans="1:3" x14ac:dyDescent="0.25">
      <c r="A16" s="764"/>
      <c r="B16" s="19"/>
    </row>
    <row r="17" spans="1:3" ht="15.75" x14ac:dyDescent="0.25">
      <c r="A17" s="315" t="s">
        <v>1031</v>
      </c>
      <c r="B17" s="19"/>
      <c r="C17" s="316" t="s">
        <v>1030</v>
      </c>
    </row>
    <row r="18" spans="1:3" x14ac:dyDescent="0.25">
      <c r="A18" s="313" t="s">
        <v>1325</v>
      </c>
      <c r="B18" s="19"/>
      <c r="C18" s="313" t="s">
        <v>1325</v>
      </c>
    </row>
    <row r="19" spans="1:3" x14ac:dyDescent="0.25">
      <c r="A19" s="627" t="s">
        <v>5825</v>
      </c>
      <c r="B19" s="19"/>
      <c r="C19" s="627" t="s">
        <v>468</v>
      </c>
    </row>
    <row r="20" spans="1:3" x14ac:dyDescent="0.25">
      <c r="A20" s="313" t="s">
        <v>687</v>
      </c>
      <c r="B20" s="19"/>
      <c r="C20" s="627" t="s">
        <v>6399</v>
      </c>
    </row>
    <row r="21" spans="1:3" x14ac:dyDescent="0.25">
      <c r="A21" s="314" t="s">
        <v>53</v>
      </c>
      <c r="B21" s="19"/>
      <c r="C21" s="314" t="s">
        <v>498</v>
      </c>
    </row>
    <row r="22" spans="1:3" x14ac:dyDescent="0.25">
      <c r="A22" s="627" t="s">
        <v>688</v>
      </c>
      <c r="B22" s="19"/>
      <c r="C22" s="627" t="s">
        <v>38</v>
      </c>
    </row>
    <row r="23" spans="1:3" x14ac:dyDescent="0.25">
      <c r="A23" s="313" t="s">
        <v>1326</v>
      </c>
      <c r="B23" s="19"/>
      <c r="C23" s="627" t="s">
        <v>3218</v>
      </c>
    </row>
    <row r="24" spans="1:3" x14ac:dyDescent="0.25">
      <c r="A24" s="627" t="s">
        <v>6510</v>
      </c>
      <c r="B24" s="19"/>
      <c r="C24" s="314" t="s">
        <v>3126</v>
      </c>
    </row>
    <row r="25" spans="1:3" x14ac:dyDescent="0.25">
      <c r="A25" s="627" t="s">
        <v>6511</v>
      </c>
      <c r="B25" s="19"/>
      <c r="C25" s="314" t="s">
        <v>6427</v>
      </c>
    </row>
    <row r="26" spans="1:3" x14ac:dyDescent="0.25">
      <c r="A26" s="627" t="s">
        <v>5826</v>
      </c>
      <c r="B26" s="19"/>
      <c r="C26" s="856" t="s">
        <v>687</v>
      </c>
    </row>
    <row r="27" spans="1:3" x14ac:dyDescent="0.25">
      <c r="A27" s="314" t="s">
        <v>103</v>
      </c>
      <c r="B27" s="19"/>
      <c r="C27" s="627" t="s">
        <v>4653</v>
      </c>
    </row>
    <row r="28" spans="1:3" x14ac:dyDescent="0.25">
      <c r="A28" s="314" t="s">
        <v>964</v>
      </c>
      <c r="B28" s="19"/>
      <c r="C28" s="313" t="s">
        <v>517</v>
      </c>
    </row>
    <row r="29" spans="1:3" x14ac:dyDescent="0.25">
      <c r="A29" s="314" t="s">
        <v>1327</v>
      </c>
      <c r="B29" s="19"/>
      <c r="C29" s="627" t="s">
        <v>1224</v>
      </c>
    </row>
    <row r="30" spans="1:3" x14ac:dyDescent="0.25">
      <c r="A30" s="314" t="s">
        <v>1337</v>
      </c>
      <c r="B30" s="19"/>
      <c r="C30" s="314" t="s">
        <v>1332</v>
      </c>
    </row>
    <row r="31" spans="1:3" x14ac:dyDescent="0.25">
      <c r="A31" s="627" t="s">
        <v>6512</v>
      </c>
      <c r="B31" s="19"/>
      <c r="C31" s="313" t="s">
        <v>209</v>
      </c>
    </row>
    <row r="32" spans="1:3" x14ac:dyDescent="0.25">
      <c r="A32" s="627" t="s">
        <v>6513</v>
      </c>
      <c r="B32" s="19"/>
      <c r="C32" s="314" t="s">
        <v>5128</v>
      </c>
    </row>
    <row r="33" spans="1:3" x14ac:dyDescent="0.25">
      <c r="A33" s="627" t="s">
        <v>1328</v>
      </c>
      <c r="B33" s="19"/>
      <c r="C33" s="314" t="s">
        <v>6339</v>
      </c>
    </row>
    <row r="34" spans="1:3" x14ac:dyDescent="0.25">
      <c r="A34" s="627" t="s">
        <v>38</v>
      </c>
      <c r="B34" s="19"/>
      <c r="C34" s="627" t="s">
        <v>6527</v>
      </c>
    </row>
    <row r="35" spans="1:3" x14ac:dyDescent="0.25">
      <c r="A35" s="627" t="s">
        <v>3218</v>
      </c>
      <c r="B35" s="19"/>
      <c r="C35" s="627" t="s">
        <v>6528</v>
      </c>
    </row>
    <row r="36" spans="1:3" x14ac:dyDescent="0.25">
      <c r="A36" s="313" t="s">
        <v>1329</v>
      </c>
      <c r="B36" s="19"/>
      <c r="C36" s="314" t="s">
        <v>557</v>
      </c>
    </row>
    <row r="37" spans="1:3" x14ac:dyDescent="0.25">
      <c r="A37" s="314" t="s">
        <v>800</v>
      </c>
      <c r="B37" s="19"/>
      <c r="C37" s="314" t="s">
        <v>5824</v>
      </c>
    </row>
    <row r="38" spans="1:3" x14ac:dyDescent="0.25">
      <c r="A38" s="314" t="s">
        <v>801</v>
      </c>
      <c r="B38" s="19"/>
      <c r="C38" s="627" t="s">
        <v>5829</v>
      </c>
    </row>
    <row r="39" spans="1:3" x14ac:dyDescent="0.25">
      <c r="A39" s="313" t="s">
        <v>209</v>
      </c>
      <c r="B39" s="19"/>
      <c r="C39" s="627" t="s">
        <v>607</v>
      </c>
    </row>
    <row r="40" spans="1:3" x14ac:dyDescent="0.25">
      <c r="A40" s="627" t="s">
        <v>245</v>
      </c>
      <c r="B40" s="19"/>
      <c r="C40" s="627" t="s">
        <v>1334</v>
      </c>
    </row>
    <row r="41" spans="1:3" x14ac:dyDescent="0.25">
      <c r="A41" s="627" t="s">
        <v>5827</v>
      </c>
      <c r="B41" s="19"/>
      <c r="C41" s="314" t="s">
        <v>3125</v>
      </c>
    </row>
    <row r="42" spans="1:3" x14ac:dyDescent="0.25">
      <c r="A42" s="627" t="s">
        <v>6514</v>
      </c>
      <c r="B42" s="19"/>
      <c r="C42" s="313" t="s">
        <v>267</v>
      </c>
    </row>
    <row r="43" spans="1:3" x14ac:dyDescent="0.25">
      <c r="A43" s="627" t="s">
        <v>6515</v>
      </c>
      <c r="B43" s="19"/>
      <c r="C43" s="627" t="s">
        <v>6530</v>
      </c>
    </row>
    <row r="44" spans="1:3" x14ac:dyDescent="0.25">
      <c r="A44" s="314" t="s">
        <v>5128</v>
      </c>
      <c r="B44" s="19"/>
      <c r="C44" s="627" t="s">
        <v>272</v>
      </c>
    </row>
    <row r="45" spans="1:3" x14ac:dyDescent="0.25">
      <c r="A45" s="314" t="s">
        <v>5129</v>
      </c>
      <c r="B45" s="19"/>
      <c r="C45" s="627" t="s">
        <v>3663</v>
      </c>
    </row>
    <row r="46" spans="1:3" x14ac:dyDescent="0.25">
      <c r="A46" s="314" t="s">
        <v>3811</v>
      </c>
      <c r="B46" s="19"/>
      <c r="C46" s="627" t="s">
        <v>6531</v>
      </c>
    </row>
    <row r="47" spans="1:3" x14ac:dyDescent="0.25">
      <c r="A47" s="627" t="s">
        <v>6522</v>
      </c>
      <c r="B47" s="19"/>
      <c r="C47" s="627" t="s">
        <v>3814</v>
      </c>
    </row>
    <row r="48" spans="1:3" x14ac:dyDescent="0.25">
      <c r="A48" s="627" t="s">
        <v>6523</v>
      </c>
      <c r="B48" s="19"/>
      <c r="C48" s="627" t="s">
        <v>4654</v>
      </c>
    </row>
    <row r="49" spans="1:3" x14ac:dyDescent="0.25">
      <c r="A49" s="314" t="s">
        <v>3812</v>
      </c>
      <c r="B49" s="19"/>
      <c r="C49" s="313" t="s">
        <v>1167</v>
      </c>
    </row>
    <row r="50" spans="1:3" x14ac:dyDescent="0.25">
      <c r="A50" s="313" t="s">
        <v>267</v>
      </c>
      <c r="B50" s="19"/>
      <c r="C50" s="627" t="s">
        <v>5130</v>
      </c>
    </row>
    <row r="51" spans="1:3" x14ac:dyDescent="0.25">
      <c r="A51" s="627" t="s">
        <v>6493</v>
      </c>
      <c r="B51" s="19"/>
      <c r="C51" s="314" t="s">
        <v>3346</v>
      </c>
    </row>
    <row r="52" spans="1:3" x14ac:dyDescent="0.25">
      <c r="A52" s="627" t="s">
        <v>6516</v>
      </c>
      <c r="B52" s="19"/>
      <c r="C52" s="314" t="s">
        <v>3815</v>
      </c>
    </row>
    <row r="53" spans="1:3" x14ac:dyDescent="0.25">
      <c r="A53" s="627" t="s">
        <v>274</v>
      </c>
      <c r="B53" s="19"/>
      <c r="C53" s="314" t="s">
        <v>6428</v>
      </c>
    </row>
    <row r="54" spans="1:3" x14ac:dyDescent="0.25">
      <c r="A54" s="627" t="s">
        <v>6517</v>
      </c>
      <c r="B54" s="19"/>
      <c r="C54" s="313" t="s">
        <v>1171</v>
      </c>
    </row>
    <row r="55" spans="1:3" x14ac:dyDescent="0.25">
      <c r="A55" s="627" t="s">
        <v>5828</v>
      </c>
      <c r="B55" s="19"/>
      <c r="C55" s="627" t="s">
        <v>6521</v>
      </c>
    </row>
    <row r="56" spans="1:3" x14ac:dyDescent="0.25">
      <c r="A56" s="314" t="s">
        <v>272</v>
      </c>
      <c r="B56" s="19"/>
      <c r="C56" s="313" t="s">
        <v>420</v>
      </c>
    </row>
    <row r="57" spans="1:3" x14ac:dyDescent="0.25">
      <c r="A57" s="314" t="s">
        <v>3816</v>
      </c>
      <c r="B57" s="19"/>
      <c r="C57" s="627" t="s">
        <v>6532</v>
      </c>
    </row>
    <row r="58" spans="1:3" x14ac:dyDescent="0.25">
      <c r="A58" s="627" t="s">
        <v>6518</v>
      </c>
      <c r="B58" s="19"/>
      <c r="C58" s="627" t="s">
        <v>6533</v>
      </c>
    </row>
    <row r="59" spans="1:3" x14ac:dyDescent="0.25">
      <c r="A59" s="627" t="s">
        <v>6519</v>
      </c>
      <c r="B59" s="19"/>
      <c r="C59" s="314" t="s">
        <v>649</v>
      </c>
    </row>
    <row r="60" spans="1:3" x14ac:dyDescent="0.25">
      <c r="A60" s="313" t="s">
        <v>1167</v>
      </c>
      <c r="B60" s="19"/>
      <c r="C60" s="627" t="s">
        <v>4284</v>
      </c>
    </row>
    <row r="61" spans="1:3" x14ac:dyDescent="0.25">
      <c r="A61" s="314" t="s">
        <v>1339</v>
      </c>
      <c r="B61" s="19"/>
      <c r="C61" s="627" t="s">
        <v>4288</v>
      </c>
    </row>
    <row r="62" spans="1:3" x14ac:dyDescent="0.25">
      <c r="A62" s="314" t="s">
        <v>689</v>
      </c>
      <c r="B62" s="19"/>
      <c r="C62" s="313"/>
    </row>
    <row r="63" spans="1:3" x14ac:dyDescent="0.25">
      <c r="A63" s="314" t="s">
        <v>6529</v>
      </c>
      <c r="B63" s="19"/>
      <c r="C63" s="314"/>
    </row>
    <row r="64" spans="1:3" x14ac:dyDescent="0.25">
      <c r="A64" s="314" t="s">
        <v>785</v>
      </c>
      <c r="B64" s="19"/>
    </row>
    <row r="65" spans="1:2" x14ac:dyDescent="0.25">
      <c r="A65" s="313" t="s">
        <v>1171</v>
      </c>
      <c r="B65" s="19"/>
    </row>
    <row r="66" spans="1:2" x14ac:dyDescent="0.25">
      <c r="A66" s="314" t="s">
        <v>3813</v>
      </c>
      <c r="B66" s="19"/>
    </row>
    <row r="67" spans="1:2" x14ac:dyDescent="0.25">
      <c r="A67" s="627" t="s">
        <v>6520</v>
      </c>
      <c r="B67" s="19"/>
    </row>
    <row r="68" spans="1:2" x14ac:dyDescent="0.25">
      <c r="A68" s="314" t="s">
        <v>1486</v>
      </c>
      <c r="B68" s="19"/>
    </row>
    <row r="69" spans="1:2" x14ac:dyDescent="0.25">
      <c r="A69" s="627" t="s">
        <v>6521</v>
      </c>
      <c r="B69" s="19"/>
    </row>
    <row r="70" spans="1:2" x14ac:dyDescent="0.25">
      <c r="A70" s="313" t="s">
        <v>4391</v>
      </c>
      <c r="B70" s="19"/>
    </row>
    <row r="71" spans="1:2" x14ac:dyDescent="0.25">
      <c r="A71" s="314" t="s">
        <v>4652</v>
      </c>
      <c r="B71" s="19"/>
    </row>
    <row r="72" spans="1:2" x14ac:dyDescent="0.25">
      <c r="A72" s="314" t="s">
        <v>4392</v>
      </c>
      <c r="B72" s="19"/>
    </row>
    <row r="73" spans="1:2" x14ac:dyDescent="0.25">
      <c r="A73" s="314" t="s">
        <v>4393</v>
      </c>
      <c r="B73" s="19"/>
    </row>
    <row r="74" spans="1:2" x14ac:dyDescent="0.25">
      <c r="A74" s="313" t="s">
        <v>1330</v>
      </c>
      <c r="B74" s="19"/>
    </row>
    <row r="75" spans="1:2" x14ac:dyDescent="0.25">
      <c r="A75" s="314" t="s">
        <v>1331</v>
      </c>
      <c r="B75" s="19"/>
    </row>
    <row r="76" spans="1:2" x14ac:dyDescent="0.25">
      <c r="A76" s="314" t="s">
        <v>457</v>
      </c>
      <c r="B76" s="19"/>
    </row>
    <row r="77" spans="1:2" x14ac:dyDescent="0.25">
      <c r="A77" s="313" t="s">
        <v>420</v>
      </c>
      <c r="B77" s="19"/>
    </row>
    <row r="78" spans="1:2" x14ac:dyDescent="0.25">
      <c r="A78" s="314" t="s">
        <v>3603</v>
      </c>
      <c r="B78" s="19"/>
    </row>
    <row r="79" spans="1:2" x14ac:dyDescent="0.25">
      <c r="A79" s="627" t="s">
        <v>690</v>
      </c>
      <c r="B79" s="19"/>
    </row>
    <row r="80" spans="1:2" x14ac:dyDescent="0.25">
      <c r="A80" s="313" t="s">
        <v>56</v>
      </c>
      <c r="B80" s="19"/>
    </row>
    <row r="81" spans="1:2" x14ac:dyDescent="0.25">
      <c r="A81" s="314" t="s">
        <v>466</v>
      </c>
      <c r="B81" s="19"/>
    </row>
    <row r="82" spans="1:2" x14ac:dyDescent="0.25">
      <c r="A82" s="627" t="s">
        <v>6524</v>
      </c>
      <c r="B82" s="19"/>
    </row>
    <row r="83" spans="1:2" x14ac:dyDescent="0.25">
      <c r="A83" s="627" t="s">
        <v>6967</v>
      </c>
      <c r="B83" s="19"/>
    </row>
    <row r="84" spans="1:2" x14ac:dyDescent="0.25">
      <c r="A84" s="25"/>
      <c r="B84" s="19"/>
    </row>
    <row r="85" spans="1:2" x14ac:dyDescent="0.25">
      <c r="A85" s="32" t="s">
        <v>6525</v>
      </c>
      <c r="B85" s="19"/>
    </row>
    <row r="86" spans="1:2" x14ac:dyDescent="0.25">
      <c r="A86" t="s">
        <v>6526</v>
      </c>
      <c r="B86" s="19"/>
    </row>
    <row r="87" spans="1:2" x14ac:dyDescent="0.25">
      <c r="B87" s="19"/>
    </row>
    <row r="88" spans="1:2" x14ac:dyDescent="0.25">
      <c r="B88" s="19"/>
    </row>
    <row r="89" spans="1:2" x14ac:dyDescent="0.25">
      <c r="B89" s="19"/>
    </row>
    <row r="90" spans="1:2" x14ac:dyDescent="0.25">
      <c r="B90" s="19"/>
    </row>
    <row r="91" spans="1:2" x14ac:dyDescent="0.25">
      <c r="B91" s="19"/>
    </row>
    <row r="92" spans="1:2" x14ac:dyDescent="0.25">
      <c r="B92" s="19"/>
    </row>
    <row r="93" spans="1:2" x14ac:dyDescent="0.25">
      <c r="B93" s="19"/>
    </row>
    <row r="94" spans="1:2" x14ac:dyDescent="0.25">
      <c r="B94" s="19"/>
    </row>
    <row r="95" spans="1:2" x14ac:dyDescent="0.25">
      <c r="B95" s="19"/>
    </row>
    <row r="96" spans="1:2" x14ac:dyDescent="0.25">
      <c r="B96" s="19"/>
    </row>
    <row r="97" spans="2:2" x14ac:dyDescent="0.25">
      <c r="B97" s="19"/>
    </row>
    <row r="98" spans="2:2" x14ac:dyDescent="0.25">
      <c r="B98" s="19"/>
    </row>
    <row r="99" spans="2:2" x14ac:dyDescent="0.25">
      <c r="B99" s="19"/>
    </row>
    <row r="100" spans="2:2" x14ac:dyDescent="0.25">
      <c r="B100" s="19"/>
    </row>
    <row r="101" spans="2:2" x14ac:dyDescent="0.25">
      <c r="B101" s="19"/>
    </row>
    <row r="102" spans="2:2" x14ac:dyDescent="0.25">
      <c r="B102" s="19"/>
    </row>
    <row r="103" spans="2:2" x14ac:dyDescent="0.25">
      <c r="B103" s="19"/>
    </row>
    <row r="104" spans="2:2" x14ac:dyDescent="0.25">
      <c r="B104" s="19"/>
    </row>
    <row r="105" spans="2:2" x14ac:dyDescent="0.25">
      <c r="B105" s="19"/>
    </row>
    <row r="106" spans="2:2" x14ac:dyDescent="0.25">
      <c r="B106" s="19"/>
    </row>
    <row r="107" spans="2:2" x14ac:dyDescent="0.25">
      <c r="B107" s="19"/>
    </row>
    <row r="108" spans="2:2" x14ac:dyDescent="0.25">
      <c r="B108" s="19"/>
    </row>
    <row r="109" spans="2:2" x14ac:dyDescent="0.25">
      <c r="B109" s="19"/>
    </row>
    <row r="110" spans="2:2" x14ac:dyDescent="0.25">
      <c r="B110" s="19"/>
    </row>
  </sheetData>
  <sheetProtection algorithmName="SHA-512" hashValue="388yu822YUAx7iPJBh0kIVAzS7+QlpoPdMPLvmIbpNFP5QYcWhboM+NFpwJ0w118VviSKZNGpmVeigIGQ018NQ==" saltValue="Z2hn+JlEwVmW33ptlSBqbw==" spinCount="100000" sheet="1" objects="1" scenarios="1"/>
  <mergeCells count="1">
    <mergeCell ref="A1:C1"/>
  </mergeCells>
  <hyperlinks>
    <hyperlink ref="A6" location="'Introduction'!A1" display="Introduction" xr:uid="{00000000-0004-0000-0200-000000000000}"/>
    <hyperlink ref="A7" location="'Signatures'!A1" display="Signatures" xr:uid="{00000000-0004-0000-0200-000001000000}"/>
    <hyperlink ref="A8" location="'Glossary'!A1" display="Glossary" xr:uid="{00000000-0004-0000-0200-000002000000}"/>
    <hyperlink ref="A10" location="'Key Metrics'!A1" display="Key Metrics" xr:uid="{00000000-0004-0000-0200-000003000000}"/>
    <hyperlink ref="A12" location="'Master EUL'!A1" display="Master EUL" xr:uid="{00000000-0004-0000-0200-000004000000}"/>
    <hyperlink ref="A13" location="'Savings Factors'!A1" display="Savings Factors" xr:uid="{00000000-0004-0000-0200-000005000000}"/>
    <hyperlink ref="A14" location="'EFLH &amp; CF'!A1" display="EFLH &amp; CF*" xr:uid="{00000000-0004-0000-0200-000006000000}"/>
    <hyperlink ref="A15" location="'Custom'!A1" display="Custom" xr:uid="{00000000-0004-0000-0200-000007000000}"/>
    <hyperlink ref="A19" location="'C_Appliance_Refrigerator'!A1" display="C_Appliance_Refrigerator" xr:uid="{00000000-0004-0000-0200-000008000000}"/>
    <hyperlink ref="A21" location="'C_BEnvelope_Cool Roof'!A1" display="C_BEnvelope_Cool Roof" xr:uid="{00000000-0004-0000-0200-000009000000}"/>
    <hyperlink ref="A22" location="'C_BEnvelope_Window Film'!A1" display="C_BEnvelope_Window Film" xr:uid="{00000000-0004-0000-0200-00000A000000}"/>
    <hyperlink ref="A24" location="'C_Kitchen_Combination Oven'!A1" display="C_Kitchen_Combination Oven" xr:uid="{00000000-0004-0000-0200-00000B000000}"/>
    <hyperlink ref="A25" location="'C_Kitchen_Convection Oven'!A1" display="C_Kitchen_Convection Oven" xr:uid="{00000000-0004-0000-0200-00000C000000}"/>
    <hyperlink ref="A26" location="'C_Kitchen_DCV'!A1" display="C_Kitchen_DCV" xr:uid="{00000000-0004-0000-0200-00000D000000}"/>
    <hyperlink ref="A27" location="'C_Kitchen_Electric Griddle'!A1" display="C_Kitchen_Electric Griddle" xr:uid="{00000000-0004-0000-0200-00000E000000}"/>
    <hyperlink ref="A28" location="'C_Kitchen_Electric Steam Cooker'!A1" display="C_Kitchen_Electric Steam Cooker" xr:uid="{00000000-0004-0000-0200-00000F000000}"/>
    <hyperlink ref="A29" location="'C_Kitchen_Fryer'!A1" display="C_Kitchen_Fryer" xr:uid="{00000000-0004-0000-0200-000010000000}"/>
    <hyperlink ref="A30" location="'C_Kitchen_HF Holding Cabinet'!A1" display="C_Kitchen_HF Holding Cabinet" xr:uid="{00000000-0004-0000-0200-000011000000}"/>
    <hyperlink ref="A31" location="'C_Kitchen_Ice Machine'!A1" display="C_Kitchen_Ice Machine" xr:uid="{00000000-0004-0000-0200-000012000000}"/>
    <hyperlink ref="A32" location="'C_Kitchen_LF Spray Nozzle'!A1" display="C_Kitchen_LF Spray Nozzle" xr:uid="{00000000-0004-0000-0200-000013000000}"/>
    <hyperlink ref="A33" location="'C_Kitchen_Freezer'!A1" display="C_Kitchen_Freezer" xr:uid="{00000000-0004-0000-0200-000014000000}"/>
    <hyperlink ref="A34" location="'C_Kitchen_Refrigerator'!A1" display="C_Kitchen_Refrigerator" xr:uid="{00000000-0004-0000-0200-000015000000}"/>
    <hyperlink ref="A37" location="'C_ESG_Design Assistance'!A1" display="C_ESG_Design Assistance" xr:uid="{00000000-0004-0000-0200-000016000000}"/>
    <hyperlink ref="A38" location="'C_ESG_Energy Study'!A1" display="C_ESG_Energy Study" xr:uid="{00000000-0004-0000-0200-000017000000}"/>
    <hyperlink ref="A40" location="'C_HVAC_Chiller'!A1" display="C_HVAC_Chiller" xr:uid="{00000000-0004-0000-0200-000018000000}"/>
    <hyperlink ref="A41" location="'C_HVAC_Chiller_WKST'!A1" display="C_HVAC_Chiller_WKST" xr:uid="{00000000-0004-0000-0200-000019000000}"/>
    <hyperlink ref="A42" location="'C_HVAC_AC &amp; Heat Pump'!A1" display="C_HVAC_AC &amp; Heat Pump" xr:uid="{00000000-0004-0000-0200-00001A000000}"/>
    <hyperlink ref="A46" location="'C_HVAC_VFD Water Pump'!A1" display="C_HVAC_VFD Water Pump" xr:uid="{00000000-0004-0000-0200-00001B000000}"/>
    <hyperlink ref="A47" location="'C_HVAC_VRF'!A1" display="C_HVAC_VRF" xr:uid="{00000000-0004-0000-0200-00001C000000}"/>
    <hyperlink ref="A49" location="'C_HVAC_EMS'!A1" display="C_HVAC_EMS" xr:uid="{00000000-0004-0000-0200-00001D000000}"/>
    <hyperlink ref="A51" location="C_Light_General!A1" display="General" xr:uid="{00000000-0004-0000-0200-00001E000000}"/>
    <hyperlink ref="A54" location="'C_Light_Dimmable(Nonlinear LED)'!A1" display="C_Light_Dimmable(Nonlinear LED)" xr:uid="{00000000-0004-0000-0200-00001F000000}"/>
    <hyperlink ref="A55" location="'C_Lighting_Refrigerated Case'!A1" display="Refrigerated Case Light" xr:uid="{00000000-0004-0000-0200-000020000000}"/>
    <hyperlink ref="A56" location="'C_Light_Occupancy Sensor'!A1" display="C_Light_Occupancy Sensor" xr:uid="{00000000-0004-0000-0200-000021000000}"/>
    <hyperlink ref="A57" location="'C_Light_Stairwell Bi-Level'!A1" display="C_Light_Stairwell Bi-Level" xr:uid="{00000000-0004-0000-0200-000022000000}"/>
    <hyperlink ref="A59" location="'C_Light_Energy Advantage'!A1" display="C_Light_Energy Advantage" xr:uid="{00000000-0004-0000-0200-000023000000}"/>
    <hyperlink ref="A61" location="'C_PlugProcess_ASH Control'!A1" display="C_PlugProcess_ASH Control" xr:uid="{00000000-0004-0000-0200-000024000000}"/>
    <hyperlink ref="A62" location="'C_PlugProcess_Vending Miser'!A1" display="C_PlugProcess_Vending Miser" xr:uid="{00000000-0004-0000-0200-000025000000}"/>
    <hyperlink ref="A63" location="'C_PlugProcess_Water Cooler Tmr'!A1" display="WCT" xr:uid="{00000000-0004-0000-0200-000026000000}"/>
    <hyperlink ref="A64" location="'C_PlugProcess_Case Night Cover'!A1" display="C_PlugProcess_Case Night Cover" xr:uid="{00000000-0004-0000-0200-000027000000}"/>
    <hyperlink ref="A66" location="'C_PumpMotor_VFD Booster Pump'!A1" display="Variable Frequency Drive Booster Pump" xr:uid="{00000000-0004-0000-0200-000028000000}"/>
    <hyperlink ref="A67" location="'C_PumpMotor_ECM'!A1" display="C_PumpMotor_ECM" xr:uid="{00000000-0004-0000-0200-000029000000}"/>
    <hyperlink ref="A69" location="'C_PumpMotor_VFD Pool Pump'!A1" display="C_PumpMotor_VFD Pool Pump" xr:uid="{00000000-0004-0000-0200-00002A000000}"/>
    <hyperlink ref="A75" location="'C_SubMeter_Condominium'!A1" display="C_SubMeter_Condominium" xr:uid="{00000000-0004-0000-0200-00002B000000}"/>
    <hyperlink ref="A76" location="'C_SubMeter_Small Business'!A1" display="C_SubMeter_Small Business" xr:uid="{00000000-0004-0000-0200-00002C000000}"/>
    <hyperlink ref="A78" location="'C_WH_Solar'!A1" display="C_WH_Solar" xr:uid="{00000000-0004-0000-0200-00002D000000}"/>
    <hyperlink ref="A81" location="'C_Other_Re|Retro-Commissioning'!A1" display="C_Other_Re|Retro-Commissioning" xr:uid="{00000000-0004-0000-0200-00002E000000}"/>
    <hyperlink ref="C19" location="'R_Appliance_Clothes Washer'!A1" display="R_Appliance_Clothes Washer" xr:uid="{00000000-0004-0000-0200-00002F000000}"/>
    <hyperlink ref="C21" location="'R_Appliance_Clothes Dryer'!A1" display="R_Appliance_Clothes Dryer" xr:uid="{00000000-0004-0000-0200-000030000000}"/>
    <hyperlink ref="C22" location="'R_Appliance_Refrigerator'!A1" display="R_Appliance_Refrigerator" xr:uid="{00000000-0004-0000-0200-000031000000}"/>
    <hyperlink ref="C29" location="'R_Electronics_Television'!A1" display="R_Electronics_Television" xr:uid="{00000000-0004-0000-0200-000032000000}"/>
    <hyperlink ref="C30" location="'R_Electronics_Soundbar'!A1" display="R_Electronics_Soundbar" xr:uid="{00000000-0004-0000-0200-000033000000}"/>
    <hyperlink ref="C32" location="'R_HVAC_Window AC'!A1" display="R_HVAC_Window AC" xr:uid="{00000000-0004-0000-0200-000034000000}"/>
    <hyperlink ref="C36" location="'R_HVAC_Central AC Tune Up'!A1" display="R_HVAC_Central AC Tune Up" xr:uid="{00000000-0004-0000-0200-000037000000}"/>
    <hyperlink ref="C37" location="'R_HVAC_Ceiling Fan'!A1" display="R_HVAC_Ceiling Fan" xr:uid="{00000000-0004-0000-0200-000038000000}"/>
    <hyperlink ref="C39" location="'R_HVAC_Solar Attic Fan'!A1" display="R_HVAC_Solar Attic Fan" xr:uid="{00000000-0004-0000-0200-000039000000}"/>
    <hyperlink ref="C40" location="'R_HVAC_Whole House Fan'!A1" display="R_HVAC_Whole House Fan" xr:uid="{00000000-0004-0000-0200-00003A000000}"/>
    <hyperlink ref="C43" location="'R_Light_LED'!A1" display="R_Light_LED" xr:uid="{00000000-0004-0000-0200-00003B000000}"/>
    <hyperlink ref="C44" location="'R_Light_Occupancy Sensor'!A1" display="R_Light_Occupancy Sensor" xr:uid="{00000000-0004-0000-0200-00003C000000}"/>
    <hyperlink ref="C50" location="'R_PlugProcess_Adv Power Strip'!A1" display="R_PlugProcess_Adv Power Strip" xr:uid="{00000000-0004-0000-0200-00003D000000}"/>
    <hyperlink ref="C55" location="'R_PumpMotor_VFD Pool Pump'!A1" display="R_PumpMotor_VFD Pool Pump" xr:uid="{00000000-0004-0000-0200-00003E000000}"/>
    <hyperlink ref="C57" location="'R_WH_Heat Pump'!A1" display="R_WH_Heat Pump" xr:uid="{00000000-0004-0000-0200-00003F000000}"/>
    <hyperlink ref="C58" location="'R_WH_SWH'!A1" display="R_WH_SWH" xr:uid="{00000000-0004-0000-0200-000040000000}"/>
    <hyperlink ref="C59" location="'R_WH_SWH Tune Up'!A1" display="R_WH_SWH Tune Up" xr:uid="{00000000-0004-0000-0200-000041000000}"/>
    <hyperlink ref="C60" location="'R_WH_Faucet Aerator'!A1" display="R_WH_Faucet Aerator" xr:uid="{00000000-0004-0000-0200-000042000000}"/>
    <hyperlink ref="C61" location="R_WH_LFShowerhead!A1" display="Low-Flow Showerhead*" xr:uid="{00000000-0004-0000-0200-000043000000}"/>
    <hyperlink ref="C38" location="'R_HVAC_Smart Thermostat'!A1" display="R_Smart Thermostat" xr:uid="{00000000-0004-0000-0200-000044000000}"/>
    <hyperlink ref="A68" location="'C_PumpMotor_PE Motor'!A1" display="Premium Efficiency Motors" xr:uid="{00000000-0004-0000-0200-000045000000}"/>
    <hyperlink ref="A53" location="C_Light_Exterior!A1" display="Exterior" xr:uid="{00000000-0004-0000-0200-000046000000}"/>
    <hyperlink ref="A48" location="C_HVAC_VRF_WKST!A1" display="C_HVAC_VRF_WKST" xr:uid="{00000000-0004-0000-0200-000047000000}"/>
    <hyperlink ref="A4" location="'Cover Page'!A1" display="Cover Page*" xr:uid="{00000000-0004-0000-0200-00004A000000}"/>
    <hyperlink ref="C24" location="'R_Appliance_Air Purifier'!A1" display="Air Purifier" xr:uid="{00000000-0004-0000-0200-00004B000000}"/>
    <hyperlink ref="C41" location="R_HVAC_Dehumidifier!A1" display="Dehumidifier" xr:uid="{00000000-0004-0000-0200-00004C000000}"/>
    <hyperlink ref="C51" location="'R_PlugProcess_Switch Plug'!A1" display="Switch Plug*" xr:uid="{00000000-0004-0000-0200-00004D000000}"/>
    <hyperlink ref="C52" location="R_PlugProcess_Switch_Plug_CALC!A1" display="Switch Plug Calculation*" xr:uid="{00000000-0004-0000-0200-00004E000000}"/>
    <hyperlink ref="C23" location="R_Appliance_Dishwasher!A1" display="Dishwasher*" xr:uid="{00000000-0004-0000-0200-00004F000000}"/>
    <hyperlink ref="C45" location="'R_Light_Linear LED'!A1" display="Linear LED" xr:uid="{00000000-0004-0000-0200-000050000000}"/>
    <hyperlink ref="C46" location="'R_Light_Security Light'!A1" display="Security Light" xr:uid="{00000000-0004-0000-0200-000051000000}"/>
    <hyperlink ref="C47" location="'R_Light_Holiday String Light'!A1" display="Holiday String Light" xr:uid="{00000000-0004-0000-0200-000052000000}"/>
    <hyperlink ref="A44" location="'C_HVAC_Window AC'!A1" display="Window AC *(New)*" xr:uid="{00000000-0004-0000-0200-000053000000}"/>
    <hyperlink ref="A45" location="C_HVAC_WindowAC_WKST!A1" display="Window AC Worksheet *(New)*" xr:uid="{00000000-0004-0000-0200-000054000000}"/>
    <hyperlink ref="A9" location="'C&amp;S Tracking'!A1" display="Codes &amp; Standards Tracking *(New)*" xr:uid="{00000000-0004-0000-0200-000055000000}"/>
    <hyperlink ref="A71" location="'C_Refrig_Evap Motor Control'!A1" display="Evaporator Fan Motor Controls" xr:uid="{00000000-0004-0000-0200-000056000000}"/>
    <hyperlink ref="A72" location="'C_Refrig_Add Case Doors'!A1" display="Adding Doors to Refrigerated Cases" xr:uid="{00000000-0004-0000-0200-000057000000}"/>
    <hyperlink ref="A73" location="'C_Refrig_FHP Control'!A1" display="Floating Head Pressure Controls" xr:uid="{00000000-0004-0000-0200-000058000000}"/>
    <hyperlink ref="A43" location="C_HVAC_AC_HP_WKST!A1" display="AC &amp; Heat Pump Worksheet*" xr:uid="{00000000-0004-0000-0200-000059000000}"/>
    <hyperlink ref="C27" location="'R_BEnvelope_Cool Wall'!A1" display="Cool Wall *(New)*" xr:uid="{00000000-0004-0000-0200-00005A000000}"/>
    <hyperlink ref="C48" location="'R_Light_Solar Tube'!A1" display="Solar Light Tube *(New)*" xr:uid="{00000000-0004-0000-0200-00005B000000}"/>
    <hyperlink ref="A79" location="'C_WH_Heat Pump'!A1" display="Heat Pump Water Heater *(New)*" xr:uid="{00000000-0004-0000-0200-00005C000000}"/>
    <hyperlink ref="A35" location="C_Kitchen_Dishwasher!A1" display="Dishwasher *(New)*" xr:uid="{00000000-0004-0000-0200-00005E000000}"/>
    <hyperlink ref="A52" location="'C_Light_Downlight Retrofit'!A1" display="Downlight Retrofit *(New)*" xr:uid="{00000000-0004-0000-0200-00005F000000}"/>
    <hyperlink ref="C33" location="R_HVAC_Ductless!A1" display="Ductless Split Systems" xr:uid="{AF6770E2-64E3-4402-B99F-3BD6A23A1EF5}"/>
    <hyperlink ref="C34" location="R_HVAC_AC_WKST!A1" display="AC Worksheet *" xr:uid="{EBF519FB-5C83-4982-9FE4-6EDE7941ECFA}"/>
    <hyperlink ref="C35" location="'R_HVAC_Central AC Retrofit'!A1" display="Central AC Retrofit *" xr:uid="{D430E18B-96A0-4205-B23D-6C0AE52711EA}"/>
    <hyperlink ref="A5" location="'Changes from PY22'!A1" display="Changes from PY22 *" xr:uid="{D8AAFB90-E0F6-453C-B048-49BEEE9ADDBF}"/>
    <hyperlink ref="C20" location="'R_Appliance_Heat Pump Dryer'!A1" display="Heat Pump Clothes Dryer *(New)*" xr:uid="{56712E17-5A05-4472-AA2F-34D2DDE0660B}"/>
    <hyperlink ref="C25" location="'R_Appliance_Induction Cooktop'!A1" display="Induction Cooktop *(New)*" xr:uid="{149D27D1-26EA-4EBF-8FDB-6AE00F8CF9D3}"/>
    <hyperlink ref="C53" location="'R_PlugProcess_EV Charger'!A1" display="EV Charger *(New)*" xr:uid="{CD6AAE80-5CCC-41EA-B746-C2222C8AC0B5}"/>
    <hyperlink ref="A58" location="C_Light_Horticulture!A1" display="Horticulture Lighting *(New)*" xr:uid="{8B8048A5-60C0-425E-8501-0440B4D4AEF5}"/>
    <hyperlink ref="A82" location="C_Other_Transformer!A1" display="Distribution Transformer *(New)*" xr:uid="{E2571B41-5F1E-484D-A807-077D9C8F688C}"/>
    <hyperlink ref="A83" location="C_Other_Transformer_WKST!A1" display="Transformer Worksheet *(New)*" xr:uid="{A4F3EB14-9FA9-4323-BB28-123526D9BCD9}"/>
    <hyperlink ref="A11" location="'PY25-PY27 Avoided Costs'!A1" display="PY25-PY27 Avoided Costs *(New)*" xr:uid="{1184BA28-0CE3-4C63-AE45-A909EC279DEF}"/>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8168889431442"/>
    <pageSetUpPr autoPageBreaks="0"/>
  </sheetPr>
  <dimension ref="A1:AF295"/>
  <sheetViews>
    <sheetView workbookViewId="0">
      <selection sqref="A1:AF1"/>
    </sheetView>
  </sheetViews>
  <sheetFormatPr defaultColWidth="2.7109375" defaultRowHeight="15" x14ac:dyDescent="0.25"/>
  <cols>
    <col min="1" max="32" width="2.7109375" style="1"/>
  </cols>
  <sheetData>
    <row r="1" spans="1:32" ht="18.75" x14ac:dyDescent="0.25">
      <c r="A1" s="1464" t="s">
        <v>5369</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655"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262"/>
      <c r="B5" s="1589" t="s">
        <v>5370</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2" x14ac:dyDescent="0.25">
      <c r="A6" s="262"/>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row>
    <row r="7" spans="1:32" ht="15" customHeight="1"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25">
      <c r="B9" s="1475" t="s">
        <v>10</v>
      </c>
      <c r="C9" s="1475"/>
      <c r="D9" s="1475"/>
      <c r="E9" s="1475"/>
      <c r="F9" s="1475"/>
      <c r="G9" s="1475"/>
      <c r="H9" s="1475"/>
      <c r="I9" s="1475"/>
    </row>
    <row r="10" spans="1:32" ht="126" customHeight="1" x14ac:dyDescent="0.25">
      <c r="B10" s="1247" t="s">
        <v>5371</v>
      </c>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c r="AE10" s="1247"/>
      <c r="AF10" s="1247"/>
    </row>
    <row r="12" spans="1:32" x14ac:dyDescent="0.25">
      <c r="B12" s="1475" t="s">
        <v>11</v>
      </c>
      <c r="C12" s="1475"/>
      <c r="D12" s="1475"/>
      <c r="E12" s="1475"/>
      <c r="F12" s="1475"/>
      <c r="G12" s="1475"/>
      <c r="H12" s="1475"/>
      <c r="I12" s="1475"/>
    </row>
    <row r="13" spans="1:32" ht="92.25" customHeight="1" x14ac:dyDescent="0.25">
      <c r="A13" s="4"/>
      <c r="B13" s="1247" t="s">
        <v>5372</v>
      </c>
      <c r="C13" s="1247"/>
      <c r="D13" s="1247"/>
      <c r="E13" s="1247"/>
      <c r="F13" s="1247"/>
      <c r="G13" s="1247"/>
      <c r="H13" s="1247"/>
      <c r="I13" s="1247"/>
      <c r="J13" s="1247"/>
      <c r="K13" s="1247"/>
      <c r="L13" s="1247"/>
      <c r="M13" s="1247"/>
      <c r="N13" s="1247"/>
      <c r="O13" s="1247"/>
      <c r="P13" s="1247"/>
      <c r="Q13" s="1247"/>
      <c r="R13" s="1247"/>
      <c r="S13" s="1247"/>
      <c r="T13" s="1247"/>
      <c r="U13" s="1247"/>
      <c r="V13" s="1247"/>
      <c r="W13" s="1247"/>
      <c r="X13" s="1247"/>
      <c r="Y13" s="1247"/>
      <c r="Z13" s="1247"/>
      <c r="AA13" s="1247"/>
      <c r="AB13" s="1247"/>
      <c r="AC13" s="1247"/>
      <c r="AD13" s="1247"/>
      <c r="AE13" s="1247"/>
      <c r="AF13" s="1247"/>
    </row>
    <row r="15" spans="1:32" x14ac:dyDescent="0.25">
      <c r="B15" s="1475" t="s">
        <v>12</v>
      </c>
      <c r="C15" s="1475"/>
      <c r="D15" s="1475"/>
      <c r="E15" s="1475"/>
      <c r="F15" s="1475"/>
      <c r="G15" s="1475"/>
      <c r="H15" s="1475"/>
      <c r="I15" s="1475"/>
    </row>
    <row r="16" spans="1:32" x14ac:dyDescent="0.25">
      <c r="B16" s="1473" t="s">
        <v>5373</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row>
    <row r="18" spans="1:32" x14ac:dyDescent="0.25">
      <c r="B18" s="1475" t="s">
        <v>13</v>
      </c>
      <c r="C18" s="1475"/>
      <c r="D18" s="1475"/>
      <c r="E18" s="1475"/>
      <c r="F18" s="1475"/>
      <c r="G18" s="1475"/>
      <c r="H18" s="1475"/>
      <c r="I18" s="1475"/>
    </row>
    <row r="19" spans="1:32" x14ac:dyDescent="0.25">
      <c r="A19" s="4"/>
      <c r="B19" s="1247" t="s">
        <v>5374</v>
      </c>
      <c r="C19" s="1247"/>
      <c r="D19" s="1247"/>
      <c r="E19" s="1247"/>
      <c r="F19" s="1247"/>
      <c r="G19" s="1247"/>
      <c r="H19" s="1247"/>
      <c r="I19" s="1247"/>
      <c r="J19" s="1247"/>
      <c r="K19" s="1247"/>
      <c r="L19" s="1247"/>
      <c r="M19" s="1247"/>
      <c r="N19" s="1247"/>
      <c r="O19" s="1247"/>
      <c r="P19" s="1247"/>
      <c r="Q19" s="1247"/>
      <c r="R19" s="1247"/>
      <c r="S19" s="1247"/>
      <c r="T19" s="1247"/>
      <c r="U19" s="1247"/>
      <c r="V19" s="1247"/>
      <c r="W19" s="1247"/>
      <c r="X19" s="1247"/>
      <c r="Y19" s="1247"/>
      <c r="Z19" s="1247"/>
      <c r="AA19" s="1247"/>
      <c r="AB19" s="1247"/>
      <c r="AC19" s="1247"/>
      <c r="AD19" s="1247"/>
      <c r="AE19" s="1247"/>
      <c r="AF19" s="1247"/>
    </row>
    <row r="21" spans="1:32" x14ac:dyDescent="0.25">
      <c r="B21" s="171" t="s">
        <v>20</v>
      </c>
      <c r="C21" s="171"/>
      <c r="D21" s="171"/>
      <c r="E21" s="171"/>
      <c r="F21" s="171"/>
      <c r="G21" s="171"/>
      <c r="H21" s="171"/>
      <c r="I21" s="171"/>
    </row>
    <row r="22" spans="1:32" ht="30.75" customHeight="1" x14ac:dyDescent="0.25">
      <c r="B22" s="1247" t="s">
        <v>5375</v>
      </c>
      <c r="C22" s="1247"/>
      <c r="D22" s="1247"/>
      <c r="E22" s="1247"/>
      <c r="F22" s="1247"/>
      <c r="G22" s="1247"/>
      <c r="H22" s="1247"/>
      <c r="I22" s="1247"/>
      <c r="J22" s="1247"/>
      <c r="K22" s="1247"/>
      <c r="L22" s="1247"/>
      <c r="M22" s="1247"/>
      <c r="N22" s="1247"/>
      <c r="O22" s="1247"/>
      <c r="P22" s="1247"/>
      <c r="Q22" s="1247"/>
      <c r="R22" s="1247"/>
      <c r="S22" s="1247"/>
      <c r="T22" s="1247"/>
      <c r="U22" s="1247"/>
      <c r="V22" s="1247"/>
      <c r="W22" s="1247"/>
      <c r="X22" s="1247"/>
      <c r="Y22" s="1247"/>
      <c r="Z22" s="1247"/>
      <c r="AA22" s="1247"/>
      <c r="AB22" s="1247"/>
      <c r="AC22" s="1247"/>
      <c r="AD22" s="1247"/>
      <c r="AE22" s="1247"/>
      <c r="AF22" s="1247"/>
    </row>
    <row r="25" spans="1:32" x14ac:dyDescent="0.25">
      <c r="A25" s="1472" t="s">
        <v>14</v>
      </c>
      <c r="B25" s="1472"/>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row>
    <row r="27" spans="1:32" x14ac:dyDescent="0.25">
      <c r="B27" s="379" t="s">
        <v>2194</v>
      </c>
    </row>
    <row r="29" spans="1:32" x14ac:dyDescent="0.25">
      <c r="AF29" s="713" t="s">
        <v>1705</v>
      </c>
    </row>
    <row r="30" spans="1:32" x14ac:dyDescent="0.25">
      <c r="AF30" s="188"/>
    </row>
    <row r="31" spans="1:32" x14ac:dyDescent="0.25">
      <c r="C31" s="1" t="s">
        <v>5376</v>
      </c>
      <c r="AF31" s="188"/>
    </row>
    <row r="32" spans="1:32" x14ac:dyDescent="0.25">
      <c r="AF32" s="188"/>
    </row>
    <row r="33" spans="32:32" x14ac:dyDescent="0.25">
      <c r="AF33" s="471" t="s">
        <v>1706</v>
      </c>
    </row>
    <row r="34" spans="32:32" x14ac:dyDescent="0.25">
      <c r="AF34" s="188"/>
    </row>
    <row r="35" spans="32:32" x14ac:dyDescent="0.25">
      <c r="AF35" s="471" t="s">
        <v>1707</v>
      </c>
    </row>
    <row r="36" spans="32:32" x14ac:dyDescent="0.25">
      <c r="AF36" s="188"/>
    </row>
    <row r="37" spans="32:32" x14ac:dyDescent="0.25">
      <c r="AF37" s="1988" t="s">
        <v>1756</v>
      </c>
    </row>
    <row r="38" spans="32:32" x14ac:dyDescent="0.25">
      <c r="AF38" s="1988"/>
    </row>
    <row r="39" spans="32:32" x14ac:dyDescent="0.25">
      <c r="AF39" s="188"/>
    </row>
    <row r="40" spans="32:32" x14ac:dyDescent="0.25">
      <c r="AF40" s="1988" t="s">
        <v>1788</v>
      </c>
    </row>
    <row r="41" spans="32:32" x14ac:dyDescent="0.25">
      <c r="AF41" s="1988"/>
    </row>
    <row r="42" spans="32:32" x14ac:dyDescent="0.25">
      <c r="AF42" s="1988"/>
    </row>
    <row r="43" spans="32:32" x14ac:dyDescent="0.25">
      <c r="AF43" s="188"/>
    </row>
    <row r="44" spans="32:32" x14ac:dyDescent="0.25">
      <c r="AF44" s="1988" t="s">
        <v>1789</v>
      </c>
    </row>
    <row r="45" spans="32:32" x14ac:dyDescent="0.25">
      <c r="AF45" s="1988"/>
    </row>
    <row r="46" spans="32:32" x14ac:dyDescent="0.25">
      <c r="AF46" s="188"/>
    </row>
    <row r="47" spans="32:32" x14ac:dyDescent="0.25">
      <c r="AF47" s="1988" t="s">
        <v>1826</v>
      </c>
    </row>
    <row r="48" spans="32:32" x14ac:dyDescent="0.25">
      <c r="AF48" s="1988"/>
    </row>
    <row r="49" spans="2:32" x14ac:dyDescent="0.25">
      <c r="AF49" s="1988"/>
    </row>
    <row r="50" spans="2:32" x14ac:dyDescent="0.25">
      <c r="AF50" s="188"/>
    </row>
    <row r="51" spans="2:32" x14ac:dyDescent="0.25">
      <c r="AF51" s="1988" t="s">
        <v>1827</v>
      </c>
    </row>
    <row r="52" spans="2:32" x14ac:dyDescent="0.25">
      <c r="AF52" s="1988"/>
    </row>
    <row r="53" spans="2:32" x14ac:dyDescent="0.25">
      <c r="AF53" s="471"/>
    </row>
    <row r="54" spans="2:32" x14ac:dyDescent="0.25">
      <c r="AF54" s="1988" t="s">
        <v>2116</v>
      </c>
    </row>
    <row r="55" spans="2:32" x14ac:dyDescent="0.25">
      <c r="AF55" s="1988"/>
    </row>
    <row r="56" spans="2:32" x14ac:dyDescent="0.25">
      <c r="AF56" s="1988"/>
    </row>
    <row r="58" spans="2:32" x14ac:dyDescent="0.25">
      <c r="B58" s="379" t="s">
        <v>2303</v>
      </c>
    </row>
    <row r="60" spans="2:32" x14ac:dyDescent="0.25">
      <c r="AF60" s="471" t="s">
        <v>2118</v>
      </c>
    </row>
    <row r="61" spans="2:32" x14ac:dyDescent="0.25">
      <c r="AF61" s="188"/>
    </row>
    <row r="62" spans="2:32" x14ac:dyDescent="0.25">
      <c r="B62" s="379" t="s">
        <v>1998</v>
      </c>
      <c r="AF62" s="188"/>
    </row>
    <row r="63" spans="2:32" x14ac:dyDescent="0.25">
      <c r="B63" s="379"/>
      <c r="AF63" s="188"/>
    </row>
    <row r="64" spans="2:32" x14ac:dyDescent="0.25">
      <c r="B64" s="379"/>
      <c r="AF64" s="713" t="s">
        <v>2119</v>
      </c>
    </row>
    <row r="65" spans="1:32" x14ac:dyDescent="0.25">
      <c r="B65" s="379"/>
    </row>
    <row r="66" spans="1:32" x14ac:dyDescent="0.25">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x14ac:dyDescent="0.25">
      <c r="A67" s="1472" t="s">
        <v>15</v>
      </c>
      <c r="B67" s="1472"/>
      <c r="C67" s="1472"/>
      <c r="D67" s="1472"/>
      <c r="E67" s="1472"/>
      <c r="F67" s="1472"/>
      <c r="G67" s="1472"/>
      <c r="H67" s="1472"/>
      <c r="I67" s="1472"/>
      <c r="J67" s="1472"/>
      <c r="K67" s="1472"/>
      <c r="L67" s="1472"/>
      <c r="M67" s="1472"/>
      <c r="N67" s="1472"/>
      <c r="O67" s="1472"/>
      <c r="P67" s="1472"/>
      <c r="Q67" s="1472"/>
      <c r="R67" s="1472"/>
      <c r="S67" s="1472"/>
      <c r="T67" s="1472"/>
      <c r="U67" s="1472"/>
      <c r="V67" s="1472"/>
      <c r="W67" s="1472"/>
      <c r="X67" s="1472"/>
      <c r="Y67" s="1472"/>
      <c r="Z67" s="1472"/>
      <c r="AA67" s="1472"/>
      <c r="AB67" s="1472"/>
      <c r="AC67" s="1472"/>
      <c r="AD67" s="1472"/>
      <c r="AE67" s="1472"/>
      <c r="AF67" s="1472"/>
    </row>
    <row r="68" spans="1:32" x14ac:dyDescent="0.25">
      <c r="A68" s="1514" t="s">
        <v>16</v>
      </c>
      <c r="B68" s="1905"/>
      <c r="C68" s="1905"/>
      <c r="D68" s="1905"/>
      <c r="E68" s="1906"/>
      <c r="F68" s="1514" t="s">
        <v>10</v>
      </c>
      <c r="G68" s="1907"/>
      <c r="H68" s="1907"/>
      <c r="I68" s="1907"/>
      <c r="J68" s="1907"/>
      <c r="K68" s="1907"/>
      <c r="L68" s="1907"/>
      <c r="M68" s="1907"/>
      <c r="N68" s="1907"/>
      <c r="O68" s="1907"/>
      <c r="P68" s="1908"/>
      <c r="Q68" s="1474" t="s">
        <v>17</v>
      </c>
      <c r="R68" s="1474"/>
      <c r="S68" s="1474"/>
      <c r="T68" s="1474"/>
      <c r="U68" s="1909" t="s">
        <v>18</v>
      </c>
      <c r="V68" s="1910"/>
      <c r="W68" s="1911"/>
      <c r="X68" s="1514" t="s">
        <v>1708</v>
      </c>
      <c r="Y68" s="1907"/>
      <c r="Z68" s="1907"/>
      <c r="AA68" s="1907"/>
      <c r="AB68" s="1907"/>
      <c r="AC68" s="1907"/>
      <c r="AD68" s="1907"/>
      <c r="AE68" s="1907"/>
      <c r="AF68" s="1908"/>
    </row>
    <row r="69" spans="1:32" ht="45" customHeight="1" x14ac:dyDescent="0.25">
      <c r="A69" s="1135" t="s">
        <v>2339</v>
      </c>
      <c r="B69" s="1912"/>
      <c r="C69" s="1912"/>
      <c r="D69" s="1912"/>
      <c r="E69" s="1912"/>
      <c r="F69" s="1135" t="s">
        <v>5377</v>
      </c>
      <c r="G69" s="1912"/>
      <c r="H69" s="1912"/>
      <c r="I69" s="1912"/>
      <c r="J69" s="1912"/>
      <c r="K69" s="1912"/>
      <c r="L69" s="1912"/>
      <c r="M69" s="1912"/>
      <c r="N69" s="1912"/>
      <c r="O69" s="1912"/>
      <c r="P69" s="1912"/>
      <c r="Q69" s="1482" t="s">
        <v>5522</v>
      </c>
      <c r="R69" s="1483"/>
      <c r="S69" s="1483"/>
      <c r="T69" s="1484"/>
      <c r="U69" s="1913" t="s">
        <v>49</v>
      </c>
      <c r="V69" s="1913"/>
      <c r="W69" s="1508"/>
      <c r="X69" s="1479" t="s">
        <v>5378</v>
      </c>
      <c r="Y69" s="1914"/>
      <c r="Z69" s="1914"/>
      <c r="AA69" s="1914"/>
      <c r="AB69" s="1914"/>
      <c r="AC69" s="1914"/>
      <c r="AD69" s="1914"/>
      <c r="AE69" s="1914"/>
      <c r="AF69" s="1915"/>
    </row>
    <row r="70" spans="1:32" ht="45" customHeight="1" x14ac:dyDescent="0.25">
      <c r="A70" s="1135" t="s">
        <v>5379</v>
      </c>
      <c r="B70" s="1912"/>
      <c r="C70" s="1912"/>
      <c r="D70" s="1912"/>
      <c r="E70" s="1912"/>
      <c r="F70" s="1135" t="s">
        <v>5380</v>
      </c>
      <c r="G70" s="1912"/>
      <c r="H70" s="1912"/>
      <c r="I70" s="1912"/>
      <c r="J70" s="1912"/>
      <c r="K70" s="1912"/>
      <c r="L70" s="1912"/>
      <c r="M70" s="1912"/>
      <c r="N70" s="1912"/>
      <c r="O70" s="1912"/>
      <c r="P70" s="1912"/>
      <c r="Q70" s="1482" t="s">
        <v>5522</v>
      </c>
      <c r="R70" s="1483"/>
      <c r="S70" s="1483"/>
      <c r="T70" s="1484"/>
      <c r="U70" s="1913" t="s">
        <v>49</v>
      </c>
      <c r="V70" s="1913"/>
      <c r="W70" s="1508"/>
      <c r="X70" s="1479" t="s">
        <v>5378</v>
      </c>
      <c r="Y70" s="1914"/>
      <c r="Z70" s="1914"/>
      <c r="AA70" s="1914"/>
      <c r="AB70" s="1914"/>
      <c r="AC70" s="1914"/>
      <c r="AD70" s="1914"/>
      <c r="AE70" s="1914"/>
      <c r="AF70" s="1915"/>
    </row>
    <row r="71" spans="1:32" ht="45" customHeight="1" x14ac:dyDescent="0.25">
      <c r="A71" s="1135" t="s">
        <v>5381</v>
      </c>
      <c r="B71" s="1912"/>
      <c r="C71" s="1912"/>
      <c r="D71" s="1912"/>
      <c r="E71" s="1912"/>
      <c r="F71" s="1135" t="s">
        <v>5382</v>
      </c>
      <c r="G71" s="1912"/>
      <c r="H71" s="1912"/>
      <c r="I71" s="1912"/>
      <c r="J71" s="1912"/>
      <c r="K71" s="1912"/>
      <c r="L71" s="1912"/>
      <c r="M71" s="1912"/>
      <c r="N71" s="1912"/>
      <c r="O71" s="1912"/>
      <c r="P71" s="1912"/>
      <c r="Q71" s="1482" t="s">
        <v>43</v>
      </c>
      <c r="R71" s="1483"/>
      <c r="S71" s="1483"/>
      <c r="T71" s="1484"/>
      <c r="U71" s="1913" t="s">
        <v>49</v>
      </c>
      <c r="V71" s="1913"/>
      <c r="W71" s="1508"/>
      <c r="X71" s="1479" t="s">
        <v>5378</v>
      </c>
      <c r="Y71" s="1914"/>
      <c r="Z71" s="1914"/>
      <c r="AA71" s="1914"/>
      <c r="AB71" s="1914"/>
      <c r="AC71" s="1914"/>
      <c r="AD71" s="1914"/>
      <c r="AE71" s="1914"/>
      <c r="AF71" s="1915"/>
    </row>
    <row r="72" spans="1:32" ht="45" customHeight="1" x14ac:dyDescent="0.25">
      <c r="A72" s="1135" t="s">
        <v>5383</v>
      </c>
      <c r="B72" s="1912"/>
      <c r="C72" s="1912"/>
      <c r="D72" s="1912"/>
      <c r="E72" s="1912"/>
      <c r="F72" s="1135" t="s">
        <v>5384</v>
      </c>
      <c r="G72" s="1912"/>
      <c r="H72" s="1912"/>
      <c r="I72" s="1912"/>
      <c r="J72" s="1912"/>
      <c r="K72" s="1912"/>
      <c r="L72" s="1912"/>
      <c r="M72" s="1912"/>
      <c r="N72" s="1912"/>
      <c r="O72" s="1912"/>
      <c r="P72" s="1912"/>
      <c r="Q72" s="1482" t="s">
        <v>43</v>
      </c>
      <c r="R72" s="1483"/>
      <c r="S72" s="1483"/>
      <c r="T72" s="1484"/>
      <c r="U72" s="1913" t="s">
        <v>49</v>
      </c>
      <c r="V72" s="1913"/>
      <c r="W72" s="1508"/>
      <c r="X72" s="1479" t="s">
        <v>5378</v>
      </c>
      <c r="Y72" s="1914"/>
      <c r="Z72" s="1914"/>
      <c r="AA72" s="1914"/>
      <c r="AB72" s="1914"/>
      <c r="AC72" s="1914"/>
      <c r="AD72" s="1914"/>
      <c r="AE72" s="1914"/>
      <c r="AF72" s="1915"/>
    </row>
    <row r="73" spans="1:32" ht="45" customHeight="1" x14ac:dyDescent="0.25">
      <c r="A73" s="1135" t="s">
        <v>5385</v>
      </c>
      <c r="B73" s="1912"/>
      <c r="C73" s="1912"/>
      <c r="D73" s="1912"/>
      <c r="E73" s="1912"/>
      <c r="F73" s="1135" t="s">
        <v>5386</v>
      </c>
      <c r="G73" s="1912"/>
      <c r="H73" s="1912"/>
      <c r="I73" s="1912"/>
      <c r="J73" s="1912"/>
      <c r="K73" s="1912"/>
      <c r="L73" s="1912"/>
      <c r="M73" s="1912"/>
      <c r="N73" s="1912"/>
      <c r="O73" s="1912"/>
      <c r="P73" s="1912"/>
      <c r="Q73" s="1482" t="s">
        <v>43</v>
      </c>
      <c r="R73" s="1483"/>
      <c r="S73" s="1483"/>
      <c r="T73" s="1484"/>
      <c r="U73" s="1913" t="s">
        <v>49</v>
      </c>
      <c r="V73" s="1913"/>
      <c r="W73" s="1508"/>
      <c r="X73" s="1479" t="s">
        <v>5378</v>
      </c>
      <c r="Y73" s="1914"/>
      <c r="Z73" s="1914"/>
      <c r="AA73" s="1914"/>
      <c r="AB73" s="1914"/>
      <c r="AC73" s="1914"/>
      <c r="AD73" s="1914"/>
      <c r="AE73" s="1914"/>
      <c r="AF73" s="1915"/>
    </row>
    <row r="74" spans="1:32" ht="45" customHeight="1" x14ac:dyDescent="0.25">
      <c r="A74" s="1916" t="s">
        <v>5524</v>
      </c>
      <c r="B74" s="1916"/>
      <c r="C74" s="1916"/>
      <c r="D74" s="1916"/>
      <c r="E74" s="1916"/>
      <c r="F74" s="1135" t="s">
        <v>5387</v>
      </c>
      <c r="G74" s="1912"/>
      <c r="H74" s="1912"/>
      <c r="I74" s="1912"/>
      <c r="J74" s="1912"/>
      <c r="K74" s="1912"/>
      <c r="L74" s="1912"/>
      <c r="M74" s="1912"/>
      <c r="N74" s="1912"/>
      <c r="O74" s="1912"/>
      <c r="P74" s="1912"/>
      <c r="Q74" s="1482" t="s">
        <v>43</v>
      </c>
      <c r="R74" s="1483"/>
      <c r="S74" s="1483"/>
      <c r="T74" s="1484"/>
      <c r="U74" s="1913" t="s">
        <v>49</v>
      </c>
      <c r="V74" s="1913"/>
      <c r="W74" s="1508"/>
      <c r="X74" s="1479" t="s">
        <v>5378</v>
      </c>
      <c r="Y74" s="1914"/>
      <c r="Z74" s="1914"/>
      <c r="AA74" s="1914"/>
      <c r="AB74" s="1914"/>
      <c r="AC74" s="1914"/>
      <c r="AD74" s="1914"/>
      <c r="AE74" s="1914"/>
      <c r="AF74" s="1915"/>
    </row>
    <row r="75" spans="1:32" ht="45" customHeight="1" x14ac:dyDescent="0.25">
      <c r="A75" s="1135" t="s">
        <v>5388</v>
      </c>
      <c r="B75" s="1912"/>
      <c r="C75" s="1912"/>
      <c r="D75" s="1912"/>
      <c r="E75" s="1912"/>
      <c r="F75" s="1135" t="s">
        <v>5389</v>
      </c>
      <c r="G75" s="1912"/>
      <c r="H75" s="1912"/>
      <c r="I75" s="1912"/>
      <c r="J75" s="1912"/>
      <c r="K75" s="1912"/>
      <c r="L75" s="1912"/>
      <c r="M75" s="1912"/>
      <c r="N75" s="1912"/>
      <c r="O75" s="1912"/>
      <c r="P75" s="1912"/>
      <c r="Q75" s="1482" t="s">
        <v>43</v>
      </c>
      <c r="R75" s="1483"/>
      <c r="S75" s="1483"/>
      <c r="T75" s="1484"/>
      <c r="U75" s="1913" t="s">
        <v>49</v>
      </c>
      <c r="V75" s="1913"/>
      <c r="W75" s="1508"/>
      <c r="X75" s="1479" t="s">
        <v>5378</v>
      </c>
      <c r="Y75" s="1914"/>
      <c r="Z75" s="1914"/>
      <c r="AA75" s="1914"/>
      <c r="AB75" s="1914"/>
      <c r="AC75" s="1914"/>
      <c r="AD75" s="1914"/>
      <c r="AE75" s="1914"/>
      <c r="AF75" s="1915"/>
    </row>
    <row r="76" spans="1:32" ht="45" customHeight="1" x14ac:dyDescent="0.25">
      <c r="A76" s="1135" t="s">
        <v>5390</v>
      </c>
      <c r="B76" s="1912"/>
      <c r="C76" s="1912"/>
      <c r="D76" s="1912"/>
      <c r="E76" s="1912"/>
      <c r="F76" s="1135" t="s">
        <v>5391</v>
      </c>
      <c r="G76" s="1912"/>
      <c r="H76" s="1912"/>
      <c r="I76" s="1912"/>
      <c r="J76" s="1912"/>
      <c r="K76" s="1912"/>
      <c r="L76" s="1912"/>
      <c r="M76" s="1912"/>
      <c r="N76" s="1912"/>
      <c r="O76" s="1912"/>
      <c r="P76" s="1912"/>
      <c r="Q76" s="1482" t="s">
        <v>43</v>
      </c>
      <c r="R76" s="1483"/>
      <c r="S76" s="1483"/>
      <c r="T76" s="1484"/>
      <c r="U76" s="1913" t="s">
        <v>49</v>
      </c>
      <c r="V76" s="1913"/>
      <c r="W76" s="1508"/>
      <c r="X76" s="1479" t="s">
        <v>5378</v>
      </c>
      <c r="Y76" s="1914"/>
      <c r="Z76" s="1914"/>
      <c r="AA76" s="1914"/>
      <c r="AB76" s="1914"/>
      <c r="AC76" s="1914"/>
      <c r="AD76" s="1914"/>
      <c r="AE76" s="1914"/>
      <c r="AF76" s="1915"/>
    </row>
    <row r="77" spans="1:32" ht="45" customHeight="1" x14ac:dyDescent="0.25">
      <c r="A77" s="1135" t="s">
        <v>5392</v>
      </c>
      <c r="B77" s="1912"/>
      <c r="C77" s="1912"/>
      <c r="D77" s="1912"/>
      <c r="E77" s="1912"/>
      <c r="F77" s="1135" t="s">
        <v>5393</v>
      </c>
      <c r="G77" s="1912"/>
      <c r="H77" s="1912"/>
      <c r="I77" s="1912"/>
      <c r="J77" s="1912"/>
      <c r="K77" s="1912"/>
      <c r="L77" s="1912"/>
      <c r="M77" s="1912"/>
      <c r="N77" s="1912"/>
      <c r="O77" s="1912"/>
      <c r="P77" s="1912"/>
      <c r="Q77" s="1482" t="s">
        <v>326</v>
      </c>
      <c r="R77" s="1907"/>
      <c r="S77" s="1907"/>
      <c r="T77" s="1908"/>
      <c r="U77" s="1913" t="s">
        <v>5394</v>
      </c>
      <c r="V77" s="1913"/>
      <c r="W77" s="1508"/>
      <c r="X77" s="1479" t="s">
        <v>5378</v>
      </c>
      <c r="Y77" s="1914"/>
      <c r="Z77" s="1914"/>
      <c r="AA77" s="1914"/>
      <c r="AB77" s="1914"/>
      <c r="AC77" s="1914"/>
      <c r="AD77" s="1914"/>
      <c r="AE77" s="1914"/>
      <c r="AF77" s="1915"/>
    </row>
    <row r="78" spans="1:32" ht="45" customHeight="1" x14ac:dyDescent="0.25">
      <c r="A78" s="1916" t="s">
        <v>5525</v>
      </c>
      <c r="B78" s="1916"/>
      <c r="C78" s="1916"/>
      <c r="D78" s="1916"/>
      <c r="E78" s="1916"/>
      <c r="F78" s="1135" t="s">
        <v>5395</v>
      </c>
      <c r="G78" s="1912"/>
      <c r="H78" s="1912"/>
      <c r="I78" s="1912"/>
      <c r="J78" s="1912"/>
      <c r="K78" s="1912"/>
      <c r="L78" s="1912"/>
      <c r="M78" s="1912"/>
      <c r="N78" s="1912"/>
      <c r="O78" s="1912"/>
      <c r="P78" s="1912"/>
      <c r="Q78" s="1482" t="s">
        <v>326</v>
      </c>
      <c r="R78" s="1907"/>
      <c r="S78" s="1907"/>
      <c r="T78" s="1908"/>
      <c r="U78" s="1913" t="s">
        <v>5394</v>
      </c>
      <c r="V78" s="1913"/>
      <c r="W78" s="1508"/>
      <c r="X78" s="1479" t="s">
        <v>5378</v>
      </c>
      <c r="Y78" s="1914"/>
      <c r="Z78" s="1914"/>
      <c r="AA78" s="1914"/>
      <c r="AB78" s="1914"/>
      <c r="AC78" s="1914"/>
      <c r="AD78" s="1914"/>
      <c r="AE78" s="1914"/>
      <c r="AF78" s="1915"/>
    </row>
    <row r="79" spans="1:32" ht="80.25" customHeight="1" x14ac:dyDescent="0.25">
      <c r="A79" s="1135" t="s">
        <v>5396</v>
      </c>
      <c r="B79" s="1912"/>
      <c r="C79" s="1912"/>
      <c r="D79" s="1912"/>
      <c r="E79" s="1912"/>
      <c r="F79" s="1480" t="s">
        <v>5397</v>
      </c>
      <c r="G79" s="1914"/>
      <c r="H79" s="1914"/>
      <c r="I79" s="1914"/>
      <c r="J79" s="1914"/>
      <c r="K79" s="1914"/>
      <c r="L79" s="1914"/>
      <c r="M79" s="1914"/>
      <c r="N79" s="1914"/>
      <c r="O79" s="1914"/>
      <c r="P79" s="1915"/>
      <c r="Q79" s="1482" t="s">
        <v>4410</v>
      </c>
      <c r="R79" s="1907"/>
      <c r="S79" s="1907"/>
      <c r="T79" s="1908"/>
      <c r="U79" s="1913" t="s">
        <v>5528</v>
      </c>
      <c r="V79" s="1913"/>
      <c r="W79" s="1508"/>
      <c r="X79" s="1479" t="s">
        <v>5398</v>
      </c>
      <c r="Y79" s="1914"/>
      <c r="Z79" s="1914"/>
      <c r="AA79" s="1914"/>
      <c r="AB79" s="1914"/>
      <c r="AC79" s="1914"/>
      <c r="AD79" s="1914"/>
      <c r="AE79" s="1914"/>
      <c r="AF79" s="1915"/>
    </row>
    <row r="80" spans="1:32" ht="63" customHeight="1" x14ac:dyDescent="0.25">
      <c r="A80" s="1135" t="s">
        <v>72</v>
      </c>
      <c r="B80" s="1912"/>
      <c r="C80" s="1912"/>
      <c r="D80" s="1912"/>
      <c r="E80" s="1912"/>
      <c r="F80" s="1480" t="s">
        <v>5399</v>
      </c>
      <c r="G80" s="1914"/>
      <c r="H80" s="1914"/>
      <c r="I80" s="1914"/>
      <c r="J80" s="1914"/>
      <c r="K80" s="1914"/>
      <c r="L80" s="1914"/>
      <c r="M80" s="1914"/>
      <c r="N80" s="1914"/>
      <c r="O80" s="1914"/>
      <c r="P80" s="1915"/>
      <c r="Q80" s="1733">
        <v>365</v>
      </c>
      <c r="R80" s="1917"/>
      <c r="S80" s="1917"/>
      <c r="T80" s="1918"/>
      <c r="U80" s="1913" t="s">
        <v>74</v>
      </c>
      <c r="V80" s="1913"/>
      <c r="W80" s="1508"/>
      <c r="X80" s="1479" t="s">
        <v>5400</v>
      </c>
      <c r="Y80" s="1914"/>
      <c r="Z80" s="1914"/>
      <c r="AA80" s="1914"/>
      <c r="AB80" s="1914"/>
      <c r="AC80" s="1914"/>
      <c r="AD80" s="1914"/>
      <c r="AE80" s="1914"/>
      <c r="AF80" s="1915"/>
    </row>
    <row r="81" spans="1:32" ht="111.75" customHeight="1" x14ac:dyDescent="0.25">
      <c r="A81" s="1919" t="s">
        <v>5401</v>
      </c>
      <c r="B81" s="1912"/>
      <c r="C81" s="1912"/>
      <c r="D81" s="1912"/>
      <c r="E81" s="1912"/>
      <c r="F81" s="1480" t="s">
        <v>5402</v>
      </c>
      <c r="G81" s="1914"/>
      <c r="H81" s="1914"/>
      <c r="I81" s="1914"/>
      <c r="J81" s="1914"/>
      <c r="K81" s="1914"/>
      <c r="L81" s="1914"/>
      <c r="M81" s="1914"/>
      <c r="N81" s="1914"/>
      <c r="O81" s="1914"/>
      <c r="P81" s="1915"/>
      <c r="Q81" s="1733">
        <v>65</v>
      </c>
      <c r="R81" s="1917"/>
      <c r="S81" s="1917"/>
      <c r="T81" s="1918"/>
      <c r="U81" s="1913" t="s">
        <v>5403</v>
      </c>
      <c r="V81" s="1913"/>
      <c r="W81" s="1508"/>
      <c r="X81" s="1479" t="s">
        <v>5404</v>
      </c>
      <c r="Y81" s="1914"/>
      <c r="Z81" s="1914"/>
      <c r="AA81" s="1914"/>
      <c r="AB81" s="1914"/>
      <c r="AC81" s="1914"/>
      <c r="AD81" s="1914"/>
      <c r="AE81" s="1914"/>
      <c r="AF81" s="1915"/>
    </row>
    <row r="82" spans="1:32" ht="45" customHeight="1" x14ac:dyDescent="0.25">
      <c r="A82" s="1919" t="s">
        <v>5405</v>
      </c>
      <c r="B82" s="1912"/>
      <c r="C82" s="1912"/>
      <c r="D82" s="1912"/>
      <c r="E82" s="1912"/>
      <c r="F82" s="1480" t="s">
        <v>5406</v>
      </c>
      <c r="G82" s="1914"/>
      <c r="H82" s="1914"/>
      <c r="I82" s="1914"/>
      <c r="J82" s="1914"/>
      <c r="K82" s="1914"/>
      <c r="L82" s="1914"/>
      <c r="M82" s="1914"/>
      <c r="N82" s="1914"/>
      <c r="O82" s="1914"/>
      <c r="P82" s="1915"/>
      <c r="Q82" s="1733">
        <v>40</v>
      </c>
      <c r="R82" s="1917"/>
      <c r="S82" s="1917"/>
      <c r="T82" s="1918"/>
      <c r="U82" s="1913" t="s">
        <v>5403</v>
      </c>
      <c r="V82" s="1913"/>
      <c r="W82" s="1508"/>
      <c r="X82" s="1479" t="s">
        <v>5378</v>
      </c>
      <c r="Y82" s="1914"/>
      <c r="Z82" s="1914"/>
      <c r="AA82" s="1914"/>
      <c r="AB82" s="1914"/>
      <c r="AC82" s="1914"/>
      <c r="AD82" s="1914"/>
      <c r="AE82" s="1914"/>
      <c r="AF82" s="1915"/>
    </row>
    <row r="83" spans="1:32" ht="45" customHeight="1" x14ac:dyDescent="0.25">
      <c r="A83" s="1135" t="s">
        <v>5407</v>
      </c>
      <c r="B83" s="1912"/>
      <c r="C83" s="1912"/>
      <c r="D83" s="1912"/>
      <c r="E83" s="1912"/>
      <c r="F83" s="1480" t="s">
        <v>5408</v>
      </c>
      <c r="G83" s="1914"/>
      <c r="H83" s="1914"/>
      <c r="I83" s="1914"/>
      <c r="J83" s="1914"/>
      <c r="K83" s="1914"/>
      <c r="L83" s="1914"/>
      <c r="M83" s="1914"/>
      <c r="N83" s="1914"/>
      <c r="O83" s="1914"/>
      <c r="P83" s="1915"/>
      <c r="Q83" s="1482">
        <v>1</v>
      </c>
      <c r="R83" s="1907"/>
      <c r="S83" s="1907"/>
      <c r="T83" s="1908"/>
      <c r="U83" s="1913" t="s">
        <v>5409</v>
      </c>
      <c r="V83" s="1920"/>
      <c r="W83" s="1920"/>
      <c r="X83" s="1479" t="s">
        <v>5378</v>
      </c>
      <c r="Y83" s="1914"/>
      <c r="Z83" s="1914"/>
      <c r="AA83" s="1914"/>
      <c r="AB83" s="1914"/>
      <c r="AC83" s="1914"/>
      <c r="AD83" s="1914"/>
      <c r="AE83" s="1914"/>
      <c r="AF83" s="1915"/>
    </row>
    <row r="84" spans="1:32" ht="66.75" customHeight="1" x14ac:dyDescent="0.25">
      <c r="A84" s="1919" t="s">
        <v>1713</v>
      </c>
      <c r="B84" s="1912"/>
      <c r="C84" s="1912"/>
      <c r="D84" s="1912"/>
      <c r="E84" s="1912"/>
      <c r="F84" s="1480" t="s">
        <v>1714</v>
      </c>
      <c r="G84" s="1914"/>
      <c r="H84" s="1914"/>
      <c r="I84" s="1914"/>
      <c r="J84" s="1914"/>
      <c r="K84" s="1914"/>
      <c r="L84" s="1914"/>
      <c r="M84" s="1914"/>
      <c r="N84" s="1914"/>
      <c r="O84" s="1914"/>
      <c r="P84" s="1915"/>
      <c r="Q84" s="1482">
        <v>8.1999999999999993</v>
      </c>
      <c r="R84" s="1907"/>
      <c r="S84" s="1907"/>
      <c r="T84" s="1908"/>
      <c r="U84" s="1913" t="s">
        <v>5410</v>
      </c>
      <c r="V84" s="1913"/>
      <c r="W84" s="1508"/>
      <c r="X84" s="1479" t="s">
        <v>5411</v>
      </c>
      <c r="Y84" s="1914"/>
      <c r="Z84" s="1914"/>
      <c r="AA84" s="1914"/>
      <c r="AB84" s="1914"/>
      <c r="AC84" s="1914"/>
      <c r="AD84" s="1914"/>
      <c r="AE84" s="1914"/>
      <c r="AF84" s="1915"/>
    </row>
    <row r="85" spans="1:32" ht="76.5" customHeight="1" x14ac:dyDescent="0.25">
      <c r="A85" s="1135" t="s">
        <v>5412</v>
      </c>
      <c r="B85" s="1912"/>
      <c r="C85" s="1912"/>
      <c r="D85" s="1912"/>
      <c r="E85" s="1912"/>
      <c r="F85" s="1480" t="s">
        <v>5413</v>
      </c>
      <c r="G85" s="1914"/>
      <c r="H85" s="1914"/>
      <c r="I85" s="1914"/>
      <c r="J85" s="1914"/>
      <c r="K85" s="1914"/>
      <c r="L85" s="1914"/>
      <c r="M85" s="1914"/>
      <c r="N85" s="1914"/>
      <c r="O85" s="1914"/>
      <c r="P85" s="1915"/>
      <c r="Q85" s="1733">
        <v>12</v>
      </c>
      <c r="R85" s="1917"/>
      <c r="S85" s="1917"/>
      <c r="T85" s="1918"/>
      <c r="U85" s="1913" t="s">
        <v>33</v>
      </c>
      <c r="V85" s="1913"/>
      <c r="W85" s="1508"/>
      <c r="X85" s="1479" t="s">
        <v>5398</v>
      </c>
      <c r="Y85" s="1914"/>
      <c r="Z85" s="1914"/>
      <c r="AA85" s="1914"/>
      <c r="AB85" s="1914"/>
      <c r="AC85" s="1914"/>
      <c r="AD85" s="1914"/>
      <c r="AE85" s="1914"/>
      <c r="AF85" s="1915"/>
    </row>
    <row r="86" spans="1:32" ht="45" customHeight="1" x14ac:dyDescent="0.25">
      <c r="A86" s="1135" t="s">
        <v>5414</v>
      </c>
      <c r="B86" s="1912"/>
      <c r="C86" s="1912"/>
      <c r="D86" s="1912"/>
      <c r="E86" s="1912"/>
      <c r="F86" s="1135" t="s">
        <v>5415</v>
      </c>
      <c r="G86" s="1912"/>
      <c r="H86" s="1912"/>
      <c r="I86" s="1912"/>
      <c r="J86" s="1912"/>
      <c r="K86" s="1912"/>
      <c r="L86" s="1912"/>
      <c r="M86" s="1912"/>
      <c r="N86" s="1912"/>
      <c r="O86" s="1912"/>
      <c r="P86" s="1912"/>
      <c r="Q86" s="1482" t="s">
        <v>5416</v>
      </c>
      <c r="R86" s="1483"/>
      <c r="S86" s="1483"/>
      <c r="T86" s="1484"/>
      <c r="U86" s="1913" t="s">
        <v>30</v>
      </c>
      <c r="V86" s="1913"/>
      <c r="W86" s="1508"/>
      <c r="X86" s="1479" t="s">
        <v>5378</v>
      </c>
      <c r="Y86" s="1914"/>
      <c r="Z86" s="1914"/>
      <c r="AA86" s="1914"/>
      <c r="AB86" s="1914"/>
      <c r="AC86" s="1914"/>
      <c r="AD86" s="1914"/>
      <c r="AE86" s="1914"/>
      <c r="AF86" s="1915"/>
    </row>
    <row r="87" spans="1:32" ht="45" customHeight="1" x14ac:dyDescent="0.25">
      <c r="A87" s="1135" t="s">
        <v>5417</v>
      </c>
      <c r="B87" s="1912"/>
      <c r="C87" s="1912"/>
      <c r="D87" s="1912"/>
      <c r="E87" s="1912"/>
      <c r="F87" s="1135" t="s">
        <v>5418</v>
      </c>
      <c r="G87" s="1912"/>
      <c r="H87" s="1912"/>
      <c r="I87" s="1912"/>
      <c r="J87" s="1912"/>
      <c r="K87" s="1912"/>
      <c r="L87" s="1912"/>
      <c r="M87" s="1912"/>
      <c r="N87" s="1912"/>
      <c r="O87" s="1912"/>
      <c r="P87" s="1912"/>
      <c r="Q87" s="1482" t="s">
        <v>5416</v>
      </c>
      <c r="R87" s="1483"/>
      <c r="S87" s="1483"/>
      <c r="T87" s="1484"/>
      <c r="U87" s="1913" t="s">
        <v>30</v>
      </c>
      <c r="V87" s="1913"/>
      <c r="W87" s="1508"/>
      <c r="X87" s="1479" t="s">
        <v>5378</v>
      </c>
      <c r="Y87" s="1914"/>
      <c r="Z87" s="1914"/>
      <c r="AA87" s="1914"/>
      <c r="AB87" s="1914"/>
      <c r="AC87" s="1914"/>
      <c r="AD87" s="1914"/>
      <c r="AE87" s="1914"/>
      <c r="AF87" s="1915"/>
    </row>
    <row r="88" spans="1:32" ht="45" customHeight="1" x14ac:dyDescent="0.25">
      <c r="A88" s="1135" t="s">
        <v>3600</v>
      </c>
      <c r="B88" s="1912"/>
      <c r="C88" s="1912"/>
      <c r="D88" s="1912"/>
      <c r="E88" s="1912"/>
      <c r="F88" s="1480" t="s">
        <v>5419</v>
      </c>
      <c r="G88" s="1914"/>
      <c r="H88" s="1914"/>
      <c r="I88" s="1914"/>
      <c r="J88" s="1914"/>
      <c r="K88" s="1914"/>
      <c r="L88" s="1914"/>
      <c r="M88" s="1914"/>
      <c r="N88" s="1914"/>
      <c r="O88" s="1914"/>
      <c r="P88" s="1915"/>
      <c r="Q88" s="1733">
        <v>3412</v>
      </c>
      <c r="R88" s="1917"/>
      <c r="S88" s="1917"/>
      <c r="T88" s="1918"/>
      <c r="U88" s="1913" t="s">
        <v>5420</v>
      </c>
      <c r="V88" s="1913"/>
      <c r="W88" s="1508"/>
      <c r="X88" s="1479"/>
      <c r="Y88" s="1914"/>
      <c r="Z88" s="1914"/>
      <c r="AA88" s="1914"/>
      <c r="AB88" s="1914"/>
      <c r="AC88" s="1914"/>
      <c r="AD88" s="1914"/>
      <c r="AE88" s="1914"/>
      <c r="AF88" s="1915"/>
    </row>
    <row r="89" spans="1:32" ht="45" customHeight="1" x14ac:dyDescent="0.25">
      <c r="A89" s="1135" t="s">
        <v>5421</v>
      </c>
      <c r="B89" s="1912"/>
      <c r="C89" s="1912"/>
      <c r="D89" s="1912"/>
      <c r="E89" s="1912"/>
      <c r="F89" s="1135" t="s">
        <v>5422</v>
      </c>
      <c r="G89" s="1912"/>
      <c r="H89" s="1912"/>
      <c r="I89" s="1912"/>
      <c r="J89" s="1912"/>
      <c r="K89" s="1912"/>
      <c r="L89" s="1912"/>
      <c r="M89" s="1912"/>
      <c r="N89" s="1912"/>
      <c r="O89" s="1912"/>
      <c r="P89" s="1912"/>
      <c r="Q89" s="1482" t="s">
        <v>4975</v>
      </c>
      <c r="R89" s="1907"/>
      <c r="S89" s="1907"/>
      <c r="T89" s="1908"/>
      <c r="U89" s="1913" t="s">
        <v>26</v>
      </c>
      <c r="V89" s="1913"/>
      <c r="W89" s="1508"/>
      <c r="X89" s="1479" t="s">
        <v>5378</v>
      </c>
      <c r="Y89" s="1914"/>
      <c r="Z89" s="1914"/>
      <c r="AA89" s="1914"/>
      <c r="AB89" s="1914"/>
      <c r="AC89" s="1914"/>
      <c r="AD89" s="1914"/>
      <c r="AE89" s="1914"/>
      <c r="AF89" s="1915"/>
    </row>
    <row r="90" spans="1:32" ht="45" customHeight="1" x14ac:dyDescent="0.25">
      <c r="A90" s="1916" t="s">
        <v>5523</v>
      </c>
      <c r="B90" s="1916"/>
      <c r="C90" s="1916"/>
      <c r="D90" s="1916"/>
      <c r="E90" s="1916"/>
      <c r="F90" s="1135" t="s">
        <v>5423</v>
      </c>
      <c r="G90" s="1912"/>
      <c r="H90" s="1912"/>
      <c r="I90" s="1912"/>
      <c r="J90" s="1912"/>
      <c r="K90" s="1912"/>
      <c r="L90" s="1912"/>
      <c r="M90" s="1912"/>
      <c r="N90" s="1912"/>
      <c r="O90" s="1912"/>
      <c r="P90" s="1912"/>
      <c r="Q90" s="1482" t="s">
        <v>4975</v>
      </c>
      <c r="R90" s="1907"/>
      <c r="S90" s="1907"/>
      <c r="T90" s="1908"/>
      <c r="U90" s="1913" t="s">
        <v>26</v>
      </c>
      <c r="V90" s="1913"/>
      <c r="W90" s="1508"/>
      <c r="X90" s="1479" t="s">
        <v>5378</v>
      </c>
      <c r="Y90" s="1914"/>
      <c r="Z90" s="1914"/>
      <c r="AA90" s="1914"/>
      <c r="AB90" s="1914"/>
      <c r="AC90" s="1914"/>
      <c r="AD90" s="1914"/>
      <c r="AE90" s="1914"/>
      <c r="AF90" s="1915"/>
    </row>
    <row r="91" spans="1:32" ht="45" customHeight="1" x14ac:dyDescent="0.25">
      <c r="A91" s="1135" t="s">
        <v>5424</v>
      </c>
      <c r="B91" s="1912"/>
      <c r="C91" s="1912"/>
      <c r="D91" s="1912"/>
      <c r="E91" s="1912"/>
      <c r="F91" s="1480" t="s">
        <v>5425</v>
      </c>
      <c r="G91" s="1914"/>
      <c r="H91" s="1914"/>
      <c r="I91" s="1914"/>
      <c r="J91" s="1914"/>
      <c r="K91" s="1914"/>
      <c r="L91" s="1914"/>
      <c r="M91" s="1914"/>
      <c r="N91" s="1914"/>
      <c r="O91" s="1914"/>
      <c r="P91" s="1915"/>
      <c r="Q91" s="1733" t="s">
        <v>4978</v>
      </c>
      <c r="R91" s="1917"/>
      <c r="S91" s="1917"/>
      <c r="T91" s="1918"/>
      <c r="U91" s="1913" t="s">
        <v>5426</v>
      </c>
      <c r="V91" s="1913"/>
      <c r="W91" s="1508"/>
      <c r="X91" s="1479" t="s">
        <v>5378</v>
      </c>
      <c r="Y91" s="1914"/>
      <c r="Z91" s="1914"/>
      <c r="AA91" s="1914"/>
      <c r="AB91" s="1914"/>
      <c r="AC91" s="1914"/>
      <c r="AD91" s="1914"/>
      <c r="AE91" s="1914"/>
      <c r="AF91" s="1915"/>
    </row>
    <row r="92" spans="1:32" ht="45" customHeight="1" x14ac:dyDescent="0.25">
      <c r="A92" s="1916" t="s">
        <v>5526</v>
      </c>
      <c r="B92" s="1916"/>
      <c r="C92" s="1916"/>
      <c r="D92" s="1916"/>
      <c r="E92" s="1916"/>
      <c r="F92" s="1480" t="s">
        <v>5427</v>
      </c>
      <c r="G92" s="1914"/>
      <c r="H92" s="1914"/>
      <c r="I92" s="1914"/>
      <c r="J92" s="1914"/>
      <c r="K92" s="1914"/>
      <c r="L92" s="1914"/>
      <c r="M92" s="1914"/>
      <c r="N92" s="1914"/>
      <c r="O92" s="1914"/>
      <c r="P92" s="1915"/>
      <c r="Q92" s="1733" t="s">
        <v>4978</v>
      </c>
      <c r="R92" s="1917"/>
      <c r="S92" s="1917"/>
      <c r="T92" s="1918"/>
      <c r="U92" s="1913" t="s">
        <v>5426</v>
      </c>
      <c r="V92" s="1913"/>
      <c r="W92" s="1508"/>
      <c r="X92" s="1479" t="s">
        <v>5378</v>
      </c>
      <c r="Y92" s="1914"/>
      <c r="Z92" s="1914"/>
      <c r="AA92" s="1914"/>
      <c r="AB92" s="1914"/>
      <c r="AC92" s="1914"/>
      <c r="AD92" s="1914"/>
      <c r="AE92" s="1914"/>
      <c r="AF92" s="1915"/>
    </row>
    <row r="93" spans="1:32" ht="45" customHeight="1" x14ac:dyDescent="0.25">
      <c r="A93" s="1135" t="s">
        <v>5428</v>
      </c>
      <c r="B93" s="1912"/>
      <c r="C93" s="1912"/>
      <c r="D93" s="1912"/>
      <c r="E93" s="1912"/>
      <c r="F93" s="1480" t="s">
        <v>5429</v>
      </c>
      <c r="G93" s="1914"/>
      <c r="H93" s="1914"/>
      <c r="I93" s="1914"/>
      <c r="J93" s="1914"/>
      <c r="K93" s="1914"/>
      <c r="L93" s="1914"/>
      <c r="M93" s="1914"/>
      <c r="N93" s="1914"/>
      <c r="O93" s="1914"/>
      <c r="P93" s="1915"/>
      <c r="Q93" s="1733">
        <v>4380</v>
      </c>
      <c r="R93" s="1917"/>
      <c r="S93" s="1917"/>
      <c r="T93" s="1918"/>
      <c r="U93" s="1913" t="s">
        <v>33</v>
      </c>
      <c r="V93" s="1913"/>
      <c r="W93" s="1508"/>
      <c r="X93" s="1479" t="s">
        <v>5430</v>
      </c>
      <c r="Y93" s="1914"/>
      <c r="Z93" s="1914"/>
      <c r="AA93" s="1914"/>
      <c r="AB93" s="1914"/>
      <c r="AC93" s="1914"/>
      <c r="AD93" s="1914"/>
      <c r="AE93" s="1914"/>
      <c r="AF93" s="1915"/>
    </row>
    <row r="94" spans="1:32" ht="120" customHeight="1" x14ac:dyDescent="0.25">
      <c r="A94" s="1135" t="s">
        <v>29</v>
      </c>
      <c r="B94" s="1912"/>
      <c r="C94" s="1912"/>
      <c r="D94" s="1912"/>
      <c r="E94" s="1912"/>
      <c r="F94" s="1480" t="s">
        <v>104</v>
      </c>
      <c r="G94" s="1914"/>
      <c r="H94" s="1914"/>
      <c r="I94" s="1914"/>
      <c r="J94" s="1914"/>
      <c r="K94" s="1914"/>
      <c r="L94" s="1914"/>
      <c r="M94" s="1914"/>
      <c r="N94" s="1914"/>
      <c r="O94" s="1914"/>
      <c r="P94" s="1915"/>
      <c r="Q94" s="1574">
        <v>0.74</v>
      </c>
      <c r="R94" s="1575"/>
      <c r="S94" s="1575"/>
      <c r="T94" s="1576"/>
      <c r="U94" s="1913"/>
      <c r="V94" s="1913"/>
      <c r="W94" s="1508"/>
      <c r="X94" s="1479" t="s">
        <v>5527</v>
      </c>
      <c r="Y94" s="1914"/>
      <c r="Z94" s="1914"/>
      <c r="AA94" s="1914"/>
      <c r="AB94" s="1914"/>
      <c r="AC94" s="1914"/>
      <c r="AD94" s="1914"/>
      <c r="AE94" s="1914"/>
      <c r="AF94" s="1915"/>
    </row>
    <row r="95" spans="1:32" ht="60.75" customHeight="1" x14ac:dyDescent="0.25">
      <c r="A95" s="1135" t="s">
        <v>2724</v>
      </c>
      <c r="B95" s="1912"/>
      <c r="C95" s="1912"/>
      <c r="D95" s="1912"/>
      <c r="E95" s="1912"/>
      <c r="F95" s="1480" t="s">
        <v>2217</v>
      </c>
      <c r="G95" s="1914"/>
      <c r="H95" s="1914"/>
      <c r="I95" s="1914"/>
      <c r="J95" s="1914"/>
      <c r="K95" s="1914"/>
      <c r="L95" s="1914"/>
      <c r="M95" s="1914"/>
      <c r="N95" s="1914"/>
      <c r="O95" s="1914"/>
      <c r="P95" s="1915"/>
      <c r="Q95" s="1574" t="s">
        <v>1820</v>
      </c>
      <c r="R95" s="1575"/>
      <c r="S95" s="1575"/>
      <c r="T95" s="1576"/>
      <c r="U95" s="1913" t="s">
        <v>36</v>
      </c>
      <c r="V95" s="1913"/>
      <c r="W95" s="1508"/>
      <c r="X95" s="1479" t="s">
        <v>5431</v>
      </c>
      <c r="Y95" s="1914"/>
      <c r="Z95" s="1914"/>
      <c r="AA95" s="1914"/>
      <c r="AB95" s="1914"/>
      <c r="AC95" s="1914"/>
      <c r="AD95" s="1914"/>
      <c r="AE95" s="1914"/>
      <c r="AF95" s="1915"/>
    </row>
    <row r="97" spans="1:27" x14ac:dyDescent="0.25">
      <c r="A97" s="338" t="s">
        <v>5432</v>
      </c>
    </row>
    <row r="98" spans="1:27" ht="30.75" customHeight="1" x14ac:dyDescent="0.25">
      <c r="A98" s="1311" t="s">
        <v>5433</v>
      </c>
      <c r="B98" s="1508"/>
      <c r="C98" s="1508"/>
      <c r="D98" s="1508"/>
      <c r="E98" s="1508"/>
      <c r="F98" s="1508"/>
      <c r="G98" s="1508"/>
      <c r="H98" s="1508"/>
      <c r="I98" s="1508"/>
      <c r="J98" s="1508"/>
      <c r="K98" s="1508"/>
      <c r="L98" s="1508"/>
      <c r="M98" s="1508"/>
      <c r="N98" s="1508"/>
      <c r="O98" s="1508"/>
      <c r="P98" s="1508"/>
      <c r="Q98" s="1508"/>
      <c r="R98" s="1311" t="s">
        <v>5434</v>
      </c>
      <c r="S98" s="1920"/>
      <c r="T98" s="1920"/>
      <c r="U98" s="1508"/>
      <c r="V98" s="1508"/>
      <c r="W98" s="1311" t="s">
        <v>5435</v>
      </c>
      <c r="X98" s="1920"/>
      <c r="Y98" s="1920"/>
      <c r="Z98" s="1508"/>
      <c r="AA98" s="1508"/>
    </row>
    <row r="99" spans="1:27" x14ac:dyDescent="0.25">
      <c r="A99" s="1311" t="s">
        <v>5436</v>
      </c>
      <c r="B99" s="1920"/>
      <c r="C99" s="1920"/>
      <c r="D99" s="1920"/>
      <c r="E99" s="1920"/>
      <c r="F99" s="1912" t="s">
        <v>5437</v>
      </c>
      <c r="G99" s="1912"/>
      <c r="H99" s="1912"/>
      <c r="I99" s="1912"/>
      <c r="J99" s="1912"/>
      <c r="K99" s="1912"/>
      <c r="L99" s="1912"/>
      <c r="M99" s="1912"/>
      <c r="N99" s="1912"/>
      <c r="O99" s="1912"/>
      <c r="P99" s="1912"/>
      <c r="Q99" s="1912"/>
      <c r="R99" s="1509">
        <v>1.73</v>
      </c>
      <c r="S99" s="1509"/>
      <c r="T99" s="1509"/>
      <c r="U99" s="1921"/>
      <c r="V99" s="1921"/>
      <c r="W99" s="1509">
        <v>1.19</v>
      </c>
      <c r="X99" s="1509"/>
      <c r="Y99" s="1509"/>
      <c r="Z99" s="1921"/>
      <c r="AA99" s="1921"/>
    </row>
    <row r="100" spans="1:27" x14ac:dyDescent="0.25">
      <c r="A100" s="1920"/>
      <c r="B100" s="1920"/>
      <c r="C100" s="1920"/>
      <c r="D100" s="1920"/>
      <c r="E100" s="1920"/>
      <c r="F100" s="1912" t="s">
        <v>5438</v>
      </c>
      <c r="G100" s="1912"/>
      <c r="H100" s="1912"/>
      <c r="I100" s="1912"/>
      <c r="J100" s="1912"/>
      <c r="K100" s="1912"/>
      <c r="L100" s="1912"/>
      <c r="M100" s="1912"/>
      <c r="N100" s="1912"/>
      <c r="O100" s="1912"/>
      <c r="P100" s="1912"/>
      <c r="Q100" s="1912"/>
      <c r="R100" s="1509">
        <v>2.1</v>
      </c>
      <c r="S100" s="1509"/>
      <c r="T100" s="1509"/>
      <c r="U100" s="1921"/>
      <c r="V100" s="1921"/>
      <c r="W100" s="1509">
        <v>1.18</v>
      </c>
      <c r="X100" s="1509"/>
      <c r="Y100" s="1509"/>
      <c r="Z100" s="1921"/>
      <c r="AA100" s="1921"/>
    </row>
    <row r="101" spans="1:27" x14ac:dyDescent="0.25">
      <c r="A101" s="1920"/>
      <c r="B101" s="1920"/>
      <c r="C101" s="1920"/>
      <c r="D101" s="1920"/>
      <c r="E101" s="1920"/>
      <c r="F101" s="1912" t="s">
        <v>5439</v>
      </c>
      <c r="G101" s="1912"/>
      <c r="H101" s="1912"/>
      <c r="I101" s="1912"/>
      <c r="J101" s="1912"/>
      <c r="K101" s="1912"/>
      <c r="L101" s="1912"/>
      <c r="M101" s="1912"/>
      <c r="N101" s="1912"/>
      <c r="O101" s="1912"/>
      <c r="P101" s="1912"/>
      <c r="Q101" s="1912"/>
      <c r="R101" s="1509">
        <v>1.31</v>
      </c>
      <c r="S101" s="1509"/>
      <c r="T101" s="1509"/>
      <c r="U101" s="1921"/>
      <c r="V101" s="1921"/>
      <c r="W101" s="1509">
        <v>0.79</v>
      </c>
      <c r="X101" s="1509"/>
      <c r="Y101" s="1509"/>
      <c r="Z101" s="1921"/>
      <c r="AA101" s="1921"/>
    </row>
    <row r="102" spans="1:27" x14ac:dyDescent="0.25">
      <c r="A102" s="1920"/>
      <c r="B102" s="1920"/>
      <c r="C102" s="1920"/>
      <c r="D102" s="1920"/>
      <c r="E102" s="1920"/>
      <c r="F102" s="1912" t="s">
        <v>5440</v>
      </c>
      <c r="G102" s="1912"/>
      <c r="H102" s="1912"/>
      <c r="I102" s="1912"/>
      <c r="J102" s="1912"/>
      <c r="K102" s="1912"/>
      <c r="L102" s="1912"/>
      <c r="M102" s="1912"/>
      <c r="N102" s="1912"/>
      <c r="O102" s="1912"/>
      <c r="P102" s="1912"/>
      <c r="Q102" s="1912"/>
      <c r="R102" s="1509">
        <v>1.04</v>
      </c>
      <c r="S102" s="1509"/>
      <c r="T102" s="1509"/>
      <c r="U102" s="1921"/>
      <c r="V102" s="1921"/>
      <c r="W102" s="1509">
        <v>0.54</v>
      </c>
      <c r="X102" s="1509"/>
      <c r="Y102" s="1509"/>
      <c r="Z102" s="1921"/>
      <c r="AA102" s="1921"/>
    </row>
    <row r="103" spans="1:27" x14ac:dyDescent="0.25">
      <c r="A103" s="1311" t="s">
        <v>5441</v>
      </c>
      <c r="B103" s="1920"/>
      <c r="C103" s="1920"/>
      <c r="D103" s="1920"/>
      <c r="E103" s="1920"/>
      <c r="F103" s="1912" t="s">
        <v>5437</v>
      </c>
      <c r="G103" s="1912"/>
      <c r="H103" s="1912"/>
      <c r="I103" s="1912"/>
      <c r="J103" s="1912"/>
      <c r="K103" s="1912"/>
      <c r="L103" s="1912"/>
      <c r="M103" s="1912"/>
      <c r="N103" s="1912"/>
      <c r="O103" s="1912"/>
      <c r="P103" s="1912"/>
      <c r="Q103" s="1912"/>
      <c r="R103" s="1509">
        <v>1.0900000000000001</v>
      </c>
      <c r="S103" s="1509"/>
      <c r="T103" s="1509"/>
      <c r="U103" s="1921"/>
      <c r="V103" s="1921"/>
      <c r="W103" s="1509">
        <v>0.86</v>
      </c>
      <c r="X103" s="1509"/>
      <c r="Y103" s="1509"/>
      <c r="Z103" s="1921"/>
      <c r="AA103" s="1921"/>
    </row>
    <row r="104" spans="1:27" x14ac:dyDescent="0.25">
      <c r="A104" s="1920"/>
      <c r="B104" s="1920"/>
      <c r="C104" s="1920"/>
      <c r="D104" s="1920"/>
      <c r="E104" s="1920"/>
      <c r="F104" s="1912" t="s">
        <v>5438</v>
      </c>
      <c r="G104" s="1912"/>
      <c r="H104" s="1912"/>
      <c r="I104" s="1912"/>
      <c r="J104" s="1912"/>
      <c r="K104" s="1912"/>
      <c r="L104" s="1912"/>
      <c r="M104" s="1912"/>
      <c r="N104" s="1912"/>
      <c r="O104" s="1912"/>
      <c r="P104" s="1912"/>
      <c r="Q104" s="1912"/>
      <c r="R104" s="1509">
        <v>1.29</v>
      </c>
      <c r="S104" s="1509"/>
      <c r="T104" s="1509"/>
      <c r="U104" s="1921"/>
      <c r="V104" s="1921"/>
      <c r="W104" s="1509">
        <v>0.89</v>
      </c>
      <c r="X104" s="1509"/>
      <c r="Y104" s="1509"/>
      <c r="Z104" s="1921"/>
      <c r="AA104" s="1921"/>
    </row>
    <row r="105" spans="1:27" x14ac:dyDescent="0.25">
      <c r="A105" s="1920"/>
      <c r="B105" s="1920"/>
      <c r="C105" s="1920"/>
      <c r="D105" s="1920"/>
      <c r="E105" s="1920"/>
      <c r="F105" s="1912" t="s">
        <v>5439</v>
      </c>
      <c r="G105" s="1912"/>
      <c r="H105" s="1912"/>
      <c r="I105" s="1912"/>
      <c r="J105" s="1912"/>
      <c r="K105" s="1912"/>
      <c r="L105" s="1912"/>
      <c r="M105" s="1912"/>
      <c r="N105" s="1912"/>
      <c r="O105" s="1912"/>
      <c r="P105" s="1912"/>
      <c r="Q105" s="1912"/>
      <c r="R105" s="1509">
        <v>0.87</v>
      </c>
      <c r="S105" s="1509"/>
      <c r="T105" s="1509"/>
      <c r="U105" s="1921"/>
      <c r="V105" s="1921"/>
      <c r="W105" s="1509">
        <v>0.7</v>
      </c>
      <c r="X105" s="1509"/>
      <c r="Y105" s="1509"/>
      <c r="Z105" s="1921"/>
      <c r="AA105" s="1921"/>
    </row>
    <row r="106" spans="1:27" x14ac:dyDescent="0.25">
      <c r="A106" s="1920"/>
      <c r="B106" s="1920"/>
      <c r="C106" s="1920"/>
      <c r="D106" s="1920"/>
      <c r="E106" s="1920"/>
      <c r="F106" s="1912" t="s">
        <v>5440</v>
      </c>
      <c r="G106" s="1912"/>
      <c r="H106" s="1912"/>
      <c r="I106" s="1912"/>
      <c r="J106" s="1912"/>
      <c r="K106" s="1912"/>
      <c r="L106" s="1912"/>
      <c r="M106" s="1912"/>
      <c r="N106" s="1912"/>
      <c r="O106" s="1912"/>
      <c r="P106" s="1912"/>
      <c r="Q106" s="1912"/>
      <c r="R106" s="1509">
        <v>0.97</v>
      </c>
      <c r="S106" s="1509"/>
      <c r="T106" s="1509"/>
      <c r="U106" s="1921"/>
      <c r="V106" s="1921"/>
      <c r="W106" s="1509">
        <v>0.54</v>
      </c>
      <c r="X106" s="1509"/>
      <c r="Y106" s="1509"/>
      <c r="Z106" s="1921"/>
      <c r="AA106" s="1921"/>
    </row>
    <row r="107" spans="1:27" x14ac:dyDescent="0.25">
      <c r="A107" s="1920"/>
      <c r="B107" s="1920"/>
      <c r="C107" s="1920"/>
      <c r="D107" s="1920"/>
      <c r="E107" s="1920"/>
      <c r="F107" s="1912" t="s">
        <v>5442</v>
      </c>
      <c r="G107" s="1912"/>
      <c r="H107" s="1912"/>
      <c r="I107" s="1912"/>
      <c r="J107" s="1912"/>
      <c r="K107" s="1912"/>
      <c r="L107" s="1912"/>
      <c r="M107" s="1912"/>
      <c r="N107" s="1912"/>
      <c r="O107" s="1912"/>
      <c r="P107" s="1912"/>
      <c r="Q107" s="1912"/>
      <c r="R107" s="1509">
        <v>0.7</v>
      </c>
      <c r="S107" s="1509"/>
      <c r="T107" s="1509"/>
      <c r="U107" s="1921"/>
      <c r="V107" s="1921"/>
      <c r="W107" s="1509">
        <v>0.57999999999999996</v>
      </c>
      <c r="X107" s="1509"/>
      <c r="Y107" s="1509"/>
      <c r="Z107" s="1921"/>
      <c r="AA107" s="1921"/>
    </row>
    <row r="109" spans="1:27" x14ac:dyDescent="0.25">
      <c r="A109" s="849" t="s">
        <v>5443</v>
      </c>
      <c r="B109" s="6"/>
      <c r="C109" s="6"/>
      <c r="D109" s="6"/>
      <c r="E109" s="6"/>
      <c r="F109" s="6"/>
      <c r="G109" s="6"/>
      <c r="H109" s="6"/>
      <c r="I109" s="6"/>
      <c r="J109" s="6"/>
      <c r="K109" s="6"/>
      <c r="L109" s="6"/>
      <c r="M109" s="6"/>
      <c r="N109" s="6"/>
      <c r="O109" s="6"/>
      <c r="P109" s="6"/>
      <c r="Q109" s="6"/>
      <c r="R109" s="6"/>
      <c r="S109" s="6"/>
      <c r="T109" s="6"/>
    </row>
    <row r="110" spans="1:27" x14ac:dyDescent="0.25">
      <c r="A110" s="1311" t="s">
        <v>5433</v>
      </c>
      <c r="B110" s="1508"/>
      <c r="C110" s="1508"/>
      <c r="D110" s="1508"/>
      <c r="E110" s="1508"/>
      <c r="F110" s="1508"/>
      <c r="G110" s="1508"/>
      <c r="H110" s="1508"/>
      <c r="I110" s="1508"/>
      <c r="J110" s="1508"/>
      <c r="K110" s="1508"/>
      <c r="L110" s="1508"/>
      <c r="M110" s="1508"/>
      <c r="N110" s="1508"/>
      <c r="O110" s="1508"/>
      <c r="P110" s="1508"/>
      <c r="Q110" s="1508"/>
      <c r="R110" s="1311" t="s">
        <v>5444</v>
      </c>
      <c r="S110" s="1920"/>
      <c r="T110" s="1920"/>
      <c r="U110" s="1508"/>
      <c r="V110" s="1508"/>
    </row>
    <row r="111" spans="1:27" x14ac:dyDescent="0.25">
      <c r="A111" s="1311" t="s">
        <v>5436</v>
      </c>
      <c r="B111" s="1920"/>
      <c r="C111" s="1920"/>
      <c r="D111" s="1920"/>
      <c r="E111" s="1920"/>
      <c r="F111" s="1912" t="s">
        <v>5437</v>
      </c>
      <c r="G111" s="1912"/>
      <c r="H111" s="1912"/>
      <c r="I111" s="1912"/>
      <c r="J111" s="1912"/>
      <c r="K111" s="1912"/>
      <c r="L111" s="1912"/>
      <c r="M111" s="1912"/>
      <c r="N111" s="1912"/>
      <c r="O111" s="1912"/>
      <c r="P111" s="1912"/>
      <c r="Q111" s="1912"/>
      <c r="R111" s="1920">
        <v>50</v>
      </c>
      <c r="S111" s="1920"/>
      <c r="T111" s="1920"/>
      <c r="U111" s="1508"/>
      <c r="V111" s="1508"/>
    </row>
    <row r="112" spans="1:27" x14ac:dyDescent="0.25">
      <c r="A112" s="1920"/>
      <c r="B112" s="1920"/>
      <c r="C112" s="1920"/>
      <c r="D112" s="1920"/>
      <c r="E112" s="1920"/>
      <c r="F112" s="1912" t="s">
        <v>5438</v>
      </c>
      <c r="G112" s="1912"/>
      <c r="H112" s="1912"/>
      <c r="I112" s="1912"/>
      <c r="J112" s="1912"/>
      <c r="K112" s="1912"/>
      <c r="L112" s="1912"/>
      <c r="M112" s="1912"/>
      <c r="N112" s="1912"/>
      <c r="O112" s="1912"/>
      <c r="P112" s="1912"/>
      <c r="Q112" s="1912"/>
      <c r="R112" s="1920">
        <v>141</v>
      </c>
      <c r="S112" s="1920"/>
      <c r="T112" s="1920"/>
      <c r="U112" s="1508"/>
      <c r="V112" s="1508"/>
    </row>
    <row r="113" spans="1:27" x14ac:dyDescent="0.25">
      <c r="A113" s="1920"/>
      <c r="B113" s="1920"/>
      <c r="C113" s="1920"/>
      <c r="D113" s="1920"/>
      <c r="E113" s="1920"/>
      <c r="F113" s="1912" t="s">
        <v>5439</v>
      </c>
      <c r="G113" s="1912"/>
      <c r="H113" s="1912"/>
      <c r="I113" s="1912"/>
      <c r="J113" s="1912"/>
      <c r="K113" s="1912"/>
      <c r="L113" s="1912"/>
      <c r="M113" s="1912"/>
      <c r="N113" s="1912"/>
      <c r="O113" s="1912"/>
      <c r="P113" s="1912"/>
      <c r="Q113" s="1912"/>
      <c r="R113" s="1920">
        <v>267</v>
      </c>
      <c r="S113" s="1920"/>
      <c r="T113" s="1920"/>
      <c r="U113" s="1508"/>
      <c r="V113" s="1508"/>
    </row>
    <row r="114" spans="1:27" x14ac:dyDescent="0.25">
      <c r="A114" s="1920"/>
      <c r="B114" s="1920"/>
      <c r="C114" s="1920"/>
      <c r="D114" s="1920"/>
      <c r="E114" s="1920"/>
      <c r="F114" s="1912" t="s">
        <v>5440</v>
      </c>
      <c r="G114" s="1912"/>
      <c r="H114" s="1912"/>
      <c r="I114" s="1912"/>
      <c r="J114" s="1912"/>
      <c r="K114" s="1912"/>
      <c r="L114" s="1912"/>
      <c r="M114" s="1912"/>
      <c r="N114" s="1912"/>
      <c r="O114" s="1912"/>
      <c r="P114" s="1912"/>
      <c r="Q114" s="1912"/>
      <c r="R114" s="1920">
        <v>400</v>
      </c>
      <c r="S114" s="1920"/>
      <c r="T114" s="1920"/>
      <c r="U114" s="1508"/>
      <c r="V114" s="1508"/>
    </row>
    <row r="115" spans="1:27" x14ac:dyDescent="0.25">
      <c r="A115" s="1311" t="s">
        <v>5441</v>
      </c>
      <c r="B115" s="1920"/>
      <c r="C115" s="1920"/>
      <c r="D115" s="1920"/>
      <c r="E115" s="1920"/>
      <c r="F115" s="1912" t="s">
        <v>5437</v>
      </c>
      <c r="G115" s="1912"/>
      <c r="H115" s="1912"/>
      <c r="I115" s="1912"/>
      <c r="J115" s="1912"/>
      <c r="K115" s="1912"/>
      <c r="L115" s="1912"/>
      <c r="M115" s="1912"/>
      <c r="N115" s="1912"/>
      <c r="O115" s="1912"/>
      <c r="P115" s="1912"/>
      <c r="Q115" s="1912"/>
      <c r="R115" s="1920">
        <v>50</v>
      </c>
      <c r="S115" s="1920"/>
      <c r="T115" s="1920"/>
      <c r="U115" s="1508"/>
      <c r="V115" s="1508"/>
    </row>
    <row r="116" spans="1:27" x14ac:dyDescent="0.25">
      <c r="A116" s="1920"/>
      <c r="B116" s="1920"/>
      <c r="C116" s="1920"/>
      <c r="D116" s="1920"/>
      <c r="E116" s="1920"/>
      <c r="F116" s="1912" t="s">
        <v>5438</v>
      </c>
      <c r="G116" s="1912"/>
      <c r="H116" s="1912"/>
      <c r="I116" s="1912"/>
      <c r="J116" s="1912"/>
      <c r="K116" s="1912"/>
      <c r="L116" s="1912"/>
      <c r="M116" s="1912"/>
      <c r="N116" s="1912"/>
      <c r="O116" s="1912"/>
      <c r="P116" s="1912"/>
      <c r="Q116" s="1912"/>
      <c r="R116" s="1920">
        <v>141</v>
      </c>
      <c r="S116" s="1920"/>
      <c r="T116" s="1920"/>
      <c r="U116" s="1508"/>
      <c r="V116" s="1508"/>
    </row>
    <row r="117" spans="1:27" x14ac:dyDescent="0.25">
      <c r="A117" s="1920"/>
      <c r="B117" s="1920"/>
      <c r="C117" s="1920"/>
      <c r="D117" s="1920"/>
      <c r="E117" s="1920"/>
      <c r="F117" s="1912" t="s">
        <v>5439</v>
      </c>
      <c r="G117" s="1912"/>
      <c r="H117" s="1912"/>
      <c r="I117" s="1912"/>
      <c r="J117" s="1912"/>
      <c r="K117" s="1912"/>
      <c r="L117" s="1912"/>
      <c r="M117" s="1912"/>
      <c r="N117" s="1912"/>
      <c r="O117" s="1912"/>
      <c r="P117" s="1912"/>
      <c r="Q117" s="1912"/>
      <c r="R117" s="1920">
        <v>267</v>
      </c>
      <c r="S117" s="1920"/>
      <c r="T117" s="1920"/>
      <c r="U117" s="1508"/>
      <c r="V117" s="1508"/>
    </row>
    <row r="118" spans="1:27" x14ac:dyDescent="0.25">
      <c r="A118" s="1920"/>
      <c r="B118" s="1920"/>
      <c r="C118" s="1920"/>
      <c r="D118" s="1920"/>
      <c r="E118" s="1920"/>
      <c r="F118" s="1912" t="s">
        <v>5440</v>
      </c>
      <c r="G118" s="1912"/>
      <c r="H118" s="1912"/>
      <c r="I118" s="1912"/>
      <c r="J118" s="1912"/>
      <c r="K118" s="1912"/>
      <c r="L118" s="1912"/>
      <c r="M118" s="1912"/>
      <c r="N118" s="1912"/>
      <c r="O118" s="1912"/>
      <c r="P118" s="1912"/>
      <c r="Q118" s="1912"/>
      <c r="R118" s="1920">
        <v>400</v>
      </c>
      <c r="S118" s="1920"/>
      <c r="T118" s="1920"/>
      <c r="U118" s="1508"/>
      <c r="V118" s="1508"/>
    </row>
    <row r="119" spans="1:27" x14ac:dyDescent="0.25">
      <c r="A119" s="1920"/>
      <c r="B119" s="1920"/>
      <c r="C119" s="1920"/>
      <c r="D119" s="1920"/>
      <c r="E119" s="1920"/>
      <c r="F119" s="1912" t="s">
        <v>5442</v>
      </c>
      <c r="G119" s="1912"/>
      <c r="H119" s="1912"/>
      <c r="I119" s="1912"/>
      <c r="J119" s="1912"/>
      <c r="K119" s="1912"/>
      <c r="L119" s="1912"/>
      <c r="M119" s="1912"/>
      <c r="N119" s="1912"/>
      <c r="O119" s="1912"/>
      <c r="P119" s="1912"/>
      <c r="Q119" s="1912"/>
      <c r="R119" s="1920">
        <v>187</v>
      </c>
      <c r="S119" s="1920"/>
      <c r="T119" s="1920"/>
      <c r="U119" s="1508"/>
      <c r="V119" s="1508"/>
    </row>
    <row r="120" spans="1:27" x14ac:dyDescent="0.25">
      <c r="A120" s="338"/>
      <c r="B120" s="4"/>
      <c r="C120" s="4"/>
      <c r="D120" s="4"/>
      <c r="E120" s="4"/>
      <c r="F120" s="4"/>
      <c r="G120" s="4"/>
      <c r="H120" s="4"/>
      <c r="I120" s="4"/>
      <c r="J120" s="4"/>
      <c r="K120" s="4"/>
      <c r="L120" s="4"/>
      <c r="M120" s="4"/>
      <c r="N120" s="4"/>
      <c r="O120" s="4"/>
    </row>
    <row r="121" spans="1:27" x14ac:dyDescent="0.25">
      <c r="A121" s="338" t="s">
        <v>5445</v>
      </c>
    </row>
    <row r="122" spans="1:27" ht="29.25" customHeight="1" x14ac:dyDescent="0.25">
      <c r="A122" s="1311" t="s">
        <v>5433</v>
      </c>
      <c r="B122" s="1508"/>
      <c r="C122" s="1508"/>
      <c r="D122" s="1508"/>
      <c r="E122" s="1508"/>
      <c r="F122" s="1508"/>
      <c r="G122" s="1508"/>
      <c r="H122" s="1508"/>
      <c r="I122" s="1508"/>
      <c r="J122" s="1508"/>
      <c r="K122" s="1508"/>
      <c r="L122" s="1508"/>
      <c r="M122" s="1508"/>
      <c r="N122" s="1508"/>
      <c r="O122" s="1508"/>
      <c r="P122" s="1508"/>
      <c r="Q122" s="1508"/>
      <c r="R122" s="1311" t="s">
        <v>5446</v>
      </c>
      <c r="S122" s="1920"/>
      <c r="T122" s="1920"/>
      <c r="U122" s="1508"/>
      <c r="V122" s="1508"/>
      <c r="W122" s="1311" t="s">
        <v>5447</v>
      </c>
      <c r="X122" s="1920"/>
      <c r="Y122" s="1920"/>
      <c r="Z122" s="1508"/>
      <c r="AA122" s="1508"/>
    </row>
    <row r="123" spans="1:27" x14ac:dyDescent="0.25">
      <c r="A123" s="1311" t="s">
        <v>5436</v>
      </c>
      <c r="B123" s="1920"/>
      <c r="C123" s="1920"/>
      <c r="D123" s="1920"/>
      <c r="E123" s="1920"/>
      <c r="F123" s="1912" t="s">
        <v>5437</v>
      </c>
      <c r="G123" s="1912"/>
      <c r="H123" s="1912"/>
      <c r="I123" s="1912"/>
      <c r="J123" s="1912"/>
      <c r="K123" s="1912"/>
      <c r="L123" s="1912"/>
      <c r="M123" s="1912"/>
      <c r="N123" s="1912"/>
      <c r="O123" s="1912"/>
      <c r="P123" s="1912"/>
      <c r="Q123" s="1912"/>
      <c r="R123" s="1509">
        <v>0.5</v>
      </c>
      <c r="S123" s="1509"/>
      <c r="T123" s="1509"/>
      <c r="U123" s="1921"/>
      <c r="V123" s="1921"/>
      <c r="W123" s="1509">
        <v>0.25</v>
      </c>
      <c r="X123" s="1509"/>
      <c r="Y123" s="1509"/>
      <c r="Z123" s="1921"/>
      <c r="AA123" s="1921"/>
    </row>
    <row r="124" spans="1:27" x14ac:dyDescent="0.25">
      <c r="A124" s="1920"/>
      <c r="B124" s="1920"/>
      <c r="C124" s="1920"/>
      <c r="D124" s="1920"/>
      <c r="E124" s="1920"/>
      <c r="F124" s="1912" t="s">
        <v>5438</v>
      </c>
      <c r="G124" s="1912"/>
      <c r="H124" s="1912"/>
      <c r="I124" s="1912"/>
      <c r="J124" s="1912"/>
      <c r="K124" s="1912"/>
      <c r="L124" s="1912"/>
      <c r="M124" s="1912"/>
      <c r="N124" s="1912"/>
      <c r="O124" s="1912"/>
      <c r="P124" s="1912"/>
      <c r="Q124" s="1912"/>
      <c r="R124" s="1509">
        <v>0.6</v>
      </c>
      <c r="S124" s="1509"/>
      <c r="T124" s="1509"/>
      <c r="U124" s="1921"/>
      <c r="V124" s="1921"/>
      <c r="W124" s="1509">
        <v>0.3</v>
      </c>
      <c r="X124" s="1509"/>
      <c r="Y124" s="1509"/>
      <c r="Z124" s="1921"/>
      <c r="AA124" s="1921"/>
    </row>
    <row r="125" spans="1:27" x14ac:dyDescent="0.25">
      <c r="A125" s="1920"/>
      <c r="B125" s="1920"/>
      <c r="C125" s="1920"/>
      <c r="D125" s="1920"/>
      <c r="E125" s="1920"/>
      <c r="F125" s="1912" t="s">
        <v>5439</v>
      </c>
      <c r="G125" s="1912"/>
      <c r="H125" s="1912"/>
      <c r="I125" s="1912"/>
      <c r="J125" s="1912"/>
      <c r="K125" s="1912"/>
      <c r="L125" s="1912"/>
      <c r="M125" s="1912"/>
      <c r="N125" s="1912"/>
      <c r="O125" s="1912"/>
      <c r="P125" s="1912"/>
      <c r="Q125" s="1912"/>
      <c r="R125" s="1509">
        <v>1.6</v>
      </c>
      <c r="S125" s="1509"/>
      <c r="T125" s="1509"/>
      <c r="U125" s="1921"/>
      <c r="V125" s="1921"/>
      <c r="W125" s="1509">
        <v>0.85</v>
      </c>
      <c r="X125" s="1509"/>
      <c r="Y125" s="1509"/>
      <c r="Z125" s="1921"/>
      <c r="AA125" s="1921"/>
    </row>
    <row r="126" spans="1:27" x14ac:dyDescent="0.25">
      <c r="A126" s="1920"/>
      <c r="B126" s="1920"/>
      <c r="C126" s="1920"/>
      <c r="D126" s="1920"/>
      <c r="E126" s="1920"/>
      <c r="F126" s="1912" t="s">
        <v>5440</v>
      </c>
      <c r="G126" s="1912"/>
      <c r="H126" s="1912"/>
      <c r="I126" s="1912"/>
      <c r="J126" s="1912"/>
      <c r="K126" s="1912"/>
      <c r="L126" s="1912"/>
      <c r="M126" s="1912"/>
      <c r="N126" s="1912"/>
      <c r="O126" s="1912"/>
      <c r="P126" s="1912"/>
      <c r="Q126" s="1912"/>
      <c r="R126" s="1509">
        <v>2</v>
      </c>
      <c r="S126" s="1509"/>
      <c r="T126" s="1509"/>
      <c r="U126" s="1921"/>
      <c r="V126" s="1921"/>
      <c r="W126" s="1509">
        <v>1</v>
      </c>
      <c r="X126" s="1509"/>
      <c r="Y126" s="1509"/>
      <c r="Z126" s="1921"/>
      <c r="AA126" s="1921"/>
    </row>
    <row r="127" spans="1:27" x14ac:dyDescent="0.25">
      <c r="A127" s="1311" t="s">
        <v>5441</v>
      </c>
      <c r="B127" s="1920"/>
      <c r="C127" s="1920"/>
      <c r="D127" s="1920"/>
      <c r="E127" s="1920"/>
      <c r="F127" s="1912" t="s">
        <v>5437</v>
      </c>
      <c r="G127" s="1912"/>
      <c r="H127" s="1912"/>
      <c r="I127" s="1912"/>
      <c r="J127" s="1912"/>
      <c r="K127" s="1912"/>
      <c r="L127" s="1912"/>
      <c r="M127" s="1912"/>
      <c r="N127" s="1912"/>
      <c r="O127" s="1912"/>
      <c r="P127" s="1912"/>
      <c r="Q127" s="1912"/>
      <c r="R127" s="1509">
        <v>0.76</v>
      </c>
      <c r="S127" s="1509"/>
      <c r="T127" s="1509"/>
      <c r="U127" s="1921"/>
      <c r="V127" s="1921"/>
      <c r="W127" s="1509">
        <v>0.3</v>
      </c>
      <c r="X127" s="1509"/>
      <c r="Y127" s="1509"/>
      <c r="Z127" s="1921"/>
      <c r="AA127" s="1921"/>
    </row>
    <row r="128" spans="1:27" x14ac:dyDescent="0.25">
      <c r="A128" s="1920"/>
      <c r="B128" s="1920"/>
      <c r="C128" s="1920"/>
      <c r="D128" s="1920"/>
      <c r="E128" s="1920"/>
      <c r="F128" s="1912" t="s">
        <v>5438</v>
      </c>
      <c r="G128" s="1912"/>
      <c r="H128" s="1912"/>
      <c r="I128" s="1912"/>
      <c r="J128" s="1912"/>
      <c r="K128" s="1912"/>
      <c r="L128" s="1912"/>
      <c r="M128" s="1912"/>
      <c r="N128" s="1912"/>
      <c r="O128" s="1912"/>
      <c r="P128" s="1912"/>
      <c r="Q128" s="1912"/>
      <c r="R128" s="1509">
        <v>0.87</v>
      </c>
      <c r="S128" s="1509"/>
      <c r="T128" s="1509"/>
      <c r="U128" s="1921"/>
      <c r="V128" s="1921"/>
      <c r="W128" s="1509">
        <v>0.55000000000000004</v>
      </c>
      <c r="X128" s="1509"/>
      <c r="Y128" s="1509"/>
      <c r="Z128" s="1921"/>
      <c r="AA128" s="1921"/>
    </row>
    <row r="129" spans="1:27" x14ac:dyDescent="0.25">
      <c r="A129" s="1920"/>
      <c r="B129" s="1920"/>
      <c r="C129" s="1920"/>
      <c r="D129" s="1920"/>
      <c r="E129" s="1920"/>
      <c r="F129" s="1912" t="s">
        <v>5439</v>
      </c>
      <c r="G129" s="1912"/>
      <c r="H129" s="1912"/>
      <c r="I129" s="1912"/>
      <c r="J129" s="1912"/>
      <c r="K129" s="1912"/>
      <c r="L129" s="1912"/>
      <c r="M129" s="1912"/>
      <c r="N129" s="1912"/>
      <c r="O129" s="1912"/>
      <c r="P129" s="1912"/>
      <c r="Q129" s="1912"/>
      <c r="R129" s="1509">
        <v>1.93</v>
      </c>
      <c r="S129" s="1509"/>
      <c r="T129" s="1509"/>
      <c r="U129" s="1921"/>
      <c r="V129" s="1921"/>
      <c r="W129" s="1509">
        <v>1.2</v>
      </c>
      <c r="X129" s="1509"/>
      <c r="Y129" s="1509"/>
      <c r="Z129" s="1921"/>
      <c r="AA129" s="1921"/>
    </row>
    <row r="130" spans="1:27" x14ac:dyDescent="0.25">
      <c r="A130" s="1920"/>
      <c r="B130" s="1920"/>
      <c r="C130" s="1920"/>
      <c r="D130" s="1920"/>
      <c r="E130" s="1920"/>
      <c r="F130" s="1912" t="s">
        <v>5440</v>
      </c>
      <c r="G130" s="1912"/>
      <c r="H130" s="1912"/>
      <c r="I130" s="1912"/>
      <c r="J130" s="1912"/>
      <c r="K130" s="1912"/>
      <c r="L130" s="1912"/>
      <c r="M130" s="1912"/>
      <c r="N130" s="1912"/>
      <c r="O130" s="1912"/>
      <c r="P130" s="1912"/>
      <c r="Q130" s="1912"/>
      <c r="R130" s="1509">
        <v>2.59</v>
      </c>
      <c r="S130" s="1509"/>
      <c r="T130" s="1509"/>
      <c r="U130" s="1921"/>
      <c r="V130" s="1921"/>
      <c r="W130" s="1509">
        <v>1.85</v>
      </c>
      <c r="X130" s="1509"/>
      <c r="Y130" s="1509"/>
      <c r="Z130" s="1921"/>
      <c r="AA130" s="1921"/>
    </row>
    <row r="131" spans="1:27" x14ac:dyDescent="0.25">
      <c r="A131" s="1920"/>
      <c r="B131" s="1920"/>
      <c r="C131" s="1920"/>
      <c r="D131" s="1920"/>
      <c r="E131" s="1920"/>
      <c r="F131" s="1912" t="s">
        <v>5442</v>
      </c>
      <c r="G131" s="1912"/>
      <c r="H131" s="1912"/>
      <c r="I131" s="1912"/>
      <c r="J131" s="1912"/>
      <c r="K131" s="1912"/>
      <c r="L131" s="1912"/>
      <c r="M131" s="1912"/>
      <c r="N131" s="1912"/>
      <c r="O131" s="1912"/>
      <c r="P131" s="1912"/>
      <c r="Q131" s="1912"/>
      <c r="R131" s="1509">
        <v>1.2</v>
      </c>
      <c r="S131" s="1509"/>
      <c r="T131" s="1509"/>
      <c r="U131" s="1921"/>
      <c r="V131" s="1921"/>
      <c r="W131" s="1509">
        <v>0.9</v>
      </c>
      <c r="X131" s="1509"/>
      <c r="Y131" s="1509"/>
      <c r="Z131" s="1921"/>
      <c r="AA131" s="1921"/>
    </row>
    <row r="132" spans="1:27" x14ac:dyDescent="0.25">
      <c r="A132" s="338"/>
      <c r="B132" s="4"/>
      <c r="C132" s="4"/>
      <c r="D132" s="4"/>
      <c r="E132" s="4"/>
      <c r="F132" s="4"/>
      <c r="G132" s="4"/>
      <c r="H132" s="4"/>
      <c r="I132" s="4"/>
      <c r="J132" s="4"/>
      <c r="K132" s="4"/>
      <c r="L132" s="4"/>
      <c r="M132" s="4"/>
      <c r="N132" s="4"/>
      <c r="O132" s="4"/>
    </row>
    <row r="133" spans="1:27" x14ac:dyDescent="0.25">
      <c r="A133" s="338" t="s">
        <v>5448</v>
      </c>
    </row>
    <row r="134" spans="1:27" ht="30" customHeight="1" x14ac:dyDescent="0.25">
      <c r="A134" s="1311" t="s">
        <v>5433</v>
      </c>
      <c r="B134" s="1508"/>
      <c r="C134" s="1508"/>
      <c r="D134" s="1508"/>
      <c r="E134" s="1508"/>
      <c r="F134" s="1508"/>
      <c r="G134" s="1508"/>
      <c r="H134" s="1508"/>
      <c r="I134" s="1508"/>
      <c r="J134" s="1508"/>
      <c r="K134" s="1508"/>
      <c r="L134" s="1508"/>
      <c r="M134" s="1508"/>
      <c r="N134" s="1508"/>
      <c r="O134" s="1508"/>
      <c r="P134" s="1508"/>
      <c r="Q134" s="1508"/>
      <c r="R134" s="1311" t="s">
        <v>5449</v>
      </c>
      <c r="S134" s="1920"/>
      <c r="T134" s="1920"/>
      <c r="U134" s="1508"/>
      <c r="V134" s="1508"/>
      <c r="W134" s="1311" t="s">
        <v>5450</v>
      </c>
      <c r="X134" s="1920"/>
      <c r="Y134" s="1920"/>
      <c r="Z134" s="1508"/>
      <c r="AA134" s="1508"/>
    </row>
    <row r="135" spans="1:27" x14ac:dyDescent="0.25">
      <c r="A135" s="1311" t="s">
        <v>5436</v>
      </c>
      <c r="B135" s="1920"/>
      <c r="C135" s="1920"/>
      <c r="D135" s="1920"/>
      <c r="E135" s="1920"/>
      <c r="F135" s="1912" t="s">
        <v>5437</v>
      </c>
      <c r="G135" s="1912"/>
      <c r="H135" s="1912"/>
      <c r="I135" s="1912"/>
      <c r="J135" s="1912"/>
      <c r="K135" s="1912"/>
      <c r="L135" s="1912"/>
      <c r="M135" s="1912"/>
      <c r="N135" s="1912"/>
      <c r="O135" s="1912"/>
      <c r="P135" s="1912"/>
      <c r="Q135" s="1912"/>
      <c r="R135" s="1510">
        <v>2</v>
      </c>
      <c r="S135" s="1510"/>
      <c r="T135" s="1510"/>
      <c r="U135" s="1922"/>
      <c r="V135" s="1922"/>
      <c r="W135" s="1510">
        <v>2</v>
      </c>
      <c r="X135" s="1510"/>
      <c r="Y135" s="1510"/>
      <c r="Z135" s="1922"/>
      <c r="AA135" s="1922"/>
    </row>
    <row r="136" spans="1:27" x14ac:dyDescent="0.25">
      <c r="A136" s="1920"/>
      <c r="B136" s="1920"/>
      <c r="C136" s="1920"/>
      <c r="D136" s="1920"/>
      <c r="E136" s="1920"/>
      <c r="F136" s="1912" t="s">
        <v>5438</v>
      </c>
      <c r="G136" s="1912"/>
      <c r="H136" s="1912"/>
      <c r="I136" s="1912"/>
      <c r="J136" s="1912"/>
      <c r="K136" s="1912"/>
      <c r="L136" s="1912"/>
      <c r="M136" s="1912"/>
      <c r="N136" s="1912"/>
      <c r="O136" s="1912"/>
      <c r="P136" s="1912"/>
      <c r="Q136" s="1912"/>
      <c r="R136" s="1510">
        <v>1.5</v>
      </c>
      <c r="S136" s="1510"/>
      <c r="T136" s="1510"/>
      <c r="U136" s="1922"/>
      <c r="V136" s="1922"/>
      <c r="W136" s="1510">
        <v>1.5</v>
      </c>
      <c r="X136" s="1510"/>
      <c r="Y136" s="1510"/>
      <c r="Z136" s="1922"/>
      <c r="AA136" s="1922"/>
    </row>
    <row r="137" spans="1:27" x14ac:dyDescent="0.25">
      <c r="A137" s="1920"/>
      <c r="B137" s="1920"/>
      <c r="C137" s="1920"/>
      <c r="D137" s="1920"/>
      <c r="E137" s="1920"/>
      <c r="F137" s="1912" t="s">
        <v>5439</v>
      </c>
      <c r="G137" s="1912"/>
      <c r="H137" s="1912"/>
      <c r="I137" s="1912"/>
      <c r="J137" s="1912"/>
      <c r="K137" s="1912"/>
      <c r="L137" s="1912"/>
      <c r="M137" s="1912"/>
      <c r="N137" s="1912"/>
      <c r="O137" s="1912"/>
      <c r="P137" s="1912"/>
      <c r="Q137" s="1912"/>
      <c r="R137" s="1510">
        <v>0.3</v>
      </c>
      <c r="S137" s="1510"/>
      <c r="T137" s="1510"/>
      <c r="U137" s="1922"/>
      <c r="V137" s="1922"/>
      <c r="W137" s="1510">
        <v>0.3</v>
      </c>
      <c r="X137" s="1510"/>
      <c r="Y137" s="1510"/>
      <c r="Z137" s="1922"/>
      <c r="AA137" s="1922"/>
    </row>
    <row r="138" spans="1:27" x14ac:dyDescent="0.25">
      <c r="A138" s="1920"/>
      <c r="B138" s="1920"/>
      <c r="C138" s="1920"/>
      <c r="D138" s="1920"/>
      <c r="E138" s="1920"/>
      <c r="F138" s="1912" t="s">
        <v>5440</v>
      </c>
      <c r="G138" s="1912"/>
      <c r="H138" s="1912"/>
      <c r="I138" s="1912"/>
      <c r="J138" s="1912"/>
      <c r="K138" s="1912"/>
      <c r="L138" s="1912"/>
      <c r="M138" s="1912"/>
      <c r="N138" s="1912"/>
      <c r="O138" s="1912"/>
      <c r="P138" s="1912"/>
      <c r="Q138" s="1912"/>
      <c r="R138" s="1510">
        <v>0.3</v>
      </c>
      <c r="S138" s="1510"/>
      <c r="T138" s="1510"/>
      <c r="U138" s="1922"/>
      <c r="V138" s="1922"/>
      <c r="W138" s="1510">
        <v>0.3</v>
      </c>
      <c r="X138" s="1510"/>
      <c r="Y138" s="1510"/>
      <c r="Z138" s="1922"/>
      <c r="AA138" s="1922"/>
    </row>
    <row r="139" spans="1:27" x14ac:dyDescent="0.25">
      <c r="A139" s="1311" t="s">
        <v>5441</v>
      </c>
      <c r="B139" s="1920"/>
      <c r="C139" s="1920"/>
      <c r="D139" s="1920"/>
      <c r="E139" s="1920"/>
      <c r="F139" s="1912" t="s">
        <v>5437</v>
      </c>
      <c r="G139" s="1912"/>
      <c r="H139" s="1912"/>
      <c r="I139" s="1912"/>
      <c r="J139" s="1912"/>
      <c r="K139" s="1912"/>
      <c r="L139" s="1912"/>
      <c r="M139" s="1912"/>
      <c r="N139" s="1912"/>
      <c r="O139" s="1912"/>
      <c r="P139" s="1912"/>
      <c r="Q139" s="1912"/>
      <c r="R139" s="1510">
        <v>2</v>
      </c>
      <c r="S139" s="1510"/>
      <c r="T139" s="1510"/>
      <c r="U139" s="1922"/>
      <c r="V139" s="1922"/>
      <c r="W139" s="1510">
        <v>2</v>
      </c>
      <c r="X139" s="1510"/>
      <c r="Y139" s="1510"/>
      <c r="Z139" s="1922"/>
      <c r="AA139" s="1922"/>
    </row>
    <row r="140" spans="1:27" x14ac:dyDescent="0.25">
      <c r="A140" s="1920"/>
      <c r="B140" s="1920"/>
      <c r="C140" s="1920"/>
      <c r="D140" s="1920"/>
      <c r="E140" s="1920"/>
      <c r="F140" s="1912" t="s">
        <v>5438</v>
      </c>
      <c r="G140" s="1912"/>
      <c r="H140" s="1912"/>
      <c r="I140" s="1912"/>
      <c r="J140" s="1912"/>
      <c r="K140" s="1912"/>
      <c r="L140" s="1912"/>
      <c r="M140" s="1912"/>
      <c r="N140" s="1912"/>
      <c r="O140" s="1912"/>
      <c r="P140" s="1912"/>
      <c r="Q140" s="1912"/>
      <c r="R140" s="1510">
        <v>1</v>
      </c>
      <c r="S140" s="1510"/>
      <c r="T140" s="1510"/>
      <c r="U140" s="1922"/>
      <c r="V140" s="1922"/>
      <c r="W140" s="1510">
        <v>1</v>
      </c>
      <c r="X140" s="1510"/>
      <c r="Y140" s="1510"/>
      <c r="Z140" s="1922"/>
      <c r="AA140" s="1922"/>
    </row>
    <row r="141" spans="1:27" x14ac:dyDescent="0.25">
      <c r="A141" s="1920"/>
      <c r="B141" s="1920"/>
      <c r="C141" s="1920"/>
      <c r="D141" s="1920"/>
      <c r="E141" s="1920"/>
      <c r="F141" s="1912" t="s">
        <v>5439</v>
      </c>
      <c r="G141" s="1912"/>
      <c r="H141" s="1912"/>
      <c r="I141" s="1912"/>
      <c r="J141" s="1912"/>
      <c r="K141" s="1912"/>
      <c r="L141" s="1912"/>
      <c r="M141" s="1912"/>
      <c r="N141" s="1912"/>
      <c r="O141" s="1912"/>
      <c r="P141" s="1912"/>
      <c r="Q141" s="1912"/>
      <c r="R141" s="1510">
        <v>0.3</v>
      </c>
      <c r="S141" s="1510"/>
      <c r="T141" s="1510"/>
      <c r="U141" s="1922"/>
      <c r="V141" s="1922"/>
      <c r="W141" s="1510">
        <v>0.3</v>
      </c>
      <c r="X141" s="1510"/>
      <c r="Y141" s="1510"/>
      <c r="Z141" s="1922"/>
      <c r="AA141" s="1922"/>
    </row>
    <row r="142" spans="1:27" x14ac:dyDescent="0.25">
      <c r="A142" s="1920"/>
      <c r="B142" s="1920"/>
      <c r="C142" s="1920"/>
      <c r="D142" s="1920"/>
      <c r="E142" s="1920"/>
      <c r="F142" s="1912" t="s">
        <v>5440</v>
      </c>
      <c r="G142" s="1912"/>
      <c r="H142" s="1912"/>
      <c r="I142" s="1912"/>
      <c r="J142" s="1912"/>
      <c r="K142" s="1912"/>
      <c r="L142" s="1912"/>
      <c r="M142" s="1912"/>
      <c r="N142" s="1912"/>
      <c r="O142" s="1912"/>
      <c r="P142" s="1912"/>
      <c r="Q142" s="1912"/>
      <c r="R142" s="1510">
        <v>0.2</v>
      </c>
      <c r="S142" s="1510"/>
      <c r="T142" s="1510"/>
      <c r="U142" s="1922"/>
      <c r="V142" s="1922"/>
      <c r="W142" s="1510">
        <v>0.2</v>
      </c>
      <c r="X142" s="1510"/>
      <c r="Y142" s="1510"/>
      <c r="Z142" s="1922"/>
      <c r="AA142" s="1922"/>
    </row>
    <row r="143" spans="1:27" x14ac:dyDescent="0.25">
      <c r="A143" s="1920"/>
      <c r="B143" s="1920"/>
      <c r="C143" s="1920"/>
      <c r="D143" s="1920"/>
      <c r="E143" s="1920"/>
      <c r="F143" s="1912" t="s">
        <v>5442</v>
      </c>
      <c r="G143" s="1912"/>
      <c r="H143" s="1912"/>
      <c r="I143" s="1912"/>
      <c r="J143" s="1912"/>
      <c r="K143" s="1912"/>
      <c r="L143" s="1912"/>
      <c r="M143" s="1912"/>
      <c r="N143" s="1912"/>
      <c r="O143" s="1912"/>
      <c r="P143" s="1912"/>
      <c r="Q143" s="1912"/>
      <c r="R143" s="1510">
        <v>3</v>
      </c>
      <c r="S143" s="1510"/>
      <c r="T143" s="1510"/>
      <c r="U143" s="1922"/>
      <c r="V143" s="1922"/>
      <c r="W143" s="1510">
        <v>3</v>
      </c>
      <c r="X143" s="1510"/>
      <c r="Y143" s="1510"/>
      <c r="Z143" s="1922"/>
      <c r="AA143" s="1922"/>
    </row>
    <row r="144" spans="1:27" x14ac:dyDescent="0.25">
      <c r="A144" s="338"/>
      <c r="B144" s="4"/>
      <c r="C144" s="4"/>
      <c r="D144" s="4"/>
      <c r="E144" s="4"/>
      <c r="F144" s="4"/>
      <c r="G144" s="4"/>
      <c r="H144" s="4"/>
      <c r="I144" s="4"/>
      <c r="J144" s="4"/>
      <c r="K144" s="4"/>
      <c r="L144" s="4"/>
      <c r="M144" s="4"/>
      <c r="N144" s="4"/>
      <c r="O144" s="4"/>
    </row>
    <row r="145" spans="1:32" x14ac:dyDescent="0.25">
      <c r="A145" s="338" t="s">
        <v>5451</v>
      </c>
      <c r="B145" s="4"/>
      <c r="C145" s="4"/>
      <c r="D145" s="4"/>
      <c r="E145" s="4"/>
      <c r="F145" s="4"/>
      <c r="G145" s="4"/>
      <c r="H145" s="4"/>
      <c r="I145" s="4"/>
      <c r="J145" s="4"/>
      <c r="K145" s="4"/>
      <c r="L145" s="4"/>
      <c r="M145" s="4"/>
      <c r="N145" s="4"/>
      <c r="O145" s="4"/>
    </row>
    <row r="146" spans="1:32" x14ac:dyDescent="0.25">
      <c r="A146" s="1311" t="s">
        <v>5433</v>
      </c>
      <c r="B146" s="1508"/>
      <c r="C146" s="1508"/>
      <c r="D146" s="1508"/>
      <c r="E146" s="1508"/>
      <c r="F146" s="1508"/>
      <c r="G146" s="1508"/>
      <c r="H146" s="1508"/>
      <c r="I146" s="1508"/>
      <c r="J146" s="1508"/>
      <c r="K146" s="1508"/>
      <c r="L146" s="1508"/>
      <c r="M146" s="1508"/>
      <c r="N146" s="1508"/>
      <c r="O146" s="1508"/>
      <c r="P146" s="1508"/>
      <c r="Q146" s="1508"/>
      <c r="R146" s="1418" t="s">
        <v>2724</v>
      </c>
      <c r="S146" s="1907"/>
      <c r="T146" s="1908"/>
    </row>
    <row r="147" spans="1:32" x14ac:dyDescent="0.25">
      <c r="A147" s="1311" t="s">
        <v>5436</v>
      </c>
      <c r="B147" s="1920"/>
      <c r="C147" s="1920"/>
      <c r="D147" s="1920"/>
      <c r="E147" s="1920"/>
      <c r="F147" s="1912" t="s">
        <v>5437</v>
      </c>
      <c r="G147" s="1912"/>
      <c r="H147" s="1912"/>
      <c r="I147" s="1912"/>
      <c r="J147" s="1912"/>
      <c r="K147" s="1912"/>
      <c r="L147" s="1912"/>
      <c r="M147" s="1912"/>
      <c r="N147" s="1912"/>
      <c r="O147" s="1912"/>
      <c r="P147" s="1912"/>
      <c r="Q147" s="1912"/>
      <c r="R147" s="1923">
        <v>10</v>
      </c>
      <c r="S147" s="1924"/>
      <c r="T147" s="1925"/>
    </row>
    <row r="148" spans="1:32" x14ac:dyDescent="0.25">
      <c r="A148" s="1920"/>
      <c r="B148" s="1920"/>
      <c r="C148" s="1920"/>
      <c r="D148" s="1920"/>
      <c r="E148" s="1920"/>
      <c r="F148" s="1912" t="s">
        <v>5438</v>
      </c>
      <c r="G148" s="1912"/>
      <c r="H148" s="1912"/>
      <c r="I148" s="1912"/>
      <c r="J148" s="1912"/>
      <c r="K148" s="1912"/>
      <c r="L148" s="1912"/>
      <c r="M148" s="1912"/>
      <c r="N148" s="1912"/>
      <c r="O148" s="1912"/>
      <c r="P148" s="1912"/>
      <c r="Q148" s="1912"/>
      <c r="R148" s="1926">
        <v>15</v>
      </c>
      <c r="S148" s="1907"/>
      <c r="T148" s="1908"/>
    </row>
    <row r="149" spans="1:32" x14ac:dyDescent="0.25">
      <c r="A149" s="1920"/>
      <c r="B149" s="1920"/>
      <c r="C149" s="1920"/>
      <c r="D149" s="1920"/>
      <c r="E149" s="1920"/>
      <c r="F149" s="1912" t="s">
        <v>5439</v>
      </c>
      <c r="G149" s="1912"/>
      <c r="H149" s="1912"/>
      <c r="I149" s="1912"/>
      <c r="J149" s="1912"/>
      <c r="K149" s="1912"/>
      <c r="L149" s="1912"/>
      <c r="M149" s="1912"/>
      <c r="N149" s="1912"/>
      <c r="O149" s="1912"/>
      <c r="P149" s="1912"/>
      <c r="Q149" s="1912"/>
      <c r="R149" s="1926">
        <v>20</v>
      </c>
      <c r="S149" s="1907"/>
      <c r="T149" s="1908"/>
    </row>
    <row r="150" spans="1:32" x14ac:dyDescent="0.25">
      <c r="A150" s="1920"/>
      <c r="B150" s="1920"/>
      <c r="C150" s="1920"/>
      <c r="D150" s="1920"/>
      <c r="E150" s="1920"/>
      <c r="F150" s="1912" t="s">
        <v>5440</v>
      </c>
      <c r="G150" s="1912"/>
      <c r="H150" s="1912"/>
      <c r="I150" s="1912"/>
      <c r="J150" s="1912"/>
      <c r="K150" s="1912"/>
      <c r="L150" s="1912"/>
      <c r="M150" s="1912"/>
      <c r="N150" s="1912"/>
      <c r="O150" s="1912"/>
      <c r="P150" s="1912"/>
      <c r="Q150" s="1912"/>
      <c r="R150" s="1926">
        <v>20</v>
      </c>
      <c r="S150" s="1907"/>
      <c r="T150" s="1908"/>
    </row>
    <row r="151" spans="1:32" x14ac:dyDescent="0.25">
      <c r="A151" s="1311" t="s">
        <v>5441</v>
      </c>
      <c r="B151" s="1920"/>
      <c r="C151" s="1920"/>
      <c r="D151" s="1920"/>
      <c r="E151" s="1920"/>
      <c r="F151" s="1912" t="s">
        <v>5437</v>
      </c>
      <c r="G151" s="1912"/>
      <c r="H151" s="1912"/>
      <c r="I151" s="1912"/>
      <c r="J151" s="1912"/>
      <c r="K151" s="1912"/>
      <c r="L151" s="1912"/>
      <c r="M151" s="1912"/>
      <c r="N151" s="1912"/>
      <c r="O151" s="1912"/>
      <c r="P151" s="1912"/>
      <c r="Q151" s="1912"/>
      <c r="R151" s="1926">
        <v>10</v>
      </c>
      <c r="S151" s="1907"/>
      <c r="T151" s="1908"/>
    </row>
    <row r="152" spans="1:32" x14ac:dyDescent="0.25">
      <c r="A152" s="1920"/>
      <c r="B152" s="1920"/>
      <c r="C152" s="1920"/>
      <c r="D152" s="1920"/>
      <c r="E152" s="1920"/>
      <c r="F152" s="1912" t="s">
        <v>5438</v>
      </c>
      <c r="G152" s="1912"/>
      <c r="H152" s="1912"/>
      <c r="I152" s="1912"/>
      <c r="J152" s="1912"/>
      <c r="K152" s="1912"/>
      <c r="L152" s="1912"/>
      <c r="M152" s="1912"/>
      <c r="N152" s="1912"/>
      <c r="O152" s="1912"/>
      <c r="P152" s="1912"/>
      <c r="Q152" s="1912"/>
      <c r="R152" s="1926">
        <v>15</v>
      </c>
      <c r="S152" s="1907"/>
      <c r="T152" s="1908"/>
    </row>
    <row r="153" spans="1:32" x14ac:dyDescent="0.25">
      <c r="A153" s="1920"/>
      <c r="B153" s="1920"/>
      <c r="C153" s="1920"/>
      <c r="D153" s="1920"/>
      <c r="E153" s="1920"/>
      <c r="F153" s="1912" t="s">
        <v>5439</v>
      </c>
      <c r="G153" s="1912"/>
      <c r="H153" s="1912"/>
      <c r="I153" s="1912"/>
      <c r="J153" s="1912"/>
      <c r="K153" s="1912"/>
      <c r="L153" s="1912"/>
      <c r="M153" s="1912"/>
      <c r="N153" s="1912"/>
      <c r="O153" s="1912"/>
      <c r="P153" s="1912"/>
      <c r="Q153" s="1912"/>
      <c r="R153" s="1926">
        <v>20</v>
      </c>
      <c r="S153" s="1907"/>
      <c r="T153" s="1908"/>
    </row>
    <row r="154" spans="1:32" x14ac:dyDescent="0.25">
      <c r="A154" s="1920"/>
      <c r="B154" s="1920"/>
      <c r="C154" s="1920"/>
      <c r="D154" s="1920"/>
      <c r="E154" s="1920"/>
      <c r="F154" s="1912" t="s">
        <v>5440</v>
      </c>
      <c r="G154" s="1912"/>
      <c r="H154" s="1912"/>
      <c r="I154" s="1912"/>
      <c r="J154" s="1912"/>
      <c r="K154" s="1912"/>
      <c r="L154" s="1912"/>
      <c r="M154" s="1912"/>
      <c r="N154" s="1912"/>
      <c r="O154" s="1912"/>
      <c r="P154" s="1912"/>
      <c r="Q154" s="1912"/>
      <c r="R154" s="1926">
        <v>20</v>
      </c>
      <c r="S154" s="1907"/>
      <c r="T154" s="1908"/>
    </row>
    <row r="155" spans="1:32" x14ac:dyDescent="0.25">
      <c r="A155" s="1920"/>
      <c r="B155" s="1920"/>
      <c r="C155" s="1920"/>
      <c r="D155" s="1920"/>
      <c r="E155" s="1920"/>
      <c r="F155" s="1912" t="s">
        <v>5442</v>
      </c>
      <c r="G155" s="1912"/>
      <c r="H155" s="1912"/>
      <c r="I155" s="1912"/>
      <c r="J155" s="1912"/>
      <c r="K155" s="1912"/>
      <c r="L155" s="1912"/>
      <c r="M155" s="1912"/>
      <c r="N155" s="1912"/>
      <c r="O155" s="1912"/>
      <c r="P155" s="1912"/>
      <c r="Q155" s="1912"/>
      <c r="R155" s="1926">
        <v>10</v>
      </c>
      <c r="S155" s="1907"/>
      <c r="T155" s="1908"/>
    </row>
    <row r="157" spans="1:32" ht="30" customHeight="1" x14ac:dyDescent="0.25">
      <c r="A157" s="1927" t="s">
        <v>5452</v>
      </c>
      <c r="B157" s="1928"/>
      <c r="C157" s="1928"/>
      <c r="D157" s="1928"/>
      <c r="E157" s="1928"/>
      <c r="F157" s="1928"/>
      <c r="G157" s="1928"/>
      <c r="H157" s="1928"/>
      <c r="I157" s="1928"/>
      <c r="J157" s="1928"/>
      <c r="K157" s="1928"/>
      <c r="L157" s="1928"/>
      <c r="M157" s="1928"/>
      <c r="N157" s="1928"/>
      <c r="O157" s="1928"/>
      <c r="P157" s="1928"/>
      <c r="Q157" s="1928"/>
      <c r="R157" s="1928"/>
      <c r="S157" s="1928"/>
      <c r="T157" s="1928"/>
      <c r="U157" s="1928"/>
      <c r="V157" s="1928"/>
      <c r="W157" s="1928"/>
      <c r="X157" s="1928"/>
      <c r="Y157" s="1928"/>
      <c r="Z157" s="1928"/>
      <c r="AA157" s="1928"/>
      <c r="AB157" s="1928"/>
      <c r="AC157" s="1928"/>
      <c r="AD157" s="1928"/>
      <c r="AE157" s="1928"/>
      <c r="AF157" s="1928"/>
    </row>
    <row r="158" spans="1:32" ht="45" customHeight="1" x14ac:dyDescent="0.25">
      <c r="A158" s="1311" t="s">
        <v>5433</v>
      </c>
      <c r="B158" s="1508"/>
      <c r="C158" s="1508"/>
      <c r="D158" s="1508"/>
      <c r="E158" s="1508"/>
      <c r="F158" s="1508"/>
      <c r="G158" s="1508"/>
      <c r="H158" s="1508"/>
      <c r="I158" s="1508"/>
      <c r="J158" s="1508"/>
      <c r="K158" s="1508"/>
      <c r="L158" s="1508"/>
      <c r="M158" s="1508"/>
      <c r="N158" s="1508"/>
      <c r="O158" s="1508"/>
      <c r="P158" s="1508"/>
      <c r="Q158" s="1508"/>
      <c r="R158" s="1311" t="s">
        <v>5453</v>
      </c>
      <c r="S158" s="1303"/>
      <c r="T158" s="1303"/>
      <c r="U158" s="1303"/>
      <c r="V158" s="1311" t="s">
        <v>5454</v>
      </c>
      <c r="W158" s="1506"/>
      <c r="X158" s="1506"/>
      <c r="Y158" s="1506"/>
      <c r="Z158" s="1311" t="s">
        <v>5455</v>
      </c>
      <c r="AA158" s="1508"/>
      <c r="AB158" s="1508"/>
      <c r="AC158" s="1508"/>
      <c r="AD158" s="1311" t="s">
        <v>275</v>
      </c>
      <c r="AE158" s="1920"/>
      <c r="AF158" s="1920"/>
    </row>
    <row r="159" spans="1:32" x14ac:dyDescent="0.25">
      <c r="A159" s="1311" t="s">
        <v>5456</v>
      </c>
      <c r="B159" s="1920"/>
      <c r="C159" s="1920"/>
      <c r="D159" s="1920"/>
      <c r="E159" s="1920"/>
      <c r="F159" s="1912" t="s">
        <v>5437</v>
      </c>
      <c r="G159" s="1912"/>
      <c r="H159" s="1912"/>
      <c r="I159" s="1912"/>
      <c r="J159" s="1912"/>
      <c r="K159" s="1912"/>
      <c r="L159" s="1912"/>
      <c r="M159" s="1912"/>
      <c r="N159" s="1912"/>
      <c r="O159" s="1912"/>
      <c r="P159" s="1912"/>
      <c r="Q159" s="1912"/>
      <c r="R159" s="1930">
        <v>6917</v>
      </c>
      <c r="S159" s="1930"/>
      <c r="T159" s="1930"/>
      <c r="U159" s="1930"/>
      <c r="V159" s="1931">
        <v>4404</v>
      </c>
      <c r="W159" s="1754"/>
      <c r="X159" s="1754"/>
      <c r="Y159" s="1754"/>
      <c r="Z159" s="1932">
        <f>R159-V159</f>
        <v>2513</v>
      </c>
      <c r="AA159" s="1754"/>
      <c r="AB159" s="1754"/>
      <c r="AC159" s="1754"/>
      <c r="AD159" s="1929">
        <f>Q$94*Z159/Q$93</f>
        <v>0.42457077625570772</v>
      </c>
      <c r="AE159" s="1508"/>
      <c r="AF159" s="1508"/>
    </row>
    <row r="160" spans="1:32" x14ac:dyDescent="0.25">
      <c r="A160" s="1920"/>
      <c r="B160" s="1920"/>
      <c r="C160" s="1920"/>
      <c r="D160" s="1920"/>
      <c r="E160" s="1920"/>
      <c r="F160" s="1912" t="s">
        <v>5438</v>
      </c>
      <c r="G160" s="1912"/>
      <c r="H160" s="1912"/>
      <c r="I160" s="1912"/>
      <c r="J160" s="1912"/>
      <c r="K160" s="1912"/>
      <c r="L160" s="1912"/>
      <c r="M160" s="1912"/>
      <c r="N160" s="1912"/>
      <c r="O160" s="1912"/>
      <c r="P160" s="1912"/>
      <c r="Q160" s="1912"/>
      <c r="R160" s="1930">
        <v>19079</v>
      </c>
      <c r="S160" s="1930"/>
      <c r="T160" s="1930"/>
      <c r="U160" s="1930"/>
      <c r="V160" s="1931">
        <v>10605</v>
      </c>
      <c r="W160" s="1754"/>
      <c r="X160" s="1754"/>
      <c r="Y160" s="1754"/>
      <c r="Z160" s="1932">
        <f t="shared" ref="Z160:Z166" si="0">R160-V160</f>
        <v>8474</v>
      </c>
      <c r="AA160" s="1754"/>
      <c r="AB160" s="1754"/>
      <c r="AC160" s="1754"/>
      <c r="AD160" s="1929">
        <f t="shared" ref="AD160:AD167" si="1">Q$94*Z160/Q$93</f>
        <v>1.4316803652968038</v>
      </c>
      <c r="AE160" s="1508"/>
      <c r="AF160" s="1508"/>
    </row>
    <row r="161" spans="1:32" x14ac:dyDescent="0.25">
      <c r="A161" s="1920"/>
      <c r="B161" s="1920"/>
      <c r="C161" s="1920"/>
      <c r="D161" s="1920"/>
      <c r="E161" s="1920"/>
      <c r="F161" s="1912" t="s">
        <v>5439</v>
      </c>
      <c r="G161" s="1912"/>
      <c r="H161" s="1912"/>
      <c r="I161" s="1912"/>
      <c r="J161" s="1912"/>
      <c r="K161" s="1912"/>
      <c r="L161" s="1912"/>
      <c r="M161" s="1912"/>
      <c r="N161" s="1912"/>
      <c r="O161" s="1912"/>
      <c r="P161" s="1912"/>
      <c r="Q161" s="1912"/>
      <c r="R161" s="1930">
        <v>26548</v>
      </c>
      <c r="S161" s="1930"/>
      <c r="T161" s="1930"/>
      <c r="U161" s="1930"/>
      <c r="V161" s="1930">
        <v>15563</v>
      </c>
      <c r="W161" s="1930"/>
      <c r="X161" s="1930"/>
      <c r="Y161" s="1930"/>
      <c r="Z161" s="1932">
        <f t="shared" si="0"/>
        <v>10985</v>
      </c>
      <c r="AA161" s="1754"/>
      <c r="AB161" s="1754"/>
      <c r="AC161" s="1754"/>
      <c r="AD161" s="1929">
        <f t="shared" si="1"/>
        <v>1.8559132420091324</v>
      </c>
      <c r="AE161" s="1508"/>
      <c r="AF161" s="1508"/>
    </row>
    <row r="162" spans="1:32" x14ac:dyDescent="0.25">
      <c r="A162" s="1920"/>
      <c r="B162" s="1920"/>
      <c r="C162" s="1920"/>
      <c r="D162" s="1920"/>
      <c r="E162" s="1920"/>
      <c r="F162" s="1912" t="s">
        <v>5440</v>
      </c>
      <c r="G162" s="1912"/>
      <c r="H162" s="1912"/>
      <c r="I162" s="1912"/>
      <c r="J162" s="1912"/>
      <c r="K162" s="1912"/>
      <c r="L162" s="1912"/>
      <c r="M162" s="1912"/>
      <c r="N162" s="1912"/>
      <c r="O162" s="1912"/>
      <c r="P162" s="1912"/>
      <c r="Q162" s="1912"/>
      <c r="R162" s="1930">
        <v>31496</v>
      </c>
      <c r="S162" s="1930"/>
      <c r="T162" s="1930"/>
      <c r="U162" s="1930"/>
      <c r="V162" s="1930">
        <v>16214</v>
      </c>
      <c r="W162" s="1930"/>
      <c r="X162" s="1930"/>
      <c r="Y162" s="1930"/>
      <c r="Z162" s="1932">
        <f t="shared" si="0"/>
        <v>15282</v>
      </c>
      <c r="AA162" s="1754"/>
      <c r="AB162" s="1754"/>
      <c r="AC162" s="1754"/>
      <c r="AD162" s="1929">
        <f t="shared" si="1"/>
        <v>2.5818904109589043</v>
      </c>
      <c r="AE162" s="1508"/>
      <c r="AF162" s="1508"/>
    </row>
    <row r="163" spans="1:32" x14ac:dyDescent="0.25">
      <c r="A163" s="1311" t="s">
        <v>5441</v>
      </c>
      <c r="B163" s="1920"/>
      <c r="C163" s="1920"/>
      <c r="D163" s="1920"/>
      <c r="E163" s="1920"/>
      <c r="F163" s="1912" t="s">
        <v>5437</v>
      </c>
      <c r="G163" s="1912"/>
      <c r="H163" s="1912"/>
      <c r="I163" s="1912"/>
      <c r="J163" s="1912"/>
      <c r="K163" s="1912"/>
      <c r="L163" s="1912"/>
      <c r="M163" s="1912"/>
      <c r="N163" s="1912"/>
      <c r="O163" s="1912"/>
      <c r="P163" s="1912"/>
      <c r="Q163" s="1912"/>
      <c r="R163" s="1930">
        <v>7987</v>
      </c>
      <c r="S163" s="1930"/>
      <c r="T163" s="1930"/>
      <c r="U163" s="1930"/>
      <c r="V163" s="1930">
        <v>5172</v>
      </c>
      <c r="W163" s="1930"/>
      <c r="X163" s="1930"/>
      <c r="Y163" s="1930"/>
      <c r="Z163" s="1932">
        <f t="shared" si="0"/>
        <v>2815</v>
      </c>
      <c r="AA163" s="1754"/>
      <c r="AB163" s="1754"/>
      <c r="AC163" s="1754"/>
      <c r="AD163" s="1929">
        <f t="shared" si="1"/>
        <v>0.47559360730593603</v>
      </c>
      <c r="AE163" s="1508"/>
      <c r="AF163" s="1508"/>
    </row>
    <row r="164" spans="1:32" x14ac:dyDescent="0.25">
      <c r="A164" s="1920"/>
      <c r="B164" s="1920"/>
      <c r="C164" s="1920"/>
      <c r="D164" s="1920"/>
      <c r="E164" s="1920"/>
      <c r="F164" s="1912" t="s">
        <v>5438</v>
      </c>
      <c r="G164" s="1912"/>
      <c r="H164" s="1912"/>
      <c r="I164" s="1912"/>
      <c r="J164" s="1912"/>
      <c r="K164" s="1912"/>
      <c r="L164" s="1912"/>
      <c r="M164" s="1912"/>
      <c r="N164" s="1912"/>
      <c r="O164" s="1912"/>
      <c r="P164" s="1912"/>
      <c r="Q164" s="1912"/>
      <c r="R164" s="1930">
        <v>20154</v>
      </c>
      <c r="S164" s="1930"/>
      <c r="T164" s="1930"/>
      <c r="U164" s="1930"/>
      <c r="V164" s="1930">
        <v>13728</v>
      </c>
      <c r="W164" s="1930"/>
      <c r="X164" s="1930"/>
      <c r="Y164" s="1930"/>
      <c r="Z164" s="1932">
        <f t="shared" si="0"/>
        <v>6426</v>
      </c>
      <c r="AA164" s="1754"/>
      <c r="AB164" s="1754"/>
      <c r="AC164" s="1754"/>
      <c r="AD164" s="1929">
        <f t="shared" si="1"/>
        <v>1.0856712328767122</v>
      </c>
      <c r="AE164" s="1508"/>
      <c r="AF164" s="1508"/>
    </row>
    <row r="165" spans="1:32" x14ac:dyDescent="0.25">
      <c r="A165" s="1920"/>
      <c r="B165" s="1920"/>
      <c r="C165" s="1920"/>
      <c r="D165" s="1920"/>
      <c r="E165" s="1920"/>
      <c r="F165" s="1912" t="s">
        <v>5439</v>
      </c>
      <c r="G165" s="1912"/>
      <c r="H165" s="1912"/>
      <c r="I165" s="1912"/>
      <c r="J165" s="1912"/>
      <c r="K165" s="1912"/>
      <c r="L165" s="1912"/>
      <c r="M165" s="1912"/>
      <c r="N165" s="1912"/>
      <c r="O165" s="1912"/>
      <c r="P165" s="1912"/>
      <c r="Q165" s="1912"/>
      <c r="R165" s="1930">
        <v>29312</v>
      </c>
      <c r="S165" s="1930"/>
      <c r="T165" s="1930"/>
      <c r="U165" s="1930"/>
      <c r="V165" s="1930">
        <v>22211</v>
      </c>
      <c r="W165" s="1930"/>
      <c r="X165" s="1930"/>
      <c r="Y165" s="1930"/>
      <c r="Z165" s="1932">
        <f t="shared" si="0"/>
        <v>7101</v>
      </c>
      <c r="AA165" s="1754"/>
      <c r="AB165" s="1754"/>
      <c r="AC165" s="1754"/>
      <c r="AD165" s="1929">
        <f t="shared" si="1"/>
        <v>1.1997123287671232</v>
      </c>
      <c r="AE165" s="1508"/>
      <c r="AF165" s="1508"/>
    </row>
    <row r="166" spans="1:32" x14ac:dyDescent="0.25">
      <c r="A166" s="1920"/>
      <c r="B166" s="1920"/>
      <c r="C166" s="1920"/>
      <c r="D166" s="1920"/>
      <c r="E166" s="1920"/>
      <c r="F166" s="1912" t="s">
        <v>5440</v>
      </c>
      <c r="G166" s="1912"/>
      <c r="H166" s="1912"/>
      <c r="I166" s="1912"/>
      <c r="J166" s="1912"/>
      <c r="K166" s="1912"/>
      <c r="L166" s="1912"/>
      <c r="M166" s="1912"/>
      <c r="N166" s="1912"/>
      <c r="O166" s="1912"/>
      <c r="P166" s="1912"/>
      <c r="Q166" s="1912"/>
      <c r="R166" s="1930">
        <v>46539</v>
      </c>
      <c r="S166" s="1930"/>
      <c r="T166" s="1930"/>
      <c r="U166" s="1930"/>
      <c r="V166" s="1930">
        <v>27498</v>
      </c>
      <c r="W166" s="1930"/>
      <c r="X166" s="1930"/>
      <c r="Y166" s="1930"/>
      <c r="Z166" s="1932">
        <f t="shared" si="0"/>
        <v>19041</v>
      </c>
      <c r="AA166" s="1754"/>
      <c r="AB166" s="1754"/>
      <c r="AC166" s="1754"/>
      <c r="AD166" s="1929">
        <f t="shared" si="1"/>
        <v>3.2169726027397259</v>
      </c>
      <c r="AE166" s="1508"/>
      <c r="AF166" s="1508"/>
    </row>
    <row r="167" spans="1:32" x14ac:dyDescent="0.25">
      <c r="A167" s="1920"/>
      <c r="B167" s="1920"/>
      <c r="C167" s="1920"/>
      <c r="D167" s="1920"/>
      <c r="E167" s="1920"/>
      <c r="F167" s="1912" t="s">
        <v>5442</v>
      </c>
      <c r="G167" s="1912"/>
      <c r="H167" s="1912"/>
      <c r="I167" s="1912"/>
      <c r="J167" s="1912"/>
      <c r="K167" s="1912"/>
      <c r="L167" s="1912"/>
      <c r="M167" s="1912"/>
      <c r="N167" s="1912"/>
      <c r="O167" s="1912"/>
      <c r="P167" s="1912"/>
      <c r="Q167" s="1912"/>
      <c r="R167" s="1930">
        <v>13445</v>
      </c>
      <c r="S167" s="1930"/>
      <c r="T167" s="1930"/>
      <c r="U167" s="1930"/>
      <c r="V167" s="1930">
        <v>11049</v>
      </c>
      <c r="W167" s="1930"/>
      <c r="X167" s="1930"/>
      <c r="Y167" s="1930"/>
      <c r="Z167" s="1932">
        <f>R167-V167</f>
        <v>2396</v>
      </c>
      <c r="AA167" s="1754"/>
      <c r="AB167" s="1754"/>
      <c r="AC167" s="1754"/>
      <c r="AD167" s="1929">
        <f t="shared" si="1"/>
        <v>0.4048036529680365</v>
      </c>
      <c r="AE167" s="1508"/>
      <c r="AF167" s="1508"/>
    </row>
    <row r="168" spans="1:32" x14ac:dyDescent="0.25">
      <c r="A168" s="672" t="s">
        <v>5457</v>
      </c>
      <c r="B168" s="4"/>
      <c r="C168" s="4"/>
      <c r="D168" s="4"/>
      <c r="E168" s="4"/>
      <c r="F168" s="4"/>
      <c r="G168" s="4"/>
      <c r="H168" s="4"/>
      <c r="I168" s="4"/>
      <c r="J168" s="4"/>
      <c r="K168" s="4"/>
      <c r="L168" s="4"/>
      <c r="M168" s="4"/>
      <c r="N168" s="4"/>
      <c r="O168" s="4"/>
    </row>
    <row r="169" spans="1:32" x14ac:dyDescent="0.25">
      <c r="A169" s="338"/>
      <c r="B169" s="4"/>
      <c r="C169" s="4"/>
      <c r="D169" s="4"/>
      <c r="E169" s="4"/>
      <c r="F169" s="4"/>
      <c r="G169" s="4"/>
      <c r="H169" s="4"/>
      <c r="I169" s="4"/>
      <c r="J169" s="4"/>
      <c r="K169" s="4"/>
      <c r="L169" s="4"/>
      <c r="M169" s="4"/>
      <c r="N169" s="4"/>
      <c r="O169" s="4"/>
    </row>
    <row r="170" spans="1:32" ht="30.75" customHeight="1" x14ac:dyDescent="0.25">
      <c r="A170" s="1927" t="s">
        <v>5458</v>
      </c>
      <c r="B170" s="1928"/>
      <c r="C170" s="1928"/>
      <c r="D170" s="1928"/>
      <c r="E170" s="1928"/>
      <c r="F170" s="1928"/>
      <c r="G170" s="1928"/>
      <c r="H170" s="1928"/>
      <c r="I170" s="1928"/>
      <c r="J170" s="1928"/>
      <c r="K170" s="1928"/>
      <c r="L170" s="1928"/>
      <c r="M170" s="1928"/>
      <c r="N170" s="1928"/>
      <c r="O170" s="1928"/>
      <c r="P170" s="1928"/>
      <c r="Q170" s="1928"/>
      <c r="R170" s="1928"/>
      <c r="S170" s="1928"/>
      <c r="T170" s="1928"/>
      <c r="U170" s="1928"/>
      <c r="V170" s="1928"/>
      <c r="W170" s="1928"/>
      <c r="X170" s="1928"/>
      <c r="Y170" s="1928"/>
      <c r="Z170" s="1928"/>
      <c r="AA170" s="1928"/>
      <c r="AB170" s="1928"/>
      <c r="AC170" s="1928"/>
      <c r="AD170" s="1928"/>
      <c r="AE170" s="1928"/>
      <c r="AF170" s="1928"/>
    </row>
    <row r="171" spans="1:32" ht="45" customHeight="1" x14ac:dyDescent="0.25">
      <c r="A171" s="1311" t="s">
        <v>5433</v>
      </c>
      <c r="B171" s="1508"/>
      <c r="C171" s="1508"/>
      <c r="D171" s="1508"/>
      <c r="E171" s="1508"/>
      <c r="F171" s="1508"/>
      <c r="G171" s="1508"/>
      <c r="H171" s="1508"/>
      <c r="I171" s="1508"/>
      <c r="J171" s="1508"/>
      <c r="K171" s="1508"/>
      <c r="L171" s="1508"/>
      <c r="M171" s="1508"/>
      <c r="N171" s="1508"/>
      <c r="O171" s="1508"/>
      <c r="P171" s="1508"/>
      <c r="Q171" s="1508"/>
      <c r="R171" s="1311" t="s">
        <v>5453</v>
      </c>
      <c r="S171" s="1303"/>
      <c r="T171" s="1303"/>
      <c r="U171" s="1303"/>
      <c r="V171" s="1311" t="s">
        <v>5454</v>
      </c>
      <c r="W171" s="1506"/>
      <c r="X171" s="1506"/>
      <c r="Y171" s="1506"/>
      <c r="Z171" s="1311" t="s">
        <v>5455</v>
      </c>
      <c r="AA171" s="1508"/>
      <c r="AB171" s="1508"/>
      <c r="AC171" s="1508"/>
      <c r="AD171" s="1311" t="s">
        <v>275</v>
      </c>
      <c r="AE171" s="1920"/>
      <c r="AF171" s="1920"/>
    </row>
    <row r="172" spans="1:32" x14ac:dyDescent="0.25">
      <c r="A172" s="1311" t="s">
        <v>5456</v>
      </c>
      <c r="B172" s="1920"/>
      <c r="C172" s="1920"/>
      <c r="D172" s="1920"/>
      <c r="E172" s="1920"/>
      <c r="F172" s="1912" t="s">
        <v>5437</v>
      </c>
      <c r="G172" s="1912"/>
      <c r="H172" s="1912"/>
      <c r="I172" s="1912"/>
      <c r="J172" s="1912"/>
      <c r="K172" s="1912"/>
      <c r="L172" s="1912"/>
      <c r="M172" s="1912"/>
      <c r="N172" s="1912"/>
      <c r="O172" s="1912"/>
      <c r="P172" s="1912"/>
      <c r="Q172" s="1912"/>
      <c r="R172" s="1930">
        <v>6917</v>
      </c>
      <c r="S172" s="1930"/>
      <c r="T172" s="1930"/>
      <c r="U172" s="1930"/>
      <c r="V172" s="1931">
        <v>4404</v>
      </c>
      <c r="W172" s="1754"/>
      <c r="X172" s="1754"/>
      <c r="Y172" s="1754"/>
      <c r="Z172" s="1932">
        <f>R172-V172</f>
        <v>2513</v>
      </c>
      <c r="AA172" s="1754"/>
      <c r="AB172" s="1754"/>
      <c r="AC172" s="1754"/>
      <c r="AD172" s="1929">
        <f t="shared" ref="AD172:AD180" si="2">Q$94*Z172/Q$93</f>
        <v>0.42457077625570772</v>
      </c>
      <c r="AE172" s="1508"/>
      <c r="AF172" s="1508"/>
    </row>
    <row r="173" spans="1:32" x14ac:dyDescent="0.25">
      <c r="A173" s="1920"/>
      <c r="B173" s="1920"/>
      <c r="C173" s="1920"/>
      <c r="D173" s="1920"/>
      <c r="E173" s="1920"/>
      <c r="F173" s="1912" t="s">
        <v>5438</v>
      </c>
      <c r="G173" s="1912"/>
      <c r="H173" s="1912"/>
      <c r="I173" s="1912"/>
      <c r="J173" s="1912"/>
      <c r="K173" s="1912"/>
      <c r="L173" s="1912"/>
      <c r="M173" s="1912"/>
      <c r="N173" s="1912"/>
      <c r="O173" s="1912"/>
      <c r="P173" s="1912"/>
      <c r="Q173" s="1912"/>
      <c r="R173" s="1930">
        <v>19079</v>
      </c>
      <c r="S173" s="1930"/>
      <c r="T173" s="1930"/>
      <c r="U173" s="1930"/>
      <c r="V173" s="1931">
        <v>10605</v>
      </c>
      <c r="W173" s="1754"/>
      <c r="X173" s="1754"/>
      <c r="Y173" s="1754"/>
      <c r="Z173" s="1932">
        <f t="shared" ref="Z173:Z180" si="3">R173-V173</f>
        <v>8474</v>
      </c>
      <c r="AA173" s="1754"/>
      <c r="AB173" s="1754"/>
      <c r="AC173" s="1754"/>
      <c r="AD173" s="1929">
        <f t="shared" si="2"/>
        <v>1.4316803652968038</v>
      </c>
      <c r="AE173" s="1508"/>
      <c r="AF173" s="1508"/>
    </row>
    <row r="174" spans="1:32" x14ac:dyDescent="0.25">
      <c r="A174" s="1920"/>
      <c r="B174" s="1920"/>
      <c r="C174" s="1920"/>
      <c r="D174" s="1920"/>
      <c r="E174" s="1920"/>
      <c r="F174" s="1912" t="s">
        <v>5439</v>
      </c>
      <c r="G174" s="1912"/>
      <c r="H174" s="1912"/>
      <c r="I174" s="1912"/>
      <c r="J174" s="1912"/>
      <c r="K174" s="1912"/>
      <c r="L174" s="1912"/>
      <c r="M174" s="1912"/>
      <c r="N174" s="1912"/>
      <c r="O174" s="1912"/>
      <c r="P174" s="1912"/>
      <c r="Q174" s="1912"/>
      <c r="R174" s="1930">
        <v>26548</v>
      </c>
      <c r="S174" s="1930"/>
      <c r="T174" s="1930"/>
      <c r="U174" s="1930"/>
      <c r="V174" s="1930">
        <v>15563</v>
      </c>
      <c r="W174" s="1930"/>
      <c r="X174" s="1930"/>
      <c r="Y174" s="1930"/>
      <c r="Z174" s="1932">
        <f t="shared" si="3"/>
        <v>10985</v>
      </c>
      <c r="AA174" s="1754"/>
      <c r="AB174" s="1754"/>
      <c r="AC174" s="1754"/>
      <c r="AD174" s="1929">
        <f t="shared" si="2"/>
        <v>1.8559132420091324</v>
      </c>
      <c r="AE174" s="1508"/>
      <c r="AF174" s="1508"/>
    </row>
    <row r="175" spans="1:32" x14ac:dyDescent="0.25">
      <c r="A175" s="1920"/>
      <c r="B175" s="1920"/>
      <c r="C175" s="1920"/>
      <c r="D175" s="1920"/>
      <c r="E175" s="1920"/>
      <c r="F175" s="1912" t="s">
        <v>5440</v>
      </c>
      <c r="G175" s="1912"/>
      <c r="H175" s="1912"/>
      <c r="I175" s="1912"/>
      <c r="J175" s="1912"/>
      <c r="K175" s="1912"/>
      <c r="L175" s="1912"/>
      <c r="M175" s="1912"/>
      <c r="N175" s="1912"/>
      <c r="O175" s="1912"/>
      <c r="P175" s="1912"/>
      <c r="Q175" s="1912"/>
      <c r="R175" s="1930">
        <v>31496</v>
      </c>
      <c r="S175" s="1930"/>
      <c r="T175" s="1930"/>
      <c r="U175" s="1930"/>
      <c r="V175" s="1930">
        <v>16214</v>
      </c>
      <c r="W175" s="1930"/>
      <c r="X175" s="1930"/>
      <c r="Y175" s="1930"/>
      <c r="Z175" s="1932">
        <f t="shared" si="3"/>
        <v>15282</v>
      </c>
      <c r="AA175" s="1754"/>
      <c r="AB175" s="1754"/>
      <c r="AC175" s="1754"/>
      <c r="AD175" s="1929">
        <f t="shared" si="2"/>
        <v>2.5818904109589043</v>
      </c>
      <c r="AE175" s="1508"/>
      <c r="AF175" s="1508"/>
    </row>
    <row r="176" spans="1:32" x14ac:dyDescent="0.25">
      <c r="A176" s="1311" t="s">
        <v>5441</v>
      </c>
      <c r="B176" s="1920"/>
      <c r="C176" s="1920"/>
      <c r="D176" s="1920"/>
      <c r="E176" s="1920"/>
      <c r="F176" s="1912" t="s">
        <v>5437</v>
      </c>
      <c r="G176" s="1912"/>
      <c r="H176" s="1912"/>
      <c r="I176" s="1912"/>
      <c r="J176" s="1912"/>
      <c r="K176" s="1912"/>
      <c r="L176" s="1912"/>
      <c r="M176" s="1912"/>
      <c r="N176" s="1912"/>
      <c r="O176" s="1912"/>
      <c r="P176" s="1912"/>
      <c r="Q176" s="1912"/>
      <c r="R176" s="1930">
        <v>6036</v>
      </c>
      <c r="S176" s="1930"/>
      <c r="T176" s="1930"/>
      <c r="U176" s="1930"/>
      <c r="V176" s="1930">
        <v>3633</v>
      </c>
      <c r="W176" s="1930"/>
      <c r="X176" s="1930"/>
      <c r="Y176" s="1930"/>
      <c r="Z176" s="1932">
        <f t="shared" si="3"/>
        <v>2403</v>
      </c>
      <c r="AA176" s="1754"/>
      <c r="AB176" s="1754"/>
      <c r="AC176" s="1754"/>
      <c r="AD176" s="1929">
        <f t="shared" si="2"/>
        <v>0.40598630136986302</v>
      </c>
      <c r="AE176" s="1508"/>
      <c r="AF176" s="1508"/>
    </row>
    <row r="177" spans="1:32" x14ac:dyDescent="0.25">
      <c r="A177" s="1920"/>
      <c r="B177" s="1920"/>
      <c r="C177" s="1920"/>
      <c r="D177" s="1920"/>
      <c r="E177" s="1920"/>
      <c r="F177" s="1912" t="s">
        <v>5438</v>
      </c>
      <c r="G177" s="1912"/>
      <c r="H177" s="1912"/>
      <c r="I177" s="1912"/>
      <c r="J177" s="1912"/>
      <c r="K177" s="1912"/>
      <c r="L177" s="1912"/>
      <c r="M177" s="1912"/>
      <c r="N177" s="1912"/>
      <c r="O177" s="1912"/>
      <c r="P177" s="1912"/>
      <c r="Q177" s="1912"/>
      <c r="R177" s="1930">
        <v>13644</v>
      </c>
      <c r="S177" s="1930"/>
      <c r="T177" s="1930"/>
      <c r="U177" s="1930"/>
      <c r="V177" s="1930">
        <v>9236</v>
      </c>
      <c r="W177" s="1930"/>
      <c r="X177" s="1930"/>
      <c r="Y177" s="1930"/>
      <c r="Z177" s="1932">
        <f t="shared" si="3"/>
        <v>4408</v>
      </c>
      <c r="AA177" s="1754"/>
      <c r="AB177" s="1754"/>
      <c r="AC177" s="1754"/>
      <c r="AD177" s="1929">
        <f t="shared" si="2"/>
        <v>0.74473059360730598</v>
      </c>
      <c r="AE177" s="1508"/>
      <c r="AF177" s="1508"/>
    </row>
    <row r="178" spans="1:32" x14ac:dyDescent="0.25">
      <c r="A178" s="1920"/>
      <c r="B178" s="1920"/>
      <c r="C178" s="1920"/>
      <c r="D178" s="1920"/>
      <c r="E178" s="1920"/>
      <c r="F178" s="1912" t="s">
        <v>5439</v>
      </c>
      <c r="G178" s="1912"/>
      <c r="H178" s="1912"/>
      <c r="I178" s="1912"/>
      <c r="J178" s="1912"/>
      <c r="K178" s="1912"/>
      <c r="L178" s="1912"/>
      <c r="M178" s="1912"/>
      <c r="N178" s="1912"/>
      <c r="O178" s="1912"/>
      <c r="P178" s="1912"/>
      <c r="Q178" s="1912"/>
      <c r="R178" s="1930">
        <v>21008</v>
      </c>
      <c r="S178" s="1930"/>
      <c r="T178" s="1930"/>
      <c r="U178" s="1930"/>
      <c r="V178" s="1930">
        <v>15529</v>
      </c>
      <c r="W178" s="1930"/>
      <c r="X178" s="1930"/>
      <c r="Y178" s="1930"/>
      <c r="Z178" s="1932">
        <f t="shared" si="3"/>
        <v>5479</v>
      </c>
      <c r="AA178" s="1754"/>
      <c r="AB178" s="1754"/>
      <c r="AC178" s="1754"/>
      <c r="AD178" s="1929">
        <f t="shared" si="2"/>
        <v>0.92567579908675801</v>
      </c>
      <c r="AE178" s="1508"/>
      <c r="AF178" s="1508"/>
    </row>
    <row r="179" spans="1:32" x14ac:dyDescent="0.25">
      <c r="A179" s="1920"/>
      <c r="B179" s="1920"/>
      <c r="C179" s="1920"/>
      <c r="D179" s="1920"/>
      <c r="E179" s="1920"/>
      <c r="F179" s="1912" t="s">
        <v>5440</v>
      </c>
      <c r="G179" s="1912"/>
      <c r="H179" s="1912"/>
      <c r="I179" s="1912"/>
      <c r="J179" s="1912"/>
      <c r="K179" s="1912"/>
      <c r="L179" s="1912"/>
      <c r="M179" s="1912"/>
      <c r="N179" s="1912"/>
      <c r="O179" s="1912"/>
      <c r="P179" s="1912"/>
      <c r="Q179" s="1912"/>
      <c r="R179" s="1930">
        <v>32652</v>
      </c>
      <c r="S179" s="1930"/>
      <c r="T179" s="1930"/>
      <c r="U179" s="1930"/>
      <c r="V179" s="1930">
        <v>19766</v>
      </c>
      <c r="W179" s="1930"/>
      <c r="X179" s="1930"/>
      <c r="Y179" s="1930"/>
      <c r="Z179" s="1932">
        <f t="shared" si="3"/>
        <v>12886</v>
      </c>
      <c r="AA179" s="1754"/>
      <c r="AB179" s="1754"/>
      <c r="AC179" s="1754"/>
      <c r="AD179" s="1929">
        <f t="shared" si="2"/>
        <v>2.1770867579908675</v>
      </c>
      <c r="AE179" s="1508"/>
      <c r="AF179" s="1508"/>
    </row>
    <row r="180" spans="1:32" x14ac:dyDescent="0.25">
      <c r="A180" s="1920"/>
      <c r="B180" s="1920"/>
      <c r="C180" s="1920"/>
      <c r="D180" s="1920"/>
      <c r="E180" s="1920"/>
      <c r="F180" s="1912" t="s">
        <v>5442</v>
      </c>
      <c r="G180" s="1912"/>
      <c r="H180" s="1912"/>
      <c r="I180" s="1912"/>
      <c r="J180" s="1912"/>
      <c r="K180" s="1912"/>
      <c r="L180" s="1912"/>
      <c r="M180" s="1912"/>
      <c r="N180" s="1912"/>
      <c r="O180" s="1912"/>
      <c r="P180" s="1912"/>
      <c r="Q180" s="1912"/>
      <c r="R180" s="1930">
        <v>8768</v>
      </c>
      <c r="S180" s="1930"/>
      <c r="T180" s="1930"/>
      <c r="U180" s="1930"/>
      <c r="V180" s="1930">
        <v>7173</v>
      </c>
      <c r="W180" s="1930"/>
      <c r="X180" s="1930"/>
      <c r="Y180" s="1930"/>
      <c r="Z180" s="1932">
        <f t="shared" si="3"/>
        <v>1595</v>
      </c>
      <c r="AA180" s="1754"/>
      <c r="AB180" s="1754"/>
      <c r="AC180" s="1754"/>
      <c r="AD180" s="1929">
        <f t="shared" si="2"/>
        <v>0.26947488584474882</v>
      </c>
      <c r="AE180" s="1508"/>
      <c r="AF180" s="1508"/>
    </row>
    <row r="181" spans="1:32" x14ac:dyDescent="0.25">
      <c r="A181" s="672" t="s">
        <v>5457</v>
      </c>
      <c r="B181" s="4"/>
      <c r="C181" s="4"/>
      <c r="D181" s="4"/>
      <c r="E181" s="4"/>
      <c r="F181" s="4"/>
      <c r="G181" s="4"/>
      <c r="H181" s="4"/>
      <c r="I181" s="4"/>
      <c r="J181" s="4"/>
      <c r="K181" s="4"/>
      <c r="L181" s="4"/>
      <c r="M181" s="4"/>
      <c r="N181" s="4"/>
      <c r="O181" s="4"/>
    </row>
    <row r="182" spans="1:32" x14ac:dyDescent="0.25">
      <c r="A182" s="338"/>
      <c r="B182" s="4"/>
      <c r="C182" s="4"/>
      <c r="D182" s="4"/>
      <c r="E182" s="4"/>
      <c r="F182" s="4"/>
      <c r="G182" s="4"/>
      <c r="H182" s="4"/>
      <c r="I182" s="4"/>
      <c r="J182" s="4"/>
      <c r="K182" s="4"/>
      <c r="L182" s="4"/>
      <c r="M182" s="4"/>
      <c r="N182" s="4"/>
      <c r="O182" s="4"/>
    </row>
    <row r="183" spans="1:32" ht="30.75" customHeight="1" x14ac:dyDescent="0.25">
      <c r="A183" s="1927" t="s">
        <v>5459</v>
      </c>
      <c r="B183" s="1928"/>
      <c r="C183" s="1928"/>
      <c r="D183" s="1928"/>
      <c r="E183" s="1928"/>
      <c r="F183" s="1928"/>
      <c r="G183" s="1928"/>
      <c r="H183" s="1928"/>
      <c r="I183" s="1928"/>
      <c r="J183" s="1928"/>
      <c r="K183" s="1928"/>
      <c r="L183" s="1928"/>
      <c r="M183" s="1928"/>
      <c r="N183" s="1928"/>
      <c r="O183" s="1928"/>
      <c r="P183" s="1928"/>
      <c r="Q183" s="1928"/>
      <c r="R183" s="1928"/>
      <c r="S183" s="1928"/>
      <c r="T183" s="1928"/>
      <c r="U183" s="1928"/>
      <c r="V183" s="1928"/>
      <c r="W183" s="1928"/>
      <c r="X183" s="1928"/>
      <c r="Y183" s="1928"/>
      <c r="Z183" s="1928"/>
      <c r="AA183" s="1928"/>
      <c r="AB183" s="1928"/>
      <c r="AC183" s="1928"/>
      <c r="AD183" s="1928"/>
      <c r="AE183" s="1928"/>
      <c r="AF183" s="1928"/>
    </row>
    <row r="184" spans="1:32" ht="45" customHeight="1" x14ac:dyDescent="0.25">
      <c r="A184" s="1311" t="s">
        <v>5433</v>
      </c>
      <c r="B184" s="1508"/>
      <c r="C184" s="1508"/>
      <c r="D184" s="1508"/>
      <c r="E184" s="1508"/>
      <c r="F184" s="1508"/>
      <c r="G184" s="1508"/>
      <c r="H184" s="1508"/>
      <c r="I184" s="1508"/>
      <c r="J184" s="1508"/>
      <c r="K184" s="1508"/>
      <c r="L184" s="1508"/>
      <c r="M184" s="1508"/>
      <c r="N184" s="1508"/>
      <c r="O184" s="1508"/>
      <c r="P184" s="1508"/>
      <c r="Q184" s="1508"/>
      <c r="R184" s="1311" t="s">
        <v>5453</v>
      </c>
      <c r="S184" s="1303"/>
      <c r="T184" s="1303"/>
      <c r="U184" s="1303"/>
      <c r="V184" s="1311" t="s">
        <v>5454</v>
      </c>
      <c r="W184" s="1506"/>
      <c r="X184" s="1506"/>
      <c r="Y184" s="1506"/>
      <c r="Z184" s="1311" t="s">
        <v>5455</v>
      </c>
      <c r="AA184" s="1508"/>
      <c r="AB184" s="1508"/>
      <c r="AC184" s="1508"/>
      <c r="AD184" s="1311" t="s">
        <v>275</v>
      </c>
      <c r="AE184" s="1920"/>
      <c r="AF184" s="1920"/>
    </row>
    <row r="185" spans="1:32" x14ac:dyDescent="0.25">
      <c r="A185" s="1311" t="s">
        <v>5456</v>
      </c>
      <c r="B185" s="1920"/>
      <c r="C185" s="1920"/>
      <c r="D185" s="1920"/>
      <c r="E185" s="1920"/>
      <c r="F185" s="1912" t="s">
        <v>5437</v>
      </c>
      <c r="G185" s="1912"/>
      <c r="H185" s="1912"/>
      <c r="I185" s="1912"/>
      <c r="J185" s="1912"/>
      <c r="K185" s="1912"/>
      <c r="L185" s="1912"/>
      <c r="M185" s="1912"/>
      <c r="N185" s="1912"/>
      <c r="O185" s="1912"/>
      <c r="P185" s="1912"/>
      <c r="Q185" s="1912"/>
      <c r="R185" s="1933">
        <v>1886</v>
      </c>
      <c r="S185" s="1934"/>
      <c r="T185" s="1934"/>
      <c r="U185" s="1935"/>
      <c r="V185" s="1931">
        <v>943</v>
      </c>
      <c r="W185" s="1754"/>
      <c r="X185" s="1754"/>
      <c r="Y185" s="1754"/>
      <c r="Z185" s="1932">
        <f>R185-V185</f>
        <v>943</v>
      </c>
      <c r="AA185" s="1754"/>
      <c r="AB185" s="1754"/>
      <c r="AC185" s="1754"/>
      <c r="AD185" s="1929">
        <f t="shared" ref="AD185:AD193" si="4">Q$94*Z185/Q$93</f>
        <v>0.15931963470319632</v>
      </c>
      <c r="AE185" s="1508"/>
      <c r="AF185" s="1508"/>
    </row>
    <row r="186" spans="1:32" x14ac:dyDescent="0.25">
      <c r="A186" s="1920"/>
      <c r="B186" s="1920"/>
      <c r="C186" s="1920"/>
      <c r="D186" s="1920"/>
      <c r="E186" s="1920"/>
      <c r="F186" s="1912" t="s">
        <v>5438</v>
      </c>
      <c r="G186" s="1912"/>
      <c r="H186" s="1912"/>
      <c r="I186" s="1912"/>
      <c r="J186" s="1912"/>
      <c r="K186" s="1912"/>
      <c r="L186" s="1912"/>
      <c r="M186" s="1912"/>
      <c r="N186" s="1912"/>
      <c r="O186" s="1912"/>
      <c r="P186" s="1912"/>
      <c r="Q186" s="1912"/>
      <c r="R186" s="1933">
        <v>1856</v>
      </c>
      <c r="S186" s="1934"/>
      <c r="T186" s="1934"/>
      <c r="U186" s="1935"/>
      <c r="V186" s="1931">
        <v>928</v>
      </c>
      <c r="W186" s="1754"/>
      <c r="X186" s="1754"/>
      <c r="Y186" s="1754"/>
      <c r="Z186" s="1932">
        <f t="shared" ref="Z186:Z192" si="5">R186-V186</f>
        <v>928</v>
      </c>
      <c r="AA186" s="1754"/>
      <c r="AB186" s="1754"/>
      <c r="AC186" s="1754"/>
      <c r="AD186" s="1929">
        <f t="shared" si="4"/>
        <v>0.15678538812785389</v>
      </c>
      <c r="AE186" s="1508"/>
      <c r="AF186" s="1508"/>
    </row>
    <row r="187" spans="1:32" x14ac:dyDescent="0.25">
      <c r="A187" s="1920"/>
      <c r="B187" s="1920"/>
      <c r="C187" s="1920"/>
      <c r="D187" s="1920"/>
      <c r="E187" s="1920"/>
      <c r="F187" s="1912" t="s">
        <v>5439</v>
      </c>
      <c r="G187" s="1912"/>
      <c r="H187" s="1912"/>
      <c r="I187" s="1912"/>
      <c r="J187" s="1912"/>
      <c r="K187" s="1912"/>
      <c r="L187" s="1912"/>
      <c r="M187" s="1912"/>
      <c r="N187" s="1912"/>
      <c r="O187" s="1912"/>
      <c r="P187" s="1912"/>
      <c r="Q187" s="1912"/>
      <c r="R187" s="1933">
        <v>6229</v>
      </c>
      <c r="S187" s="1934"/>
      <c r="T187" s="1934"/>
      <c r="U187" s="1935"/>
      <c r="V187" s="1930">
        <v>3309</v>
      </c>
      <c r="W187" s="1930"/>
      <c r="X187" s="1930"/>
      <c r="Y187" s="1930"/>
      <c r="Z187" s="1932">
        <f t="shared" si="5"/>
        <v>2920</v>
      </c>
      <c r="AA187" s="1754"/>
      <c r="AB187" s="1754"/>
      <c r="AC187" s="1754"/>
      <c r="AD187" s="1929">
        <f t="shared" si="4"/>
        <v>0.4933333333333334</v>
      </c>
      <c r="AE187" s="1508"/>
      <c r="AF187" s="1508"/>
    </row>
    <row r="188" spans="1:32" x14ac:dyDescent="0.25">
      <c r="A188" s="1920"/>
      <c r="B188" s="1920"/>
      <c r="C188" s="1920"/>
      <c r="D188" s="1920"/>
      <c r="E188" s="1920"/>
      <c r="F188" s="1912" t="s">
        <v>5440</v>
      </c>
      <c r="G188" s="1912"/>
      <c r="H188" s="1912"/>
      <c r="I188" s="1912"/>
      <c r="J188" s="1912"/>
      <c r="K188" s="1912"/>
      <c r="L188" s="1912"/>
      <c r="M188" s="1912"/>
      <c r="N188" s="1912"/>
      <c r="O188" s="1912"/>
      <c r="P188" s="1912"/>
      <c r="Q188" s="1912"/>
      <c r="R188" s="1933">
        <v>7300</v>
      </c>
      <c r="S188" s="1934"/>
      <c r="T188" s="1934"/>
      <c r="U188" s="1935"/>
      <c r="V188" s="1930">
        <v>3650</v>
      </c>
      <c r="W188" s="1930"/>
      <c r="X188" s="1930"/>
      <c r="Y188" s="1930"/>
      <c r="Z188" s="1932">
        <f t="shared" si="5"/>
        <v>3650</v>
      </c>
      <c r="AA188" s="1754"/>
      <c r="AB188" s="1754"/>
      <c r="AC188" s="1754"/>
      <c r="AD188" s="1929">
        <f t="shared" si="4"/>
        <v>0.6166666666666667</v>
      </c>
      <c r="AE188" s="1508"/>
      <c r="AF188" s="1508"/>
    </row>
    <row r="189" spans="1:32" x14ac:dyDescent="0.25">
      <c r="A189" s="1311" t="s">
        <v>5441</v>
      </c>
      <c r="B189" s="1920"/>
      <c r="C189" s="1920"/>
      <c r="D189" s="1920"/>
      <c r="E189" s="1920"/>
      <c r="F189" s="1912" t="s">
        <v>5437</v>
      </c>
      <c r="G189" s="1912"/>
      <c r="H189" s="1912"/>
      <c r="I189" s="1912"/>
      <c r="J189" s="1912"/>
      <c r="K189" s="1912"/>
      <c r="L189" s="1912"/>
      <c r="M189" s="1912"/>
      <c r="N189" s="1912"/>
      <c r="O189" s="1912"/>
      <c r="P189" s="1912"/>
      <c r="Q189" s="1912"/>
      <c r="R189" s="1933">
        <v>4817</v>
      </c>
      <c r="S189" s="1934"/>
      <c r="T189" s="1934"/>
      <c r="U189" s="1935"/>
      <c r="V189" s="1930">
        <v>2671</v>
      </c>
      <c r="W189" s="1930"/>
      <c r="X189" s="1930"/>
      <c r="Y189" s="1930"/>
      <c r="Z189" s="1932">
        <f t="shared" si="5"/>
        <v>2146</v>
      </c>
      <c r="AA189" s="1754"/>
      <c r="AB189" s="1754"/>
      <c r="AC189" s="1754"/>
      <c r="AD189" s="1929">
        <f t="shared" si="4"/>
        <v>0.36256621004566209</v>
      </c>
      <c r="AE189" s="1508"/>
      <c r="AF189" s="1508"/>
    </row>
    <row r="190" spans="1:32" x14ac:dyDescent="0.25">
      <c r="A190" s="1920"/>
      <c r="B190" s="1920"/>
      <c r="C190" s="1920"/>
      <c r="D190" s="1920"/>
      <c r="E190" s="1920"/>
      <c r="F190" s="1912" t="s">
        <v>5438</v>
      </c>
      <c r="G190" s="1912"/>
      <c r="H190" s="1912"/>
      <c r="I190" s="1912"/>
      <c r="J190" s="1912"/>
      <c r="K190" s="1912"/>
      <c r="L190" s="1912"/>
      <c r="M190" s="1912"/>
      <c r="N190" s="1912"/>
      <c r="O190" s="1912"/>
      <c r="P190" s="1912"/>
      <c r="Q190" s="1912"/>
      <c r="R190" s="1933">
        <v>9575</v>
      </c>
      <c r="S190" s="1934"/>
      <c r="T190" s="1934"/>
      <c r="U190" s="1935"/>
      <c r="V190" s="1930">
        <v>6429</v>
      </c>
      <c r="W190" s="1930"/>
      <c r="X190" s="1930"/>
      <c r="Y190" s="1930"/>
      <c r="Z190" s="1932">
        <f t="shared" si="5"/>
        <v>3146</v>
      </c>
      <c r="AA190" s="1754"/>
      <c r="AB190" s="1754"/>
      <c r="AC190" s="1754"/>
      <c r="AD190" s="1929">
        <f t="shared" si="4"/>
        <v>0.53151598173515979</v>
      </c>
      <c r="AE190" s="1508"/>
      <c r="AF190" s="1508"/>
    </row>
    <row r="191" spans="1:32" x14ac:dyDescent="0.25">
      <c r="A191" s="1920"/>
      <c r="B191" s="1920"/>
      <c r="C191" s="1920"/>
      <c r="D191" s="1920"/>
      <c r="E191" s="1920"/>
      <c r="F191" s="1912" t="s">
        <v>5439</v>
      </c>
      <c r="G191" s="1912"/>
      <c r="H191" s="1912"/>
      <c r="I191" s="1912"/>
      <c r="J191" s="1912"/>
      <c r="K191" s="1912"/>
      <c r="L191" s="1912"/>
      <c r="M191" s="1912"/>
      <c r="N191" s="1912"/>
      <c r="O191" s="1912"/>
      <c r="P191" s="1912"/>
      <c r="Q191" s="1912"/>
      <c r="R191" s="1933">
        <v>15818</v>
      </c>
      <c r="S191" s="1934"/>
      <c r="T191" s="1934"/>
      <c r="U191" s="1935"/>
      <c r="V191" s="1930">
        <v>11353</v>
      </c>
      <c r="W191" s="1930"/>
      <c r="X191" s="1930"/>
      <c r="Y191" s="1930"/>
      <c r="Z191" s="1932">
        <f t="shared" si="5"/>
        <v>4465</v>
      </c>
      <c r="AA191" s="1754"/>
      <c r="AB191" s="1754"/>
      <c r="AC191" s="1754"/>
      <c r="AD191" s="1929">
        <f t="shared" si="4"/>
        <v>0.75436073059360731</v>
      </c>
      <c r="AE191" s="1508"/>
      <c r="AF191" s="1508"/>
    </row>
    <row r="192" spans="1:32" x14ac:dyDescent="0.25">
      <c r="A192" s="1920"/>
      <c r="B192" s="1920"/>
      <c r="C192" s="1920"/>
      <c r="D192" s="1920"/>
      <c r="E192" s="1920"/>
      <c r="F192" s="1912" t="s">
        <v>5440</v>
      </c>
      <c r="G192" s="1912"/>
      <c r="H192" s="1912"/>
      <c r="I192" s="1912"/>
      <c r="J192" s="1912"/>
      <c r="K192" s="1912"/>
      <c r="L192" s="1912"/>
      <c r="M192" s="1912"/>
      <c r="N192" s="1912"/>
      <c r="O192" s="1912"/>
      <c r="P192" s="1912"/>
      <c r="Q192" s="1912"/>
      <c r="R192" s="1933">
        <v>23972</v>
      </c>
      <c r="S192" s="1934"/>
      <c r="T192" s="1934"/>
      <c r="U192" s="1935"/>
      <c r="V192" s="1930">
        <v>14934</v>
      </c>
      <c r="W192" s="1930"/>
      <c r="X192" s="1930"/>
      <c r="Y192" s="1930"/>
      <c r="Z192" s="1932">
        <f t="shared" si="5"/>
        <v>9038</v>
      </c>
      <c r="AA192" s="1754"/>
      <c r="AB192" s="1754"/>
      <c r="AC192" s="1754"/>
      <c r="AD192" s="1929">
        <f t="shared" si="4"/>
        <v>1.5269680365296803</v>
      </c>
      <c r="AE192" s="1508"/>
      <c r="AF192" s="1508"/>
    </row>
    <row r="193" spans="1:32" x14ac:dyDescent="0.25">
      <c r="A193" s="1920"/>
      <c r="B193" s="1920"/>
      <c r="C193" s="1920"/>
      <c r="D193" s="1920"/>
      <c r="E193" s="1920"/>
      <c r="F193" s="1912" t="s">
        <v>5442</v>
      </c>
      <c r="G193" s="1912"/>
      <c r="H193" s="1912"/>
      <c r="I193" s="1912"/>
      <c r="J193" s="1912"/>
      <c r="K193" s="1912"/>
      <c r="L193" s="1912"/>
      <c r="M193" s="1912"/>
      <c r="N193" s="1912"/>
      <c r="O193" s="1912"/>
      <c r="P193" s="1912"/>
      <c r="Q193" s="1912"/>
      <c r="R193" s="1933">
        <v>5845</v>
      </c>
      <c r="S193" s="1934"/>
      <c r="T193" s="1934"/>
      <c r="U193" s="1935"/>
      <c r="V193" s="1930">
        <v>4751</v>
      </c>
      <c r="W193" s="1930"/>
      <c r="X193" s="1930"/>
      <c r="Y193" s="1930"/>
      <c r="Z193" s="1932">
        <f>R193-V193</f>
        <v>1094</v>
      </c>
      <c r="AA193" s="1754"/>
      <c r="AB193" s="1754"/>
      <c r="AC193" s="1754"/>
      <c r="AD193" s="1929">
        <f t="shared" si="4"/>
        <v>0.18483105022831048</v>
      </c>
      <c r="AE193" s="1508"/>
      <c r="AF193" s="1508"/>
    </row>
    <row r="194" spans="1:32" x14ac:dyDescent="0.25">
      <c r="A194" s="672" t="s">
        <v>5457</v>
      </c>
      <c r="B194" s="4"/>
      <c r="C194" s="4"/>
      <c r="D194" s="4"/>
      <c r="E194" s="4"/>
      <c r="F194" s="4"/>
      <c r="G194" s="4"/>
      <c r="H194" s="4"/>
      <c r="I194" s="4"/>
      <c r="J194" s="4"/>
      <c r="K194" s="4"/>
      <c r="L194" s="4"/>
      <c r="M194" s="4"/>
      <c r="N194" s="4"/>
      <c r="O194" s="4"/>
    </row>
    <row r="195" spans="1:32" x14ac:dyDescent="0.25">
      <c r="A195" s="338"/>
      <c r="B195" s="4"/>
      <c r="C195" s="4"/>
      <c r="D195" s="4"/>
      <c r="E195" s="4"/>
      <c r="F195" s="4"/>
      <c r="G195" s="4"/>
      <c r="H195" s="4"/>
      <c r="I195" s="4"/>
      <c r="J195" s="4"/>
      <c r="K195" s="4"/>
      <c r="L195" s="4"/>
      <c r="M195" s="4"/>
      <c r="N195" s="4"/>
      <c r="O195" s="4"/>
    </row>
    <row r="196" spans="1:32" ht="30.75" customHeight="1" x14ac:dyDescent="0.25">
      <c r="A196" s="1927" t="s">
        <v>5460</v>
      </c>
      <c r="B196" s="1928"/>
      <c r="C196" s="1928"/>
      <c r="D196" s="1928"/>
      <c r="E196" s="1928"/>
      <c r="F196" s="1928"/>
      <c r="G196" s="1928"/>
      <c r="H196" s="1928"/>
      <c r="I196" s="1928"/>
      <c r="J196" s="1928"/>
      <c r="K196" s="1928"/>
      <c r="L196" s="1928"/>
      <c r="M196" s="1928"/>
      <c r="N196" s="1928"/>
      <c r="O196" s="1928"/>
      <c r="P196" s="1928"/>
      <c r="Q196" s="1928"/>
      <c r="R196" s="1928"/>
      <c r="S196" s="1928"/>
      <c r="T196" s="1928"/>
      <c r="U196" s="1928"/>
      <c r="V196" s="1928"/>
      <c r="W196" s="1928"/>
      <c r="X196" s="1928"/>
      <c r="Y196" s="1928"/>
      <c r="Z196" s="1928"/>
      <c r="AA196" s="1928"/>
      <c r="AB196" s="1928"/>
      <c r="AC196" s="1928"/>
      <c r="AD196" s="1928"/>
      <c r="AE196" s="1928"/>
      <c r="AF196" s="1928"/>
    </row>
    <row r="197" spans="1:32" x14ac:dyDescent="0.25">
      <c r="A197" s="1311" t="s">
        <v>5433</v>
      </c>
      <c r="B197" s="1508"/>
      <c r="C197" s="1508"/>
      <c r="D197" s="1508"/>
      <c r="E197" s="1508"/>
      <c r="F197" s="1508"/>
      <c r="G197" s="1508"/>
      <c r="H197" s="1508"/>
      <c r="I197" s="1508"/>
      <c r="J197" s="1508"/>
      <c r="K197" s="1508"/>
      <c r="L197" s="1508"/>
      <c r="M197" s="1508"/>
      <c r="N197" s="1508"/>
      <c r="O197" s="1508"/>
      <c r="P197" s="1508"/>
      <c r="Q197" s="1508"/>
      <c r="R197" s="1311" t="s">
        <v>5453</v>
      </c>
      <c r="S197" s="1303"/>
      <c r="T197" s="1303"/>
      <c r="U197" s="1303"/>
      <c r="V197" s="1311" t="s">
        <v>5454</v>
      </c>
      <c r="W197" s="1506"/>
      <c r="X197" s="1506"/>
      <c r="Y197" s="1506"/>
      <c r="Z197" s="1311" t="s">
        <v>5455</v>
      </c>
      <c r="AA197" s="1508"/>
      <c r="AB197" s="1508"/>
      <c r="AC197" s="1508"/>
      <c r="AD197" s="1311" t="s">
        <v>275</v>
      </c>
      <c r="AE197" s="1920"/>
      <c r="AF197" s="1920"/>
    </row>
    <row r="198" spans="1:32" x14ac:dyDescent="0.25">
      <c r="A198" s="1311" t="s">
        <v>5456</v>
      </c>
      <c r="B198" s="1920"/>
      <c r="C198" s="1920"/>
      <c r="D198" s="1920"/>
      <c r="E198" s="1920"/>
      <c r="F198" s="1912" t="s">
        <v>5437</v>
      </c>
      <c r="G198" s="1912"/>
      <c r="H198" s="1912"/>
      <c r="I198" s="1912"/>
      <c r="J198" s="1912"/>
      <c r="K198" s="1912"/>
      <c r="L198" s="1912"/>
      <c r="M198" s="1912"/>
      <c r="N198" s="1912"/>
      <c r="O198" s="1912"/>
      <c r="P198" s="1912"/>
      <c r="Q198" s="1912"/>
      <c r="R198" s="1933">
        <v>1886</v>
      </c>
      <c r="S198" s="1934"/>
      <c r="T198" s="1934"/>
      <c r="U198" s="1935"/>
      <c r="V198" s="1931">
        <v>943</v>
      </c>
      <c r="W198" s="1754"/>
      <c r="X198" s="1754"/>
      <c r="Y198" s="1754"/>
      <c r="Z198" s="1932">
        <f>R198-V198</f>
        <v>943</v>
      </c>
      <c r="AA198" s="1754"/>
      <c r="AB198" s="1754"/>
      <c r="AC198" s="1754"/>
      <c r="AD198" s="1929">
        <f t="shared" ref="AD198:AD206" si="6">Q$94*Z198/Q$93</f>
        <v>0.15931963470319632</v>
      </c>
      <c r="AE198" s="1508"/>
      <c r="AF198" s="1508"/>
    </row>
    <row r="199" spans="1:32" x14ac:dyDescent="0.25">
      <c r="A199" s="1920"/>
      <c r="B199" s="1920"/>
      <c r="C199" s="1920"/>
      <c r="D199" s="1920"/>
      <c r="E199" s="1920"/>
      <c r="F199" s="1912" t="s">
        <v>5438</v>
      </c>
      <c r="G199" s="1912"/>
      <c r="H199" s="1912"/>
      <c r="I199" s="1912"/>
      <c r="J199" s="1912"/>
      <c r="K199" s="1912"/>
      <c r="L199" s="1912"/>
      <c r="M199" s="1912"/>
      <c r="N199" s="1912"/>
      <c r="O199" s="1912"/>
      <c r="P199" s="1912"/>
      <c r="Q199" s="1912"/>
      <c r="R199" s="1933">
        <v>1856</v>
      </c>
      <c r="S199" s="1934"/>
      <c r="T199" s="1934"/>
      <c r="U199" s="1935"/>
      <c r="V199" s="1931">
        <v>928</v>
      </c>
      <c r="W199" s="1754"/>
      <c r="X199" s="1754"/>
      <c r="Y199" s="1754"/>
      <c r="Z199" s="1932">
        <f t="shared" ref="Z199:Z206" si="7">R199-V199</f>
        <v>928</v>
      </c>
      <c r="AA199" s="1754"/>
      <c r="AB199" s="1754"/>
      <c r="AC199" s="1754"/>
      <c r="AD199" s="1929">
        <f t="shared" si="6"/>
        <v>0.15678538812785389</v>
      </c>
      <c r="AE199" s="1508"/>
      <c r="AF199" s="1508"/>
    </row>
    <row r="200" spans="1:32" x14ac:dyDescent="0.25">
      <c r="A200" s="1920"/>
      <c r="B200" s="1920"/>
      <c r="C200" s="1920"/>
      <c r="D200" s="1920"/>
      <c r="E200" s="1920"/>
      <c r="F200" s="1912" t="s">
        <v>5439</v>
      </c>
      <c r="G200" s="1912"/>
      <c r="H200" s="1912"/>
      <c r="I200" s="1912"/>
      <c r="J200" s="1912"/>
      <c r="K200" s="1912"/>
      <c r="L200" s="1912"/>
      <c r="M200" s="1912"/>
      <c r="N200" s="1912"/>
      <c r="O200" s="1912"/>
      <c r="P200" s="1912"/>
      <c r="Q200" s="1912"/>
      <c r="R200" s="1933">
        <v>6229</v>
      </c>
      <c r="S200" s="1934"/>
      <c r="T200" s="1934"/>
      <c r="U200" s="1935"/>
      <c r="V200" s="1930">
        <v>3309</v>
      </c>
      <c r="W200" s="1930"/>
      <c r="X200" s="1930"/>
      <c r="Y200" s="1930"/>
      <c r="Z200" s="1932">
        <f t="shared" si="7"/>
        <v>2920</v>
      </c>
      <c r="AA200" s="1754"/>
      <c r="AB200" s="1754"/>
      <c r="AC200" s="1754"/>
      <c r="AD200" s="1929">
        <f t="shared" si="6"/>
        <v>0.4933333333333334</v>
      </c>
      <c r="AE200" s="1508"/>
      <c r="AF200" s="1508"/>
    </row>
    <row r="201" spans="1:32" x14ac:dyDescent="0.25">
      <c r="A201" s="1920"/>
      <c r="B201" s="1920"/>
      <c r="C201" s="1920"/>
      <c r="D201" s="1920"/>
      <c r="E201" s="1920"/>
      <c r="F201" s="1912" t="s">
        <v>5440</v>
      </c>
      <c r="G201" s="1912"/>
      <c r="H201" s="1912"/>
      <c r="I201" s="1912"/>
      <c r="J201" s="1912"/>
      <c r="K201" s="1912"/>
      <c r="L201" s="1912"/>
      <c r="M201" s="1912"/>
      <c r="N201" s="1912"/>
      <c r="O201" s="1912"/>
      <c r="P201" s="1912"/>
      <c r="Q201" s="1912"/>
      <c r="R201" s="1933">
        <v>7300</v>
      </c>
      <c r="S201" s="1934"/>
      <c r="T201" s="1934"/>
      <c r="U201" s="1935"/>
      <c r="V201" s="1930">
        <v>3650</v>
      </c>
      <c r="W201" s="1930"/>
      <c r="X201" s="1930"/>
      <c r="Y201" s="1930"/>
      <c r="Z201" s="1932">
        <f t="shared" si="7"/>
        <v>3650</v>
      </c>
      <c r="AA201" s="1754"/>
      <c r="AB201" s="1754"/>
      <c r="AC201" s="1754"/>
      <c r="AD201" s="1929">
        <f t="shared" si="6"/>
        <v>0.6166666666666667</v>
      </c>
      <c r="AE201" s="1508"/>
      <c r="AF201" s="1508"/>
    </row>
    <row r="202" spans="1:32" x14ac:dyDescent="0.25">
      <c r="A202" s="1311" t="s">
        <v>5441</v>
      </c>
      <c r="B202" s="1920"/>
      <c r="C202" s="1920"/>
      <c r="D202" s="1920"/>
      <c r="E202" s="1920"/>
      <c r="F202" s="1912" t="s">
        <v>5437</v>
      </c>
      <c r="G202" s="1912"/>
      <c r="H202" s="1912"/>
      <c r="I202" s="1912"/>
      <c r="J202" s="1912"/>
      <c r="K202" s="1912"/>
      <c r="L202" s="1912"/>
      <c r="M202" s="1912"/>
      <c r="N202" s="1912"/>
      <c r="O202" s="1912"/>
      <c r="P202" s="1912"/>
      <c r="Q202" s="1912"/>
      <c r="R202" s="1933">
        <v>2866</v>
      </c>
      <c r="S202" s="1934"/>
      <c r="T202" s="1934"/>
      <c r="U202" s="1935"/>
      <c r="V202" s="1930">
        <v>1132</v>
      </c>
      <c r="W202" s="1930"/>
      <c r="X202" s="1930"/>
      <c r="Y202" s="1930"/>
      <c r="Z202" s="1932">
        <f t="shared" si="7"/>
        <v>1734</v>
      </c>
      <c r="AA202" s="1754"/>
      <c r="AB202" s="1754"/>
      <c r="AC202" s="1754"/>
      <c r="AD202" s="1929">
        <f t="shared" si="6"/>
        <v>0.29295890410958908</v>
      </c>
      <c r="AE202" s="1508"/>
      <c r="AF202" s="1508"/>
    </row>
    <row r="203" spans="1:32" x14ac:dyDescent="0.25">
      <c r="A203" s="1920"/>
      <c r="B203" s="1920"/>
      <c r="C203" s="1920"/>
      <c r="D203" s="1920"/>
      <c r="E203" s="1920"/>
      <c r="F203" s="1912" t="s">
        <v>5438</v>
      </c>
      <c r="G203" s="1912"/>
      <c r="H203" s="1912"/>
      <c r="I203" s="1912"/>
      <c r="J203" s="1912"/>
      <c r="K203" s="1912"/>
      <c r="L203" s="1912"/>
      <c r="M203" s="1912"/>
      <c r="N203" s="1912"/>
      <c r="O203" s="1912"/>
      <c r="P203" s="1912"/>
      <c r="Q203" s="1912"/>
      <c r="R203" s="1933">
        <v>3064</v>
      </c>
      <c r="S203" s="1934"/>
      <c r="T203" s="1934"/>
      <c r="U203" s="1935"/>
      <c r="V203" s="1930">
        <v>1937</v>
      </c>
      <c r="W203" s="1930"/>
      <c r="X203" s="1930"/>
      <c r="Y203" s="1930"/>
      <c r="Z203" s="1932">
        <f t="shared" si="7"/>
        <v>1127</v>
      </c>
      <c r="AA203" s="1754"/>
      <c r="AB203" s="1754"/>
      <c r="AC203" s="1754"/>
      <c r="AD203" s="1929">
        <f t="shared" si="6"/>
        <v>0.19040639269406393</v>
      </c>
      <c r="AE203" s="1508"/>
      <c r="AF203" s="1508"/>
    </row>
    <row r="204" spans="1:32" x14ac:dyDescent="0.25">
      <c r="A204" s="1920"/>
      <c r="B204" s="1920"/>
      <c r="C204" s="1920"/>
      <c r="D204" s="1920"/>
      <c r="E204" s="1920"/>
      <c r="F204" s="1912" t="s">
        <v>5439</v>
      </c>
      <c r="G204" s="1912"/>
      <c r="H204" s="1912"/>
      <c r="I204" s="1912"/>
      <c r="J204" s="1912"/>
      <c r="K204" s="1912"/>
      <c r="L204" s="1912"/>
      <c r="M204" s="1912"/>
      <c r="N204" s="1912"/>
      <c r="O204" s="1912"/>
      <c r="P204" s="1912"/>
      <c r="Q204" s="1912"/>
      <c r="R204" s="1933">
        <v>7514</v>
      </c>
      <c r="S204" s="1934"/>
      <c r="T204" s="1934"/>
      <c r="U204" s="1935"/>
      <c r="V204" s="1940">
        <v>4672</v>
      </c>
      <c r="W204" s="1940"/>
      <c r="X204" s="1940"/>
      <c r="Y204" s="1940"/>
      <c r="Z204" s="1932">
        <f t="shared" si="7"/>
        <v>2842</v>
      </c>
      <c r="AA204" s="1754"/>
      <c r="AB204" s="1754"/>
      <c r="AC204" s="1754"/>
      <c r="AD204" s="1929">
        <f t="shared" si="6"/>
        <v>0.4801552511415525</v>
      </c>
      <c r="AE204" s="1508"/>
      <c r="AF204" s="1508"/>
    </row>
    <row r="205" spans="1:32" x14ac:dyDescent="0.25">
      <c r="A205" s="1920"/>
      <c r="B205" s="1920"/>
      <c r="C205" s="1920"/>
      <c r="D205" s="1920"/>
      <c r="E205" s="1920"/>
      <c r="F205" s="1912" t="s">
        <v>5440</v>
      </c>
      <c r="G205" s="1912"/>
      <c r="H205" s="1912"/>
      <c r="I205" s="1912"/>
      <c r="J205" s="1912"/>
      <c r="K205" s="1912"/>
      <c r="L205" s="1912"/>
      <c r="M205" s="1912"/>
      <c r="N205" s="1912"/>
      <c r="O205" s="1912"/>
      <c r="P205" s="1912"/>
      <c r="Q205" s="1912"/>
      <c r="R205" s="1933">
        <v>10084</v>
      </c>
      <c r="S205" s="1934"/>
      <c r="T205" s="1934"/>
      <c r="U205" s="1935"/>
      <c r="V205" s="1930">
        <v>7203</v>
      </c>
      <c r="W205" s="1930"/>
      <c r="X205" s="1930"/>
      <c r="Y205" s="1930"/>
      <c r="Z205" s="1932">
        <f>R205-V205</f>
        <v>2881</v>
      </c>
      <c r="AA205" s="1754"/>
      <c r="AB205" s="1754"/>
      <c r="AC205" s="1754"/>
      <c r="AD205" s="1929">
        <f t="shared" si="6"/>
        <v>0.48674429223744292</v>
      </c>
      <c r="AE205" s="1508"/>
      <c r="AF205" s="1508"/>
    </row>
    <row r="206" spans="1:32" x14ac:dyDescent="0.25">
      <c r="A206" s="1920"/>
      <c r="B206" s="1920"/>
      <c r="C206" s="1920"/>
      <c r="D206" s="1920"/>
      <c r="E206" s="1920"/>
      <c r="F206" s="1912" t="s">
        <v>5442</v>
      </c>
      <c r="G206" s="1912"/>
      <c r="H206" s="1912"/>
      <c r="I206" s="1912"/>
      <c r="J206" s="1912"/>
      <c r="K206" s="1912"/>
      <c r="L206" s="1912"/>
      <c r="M206" s="1912"/>
      <c r="N206" s="1912"/>
      <c r="O206" s="1912"/>
      <c r="P206" s="1912"/>
      <c r="Q206" s="1912"/>
      <c r="R206" s="1933">
        <v>1168</v>
      </c>
      <c r="S206" s="1934"/>
      <c r="T206" s="1934"/>
      <c r="U206" s="1935"/>
      <c r="V206" s="1930">
        <v>876</v>
      </c>
      <c r="W206" s="1930"/>
      <c r="X206" s="1930"/>
      <c r="Y206" s="1930"/>
      <c r="Z206" s="1932">
        <f t="shared" si="7"/>
        <v>292</v>
      </c>
      <c r="AA206" s="1754"/>
      <c r="AB206" s="1754"/>
      <c r="AC206" s="1754"/>
      <c r="AD206" s="1929">
        <f t="shared" si="6"/>
        <v>4.9333333333333326E-2</v>
      </c>
      <c r="AE206" s="1508"/>
      <c r="AF206" s="1508"/>
    </row>
    <row r="207" spans="1:32" x14ac:dyDescent="0.25">
      <c r="A207" s="672" t="s">
        <v>5457</v>
      </c>
      <c r="B207" s="4"/>
      <c r="C207" s="4"/>
      <c r="D207" s="4"/>
      <c r="E207" s="4"/>
      <c r="F207" s="4"/>
      <c r="G207" s="4"/>
      <c r="H207" s="4"/>
      <c r="I207" s="4"/>
      <c r="J207" s="4"/>
      <c r="K207" s="4"/>
      <c r="L207" s="4"/>
      <c r="M207" s="4"/>
      <c r="N207" s="4"/>
      <c r="O207" s="4"/>
    </row>
    <row r="208" spans="1:32" x14ac:dyDescent="0.25">
      <c r="A208" s="850"/>
      <c r="B208" s="4"/>
      <c r="C208" s="4"/>
      <c r="D208" s="4"/>
      <c r="E208" s="4"/>
      <c r="F208" s="4"/>
      <c r="G208" s="4"/>
      <c r="H208" s="4"/>
      <c r="I208" s="4"/>
      <c r="J208" s="4"/>
      <c r="K208" s="4"/>
      <c r="L208" s="4"/>
      <c r="M208" s="4"/>
      <c r="N208" s="4"/>
      <c r="O208" s="4"/>
    </row>
    <row r="209" spans="1:32" x14ac:dyDescent="0.25">
      <c r="A209" s="338" t="s">
        <v>5461</v>
      </c>
      <c r="B209" s="338"/>
      <c r="C209" s="338"/>
      <c r="D209" s="338"/>
      <c r="E209" s="338"/>
      <c r="F209" s="338"/>
      <c r="G209" s="338"/>
      <c r="H209" s="338"/>
      <c r="I209" s="338"/>
      <c r="J209" s="338"/>
      <c r="K209" s="338"/>
      <c r="L209" s="338"/>
      <c r="M209" s="338"/>
      <c r="N209" s="338"/>
      <c r="O209" s="338"/>
      <c r="P209" s="338"/>
      <c r="Q209" s="338"/>
      <c r="R209" s="338"/>
      <c r="S209" s="338"/>
      <c r="T209" s="338"/>
      <c r="U209" s="4"/>
      <c r="V209"/>
      <c r="W209"/>
      <c r="X209"/>
      <c r="Y209"/>
      <c r="Z209"/>
      <c r="AA209"/>
      <c r="AB209"/>
      <c r="AC209"/>
      <c r="AD209"/>
      <c r="AE209"/>
      <c r="AF209"/>
    </row>
    <row r="210" spans="1:32" x14ac:dyDescent="0.25">
      <c r="A210" s="1936" t="s">
        <v>5462</v>
      </c>
      <c r="B210" s="1937"/>
      <c r="C210" s="1937"/>
      <c r="D210" s="1937"/>
      <c r="E210" s="1937"/>
      <c r="F210" s="1937"/>
      <c r="G210" s="1937"/>
      <c r="H210" s="1937"/>
      <c r="I210" s="1937"/>
      <c r="J210" s="1937"/>
      <c r="K210" s="1937"/>
      <c r="L210" s="1937"/>
      <c r="M210" s="1937"/>
      <c r="N210" s="1937"/>
      <c r="O210" s="1937"/>
      <c r="P210" s="1937"/>
      <c r="Q210" s="1937"/>
      <c r="R210" s="1937"/>
      <c r="S210" s="1937"/>
      <c r="T210" s="1938"/>
      <c r="U210" s="1435" t="s">
        <v>5463</v>
      </c>
      <c r="V210" s="1939"/>
      <c r="W210" s="1939"/>
      <c r="X210" s="1939"/>
      <c r="Y210"/>
      <c r="Z210"/>
      <c r="AA210"/>
      <c r="AB210"/>
      <c r="AC210"/>
      <c r="AD210"/>
      <c r="AE210"/>
      <c r="AF210"/>
    </row>
    <row r="211" spans="1:32" x14ac:dyDescent="0.25">
      <c r="A211" s="1941" t="s">
        <v>5464</v>
      </c>
      <c r="B211" s="1942"/>
      <c r="C211" s="1942"/>
      <c r="D211" s="1942"/>
      <c r="E211" s="1942"/>
      <c r="F211" s="1942"/>
      <c r="G211" s="1942"/>
      <c r="H211" s="1942"/>
      <c r="I211" s="1942"/>
      <c r="J211" s="1942"/>
      <c r="K211" s="1942"/>
      <c r="L211" s="1942"/>
      <c r="M211" s="1942"/>
      <c r="N211" s="1942"/>
      <c r="O211" s="1942"/>
      <c r="P211" s="1942"/>
      <c r="Q211" s="1942"/>
      <c r="R211" s="1942"/>
      <c r="S211" s="1942"/>
      <c r="T211" s="1943"/>
      <c r="U211" s="1944">
        <v>0.71</v>
      </c>
      <c r="V211" s="1944"/>
      <c r="W211" s="1944"/>
      <c r="X211" s="1944"/>
      <c r="Y211"/>
      <c r="Z211"/>
      <c r="AA211"/>
      <c r="AB211"/>
      <c r="AC211"/>
      <c r="AD211"/>
      <c r="AE211"/>
      <c r="AF211"/>
    </row>
    <row r="212" spans="1:32" ht="15.75" thickBot="1" x14ac:dyDescent="0.3">
      <c r="A212" s="1945" t="s">
        <v>5465</v>
      </c>
      <c r="B212" s="1946"/>
      <c r="C212" s="1946"/>
      <c r="D212" s="1946"/>
      <c r="E212" s="1946"/>
      <c r="F212" s="1946"/>
      <c r="G212" s="1946"/>
      <c r="H212" s="1946"/>
      <c r="I212" s="1946"/>
      <c r="J212" s="1946"/>
      <c r="K212" s="1946"/>
      <c r="L212" s="1946"/>
      <c r="M212" s="1946"/>
      <c r="N212" s="1946"/>
      <c r="O212" s="1946"/>
      <c r="P212" s="1946"/>
      <c r="Q212" s="1946"/>
      <c r="R212" s="1946"/>
      <c r="S212" s="1946"/>
      <c r="T212" s="1947"/>
      <c r="U212" s="1948">
        <v>0.28999999999999998</v>
      </c>
      <c r="V212" s="1948"/>
      <c r="W212" s="1948"/>
      <c r="X212" s="1948"/>
      <c r="Y212"/>
      <c r="Z212"/>
      <c r="AA212"/>
      <c r="AB212"/>
      <c r="AC212"/>
      <c r="AD212"/>
      <c r="AE212"/>
      <c r="AF212"/>
    </row>
    <row r="213" spans="1:32" ht="15.75" thickTop="1" x14ac:dyDescent="0.25">
      <c r="A213" s="1949" t="s">
        <v>4081</v>
      </c>
      <c r="B213" s="1950"/>
      <c r="C213" s="1950"/>
      <c r="D213" s="1950"/>
      <c r="E213" s="1950"/>
      <c r="F213" s="1950"/>
      <c r="G213" s="1950"/>
      <c r="H213" s="1950"/>
      <c r="I213" s="1950"/>
      <c r="J213" s="1950"/>
      <c r="K213" s="1950"/>
      <c r="L213" s="1950"/>
      <c r="M213" s="1950"/>
      <c r="N213" s="1950"/>
      <c r="O213" s="1950"/>
      <c r="P213" s="1950"/>
      <c r="Q213" s="1950"/>
      <c r="R213" s="1950"/>
      <c r="S213" s="1950"/>
      <c r="T213" s="1951"/>
      <c r="U213" s="1952">
        <v>1</v>
      </c>
      <c r="V213" s="1952"/>
      <c r="W213" s="1952"/>
      <c r="X213" s="1952"/>
      <c r="Y213"/>
      <c r="Z213"/>
      <c r="AA213"/>
      <c r="AB213"/>
      <c r="AC213"/>
      <c r="AD213"/>
      <c r="AE213"/>
      <c r="AF213"/>
    </row>
    <row r="214" spans="1:32" ht="54" customHeight="1" x14ac:dyDescent="0.25">
      <c r="A214" s="1238" t="s">
        <v>5466</v>
      </c>
      <c r="B214" s="1238"/>
      <c r="C214" s="1238"/>
      <c r="D214" s="1238"/>
      <c r="E214" s="1238"/>
      <c r="F214" s="1238"/>
      <c r="G214" s="1238"/>
      <c r="H214" s="1238"/>
      <c r="I214" s="1238"/>
      <c r="J214" s="1238"/>
      <c r="K214" s="1238"/>
      <c r="L214" s="1238"/>
      <c r="M214" s="1238"/>
      <c r="N214" s="1238"/>
      <c r="O214" s="1238"/>
      <c r="P214" s="1238"/>
      <c r="Q214" s="1238"/>
      <c r="R214" s="1238"/>
      <c r="S214" s="1238"/>
      <c r="T214" s="1238"/>
      <c r="U214" s="1238"/>
      <c r="V214" s="1238"/>
      <c r="W214" s="1238"/>
      <c r="X214" s="1238"/>
      <c r="Y214"/>
      <c r="Z214"/>
      <c r="AA214"/>
      <c r="AB214"/>
      <c r="AC214"/>
      <c r="AD214"/>
      <c r="AE214"/>
      <c r="AF214"/>
    </row>
    <row r="215" spans="1:32" ht="53.25" customHeight="1" x14ac:dyDescent="0.25">
      <c r="A215" s="1238" t="s">
        <v>5467</v>
      </c>
      <c r="B215" s="1238"/>
      <c r="C215" s="1238"/>
      <c r="D215" s="1238"/>
      <c r="E215" s="1238"/>
      <c r="F215" s="1238"/>
      <c r="G215" s="1238"/>
      <c r="H215" s="1238"/>
      <c r="I215" s="1238"/>
      <c r="J215" s="1238"/>
      <c r="K215" s="1238"/>
      <c r="L215" s="1238"/>
      <c r="M215" s="1238"/>
      <c r="N215" s="1238"/>
      <c r="O215" s="1238"/>
      <c r="P215" s="1238"/>
      <c r="Q215" s="1238"/>
      <c r="R215" s="1238"/>
      <c r="S215" s="1238"/>
      <c r="T215" s="1238"/>
      <c r="U215" s="1238"/>
      <c r="V215" s="1238"/>
      <c r="W215" s="1238"/>
      <c r="X215" s="1238"/>
    </row>
    <row r="216" spans="1:32" x14ac:dyDescent="0.25">
      <c r="A216" s="338"/>
      <c r="B216" s="4"/>
      <c r="C216" s="4"/>
      <c r="D216" s="4"/>
      <c r="E216" s="4"/>
      <c r="F216" s="4"/>
      <c r="G216" s="4"/>
      <c r="H216" s="4"/>
      <c r="I216" s="4"/>
      <c r="J216" s="4"/>
      <c r="K216" s="4"/>
      <c r="L216" s="4"/>
      <c r="M216" s="4"/>
      <c r="N216" s="4"/>
      <c r="O216" s="4"/>
    </row>
    <row r="217" spans="1:32" x14ac:dyDescent="0.25">
      <c r="A217" s="1472" t="s">
        <v>21</v>
      </c>
      <c r="B217" s="1472"/>
      <c r="C217" s="1472"/>
      <c r="D217" s="1472"/>
      <c r="E217" s="1472"/>
      <c r="F217" s="1472"/>
      <c r="G217" s="1472"/>
      <c r="H217" s="1472"/>
      <c r="I217" s="1472"/>
      <c r="J217" s="1472"/>
      <c r="K217" s="1472"/>
      <c r="L217" s="1472"/>
      <c r="M217" s="1472"/>
      <c r="N217" s="1472"/>
      <c r="O217" s="1472"/>
      <c r="P217" s="1472"/>
      <c r="Q217" s="1472"/>
      <c r="R217" s="1472"/>
      <c r="S217" s="1472"/>
      <c r="T217" s="1472"/>
      <c r="U217" s="1472"/>
      <c r="V217" s="1472"/>
      <c r="W217" s="1472"/>
      <c r="X217" s="1472"/>
      <c r="Y217" s="1472"/>
      <c r="Z217" s="1472"/>
      <c r="AA217" s="1472"/>
      <c r="AB217" s="1472"/>
      <c r="AC217" s="1472"/>
      <c r="AD217" s="1472"/>
      <c r="AE217" s="1472"/>
      <c r="AF217" s="1472"/>
    </row>
    <row r="218" spans="1:32"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row>
    <row r="219" spans="1:32" x14ac:dyDescent="0.25">
      <c r="A219" s="3"/>
      <c r="B219" s="380" t="s">
        <v>4442</v>
      </c>
      <c r="C219"/>
      <c r="D219"/>
      <c r="E219"/>
      <c r="F219"/>
      <c r="G219"/>
      <c r="H219"/>
      <c r="I219"/>
      <c r="J219"/>
      <c r="K219"/>
      <c r="L219"/>
      <c r="M219"/>
      <c r="N219"/>
      <c r="O219"/>
      <c r="P219"/>
      <c r="Q219"/>
      <c r="R219"/>
      <c r="S219"/>
      <c r="T219"/>
      <c r="U219"/>
      <c r="V219"/>
      <c r="W219"/>
      <c r="X219"/>
      <c r="Y219" s="3"/>
      <c r="Z219" s="3"/>
      <c r="AA219" s="3"/>
      <c r="AB219" s="3"/>
      <c r="AC219" s="3"/>
      <c r="AD219" s="3"/>
      <c r="AE219" s="3"/>
      <c r="AF219" s="3"/>
    </row>
    <row r="220" spans="1:32"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row>
    <row r="221" spans="1:32" x14ac:dyDescent="0.25">
      <c r="A221" s="3"/>
      <c r="B221" s="3"/>
      <c r="C221" s="3" t="s">
        <v>4734</v>
      </c>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row>
    <row r="222" spans="1:32" x14ac:dyDescent="0.25">
      <c r="A222" s="3"/>
      <c r="B222" s="3"/>
      <c r="C222" s="1142" t="s">
        <v>5468</v>
      </c>
      <c r="D222" s="1142"/>
      <c r="E222" s="1142"/>
      <c r="F222" s="1142"/>
      <c r="G222" s="1142"/>
      <c r="H222" s="1142"/>
      <c r="I222" s="1142"/>
      <c r="J222" s="1142"/>
      <c r="K222" s="1142"/>
      <c r="L222" s="1142"/>
      <c r="M222" s="1142"/>
      <c r="N222" s="1142"/>
      <c r="O222" s="1953"/>
      <c r="P222" s="1954" t="s">
        <v>5530</v>
      </c>
      <c r="Q222" s="1954"/>
      <c r="R222" s="1954"/>
      <c r="S222" s="1954"/>
      <c r="T222" s="1954"/>
      <c r="U222" s="1954"/>
      <c r="V222" s="1955"/>
      <c r="W222" s="1955"/>
      <c r="X222" s="1955"/>
      <c r="AA222" s="3"/>
      <c r="AB222" s="3"/>
      <c r="AC222" s="3"/>
      <c r="AD222" s="3"/>
      <c r="AE222" s="3"/>
      <c r="AF222" s="3"/>
    </row>
    <row r="223" spans="1:32" ht="63.75" customHeight="1" x14ac:dyDescent="0.25">
      <c r="A223" s="3"/>
      <c r="B223" s="3"/>
      <c r="C223" s="1142" t="s">
        <v>5469</v>
      </c>
      <c r="D223" s="1142"/>
      <c r="E223" s="1142"/>
      <c r="F223" s="1142"/>
      <c r="G223" s="1142"/>
      <c r="H223" s="1142"/>
      <c r="I223" s="1142"/>
      <c r="J223" s="1142"/>
      <c r="K223" s="1142"/>
      <c r="L223" s="1142"/>
      <c r="M223" s="1142"/>
      <c r="N223" s="1142"/>
      <c r="O223" s="1953"/>
      <c r="P223" s="1954" t="s">
        <v>5437</v>
      </c>
      <c r="Q223" s="1954"/>
      <c r="R223" s="1954"/>
      <c r="S223" s="1954"/>
      <c r="T223" s="1954"/>
      <c r="U223" s="1954"/>
      <c r="V223" s="1955"/>
      <c r="W223" s="1955"/>
      <c r="X223" s="1955"/>
      <c r="Y223" s="3"/>
      <c r="Z223" s="3"/>
      <c r="AA223" s="3"/>
      <c r="AB223" s="640"/>
      <c r="AC223" s="3"/>
      <c r="AD223" s="3"/>
      <c r="AE223" s="3"/>
      <c r="AF223" s="3"/>
    </row>
    <row r="224" spans="1:32" ht="64.5" customHeight="1" x14ac:dyDescent="0.25">
      <c r="C224" s="1142" t="s">
        <v>5470</v>
      </c>
      <c r="D224" s="1142"/>
      <c r="E224" s="1142"/>
      <c r="F224" s="1142"/>
      <c r="G224" s="1142"/>
      <c r="H224" s="1142"/>
      <c r="I224" s="1142"/>
      <c r="J224" s="1142"/>
      <c r="K224" s="1142"/>
      <c r="L224" s="1142"/>
      <c r="M224" s="1142"/>
      <c r="N224" s="1142"/>
      <c r="O224" s="1953"/>
      <c r="P224" s="1954" t="s">
        <v>5471</v>
      </c>
      <c r="Q224" s="1954"/>
      <c r="R224" s="1954"/>
      <c r="S224" s="1954"/>
      <c r="T224" s="1954"/>
      <c r="U224" s="1954"/>
      <c r="V224" s="1955"/>
      <c r="W224" s="1955"/>
      <c r="X224" s="1955"/>
      <c r="AB224" s="683"/>
    </row>
    <row r="225" spans="1:32" ht="139.5" customHeight="1" x14ac:dyDescent="0.25">
      <c r="C225" s="1142" t="s">
        <v>5472</v>
      </c>
      <c r="D225" s="1142"/>
      <c r="E225" s="1142"/>
      <c r="F225" s="1142"/>
      <c r="G225" s="1142"/>
      <c r="H225" s="1142"/>
      <c r="I225" s="1142"/>
      <c r="J225" s="1142"/>
      <c r="K225" s="1142"/>
      <c r="L225" s="1142"/>
      <c r="M225" s="1142"/>
      <c r="N225" s="1142"/>
      <c r="O225" s="1953"/>
      <c r="P225" s="1954" t="s">
        <v>5473</v>
      </c>
      <c r="Q225" s="1954"/>
      <c r="R225" s="1954"/>
      <c r="S225" s="1954"/>
      <c r="T225" s="1954"/>
      <c r="U225" s="1954"/>
      <c r="V225" s="1955"/>
      <c r="W225" s="1955"/>
      <c r="X225" s="1955"/>
      <c r="AA225" s="851"/>
      <c r="AB225" s="683"/>
      <c r="AC225"/>
      <c r="AD225"/>
      <c r="AE225"/>
      <c r="AF225"/>
    </row>
    <row r="226" spans="1:32" x14ac:dyDescent="0.25">
      <c r="P226" s="3"/>
      <c r="Q226" s="3"/>
      <c r="R226" s="3"/>
      <c r="S226" s="3"/>
      <c r="T226" s="3"/>
      <c r="U226" s="3"/>
      <c r="V226" s="3"/>
      <c r="W226" s="3"/>
      <c r="X226" s="3"/>
    </row>
    <row r="227" spans="1:32" ht="15.75" thickBot="1" x14ac:dyDescent="0.3">
      <c r="P227" s="3"/>
      <c r="Q227" s="3"/>
      <c r="R227" s="3"/>
      <c r="S227" s="3"/>
      <c r="T227" s="3"/>
      <c r="U227" s="3"/>
      <c r="V227" s="3"/>
      <c r="W227" s="3"/>
      <c r="X227" s="3"/>
    </row>
    <row r="228" spans="1:32" x14ac:dyDescent="0.25">
      <c r="A228" s="1583" t="s">
        <v>22</v>
      </c>
      <c r="B228" s="1584"/>
      <c r="C228" s="1584"/>
      <c r="D228" s="1584"/>
      <c r="E228" s="1584"/>
      <c r="F228" s="1584"/>
      <c r="G228" s="1584"/>
      <c r="H228" s="1584"/>
      <c r="I228" s="1584" t="s">
        <v>23</v>
      </c>
      <c r="J228" s="1584"/>
      <c r="K228" s="1584"/>
      <c r="L228" s="1584"/>
      <c r="M228" s="1584"/>
      <c r="N228" s="1584"/>
      <c r="O228" s="1584"/>
      <c r="P228" s="1584"/>
      <c r="Q228" s="1584" t="s">
        <v>24</v>
      </c>
      <c r="R228" s="1584"/>
      <c r="S228" s="1584"/>
      <c r="T228" s="1584"/>
      <c r="U228" s="1584"/>
      <c r="V228" s="1584"/>
      <c r="W228" s="1584"/>
      <c r="X228" s="1584"/>
      <c r="Y228" s="1609" t="s">
        <v>1965</v>
      </c>
      <c r="Z228" s="1609"/>
      <c r="AA228" s="1609"/>
      <c r="AB228" s="1609"/>
      <c r="AC228" s="1609"/>
      <c r="AD228" s="1609"/>
      <c r="AE228" s="1609"/>
      <c r="AF228" s="1737"/>
    </row>
    <row r="229" spans="1:32" ht="85.5" customHeight="1" thickBot="1" x14ac:dyDescent="0.3">
      <c r="A229" s="1738" t="str">
        <f>$P$222&amp;" "&amp;$P$223&amp;", "&amp;$P$224&amp;IF($P$222="High Temperature", " and "&amp;P225, "")</f>
        <v>Low Temperature Under Counter, Unknown Water Heating</v>
      </c>
      <c r="B229" s="1739"/>
      <c r="C229" s="1739"/>
      <c r="D229" s="1739"/>
      <c r="E229" s="1739"/>
      <c r="F229" s="1739"/>
      <c r="G229" s="1739"/>
      <c r="H229" s="1739"/>
      <c r="I229" s="1740">
        <f>VLOOKUP($A229, $A$233:$AF$269, I$231, FALSE)</f>
        <v>0.34799999999999998</v>
      </c>
      <c r="J229" s="1740"/>
      <c r="K229" s="1740"/>
      <c r="L229" s="1740"/>
      <c r="M229" s="1740"/>
      <c r="N229" s="1740"/>
      <c r="O229" s="1740"/>
      <c r="P229" s="1740"/>
      <c r="Q229" s="1741">
        <f>VLOOKUP($A229, $A$233:$AF$269, Q$231, FALSE)</f>
        <v>2057.6999999999998</v>
      </c>
      <c r="R229" s="1741"/>
      <c r="S229" s="1741"/>
      <c r="T229" s="1741"/>
      <c r="U229" s="1741"/>
      <c r="V229" s="1741"/>
      <c r="W229" s="1741"/>
      <c r="X229" s="1741"/>
      <c r="Y229" s="1742">
        <f>VLOOKUP($A229, $A$233:$AF$269, Y$231, FALSE)</f>
        <v>20577</v>
      </c>
      <c r="Z229" s="1742"/>
      <c r="AA229" s="1742"/>
      <c r="AB229" s="1742"/>
      <c r="AC229" s="1742"/>
      <c r="AD229" s="1742"/>
      <c r="AE229" s="1742"/>
      <c r="AF229" s="1743"/>
    </row>
    <row r="230" spans="1:32" x14ac:dyDescent="0.25">
      <c r="A230" s="290"/>
      <c r="B230" s="290"/>
      <c r="C230" s="290"/>
      <c r="D230" s="290"/>
      <c r="E230" s="290"/>
      <c r="F230" s="290"/>
      <c r="G230" s="290"/>
      <c r="H230" s="290"/>
      <c r="I230" s="852"/>
      <c r="J230" s="852"/>
      <c r="K230" s="852"/>
      <c r="L230" s="852"/>
      <c r="M230" s="852"/>
      <c r="N230" s="852"/>
      <c r="O230" s="852"/>
      <c r="P230" s="852"/>
      <c r="Q230" s="853"/>
      <c r="R230" s="853"/>
      <c r="S230" s="853"/>
      <c r="T230" s="853"/>
      <c r="U230" s="853"/>
      <c r="V230" s="853"/>
      <c r="W230" s="853"/>
      <c r="X230" s="853"/>
      <c r="Y230" s="853"/>
      <c r="Z230" s="853"/>
      <c r="AA230" s="853"/>
      <c r="AB230" s="853"/>
      <c r="AC230" s="853"/>
      <c r="AD230" s="853"/>
      <c r="AE230" s="853"/>
      <c r="AF230" s="853"/>
    </row>
    <row r="231" spans="1:32" ht="15.75" hidden="1" thickBot="1" x14ac:dyDescent="0.3">
      <c r="A231" s="776">
        <v>1</v>
      </c>
      <c r="B231" s="776">
        <f>A231+1</f>
        <v>2</v>
      </c>
      <c r="C231" s="776">
        <f t="shared" ref="C231:AF231" si="8">B231+1</f>
        <v>3</v>
      </c>
      <c r="D231" s="776">
        <f t="shared" si="8"/>
        <v>4</v>
      </c>
      <c r="E231" s="776">
        <f t="shared" si="8"/>
        <v>5</v>
      </c>
      <c r="F231" s="776">
        <f t="shared" si="8"/>
        <v>6</v>
      </c>
      <c r="G231" s="776">
        <f t="shared" si="8"/>
        <v>7</v>
      </c>
      <c r="H231" s="776">
        <f t="shared" si="8"/>
        <v>8</v>
      </c>
      <c r="I231" s="776">
        <f t="shared" si="8"/>
        <v>9</v>
      </c>
      <c r="J231" s="776">
        <f t="shared" si="8"/>
        <v>10</v>
      </c>
      <c r="K231" s="776">
        <f t="shared" si="8"/>
        <v>11</v>
      </c>
      <c r="L231" s="776">
        <f t="shared" si="8"/>
        <v>12</v>
      </c>
      <c r="M231" s="776">
        <f t="shared" si="8"/>
        <v>13</v>
      </c>
      <c r="N231" s="776">
        <f t="shared" si="8"/>
        <v>14</v>
      </c>
      <c r="O231" s="776">
        <f t="shared" si="8"/>
        <v>15</v>
      </c>
      <c r="P231" s="776">
        <f t="shared" si="8"/>
        <v>16</v>
      </c>
      <c r="Q231" s="776">
        <f t="shared" si="8"/>
        <v>17</v>
      </c>
      <c r="R231" s="776">
        <f t="shared" si="8"/>
        <v>18</v>
      </c>
      <c r="S231" s="776">
        <f t="shared" si="8"/>
        <v>19</v>
      </c>
      <c r="T231" s="776">
        <f t="shared" si="8"/>
        <v>20</v>
      </c>
      <c r="U231" s="776">
        <f t="shared" si="8"/>
        <v>21</v>
      </c>
      <c r="V231" s="776">
        <f t="shared" si="8"/>
        <v>22</v>
      </c>
      <c r="W231" s="776">
        <f t="shared" si="8"/>
        <v>23</v>
      </c>
      <c r="X231" s="776">
        <f t="shared" si="8"/>
        <v>24</v>
      </c>
      <c r="Y231" s="776">
        <f t="shared" si="8"/>
        <v>25</v>
      </c>
      <c r="Z231" s="776">
        <f t="shared" si="8"/>
        <v>26</v>
      </c>
      <c r="AA231" s="776">
        <f t="shared" si="8"/>
        <v>27</v>
      </c>
      <c r="AB231" s="776">
        <f t="shared" si="8"/>
        <v>28</v>
      </c>
      <c r="AC231" s="776">
        <f t="shared" si="8"/>
        <v>29</v>
      </c>
      <c r="AD231" s="776">
        <f t="shared" si="8"/>
        <v>30</v>
      </c>
      <c r="AE231" s="776">
        <f t="shared" si="8"/>
        <v>31</v>
      </c>
      <c r="AF231" s="776">
        <f t="shared" si="8"/>
        <v>32</v>
      </c>
    </row>
    <row r="232" spans="1:32" ht="15.75" hidden="1" thickBot="1" x14ac:dyDescent="0.3">
      <c r="A232" s="1964" t="s">
        <v>22</v>
      </c>
      <c r="B232" s="1965"/>
      <c r="C232" s="1965"/>
      <c r="D232" s="1965"/>
      <c r="E232" s="1965"/>
      <c r="F232" s="1965"/>
      <c r="G232" s="1965"/>
      <c r="H232" s="1966"/>
      <c r="I232" s="1967" t="s">
        <v>23</v>
      </c>
      <c r="J232" s="1965"/>
      <c r="K232" s="1965"/>
      <c r="L232" s="1965"/>
      <c r="M232" s="1965"/>
      <c r="N232" s="1965"/>
      <c r="O232" s="1965"/>
      <c r="P232" s="1966"/>
      <c r="Q232" s="1967" t="s">
        <v>24</v>
      </c>
      <c r="R232" s="1965"/>
      <c r="S232" s="1965"/>
      <c r="T232" s="1965"/>
      <c r="U232" s="1965"/>
      <c r="V232" s="1965"/>
      <c r="W232" s="1965"/>
      <c r="X232" s="1966"/>
      <c r="Y232" s="1967" t="s">
        <v>2012</v>
      </c>
      <c r="Z232" s="1965"/>
      <c r="AA232" s="1965"/>
      <c r="AB232" s="1965"/>
      <c r="AC232" s="1965"/>
      <c r="AD232" s="1965"/>
      <c r="AE232" s="1965"/>
      <c r="AF232" s="1968"/>
    </row>
    <row r="233" spans="1:32" ht="60" hidden="1" customHeight="1" x14ac:dyDescent="0.25">
      <c r="A233" s="1956" t="s">
        <v>5474</v>
      </c>
      <c r="B233" s="1957"/>
      <c r="C233" s="1957"/>
      <c r="D233" s="1957"/>
      <c r="E233" s="1957" t="s">
        <v>736</v>
      </c>
      <c r="F233" s="1957"/>
      <c r="G233" s="1957"/>
      <c r="H233" s="1957"/>
      <c r="I233" s="1958">
        <f>ROUND(AD159,3)</f>
        <v>0.42499999999999999</v>
      </c>
      <c r="J233" s="1958"/>
      <c r="K233" s="1958"/>
      <c r="L233" s="1958"/>
      <c r="M233" s="1958"/>
      <c r="N233" s="1958"/>
      <c r="O233" s="1958"/>
      <c r="P233" s="1958"/>
      <c r="Q233" s="1959">
        <f>ROUND(Z159,2)</f>
        <v>2513</v>
      </c>
      <c r="R233" s="1959"/>
      <c r="S233" s="1959"/>
      <c r="T233" s="1959"/>
      <c r="U233" s="1959"/>
      <c r="V233" s="1959"/>
      <c r="W233" s="1959"/>
      <c r="X233" s="1959"/>
      <c r="Y233" s="1960">
        <f>Q233*R$147</f>
        <v>25130</v>
      </c>
      <c r="Z233" s="1960"/>
      <c r="AA233" s="1960"/>
      <c r="AB233" s="1960"/>
      <c r="AC233" s="1960"/>
      <c r="AD233" s="1960"/>
      <c r="AE233" s="1960"/>
      <c r="AF233" s="1961"/>
    </row>
    <row r="234" spans="1:32" ht="60" hidden="1" customHeight="1" x14ac:dyDescent="0.25">
      <c r="A234" s="1962" t="s">
        <v>5475</v>
      </c>
      <c r="B234" s="1243"/>
      <c r="C234" s="1243"/>
      <c r="D234" s="1243"/>
      <c r="E234" s="1243" t="s">
        <v>736</v>
      </c>
      <c r="F234" s="1243"/>
      <c r="G234" s="1243"/>
      <c r="H234" s="1243"/>
      <c r="I234" s="1783">
        <f>ROUND(AD160,3)</f>
        <v>1.4319999999999999</v>
      </c>
      <c r="J234" s="1783"/>
      <c r="K234" s="1783"/>
      <c r="L234" s="1783"/>
      <c r="M234" s="1783"/>
      <c r="N234" s="1783"/>
      <c r="O234" s="1783"/>
      <c r="P234" s="1783"/>
      <c r="Q234" s="1963">
        <f>ROUND(Z160,2)</f>
        <v>8474</v>
      </c>
      <c r="R234" s="1963"/>
      <c r="S234" s="1963"/>
      <c r="T234" s="1963"/>
      <c r="U234" s="1963"/>
      <c r="V234" s="1963"/>
      <c r="W234" s="1963"/>
      <c r="X234" s="1963"/>
      <c r="Y234" s="1883">
        <f>Q234*$R$148</f>
        <v>127110</v>
      </c>
      <c r="Z234" s="1883"/>
      <c r="AA234" s="1883"/>
      <c r="AB234" s="1883"/>
      <c r="AC234" s="1883"/>
      <c r="AD234" s="1883"/>
      <c r="AE234" s="1883"/>
      <c r="AF234" s="1884"/>
    </row>
    <row r="235" spans="1:32" ht="60" hidden="1" customHeight="1" x14ac:dyDescent="0.25">
      <c r="A235" s="1962" t="s">
        <v>5476</v>
      </c>
      <c r="B235" s="1243"/>
      <c r="C235" s="1243"/>
      <c r="D235" s="1243"/>
      <c r="E235" s="1243" t="s">
        <v>736</v>
      </c>
      <c r="F235" s="1243"/>
      <c r="G235" s="1243"/>
      <c r="H235" s="1243"/>
      <c r="I235" s="1783">
        <f>ROUND(AD161,3)</f>
        <v>1.8560000000000001</v>
      </c>
      <c r="J235" s="1783"/>
      <c r="K235" s="1783"/>
      <c r="L235" s="1783"/>
      <c r="M235" s="1783"/>
      <c r="N235" s="1783"/>
      <c r="O235" s="1783"/>
      <c r="P235" s="1783"/>
      <c r="Q235" s="1963">
        <f>ROUND(Z161,2)</f>
        <v>10985</v>
      </c>
      <c r="R235" s="1963"/>
      <c r="S235" s="1963"/>
      <c r="T235" s="1963"/>
      <c r="U235" s="1963"/>
      <c r="V235" s="1963"/>
      <c r="W235" s="1963"/>
      <c r="X235" s="1963"/>
      <c r="Y235" s="1883">
        <f>Q235*R$149</f>
        <v>219700</v>
      </c>
      <c r="Z235" s="1883"/>
      <c r="AA235" s="1883"/>
      <c r="AB235" s="1883"/>
      <c r="AC235" s="1883"/>
      <c r="AD235" s="1883"/>
      <c r="AE235" s="1883"/>
      <c r="AF235" s="1884"/>
    </row>
    <row r="236" spans="1:32" ht="60" hidden="1" customHeight="1" x14ac:dyDescent="0.25">
      <c r="A236" s="1962" t="s">
        <v>5477</v>
      </c>
      <c r="B236" s="1243"/>
      <c r="C236" s="1243"/>
      <c r="D236" s="1243"/>
      <c r="E236" s="1243" t="s">
        <v>736</v>
      </c>
      <c r="F236" s="1243"/>
      <c r="G236" s="1243"/>
      <c r="H236" s="1243"/>
      <c r="I236" s="1783">
        <f>ROUND(AD162,3)</f>
        <v>2.5819999999999999</v>
      </c>
      <c r="J236" s="1783"/>
      <c r="K236" s="1783"/>
      <c r="L236" s="1783"/>
      <c r="M236" s="1783"/>
      <c r="N236" s="1783"/>
      <c r="O236" s="1783"/>
      <c r="P236" s="1783"/>
      <c r="Q236" s="1963">
        <f>ROUND(Z162,2)</f>
        <v>15282</v>
      </c>
      <c r="R236" s="1963"/>
      <c r="S236" s="1963"/>
      <c r="T236" s="1963"/>
      <c r="U236" s="1963"/>
      <c r="V236" s="1963"/>
      <c r="W236" s="1963"/>
      <c r="X236" s="1963"/>
      <c r="Y236" s="1883">
        <f>Q236*R$150</f>
        <v>305640</v>
      </c>
      <c r="Z236" s="1883"/>
      <c r="AA236" s="1883"/>
      <c r="AB236" s="1883"/>
      <c r="AC236" s="1883"/>
      <c r="AD236" s="1883"/>
      <c r="AE236" s="1883"/>
      <c r="AF236" s="1884"/>
    </row>
    <row r="237" spans="1:32" ht="60" hidden="1" customHeight="1" x14ac:dyDescent="0.25">
      <c r="A237" s="1962" t="s">
        <v>5478</v>
      </c>
      <c r="B237" s="1243"/>
      <c r="C237" s="1243"/>
      <c r="D237" s="1243"/>
      <c r="E237" s="1243" t="s">
        <v>736</v>
      </c>
      <c r="F237" s="1243"/>
      <c r="G237" s="1243"/>
      <c r="H237" s="1243"/>
      <c r="I237" s="1783">
        <f>ROUND(AD185,3)</f>
        <v>0.159</v>
      </c>
      <c r="J237" s="1783"/>
      <c r="K237" s="1783"/>
      <c r="L237" s="1783"/>
      <c r="M237" s="1783"/>
      <c r="N237" s="1783"/>
      <c r="O237" s="1783"/>
      <c r="P237" s="1783"/>
      <c r="Q237" s="1963">
        <f>ROUND(Z185,2)</f>
        <v>943</v>
      </c>
      <c r="R237" s="1963"/>
      <c r="S237" s="1963"/>
      <c r="T237" s="1963"/>
      <c r="U237" s="1963"/>
      <c r="V237" s="1963"/>
      <c r="W237" s="1963"/>
      <c r="X237" s="1963"/>
      <c r="Y237" s="1883">
        <f>Q237*R$147</f>
        <v>9430</v>
      </c>
      <c r="Z237" s="1883"/>
      <c r="AA237" s="1883"/>
      <c r="AB237" s="1883"/>
      <c r="AC237" s="1883"/>
      <c r="AD237" s="1883"/>
      <c r="AE237" s="1883"/>
      <c r="AF237" s="1884"/>
    </row>
    <row r="238" spans="1:32" ht="60" hidden="1" customHeight="1" x14ac:dyDescent="0.25">
      <c r="A238" s="1962" t="s">
        <v>5479</v>
      </c>
      <c r="B238" s="1243"/>
      <c r="C238" s="1243"/>
      <c r="D238" s="1243"/>
      <c r="E238" s="1243" t="s">
        <v>736</v>
      </c>
      <c r="F238" s="1243"/>
      <c r="G238" s="1243"/>
      <c r="H238" s="1243"/>
      <c r="I238" s="1783">
        <f>ROUND(AD186,3)</f>
        <v>0.157</v>
      </c>
      <c r="J238" s="1783"/>
      <c r="K238" s="1783"/>
      <c r="L238" s="1783"/>
      <c r="M238" s="1783"/>
      <c r="N238" s="1783"/>
      <c r="O238" s="1783"/>
      <c r="P238" s="1783"/>
      <c r="Q238" s="1963">
        <f>ROUND(Z186,2)</f>
        <v>928</v>
      </c>
      <c r="R238" s="1963"/>
      <c r="S238" s="1963"/>
      <c r="T238" s="1963"/>
      <c r="U238" s="1963"/>
      <c r="V238" s="1963"/>
      <c r="W238" s="1963"/>
      <c r="X238" s="1963"/>
      <c r="Y238" s="1883">
        <f>Q238*$R$148</f>
        <v>13920</v>
      </c>
      <c r="Z238" s="1883"/>
      <c r="AA238" s="1883"/>
      <c r="AB238" s="1883"/>
      <c r="AC238" s="1883"/>
      <c r="AD238" s="1883"/>
      <c r="AE238" s="1883"/>
      <c r="AF238" s="1884"/>
    </row>
    <row r="239" spans="1:32" ht="60" hidden="1" customHeight="1" x14ac:dyDescent="0.25">
      <c r="A239" s="1962" t="s">
        <v>5480</v>
      </c>
      <c r="B239" s="1243"/>
      <c r="C239" s="1243"/>
      <c r="D239" s="1243"/>
      <c r="E239" s="1243" t="s">
        <v>736</v>
      </c>
      <c r="F239" s="1243"/>
      <c r="G239" s="1243"/>
      <c r="H239" s="1243"/>
      <c r="I239" s="1783">
        <f>ROUND(AD187,3)</f>
        <v>0.49299999999999999</v>
      </c>
      <c r="J239" s="1783"/>
      <c r="K239" s="1783"/>
      <c r="L239" s="1783"/>
      <c r="M239" s="1783"/>
      <c r="N239" s="1783"/>
      <c r="O239" s="1783"/>
      <c r="P239" s="1783"/>
      <c r="Q239" s="1963">
        <f>ROUND(Z187,2)</f>
        <v>2920</v>
      </c>
      <c r="R239" s="1963"/>
      <c r="S239" s="1963"/>
      <c r="T239" s="1963"/>
      <c r="U239" s="1963"/>
      <c r="V239" s="1963"/>
      <c r="W239" s="1963"/>
      <c r="X239" s="1963"/>
      <c r="Y239" s="1883">
        <f>Q239*R$149</f>
        <v>58400</v>
      </c>
      <c r="Z239" s="1883"/>
      <c r="AA239" s="1883"/>
      <c r="AB239" s="1883"/>
      <c r="AC239" s="1883"/>
      <c r="AD239" s="1883"/>
      <c r="AE239" s="1883"/>
      <c r="AF239" s="1884"/>
    </row>
    <row r="240" spans="1:32" ht="60" hidden="1" customHeight="1" x14ac:dyDescent="0.25">
      <c r="A240" s="1962" t="s">
        <v>5481</v>
      </c>
      <c r="B240" s="1243"/>
      <c r="C240" s="1243"/>
      <c r="D240" s="1243"/>
      <c r="E240" s="1243" t="s">
        <v>736</v>
      </c>
      <c r="F240" s="1243"/>
      <c r="G240" s="1243"/>
      <c r="H240" s="1243"/>
      <c r="I240" s="1783">
        <f>ROUND(AD188,3)</f>
        <v>0.61699999999999999</v>
      </c>
      <c r="J240" s="1783"/>
      <c r="K240" s="1783"/>
      <c r="L240" s="1783"/>
      <c r="M240" s="1783"/>
      <c r="N240" s="1783"/>
      <c r="O240" s="1783"/>
      <c r="P240" s="1783"/>
      <c r="Q240" s="1963">
        <f>ROUND(Z188,2)</f>
        <v>3650</v>
      </c>
      <c r="R240" s="1963"/>
      <c r="S240" s="1963"/>
      <c r="T240" s="1963"/>
      <c r="U240" s="1963"/>
      <c r="V240" s="1963"/>
      <c r="W240" s="1963"/>
      <c r="X240" s="1963"/>
      <c r="Y240" s="1883">
        <f>Q240*R$150</f>
        <v>73000</v>
      </c>
      <c r="Z240" s="1883"/>
      <c r="AA240" s="1883"/>
      <c r="AB240" s="1883"/>
      <c r="AC240" s="1883"/>
      <c r="AD240" s="1883"/>
      <c r="AE240" s="1883"/>
      <c r="AF240" s="1884"/>
    </row>
    <row r="241" spans="1:32" ht="60" hidden="1" customHeight="1" x14ac:dyDescent="0.25">
      <c r="A241" s="1962" t="s">
        <v>5482</v>
      </c>
      <c r="B241" s="1243"/>
      <c r="C241" s="1243"/>
      <c r="D241" s="1243"/>
      <c r="E241" s="1243" t="s">
        <v>736</v>
      </c>
      <c r="F241" s="1243"/>
      <c r="G241" s="1243"/>
      <c r="H241" s="1243"/>
      <c r="I241" s="1783">
        <f>ROUND(AD159*$U$211+AD185*$U$212,3)</f>
        <v>0.34799999999999998</v>
      </c>
      <c r="J241" s="1783"/>
      <c r="K241" s="1783"/>
      <c r="L241" s="1783"/>
      <c r="M241" s="1783"/>
      <c r="N241" s="1783"/>
      <c r="O241" s="1783"/>
      <c r="P241" s="1783"/>
      <c r="Q241" s="1963">
        <f>ROUND(Z159*$U$211+Z185*$U$212,2)</f>
        <v>2057.6999999999998</v>
      </c>
      <c r="R241" s="1963"/>
      <c r="S241" s="1963"/>
      <c r="T241" s="1963"/>
      <c r="U241" s="1963"/>
      <c r="V241" s="1963"/>
      <c r="W241" s="1963"/>
      <c r="X241" s="1963"/>
      <c r="Y241" s="1883">
        <f>Q241*R$147</f>
        <v>20577</v>
      </c>
      <c r="Z241" s="1883"/>
      <c r="AA241" s="1883"/>
      <c r="AB241" s="1883"/>
      <c r="AC241" s="1883"/>
      <c r="AD241" s="1883"/>
      <c r="AE241" s="1883"/>
      <c r="AF241" s="1884"/>
    </row>
    <row r="242" spans="1:32" ht="60" hidden="1" customHeight="1" x14ac:dyDescent="0.25">
      <c r="A242" s="1962" t="s">
        <v>5483</v>
      </c>
      <c r="B242" s="1243"/>
      <c r="C242" s="1243"/>
      <c r="D242" s="1243"/>
      <c r="E242" s="1243" t="s">
        <v>736</v>
      </c>
      <c r="F242" s="1243"/>
      <c r="G242" s="1243"/>
      <c r="H242" s="1243"/>
      <c r="I242" s="1783">
        <f>ROUND(AD160*$U$211+AD186*$U$212,3)</f>
        <v>1.0620000000000001</v>
      </c>
      <c r="J242" s="1783"/>
      <c r="K242" s="1783"/>
      <c r="L242" s="1783"/>
      <c r="M242" s="1783"/>
      <c r="N242" s="1783"/>
      <c r="O242" s="1783"/>
      <c r="P242" s="1783"/>
      <c r="Q242" s="1963">
        <f>ROUND(Z160*$U$211+Z186*$U$212,2)</f>
        <v>6285.66</v>
      </c>
      <c r="R242" s="1963"/>
      <c r="S242" s="1963"/>
      <c r="T242" s="1963"/>
      <c r="U242" s="1963"/>
      <c r="V242" s="1963"/>
      <c r="W242" s="1963"/>
      <c r="X242" s="1963"/>
      <c r="Y242" s="1883">
        <f>Q242*$R$148</f>
        <v>94284.9</v>
      </c>
      <c r="Z242" s="1883"/>
      <c r="AA242" s="1883"/>
      <c r="AB242" s="1883"/>
      <c r="AC242" s="1883"/>
      <c r="AD242" s="1883"/>
      <c r="AE242" s="1883"/>
      <c r="AF242" s="1884"/>
    </row>
    <row r="243" spans="1:32" ht="60" hidden="1" customHeight="1" x14ac:dyDescent="0.25">
      <c r="A243" s="1962" t="s">
        <v>5484</v>
      </c>
      <c r="B243" s="1243"/>
      <c r="C243" s="1243"/>
      <c r="D243" s="1243"/>
      <c r="E243" s="1243" t="s">
        <v>736</v>
      </c>
      <c r="F243" s="1243"/>
      <c r="G243" s="1243"/>
      <c r="H243" s="1243"/>
      <c r="I243" s="1783">
        <f>ROUND(AD161*$U$211+AD187*$U$212,3)</f>
        <v>1.4610000000000001</v>
      </c>
      <c r="J243" s="1783"/>
      <c r="K243" s="1783"/>
      <c r="L243" s="1783"/>
      <c r="M243" s="1783"/>
      <c r="N243" s="1783"/>
      <c r="O243" s="1783"/>
      <c r="P243" s="1783"/>
      <c r="Q243" s="1963">
        <f>ROUND(Z161*$U$211+Z187*$U$212,2)</f>
        <v>8646.15</v>
      </c>
      <c r="R243" s="1963"/>
      <c r="S243" s="1963"/>
      <c r="T243" s="1963"/>
      <c r="U243" s="1963"/>
      <c r="V243" s="1963"/>
      <c r="W243" s="1963"/>
      <c r="X243" s="1963"/>
      <c r="Y243" s="1883">
        <f>Q243*R$149</f>
        <v>172923</v>
      </c>
      <c r="Z243" s="1883"/>
      <c r="AA243" s="1883"/>
      <c r="AB243" s="1883"/>
      <c r="AC243" s="1883"/>
      <c r="AD243" s="1883"/>
      <c r="AE243" s="1883"/>
      <c r="AF243" s="1884"/>
    </row>
    <row r="244" spans="1:32" ht="60" hidden="1" customHeight="1" x14ac:dyDescent="0.25">
      <c r="A244" s="1962" t="s">
        <v>5485</v>
      </c>
      <c r="B244" s="1243"/>
      <c r="C244" s="1243"/>
      <c r="D244" s="1243"/>
      <c r="E244" s="1243" t="s">
        <v>736</v>
      </c>
      <c r="F244" s="1243"/>
      <c r="G244" s="1243"/>
      <c r="H244" s="1243"/>
      <c r="I244" s="1783">
        <f>ROUND(AD162*$U$211+AD188*$U$212,3)</f>
        <v>2.012</v>
      </c>
      <c r="J244" s="1783"/>
      <c r="K244" s="1783"/>
      <c r="L244" s="1783"/>
      <c r="M244" s="1783"/>
      <c r="N244" s="1783"/>
      <c r="O244" s="1783"/>
      <c r="P244" s="1783"/>
      <c r="Q244" s="1963">
        <f>ROUND(Z162*$U$211+Z188*$U$212,2)</f>
        <v>11908.72</v>
      </c>
      <c r="R244" s="1963"/>
      <c r="S244" s="1963"/>
      <c r="T244" s="1963"/>
      <c r="U244" s="1963"/>
      <c r="V244" s="1963"/>
      <c r="W244" s="1963"/>
      <c r="X244" s="1963"/>
      <c r="Y244" s="1883">
        <f>Q244*R$150</f>
        <v>238174.4</v>
      </c>
      <c r="Z244" s="1883"/>
      <c r="AA244" s="1883"/>
      <c r="AB244" s="1883"/>
      <c r="AC244" s="1883"/>
      <c r="AD244" s="1883"/>
      <c r="AE244" s="1883"/>
      <c r="AF244" s="1884"/>
    </row>
    <row r="245" spans="1:32" ht="75" hidden="1" customHeight="1" x14ac:dyDescent="0.25">
      <c r="A245" s="1962" t="s">
        <v>5486</v>
      </c>
      <c r="B245" s="1243"/>
      <c r="C245" s="1243"/>
      <c r="D245" s="1243"/>
      <c r="E245" s="1243" t="s">
        <v>736</v>
      </c>
      <c r="F245" s="1243"/>
      <c r="G245" s="1243"/>
      <c r="H245" s="1243"/>
      <c r="I245" s="1783">
        <f>ROUND(AD163,3)</f>
        <v>0.47599999999999998</v>
      </c>
      <c r="J245" s="1783"/>
      <c r="K245" s="1783"/>
      <c r="L245" s="1783"/>
      <c r="M245" s="1783"/>
      <c r="N245" s="1783"/>
      <c r="O245" s="1783"/>
      <c r="P245" s="1783"/>
      <c r="Q245" s="1963">
        <f>ROUND(Z163,2)</f>
        <v>2815</v>
      </c>
      <c r="R245" s="1963"/>
      <c r="S245" s="1963"/>
      <c r="T245" s="1963"/>
      <c r="U245" s="1963"/>
      <c r="V245" s="1963"/>
      <c r="W245" s="1963"/>
      <c r="X245" s="1963"/>
      <c r="Y245" s="1883">
        <f>Q245*$R$151</f>
        <v>28150</v>
      </c>
      <c r="Z245" s="1883"/>
      <c r="AA245" s="1883"/>
      <c r="AB245" s="1883"/>
      <c r="AC245" s="1883"/>
      <c r="AD245" s="1883"/>
      <c r="AE245" s="1883"/>
      <c r="AF245" s="1884"/>
    </row>
    <row r="246" spans="1:32" ht="75" hidden="1" customHeight="1" x14ac:dyDescent="0.25">
      <c r="A246" s="1962" t="s">
        <v>5487</v>
      </c>
      <c r="B246" s="1243"/>
      <c r="C246" s="1243"/>
      <c r="D246" s="1243"/>
      <c r="E246" s="1243" t="s">
        <v>736</v>
      </c>
      <c r="F246" s="1243"/>
      <c r="G246" s="1243"/>
      <c r="H246" s="1243"/>
      <c r="I246" s="1783">
        <f>ROUND(AD164,3)</f>
        <v>1.0860000000000001</v>
      </c>
      <c r="J246" s="1783"/>
      <c r="K246" s="1783"/>
      <c r="L246" s="1783"/>
      <c r="M246" s="1783"/>
      <c r="N246" s="1783"/>
      <c r="O246" s="1783"/>
      <c r="P246" s="1783"/>
      <c r="Q246" s="1963">
        <f>ROUND(Z164,2)</f>
        <v>6426</v>
      </c>
      <c r="R246" s="1963"/>
      <c r="S246" s="1963"/>
      <c r="T246" s="1963"/>
      <c r="U246" s="1963"/>
      <c r="V246" s="1963"/>
      <c r="W246" s="1963"/>
      <c r="X246" s="1963"/>
      <c r="Y246" s="1883">
        <f>Q246*$R$152</f>
        <v>96390</v>
      </c>
      <c r="Z246" s="1883"/>
      <c r="AA246" s="1883"/>
      <c r="AB246" s="1883"/>
      <c r="AC246" s="1883"/>
      <c r="AD246" s="1883"/>
      <c r="AE246" s="1883"/>
      <c r="AF246" s="1884"/>
    </row>
    <row r="247" spans="1:32" ht="75" hidden="1" customHeight="1" x14ac:dyDescent="0.25">
      <c r="A247" s="1962" t="s">
        <v>5488</v>
      </c>
      <c r="B247" s="1243"/>
      <c r="C247" s="1243"/>
      <c r="D247" s="1243"/>
      <c r="E247" s="1243" t="s">
        <v>736</v>
      </c>
      <c r="F247" s="1243"/>
      <c r="G247" s="1243"/>
      <c r="H247" s="1243"/>
      <c r="I247" s="1783">
        <f>ROUND(AD165,3)</f>
        <v>1.2</v>
      </c>
      <c r="J247" s="1783"/>
      <c r="K247" s="1783"/>
      <c r="L247" s="1783"/>
      <c r="M247" s="1783"/>
      <c r="N247" s="1783"/>
      <c r="O247" s="1783"/>
      <c r="P247" s="1783"/>
      <c r="Q247" s="1963">
        <f>ROUND(Z165,2)</f>
        <v>7101</v>
      </c>
      <c r="R247" s="1963"/>
      <c r="S247" s="1963"/>
      <c r="T247" s="1963"/>
      <c r="U247" s="1963"/>
      <c r="V247" s="1963"/>
      <c r="W247" s="1963"/>
      <c r="X247" s="1963"/>
      <c r="Y247" s="1883">
        <f>Q247*$R$153</f>
        <v>142020</v>
      </c>
      <c r="Z247" s="1883"/>
      <c r="AA247" s="1883"/>
      <c r="AB247" s="1883"/>
      <c r="AC247" s="1883"/>
      <c r="AD247" s="1883"/>
      <c r="AE247" s="1883"/>
      <c r="AF247" s="1884"/>
    </row>
    <row r="248" spans="1:32" ht="75" hidden="1" customHeight="1" x14ac:dyDescent="0.25">
      <c r="A248" s="1962" t="s">
        <v>5489</v>
      </c>
      <c r="B248" s="1243"/>
      <c r="C248" s="1243"/>
      <c r="D248" s="1243"/>
      <c r="E248" s="1243" t="s">
        <v>736</v>
      </c>
      <c r="F248" s="1243"/>
      <c r="G248" s="1243"/>
      <c r="H248" s="1243"/>
      <c r="I248" s="1783">
        <f>ROUND(AD166,3)</f>
        <v>3.2170000000000001</v>
      </c>
      <c r="J248" s="1783"/>
      <c r="K248" s="1783"/>
      <c r="L248" s="1783"/>
      <c r="M248" s="1783"/>
      <c r="N248" s="1783"/>
      <c r="O248" s="1783"/>
      <c r="P248" s="1783"/>
      <c r="Q248" s="1963">
        <f>ROUND(Z166,2)</f>
        <v>19041</v>
      </c>
      <c r="R248" s="1963"/>
      <c r="S248" s="1963"/>
      <c r="T248" s="1963"/>
      <c r="U248" s="1963"/>
      <c r="V248" s="1963"/>
      <c r="W248" s="1963"/>
      <c r="X248" s="1963"/>
      <c r="Y248" s="1883">
        <f>Q248*$R$154</f>
        <v>380820</v>
      </c>
      <c r="Z248" s="1883"/>
      <c r="AA248" s="1883"/>
      <c r="AB248" s="1883"/>
      <c r="AC248" s="1883"/>
      <c r="AD248" s="1883"/>
      <c r="AE248" s="1883"/>
      <c r="AF248" s="1884"/>
    </row>
    <row r="249" spans="1:32" ht="75" hidden="1" customHeight="1" x14ac:dyDescent="0.25">
      <c r="A249" s="1962" t="s">
        <v>5531</v>
      </c>
      <c r="B249" s="1243"/>
      <c r="C249" s="1243"/>
      <c r="D249" s="1243"/>
      <c r="E249" s="1243" t="s">
        <v>736</v>
      </c>
      <c r="F249" s="1243"/>
      <c r="G249" s="1243"/>
      <c r="H249" s="1243"/>
      <c r="I249" s="1783">
        <f>ROUND(AD167,3)</f>
        <v>0.40500000000000003</v>
      </c>
      <c r="J249" s="1783"/>
      <c r="K249" s="1783"/>
      <c r="L249" s="1783"/>
      <c r="M249" s="1783"/>
      <c r="N249" s="1783"/>
      <c r="O249" s="1783"/>
      <c r="P249" s="1783"/>
      <c r="Q249" s="1963">
        <f>ROUND(Z167,2)</f>
        <v>2396</v>
      </c>
      <c r="R249" s="1963"/>
      <c r="S249" s="1963"/>
      <c r="T249" s="1963"/>
      <c r="U249" s="1963"/>
      <c r="V249" s="1963"/>
      <c r="W249" s="1963"/>
      <c r="X249" s="1963"/>
      <c r="Y249" s="1883">
        <f>Q249*$R$155</f>
        <v>23960</v>
      </c>
      <c r="Z249" s="1883"/>
      <c r="AA249" s="1883"/>
      <c r="AB249" s="1883"/>
      <c r="AC249" s="1883"/>
      <c r="AD249" s="1883"/>
      <c r="AE249" s="1883"/>
      <c r="AF249" s="1884"/>
    </row>
    <row r="250" spans="1:32" ht="75" hidden="1" customHeight="1" x14ac:dyDescent="0.25">
      <c r="A250" s="1962" t="s">
        <v>5490</v>
      </c>
      <c r="B250" s="1243"/>
      <c r="C250" s="1243"/>
      <c r="D250" s="1243"/>
      <c r="E250" s="1243" t="s">
        <v>736</v>
      </c>
      <c r="F250" s="1243"/>
      <c r="G250" s="1243"/>
      <c r="H250" s="1243"/>
      <c r="I250" s="1783">
        <f>ROUND(AD176,3)</f>
        <v>0.40600000000000003</v>
      </c>
      <c r="J250" s="1783"/>
      <c r="K250" s="1783"/>
      <c r="L250" s="1783"/>
      <c r="M250" s="1783"/>
      <c r="N250" s="1783"/>
      <c r="O250" s="1783"/>
      <c r="P250" s="1783"/>
      <c r="Q250" s="1963">
        <f>ROUND(Z176,2)</f>
        <v>2403</v>
      </c>
      <c r="R250" s="1963"/>
      <c r="S250" s="1963"/>
      <c r="T250" s="1963"/>
      <c r="U250" s="1963"/>
      <c r="V250" s="1963"/>
      <c r="W250" s="1963"/>
      <c r="X250" s="1963"/>
      <c r="Y250" s="1883">
        <f>Q250*R$151</f>
        <v>24030</v>
      </c>
      <c r="Z250" s="1883"/>
      <c r="AA250" s="1883"/>
      <c r="AB250" s="1883"/>
      <c r="AC250" s="1883"/>
      <c r="AD250" s="1883"/>
      <c r="AE250" s="1883"/>
      <c r="AF250" s="1884"/>
    </row>
    <row r="251" spans="1:32" ht="75" hidden="1" customHeight="1" x14ac:dyDescent="0.25">
      <c r="A251" s="1962" t="s">
        <v>5491</v>
      </c>
      <c r="B251" s="1243"/>
      <c r="C251" s="1243"/>
      <c r="D251" s="1243"/>
      <c r="E251" s="1243" t="s">
        <v>736</v>
      </c>
      <c r="F251" s="1243"/>
      <c r="G251" s="1243"/>
      <c r="H251" s="1243"/>
      <c r="I251" s="1783">
        <f>ROUND(AD177,3)</f>
        <v>0.745</v>
      </c>
      <c r="J251" s="1783"/>
      <c r="K251" s="1783"/>
      <c r="L251" s="1783"/>
      <c r="M251" s="1783"/>
      <c r="N251" s="1783"/>
      <c r="O251" s="1783"/>
      <c r="P251" s="1783"/>
      <c r="Q251" s="1963">
        <f>ROUND(Z177,2)</f>
        <v>4408</v>
      </c>
      <c r="R251" s="1963"/>
      <c r="S251" s="1963"/>
      <c r="T251" s="1963"/>
      <c r="U251" s="1963"/>
      <c r="V251" s="1963"/>
      <c r="W251" s="1963"/>
      <c r="X251" s="1963"/>
      <c r="Y251" s="1883">
        <f>Q251*R$152</f>
        <v>66120</v>
      </c>
      <c r="Z251" s="1883"/>
      <c r="AA251" s="1883"/>
      <c r="AB251" s="1883"/>
      <c r="AC251" s="1883"/>
      <c r="AD251" s="1883"/>
      <c r="AE251" s="1883"/>
      <c r="AF251" s="1884"/>
    </row>
    <row r="252" spans="1:32" ht="75" hidden="1" customHeight="1" x14ac:dyDescent="0.25">
      <c r="A252" s="1962" t="s">
        <v>5492</v>
      </c>
      <c r="B252" s="1243"/>
      <c r="C252" s="1243"/>
      <c r="D252" s="1243"/>
      <c r="E252" s="1243" t="s">
        <v>736</v>
      </c>
      <c r="F252" s="1243"/>
      <c r="G252" s="1243"/>
      <c r="H252" s="1243"/>
      <c r="I252" s="1783">
        <f>ROUND(AD178,3)</f>
        <v>0.92600000000000005</v>
      </c>
      <c r="J252" s="1783"/>
      <c r="K252" s="1783"/>
      <c r="L252" s="1783"/>
      <c r="M252" s="1783"/>
      <c r="N252" s="1783"/>
      <c r="O252" s="1783"/>
      <c r="P252" s="1783"/>
      <c r="Q252" s="1963">
        <f>ROUND(Z178,2)</f>
        <v>5479</v>
      </c>
      <c r="R252" s="1963"/>
      <c r="S252" s="1963"/>
      <c r="T252" s="1963"/>
      <c r="U252" s="1963"/>
      <c r="V252" s="1963"/>
      <c r="W252" s="1963"/>
      <c r="X252" s="1963"/>
      <c r="Y252" s="1883">
        <f>Q252*R$153</f>
        <v>109580</v>
      </c>
      <c r="Z252" s="1883"/>
      <c r="AA252" s="1883"/>
      <c r="AB252" s="1883"/>
      <c r="AC252" s="1883"/>
      <c r="AD252" s="1883"/>
      <c r="AE252" s="1883"/>
      <c r="AF252" s="1884"/>
    </row>
    <row r="253" spans="1:32" ht="75" hidden="1" customHeight="1" x14ac:dyDescent="0.25">
      <c r="A253" s="1962" t="s">
        <v>5493</v>
      </c>
      <c r="B253" s="1243"/>
      <c r="C253" s="1243"/>
      <c r="D253" s="1243"/>
      <c r="E253" s="1243" t="s">
        <v>736</v>
      </c>
      <c r="F253" s="1243"/>
      <c r="G253" s="1243"/>
      <c r="H253" s="1243"/>
      <c r="I253" s="1783">
        <f>ROUND(AD179,3)</f>
        <v>2.177</v>
      </c>
      <c r="J253" s="1783"/>
      <c r="K253" s="1783"/>
      <c r="L253" s="1783"/>
      <c r="M253" s="1783"/>
      <c r="N253" s="1783"/>
      <c r="O253" s="1783"/>
      <c r="P253" s="1783"/>
      <c r="Q253" s="1963">
        <f>ROUND(Z179,2)</f>
        <v>12886</v>
      </c>
      <c r="R253" s="1963"/>
      <c r="S253" s="1963"/>
      <c r="T253" s="1963"/>
      <c r="U253" s="1963"/>
      <c r="V253" s="1963"/>
      <c r="W253" s="1963"/>
      <c r="X253" s="1963"/>
      <c r="Y253" s="1883">
        <f>Q253*R$154</f>
        <v>257720</v>
      </c>
      <c r="Z253" s="1883"/>
      <c r="AA253" s="1883"/>
      <c r="AB253" s="1883"/>
      <c r="AC253" s="1883"/>
      <c r="AD253" s="1883"/>
      <c r="AE253" s="1883"/>
      <c r="AF253" s="1884"/>
    </row>
    <row r="254" spans="1:32" ht="75" hidden="1" customHeight="1" x14ac:dyDescent="0.25">
      <c r="A254" s="1962" t="s">
        <v>5532</v>
      </c>
      <c r="B254" s="1243"/>
      <c r="C254" s="1243"/>
      <c r="D254" s="1243"/>
      <c r="E254" s="1243" t="s">
        <v>736</v>
      </c>
      <c r="F254" s="1243"/>
      <c r="G254" s="1243"/>
      <c r="H254" s="1243"/>
      <c r="I254" s="1783">
        <f>ROUND(AD180,3)</f>
        <v>0.26900000000000002</v>
      </c>
      <c r="J254" s="1783"/>
      <c r="K254" s="1783"/>
      <c r="L254" s="1783"/>
      <c r="M254" s="1783"/>
      <c r="N254" s="1783"/>
      <c r="O254" s="1783"/>
      <c r="P254" s="1783"/>
      <c r="Q254" s="1963">
        <f>ROUND(Z180,2)</f>
        <v>1595</v>
      </c>
      <c r="R254" s="1963"/>
      <c r="S254" s="1963"/>
      <c r="T254" s="1963"/>
      <c r="U254" s="1963"/>
      <c r="V254" s="1963"/>
      <c r="W254" s="1963"/>
      <c r="X254" s="1963"/>
      <c r="Y254" s="1883">
        <f>Q254*R$155</f>
        <v>15950</v>
      </c>
      <c r="Z254" s="1883"/>
      <c r="AA254" s="1883"/>
      <c r="AB254" s="1883"/>
      <c r="AC254" s="1883"/>
      <c r="AD254" s="1883"/>
      <c r="AE254" s="1883"/>
      <c r="AF254" s="1884"/>
    </row>
    <row r="255" spans="1:32" ht="75" hidden="1" customHeight="1" x14ac:dyDescent="0.25">
      <c r="A255" s="1962" t="s">
        <v>5494</v>
      </c>
      <c r="B255" s="1243"/>
      <c r="C255" s="1243"/>
      <c r="D255" s="1243"/>
      <c r="E255" s="1243" t="s">
        <v>736</v>
      </c>
      <c r="F255" s="1243"/>
      <c r="G255" s="1243"/>
      <c r="H255" s="1243"/>
      <c r="I255" s="1783">
        <f>ROUND(AD189,3)</f>
        <v>0.36299999999999999</v>
      </c>
      <c r="J255" s="1783"/>
      <c r="K255" s="1783"/>
      <c r="L255" s="1783"/>
      <c r="M255" s="1783"/>
      <c r="N255" s="1783"/>
      <c r="O255" s="1783"/>
      <c r="P255" s="1783"/>
      <c r="Q255" s="1963">
        <f>ROUND(Z189,2)</f>
        <v>2146</v>
      </c>
      <c r="R255" s="1963"/>
      <c r="S255" s="1963"/>
      <c r="T255" s="1963"/>
      <c r="U255" s="1963"/>
      <c r="V255" s="1963"/>
      <c r="W255" s="1963"/>
      <c r="X255" s="1963"/>
      <c r="Y255" s="1883">
        <f>Q255*$R$151</f>
        <v>21460</v>
      </c>
      <c r="Z255" s="1883"/>
      <c r="AA255" s="1883"/>
      <c r="AB255" s="1883"/>
      <c r="AC255" s="1883"/>
      <c r="AD255" s="1883"/>
      <c r="AE255" s="1883"/>
      <c r="AF255" s="1884"/>
    </row>
    <row r="256" spans="1:32" ht="75" hidden="1" customHeight="1" x14ac:dyDescent="0.25">
      <c r="A256" s="1962" t="s">
        <v>5495</v>
      </c>
      <c r="B256" s="1243"/>
      <c r="C256" s="1243"/>
      <c r="D256" s="1243"/>
      <c r="E256" s="1243" t="s">
        <v>736</v>
      </c>
      <c r="F256" s="1243"/>
      <c r="G256" s="1243"/>
      <c r="H256" s="1243"/>
      <c r="I256" s="1783">
        <f>ROUND(AD190,3)</f>
        <v>0.53200000000000003</v>
      </c>
      <c r="J256" s="1783"/>
      <c r="K256" s="1783"/>
      <c r="L256" s="1783"/>
      <c r="M256" s="1783"/>
      <c r="N256" s="1783"/>
      <c r="O256" s="1783"/>
      <c r="P256" s="1783"/>
      <c r="Q256" s="1963">
        <f>ROUND(Z190,2)</f>
        <v>3146</v>
      </c>
      <c r="R256" s="1963"/>
      <c r="S256" s="1963"/>
      <c r="T256" s="1963"/>
      <c r="U256" s="1963"/>
      <c r="V256" s="1963"/>
      <c r="W256" s="1963"/>
      <c r="X256" s="1963"/>
      <c r="Y256" s="1883">
        <f>Q256*$R$152</f>
        <v>47190</v>
      </c>
      <c r="Z256" s="1883"/>
      <c r="AA256" s="1883"/>
      <c r="AB256" s="1883"/>
      <c r="AC256" s="1883"/>
      <c r="AD256" s="1883"/>
      <c r="AE256" s="1883"/>
      <c r="AF256" s="1884"/>
    </row>
    <row r="257" spans="1:32" ht="75" hidden="1" customHeight="1" x14ac:dyDescent="0.25">
      <c r="A257" s="1962" t="s">
        <v>5496</v>
      </c>
      <c r="B257" s="1243"/>
      <c r="C257" s="1243"/>
      <c r="D257" s="1243"/>
      <c r="E257" s="1243" t="s">
        <v>736</v>
      </c>
      <c r="F257" s="1243"/>
      <c r="G257" s="1243"/>
      <c r="H257" s="1243"/>
      <c r="I257" s="1783">
        <f>ROUND(AD191,3)</f>
        <v>0.754</v>
      </c>
      <c r="J257" s="1783"/>
      <c r="K257" s="1783"/>
      <c r="L257" s="1783"/>
      <c r="M257" s="1783"/>
      <c r="N257" s="1783"/>
      <c r="O257" s="1783"/>
      <c r="P257" s="1783"/>
      <c r="Q257" s="1963">
        <f>ROUND(Z191,2)</f>
        <v>4465</v>
      </c>
      <c r="R257" s="1963"/>
      <c r="S257" s="1963"/>
      <c r="T257" s="1963"/>
      <c r="U257" s="1963"/>
      <c r="V257" s="1963"/>
      <c r="W257" s="1963"/>
      <c r="X257" s="1963"/>
      <c r="Y257" s="1883">
        <f>Q257*$R$153</f>
        <v>89300</v>
      </c>
      <c r="Z257" s="1883"/>
      <c r="AA257" s="1883"/>
      <c r="AB257" s="1883"/>
      <c r="AC257" s="1883"/>
      <c r="AD257" s="1883"/>
      <c r="AE257" s="1883"/>
      <c r="AF257" s="1884"/>
    </row>
    <row r="258" spans="1:32" ht="75" hidden="1" customHeight="1" x14ac:dyDescent="0.25">
      <c r="A258" s="1962" t="s">
        <v>5497</v>
      </c>
      <c r="B258" s="1243"/>
      <c r="C258" s="1243"/>
      <c r="D258" s="1243"/>
      <c r="E258" s="1243" t="s">
        <v>736</v>
      </c>
      <c r="F258" s="1243"/>
      <c r="G258" s="1243"/>
      <c r="H258" s="1243"/>
      <c r="I258" s="1783">
        <f>ROUND(AD192,3)</f>
        <v>1.5269999999999999</v>
      </c>
      <c r="J258" s="1783"/>
      <c r="K258" s="1783"/>
      <c r="L258" s="1783"/>
      <c r="M258" s="1783"/>
      <c r="N258" s="1783"/>
      <c r="O258" s="1783"/>
      <c r="P258" s="1783"/>
      <c r="Q258" s="1963">
        <f>ROUND(Z192,2)</f>
        <v>9038</v>
      </c>
      <c r="R258" s="1963"/>
      <c r="S258" s="1963"/>
      <c r="T258" s="1963"/>
      <c r="U258" s="1963"/>
      <c r="V258" s="1963"/>
      <c r="W258" s="1963"/>
      <c r="X258" s="1963"/>
      <c r="Y258" s="1883">
        <f>Q258*$R$154</f>
        <v>180760</v>
      </c>
      <c r="Z258" s="1883"/>
      <c r="AA258" s="1883"/>
      <c r="AB258" s="1883"/>
      <c r="AC258" s="1883"/>
      <c r="AD258" s="1883"/>
      <c r="AE258" s="1883"/>
      <c r="AF258" s="1884"/>
    </row>
    <row r="259" spans="1:32" ht="75" hidden="1" customHeight="1" x14ac:dyDescent="0.25">
      <c r="A259" s="1962" t="s">
        <v>5533</v>
      </c>
      <c r="B259" s="1243"/>
      <c r="C259" s="1243"/>
      <c r="D259" s="1243"/>
      <c r="E259" s="1243" t="s">
        <v>736</v>
      </c>
      <c r="F259" s="1243"/>
      <c r="G259" s="1243"/>
      <c r="H259" s="1243"/>
      <c r="I259" s="1783">
        <f>ROUND(AD193,3)</f>
        <v>0.185</v>
      </c>
      <c r="J259" s="1783"/>
      <c r="K259" s="1783"/>
      <c r="L259" s="1783"/>
      <c r="M259" s="1783"/>
      <c r="N259" s="1783"/>
      <c r="O259" s="1783"/>
      <c r="P259" s="1783"/>
      <c r="Q259" s="1963">
        <f>ROUND(Z193,2)</f>
        <v>1094</v>
      </c>
      <c r="R259" s="1963"/>
      <c r="S259" s="1963"/>
      <c r="T259" s="1963"/>
      <c r="U259" s="1963"/>
      <c r="V259" s="1963"/>
      <c r="W259" s="1963"/>
      <c r="X259" s="1963"/>
      <c r="Y259" s="1883">
        <f>Q259*$R$155</f>
        <v>10940</v>
      </c>
      <c r="Z259" s="1883"/>
      <c r="AA259" s="1883"/>
      <c r="AB259" s="1883"/>
      <c r="AC259" s="1883"/>
      <c r="AD259" s="1883"/>
      <c r="AE259" s="1883"/>
      <c r="AF259" s="1884"/>
    </row>
    <row r="260" spans="1:32" ht="75" hidden="1" customHeight="1" x14ac:dyDescent="0.25">
      <c r="A260" s="1962" t="s">
        <v>5498</v>
      </c>
      <c r="B260" s="1243"/>
      <c r="C260" s="1243"/>
      <c r="D260" s="1243"/>
      <c r="E260" s="1243" t="s">
        <v>736</v>
      </c>
      <c r="F260" s="1243"/>
      <c r="G260" s="1243"/>
      <c r="H260" s="1243"/>
      <c r="I260" s="1783">
        <f>ROUND(AD202,3)</f>
        <v>0.29299999999999998</v>
      </c>
      <c r="J260" s="1783"/>
      <c r="K260" s="1783"/>
      <c r="L260" s="1783"/>
      <c r="M260" s="1783"/>
      <c r="N260" s="1783"/>
      <c r="O260" s="1783"/>
      <c r="P260" s="1783"/>
      <c r="Q260" s="1963">
        <f>ROUND(Z202,2)</f>
        <v>1734</v>
      </c>
      <c r="R260" s="1963"/>
      <c r="S260" s="1963"/>
      <c r="T260" s="1963"/>
      <c r="U260" s="1963"/>
      <c r="V260" s="1963"/>
      <c r="W260" s="1963"/>
      <c r="X260" s="1963"/>
      <c r="Y260" s="1883">
        <f>Q260*R$151</f>
        <v>17340</v>
      </c>
      <c r="Z260" s="1883"/>
      <c r="AA260" s="1883"/>
      <c r="AB260" s="1883"/>
      <c r="AC260" s="1883"/>
      <c r="AD260" s="1883"/>
      <c r="AE260" s="1883"/>
      <c r="AF260" s="1884"/>
    </row>
    <row r="261" spans="1:32" ht="75" hidden="1" customHeight="1" x14ac:dyDescent="0.25">
      <c r="A261" s="1962" t="s">
        <v>5499</v>
      </c>
      <c r="B261" s="1243"/>
      <c r="C261" s="1243"/>
      <c r="D261" s="1243"/>
      <c r="E261" s="1243" t="s">
        <v>736</v>
      </c>
      <c r="F261" s="1243"/>
      <c r="G261" s="1243"/>
      <c r="H261" s="1243"/>
      <c r="I261" s="1783">
        <f>ROUND(AD203,3)</f>
        <v>0.19</v>
      </c>
      <c r="J261" s="1783"/>
      <c r="K261" s="1783"/>
      <c r="L261" s="1783"/>
      <c r="M261" s="1783"/>
      <c r="N261" s="1783"/>
      <c r="O261" s="1783"/>
      <c r="P261" s="1783"/>
      <c r="Q261" s="1963">
        <f t="shared" ref="Q261:Q263" si="9">ROUND(Z203,2)</f>
        <v>1127</v>
      </c>
      <c r="R261" s="1963"/>
      <c r="S261" s="1963"/>
      <c r="T261" s="1963"/>
      <c r="U261" s="1963"/>
      <c r="V261" s="1963"/>
      <c r="W261" s="1963"/>
      <c r="X261" s="1963"/>
      <c r="Y261" s="1883">
        <f>Q261*R$152</f>
        <v>16905</v>
      </c>
      <c r="Z261" s="1883"/>
      <c r="AA261" s="1883"/>
      <c r="AB261" s="1883"/>
      <c r="AC261" s="1883"/>
      <c r="AD261" s="1883"/>
      <c r="AE261" s="1883"/>
      <c r="AF261" s="1884"/>
    </row>
    <row r="262" spans="1:32" ht="75" hidden="1" customHeight="1" x14ac:dyDescent="0.25">
      <c r="A262" s="1962" t="s">
        <v>5500</v>
      </c>
      <c r="B262" s="1243"/>
      <c r="C262" s="1243"/>
      <c r="D262" s="1243"/>
      <c r="E262" s="1243" t="s">
        <v>736</v>
      </c>
      <c r="F262" s="1243"/>
      <c r="G262" s="1243"/>
      <c r="H262" s="1243"/>
      <c r="I262" s="1783">
        <f>ROUND(AD204,3)</f>
        <v>0.48</v>
      </c>
      <c r="J262" s="1783"/>
      <c r="K262" s="1783"/>
      <c r="L262" s="1783"/>
      <c r="M262" s="1783"/>
      <c r="N262" s="1783"/>
      <c r="O262" s="1783"/>
      <c r="P262" s="1783"/>
      <c r="Q262" s="1963">
        <f t="shared" si="9"/>
        <v>2842</v>
      </c>
      <c r="R262" s="1963"/>
      <c r="S262" s="1963"/>
      <c r="T262" s="1963"/>
      <c r="U262" s="1963"/>
      <c r="V262" s="1963"/>
      <c r="W262" s="1963"/>
      <c r="X262" s="1963"/>
      <c r="Y262" s="1883">
        <f>Q262*R$153</f>
        <v>56840</v>
      </c>
      <c r="Z262" s="1883"/>
      <c r="AA262" s="1883"/>
      <c r="AB262" s="1883"/>
      <c r="AC262" s="1883"/>
      <c r="AD262" s="1883"/>
      <c r="AE262" s="1883"/>
      <c r="AF262" s="1884"/>
    </row>
    <row r="263" spans="1:32" ht="75" hidden="1" customHeight="1" x14ac:dyDescent="0.25">
      <c r="A263" s="1962" t="s">
        <v>5501</v>
      </c>
      <c r="B263" s="1243"/>
      <c r="C263" s="1243"/>
      <c r="D263" s="1243"/>
      <c r="E263" s="1243" t="s">
        <v>736</v>
      </c>
      <c r="F263" s="1243"/>
      <c r="G263" s="1243"/>
      <c r="H263" s="1243"/>
      <c r="I263" s="1783">
        <f>ROUND(AD205,3)</f>
        <v>0.48699999999999999</v>
      </c>
      <c r="J263" s="1783"/>
      <c r="K263" s="1783"/>
      <c r="L263" s="1783"/>
      <c r="M263" s="1783"/>
      <c r="N263" s="1783"/>
      <c r="O263" s="1783"/>
      <c r="P263" s="1783"/>
      <c r="Q263" s="1963">
        <f t="shared" si="9"/>
        <v>2881</v>
      </c>
      <c r="R263" s="1963"/>
      <c r="S263" s="1963"/>
      <c r="T263" s="1963"/>
      <c r="U263" s="1963"/>
      <c r="V263" s="1963"/>
      <c r="W263" s="1963"/>
      <c r="X263" s="1963"/>
      <c r="Y263" s="1883">
        <f>Q263*R$154</f>
        <v>57620</v>
      </c>
      <c r="Z263" s="1883"/>
      <c r="AA263" s="1883"/>
      <c r="AB263" s="1883"/>
      <c r="AC263" s="1883"/>
      <c r="AD263" s="1883"/>
      <c r="AE263" s="1883"/>
      <c r="AF263" s="1884"/>
    </row>
    <row r="264" spans="1:32" ht="75" hidden="1" customHeight="1" x14ac:dyDescent="0.25">
      <c r="A264" s="1962" t="s">
        <v>5534</v>
      </c>
      <c r="B264" s="1243"/>
      <c r="C264" s="1243"/>
      <c r="D264" s="1243"/>
      <c r="E264" s="1243" t="s">
        <v>736</v>
      </c>
      <c r="F264" s="1243"/>
      <c r="G264" s="1243"/>
      <c r="H264" s="1243"/>
      <c r="I264" s="1783">
        <f>ROUND(AD206,3)</f>
        <v>4.9000000000000002E-2</v>
      </c>
      <c r="J264" s="1783"/>
      <c r="K264" s="1783"/>
      <c r="L264" s="1783"/>
      <c r="M264" s="1783"/>
      <c r="N264" s="1783"/>
      <c r="O264" s="1783"/>
      <c r="P264" s="1783"/>
      <c r="Q264" s="1963">
        <f>ROUND(Z206,2)</f>
        <v>292</v>
      </c>
      <c r="R264" s="1963"/>
      <c r="S264" s="1963"/>
      <c r="T264" s="1963"/>
      <c r="U264" s="1963"/>
      <c r="V264" s="1963"/>
      <c r="W264" s="1963"/>
      <c r="X264" s="1963"/>
      <c r="Y264" s="1883">
        <f>Q264*R$155</f>
        <v>2920</v>
      </c>
      <c r="Z264" s="1883"/>
      <c r="AA264" s="1883"/>
      <c r="AB264" s="1883"/>
      <c r="AC264" s="1883"/>
      <c r="AD264" s="1883"/>
      <c r="AE264" s="1883"/>
      <c r="AF264" s="1884"/>
    </row>
    <row r="265" spans="1:32" ht="75" hidden="1" customHeight="1" x14ac:dyDescent="0.25">
      <c r="A265" s="1969" t="s">
        <v>5502</v>
      </c>
      <c r="B265" s="1970"/>
      <c r="C265" s="1970"/>
      <c r="D265" s="1970"/>
      <c r="E265" s="1970" t="s">
        <v>736</v>
      </c>
      <c r="F265" s="1970"/>
      <c r="G265" s="1970"/>
      <c r="H265" s="1970"/>
      <c r="I265" s="1971">
        <f>ROUND($U$211*(AD163*$U$211+AD176*$U$212)+$U$212*(AD189*$U$211+AD202*$U$212),3)</f>
        <v>0.42299999999999999</v>
      </c>
      <c r="J265" s="1971"/>
      <c r="K265" s="1971"/>
      <c r="L265" s="1971"/>
      <c r="M265" s="1971"/>
      <c r="N265" s="1971"/>
      <c r="O265" s="1971"/>
      <c r="P265" s="1971"/>
      <c r="Q265" s="1972">
        <f>ROUND($U$211*(Z163*$U$211+Z176*$U$212)+$U$212*(Z189*$U$211+Z202*$U$212),2)</f>
        <v>2501.5100000000002</v>
      </c>
      <c r="R265" s="1972"/>
      <c r="S265" s="1972"/>
      <c r="T265" s="1972"/>
      <c r="U265" s="1972"/>
      <c r="V265" s="1972"/>
      <c r="W265" s="1972"/>
      <c r="X265" s="1972"/>
      <c r="Y265" s="1973">
        <f>Q265*R$151</f>
        <v>25015.100000000002</v>
      </c>
      <c r="Z265" s="1973"/>
      <c r="AA265" s="1973"/>
      <c r="AB265" s="1973"/>
      <c r="AC265" s="1973"/>
      <c r="AD265" s="1973"/>
      <c r="AE265" s="1973"/>
      <c r="AF265" s="1974"/>
    </row>
    <row r="266" spans="1:32" ht="75" hidden="1" customHeight="1" x14ac:dyDescent="0.25">
      <c r="A266" s="1962" t="s">
        <v>5503</v>
      </c>
      <c r="B266" s="1243"/>
      <c r="C266" s="1243"/>
      <c r="D266" s="1243"/>
      <c r="E266" s="1243" t="s">
        <v>736</v>
      </c>
      <c r="F266" s="1243"/>
      <c r="G266" s="1243"/>
      <c r="H266" s="1243"/>
      <c r="I266" s="1975">
        <f>ROUND($U$211*(AD164*$U$211+AD177*$U$212)+$U$212*(AD190*$U$211+AD203*$U$212),3)</f>
        <v>0.82599999999999996</v>
      </c>
      <c r="J266" s="1976"/>
      <c r="K266" s="1976"/>
      <c r="L266" s="1976"/>
      <c r="M266" s="1976"/>
      <c r="N266" s="1976"/>
      <c r="O266" s="1976"/>
      <c r="P266" s="1977"/>
      <c r="Q266" s="1972">
        <f>ROUND($U$211*(Z164*$U$211+Z177*$U$212)+$U$212*(Z190*$U$211+Z203*$U$212),2)</f>
        <v>4889.5</v>
      </c>
      <c r="R266" s="1972"/>
      <c r="S266" s="1972"/>
      <c r="T266" s="1972"/>
      <c r="U266" s="1972"/>
      <c r="V266" s="1972"/>
      <c r="W266" s="1972"/>
      <c r="X266" s="1972"/>
      <c r="Y266" s="1883">
        <f>Q266*R$152</f>
        <v>73342.5</v>
      </c>
      <c r="Z266" s="1883"/>
      <c r="AA266" s="1883"/>
      <c r="AB266" s="1883"/>
      <c r="AC266" s="1883"/>
      <c r="AD266" s="1883"/>
      <c r="AE266" s="1883"/>
      <c r="AF266" s="1884"/>
    </row>
    <row r="267" spans="1:32" ht="75" hidden="1" customHeight="1" x14ac:dyDescent="0.25">
      <c r="A267" s="1962" t="s">
        <v>5504</v>
      </c>
      <c r="B267" s="1243"/>
      <c r="C267" s="1243"/>
      <c r="D267" s="1243"/>
      <c r="E267" s="1243" t="s">
        <v>736</v>
      </c>
      <c r="F267" s="1243"/>
      <c r="G267" s="1243"/>
      <c r="H267" s="1243"/>
      <c r="I267" s="1975">
        <f>ROUND($U$211*(AD165*$U$211+AD178*$U$212)+$U$212*(AD191*$U$211+AD204*$U$212),3)</f>
        <v>0.99099999999999999</v>
      </c>
      <c r="J267" s="1976"/>
      <c r="K267" s="1976"/>
      <c r="L267" s="1976"/>
      <c r="M267" s="1976"/>
      <c r="N267" s="1976"/>
      <c r="O267" s="1976"/>
      <c r="P267" s="1977"/>
      <c r="Q267" s="1972">
        <f>ROUND($U$211*(Z165*$U$211+Z178*$U$212)+$U$212*(Z191*$U$211+Z204*$U$212),2)</f>
        <v>5866.1</v>
      </c>
      <c r="R267" s="1972"/>
      <c r="S267" s="1972"/>
      <c r="T267" s="1972"/>
      <c r="U267" s="1972"/>
      <c r="V267" s="1972"/>
      <c r="W267" s="1972"/>
      <c r="X267" s="1972"/>
      <c r="Y267" s="1883">
        <f>Q267*R$153</f>
        <v>117322</v>
      </c>
      <c r="Z267" s="1883"/>
      <c r="AA267" s="1883"/>
      <c r="AB267" s="1883"/>
      <c r="AC267" s="1883"/>
      <c r="AD267" s="1883"/>
      <c r="AE267" s="1883"/>
      <c r="AF267" s="1884"/>
    </row>
    <row r="268" spans="1:32" ht="75" hidden="1" customHeight="1" x14ac:dyDescent="0.25">
      <c r="A268" s="1962" t="s">
        <v>5505</v>
      </c>
      <c r="B268" s="1243"/>
      <c r="C268" s="1243"/>
      <c r="D268" s="1243"/>
      <c r="E268" s="1243" t="s">
        <v>736</v>
      </c>
      <c r="F268" s="1243"/>
      <c r="G268" s="1243"/>
      <c r="H268" s="1243"/>
      <c r="I268" s="1975">
        <f>ROUND($U$211*(AD166*$U$211+AD179*$U$212)+$U$212*(AD192*$U$211+AD205*$U$212),3)</f>
        <v>2.4249999999999998</v>
      </c>
      <c r="J268" s="1976"/>
      <c r="K268" s="1976"/>
      <c r="L268" s="1976"/>
      <c r="M268" s="1976"/>
      <c r="N268" s="1976"/>
      <c r="O268" s="1976"/>
      <c r="P268" s="1977"/>
      <c r="Q268" s="1972">
        <f>ROUND($U$211*(Z166*$U$211+Z179*$U$212)+$U$212*(Z192*$U$211+Z205*$U$212),2)</f>
        <v>14355.01</v>
      </c>
      <c r="R268" s="1972"/>
      <c r="S268" s="1972"/>
      <c r="T268" s="1972"/>
      <c r="U268" s="1972"/>
      <c r="V268" s="1972"/>
      <c r="W268" s="1972"/>
      <c r="X268" s="1972"/>
      <c r="Y268" s="1883">
        <f>Q268*R$154</f>
        <v>287100.2</v>
      </c>
      <c r="Z268" s="1883"/>
      <c r="AA268" s="1883"/>
      <c r="AB268" s="1883"/>
      <c r="AC268" s="1883"/>
      <c r="AD268" s="1883"/>
      <c r="AE268" s="1883"/>
      <c r="AF268" s="1884"/>
    </row>
    <row r="269" spans="1:32" ht="75" hidden="1" customHeight="1" thickBot="1" x14ac:dyDescent="0.3">
      <c r="A269" s="1738" t="s">
        <v>5535</v>
      </c>
      <c r="B269" s="1579"/>
      <c r="C269" s="1579"/>
      <c r="D269" s="1579"/>
      <c r="E269" s="1579" t="s">
        <v>736</v>
      </c>
      <c r="F269" s="1579"/>
      <c r="G269" s="1579"/>
      <c r="H269" s="1579"/>
      <c r="I269" s="1978">
        <f>ROUND($U$211*(AD167*$U$211+AD180*$U$212)+$U$212*(AD193*$U$211+AD206*$U$212),3)</f>
        <v>0.30199999999999999</v>
      </c>
      <c r="J269" s="1979"/>
      <c r="K269" s="1979"/>
      <c r="L269" s="1979"/>
      <c r="M269" s="1979"/>
      <c r="N269" s="1979"/>
      <c r="O269" s="1979"/>
      <c r="P269" s="1980"/>
      <c r="Q269" s="1981">
        <f>ROUND($U$211*(Z167*$U$211+Z180*$U$212)+$U$212*(Z193*$U$211+Z206*$U$212),2)</f>
        <v>1786.05</v>
      </c>
      <c r="R269" s="1981"/>
      <c r="S269" s="1981"/>
      <c r="T269" s="1981"/>
      <c r="U269" s="1981"/>
      <c r="V269" s="1981"/>
      <c r="W269" s="1981"/>
      <c r="X269" s="1981"/>
      <c r="Y269" s="1889">
        <f>Q269*R$155</f>
        <v>17860.5</v>
      </c>
      <c r="Z269" s="1889"/>
      <c r="AA269" s="1889"/>
      <c r="AB269" s="1889"/>
      <c r="AC269" s="1889"/>
      <c r="AD269" s="1889"/>
      <c r="AE269" s="1889"/>
      <c r="AF269" s="1890"/>
    </row>
    <row r="271" spans="1:32" x14ac:dyDescent="0.25">
      <c r="A271" s="290"/>
      <c r="B271" s="380" t="s">
        <v>5506</v>
      </c>
      <c r="C271" s="290"/>
      <c r="D271" s="290"/>
      <c r="E271" s="290"/>
      <c r="F271" s="290"/>
      <c r="G271" s="290"/>
      <c r="H271" s="290"/>
      <c r="I271" s="854"/>
      <c r="J271" s="854"/>
      <c r="K271" s="854"/>
      <c r="L271" s="854"/>
      <c r="M271" s="854"/>
      <c r="N271" s="854"/>
      <c r="O271" s="854"/>
      <c r="P271" s="854"/>
      <c r="Q271" s="855"/>
      <c r="R271" s="855"/>
      <c r="S271" s="855"/>
      <c r="T271" s="855"/>
      <c r="U271" s="855"/>
      <c r="V271" s="855"/>
      <c r="W271" s="855"/>
      <c r="X271" s="853"/>
      <c r="Y271" s="853"/>
      <c r="Z271" s="853"/>
      <c r="AA271" s="853"/>
      <c r="AB271" s="853"/>
      <c r="AC271" s="853"/>
      <c r="AD271" s="853"/>
      <c r="AE271" s="853"/>
      <c r="AF271" s="853"/>
    </row>
    <row r="272" spans="1:32" ht="15.75" thickBot="1" x14ac:dyDescent="0.3"/>
    <row r="273" spans="1:32" x14ac:dyDescent="0.25">
      <c r="A273" s="1964" t="s">
        <v>22</v>
      </c>
      <c r="B273" s="1965"/>
      <c r="C273" s="1965"/>
      <c r="D273" s="1965"/>
      <c r="E273" s="1965"/>
      <c r="F273" s="1965"/>
      <c r="G273" s="1965"/>
      <c r="H273" s="1966"/>
      <c r="I273" s="1967" t="s">
        <v>23</v>
      </c>
      <c r="J273" s="1965"/>
      <c r="K273" s="1965"/>
      <c r="L273" s="1965"/>
      <c r="M273" s="1965"/>
      <c r="N273" s="1965"/>
      <c r="O273" s="1965"/>
      <c r="P273" s="1966"/>
      <c r="Q273" s="1967" t="s">
        <v>24</v>
      </c>
      <c r="R273" s="1965"/>
      <c r="S273" s="1965"/>
      <c r="T273" s="1965"/>
      <c r="U273" s="1965"/>
      <c r="V273" s="1965"/>
      <c r="W273" s="1965"/>
      <c r="X273" s="1966"/>
      <c r="Y273" s="1967" t="s">
        <v>2012</v>
      </c>
      <c r="Z273" s="1965"/>
      <c r="AA273" s="1965"/>
      <c r="AB273" s="1965"/>
      <c r="AC273" s="1965"/>
      <c r="AD273" s="1965"/>
      <c r="AE273" s="1965"/>
      <c r="AF273" s="1968"/>
    </row>
    <row r="274" spans="1:32" ht="45" customHeight="1" x14ac:dyDescent="0.25">
      <c r="A274" s="1962" t="s">
        <v>5507</v>
      </c>
      <c r="B274" s="1243"/>
      <c r="C274" s="1243"/>
      <c r="D274" s="1243"/>
      <c r="E274" s="1243" t="s">
        <v>736</v>
      </c>
      <c r="F274" s="1243"/>
      <c r="G274" s="1243"/>
      <c r="H274" s="1243"/>
      <c r="I274" s="1975">
        <f>ROUND(AD159*$U$211+AD185*$U$212,3)</f>
        <v>0.34799999999999998</v>
      </c>
      <c r="J274" s="1976"/>
      <c r="K274" s="1976"/>
      <c r="L274" s="1976"/>
      <c r="M274" s="1976"/>
      <c r="N274" s="1976"/>
      <c r="O274" s="1976"/>
      <c r="P274" s="1977"/>
      <c r="Q274" s="1982">
        <f>ROUND(Z159*$U$211+Z185*$U$212,2)</f>
        <v>2057.6999999999998</v>
      </c>
      <c r="R274" s="1983"/>
      <c r="S274" s="1983"/>
      <c r="T274" s="1983"/>
      <c r="U274" s="1983"/>
      <c r="V274" s="1983"/>
      <c r="W274" s="1983"/>
      <c r="X274" s="1984"/>
      <c r="Y274" s="1985">
        <f>Q274*R$147</f>
        <v>20577</v>
      </c>
      <c r="Z274" s="1986"/>
      <c r="AA274" s="1986"/>
      <c r="AB274" s="1986"/>
      <c r="AC274" s="1986"/>
      <c r="AD274" s="1986"/>
      <c r="AE274" s="1986"/>
      <c r="AF274" s="1987"/>
    </row>
    <row r="275" spans="1:32" ht="45" customHeight="1" x14ac:dyDescent="0.25">
      <c r="A275" s="1962" t="s">
        <v>5508</v>
      </c>
      <c r="B275" s="1243"/>
      <c r="C275" s="1243"/>
      <c r="D275" s="1243"/>
      <c r="E275" s="1243" t="s">
        <v>736</v>
      </c>
      <c r="F275" s="1243"/>
      <c r="G275" s="1243"/>
      <c r="H275" s="1243"/>
      <c r="I275" s="1975">
        <f>ROUND(AD160*$U$211+AD186*$U$212,3)</f>
        <v>1.0620000000000001</v>
      </c>
      <c r="J275" s="1976"/>
      <c r="K275" s="1976"/>
      <c r="L275" s="1976"/>
      <c r="M275" s="1976"/>
      <c r="N275" s="1976"/>
      <c r="O275" s="1976"/>
      <c r="P275" s="1977"/>
      <c r="Q275" s="1982">
        <f>ROUND(Z160*$U$211+Z186*$U$212,2)</f>
        <v>6285.66</v>
      </c>
      <c r="R275" s="1983"/>
      <c r="S275" s="1983"/>
      <c r="T275" s="1983"/>
      <c r="U275" s="1983"/>
      <c r="V275" s="1983"/>
      <c r="W275" s="1983"/>
      <c r="X275" s="1984"/>
      <c r="Y275" s="1985">
        <f>Q275*R$148</f>
        <v>94284.9</v>
      </c>
      <c r="Z275" s="1986"/>
      <c r="AA275" s="1986"/>
      <c r="AB275" s="1986"/>
      <c r="AC275" s="1986"/>
      <c r="AD275" s="1986"/>
      <c r="AE275" s="1986"/>
      <c r="AF275" s="1987"/>
    </row>
    <row r="276" spans="1:32" ht="45" customHeight="1" x14ac:dyDescent="0.25">
      <c r="A276" s="1962" t="s">
        <v>5509</v>
      </c>
      <c r="B276" s="1243"/>
      <c r="C276" s="1243"/>
      <c r="D276" s="1243"/>
      <c r="E276" s="1243" t="s">
        <v>736</v>
      </c>
      <c r="F276" s="1243"/>
      <c r="G276" s="1243"/>
      <c r="H276" s="1243"/>
      <c r="I276" s="1975">
        <f>ROUND(AD161*$U$211+AD187*$U$212,3)</f>
        <v>1.4610000000000001</v>
      </c>
      <c r="J276" s="1976"/>
      <c r="K276" s="1976"/>
      <c r="L276" s="1976"/>
      <c r="M276" s="1976"/>
      <c r="N276" s="1976"/>
      <c r="O276" s="1976"/>
      <c r="P276" s="1977"/>
      <c r="Q276" s="1982">
        <f>ROUND(Z161*$U$211+Z187*$U$212,2)</f>
        <v>8646.15</v>
      </c>
      <c r="R276" s="1983"/>
      <c r="S276" s="1983"/>
      <c r="T276" s="1983"/>
      <c r="U276" s="1983"/>
      <c r="V276" s="1983"/>
      <c r="W276" s="1983"/>
      <c r="X276" s="1984"/>
      <c r="Y276" s="1985">
        <f>Q276*R$149</f>
        <v>172923</v>
      </c>
      <c r="Z276" s="1986"/>
      <c r="AA276" s="1986"/>
      <c r="AB276" s="1986"/>
      <c r="AC276" s="1986"/>
      <c r="AD276" s="1986"/>
      <c r="AE276" s="1986"/>
      <c r="AF276" s="1987"/>
    </row>
    <row r="277" spans="1:32" ht="45" customHeight="1" x14ac:dyDescent="0.25">
      <c r="A277" s="1962" t="s">
        <v>5510</v>
      </c>
      <c r="B277" s="1243"/>
      <c r="C277" s="1243"/>
      <c r="D277" s="1243"/>
      <c r="E277" s="1243" t="s">
        <v>736</v>
      </c>
      <c r="F277" s="1243"/>
      <c r="G277" s="1243"/>
      <c r="H277" s="1243"/>
      <c r="I277" s="1975">
        <f>ROUND(AD162*$U$211+AD188*$U$212,3)</f>
        <v>2.012</v>
      </c>
      <c r="J277" s="1976"/>
      <c r="K277" s="1976"/>
      <c r="L277" s="1976"/>
      <c r="M277" s="1976"/>
      <c r="N277" s="1976"/>
      <c r="O277" s="1976"/>
      <c r="P277" s="1977"/>
      <c r="Q277" s="1982">
        <f>ROUND(Z162*$U$211+Z188*$U$212,2)</f>
        <v>11908.72</v>
      </c>
      <c r="R277" s="1983"/>
      <c r="S277" s="1983"/>
      <c r="T277" s="1983"/>
      <c r="U277" s="1983"/>
      <c r="V277" s="1983"/>
      <c r="W277" s="1983"/>
      <c r="X277" s="1984"/>
      <c r="Y277" s="1985">
        <f>Q277*R$150</f>
        <v>238174.4</v>
      </c>
      <c r="Z277" s="1986"/>
      <c r="AA277" s="1986"/>
      <c r="AB277" s="1986"/>
      <c r="AC277" s="1986"/>
      <c r="AD277" s="1986"/>
      <c r="AE277" s="1986"/>
      <c r="AF277" s="1987"/>
    </row>
    <row r="278" spans="1:32" ht="45" customHeight="1" x14ac:dyDescent="0.25">
      <c r="A278" s="1969" t="s">
        <v>5511</v>
      </c>
      <c r="B278" s="1970"/>
      <c r="C278" s="1970"/>
      <c r="D278" s="1970"/>
      <c r="E278" s="1970" t="s">
        <v>736</v>
      </c>
      <c r="F278" s="1970"/>
      <c r="G278" s="1970"/>
      <c r="H278" s="1970"/>
      <c r="I278" s="1975">
        <f>ROUND($U$211*(AD163*$U$211+AD176*$U$212)+$U$212*(AD189*$U$211+AD202*$U$212),3)</f>
        <v>0.42299999999999999</v>
      </c>
      <c r="J278" s="1976"/>
      <c r="K278" s="1976"/>
      <c r="L278" s="1976"/>
      <c r="M278" s="1976"/>
      <c r="N278" s="1976"/>
      <c r="O278" s="1976"/>
      <c r="P278" s="1977"/>
      <c r="Q278" s="1982">
        <f>ROUND($U$211*(Z163*$U$211+Z176*$U$212)+$U$212*(Z189*$U$211+Z202*$U$212),2)</f>
        <v>2501.5100000000002</v>
      </c>
      <c r="R278" s="1983"/>
      <c r="S278" s="1983"/>
      <c r="T278" s="1983"/>
      <c r="U278" s="1983"/>
      <c r="V278" s="1983"/>
      <c r="W278" s="1983"/>
      <c r="X278" s="1984"/>
      <c r="Y278" s="1985">
        <f>Q278*R$147</f>
        <v>25015.100000000002</v>
      </c>
      <c r="Z278" s="1986"/>
      <c r="AA278" s="1986"/>
      <c r="AB278" s="1986"/>
      <c r="AC278" s="1986"/>
      <c r="AD278" s="1986"/>
      <c r="AE278" s="1986"/>
      <c r="AF278" s="1987"/>
    </row>
    <row r="279" spans="1:32" ht="45" customHeight="1" x14ac:dyDescent="0.25">
      <c r="A279" s="1962" t="s">
        <v>5512</v>
      </c>
      <c r="B279" s="1243"/>
      <c r="C279" s="1243"/>
      <c r="D279" s="1243"/>
      <c r="E279" s="1243" t="s">
        <v>736</v>
      </c>
      <c r="F279" s="1243"/>
      <c r="G279" s="1243"/>
      <c r="H279" s="1243"/>
      <c r="I279" s="1975">
        <f>ROUND($U$211*(AD164*$U$211+AD177*$U$212)+$U$212*(AD190*$U$211+AD203*$U$212),3)</f>
        <v>0.82599999999999996</v>
      </c>
      <c r="J279" s="1976"/>
      <c r="K279" s="1976"/>
      <c r="L279" s="1976"/>
      <c r="M279" s="1976"/>
      <c r="N279" s="1976"/>
      <c r="O279" s="1976"/>
      <c r="P279" s="1977"/>
      <c r="Q279" s="1982">
        <f>ROUND($U$211*(Z164*$U$211+Z177*$U$212)+$U$212*(Z190*$U$211+Z203*$U$212),2)</f>
        <v>4889.5</v>
      </c>
      <c r="R279" s="1983"/>
      <c r="S279" s="1983"/>
      <c r="T279" s="1983"/>
      <c r="U279" s="1983"/>
      <c r="V279" s="1983"/>
      <c r="W279" s="1983"/>
      <c r="X279" s="1984"/>
      <c r="Y279" s="1985">
        <f>Q279*R$148</f>
        <v>73342.5</v>
      </c>
      <c r="Z279" s="1986"/>
      <c r="AA279" s="1986"/>
      <c r="AB279" s="1986"/>
      <c r="AC279" s="1986"/>
      <c r="AD279" s="1986"/>
      <c r="AE279" s="1986"/>
      <c r="AF279" s="1987"/>
    </row>
    <row r="280" spans="1:32" ht="45" customHeight="1" x14ac:dyDescent="0.25">
      <c r="A280" s="1962" t="s">
        <v>5513</v>
      </c>
      <c r="B280" s="1243"/>
      <c r="C280" s="1243"/>
      <c r="D280" s="1243"/>
      <c r="E280" s="1243" t="s">
        <v>736</v>
      </c>
      <c r="F280" s="1243"/>
      <c r="G280" s="1243"/>
      <c r="H280" s="1243"/>
      <c r="I280" s="1975">
        <f>ROUND($U$211*(AD165*$U$211+AD178*$U$212)+$U$212*(AD191*$U$211+AD204*$U$212),3)</f>
        <v>0.99099999999999999</v>
      </c>
      <c r="J280" s="1976"/>
      <c r="K280" s="1976"/>
      <c r="L280" s="1976"/>
      <c r="M280" s="1976"/>
      <c r="N280" s="1976"/>
      <c r="O280" s="1976"/>
      <c r="P280" s="1977"/>
      <c r="Q280" s="1982">
        <f>ROUND($U$211*(Z165*$U$211+Z178*$U$212)+$U$212*(Z191*$U$211+Z204*$U$212),2)</f>
        <v>5866.1</v>
      </c>
      <c r="R280" s="1983"/>
      <c r="S280" s="1983"/>
      <c r="T280" s="1983"/>
      <c r="U280" s="1983"/>
      <c r="V280" s="1983"/>
      <c r="W280" s="1983"/>
      <c r="X280" s="1984"/>
      <c r="Y280" s="1985">
        <f>Q280*R$149</f>
        <v>117322</v>
      </c>
      <c r="Z280" s="1986"/>
      <c r="AA280" s="1986"/>
      <c r="AB280" s="1986"/>
      <c r="AC280" s="1986"/>
      <c r="AD280" s="1986"/>
      <c r="AE280" s="1986"/>
      <c r="AF280" s="1987"/>
    </row>
    <row r="281" spans="1:32" ht="45" customHeight="1" x14ac:dyDescent="0.25">
      <c r="A281" s="1962" t="s">
        <v>5514</v>
      </c>
      <c r="B281" s="1243"/>
      <c r="C281" s="1243"/>
      <c r="D281" s="1243"/>
      <c r="E281" s="1243" t="s">
        <v>736</v>
      </c>
      <c r="F281" s="1243"/>
      <c r="G281" s="1243"/>
      <c r="H281" s="1243"/>
      <c r="I281" s="1975">
        <f>ROUND($U$211*(AD166*$U$211+AD179*$U$212)+$U$212*(AD192*$U$211+AD205*$U$212),3)</f>
        <v>2.4249999999999998</v>
      </c>
      <c r="J281" s="1976"/>
      <c r="K281" s="1976"/>
      <c r="L281" s="1976"/>
      <c r="M281" s="1976"/>
      <c r="N281" s="1976"/>
      <c r="O281" s="1976"/>
      <c r="P281" s="1977"/>
      <c r="Q281" s="1982">
        <f>ROUND($U$211*(Z166*$U$211+Z179*$U$212)+$U$212*(Z192*$U$211+Z205*$U$212),2)</f>
        <v>14355.01</v>
      </c>
      <c r="R281" s="1983"/>
      <c r="S281" s="1983"/>
      <c r="T281" s="1983"/>
      <c r="U281" s="1983"/>
      <c r="V281" s="1983"/>
      <c r="W281" s="1983"/>
      <c r="X281" s="1984"/>
      <c r="Y281" s="1985">
        <f>Q281*R$150</f>
        <v>287100.2</v>
      </c>
      <c r="Z281" s="1986"/>
      <c r="AA281" s="1986"/>
      <c r="AB281" s="1986"/>
      <c r="AC281" s="1986"/>
      <c r="AD281" s="1986"/>
      <c r="AE281" s="1986"/>
      <c r="AF281" s="1987"/>
    </row>
    <row r="282" spans="1:32" ht="45" customHeight="1" thickBot="1" x14ac:dyDescent="0.3">
      <c r="A282" s="1738" t="s">
        <v>5536</v>
      </c>
      <c r="B282" s="1579"/>
      <c r="C282" s="1579"/>
      <c r="D282" s="1579"/>
      <c r="E282" s="1579" t="s">
        <v>736</v>
      </c>
      <c r="F282" s="1579"/>
      <c r="G282" s="1579"/>
      <c r="H282" s="1579"/>
      <c r="I282" s="1978">
        <f>ROUND($U$211*(AD167*$U$211+AD180*$U$212)+$U$212*(AD193*$U$211+AD206*$U$212),3)</f>
        <v>0.30199999999999999</v>
      </c>
      <c r="J282" s="1979"/>
      <c r="K282" s="1979"/>
      <c r="L282" s="1979"/>
      <c r="M282" s="1979"/>
      <c r="N282" s="1979"/>
      <c r="O282" s="1979"/>
      <c r="P282" s="1980"/>
      <c r="Q282" s="1989">
        <f>ROUND($U$211*(Z167*$U$211+Z180*$U$212)+$U$212*(Z193*$U$211+Z206*$U$212),2)</f>
        <v>1786.05</v>
      </c>
      <c r="R282" s="1990"/>
      <c r="S282" s="1990"/>
      <c r="T282" s="1990"/>
      <c r="U282" s="1990"/>
      <c r="V282" s="1990"/>
      <c r="W282" s="1990"/>
      <c r="X282" s="1991"/>
      <c r="Y282" s="1992">
        <f>Q282*R$151</f>
        <v>17860.5</v>
      </c>
      <c r="Z282" s="1993"/>
      <c r="AA282" s="1993"/>
      <c r="AB282" s="1993"/>
      <c r="AC282" s="1993"/>
      <c r="AD282" s="1993"/>
      <c r="AE282" s="1993"/>
      <c r="AF282" s="1994"/>
    </row>
    <row r="285" spans="1:32" x14ac:dyDescent="0.25">
      <c r="A285" s="1472" t="s">
        <v>1753</v>
      </c>
      <c r="B285" s="1472"/>
      <c r="C285" s="1472"/>
      <c r="D285" s="1472"/>
      <c r="E285" s="1472"/>
      <c r="F285" s="1472"/>
      <c r="G285" s="1472"/>
      <c r="H285" s="1472"/>
      <c r="I285" s="1472"/>
      <c r="J285" s="1472"/>
      <c r="K285" s="1472"/>
      <c r="L285" s="1472"/>
      <c r="M285" s="1472"/>
      <c r="N285" s="1472"/>
      <c r="O285" s="1472"/>
      <c r="P285" s="1472"/>
      <c r="Q285" s="1472"/>
      <c r="R285" s="1472"/>
      <c r="S285" s="1472"/>
      <c r="T285" s="1472"/>
      <c r="U285" s="1472"/>
      <c r="V285" s="1472"/>
      <c r="W285" s="1472"/>
      <c r="X285" s="1472"/>
      <c r="Y285" s="1472"/>
      <c r="Z285" s="1472"/>
      <c r="AA285" s="1472"/>
      <c r="AB285" s="1472"/>
      <c r="AC285" s="1472"/>
      <c r="AD285" s="1472"/>
      <c r="AE285" s="1472"/>
      <c r="AF285" s="1472"/>
    </row>
    <row r="286" spans="1:32" x14ac:dyDescent="0.25">
      <c r="A286" s="517" t="s">
        <v>1013</v>
      </c>
      <c r="B286" s="1173" t="s">
        <v>5515</v>
      </c>
      <c r="C286" s="1173"/>
      <c r="D286" s="1173"/>
      <c r="E286" s="1173"/>
      <c r="F286" s="1173"/>
      <c r="G286" s="1173"/>
      <c r="H286" s="1173"/>
      <c r="I286" s="1173"/>
      <c r="J286" s="1173"/>
      <c r="K286" s="1173"/>
      <c r="L286" s="1173"/>
      <c r="M286" s="1173"/>
      <c r="N286" s="1173"/>
      <c r="O286" s="1173"/>
      <c r="P286" s="1173"/>
      <c r="Q286" s="1173"/>
      <c r="R286" s="1173"/>
      <c r="S286" s="1173"/>
      <c r="T286" s="1173"/>
      <c r="U286" s="1173"/>
      <c r="V286" s="1173"/>
      <c r="W286" s="1173"/>
      <c r="X286" s="1173"/>
      <c r="Y286" s="1173"/>
      <c r="Z286" s="1173"/>
      <c r="AA286" s="1173"/>
      <c r="AB286" s="1173"/>
      <c r="AC286" s="1173"/>
      <c r="AD286" s="1173"/>
      <c r="AE286" s="1173"/>
      <c r="AF286" s="1173"/>
    </row>
    <row r="287" spans="1:32" ht="61.5" customHeight="1" x14ac:dyDescent="0.25">
      <c r="A287" s="517" t="s">
        <v>1013</v>
      </c>
      <c r="B287" s="1173" t="s">
        <v>5516</v>
      </c>
      <c r="C287" s="1173"/>
      <c r="D287" s="1173"/>
      <c r="E287" s="1173"/>
      <c r="F287" s="1173"/>
      <c r="G287" s="1173"/>
      <c r="H287" s="1173"/>
      <c r="I287" s="1173"/>
      <c r="J287" s="1173"/>
      <c r="K287" s="1173"/>
      <c r="L287" s="1173"/>
      <c r="M287" s="1173"/>
      <c r="N287" s="1173"/>
      <c r="O287" s="1173"/>
      <c r="P287" s="1173"/>
      <c r="Q287" s="1173"/>
      <c r="R287" s="1173"/>
      <c r="S287" s="1173"/>
      <c r="T287" s="1173"/>
      <c r="U287" s="1173"/>
      <c r="V287" s="1173"/>
      <c r="W287" s="1173"/>
      <c r="X287" s="1173"/>
      <c r="Y287" s="1173"/>
      <c r="Z287" s="1173"/>
      <c r="AA287" s="1173"/>
      <c r="AB287" s="1173"/>
      <c r="AC287" s="1173"/>
      <c r="AD287" s="1173"/>
      <c r="AE287" s="1173"/>
      <c r="AF287" s="1173"/>
    </row>
    <row r="288" spans="1:32" ht="47.25" customHeight="1" x14ac:dyDescent="0.25">
      <c r="A288" s="517" t="s">
        <v>1013</v>
      </c>
      <c r="B288" s="1173" t="s">
        <v>5517</v>
      </c>
      <c r="C288" s="1173"/>
      <c r="D288" s="1173"/>
      <c r="E288" s="1173"/>
      <c r="F288" s="1173"/>
      <c r="G288" s="1173"/>
      <c r="H288" s="1173"/>
      <c r="I288" s="1173"/>
      <c r="J288" s="1173"/>
      <c r="K288" s="1173"/>
      <c r="L288" s="1173"/>
      <c r="M288" s="1173"/>
      <c r="N288" s="1173"/>
      <c r="O288" s="1173"/>
      <c r="P288" s="1173"/>
      <c r="Q288" s="1173"/>
      <c r="R288" s="1173"/>
      <c r="S288" s="1173"/>
      <c r="T288" s="1173"/>
      <c r="U288" s="1173"/>
      <c r="V288" s="1173"/>
      <c r="W288" s="1173"/>
      <c r="X288" s="1173"/>
      <c r="Y288" s="1173"/>
      <c r="Z288" s="1173"/>
      <c r="AA288" s="1173"/>
      <c r="AB288" s="1173"/>
      <c r="AC288" s="1173"/>
      <c r="AD288" s="1173"/>
      <c r="AE288" s="1173"/>
      <c r="AF288" s="1173"/>
    </row>
    <row r="289" spans="1:32" ht="33.75" customHeight="1" x14ac:dyDescent="0.25">
      <c r="A289" s="517" t="s">
        <v>1013</v>
      </c>
      <c r="B289" s="1173" t="s">
        <v>5198</v>
      </c>
      <c r="C289" s="1173"/>
      <c r="D289" s="1173"/>
      <c r="E289" s="1173"/>
      <c r="F289" s="1173"/>
      <c r="G289" s="1173"/>
      <c r="H289" s="1173"/>
      <c r="I289" s="1173"/>
      <c r="J289" s="1173"/>
      <c r="K289" s="1173"/>
      <c r="L289" s="1173"/>
      <c r="M289" s="1173"/>
      <c r="N289" s="1173"/>
      <c r="O289" s="1173"/>
      <c r="P289" s="1173"/>
      <c r="Q289" s="1173"/>
      <c r="R289" s="1173"/>
      <c r="S289" s="1173"/>
      <c r="T289" s="1173"/>
      <c r="U289" s="1173"/>
      <c r="V289" s="1173"/>
      <c r="W289" s="1173"/>
      <c r="X289" s="1173"/>
      <c r="Y289" s="1173"/>
      <c r="Z289" s="1173"/>
      <c r="AA289" s="1173"/>
      <c r="AB289" s="1173"/>
      <c r="AC289" s="1173"/>
      <c r="AD289" s="1173"/>
      <c r="AE289" s="1173"/>
      <c r="AF289" s="1173"/>
    </row>
    <row r="290" spans="1:32" ht="79.5" customHeight="1" x14ac:dyDescent="0.25">
      <c r="A290" s="517" t="s">
        <v>1013</v>
      </c>
      <c r="B290" s="1173" t="s">
        <v>5165</v>
      </c>
      <c r="C290" s="1247"/>
      <c r="D290" s="1247"/>
      <c r="E290" s="1247"/>
      <c r="F290" s="1247"/>
      <c r="G290" s="1247"/>
      <c r="H290" s="1247"/>
      <c r="I290" s="1247"/>
      <c r="J290" s="1247"/>
      <c r="K290" s="1247"/>
      <c r="L290" s="1247"/>
      <c r="M290" s="1247"/>
      <c r="N290" s="1247"/>
      <c r="O290" s="1247"/>
      <c r="P290" s="1247"/>
      <c r="Q290" s="1247"/>
      <c r="R290" s="1247"/>
      <c r="S290" s="1247"/>
      <c r="T290" s="1247"/>
      <c r="U290" s="1247"/>
      <c r="V290" s="1247"/>
      <c r="W290" s="1247"/>
      <c r="X290" s="1247"/>
      <c r="Y290" s="1247"/>
      <c r="Z290" s="1247"/>
      <c r="AA290" s="1247"/>
      <c r="AB290" s="1247"/>
      <c r="AC290" s="1247"/>
      <c r="AD290" s="1247"/>
      <c r="AE290" s="1247"/>
      <c r="AF290" s="1247"/>
    </row>
    <row r="291" spans="1:32" ht="47.25" customHeight="1" x14ac:dyDescent="0.25">
      <c r="A291" s="517" t="s">
        <v>1013</v>
      </c>
      <c r="B291" s="1173" t="s">
        <v>5518</v>
      </c>
      <c r="C291" s="1173"/>
      <c r="D291" s="1173"/>
      <c r="E291" s="1173"/>
      <c r="F291" s="1173"/>
      <c r="G291" s="1173"/>
      <c r="H291" s="1173"/>
      <c r="I291" s="1173"/>
      <c r="J291" s="1173"/>
      <c r="K291" s="1173"/>
      <c r="L291" s="1173"/>
      <c r="M291" s="1173"/>
      <c r="N291" s="1173"/>
      <c r="O291" s="1173"/>
      <c r="P291" s="1173"/>
      <c r="Q291" s="1173"/>
      <c r="R291" s="1173"/>
      <c r="S291" s="1173"/>
      <c r="T291" s="1173"/>
      <c r="U291" s="1173"/>
      <c r="V291" s="1173"/>
      <c r="W291" s="1173"/>
      <c r="X291" s="1173"/>
      <c r="Y291" s="1173"/>
      <c r="Z291" s="1173"/>
      <c r="AA291" s="1173"/>
      <c r="AB291" s="1173"/>
      <c r="AC291" s="1173"/>
      <c r="AD291" s="1173"/>
      <c r="AE291" s="1173"/>
      <c r="AF291" s="1173"/>
    </row>
    <row r="292" spans="1:32" ht="48" customHeight="1" x14ac:dyDescent="0.25">
      <c r="A292" s="517" t="s">
        <v>1013</v>
      </c>
      <c r="B292" s="1173" t="s">
        <v>5519</v>
      </c>
      <c r="C292" s="1173"/>
      <c r="D292" s="1173"/>
      <c r="E292" s="1173"/>
      <c r="F292" s="1173"/>
      <c r="G292" s="1173"/>
      <c r="H292" s="1173"/>
      <c r="I292" s="1173"/>
      <c r="J292" s="1173"/>
      <c r="K292" s="1173"/>
      <c r="L292" s="1173"/>
      <c r="M292" s="1173"/>
      <c r="N292" s="1173"/>
      <c r="O292" s="1173"/>
      <c r="P292" s="1173"/>
      <c r="Q292" s="1173"/>
      <c r="R292" s="1173"/>
      <c r="S292" s="1173"/>
      <c r="T292" s="1173"/>
      <c r="U292" s="1173"/>
      <c r="V292" s="1173"/>
      <c r="W292" s="1173"/>
      <c r="X292" s="1173"/>
      <c r="Y292" s="1173"/>
      <c r="Z292" s="1173"/>
      <c r="AA292" s="1173"/>
      <c r="AB292" s="1173"/>
      <c r="AC292" s="1173"/>
      <c r="AD292" s="1173"/>
      <c r="AE292" s="1173"/>
      <c r="AF292" s="1173"/>
    </row>
    <row r="293" spans="1:32" ht="48.75" customHeight="1" x14ac:dyDescent="0.25">
      <c r="A293" s="517" t="s">
        <v>1013</v>
      </c>
      <c r="B293" s="1173" t="s">
        <v>5166</v>
      </c>
      <c r="C293" s="1173"/>
      <c r="D293" s="1173"/>
      <c r="E293" s="1173"/>
      <c r="F293" s="1173"/>
      <c r="G293" s="1173"/>
      <c r="H293" s="1173"/>
      <c r="I293" s="1173"/>
      <c r="J293" s="1173"/>
      <c r="K293" s="1173"/>
      <c r="L293" s="1173"/>
      <c r="M293" s="1173"/>
      <c r="N293" s="1173"/>
      <c r="O293" s="1173"/>
      <c r="P293" s="1173"/>
      <c r="Q293" s="1173"/>
      <c r="R293" s="1173"/>
      <c r="S293" s="1173"/>
      <c r="T293" s="1173"/>
      <c r="U293" s="1173"/>
      <c r="V293" s="1173"/>
      <c r="W293" s="1173"/>
      <c r="X293" s="1173"/>
      <c r="Y293" s="1173"/>
      <c r="Z293" s="1173"/>
      <c r="AA293" s="1173"/>
      <c r="AB293" s="1173"/>
      <c r="AC293" s="1173"/>
      <c r="AD293" s="1173"/>
      <c r="AE293" s="1173"/>
      <c r="AF293" s="1173"/>
    </row>
    <row r="294" spans="1:32" ht="47.25" customHeight="1" x14ac:dyDescent="0.25">
      <c r="A294" s="517" t="s">
        <v>1013</v>
      </c>
      <c r="B294" s="1247" t="s">
        <v>5520</v>
      </c>
      <c r="C294" s="1247"/>
      <c r="D294" s="1247"/>
      <c r="E294" s="1247"/>
      <c r="F294" s="1247"/>
      <c r="G294" s="1247"/>
      <c r="H294" s="1247"/>
      <c r="I294" s="1247"/>
      <c r="J294" s="1247"/>
      <c r="K294" s="1247"/>
      <c r="L294" s="1247"/>
      <c r="M294" s="1247"/>
      <c r="N294" s="1247"/>
      <c r="O294" s="1247"/>
      <c r="P294" s="1247"/>
      <c r="Q294" s="1247"/>
      <c r="R294" s="1247"/>
      <c r="S294" s="1247"/>
      <c r="T294" s="1247"/>
      <c r="U294" s="1247"/>
      <c r="V294" s="1247"/>
      <c r="W294" s="1247"/>
      <c r="X294" s="1247"/>
      <c r="Y294" s="1247"/>
      <c r="Z294" s="1247"/>
      <c r="AA294" s="1247"/>
      <c r="AB294" s="1247"/>
      <c r="AC294" s="1247"/>
      <c r="AD294" s="1247"/>
      <c r="AE294" s="1247"/>
      <c r="AF294" s="1247"/>
    </row>
    <row r="295" spans="1:32" ht="48" customHeight="1" x14ac:dyDescent="0.25">
      <c r="A295" s="517" t="s">
        <v>1013</v>
      </c>
      <c r="B295" s="1247" t="s">
        <v>5521</v>
      </c>
      <c r="C295" s="1247"/>
      <c r="D295" s="1247"/>
      <c r="E295" s="1247"/>
      <c r="F295" s="1247"/>
      <c r="G295" s="1247"/>
      <c r="H295" s="1247"/>
      <c r="I295" s="1247"/>
      <c r="J295" s="1247"/>
      <c r="K295" s="1247"/>
      <c r="L295" s="1247"/>
      <c r="M295" s="1247"/>
      <c r="N295" s="1247"/>
      <c r="O295" s="1247"/>
      <c r="P295" s="1247"/>
      <c r="Q295" s="1247"/>
      <c r="R295" s="1247"/>
      <c r="S295" s="1247"/>
      <c r="T295" s="1247"/>
      <c r="U295" s="1247"/>
      <c r="V295" s="1247"/>
      <c r="W295" s="1247"/>
      <c r="X295" s="1247"/>
      <c r="Y295" s="1247"/>
      <c r="Z295" s="1247"/>
      <c r="AA295" s="1247"/>
      <c r="AB295" s="1247"/>
      <c r="AC295" s="1247"/>
      <c r="AD295" s="1247"/>
      <c r="AE295" s="1247"/>
      <c r="AF295" s="1247"/>
    </row>
  </sheetData>
  <sheetProtection algorithmName="SHA-512" hashValue="7t/BkayMeRTzUzmqFKMjNCmDDicA9ldHJiAa3H9/yG9hPFPyN49LQ4liHPPUpWcdI9eEF40SLeXzuWo7B/vXjw==" saltValue="aiwyJufm/2Q8D6iJOPIQWg==" spinCount="100000" sheet="1" objects="1" scenarios="1"/>
  <mergeCells count="743">
    <mergeCell ref="B293:AF293"/>
    <mergeCell ref="B294:AF294"/>
    <mergeCell ref="B295:AF295"/>
    <mergeCell ref="AF37:AF38"/>
    <mergeCell ref="AF40:AF42"/>
    <mergeCell ref="AF44:AF45"/>
    <mergeCell ref="AF47:AF49"/>
    <mergeCell ref="AF51:AF52"/>
    <mergeCell ref="AF54:AF56"/>
    <mergeCell ref="B287:AF287"/>
    <mergeCell ref="B288:AF288"/>
    <mergeCell ref="B289:AF289"/>
    <mergeCell ref="B290:AF290"/>
    <mergeCell ref="B291:AF291"/>
    <mergeCell ref="B292:AF292"/>
    <mergeCell ref="A282:H282"/>
    <mergeCell ref="I282:P282"/>
    <mergeCell ref="Q282:X282"/>
    <mergeCell ref="Y282:AF282"/>
    <mergeCell ref="A285:AF285"/>
    <mergeCell ref="B286:AF286"/>
    <mergeCell ref="A280:H280"/>
    <mergeCell ref="I280:P280"/>
    <mergeCell ref="Q280:X280"/>
    <mergeCell ref="Y280:AF280"/>
    <mergeCell ref="A281:H281"/>
    <mergeCell ref="I281:P281"/>
    <mergeCell ref="Q281:X281"/>
    <mergeCell ref="Y281:AF281"/>
    <mergeCell ref="A278:H278"/>
    <mergeCell ref="I278:P278"/>
    <mergeCell ref="Q278:X278"/>
    <mergeCell ref="Y278:AF278"/>
    <mergeCell ref="A279:H279"/>
    <mergeCell ref="I279:P279"/>
    <mergeCell ref="Q279:X279"/>
    <mergeCell ref="Y279:AF279"/>
    <mergeCell ref="A276:H276"/>
    <mergeCell ref="I276:P276"/>
    <mergeCell ref="Q276:X276"/>
    <mergeCell ref="Y276:AF276"/>
    <mergeCell ref="A277:H277"/>
    <mergeCell ref="I277:P277"/>
    <mergeCell ref="Q277:X277"/>
    <mergeCell ref="Y277:AF277"/>
    <mergeCell ref="A274:H274"/>
    <mergeCell ref="I274:P274"/>
    <mergeCell ref="Q274:X274"/>
    <mergeCell ref="Y274:AF274"/>
    <mergeCell ref="A275:H275"/>
    <mergeCell ref="I275:P275"/>
    <mergeCell ref="Q275:X275"/>
    <mergeCell ref="Y275:AF275"/>
    <mergeCell ref="A269:H269"/>
    <mergeCell ref="I269:P269"/>
    <mergeCell ref="Q269:X269"/>
    <mergeCell ref="Y269:AF269"/>
    <mergeCell ref="A273:H273"/>
    <mergeCell ref="I273:P273"/>
    <mergeCell ref="Q273:X273"/>
    <mergeCell ref="Y273:AF273"/>
    <mergeCell ref="A267:H267"/>
    <mergeCell ref="I267:P267"/>
    <mergeCell ref="Q267:X267"/>
    <mergeCell ref="Y267:AF267"/>
    <mergeCell ref="A268:H268"/>
    <mergeCell ref="I268:P268"/>
    <mergeCell ref="Q268:X268"/>
    <mergeCell ref="Y268:AF268"/>
    <mergeCell ref="A265:H265"/>
    <mergeCell ref="I265:P265"/>
    <mergeCell ref="Q265:X265"/>
    <mergeCell ref="Y265:AF265"/>
    <mergeCell ref="A266:H266"/>
    <mergeCell ref="I266:P266"/>
    <mergeCell ref="Q266:X266"/>
    <mergeCell ref="Y266:AF266"/>
    <mergeCell ref="A263:H263"/>
    <mergeCell ref="I263:P263"/>
    <mergeCell ref="Q263:X263"/>
    <mergeCell ref="Y263:AF263"/>
    <mergeCell ref="A264:H264"/>
    <mergeCell ref="I264:P264"/>
    <mergeCell ref="Q264:X264"/>
    <mergeCell ref="Y264:AF264"/>
    <mergeCell ref="A261:H261"/>
    <mergeCell ref="I261:P261"/>
    <mergeCell ref="Q261:X261"/>
    <mergeCell ref="Y261:AF261"/>
    <mergeCell ref="A262:H262"/>
    <mergeCell ref="I262:P262"/>
    <mergeCell ref="Q262:X262"/>
    <mergeCell ref="Y262:AF262"/>
    <mergeCell ref="A259:H259"/>
    <mergeCell ref="I259:P259"/>
    <mergeCell ref="Q259:X259"/>
    <mergeCell ref="Y259:AF259"/>
    <mergeCell ref="A260:H260"/>
    <mergeCell ref="I260:P260"/>
    <mergeCell ref="Q260:X260"/>
    <mergeCell ref="Y260:AF260"/>
    <mergeCell ref="A257:H257"/>
    <mergeCell ref="I257:P257"/>
    <mergeCell ref="Q257:X257"/>
    <mergeCell ref="Y257:AF257"/>
    <mergeCell ref="A258:H258"/>
    <mergeCell ref="I258:P258"/>
    <mergeCell ref="Q258:X258"/>
    <mergeCell ref="Y258:AF258"/>
    <mergeCell ref="A255:H255"/>
    <mergeCell ref="I255:P255"/>
    <mergeCell ref="Q255:X255"/>
    <mergeCell ref="Y255:AF255"/>
    <mergeCell ref="A256:H256"/>
    <mergeCell ref="I256:P256"/>
    <mergeCell ref="Q256:X256"/>
    <mergeCell ref="Y256:AF256"/>
    <mergeCell ref="A253:H253"/>
    <mergeCell ref="I253:P253"/>
    <mergeCell ref="Q253:X253"/>
    <mergeCell ref="Y253:AF253"/>
    <mergeCell ref="A254:H254"/>
    <mergeCell ref="I254:P254"/>
    <mergeCell ref="Q254:X254"/>
    <mergeCell ref="Y254:AF254"/>
    <mergeCell ref="A251:H251"/>
    <mergeCell ref="I251:P251"/>
    <mergeCell ref="Q251:X251"/>
    <mergeCell ref="Y251:AF251"/>
    <mergeCell ref="A252:H252"/>
    <mergeCell ref="I252:P252"/>
    <mergeCell ref="Q252:X252"/>
    <mergeCell ref="Y252:AF252"/>
    <mergeCell ref="A249:H249"/>
    <mergeCell ref="I249:P249"/>
    <mergeCell ref="Q249:X249"/>
    <mergeCell ref="Y249:AF249"/>
    <mergeCell ref="A250:H250"/>
    <mergeCell ref="I250:P250"/>
    <mergeCell ref="Q250:X250"/>
    <mergeCell ref="Y250:AF250"/>
    <mergeCell ref="A247:H247"/>
    <mergeCell ref="I247:P247"/>
    <mergeCell ref="Q247:X247"/>
    <mergeCell ref="Y247:AF247"/>
    <mergeCell ref="A248:H248"/>
    <mergeCell ref="I248:P248"/>
    <mergeCell ref="Q248:X248"/>
    <mergeCell ref="Y248:AF248"/>
    <mergeCell ref="A245:H245"/>
    <mergeCell ref="I245:P245"/>
    <mergeCell ref="Q245:X245"/>
    <mergeCell ref="Y245:AF245"/>
    <mergeCell ref="A246:H246"/>
    <mergeCell ref="I246:P246"/>
    <mergeCell ref="Q246:X246"/>
    <mergeCell ref="Y246:AF246"/>
    <mergeCell ref="A243:H243"/>
    <mergeCell ref="I243:P243"/>
    <mergeCell ref="Q243:X243"/>
    <mergeCell ref="Y243:AF243"/>
    <mergeCell ref="A244:H244"/>
    <mergeCell ref="I244:P244"/>
    <mergeCell ref="Q244:X244"/>
    <mergeCell ref="Y244:AF244"/>
    <mergeCell ref="A241:H241"/>
    <mergeCell ref="I241:P241"/>
    <mergeCell ref="Q241:X241"/>
    <mergeCell ref="Y241:AF241"/>
    <mergeCell ref="A242:H242"/>
    <mergeCell ref="I242:P242"/>
    <mergeCell ref="Q242:X242"/>
    <mergeCell ref="Y242:AF242"/>
    <mergeCell ref="A239:H239"/>
    <mergeCell ref="I239:P239"/>
    <mergeCell ref="Q239:X239"/>
    <mergeCell ref="Y239:AF239"/>
    <mergeCell ref="A240:H240"/>
    <mergeCell ref="I240:P240"/>
    <mergeCell ref="Q240:X240"/>
    <mergeCell ref="Y240:AF240"/>
    <mergeCell ref="A237:H237"/>
    <mergeCell ref="I237:P237"/>
    <mergeCell ref="Q237:X237"/>
    <mergeCell ref="Y237:AF237"/>
    <mergeCell ref="A238:H238"/>
    <mergeCell ref="I238:P238"/>
    <mergeCell ref="Q238:X238"/>
    <mergeCell ref="Y238:AF238"/>
    <mergeCell ref="A235:H235"/>
    <mergeCell ref="I235:P235"/>
    <mergeCell ref="Q235:X235"/>
    <mergeCell ref="Y235:AF235"/>
    <mergeCell ref="A236:H236"/>
    <mergeCell ref="I236:P236"/>
    <mergeCell ref="Q236:X236"/>
    <mergeCell ref="Y236:AF236"/>
    <mergeCell ref="A233:H233"/>
    <mergeCell ref="I233:P233"/>
    <mergeCell ref="Q233:X233"/>
    <mergeCell ref="Y233:AF233"/>
    <mergeCell ref="A234:H234"/>
    <mergeCell ref="I234:P234"/>
    <mergeCell ref="Q234:X234"/>
    <mergeCell ref="Y234:AF234"/>
    <mergeCell ref="Y228:AF228"/>
    <mergeCell ref="A229:H229"/>
    <mergeCell ref="I229:P229"/>
    <mergeCell ref="Q229:X229"/>
    <mergeCell ref="Y229:AF229"/>
    <mergeCell ref="A232:H232"/>
    <mergeCell ref="I232:P232"/>
    <mergeCell ref="Q232:X232"/>
    <mergeCell ref="Y232:AF232"/>
    <mergeCell ref="C224:O224"/>
    <mergeCell ref="P224:X224"/>
    <mergeCell ref="C225:O225"/>
    <mergeCell ref="P225:X225"/>
    <mergeCell ref="A228:H228"/>
    <mergeCell ref="I228:P228"/>
    <mergeCell ref="Q228:X228"/>
    <mergeCell ref="A214:X214"/>
    <mergeCell ref="A215:X215"/>
    <mergeCell ref="A217:AF217"/>
    <mergeCell ref="C222:O222"/>
    <mergeCell ref="P222:X222"/>
    <mergeCell ref="C223:O223"/>
    <mergeCell ref="P223:X223"/>
    <mergeCell ref="AD203:AF203"/>
    <mergeCell ref="A211:T211"/>
    <mergeCell ref="U211:X211"/>
    <mergeCell ref="A212:T212"/>
    <mergeCell ref="U212:X212"/>
    <mergeCell ref="A213:T213"/>
    <mergeCell ref="U213:X213"/>
    <mergeCell ref="F206:Q206"/>
    <mergeCell ref="R206:U206"/>
    <mergeCell ref="V206:Y206"/>
    <mergeCell ref="F202:Q202"/>
    <mergeCell ref="R202:U202"/>
    <mergeCell ref="V202:Y202"/>
    <mergeCell ref="Z202:AC202"/>
    <mergeCell ref="Z206:AC206"/>
    <mergeCell ref="AD206:AF206"/>
    <mergeCell ref="A210:T210"/>
    <mergeCell ref="U210:X210"/>
    <mergeCell ref="F204:Q204"/>
    <mergeCell ref="R204:U204"/>
    <mergeCell ref="V204:Y204"/>
    <mergeCell ref="Z204:AC204"/>
    <mergeCell ref="AD204:AF204"/>
    <mergeCell ref="F205:Q205"/>
    <mergeCell ref="R205:U205"/>
    <mergeCell ref="V205:Y205"/>
    <mergeCell ref="Z205:AC205"/>
    <mergeCell ref="AD205:AF205"/>
    <mergeCell ref="A202:E206"/>
    <mergeCell ref="AD202:AF202"/>
    <mergeCell ref="F203:Q203"/>
    <mergeCell ref="R203:U203"/>
    <mergeCell ref="V203:Y203"/>
    <mergeCell ref="Z203:AC203"/>
    <mergeCell ref="AD199:AF199"/>
    <mergeCell ref="F200:Q200"/>
    <mergeCell ref="R200:U200"/>
    <mergeCell ref="V200:Y200"/>
    <mergeCell ref="Z200:AC200"/>
    <mergeCell ref="AD200:AF200"/>
    <mergeCell ref="A198:E201"/>
    <mergeCell ref="F198:Q198"/>
    <mergeCell ref="R198:U198"/>
    <mergeCell ref="V198:Y198"/>
    <mergeCell ref="Z198:AC198"/>
    <mergeCell ref="AD198:AF198"/>
    <mergeCell ref="F199:Q199"/>
    <mergeCell ref="R199:U199"/>
    <mergeCell ref="V199:Y199"/>
    <mergeCell ref="Z199:AC199"/>
    <mergeCell ref="F201:Q201"/>
    <mergeCell ref="R201:U201"/>
    <mergeCell ref="V201:Y201"/>
    <mergeCell ref="Z201:AC201"/>
    <mergeCell ref="AD201:AF201"/>
    <mergeCell ref="A196:AF196"/>
    <mergeCell ref="A197:Q197"/>
    <mergeCell ref="R197:U197"/>
    <mergeCell ref="V197:Y197"/>
    <mergeCell ref="Z197:AC197"/>
    <mergeCell ref="AD197:AF197"/>
    <mergeCell ref="F192:Q192"/>
    <mergeCell ref="R192:U192"/>
    <mergeCell ref="V192:Y192"/>
    <mergeCell ref="Z192:AC192"/>
    <mergeCell ref="AD192:AF192"/>
    <mergeCell ref="F193:Q193"/>
    <mergeCell ref="R193:U193"/>
    <mergeCell ref="V193:Y193"/>
    <mergeCell ref="Z193:AC193"/>
    <mergeCell ref="AD193:AF193"/>
    <mergeCell ref="Z188:AC188"/>
    <mergeCell ref="AD188:AF188"/>
    <mergeCell ref="AD190:AF190"/>
    <mergeCell ref="F191:Q191"/>
    <mergeCell ref="R191:U191"/>
    <mergeCell ref="V191:Y191"/>
    <mergeCell ref="Z191:AC191"/>
    <mergeCell ref="AD191:AF191"/>
    <mergeCell ref="A189:E193"/>
    <mergeCell ref="F189:Q189"/>
    <mergeCell ref="R189:U189"/>
    <mergeCell ref="V189:Y189"/>
    <mergeCell ref="Z189:AC189"/>
    <mergeCell ref="AD189:AF189"/>
    <mergeCell ref="F190:Q190"/>
    <mergeCell ref="R190:U190"/>
    <mergeCell ref="V190:Y190"/>
    <mergeCell ref="Z190:AC190"/>
    <mergeCell ref="AD185:AF185"/>
    <mergeCell ref="F186:Q186"/>
    <mergeCell ref="R186:U186"/>
    <mergeCell ref="V186:Y186"/>
    <mergeCell ref="Z186:AC186"/>
    <mergeCell ref="AD186:AF186"/>
    <mergeCell ref="A184:Q184"/>
    <mergeCell ref="R184:U184"/>
    <mergeCell ref="V184:Y184"/>
    <mergeCell ref="Z184:AC184"/>
    <mergeCell ref="AD184:AF184"/>
    <mergeCell ref="A185:E188"/>
    <mergeCell ref="F185:Q185"/>
    <mergeCell ref="R185:U185"/>
    <mergeCell ref="V185:Y185"/>
    <mergeCell ref="Z185:AC185"/>
    <mergeCell ref="F187:Q187"/>
    <mergeCell ref="R187:U187"/>
    <mergeCell ref="V187:Y187"/>
    <mergeCell ref="Z187:AC187"/>
    <mergeCell ref="AD187:AF187"/>
    <mergeCell ref="F188:Q188"/>
    <mergeCell ref="R188:U188"/>
    <mergeCell ref="V188:Y188"/>
    <mergeCell ref="A183:AF183"/>
    <mergeCell ref="F178:Q178"/>
    <mergeCell ref="R178:U178"/>
    <mergeCell ref="V178:Y178"/>
    <mergeCell ref="Z178:AC178"/>
    <mergeCell ref="AD178:AF178"/>
    <mergeCell ref="F179:Q179"/>
    <mergeCell ref="R179:U179"/>
    <mergeCell ref="V179:Y179"/>
    <mergeCell ref="Z179:AC179"/>
    <mergeCell ref="AD179:AF179"/>
    <mergeCell ref="A176:E180"/>
    <mergeCell ref="AD176:AF176"/>
    <mergeCell ref="F177:Q177"/>
    <mergeCell ref="R177:U177"/>
    <mergeCell ref="V177:Y177"/>
    <mergeCell ref="Z177:AC177"/>
    <mergeCell ref="AD177:AF177"/>
    <mergeCell ref="F176:Q176"/>
    <mergeCell ref="R176:U176"/>
    <mergeCell ref="V176:Y176"/>
    <mergeCell ref="Z176:AC176"/>
    <mergeCell ref="F180:Q180"/>
    <mergeCell ref="R180:U180"/>
    <mergeCell ref="V180:Y180"/>
    <mergeCell ref="Z180:AC180"/>
    <mergeCell ref="AD180:AF180"/>
    <mergeCell ref="AD173:AF173"/>
    <mergeCell ref="F174:Q174"/>
    <mergeCell ref="R174:U174"/>
    <mergeCell ref="V174:Y174"/>
    <mergeCell ref="Z174:AC174"/>
    <mergeCell ref="AD174:AF174"/>
    <mergeCell ref="A172:E175"/>
    <mergeCell ref="F172:Q172"/>
    <mergeCell ref="R172:U172"/>
    <mergeCell ref="V172:Y172"/>
    <mergeCell ref="Z172:AC172"/>
    <mergeCell ref="AD172:AF172"/>
    <mergeCell ref="F173:Q173"/>
    <mergeCell ref="R173:U173"/>
    <mergeCell ref="V173:Y173"/>
    <mergeCell ref="Z173:AC173"/>
    <mergeCell ref="F175:Q175"/>
    <mergeCell ref="R175:U175"/>
    <mergeCell ref="V175:Y175"/>
    <mergeCell ref="Z175:AC175"/>
    <mergeCell ref="AD175:AF175"/>
    <mergeCell ref="A170:AF170"/>
    <mergeCell ref="A171:Q171"/>
    <mergeCell ref="R171:U171"/>
    <mergeCell ref="V171:Y171"/>
    <mergeCell ref="Z171:AC171"/>
    <mergeCell ref="AD171:AF171"/>
    <mergeCell ref="F166:Q166"/>
    <mergeCell ref="R166:U166"/>
    <mergeCell ref="V166:Y166"/>
    <mergeCell ref="Z166:AC166"/>
    <mergeCell ref="AD166:AF166"/>
    <mergeCell ref="F167:Q167"/>
    <mergeCell ref="R167:U167"/>
    <mergeCell ref="V167:Y167"/>
    <mergeCell ref="Z167:AC167"/>
    <mergeCell ref="AD167:AF167"/>
    <mergeCell ref="Z162:AC162"/>
    <mergeCell ref="AD162:AF162"/>
    <mergeCell ref="AD164:AF164"/>
    <mergeCell ref="F165:Q165"/>
    <mergeCell ref="R165:U165"/>
    <mergeCell ref="V165:Y165"/>
    <mergeCell ref="Z165:AC165"/>
    <mergeCell ref="AD165:AF165"/>
    <mergeCell ref="A163:E167"/>
    <mergeCell ref="F163:Q163"/>
    <mergeCell ref="R163:U163"/>
    <mergeCell ref="V163:Y163"/>
    <mergeCell ref="Z163:AC163"/>
    <mergeCell ref="AD163:AF163"/>
    <mergeCell ref="F164:Q164"/>
    <mergeCell ref="R164:U164"/>
    <mergeCell ref="V164:Y164"/>
    <mergeCell ref="Z164:AC164"/>
    <mergeCell ref="AD159:AF159"/>
    <mergeCell ref="F160:Q160"/>
    <mergeCell ref="R160:U160"/>
    <mergeCell ref="V160:Y160"/>
    <mergeCell ref="Z160:AC160"/>
    <mergeCell ref="AD160:AF160"/>
    <mergeCell ref="A158:Q158"/>
    <mergeCell ref="R158:U158"/>
    <mergeCell ref="V158:Y158"/>
    <mergeCell ref="Z158:AC158"/>
    <mergeCell ref="AD158:AF158"/>
    <mergeCell ref="A159:E162"/>
    <mergeCell ref="F159:Q159"/>
    <mergeCell ref="R159:U159"/>
    <mergeCell ref="V159:Y159"/>
    <mergeCell ref="Z159:AC159"/>
    <mergeCell ref="F161:Q161"/>
    <mergeCell ref="R161:U161"/>
    <mergeCell ref="V161:Y161"/>
    <mergeCell ref="Z161:AC161"/>
    <mergeCell ref="AD161:AF161"/>
    <mergeCell ref="F162:Q162"/>
    <mergeCell ref="R162:U162"/>
    <mergeCell ref="V162:Y162"/>
    <mergeCell ref="R153:T153"/>
    <mergeCell ref="F154:Q154"/>
    <mergeCell ref="R154:T154"/>
    <mergeCell ref="F155:Q155"/>
    <mergeCell ref="R155:T155"/>
    <mergeCell ref="A157:AF157"/>
    <mergeCell ref="F149:Q149"/>
    <mergeCell ref="R149:T149"/>
    <mergeCell ref="F150:Q150"/>
    <mergeCell ref="R150:T150"/>
    <mergeCell ref="A151:E155"/>
    <mergeCell ref="F151:Q151"/>
    <mergeCell ref="R151:T151"/>
    <mergeCell ref="F152:Q152"/>
    <mergeCell ref="R152:T152"/>
    <mergeCell ref="F153:Q153"/>
    <mergeCell ref="A146:Q146"/>
    <mergeCell ref="R146:T146"/>
    <mergeCell ref="A147:E150"/>
    <mergeCell ref="F147:Q147"/>
    <mergeCell ref="R147:T147"/>
    <mergeCell ref="F148:Q148"/>
    <mergeCell ref="R148:T148"/>
    <mergeCell ref="A139:E143"/>
    <mergeCell ref="F141:Q141"/>
    <mergeCell ref="R141:V141"/>
    <mergeCell ref="F142:Q142"/>
    <mergeCell ref="R142:V142"/>
    <mergeCell ref="F139:Q139"/>
    <mergeCell ref="R139:V139"/>
    <mergeCell ref="W139:AA139"/>
    <mergeCell ref="F140:Q140"/>
    <mergeCell ref="R140:V140"/>
    <mergeCell ref="W140:AA140"/>
    <mergeCell ref="F143:Q143"/>
    <mergeCell ref="R143:V143"/>
    <mergeCell ref="W143:AA143"/>
    <mergeCell ref="W141:AA141"/>
    <mergeCell ref="W142:AA142"/>
    <mergeCell ref="A135:E138"/>
    <mergeCell ref="F135:Q135"/>
    <mergeCell ref="R135:V135"/>
    <mergeCell ref="W135:AA135"/>
    <mergeCell ref="F136:Q136"/>
    <mergeCell ref="R136:V136"/>
    <mergeCell ref="W136:AA136"/>
    <mergeCell ref="F137:Q137"/>
    <mergeCell ref="R137:V137"/>
    <mergeCell ref="W137:AA137"/>
    <mergeCell ref="F138:Q138"/>
    <mergeCell ref="R138:V138"/>
    <mergeCell ref="W138:AA138"/>
    <mergeCell ref="A134:Q134"/>
    <mergeCell ref="R134:V134"/>
    <mergeCell ref="W134:AA134"/>
    <mergeCell ref="W128:AA128"/>
    <mergeCell ref="F129:Q129"/>
    <mergeCell ref="R129:V129"/>
    <mergeCell ref="W129:AA129"/>
    <mergeCell ref="F130:Q130"/>
    <mergeCell ref="R130:V130"/>
    <mergeCell ref="W130:AA130"/>
    <mergeCell ref="A127:E131"/>
    <mergeCell ref="F127:Q127"/>
    <mergeCell ref="R127:V127"/>
    <mergeCell ref="W127:AA127"/>
    <mergeCell ref="F128:Q128"/>
    <mergeCell ref="R128:V128"/>
    <mergeCell ref="F131:Q131"/>
    <mergeCell ref="R131:V131"/>
    <mergeCell ref="W131:AA131"/>
    <mergeCell ref="W122:AA122"/>
    <mergeCell ref="A123:E126"/>
    <mergeCell ref="F123:Q123"/>
    <mergeCell ref="R123:V123"/>
    <mergeCell ref="W123:AA123"/>
    <mergeCell ref="F124:Q124"/>
    <mergeCell ref="R124:V124"/>
    <mergeCell ref="W124:AA124"/>
    <mergeCell ref="F125:Q125"/>
    <mergeCell ref="R125:V125"/>
    <mergeCell ref="W125:AA125"/>
    <mergeCell ref="F126:Q126"/>
    <mergeCell ref="R126:V126"/>
    <mergeCell ref="W126:AA126"/>
    <mergeCell ref="R117:V117"/>
    <mergeCell ref="F118:Q118"/>
    <mergeCell ref="R118:V118"/>
    <mergeCell ref="F119:Q119"/>
    <mergeCell ref="R119:V119"/>
    <mergeCell ref="A122:Q122"/>
    <mergeCell ref="R122:V122"/>
    <mergeCell ref="F113:Q113"/>
    <mergeCell ref="R113:V113"/>
    <mergeCell ref="F114:Q114"/>
    <mergeCell ref="R114:V114"/>
    <mergeCell ref="A115:E119"/>
    <mergeCell ref="F115:Q115"/>
    <mergeCell ref="R115:V115"/>
    <mergeCell ref="F116:Q116"/>
    <mergeCell ref="R116:V116"/>
    <mergeCell ref="F117:Q117"/>
    <mergeCell ref="A110:Q110"/>
    <mergeCell ref="R110:V110"/>
    <mergeCell ref="A111:E114"/>
    <mergeCell ref="F111:Q111"/>
    <mergeCell ref="R111:V111"/>
    <mergeCell ref="F112:Q112"/>
    <mergeCell ref="R112:V112"/>
    <mergeCell ref="A103:E107"/>
    <mergeCell ref="F105:Q105"/>
    <mergeCell ref="R105:V105"/>
    <mergeCell ref="F106:Q106"/>
    <mergeCell ref="R106:V106"/>
    <mergeCell ref="F103:Q103"/>
    <mergeCell ref="R103:V103"/>
    <mergeCell ref="W103:AA103"/>
    <mergeCell ref="F104:Q104"/>
    <mergeCell ref="R104:V104"/>
    <mergeCell ref="W104:AA104"/>
    <mergeCell ref="F107:Q107"/>
    <mergeCell ref="R107:V107"/>
    <mergeCell ref="W107:AA107"/>
    <mergeCell ref="W105:AA105"/>
    <mergeCell ref="W106:AA106"/>
    <mergeCell ref="A99:E102"/>
    <mergeCell ref="F99:Q99"/>
    <mergeCell ref="R99:V99"/>
    <mergeCell ref="W99:AA99"/>
    <mergeCell ref="F100:Q100"/>
    <mergeCell ref="R100:V100"/>
    <mergeCell ref="W100:AA100"/>
    <mergeCell ref="F101:Q101"/>
    <mergeCell ref="R101:V101"/>
    <mergeCell ref="W101:AA101"/>
    <mergeCell ref="F102:Q102"/>
    <mergeCell ref="R102:V102"/>
    <mergeCell ref="W102:AA102"/>
    <mergeCell ref="A95:E95"/>
    <mergeCell ref="F95:P95"/>
    <mergeCell ref="Q95:T95"/>
    <mergeCell ref="U95:W95"/>
    <mergeCell ref="X95:AF95"/>
    <mergeCell ref="A98:Q98"/>
    <mergeCell ref="R98:V98"/>
    <mergeCell ref="W98:AA98"/>
    <mergeCell ref="A93:E93"/>
    <mergeCell ref="F93:P93"/>
    <mergeCell ref="Q93:T93"/>
    <mergeCell ref="U93:W93"/>
    <mergeCell ref="X93:AF93"/>
    <mergeCell ref="A94:E94"/>
    <mergeCell ref="F94:P94"/>
    <mergeCell ref="Q94:T94"/>
    <mergeCell ref="U94:W94"/>
    <mergeCell ref="X94:AF94"/>
    <mergeCell ref="A91:E91"/>
    <mergeCell ref="F91:P91"/>
    <mergeCell ref="Q91:T91"/>
    <mergeCell ref="U91:W91"/>
    <mergeCell ref="X91:AF91"/>
    <mergeCell ref="A92:E92"/>
    <mergeCell ref="F92:P92"/>
    <mergeCell ref="Q92:T92"/>
    <mergeCell ref="U92:W92"/>
    <mergeCell ref="X92:AF92"/>
    <mergeCell ref="A89:E89"/>
    <mergeCell ref="F89:P89"/>
    <mergeCell ref="Q89:T89"/>
    <mergeCell ref="U89:W89"/>
    <mergeCell ref="X89:AF89"/>
    <mergeCell ref="A90:E90"/>
    <mergeCell ref="F90:P90"/>
    <mergeCell ref="Q90:T90"/>
    <mergeCell ref="U90:W90"/>
    <mergeCell ref="X90:AF90"/>
    <mergeCell ref="A87:E87"/>
    <mergeCell ref="F87:P87"/>
    <mergeCell ref="Q87:T87"/>
    <mergeCell ref="U87:W87"/>
    <mergeCell ref="X87:AF87"/>
    <mergeCell ref="A88:E88"/>
    <mergeCell ref="F88:P88"/>
    <mergeCell ref="Q88:T88"/>
    <mergeCell ref="U88:W88"/>
    <mergeCell ref="X88:AF88"/>
    <mergeCell ref="A85:E85"/>
    <mergeCell ref="F85:P85"/>
    <mergeCell ref="Q85:T85"/>
    <mergeCell ref="U85:W85"/>
    <mergeCell ref="X85:AF85"/>
    <mergeCell ref="A86:E86"/>
    <mergeCell ref="F86:P86"/>
    <mergeCell ref="Q86:T86"/>
    <mergeCell ref="U86:W86"/>
    <mergeCell ref="X86:AF86"/>
    <mergeCell ref="A83:E83"/>
    <mergeCell ref="F83:P83"/>
    <mergeCell ref="Q83:T83"/>
    <mergeCell ref="U83:W83"/>
    <mergeCell ref="X83:AF83"/>
    <mergeCell ref="A84:E84"/>
    <mergeCell ref="F84:P84"/>
    <mergeCell ref="Q84:T84"/>
    <mergeCell ref="U84:W84"/>
    <mergeCell ref="X84:AF84"/>
    <mergeCell ref="A81:E81"/>
    <mergeCell ref="F81:P81"/>
    <mergeCell ref="Q81:T81"/>
    <mergeCell ref="U81:W81"/>
    <mergeCell ref="X81:AF81"/>
    <mergeCell ref="A82:E82"/>
    <mergeCell ref="F82:P82"/>
    <mergeCell ref="Q82:T82"/>
    <mergeCell ref="U82:W82"/>
    <mergeCell ref="X82:AF82"/>
    <mergeCell ref="A79:E79"/>
    <mergeCell ref="F79:P79"/>
    <mergeCell ref="Q79:T79"/>
    <mergeCell ref="U79:W79"/>
    <mergeCell ref="X79:AF79"/>
    <mergeCell ref="A80:E80"/>
    <mergeCell ref="F80:P80"/>
    <mergeCell ref="Q80:T80"/>
    <mergeCell ref="U80:W80"/>
    <mergeCell ref="X80:AF80"/>
    <mergeCell ref="A77:E77"/>
    <mergeCell ref="F77:P77"/>
    <mergeCell ref="Q77:T77"/>
    <mergeCell ref="U77:W77"/>
    <mergeCell ref="X77:AF77"/>
    <mergeCell ref="A78:E78"/>
    <mergeCell ref="F78:P78"/>
    <mergeCell ref="Q78:T78"/>
    <mergeCell ref="U78:W78"/>
    <mergeCell ref="X78:AF78"/>
    <mergeCell ref="A75:E75"/>
    <mergeCell ref="F75:P75"/>
    <mergeCell ref="Q75:T75"/>
    <mergeCell ref="U75:W75"/>
    <mergeCell ref="X75:AF75"/>
    <mergeCell ref="A76:E76"/>
    <mergeCell ref="F76:P76"/>
    <mergeCell ref="Q76:T76"/>
    <mergeCell ref="U76:W76"/>
    <mergeCell ref="X76:AF76"/>
    <mergeCell ref="A73:E73"/>
    <mergeCell ref="F73:P73"/>
    <mergeCell ref="Q73:T73"/>
    <mergeCell ref="U73:W73"/>
    <mergeCell ref="X73:AF73"/>
    <mergeCell ref="A74:E74"/>
    <mergeCell ref="F74:P74"/>
    <mergeCell ref="Q74:T74"/>
    <mergeCell ref="U74:W74"/>
    <mergeCell ref="X74:AF74"/>
    <mergeCell ref="A71:E71"/>
    <mergeCell ref="F71:P71"/>
    <mergeCell ref="Q71:T71"/>
    <mergeCell ref="U71:W71"/>
    <mergeCell ref="X71:AF71"/>
    <mergeCell ref="A72:E72"/>
    <mergeCell ref="F72:P72"/>
    <mergeCell ref="Q72:T72"/>
    <mergeCell ref="U72:W72"/>
    <mergeCell ref="X72:AF72"/>
    <mergeCell ref="A69:E69"/>
    <mergeCell ref="F69:P69"/>
    <mergeCell ref="Q69:T69"/>
    <mergeCell ref="U69:W69"/>
    <mergeCell ref="X69:AF69"/>
    <mergeCell ref="A70:E70"/>
    <mergeCell ref="F70:P70"/>
    <mergeCell ref="Q70:T70"/>
    <mergeCell ref="U70:W70"/>
    <mergeCell ref="X70:AF70"/>
    <mergeCell ref="A68:E68"/>
    <mergeCell ref="F68:P68"/>
    <mergeCell ref="Q68:T68"/>
    <mergeCell ref="U68:W68"/>
    <mergeCell ref="X68:AF68"/>
    <mergeCell ref="B12:I12"/>
    <mergeCell ref="B13:AF13"/>
    <mergeCell ref="B15:I15"/>
    <mergeCell ref="B16:AF16"/>
    <mergeCell ref="B18:I18"/>
    <mergeCell ref="B19:AF19"/>
    <mergeCell ref="A1:AF1"/>
    <mergeCell ref="A3:AF3"/>
    <mergeCell ref="B5:AF5"/>
    <mergeCell ref="A7:AF7"/>
    <mergeCell ref="B9:I9"/>
    <mergeCell ref="B10:AF10"/>
    <mergeCell ref="B22:AF22"/>
    <mergeCell ref="A25:AF25"/>
    <mergeCell ref="A67:AF67"/>
  </mergeCells>
  <dataValidations count="4">
    <dataValidation type="list" allowBlank="1" showInputMessage="1" showErrorMessage="1" sqref="P222:X222" xr:uid="{00000000-0002-0000-1C00-000000000000}">
      <formula1>"Low Temperature, High Temperature"</formula1>
    </dataValidation>
    <dataValidation type="list" allowBlank="1" showInputMessage="1" showErrorMessage="1" sqref="P223:X223" xr:uid="{00000000-0002-0000-1C00-000001000000}">
      <formula1>"Under Counter, Stationary Single Tank Door, Single Tank Conveyor, Multi Tank Conveyor, Pot Pan and Utensil"</formula1>
    </dataValidation>
    <dataValidation type="list" allowBlank="1" showInputMessage="1" showErrorMessage="1" sqref="P224:X224" xr:uid="{00000000-0002-0000-1C00-000002000000}">
      <formula1>"Electric Water Heating, Natural Gas Water Heating, Unknown Water Heating"</formula1>
    </dataValidation>
    <dataValidation type="list" allowBlank="1" showInputMessage="1" showErrorMessage="1" sqref="P225:X225" xr:uid="{00000000-0002-0000-1C00-000003000000}">
      <formula1>"No Booster Heating, Electric Booster Heating, Natural Gas Booster Heating, Unknown Booster Heating"</formula1>
    </dataValidation>
  </dataValidations>
  <hyperlinks>
    <hyperlink ref="A2" location="TOC!A1" display="Return to TOC" xr:uid="{00000000-0004-0000-1C00-000000000000}"/>
  </hyperlink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64" numberStoredAsText="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theme="8" tint="0.79998168889431442"/>
    <pageSetUpPr autoPageBreaks="0"/>
  </sheetPr>
  <dimension ref="A1:AF27"/>
  <sheetViews>
    <sheetView workbookViewId="0">
      <selection sqref="A1:AF1"/>
    </sheetView>
  </sheetViews>
  <sheetFormatPr defaultColWidth="2.7109375" defaultRowHeight="15" x14ac:dyDescent="0.25"/>
  <cols>
    <col min="1" max="16384" width="2.7109375" style="1"/>
  </cols>
  <sheetData>
    <row r="1" spans="1:32" ht="18.75" x14ac:dyDescent="0.25">
      <c r="A1" s="1464" t="s">
        <v>1134</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472" t="s">
        <v>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171" t="s">
        <v>10</v>
      </c>
      <c r="C5" s="171"/>
      <c r="D5" s="171"/>
      <c r="E5" s="171"/>
      <c r="F5" s="171"/>
      <c r="G5" s="171"/>
      <c r="H5" s="171"/>
      <c r="I5" s="171"/>
    </row>
    <row r="6" spans="1:32" s="4" customFormat="1" ht="111" customHeight="1" x14ac:dyDescent="0.25">
      <c r="B6" s="1247" t="s">
        <v>2942</v>
      </c>
      <c r="C6" s="1247"/>
      <c r="D6" s="1247"/>
      <c r="E6" s="1247"/>
      <c r="F6" s="1247"/>
      <c r="G6" s="1247"/>
      <c r="H6" s="1247"/>
      <c r="I6" s="1247"/>
      <c r="J6" s="1247"/>
      <c r="K6" s="1247"/>
      <c r="L6" s="1247"/>
      <c r="M6" s="1247"/>
      <c r="N6" s="1247"/>
      <c r="O6" s="1247"/>
      <c r="P6" s="1247"/>
      <c r="Q6" s="1247"/>
      <c r="R6" s="1247"/>
      <c r="S6" s="1247"/>
      <c r="T6" s="1247"/>
      <c r="U6" s="1247"/>
      <c r="V6" s="1247"/>
      <c r="W6" s="1247"/>
      <c r="X6" s="1247"/>
      <c r="Y6" s="1247"/>
      <c r="Z6" s="1247"/>
      <c r="AA6" s="1247"/>
      <c r="AB6" s="1247"/>
      <c r="AC6" s="1247"/>
      <c r="AD6" s="1247"/>
      <c r="AE6" s="1247"/>
      <c r="AF6" s="1247"/>
    </row>
    <row r="8" spans="1:32" x14ac:dyDescent="0.25">
      <c r="B8" s="171" t="s">
        <v>11</v>
      </c>
      <c r="C8" s="171"/>
      <c r="D8" s="171"/>
      <c r="E8" s="171"/>
      <c r="F8" s="171"/>
      <c r="G8" s="171"/>
      <c r="H8" s="171"/>
      <c r="I8" s="171"/>
    </row>
    <row r="9" spans="1:32" ht="49.5" customHeight="1" x14ac:dyDescent="0.25">
      <c r="B9" s="1247" t="s">
        <v>2943</v>
      </c>
      <c r="C9" s="1476"/>
      <c r="D9" s="1476"/>
      <c r="E9" s="1476"/>
      <c r="F9" s="1476"/>
      <c r="G9" s="1476"/>
      <c r="H9" s="1476"/>
      <c r="I9" s="1476"/>
      <c r="J9" s="1476"/>
      <c r="K9" s="1476"/>
      <c r="L9" s="1476"/>
      <c r="M9" s="1476"/>
      <c r="N9" s="1476"/>
      <c r="O9" s="1476"/>
      <c r="P9" s="1476"/>
      <c r="Q9" s="1476"/>
      <c r="R9" s="1476"/>
      <c r="S9" s="1476"/>
      <c r="T9" s="1476"/>
      <c r="U9" s="1476"/>
      <c r="V9" s="1476"/>
      <c r="W9" s="1476"/>
      <c r="X9" s="1476"/>
      <c r="Y9" s="1476"/>
      <c r="Z9" s="1476"/>
      <c r="AA9" s="1476"/>
      <c r="AB9" s="1476"/>
      <c r="AC9" s="1476"/>
      <c r="AD9" s="1476"/>
      <c r="AE9" s="1476"/>
      <c r="AF9" s="1476"/>
    </row>
    <row r="11" spans="1:32" x14ac:dyDescent="0.25">
      <c r="B11" s="171" t="s">
        <v>12</v>
      </c>
      <c r="C11" s="171"/>
      <c r="D11" s="171"/>
      <c r="E11" s="171"/>
      <c r="F11" s="171"/>
      <c r="G11" s="171"/>
      <c r="H11" s="171"/>
      <c r="I11" s="171"/>
    </row>
    <row r="12" spans="1:32" x14ac:dyDescent="0.25">
      <c r="B12" s="1473" t="s">
        <v>1314</v>
      </c>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row>
    <row r="14" spans="1:32" x14ac:dyDescent="0.25">
      <c r="B14" s="171" t="s">
        <v>13</v>
      </c>
      <c r="C14" s="171"/>
      <c r="D14" s="171"/>
      <c r="E14" s="171"/>
      <c r="F14" s="171"/>
      <c r="G14" s="171"/>
      <c r="H14" s="171"/>
      <c r="I14" s="171"/>
    </row>
    <row r="15" spans="1:32" ht="32.25" customHeight="1" x14ac:dyDescent="0.25">
      <c r="B15" s="1247" t="s">
        <v>2944</v>
      </c>
      <c r="C15" s="1247"/>
      <c r="D15" s="1247"/>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row>
    <row r="17" spans="1:32" x14ac:dyDescent="0.25">
      <c r="B17" s="171" t="s">
        <v>20</v>
      </c>
      <c r="C17" s="171"/>
      <c r="D17" s="171"/>
      <c r="E17" s="171"/>
      <c r="F17" s="171"/>
      <c r="G17" s="171"/>
      <c r="H17" s="171"/>
      <c r="I17" s="171"/>
    </row>
    <row r="18" spans="1:32" s="4" customFormat="1" ht="97.5" customHeight="1" x14ac:dyDescent="0.25">
      <c r="B18" s="1247" t="s">
        <v>170</v>
      </c>
      <c r="C18" s="1247"/>
      <c r="D18" s="1247"/>
      <c r="E18" s="1247"/>
      <c r="F18" s="1247"/>
      <c r="G18" s="1247"/>
      <c r="H18" s="1247"/>
      <c r="I18" s="1247"/>
      <c r="J18" s="1247"/>
      <c r="K18" s="1247"/>
      <c r="L18" s="1247"/>
      <c r="M18" s="1247"/>
      <c r="N18" s="1247"/>
      <c r="O18" s="1247"/>
      <c r="P18" s="1247"/>
      <c r="Q18" s="1247"/>
      <c r="R18" s="1247"/>
      <c r="S18" s="1247"/>
      <c r="T18" s="1247"/>
      <c r="U18" s="1247"/>
      <c r="V18" s="1247"/>
      <c r="W18" s="1247"/>
      <c r="X18" s="1247"/>
      <c r="Y18" s="1247"/>
      <c r="Z18" s="1247"/>
      <c r="AA18" s="1247"/>
      <c r="AB18" s="1247"/>
      <c r="AC18" s="1247"/>
      <c r="AD18" s="1247"/>
      <c r="AE18" s="1247"/>
      <c r="AF18" s="1247"/>
    </row>
    <row r="21" spans="1:32" x14ac:dyDescent="0.25">
      <c r="A21" s="1472" t="s">
        <v>14</v>
      </c>
      <c r="B21" s="1472"/>
      <c r="C21" s="1472"/>
      <c r="D21" s="1472"/>
      <c r="E21" s="1472"/>
      <c r="F21" s="1472"/>
      <c r="G21" s="1472"/>
      <c r="H21" s="1472"/>
      <c r="I21" s="1472"/>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row>
    <row r="23" spans="1:32" s="4" customFormat="1" ht="80.25" customHeight="1" x14ac:dyDescent="0.25">
      <c r="A23" s="1142" t="s">
        <v>173</v>
      </c>
      <c r="B23" s="1142"/>
      <c r="C23" s="1142"/>
      <c r="D23" s="1142"/>
      <c r="E23" s="1142"/>
      <c r="F23" s="1142"/>
      <c r="G23" s="1142"/>
      <c r="H23" s="1142"/>
      <c r="I23" s="1142"/>
      <c r="J23" s="1142"/>
      <c r="K23" s="1142"/>
      <c r="L23" s="1142"/>
      <c r="M23" s="1142"/>
      <c r="N23" s="1142"/>
      <c r="O23" s="1142"/>
      <c r="P23" s="1142"/>
      <c r="Q23" s="1142"/>
      <c r="R23" s="1142"/>
      <c r="S23" s="1142"/>
      <c r="T23" s="1142"/>
      <c r="U23" s="1142"/>
      <c r="V23" s="1142"/>
      <c r="W23" s="1142"/>
      <c r="X23" s="1142"/>
      <c r="Y23" s="1142"/>
      <c r="Z23" s="1142"/>
      <c r="AA23" s="1142"/>
      <c r="AB23" s="1142"/>
      <c r="AC23" s="1142"/>
      <c r="AD23" s="1142"/>
      <c r="AE23" s="1142"/>
      <c r="AF23" s="1142"/>
    </row>
    <row r="25" spans="1:32" x14ac:dyDescent="0.25">
      <c r="A25" s="1472" t="s">
        <v>21</v>
      </c>
      <c r="B25" s="1472"/>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row>
    <row r="26" spans="1:32" ht="10.9" customHeight="1" x14ac:dyDescent="0.25"/>
    <row r="27" spans="1:32" ht="108.75" customHeight="1" x14ac:dyDescent="0.25">
      <c r="A27" s="1142" t="s">
        <v>171</v>
      </c>
      <c r="B27" s="1142"/>
      <c r="C27" s="1142"/>
      <c r="D27" s="1142"/>
      <c r="E27" s="1142"/>
      <c r="F27" s="1142"/>
      <c r="G27" s="1142"/>
      <c r="H27" s="1142"/>
      <c r="I27" s="1142"/>
      <c r="J27" s="1142"/>
      <c r="K27" s="1142"/>
      <c r="L27" s="1142"/>
      <c r="M27" s="1142"/>
      <c r="N27" s="1142"/>
      <c r="O27" s="1142"/>
      <c r="P27" s="1142"/>
      <c r="Q27" s="1142"/>
      <c r="R27" s="1142"/>
      <c r="S27" s="1142"/>
      <c r="T27" s="1142"/>
      <c r="U27" s="1142"/>
      <c r="V27" s="1142"/>
      <c r="W27" s="1142"/>
      <c r="X27" s="1142"/>
      <c r="Y27" s="1142"/>
      <c r="Z27" s="1142"/>
      <c r="AA27" s="1142"/>
      <c r="AB27" s="1142"/>
      <c r="AC27" s="1142"/>
      <c r="AD27" s="1142"/>
      <c r="AE27" s="1142"/>
      <c r="AF27" s="1142"/>
    </row>
  </sheetData>
  <sheetProtection algorithmName="SHA-512" hashValue="HWUjBzTx5mxPt860AnmkNHqSa2boYlYCCLTVNSgQLP/rql4CN2qDhe9Ma0OPeT3mwlwhB60HVs9UkHp9+flakw==" saltValue="vGqvi+86mTeNYpwEsNw3Cg==" spinCount="100000" sheet="1" objects="1" scenarios="1"/>
  <mergeCells count="11">
    <mergeCell ref="A1:AF1"/>
    <mergeCell ref="B12:AF12"/>
    <mergeCell ref="B15:AF15"/>
    <mergeCell ref="A3:AF3"/>
    <mergeCell ref="B6:AF6"/>
    <mergeCell ref="B9:AF9"/>
    <mergeCell ref="B18:AF18"/>
    <mergeCell ref="A27:AF27"/>
    <mergeCell ref="A23:AF23"/>
    <mergeCell ref="A25:AF25"/>
    <mergeCell ref="A21:AF21"/>
  </mergeCells>
  <hyperlinks>
    <hyperlink ref="A2" location="TOC!A1" display="Return to TOC" xr:uid="{00000000-0004-0000-1D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theme="8" tint="0.79998168889431442"/>
    <pageSetUpPr autoPageBreaks="0"/>
  </sheetPr>
  <dimension ref="A1:AF66"/>
  <sheetViews>
    <sheetView workbookViewId="0">
      <selection sqref="A1:AF1"/>
    </sheetView>
  </sheetViews>
  <sheetFormatPr defaultColWidth="2.7109375" defaultRowHeight="15" x14ac:dyDescent="0.25"/>
  <cols>
    <col min="1" max="16384" width="2.7109375" style="1"/>
  </cols>
  <sheetData>
    <row r="1" spans="1:32" ht="18.75" x14ac:dyDescent="0.25">
      <c r="A1" s="1464" t="s">
        <v>1135</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472" t="s">
        <v>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171" t="s">
        <v>10</v>
      </c>
      <c r="C5" s="171"/>
      <c r="D5" s="171"/>
      <c r="E5" s="171"/>
      <c r="F5" s="171"/>
      <c r="G5" s="171"/>
      <c r="H5" s="171"/>
      <c r="I5" s="171"/>
    </row>
    <row r="6" spans="1:32" s="4" customFormat="1" ht="78" customHeight="1" x14ac:dyDescent="0.25">
      <c r="B6" s="1247" t="s">
        <v>2945</v>
      </c>
      <c r="C6" s="1247"/>
      <c r="D6" s="1247"/>
      <c r="E6" s="1247"/>
      <c r="F6" s="1247"/>
      <c r="G6" s="1247"/>
      <c r="H6" s="1247"/>
      <c r="I6" s="1247"/>
      <c r="J6" s="1247"/>
      <c r="K6" s="1247"/>
      <c r="L6" s="1247"/>
      <c r="M6" s="1247"/>
      <c r="N6" s="1247"/>
      <c r="O6" s="1247"/>
      <c r="P6" s="1247"/>
      <c r="Q6" s="1247"/>
      <c r="R6" s="1247"/>
      <c r="S6" s="1247"/>
      <c r="T6" s="1247"/>
      <c r="U6" s="1247"/>
      <c r="V6" s="1247"/>
      <c r="W6" s="1247"/>
      <c r="X6" s="1247"/>
      <c r="Y6" s="1247"/>
      <c r="Z6" s="1247"/>
      <c r="AA6" s="1247"/>
      <c r="AB6" s="1247"/>
      <c r="AC6" s="1247"/>
      <c r="AD6" s="1247"/>
      <c r="AE6" s="1247"/>
      <c r="AF6" s="1247"/>
    </row>
    <row r="8" spans="1:32" x14ac:dyDescent="0.25">
      <c r="B8" s="171" t="s">
        <v>11</v>
      </c>
      <c r="C8" s="171"/>
      <c r="D8" s="171"/>
      <c r="E8" s="171"/>
      <c r="F8" s="171"/>
      <c r="G8" s="171"/>
      <c r="H8" s="171"/>
      <c r="I8" s="171"/>
    </row>
    <row r="9" spans="1:32" ht="140.25" customHeight="1" x14ac:dyDescent="0.25">
      <c r="B9" s="1247" t="s">
        <v>172</v>
      </c>
      <c r="C9" s="1476"/>
      <c r="D9" s="1476"/>
      <c r="E9" s="1476"/>
      <c r="F9" s="1476"/>
      <c r="G9" s="1476"/>
      <c r="H9" s="1476"/>
      <c r="I9" s="1476"/>
      <c r="J9" s="1476"/>
      <c r="K9" s="1476"/>
      <c r="L9" s="1476"/>
      <c r="M9" s="1476"/>
      <c r="N9" s="1476"/>
      <c r="O9" s="1476"/>
      <c r="P9" s="1476"/>
      <c r="Q9" s="1476"/>
      <c r="R9" s="1476"/>
      <c r="S9" s="1476"/>
      <c r="T9" s="1476"/>
      <c r="U9" s="1476"/>
      <c r="V9" s="1476"/>
      <c r="W9" s="1476"/>
      <c r="X9" s="1476"/>
      <c r="Y9" s="1476"/>
      <c r="Z9" s="1476"/>
      <c r="AA9" s="1476"/>
      <c r="AB9" s="1476"/>
      <c r="AC9" s="1476"/>
      <c r="AD9" s="1476"/>
      <c r="AE9" s="1476"/>
      <c r="AF9" s="1476"/>
    </row>
    <row r="11" spans="1:32" x14ac:dyDescent="0.25">
      <c r="B11" s="171" t="s">
        <v>12</v>
      </c>
      <c r="C11" s="171"/>
      <c r="D11" s="171"/>
      <c r="E11" s="171"/>
      <c r="F11" s="171"/>
      <c r="G11" s="171"/>
      <c r="H11" s="171"/>
      <c r="I11" s="171"/>
    </row>
    <row r="12" spans="1:32" x14ac:dyDescent="0.25">
      <c r="B12" s="1473" t="s">
        <v>1314</v>
      </c>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row>
    <row r="14" spans="1:32" x14ac:dyDescent="0.25">
      <c r="B14" s="171" t="s">
        <v>13</v>
      </c>
      <c r="C14" s="171"/>
      <c r="D14" s="171"/>
      <c r="E14" s="171"/>
      <c r="F14" s="171"/>
      <c r="G14" s="171"/>
      <c r="H14" s="171"/>
      <c r="I14" s="171"/>
    </row>
    <row r="15" spans="1:32" x14ac:dyDescent="0.25">
      <c r="B15" s="1473" t="s">
        <v>1314</v>
      </c>
      <c r="C15" s="1473"/>
      <c r="D15" s="1473"/>
      <c r="E15" s="1473"/>
      <c r="F15" s="1473"/>
      <c r="G15" s="1473"/>
      <c r="H15" s="1473"/>
      <c r="I15" s="1473"/>
      <c r="J15" s="1473"/>
      <c r="K15" s="1473"/>
      <c r="L15" s="1473"/>
      <c r="M15" s="1473"/>
      <c r="N15" s="1473"/>
      <c r="O15" s="1473"/>
      <c r="P15" s="1473"/>
      <c r="Q15" s="1473"/>
      <c r="R15" s="1473"/>
      <c r="S15" s="1473"/>
      <c r="T15" s="1473"/>
      <c r="U15" s="1473"/>
      <c r="V15" s="1473"/>
      <c r="W15" s="1473"/>
      <c r="X15" s="1473"/>
      <c r="Y15" s="1473"/>
      <c r="Z15" s="1473"/>
      <c r="AA15" s="1473"/>
      <c r="AB15" s="1473"/>
      <c r="AC15" s="1473"/>
      <c r="AD15" s="1473"/>
      <c r="AE15" s="1473"/>
      <c r="AF15" s="1473"/>
    </row>
    <row r="17" spans="1:32" x14ac:dyDescent="0.25">
      <c r="B17" s="171" t="s">
        <v>20</v>
      </c>
      <c r="C17" s="171"/>
      <c r="D17" s="171"/>
      <c r="E17" s="171"/>
      <c r="F17" s="171"/>
      <c r="G17" s="171"/>
      <c r="H17" s="171"/>
      <c r="I17" s="171"/>
    </row>
    <row r="18" spans="1:32" x14ac:dyDescent="0.25">
      <c r="B18" s="1473" t="s">
        <v>1314</v>
      </c>
      <c r="C18" s="1473"/>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row>
    <row r="21" spans="1:32" x14ac:dyDescent="0.25">
      <c r="A21" s="1472" t="s">
        <v>14</v>
      </c>
      <c r="B21" s="1472"/>
      <c r="C21" s="1472"/>
      <c r="D21" s="1472"/>
      <c r="E21" s="1472"/>
      <c r="F21" s="1472"/>
      <c r="G21" s="1472"/>
      <c r="H21" s="1472"/>
      <c r="I21" s="1472"/>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row>
    <row r="23" spans="1:32" ht="48.75" customHeight="1" x14ac:dyDescent="0.25">
      <c r="A23" s="1247" t="s">
        <v>174</v>
      </c>
      <c r="B23" s="1247"/>
      <c r="C23" s="1247"/>
      <c r="D23" s="1247"/>
      <c r="E23" s="1247"/>
      <c r="F23" s="1247"/>
      <c r="G23" s="1247"/>
      <c r="H23" s="1247"/>
      <c r="I23" s="1247"/>
      <c r="J23" s="1247"/>
      <c r="K23" s="1247"/>
      <c r="L23" s="1247"/>
      <c r="M23" s="1247"/>
      <c r="N23" s="1247"/>
      <c r="O23" s="1247"/>
      <c r="P23" s="1247"/>
      <c r="Q23" s="1247"/>
      <c r="R23" s="1247"/>
      <c r="S23" s="1247"/>
      <c r="T23" s="1247"/>
      <c r="U23" s="1247"/>
      <c r="V23" s="1247"/>
      <c r="W23" s="1247"/>
      <c r="X23" s="1247"/>
      <c r="Y23" s="1247"/>
      <c r="Z23" s="1247"/>
      <c r="AA23" s="1247"/>
      <c r="AB23" s="1247"/>
      <c r="AC23" s="1247"/>
      <c r="AD23" s="1247"/>
      <c r="AE23" s="1247"/>
      <c r="AF23" s="1247"/>
    </row>
    <row r="26" spans="1:32" x14ac:dyDescent="0.25">
      <c r="A26" s="1472" t="s">
        <v>21</v>
      </c>
      <c r="B26" s="1472"/>
      <c r="C26" s="1472"/>
      <c r="D26" s="1472"/>
      <c r="E26" s="1472"/>
      <c r="F26" s="1472"/>
      <c r="G26" s="1472"/>
      <c r="H26" s="1472"/>
      <c r="I26" s="1472"/>
      <c r="J26" s="1472"/>
      <c r="K26" s="1472"/>
      <c r="L26" s="1472"/>
      <c r="M26" s="1472"/>
      <c r="N26" s="1472"/>
      <c r="O26" s="1472"/>
      <c r="P26" s="1472"/>
      <c r="Q26" s="1472"/>
      <c r="R26" s="1472"/>
      <c r="S26" s="1472"/>
      <c r="T26" s="1472"/>
      <c r="U26" s="1472"/>
      <c r="V26" s="1472"/>
      <c r="W26" s="1472"/>
      <c r="X26" s="1472"/>
      <c r="Y26" s="1472"/>
      <c r="Z26" s="1472"/>
      <c r="AA26" s="1472"/>
      <c r="AB26" s="1472"/>
      <c r="AC26" s="1472"/>
      <c r="AD26" s="1472"/>
      <c r="AE26" s="1472"/>
      <c r="AF26" s="1472"/>
    </row>
    <row r="28" spans="1:32" ht="65.25" customHeight="1" x14ac:dyDescent="0.25">
      <c r="A28" s="1247" t="s">
        <v>175</v>
      </c>
      <c r="B28" s="1247"/>
      <c r="C28" s="1247"/>
      <c r="D28" s="1247"/>
      <c r="E28" s="1247"/>
      <c r="F28" s="1247"/>
      <c r="G28" s="1247"/>
      <c r="H28" s="1247"/>
      <c r="I28" s="1247"/>
      <c r="J28" s="1247"/>
      <c r="K28" s="1247"/>
      <c r="L28" s="1247"/>
      <c r="M28" s="1247"/>
      <c r="N28" s="1247"/>
      <c r="O28" s="1247"/>
      <c r="P28" s="1247"/>
      <c r="Q28" s="1247"/>
      <c r="R28" s="1247"/>
      <c r="S28" s="1247"/>
      <c r="T28" s="1247"/>
      <c r="U28" s="1247"/>
      <c r="V28" s="1247"/>
      <c r="W28" s="1247"/>
      <c r="X28" s="1247"/>
      <c r="Y28" s="1247"/>
      <c r="Z28" s="1247"/>
      <c r="AA28" s="1247"/>
      <c r="AB28" s="1247"/>
      <c r="AC28" s="1247"/>
      <c r="AD28" s="1247"/>
      <c r="AE28" s="1247"/>
      <c r="AF28" s="1247"/>
    </row>
    <row r="30" spans="1:32" x14ac:dyDescent="0.25">
      <c r="A30" t="s">
        <v>176</v>
      </c>
    </row>
    <row r="31" spans="1:32" x14ac:dyDescent="0.25">
      <c r="A31"/>
    </row>
    <row r="32" spans="1:32" x14ac:dyDescent="0.25">
      <c r="A32" s="13" t="s">
        <v>177</v>
      </c>
    </row>
    <row r="33" spans="1:1" x14ac:dyDescent="0.25">
      <c r="A33" s="14" t="s">
        <v>178</v>
      </c>
    </row>
    <row r="34" spans="1:1" x14ac:dyDescent="0.25">
      <c r="A34" s="14" t="s">
        <v>179</v>
      </c>
    </row>
    <row r="35" spans="1:1" x14ac:dyDescent="0.25">
      <c r="A35" s="14" t="s">
        <v>180</v>
      </c>
    </row>
    <row r="36" spans="1:1" x14ac:dyDescent="0.25">
      <c r="A36"/>
    </row>
    <row r="37" spans="1:1" x14ac:dyDescent="0.25">
      <c r="A37" s="13" t="s">
        <v>181</v>
      </c>
    </row>
    <row r="38" spans="1:1" x14ac:dyDescent="0.25">
      <c r="A38" s="15" t="s">
        <v>182</v>
      </c>
    </row>
    <row r="39" spans="1:1" x14ac:dyDescent="0.25">
      <c r="A39" s="16" t="s">
        <v>183</v>
      </c>
    </row>
    <row r="40" spans="1:1" x14ac:dyDescent="0.25">
      <c r="A40" s="15" t="s">
        <v>184</v>
      </c>
    </row>
    <row r="41" spans="1:1" x14ac:dyDescent="0.25">
      <c r="A41" s="15" t="s">
        <v>185</v>
      </c>
    </row>
    <row r="42" spans="1:1" x14ac:dyDescent="0.25">
      <c r="A42" s="16" t="s">
        <v>186</v>
      </c>
    </row>
    <row r="43" spans="1:1" x14ac:dyDescent="0.25">
      <c r="A43" s="16" t="s">
        <v>187</v>
      </c>
    </row>
    <row r="44" spans="1:1" x14ac:dyDescent="0.25">
      <c r="A44" s="16" t="s">
        <v>188</v>
      </c>
    </row>
    <row r="45" spans="1:1" x14ac:dyDescent="0.25">
      <c r="A45" s="16" t="s">
        <v>189</v>
      </c>
    </row>
    <row r="46" spans="1:1" x14ac:dyDescent="0.25">
      <c r="A46" s="16" t="s">
        <v>190</v>
      </c>
    </row>
    <row r="47" spans="1:1" x14ac:dyDescent="0.25">
      <c r="A47" s="16" t="s">
        <v>191</v>
      </c>
    </row>
    <row r="48" spans="1:1" x14ac:dyDescent="0.25">
      <c r="A48" s="16" t="s">
        <v>192</v>
      </c>
    </row>
    <row r="49" spans="1:32" x14ac:dyDescent="0.25">
      <c r="A49" s="16" t="s">
        <v>193</v>
      </c>
    </row>
    <row r="50" spans="1:32" x14ac:dyDescent="0.25">
      <c r="A50" s="16" t="s">
        <v>194</v>
      </c>
    </row>
    <row r="51" spans="1:32" x14ac:dyDescent="0.25">
      <c r="A51" s="15" t="s">
        <v>195</v>
      </c>
    </row>
    <row r="52" spans="1:32" x14ac:dyDescent="0.25">
      <c r="A52" s="1995" t="s">
        <v>196</v>
      </c>
      <c r="B52" s="1995"/>
      <c r="C52" s="1995"/>
      <c r="D52" s="1995"/>
      <c r="E52" s="1995"/>
      <c r="F52" s="1995"/>
      <c r="G52" s="1995"/>
      <c r="H52" s="1995"/>
      <c r="I52" s="1995"/>
      <c r="J52" s="1995"/>
      <c r="K52" s="1995"/>
      <c r="L52" s="1995"/>
      <c r="M52" s="1995"/>
      <c r="N52" s="1995"/>
      <c r="O52" s="1995"/>
      <c r="P52" s="1995"/>
      <c r="Q52" s="1995"/>
      <c r="R52" s="1995"/>
      <c r="S52" s="1995"/>
      <c r="T52" s="1995"/>
      <c r="U52" s="1995"/>
      <c r="V52" s="1995"/>
      <c r="W52" s="1995"/>
      <c r="X52" s="1995"/>
      <c r="Y52" s="1995"/>
      <c r="Z52" s="1995"/>
      <c r="AA52" s="1995"/>
      <c r="AB52" s="1995"/>
      <c r="AC52" s="1995"/>
      <c r="AD52" s="1995"/>
      <c r="AE52" s="1995"/>
      <c r="AF52" s="1995"/>
    </row>
    <row r="53" spans="1:32" x14ac:dyDescent="0.25">
      <c r="A53" s="1995"/>
      <c r="B53" s="1995"/>
      <c r="C53" s="1995"/>
      <c r="D53" s="1995"/>
      <c r="E53" s="1995"/>
      <c r="F53" s="1995"/>
      <c r="G53" s="1995"/>
      <c r="H53" s="1995"/>
      <c r="I53" s="1995"/>
      <c r="J53" s="1995"/>
      <c r="K53" s="1995"/>
      <c r="L53" s="1995"/>
      <c r="M53" s="1995"/>
      <c r="N53" s="1995"/>
      <c r="O53" s="1995"/>
      <c r="P53" s="1995"/>
      <c r="Q53" s="1995"/>
      <c r="R53" s="1995"/>
      <c r="S53" s="1995"/>
      <c r="T53" s="1995"/>
      <c r="U53" s="1995"/>
      <c r="V53" s="1995"/>
      <c r="W53" s="1995"/>
      <c r="X53" s="1995"/>
      <c r="Y53" s="1995"/>
      <c r="Z53" s="1995"/>
      <c r="AA53" s="1995"/>
      <c r="AB53" s="1995"/>
      <c r="AC53" s="1995"/>
      <c r="AD53" s="1995"/>
      <c r="AE53" s="1995"/>
      <c r="AF53" s="1995"/>
    </row>
    <row r="54" spans="1:32" x14ac:dyDescent="0.25">
      <c r="A54" s="16" t="s">
        <v>197</v>
      </c>
    </row>
    <row r="55" spans="1:32" x14ac:dyDescent="0.25">
      <c r="A55" s="16" t="s">
        <v>198</v>
      </c>
    </row>
    <row r="56" spans="1:32" x14ac:dyDescent="0.25">
      <c r="A56" s="15" t="s">
        <v>199</v>
      </c>
    </row>
    <row r="57" spans="1:32" x14ac:dyDescent="0.25">
      <c r="A57" s="16" t="s">
        <v>200</v>
      </c>
    </row>
    <row r="58" spans="1:32" x14ac:dyDescent="0.25">
      <c r="A58" s="16" t="s">
        <v>201</v>
      </c>
    </row>
    <row r="59" spans="1:32" x14ac:dyDescent="0.25">
      <c r="A59" s="15" t="s">
        <v>202</v>
      </c>
    </row>
    <row r="60" spans="1:32" x14ac:dyDescent="0.25">
      <c r="A60" s="16" t="s">
        <v>203</v>
      </c>
    </row>
    <row r="61" spans="1:32" x14ac:dyDescent="0.25">
      <c r="A61" s="16" t="s">
        <v>204</v>
      </c>
    </row>
    <row r="62" spans="1:32" x14ac:dyDescent="0.25">
      <c r="A62" s="15" t="s">
        <v>205</v>
      </c>
    </row>
    <row r="63" spans="1:32" x14ac:dyDescent="0.25">
      <c r="A63"/>
    </row>
    <row r="64" spans="1:32" x14ac:dyDescent="0.25">
      <c r="A64" s="13" t="s">
        <v>206</v>
      </c>
    </row>
    <row r="65" spans="1:1" x14ac:dyDescent="0.25">
      <c r="A65" s="15" t="s">
        <v>207</v>
      </c>
    </row>
    <row r="66" spans="1:1" x14ac:dyDescent="0.25">
      <c r="A66" s="17" t="s">
        <v>208</v>
      </c>
    </row>
  </sheetData>
  <sheetProtection algorithmName="SHA-512" hashValue="HMozSC2bUeaUGZDdYS0Ff3fSToC0rCy4Cn5TXvpsJDv7vEMR+PVJicd/CKMaAFiDWEQ2m3GU6REyrzqvabWwIg==" saltValue="ZSMTK+5u6lWzFvcdmxtt6A==" spinCount="100000" sheet="1" objects="1" scenarios="1"/>
  <mergeCells count="12">
    <mergeCell ref="A28:AF28"/>
    <mergeCell ref="A52:AF53"/>
    <mergeCell ref="A26:AF26"/>
    <mergeCell ref="A21:AF21"/>
    <mergeCell ref="A1:AF1"/>
    <mergeCell ref="B12:AF12"/>
    <mergeCell ref="B18:AF18"/>
    <mergeCell ref="A23:AF23"/>
    <mergeCell ref="B15:AF15"/>
    <mergeCell ref="A3:AF3"/>
    <mergeCell ref="B6:AF6"/>
    <mergeCell ref="B9:AF9"/>
  </mergeCells>
  <hyperlinks>
    <hyperlink ref="A2" location="TOC!A1" display="Return to TOC" xr:uid="{00000000-0004-0000-1E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theme="9" tint="0.79998168889431442"/>
    <pageSetUpPr autoPageBreaks="0"/>
  </sheetPr>
  <dimension ref="A1:BU157"/>
  <sheetViews>
    <sheetView zoomScaleNormal="100" workbookViewId="0">
      <selection activeCell="A2" sqref="A2"/>
    </sheetView>
  </sheetViews>
  <sheetFormatPr defaultColWidth="2.7109375" defaultRowHeight="15" x14ac:dyDescent="0.25"/>
  <cols>
    <col min="1" max="10" width="2.7109375" style="1"/>
    <col min="11" max="11" width="2.7109375" style="1" customWidth="1"/>
    <col min="12" max="16384" width="2.7109375" style="1"/>
  </cols>
  <sheetData>
    <row r="1" spans="1:32" ht="18.75" x14ac:dyDescent="0.25">
      <c r="A1" s="1464" t="s">
        <v>1136</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124.5" customHeight="1" x14ac:dyDescent="0.25">
      <c r="A5" s="262"/>
      <c r="B5" s="1622" t="s">
        <v>5205</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row>
    <row r="6" spans="1:32" customFormat="1" ht="14.45" customHeight="1" x14ac:dyDescent="0.25">
      <c r="A6" s="376"/>
    </row>
    <row r="7" spans="1:32" s="262" customFormat="1"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row>
    <row r="8" spans="1:32" s="262" customFormat="1" x14ac:dyDescent="0.25">
      <c r="A8" s="19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row>
    <row r="9" spans="1:32" s="262" customFormat="1" x14ac:dyDescent="0.25">
      <c r="B9" s="414" t="s">
        <v>10</v>
      </c>
      <c r="C9" s="414"/>
      <c r="D9" s="414"/>
      <c r="E9" s="414"/>
      <c r="F9" s="414"/>
      <c r="G9" s="414"/>
      <c r="H9" s="414"/>
      <c r="I9" s="414"/>
    </row>
    <row r="10" spans="1:32" s="263" customFormat="1" ht="34.5" customHeight="1" x14ac:dyDescent="0.25">
      <c r="B10" s="1589" t="s">
        <v>2272</v>
      </c>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row>
    <row r="11" spans="1:32" s="263" customFormat="1" x14ac:dyDescent="0.25"/>
    <row r="12" spans="1:32" s="263" customFormat="1" ht="68.25" customHeight="1" x14ac:dyDescent="0.25">
      <c r="B12" s="1589" t="s">
        <v>2273</v>
      </c>
      <c r="C12" s="1589"/>
      <c r="D12" s="1589"/>
      <c r="E12" s="1589"/>
      <c r="F12" s="1589"/>
      <c r="G12" s="1589"/>
      <c r="H12" s="1589"/>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row>
    <row r="13" spans="1:32" s="262" customFormat="1" x14ac:dyDescent="0.25"/>
    <row r="14" spans="1:32" s="262" customFormat="1" x14ac:dyDescent="0.25">
      <c r="B14" s="414" t="s">
        <v>11</v>
      </c>
      <c r="C14" s="414"/>
      <c r="D14" s="414"/>
      <c r="E14" s="414"/>
      <c r="F14" s="414"/>
      <c r="G14" s="414"/>
      <c r="H14" s="414"/>
      <c r="I14" s="414"/>
    </row>
    <row r="15" spans="1:32" s="262" customFormat="1" ht="15" customHeight="1" x14ac:dyDescent="0.25">
      <c r="A15" s="263"/>
      <c r="B15" s="1168" t="s">
        <v>5209</v>
      </c>
      <c r="C15" s="1168"/>
      <c r="D15" s="1168"/>
      <c r="E15" s="1168"/>
      <c r="F15" s="1168"/>
      <c r="G15" s="1168"/>
      <c r="H15" s="1168"/>
      <c r="I15" s="1168"/>
      <c r="J15" s="1168"/>
      <c r="K15" s="1168"/>
      <c r="L15" s="1168"/>
      <c r="M15" s="1168"/>
      <c r="N15" s="1168"/>
      <c r="O15" s="1168"/>
      <c r="P15" s="1168"/>
      <c r="Q15" s="1168"/>
      <c r="R15" s="1168"/>
      <c r="S15" s="1168"/>
      <c r="T15" s="1168"/>
      <c r="U15" s="1168"/>
      <c r="V15" s="1168"/>
      <c r="W15" s="1168"/>
      <c r="X15" s="1168"/>
      <c r="Y15" s="1168"/>
      <c r="Z15" s="1168"/>
      <c r="AA15" s="1168"/>
      <c r="AB15" s="1168"/>
      <c r="AC15" s="1168"/>
      <c r="AD15" s="1168"/>
      <c r="AE15" s="1168"/>
      <c r="AF15" s="1168"/>
    </row>
    <row r="16" spans="1:32" s="262" customFormat="1" ht="16.5" customHeight="1" x14ac:dyDescent="0.25">
      <c r="A16" s="263"/>
      <c r="B16" s="1168"/>
      <c r="C16" s="1168"/>
      <c r="D16" s="1168"/>
      <c r="E16" s="1168"/>
      <c r="F16" s="1168"/>
      <c r="G16" s="1168"/>
      <c r="H16" s="1168"/>
      <c r="I16" s="1168"/>
      <c r="J16" s="1168"/>
      <c r="K16" s="1168"/>
      <c r="L16" s="1168"/>
      <c r="M16" s="1168"/>
      <c r="N16" s="1168"/>
      <c r="O16" s="1168"/>
      <c r="P16" s="1168"/>
      <c r="Q16" s="1168"/>
      <c r="R16" s="1168"/>
      <c r="S16" s="1168"/>
      <c r="T16" s="1168"/>
      <c r="U16" s="1168"/>
      <c r="V16" s="1168"/>
      <c r="W16" s="1168"/>
      <c r="X16" s="1168"/>
      <c r="Y16" s="1168"/>
      <c r="Z16" s="1168"/>
      <c r="AA16" s="1168"/>
      <c r="AB16" s="1168"/>
      <c r="AC16" s="1168"/>
      <c r="AD16" s="1168"/>
      <c r="AE16" s="1168"/>
      <c r="AF16" s="1168"/>
    </row>
    <row r="17" spans="1:32" s="262" customFormat="1" ht="16.5" customHeight="1" x14ac:dyDescent="0.25">
      <c r="A17" s="263"/>
      <c r="B17" s="460"/>
      <c r="C17" s="460"/>
      <c r="D17" s="460"/>
      <c r="E17" s="460"/>
      <c r="F17" s="460"/>
      <c r="G17" s="460"/>
      <c r="H17" s="460"/>
      <c r="I17" s="460"/>
      <c r="J17" s="460"/>
      <c r="K17" s="460"/>
      <c r="L17" s="460"/>
      <c r="M17" s="460"/>
      <c r="N17" s="460"/>
      <c r="O17" s="460"/>
      <c r="P17" s="460"/>
      <c r="Q17" s="460"/>
      <c r="R17" s="460"/>
      <c r="S17" s="460"/>
      <c r="T17" s="460"/>
      <c r="U17" s="460"/>
      <c r="V17" s="460"/>
      <c r="W17" s="460"/>
      <c r="X17" s="460"/>
      <c r="Y17" s="460"/>
      <c r="Z17" s="460"/>
      <c r="AA17" s="460"/>
      <c r="AB17" s="460"/>
      <c r="AC17" s="460"/>
      <c r="AD17" s="460"/>
      <c r="AE17" s="460"/>
      <c r="AF17" s="460"/>
    </row>
    <row r="18" spans="1:32" s="262" customFormat="1" x14ac:dyDescent="0.25">
      <c r="B18" s="414" t="s">
        <v>12</v>
      </c>
      <c r="C18" s="414"/>
      <c r="D18" s="414"/>
      <c r="E18" s="414"/>
      <c r="F18" s="414"/>
      <c r="G18" s="414"/>
      <c r="H18" s="414"/>
      <c r="I18" s="414"/>
    </row>
    <row r="19" spans="1:32" s="262" customFormat="1" x14ac:dyDescent="0.25">
      <c r="B19" s="1703" t="s">
        <v>3042</v>
      </c>
      <c r="C19" s="1703"/>
      <c r="D19" s="1703"/>
      <c r="E19" s="1703"/>
      <c r="F19" s="1703"/>
      <c r="G19" s="1703"/>
      <c r="H19" s="1703"/>
      <c r="I19" s="1703"/>
      <c r="J19" s="1703"/>
      <c r="K19" s="1703"/>
      <c r="L19" s="1703"/>
      <c r="M19" s="1703"/>
      <c r="N19" s="1703"/>
      <c r="O19" s="1703"/>
      <c r="P19" s="1703"/>
      <c r="Q19" s="1703"/>
      <c r="R19" s="1703"/>
      <c r="S19" s="1703"/>
      <c r="T19" s="1703"/>
      <c r="U19" s="1703"/>
      <c r="V19" s="1703"/>
      <c r="W19" s="1703"/>
      <c r="X19" s="1703"/>
      <c r="Y19" s="1703"/>
      <c r="Z19" s="1703"/>
      <c r="AA19" s="1703"/>
      <c r="AB19" s="1703"/>
      <c r="AC19" s="1703"/>
      <c r="AD19" s="1703"/>
      <c r="AE19" s="1703"/>
      <c r="AF19" s="1703"/>
    </row>
    <row r="20" spans="1:32" s="262" customFormat="1" x14ac:dyDescent="0.25"/>
    <row r="21" spans="1:32" s="262" customFormat="1" x14ac:dyDescent="0.25">
      <c r="B21" s="414" t="s">
        <v>13</v>
      </c>
      <c r="C21" s="414"/>
      <c r="D21" s="414"/>
      <c r="E21" s="414"/>
      <c r="F21" s="414"/>
      <c r="G21" s="414"/>
      <c r="H21" s="414"/>
      <c r="I21" s="414"/>
    </row>
    <row r="22" spans="1:32" s="262" customFormat="1" ht="51" customHeight="1" x14ac:dyDescent="0.25">
      <c r="A22" s="263"/>
      <c r="B22" s="1589" t="s">
        <v>5210</v>
      </c>
      <c r="C22" s="1589"/>
      <c r="D22" s="1589"/>
      <c r="E22" s="1589"/>
      <c r="F22" s="1589"/>
      <c r="G22" s="1589"/>
      <c r="H22" s="1589"/>
      <c r="I22" s="1589"/>
      <c r="J22" s="1589"/>
      <c r="K22" s="1589"/>
      <c r="L22" s="1589"/>
      <c r="M22" s="1589"/>
      <c r="N22" s="1589"/>
      <c r="O22" s="1589"/>
      <c r="P22" s="1589"/>
      <c r="Q22" s="1589"/>
      <c r="R22" s="1589"/>
      <c r="S22" s="1589"/>
      <c r="T22" s="1589"/>
      <c r="U22" s="1589"/>
      <c r="V22" s="1589"/>
      <c r="W22" s="1589"/>
      <c r="X22" s="1589"/>
      <c r="Y22" s="1589"/>
      <c r="Z22" s="1589"/>
      <c r="AA22" s="1589"/>
      <c r="AB22" s="1589"/>
      <c r="AC22" s="1589"/>
      <c r="AD22" s="1589"/>
      <c r="AE22" s="1589"/>
      <c r="AF22" s="1589"/>
    </row>
    <row r="23" spans="1:32" s="262" customFormat="1" x14ac:dyDescent="0.25"/>
    <row r="24" spans="1:32" s="262" customFormat="1" x14ac:dyDescent="0.25">
      <c r="B24" s="414" t="s">
        <v>20</v>
      </c>
      <c r="C24" s="414"/>
      <c r="D24" s="414"/>
      <c r="E24" s="414"/>
      <c r="F24" s="414"/>
      <c r="G24" s="414"/>
      <c r="H24" s="414"/>
      <c r="I24" s="414"/>
    </row>
    <row r="25" spans="1:32" s="262" customFormat="1" ht="15" customHeight="1" x14ac:dyDescent="0.25">
      <c r="B25" s="1704" t="s">
        <v>2274</v>
      </c>
      <c r="C25" s="1704"/>
      <c r="D25" s="1704"/>
      <c r="E25" s="1704"/>
      <c r="F25" s="1704"/>
      <c r="G25" s="1704"/>
      <c r="H25" s="1704"/>
      <c r="I25" s="1704"/>
      <c r="J25" s="1704"/>
      <c r="K25" s="1704"/>
      <c r="L25" s="1704"/>
      <c r="M25" s="1704"/>
      <c r="N25" s="1704"/>
      <c r="O25" s="1704"/>
      <c r="P25" s="1704"/>
      <c r="Q25" s="1704"/>
      <c r="R25" s="1704"/>
      <c r="S25" s="1704"/>
      <c r="T25" s="1704"/>
      <c r="U25" s="1704"/>
      <c r="V25" s="1704"/>
      <c r="W25" s="1704"/>
      <c r="X25" s="1704"/>
      <c r="Y25" s="1704"/>
      <c r="Z25" s="1704"/>
      <c r="AA25" s="1704"/>
      <c r="AB25" s="1704"/>
      <c r="AC25" s="1704"/>
      <c r="AD25" s="1704"/>
      <c r="AE25" s="1704"/>
      <c r="AF25" s="1704"/>
    </row>
    <row r="26" spans="1:32" s="262" customFormat="1" ht="14.45" customHeight="1" x14ac:dyDescent="0.25">
      <c r="B26" s="1704"/>
      <c r="C26" s="1704"/>
      <c r="D26" s="1704"/>
      <c r="E26" s="1704"/>
      <c r="F26" s="1704"/>
      <c r="G26" s="1704"/>
      <c r="H26" s="1704"/>
      <c r="I26" s="1704"/>
      <c r="J26" s="1704"/>
      <c r="K26" s="1704"/>
      <c r="L26" s="1704"/>
      <c r="M26" s="1704"/>
      <c r="N26" s="1704"/>
      <c r="O26" s="1704"/>
      <c r="P26" s="1704"/>
      <c r="Q26" s="1704"/>
      <c r="R26" s="1704"/>
      <c r="S26" s="1704"/>
      <c r="T26" s="1704"/>
      <c r="U26" s="1704"/>
      <c r="V26" s="1704"/>
      <c r="W26" s="1704"/>
      <c r="X26" s="1704"/>
      <c r="Y26" s="1704"/>
      <c r="Z26" s="1704"/>
      <c r="AA26" s="1704"/>
      <c r="AB26" s="1704"/>
      <c r="AC26" s="1704"/>
      <c r="AD26" s="1704"/>
      <c r="AE26" s="1704"/>
      <c r="AF26" s="1704"/>
    </row>
    <row r="27" spans="1:32" s="262" customFormat="1" x14ac:dyDescent="0.25">
      <c r="B27" s="1704"/>
      <c r="C27" s="1704"/>
      <c r="D27" s="1704"/>
      <c r="E27" s="1704"/>
      <c r="F27" s="1704"/>
      <c r="G27" s="1704"/>
      <c r="H27" s="1704"/>
      <c r="I27" s="1704"/>
      <c r="J27" s="1704"/>
      <c r="K27" s="1704"/>
      <c r="L27" s="1704"/>
      <c r="M27" s="1704"/>
      <c r="N27" s="1704"/>
      <c r="O27" s="1704"/>
      <c r="P27" s="1704"/>
      <c r="Q27" s="1704"/>
      <c r="R27" s="1704"/>
      <c r="S27" s="1704"/>
      <c r="T27" s="1704"/>
      <c r="U27" s="1704"/>
      <c r="V27" s="1704"/>
      <c r="W27" s="1704"/>
      <c r="X27" s="1704"/>
      <c r="Y27" s="1704"/>
      <c r="Z27" s="1704"/>
      <c r="AA27" s="1704"/>
      <c r="AB27" s="1704"/>
      <c r="AC27" s="1704"/>
      <c r="AD27" s="1704"/>
      <c r="AE27" s="1704"/>
      <c r="AF27" s="1704"/>
    </row>
    <row r="28" spans="1:32" s="262" customFormat="1" x14ac:dyDescent="0.25">
      <c r="B28" s="460"/>
      <c r="C28" s="460"/>
      <c r="D28" s="460"/>
      <c r="E28" s="460"/>
      <c r="F28" s="460"/>
      <c r="G28" s="460"/>
      <c r="H28" s="460"/>
      <c r="I28" s="460"/>
      <c r="J28" s="460"/>
      <c r="K28" s="460"/>
      <c r="L28" s="460"/>
      <c r="M28" s="460"/>
      <c r="N28" s="460"/>
      <c r="O28" s="460"/>
      <c r="P28" s="460"/>
      <c r="Q28" s="460"/>
      <c r="R28" s="460"/>
      <c r="S28" s="460"/>
      <c r="T28" s="460"/>
      <c r="U28" s="460"/>
      <c r="V28" s="460"/>
      <c r="W28" s="460"/>
      <c r="X28" s="460"/>
      <c r="Y28" s="460"/>
      <c r="Z28" s="460"/>
      <c r="AA28" s="460"/>
      <c r="AB28" s="460"/>
      <c r="AC28" s="460"/>
      <c r="AD28" s="460"/>
      <c r="AE28" s="460"/>
      <c r="AF28" s="460"/>
    </row>
    <row r="29" spans="1:32" s="262" customFormat="1" ht="108.75" customHeight="1" x14ac:dyDescent="0.25">
      <c r="B29" s="2007" t="s">
        <v>5211</v>
      </c>
      <c r="C29" s="2007"/>
      <c r="D29" s="2007"/>
      <c r="E29" s="2007"/>
      <c r="F29" s="2007"/>
      <c r="G29" s="2007"/>
      <c r="H29" s="2007"/>
      <c r="I29" s="2007"/>
      <c r="J29" s="2007"/>
      <c r="K29" s="2007"/>
      <c r="L29" s="2007"/>
      <c r="M29" s="2007"/>
      <c r="N29" s="2007"/>
      <c r="O29" s="2007"/>
      <c r="P29" s="2007"/>
      <c r="Q29" s="2007"/>
      <c r="R29" s="2007"/>
      <c r="S29" s="2007"/>
      <c r="T29" s="2007"/>
      <c r="U29" s="2007"/>
      <c r="V29" s="2007"/>
      <c r="W29" s="2007"/>
      <c r="X29" s="2007"/>
      <c r="Y29" s="2007"/>
      <c r="Z29" s="2007"/>
      <c r="AA29" s="2007"/>
      <c r="AB29" s="2007"/>
      <c r="AC29" s="2007"/>
      <c r="AD29" s="2007"/>
      <c r="AE29" s="2007"/>
      <c r="AF29" s="2007"/>
    </row>
    <row r="30" spans="1:32" s="262" customFormat="1" x14ac:dyDescent="0.25"/>
    <row r="31" spans="1:32" s="262" customFormat="1" x14ac:dyDescent="0.25">
      <c r="A31" s="1621" t="s">
        <v>14</v>
      </c>
      <c r="B31" s="1621"/>
      <c r="C31" s="1621"/>
      <c r="D31" s="1621"/>
      <c r="E31" s="1621"/>
      <c r="F31" s="1621"/>
      <c r="G31" s="1621"/>
      <c r="H31" s="1621"/>
      <c r="I31" s="1621"/>
      <c r="J31" s="1621"/>
      <c r="K31" s="1621"/>
      <c r="L31" s="1621"/>
      <c r="M31" s="1621"/>
      <c r="N31" s="1621"/>
      <c r="O31" s="1621"/>
      <c r="P31" s="1621"/>
      <c r="Q31" s="1621"/>
      <c r="R31" s="1621"/>
      <c r="S31" s="1621"/>
      <c r="T31" s="1621"/>
      <c r="U31" s="1621"/>
      <c r="V31" s="1621"/>
      <c r="W31" s="1621"/>
      <c r="X31" s="1621"/>
      <c r="Y31" s="1621"/>
      <c r="Z31" s="1621"/>
      <c r="AA31" s="1621"/>
      <c r="AB31" s="1621"/>
      <c r="AC31" s="1621"/>
      <c r="AD31" s="1621"/>
      <c r="AE31" s="1621"/>
      <c r="AF31" s="1621"/>
    </row>
    <row r="32" spans="1:32" s="262" customFormat="1" x14ac:dyDescent="0.25"/>
    <row r="33" spans="1:32" s="262" customFormat="1" x14ac:dyDescent="0.25">
      <c r="B33" s="414" t="s">
        <v>2303</v>
      </c>
      <c r="H33" s="419"/>
    </row>
    <row r="34" spans="1:32" s="262" customFormat="1" x14ac:dyDescent="0.25">
      <c r="H34" s="419"/>
    </row>
    <row r="35" spans="1:32" s="262" customFormat="1" x14ac:dyDescent="0.25">
      <c r="H35" s="419"/>
      <c r="AF35" s="419" t="s">
        <v>1705</v>
      </c>
    </row>
    <row r="36" spans="1:32" s="262" customFormat="1" x14ac:dyDescent="0.25">
      <c r="H36" s="419"/>
    </row>
    <row r="37" spans="1:32" s="262" customFormat="1" x14ac:dyDescent="0.25">
      <c r="B37" s="414" t="s">
        <v>2194</v>
      </c>
      <c r="H37" s="419"/>
    </row>
    <row r="38" spans="1:32" s="262" customFormat="1" x14ac:dyDescent="0.25">
      <c r="H38" s="419"/>
    </row>
    <row r="39" spans="1:32" s="262" customFormat="1" x14ac:dyDescent="0.25">
      <c r="H39" s="419"/>
      <c r="I39" s="197"/>
      <c r="AF39" s="419" t="s">
        <v>1706</v>
      </c>
    </row>
    <row r="40" spans="1:32" s="262" customFormat="1" x14ac:dyDescent="0.25">
      <c r="A40" s="190"/>
      <c r="I40" s="197"/>
    </row>
    <row r="41" spans="1:32" s="262" customFormat="1" x14ac:dyDescent="0.25">
      <c r="A41" s="190"/>
      <c r="B41" s="414" t="s">
        <v>1998</v>
      </c>
      <c r="I41" s="197"/>
    </row>
    <row r="42" spans="1:32" s="262" customFormat="1" x14ac:dyDescent="0.25">
      <c r="A42" s="190"/>
      <c r="I42" s="197"/>
    </row>
    <row r="43" spans="1:32" s="262" customFormat="1" x14ac:dyDescent="0.25">
      <c r="A43" s="190"/>
      <c r="I43" s="197"/>
      <c r="AF43" s="419" t="s">
        <v>1707</v>
      </c>
    </row>
    <row r="44" spans="1:32" s="262" customFormat="1" x14ac:dyDescent="0.25">
      <c r="A44" s="190"/>
      <c r="I44" s="197"/>
    </row>
    <row r="45" spans="1:32" s="262" customFormat="1" x14ac:dyDescent="0.25">
      <c r="A45" s="1385" t="s">
        <v>15</v>
      </c>
      <c r="B45" s="1386"/>
      <c r="C45" s="1386"/>
      <c r="D45" s="1386"/>
      <c r="E45" s="1386"/>
      <c r="F45" s="1386"/>
      <c r="G45" s="1386"/>
      <c r="H45" s="1386"/>
      <c r="I45" s="1386"/>
      <c r="J45" s="1386"/>
      <c r="K45" s="1386"/>
      <c r="L45" s="1386"/>
      <c r="M45" s="1386"/>
      <c r="N45" s="1386"/>
      <c r="O45" s="1386"/>
      <c r="P45" s="1386"/>
      <c r="Q45" s="1386"/>
      <c r="R45" s="1386"/>
      <c r="S45" s="1386"/>
      <c r="T45" s="1386"/>
      <c r="U45" s="1386"/>
      <c r="V45" s="1386"/>
      <c r="W45" s="1386"/>
      <c r="X45" s="1386"/>
      <c r="Y45" s="1386"/>
      <c r="Z45" s="1386"/>
      <c r="AA45" s="1386"/>
      <c r="AB45" s="1386"/>
      <c r="AC45" s="1386"/>
      <c r="AD45" s="1386"/>
      <c r="AE45" s="1386"/>
      <c r="AF45" s="1387"/>
    </row>
    <row r="46" spans="1:32" s="262" customFormat="1" x14ac:dyDescent="0.25">
      <c r="A46" s="1697" t="s">
        <v>16</v>
      </c>
      <c r="B46" s="1698"/>
      <c r="C46" s="1698"/>
      <c r="D46" s="1699"/>
      <c r="E46" s="1697" t="s">
        <v>10</v>
      </c>
      <c r="F46" s="1698"/>
      <c r="G46" s="1698"/>
      <c r="H46" s="1698"/>
      <c r="I46" s="1698"/>
      <c r="J46" s="1698"/>
      <c r="K46" s="1698"/>
      <c r="L46" s="1698"/>
      <c r="M46" s="1698"/>
      <c r="N46" s="1698"/>
      <c r="O46" s="1698"/>
      <c r="P46" s="1699"/>
      <c r="Q46" s="1697" t="s">
        <v>17</v>
      </c>
      <c r="R46" s="1698"/>
      <c r="S46" s="1698"/>
      <c r="T46" s="1699"/>
      <c r="U46" s="1697" t="s">
        <v>18</v>
      </c>
      <c r="V46" s="1698"/>
      <c r="W46" s="1699"/>
      <c r="X46" s="1697" t="s">
        <v>1708</v>
      </c>
      <c r="Y46" s="1698"/>
      <c r="Z46" s="1698"/>
      <c r="AA46" s="1698"/>
      <c r="AB46" s="1698"/>
      <c r="AC46" s="1698"/>
      <c r="AD46" s="1698"/>
      <c r="AE46" s="1698"/>
      <c r="AF46" s="1699"/>
    </row>
    <row r="47" spans="1:32" s="262" customFormat="1" ht="37.5" customHeight="1" x14ac:dyDescent="0.25">
      <c r="A47" s="1680" t="s">
        <v>2235</v>
      </c>
      <c r="B47" s="1681"/>
      <c r="C47" s="1681"/>
      <c r="D47" s="1682"/>
      <c r="E47" s="1494" t="s">
        <v>4646</v>
      </c>
      <c r="F47" s="1495" t="s">
        <v>2236</v>
      </c>
      <c r="G47" s="1495"/>
      <c r="H47" s="1495"/>
      <c r="I47" s="1495"/>
      <c r="J47" s="1495"/>
      <c r="K47" s="1495"/>
      <c r="L47" s="1495"/>
      <c r="M47" s="1495"/>
      <c r="N47" s="1495"/>
      <c r="O47" s="1495"/>
      <c r="P47" s="1496"/>
      <c r="Q47" s="1497" t="s">
        <v>164</v>
      </c>
      <c r="R47" s="1498"/>
      <c r="S47" s="1498"/>
      <c r="T47" s="1499"/>
      <c r="U47" s="1683" t="s">
        <v>1567</v>
      </c>
      <c r="V47" s="1684"/>
      <c r="W47" s="1685"/>
      <c r="X47" s="1538" t="s">
        <v>2277</v>
      </c>
      <c r="Y47" s="1539"/>
      <c r="Z47" s="1539"/>
      <c r="AA47" s="1539"/>
      <c r="AB47" s="1539"/>
      <c r="AC47" s="1539"/>
      <c r="AD47" s="1539"/>
      <c r="AE47" s="1539"/>
      <c r="AF47" s="1540"/>
    </row>
    <row r="48" spans="1:32" s="262" customFormat="1" ht="60.75" customHeight="1" x14ac:dyDescent="0.25">
      <c r="A48" s="1680" t="s">
        <v>2239</v>
      </c>
      <c r="B48" s="1681"/>
      <c r="C48" s="1681"/>
      <c r="D48" s="1682"/>
      <c r="E48" s="1494" t="s">
        <v>2234</v>
      </c>
      <c r="F48" s="1495"/>
      <c r="G48" s="1495"/>
      <c r="H48" s="1495"/>
      <c r="I48" s="1495"/>
      <c r="J48" s="1495"/>
      <c r="K48" s="1495"/>
      <c r="L48" s="1495"/>
      <c r="M48" s="1495"/>
      <c r="N48" s="1495"/>
      <c r="O48" s="1495"/>
      <c r="P48" s="1496"/>
      <c r="Q48" s="1996" t="s">
        <v>2276</v>
      </c>
      <c r="R48" s="1997"/>
      <c r="S48" s="1997"/>
      <c r="T48" s="1998"/>
      <c r="U48" s="1683" t="s">
        <v>242</v>
      </c>
      <c r="V48" s="1684"/>
      <c r="W48" s="1685"/>
      <c r="X48" s="1538" t="s">
        <v>2278</v>
      </c>
      <c r="Y48" s="1539"/>
      <c r="Z48" s="1539"/>
      <c r="AA48" s="1539"/>
      <c r="AB48" s="1539"/>
      <c r="AC48" s="1539"/>
      <c r="AD48" s="1539"/>
      <c r="AE48" s="1539"/>
      <c r="AF48" s="1540"/>
    </row>
    <row r="49" spans="1:56" s="262" customFormat="1" ht="78" customHeight="1" x14ac:dyDescent="0.25">
      <c r="A49" s="1680" t="s">
        <v>2240</v>
      </c>
      <c r="B49" s="1681"/>
      <c r="C49" s="1681"/>
      <c r="D49" s="1682"/>
      <c r="E49" s="1494" t="s">
        <v>2275</v>
      </c>
      <c r="F49" s="1495"/>
      <c r="G49" s="1495"/>
      <c r="H49" s="1495"/>
      <c r="I49" s="1495"/>
      <c r="J49" s="1495"/>
      <c r="K49" s="1495"/>
      <c r="L49" s="1495"/>
      <c r="M49" s="1495"/>
      <c r="N49" s="1495"/>
      <c r="O49" s="1495"/>
      <c r="P49" s="1496"/>
      <c r="Q49" s="1497" t="s">
        <v>164</v>
      </c>
      <c r="R49" s="1498"/>
      <c r="S49" s="1498"/>
      <c r="T49" s="1499"/>
      <c r="U49" s="1683" t="s">
        <v>242</v>
      </c>
      <c r="V49" s="1684"/>
      <c r="W49" s="1685"/>
      <c r="X49" s="1538" t="s">
        <v>5212</v>
      </c>
      <c r="Y49" s="1539"/>
      <c r="Z49" s="1539"/>
      <c r="AA49" s="1539"/>
      <c r="AB49" s="1539"/>
      <c r="AC49" s="1539"/>
      <c r="AD49" s="1539"/>
      <c r="AE49" s="1539"/>
      <c r="AF49" s="1540"/>
    </row>
    <row r="50" spans="1:56" s="262" customFormat="1" ht="62.25" customHeight="1" x14ac:dyDescent="0.25">
      <c r="A50" s="1680" t="s">
        <v>2237</v>
      </c>
      <c r="B50" s="1681"/>
      <c r="C50" s="1681"/>
      <c r="D50" s="1682"/>
      <c r="E50" s="1494" t="s">
        <v>2232</v>
      </c>
      <c r="F50" s="1495"/>
      <c r="G50" s="1495"/>
      <c r="H50" s="1495"/>
      <c r="I50" s="1495"/>
      <c r="J50" s="1495"/>
      <c r="K50" s="1495"/>
      <c r="L50" s="1495"/>
      <c r="M50" s="1495"/>
      <c r="N50" s="1495"/>
      <c r="O50" s="1495"/>
      <c r="P50" s="1496"/>
      <c r="Q50" s="1999" t="s">
        <v>2276</v>
      </c>
      <c r="R50" s="2000"/>
      <c r="S50" s="2000"/>
      <c r="T50" s="2001"/>
      <c r="U50" s="1683" t="s">
        <v>242</v>
      </c>
      <c r="V50" s="1684"/>
      <c r="W50" s="1685"/>
      <c r="X50" s="1538" t="s">
        <v>2278</v>
      </c>
      <c r="Y50" s="1539"/>
      <c r="Z50" s="1539"/>
      <c r="AA50" s="1539"/>
      <c r="AB50" s="1539"/>
      <c r="AC50" s="1539"/>
      <c r="AD50" s="1539"/>
      <c r="AE50" s="1539"/>
      <c r="AF50" s="1540"/>
    </row>
    <row r="51" spans="1:56" s="262" customFormat="1" ht="33.75" customHeight="1" x14ac:dyDescent="0.25">
      <c r="A51" s="1680" t="s">
        <v>2238</v>
      </c>
      <c r="B51" s="1681"/>
      <c r="C51" s="1681"/>
      <c r="D51" s="1682"/>
      <c r="E51" s="1494" t="s">
        <v>2233</v>
      </c>
      <c r="F51" s="1495"/>
      <c r="G51" s="1495"/>
      <c r="H51" s="1495"/>
      <c r="I51" s="1495"/>
      <c r="J51" s="1495"/>
      <c r="K51" s="1495"/>
      <c r="L51" s="1495"/>
      <c r="M51" s="1495"/>
      <c r="N51" s="1495"/>
      <c r="O51" s="1495"/>
      <c r="P51" s="1496"/>
      <c r="Q51" s="1497" t="s">
        <v>164</v>
      </c>
      <c r="R51" s="1498"/>
      <c r="S51" s="1498"/>
      <c r="T51" s="1499"/>
      <c r="U51" s="1683" t="s">
        <v>242</v>
      </c>
      <c r="V51" s="1684"/>
      <c r="W51" s="1685"/>
      <c r="X51" s="1538" t="s">
        <v>2279</v>
      </c>
      <c r="Y51" s="1539"/>
      <c r="Z51" s="1539"/>
      <c r="AA51" s="1539"/>
      <c r="AB51" s="1539"/>
      <c r="AC51" s="1539"/>
      <c r="AD51" s="1539"/>
      <c r="AE51" s="1539"/>
      <c r="AF51" s="1540"/>
    </row>
    <row r="52" spans="1:56" s="262" customFormat="1" ht="74.25" customHeight="1" x14ac:dyDescent="0.25">
      <c r="A52" s="1680" t="s">
        <v>29</v>
      </c>
      <c r="B52" s="1681"/>
      <c r="C52" s="1681"/>
      <c r="D52" s="1682"/>
      <c r="E52" s="1494" t="s">
        <v>2283</v>
      </c>
      <c r="F52" s="1495"/>
      <c r="G52" s="1495"/>
      <c r="H52" s="1495"/>
      <c r="I52" s="1495"/>
      <c r="J52" s="1495"/>
      <c r="K52" s="1495"/>
      <c r="L52" s="1495"/>
      <c r="M52" s="1495"/>
      <c r="N52" s="1495"/>
      <c r="O52" s="1495"/>
      <c r="P52" s="1496"/>
      <c r="Q52" s="1497" t="s">
        <v>626</v>
      </c>
      <c r="R52" s="1498"/>
      <c r="S52" s="1498"/>
      <c r="T52" s="1499"/>
      <c r="U52" s="1696" t="s">
        <v>28</v>
      </c>
      <c r="V52" s="1684"/>
      <c r="W52" s="1685"/>
      <c r="X52" s="1538" t="s">
        <v>2946</v>
      </c>
      <c r="Y52" s="1539"/>
      <c r="Z52" s="1539"/>
      <c r="AA52" s="1539"/>
      <c r="AB52" s="1539"/>
      <c r="AC52" s="1539"/>
      <c r="AD52" s="1539"/>
      <c r="AE52" s="1539"/>
      <c r="AF52" s="1540"/>
    </row>
    <row r="53" spans="1:56" s="262" customFormat="1" ht="63.75" customHeight="1" x14ac:dyDescent="0.25">
      <c r="A53" s="1680" t="s">
        <v>257</v>
      </c>
      <c r="B53" s="1681"/>
      <c r="C53" s="1681"/>
      <c r="D53" s="1682"/>
      <c r="E53" s="1494" t="s">
        <v>2284</v>
      </c>
      <c r="F53" s="1495"/>
      <c r="G53" s="1495"/>
      <c r="H53" s="1495"/>
      <c r="I53" s="1495"/>
      <c r="J53" s="1495"/>
      <c r="K53" s="1495"/>
      <c r="L53" s="1495"/>
      <c r="M53" s="1495"/>
      <c r="N53" s="1495"/>
      <c r="O53" s="1495"/>
      <c r="P53" s="1496"/>
      <c r="Q53" s="1497" t="s">
        <v>626</v>
      </c>
      <c r="R53" s="1498"/>
      <c r="S53" s="1498"/>
      <c r="T53" s="1499"/>
      <c r="U53" s="1683" t="s">
        <v>45</v>
      </c>
      <c r="V53" s="1684"/>
      <c r="W53" s="1685"/>
      <c r="X53" s="1538" t="s">
        <v>2947</v>
      </c>
      <c r="Y53" s="1539"/>
      <c r="Z53" s="1539"/>
      <c r="AA53" s="1539"/>
      <c r="AB53" s="1539"/>
      <c r="AC53" s="1539"/>
      <c r="AD53" s="1539"/>
      <c r="AE53" s="1539"/>
      <c r="AF53" s="1540"/>
    </row>
    <row r="54" spans="1:56" s="262" customFormat="1" ht="46.5" customHeight="1" x14ac:dyDescent="0.25">
      <c r="A54" s="1680" t="s">
        <v>2724</v>
      </c>
      <c r="B54" s="1681"/>
      <c r="C54" s="1681"/>
      <c r="D54" s="1682"/>
      <c r="E54" s="1494" t="s">
        <v>2217</v>
      </c>
      <c r="F54" s="1495"/>
      <c r="G54" s="1495"/>
      <c r="H54" s="1495"/>
      <c r="I54" s="1495"/>
      <c r="J54" s="1495"/>
      <c r="K54" s="1495"/>
      <c r="L54" s="1495"/>
      <c r="M54" s="1495"/>
      <c r="N54" s="1495"/>
      <c r="O54" s="1495"/>
      <c r="P54" s="1496"/>
      <c r="Q54" s="1497">
        <f>'Master EUL'!X76</f>
        <v>22</v>
      </c>
      <c r="R54" s="1498"/>
      <c r="S54" s="1498"/>
      <c r="T54" s="1499"/>
      <c r="U54" s="1683" t="s">
        <v>46</v>
      </c>
      <c r="V54" s="1684"/>
      <c r="W54" s="1685"/>
      <c r="X54" s="1538" t="s">
        <v>2282</v>
      </c>
      <c r="Y54" s="1539"/>
      <c r="Z54" s="1539"/>
      <c r="AA54" s="1539"/>
      <c r="AB54" s="1539"/>
      <c r="AC54" s="1539"/>
      <c r="AD54" s="1539"/>
      <c r="AE54" s="1539"/>
      <c r="AF54" s="1540"/>
    </row>
    <row r="55" spans="1:56" s="262" customFormat="1" x14ac:dyDescent="0.25"/>
    <row r="56" spans="1:56" s="192" customFormat="1" x14ac:dyDescent="0.25">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row>
    <row r="57" spans="1:56" s="192" customFormat="1" ht="14.45" customHeight="1" x14ac:dyDescent="0.25">
      <c r="A57" s="1621" t="s">
        <v>21</v>
      </c>
      <c r="B57" s="1621"/>
      <c r="C57" s="1621"/>
      <c r="D57" s="1621"/>
      <c r="E57" s="1621"/>
      <c r="F57" s="1621"/>
      <c r="G57" s="1621"/>
      <c r="H57" s="1621"/>
      <c r="I57" s="1621"/>
      <c r="J57" s="1621"/>
      <c r="K57" s="1621"/>
      <c r="L57" s="1621"/>
      <c r="M57" s="1621"/>
      <c r="N57" s="1621"/>
      <c r="O57" s="1621"/>
      <c r="P57" s="1621"/>
      <c r="Q57" s="1621"/>
      <c r="R57" s="1621"/>
      <c r="S57" s="1621"/>
      <c r="T57" s="1621"/>
      <c r="U57" s="1621"/>
      <c r="V57" s="1621"/>
      <c r="W57" s="1621"/>
      <c r="X57" s="1621"/>
      <c r="Y57" s="1621"/>
      <c r="Z57" s="1621"/>
      <c r="AA57" s="1621"/>
      <c r="AB57" s="1621"/>
      <c r="AC57" s="1621"/>
      <c r="AD57" s="1621"/>
      <c r="AE57" s="1621"/>
      <c r="AF57" s="1621"/>
    </row>
    <row r="58" spans="1:56" s="192" customFormat="1" x14ac:dyDescent="0.25">
      <c r="A58" s="2005" t="s">
        <v>2281</v>
      </c>
      <c r="B58" s="2005"/>
      <c r="C58" s="2005"/>
      <c r="D58" s="2005"/>
      <c r="E58" s="2005"/>
      <c r="F58" s="2005"/>
      <c r="G58" s="2005"/>
      <c r="H58" s="2005"/>
      <c r="I58" s="2005"/>
      <c r="J58" s="2005"/>
      <c r="K58" s="2005"/>
      <c r="L58" s="2005"/>
      <c r="M58" s="2005"/>
      <c r="N58" s="2006" t="s">
        <v>2280</v>
      </c>
      <c r="O58" s="2006"/>
      <c r="P58" s="2006"/>
      <c r="Q58" s="2006"/>
      <c r="R58" s="2006"/>
      <c r="S58" s="2006"/>
      <c r="T58" s="2006"/>
      <c r="U58" s="2006"/>
      <c r="V58" s="2006"/>
    </row>
    <row r="59" spans="1:56" s="192" customFormat="1" x14ac:dyDescent="0.25">
      <c r="B59" s="198"/>
      <c r="C59" s="198"/>
    </row>
    <row r="60" spans="1:56" s="192" customFormat="1" ht="72.75" customHeight="1" x14ac:dyDescent="0.25">
      <c r="B60" s="1589" t="s">
        <v>3736</v>
      </c>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row>
    <row r="61" spans="1:56" s="192" customFormat="1" x14ac:dyDescent="0.25">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row>
    <row r="62" spans="1:56" s="192" customFormat="1" x14ac:dyDescent="0.25">
      <c r="B62" s="190" t="s">
        <v>2948</v>
      </c>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row>
    <row r="63" spans="1:56" s="192" customFormat="1" ht="15" customHeight="1" x14ac:dyDescent="0.25">
      <c r="B63" s="1439" t="s">
        <v>54</v>
      </c>
      <c r="C63" s="1440"/>
      <c r="D63" s="1440"/>
      <c r="E63" s="1440"/>
      <c r="F63" s="1440"/>
      <c r="G63" s="1440"/>
      <c r="H63" s="1440"/>
      <c r="I63" s="1440"/>
      <c r="J63" s="1440"/>
      <c r="K63" s="1441"/>
      <c r="L63" s="1319" t="s">
        <v>257</v>
      </c>
      <c r="M63" s="1319"/>
      <c r="N63" s="1319"/>
      <c r="O63" s="1319"/>
      <c r="P63" s="1319"/>
      <c r="Q63" s="1319"/>
      <c r="R63" s="1319"/>
      <c r="S63" s="1319"/>
      <c r="T63" s="1319"/>
      <c r="U63" s="1319" t="s">
        <v>29</v>
      </c>
      <c r="V63" s="1319"/>
      <c r="W63" s="1319"/>
      <c r="X63" s="1319"/>
      <c r="Y63" s="1319"/>
      <c r="Z63" s="1319"/>
      <c r="AA63" s="1319"/>
      <c r="AB63" s="1319"/>
      <c r="AC63" s="1319"/>
      <c r="AM63" s="478"/>
      <c r="AN63" s="478"/>
      <c r="AO63" s="478"/>
      <c r="AP63" s="478"/>
      <c r="AQ63" s="478"/>
      <c r="AR63" s="478"/>
      <c r="AS63" s="478"/>
      <c r="AT63" s="478"/>
      <c r="AU63" s="478"/>
      <c r="AV63" s="479"/>
      <c r="AW63" s="479"/>
      <c r="AX63" s="479"/>
      <c r="AY63" s="479"/>
      <c r="AZ63" s="479"/>
      <c r="BA63" s="479"/>
      <c r="BB63" s="479"/>
      <c r="BC63" s="479"/>
      <c r="BD63" s="479"/>
    </row>
    <row r="64" spans="1:56" s="192" customFormat="1" ht="15" customHeight="1" x14ac:dyDescent="0.25">
      <c r="B64" s="2004" t="s">
        <v>1984</v>
      </c>
      <c r="C64" s="1670"/>
      <c r="D64" s="1670"/>
      <c r="E64" s="1670"/>
      <c r="F64" s="1670"/>
      <c r="G64" s="1670"/>
      <c r="H64" s="1670"/>
      <c r="I64" s="1670"/>
      <c r="J64" s="1670"/>
      <c r="K64" s="1671"/>
      <c r="L64" s="2002">
        <f>'EFLH &amp; CF'!I53</f>
        <v>2594</v>
      </c>
      <c r="M64" s="2002"/>
      <c r="N64" s="2002"/>
      <c r="O64" s="2002"/>
      <c r="P64" s="2002"/>
      <c r="Q64" s="2002"/>
      <c r="R64" s="2002"/>
      <c r="S64" s="2002"/>
      <c r="T64" s="2002"/>
      <c r="U64" s="2003">
        <f>'EFLH &amp; CF'!M53</f>
        <v>0.38</v>
      </c>
      <c r="V64" s="2003"/>
      <c r="W64" s="2003"/>
      <c r="X64" s="2003"/>
      <c r="Y64" s="2003"/>
      <c r="Z64" s="2003"/>
      <c r="AA64" s="2003"/>
      <c r="AB64" s="2003"/>
      <c r="AC64" s="2003"/>
      <c r="AM64" s="478"/>
      <c r="AN64" s="478"/>
      <c r="AO64" s="478"/>
      <c r="AP64" s="478"/>
      <c r="AQ64" s="478"/>
      <c r="AR64" s="478"/>
      <c r="AS64" s="478"/>
      <c r="AT64" s="478"/>
      <c r="AU64" s="478"/>
      <c r="AV64" s="478"/>
      <c r="AW64" s="478"/>
      <c r="AX64" s="478"/>
      <c r="AY64" s="478"/>
      <c r="AZ64" s="478"/>
      <c r="BA64" s="478"/>
      <c r="BB64" s="478"/>
      <c r="BC64" s="478"/>
      <c r="BD64" s="478"/>
    </row>
    <row r="65" spans="1:56" s="198" customFormat="1" ht="15.6" customHeight="1" x14ac:dyDescent="0.25">
      <c r="B65" s="2004" t="s">
        <v>221</v>
      </c>
      <c r="C65" s="1670"/>
      <c r="D65" s="1670"/>
      <c r="E65" s="1670"/>
      <c r="F65" s="1670"/>
      <c r="G65" s="1670"/>
      <c r="H65" s="1670"/>
      <c r="I65" s="1670"/>
      <c r="J65" s="1670"/>
      <c r="K65" s="1671"/>
      <c r="L65" s="2002" t="str">
        <f>'EFLH &amp; CF'!I54</f>
        <v>Varies</v>
      </c>
      <c r="M65" s="2002"/>
      <c r="N65" s="2002"/>
      <c r="O65" s="2002"/>
      <c r="P65" s="2002"/>
      <c r="Q65" s="2002"/>
      <c r="R65" s="2002"/>
      <c r="S65" s="2002"/>
      <c r="T65" s="2002"/>
      <c r="U65" s="2003" t="str">
        <f>'EFLH &amp; CF'!M54</f>
        <v>Varies</v>
      </c>
      <c r="V65" s="2003"/>
      <c r="W65" s="2003"/>
      <c r="X65" s="2003"/>
      <c r="Y65" s="2003"/>
      <c r="Z65" s="2003"/>
      <c r="AA65" s="2003"/>
      <c r="AB65" s="2003"/>
      <c r="AC65" s="2003"/>
      <c r="AD65" s="192"/>
      <c r="AE65" s="192"/>
      <c r="AF65" s="192"/>
      <c r="AG65" s="192"/>
      <c r="AM65" s="478"/>
      <c r="AN65" s="478"/>
      <c r="AO65" s="478"/>
      <c r="AP65" s="478"/>
      <c r="AQ65" s="478"/>
      <c r="AR65" s="478"/>
      <c r="AS65" s="478"/>
      <c r="AT65" s="478"/>
      <c r="AU65" s="478"/>
      <c r="AV65" s="479"/>
      <c r="AW65" s="479"/>
      <c r="AX65" s="479"/>
      <c r="AY65" s="479"/>
      <c r="AZ65" s="479"/>
      <c r="BA65" s="479"/>
      <c r="BB65" s="479"/>
      <c r="BC65" s="479"/>
      <c r="BD65" s="479"/>
    </row>
    <row r="66" spans="1:56" s="192" customFormat="1" ht="15" customHeight="1" x14ac:dyDescent="0.25">
      <c r="B66" s="2004" t="s">
        <v>222</v>
      </c>
      <c r="C66" s="1670"/>
      <c r="D66" s="1670"/>
      <c r="E66" s="1670"/>
      <c r="F66" s="1670"/>
      <c r="G66" s="1670"/>
      <c r="H66" s="1670"/>
      <c r="I66" s="1670"/>
      <c r="J66" s="1670"/>
      <c r="K66" s="1671"/>
      <c r="L66" s="2002">
        <f>'EFLH &amp; CF'!I55</f>
        <v>2549</v>
      </c>
      <c r="M66" s="2002"/>
      <c r="N66" s="2002"/>
      <c r="O66" s="2002"/>
      <c r="P66" s="2002"/>
      <c r="Q66" s="2002"/>
      <c r="R66" s="2002"/>
      <c r="S66" s="2002"/>
      <c r="T66" s="2002"/>
      <c r="U66" s="2003">
        <f>'EFLH &amp; CF'!M55</f>
        <v>0.43</v>
      </c>
      <c r="V66" s="2003"/>
      <c r="W66" s="2003"/>
      <c r="X66" s="2003"/>
      <c r="Y66" s="2003"/>
      <c r="Z66" s="2003"/>
      <c r="AA66" s="2003"/>
      <c r="AB66" s="2003"/>
      <c r="AC66" s="2003"/>
      <c r="AM66" s="478"/>
      <c r="AN66" s="478"/>
      <c r="AO66" s="478"/>
      <c r="AP66" s="478"/>
      <c r="AQ66" s="478"/>
      <c r="AR66" s="478"/>
      <c r="AS66" s="478"/>
      <c r="AT66" s="478"/>
      <c r="AU66" s="478"/>
      <c r="AV66" s="479"/>
      <c r="AW66" s="479"/>
      <c r="AX66" s="479"/>
      <c r="AY66" s="479"/>
      <c r="AZ66" s="479"/>
      <c r="BA66" s="479"/>
      <c r="BB66" s="479"/>
      <c r="BC66" s="479"/>
      <c r="BD66" s="479"/>
    </row>
    <row r="67" spans="1:56" s="192" customFormat="1" ht="15" customHeight="1" x14ac:dyDescent="0.25">
      <c r="B67" s="2004" t="s">
        <v>223</v>
      </c>
      <c r="C67" s="1670"/>
      <c r="D67" s="1670"/>
      <c r="E67" s="1670"/>
      <c r="F67" s="1670"/>
      <c r="G67" s="1670"/>
      <c r="H67" s="1670"/>
      <c r="I67" s="1670"/>
      <c r="J67" s="1670"/>
      <c r="K67" s="1671"/>
      <c r="L67" s="2002">
        <f>'EFLH &amp; CF'!I56</f>
        <v>1531</v>
      </c>
      <c r="M67" s="2002"/>
      <c r="N67" s="2002"/>
      <c r="O67" s="2002"/>
      <c r="P67" s="2002"/>
      <c r="Q67" s="2002"/>
      <c r="R67" s="2002"/>
      <c r="S67" s="2002"/>
      <c r="T67" s="2002"/>
      <c r="U67" s="2003">
        <f>'EFLH &amp; CF'!M56</f>
        <v>0.27</v>
      </c>
      <c r="V67" s="2003"/>
      <c r="W67" s="2003"/>
      <c r="X67" s="2003"/>
      <c r="Y67" s="2003"/>
      <c r="Z67" s="2003"/>
      <c r="AA67" s="2003"/>
      <c r="AB67" s="2003"/>
      <c r="AC67" s="2003"/>
      <c r="AM67" s="478"/>
      <c r="AN67" s="478"/>
      <c r="AO67" s="478"/>
      <c r="AP67" s="478"/>
      <c r="AQ67" s="478"/>
      <c r="AR67" s="478"/>
      <c r="AS67" s="478"/>
      <c r="AT67" s="478"/>
      <c r="AU67" s="478"/>
      <c r="AV67" s="479"/>
      <c r="AW67" s="479"/>
      <c r="AX67" s="479"/>
      <c r="AY67" s="479"/>
      <c r="AZ67" s="479"/>
      <c r="BA67" s="479"/>
      <c r="BB67" s="479"/>
      <c r="BC67" s="479"/>
      <c r="BD67" s="479"/>
    </row>
    <row r="68" spans="1:56" s="192" customFormat="1" ht="15" customHeight="1" x14ac:dyDescent="0.25">
      <c r="B68" s="2004" t="s">
        <v>224</v>
      </c>
      <c r="C68" s="1670"/>
      <c r="D68" s="1670"/>
      <c r="E68" s="1670"/>
      <c r="F68" s="1670"/>
      <c r="G68" s="1670"/>
      <c r="H68" s="1670"/>
      <c r="I68" s="1670"/>
      <c r="J68" s="1670"/>
      <c r="K68" s="1671"/>
      <c r="L68" s="2002">
        <f>'EFLH &amp; CF'!I57</f>
        <v>4891</v>
      </c>
      <c r="M68" s="2002"/>
      <c r="N68" s="2002"/>
      <c r="O68" s="2002"/>
      <c r="P68" s="2002"/>
      <c r="Q68" s="2002"/>
      <c r="R68" s="2002"/>
      <c r="S68" s="2002"/>
      <c r="T68" s="2002"/>
      <c r="U68" s="2003">
        <f>'EFLH &amp; CF'!M57</f>
        <v>0.55000000000000004</v>
      </c>
      <c r="V68" s="2003"/>
      <c r="W68" s="2003"/>
      <c r="X68" s="2003"/>
      <c r="Y68" s="2003"/>
      <c r="Z68" s="2003"/>
      <c r="AA68" s="2003"/>
      <c r="AB68" s="2003"/>
      <c r="AC68" s="2003"/>
      <c r="AM68" s="478"/>
      <c r="AN68" s="478"/>
      <c r="AO68" s="478"/>
      <c r="AP68" s="478"/>
      <c r="AQ68" s="478"/>
      <c r="AR68" s="478"/>
      <c r="AS68" s="478"/>
      <c r="AT68" s="478"/>
      <c r="AU68" s="478"/>
      <c r="AV68" s="479"/>
      <c r="AW68" s="479"/>
      <c r="AX68" s="479"/>
      <c r="AY68" s="479"/>
      <c r="AZ68" s="479"/>
      <c r="BA68" s="479"/>
      <c r="BB68" s="479"/>
      <c r="BC68" s="479"/>
      <c r="BD68" s="479"/>
    </row>
    <row r="69" spans="1:56" s="192" customFormat="1" ht="15" customHeight="1" x14ac:dyDescent="0.25">
      <c r="B69" s="2004" t="s">
        <v>225</v>
      </c>
      <c r="C69" s="1670"/>
      <c r="D69" s="1670"/>
      <c r="E69" s="1670"/>
      <c r="F69" s="1670"/>
      <c r="G69" s="1670"/>
      <c r="H69" s="1670"/>
      <c r="I69" s="1670"/>
      <c r="J69" s="1670"/>
      <c r="K69" s="1671"/>
      <c r="L69" s="2002">
        <f>'EFLH &amp; CF'!I58</f>
        <v>4910</v>
      </c>
      <c r="M69" s="2002"/>
      <c r="N69" s="2002"/>
      <c r="O69" s="2002"/>
      <c r="P69" s="2002"/>
      <c r="Q69" s="2002"/>
      <c r="R69" s="2002"/>
      <c r="S69" s="2002"/>
      <c r="T69" s="2002"/>
      <c r="U69" s="2003">
        <f>'EFLH &amp; CF'!M58</f>
        <v>0.6</v>
      </c>
      <c r="V69" s="2003"/>
      <c r="W69" s="2003"/>
      <c r="X69" s="2003"/>
      <c r="Y69" s="2003"/>
      <c r="Z69" s="2003"/>
      <c r="AA69" s="2003"/>
      <c r="AB69" s="2003"/>
      <c r="AC69" s="2003"/>
      <c r="AM69" s="478"/>
      <c r="AN69" s="478"/>
      <c r="AO69" s="478"/>
      <c r="AP69" s="478"/>
      <c r="AQ69" s="478"/>
      <c r="AR69" s="478"/>
      <c r="AS69" s="478"/>
      <c r="AT69" s="478"/>
      <c r="AU69" s="478"/>
      <c r="AV69" s="478"/>
      <c r="AW69" s="478"/>
      <c r="AX69" s="478"/>
      <c r="AY69" s="478"/>
      <c r="AZ69" s="478"/>
      <c r="BA69" s="478"/>
      <c r="BB69" s="478"/>
      <c r="BC69" s="478"/>
      <c r="BD69" s="478"/>
    </row>
    <row r="70" spans="1:56" s="198" customFormat="1" ht="14.45" customHeight="1" x14ac:dyDescent="0.25">
      <c r="B70" s="2004" t="s">
        <v>226</v>
      </c>
      <c r="C70" s="1670"/>
      <c r="D70" s="1670"/>
      <c r="E70" s="1670"/>
      <c r="F70" s="1670"/>
      <c r="G70" s="1670"/>
      <c r="H70" s="1670"/>
      <c r="I70" s="1670"/>
      <c r="J70" s="1670"/>
      <c r="K70" s="1671"/>
      <c r="L70" s="2002" t="str">
        <f>'EFLH &amp; CF'!I59</f>
        <v>Varies</v>
      </c>
      <c r="M70" s="2002"/>
      <c r="N70" s="2002"/>
      <c r="O70" s="2002"/>
      <c r="P70" s="2002"/>
      <c r="Q70" s="2002"/>
      <c r="R70" s="2002"/>
      <c r="S70" s="2002"/>
      <c r="T70" s="2002"/>
      <c r="U70" s="2003" t="str">
        <f>'EFLH &amp; CF'!M59</f>
        <v>Varies</v>
      </c>
      <c r="V70" s="2003"/>
      <c r="W70" s="2003"/>
      <c r="X70" s="2003"/>
      <c r="Y70" s="2003"/>
      <c r="Z70" s="2003"/>
      <c r="AA70" s="2003"/>
      <c r="AB70" s="2003"/>
      <c r="AC70" s="2003"/>
      <c r="AD70" s="192"/>
      <c r="AE70" s="192"/>
      <c r="AF70" s="192"/>
      <c r="AG70" s="192"/>
      <c r="AM70" s="478"/>
      <c r="AN70" s="478"/>
      <c r="AO70" s="478"/>
      <c r="AP70" s="478"/>
      <c r="AQ70" s="478"/>
      <c r="AR70" s="478"/>
      <c r="AS70" s="478"/>
      <c r="AT70" s="478"/>
      <c r="AU70" s="478"/>
      <c r="AV70" s="479"/>
      <c r="AW70" s="479"/>
      <c r="AX70" s="479"/>
      <c r="AY70" s="479"/>
      <c r="AZ70" s="479"/>
      <c r="BA70" s="479"/>
      <c r="BB70" s="479"/>
      <c r="BC70" s="479"/>
      <c r="BD70" s="479"/>
    </row>
    <row r="71" spans="1:56" s="192" customFormat="1" ht="15.6" customHeight="1" x14ac:dyDescent="0.25">
      <c r="B71" s="2004" t="s">
        <v>55</v>
      </c>
      <c r="C71" s="1670"/>
      <c r="D71" s="1670"/>
      <c r="E71" s="1670"/>
      <c r="F71" s="1670"/>
      <c r="G71" s="1670"/>
      <c r="H71" s="1670"/>
      <c r="I71" s="1670"/>
      <c r="J71" s="1670"/>
      <c r="K71" s="1671"/>
      <c r="L71" s="2002">
        <f>'EFLH &amp; CF'!I60</f>
        <v>2754</v>
      </c>
      <c r="M71" s="2002"/>
      <c r="N71" s="2002"/>
      <c r="O71" s="2002"/>
      <c r="P71" s="2002"/>
      <c r="Q71" s="2002"/>
      <c r="R71" s="2002"/>
      <c r="S71" s="2002"/>
      <c r="T71" s="2002"/>
      <c r="U71" s="2003">
        <f>'EFLH &amp; CF'!M60</f>
        <v>0.48</v>
      </c>
      <c r="V71" s="2003"/>
      <c r="W71" s="2003"/>
      <c r="X71" s="2003"/>
      <c r="Y71" s="2003"/>
      <c r="Z71" s="2003"/>
      <c r="AA71" s="2003"/>
      <c r="AB71" s="2003"/>
      <c r="AC71" s="2003"/>
      <c r="AM71" s="478"/>
      <c r="AN71" s="478"/>
      <c r="AO71" s="478"/>
      <c r="AP71" s="478"/>
      <c r="AQ71" s="478"/>
      <c r="AR71" s="478"/>
      <c r="AS71" s="478"/>
      <c r="AT71" s="478"/>
      <c r="AU71" s="478"/>
      <c r="AV71" s="479"/>
      <c r="AW71" s="479"/>
      <c r="AX71" s="479"/>
      <c r="AY71" s="479"/>
      <c r="AZ71" s="479"/>
      <c r="BA71" s="479"/>
      <c r="BB71" s="479"/>
      <c r="BC71" s="479"/>
      <c r="BD71" s="479"/>
    </row>
    <row r="72" spans="1:56" s="192" customFormat="1" ht="15.6" customHeight="1" x14ac:dyDescent="0.25">
      <c r="B72" s="2004" t="s">
        <v>227</v>
      </c>
      <c r="C72" s="1670"/>
      <c r="D72" s="1670"/>
      <c r="E72" s="1670"/>
      <c r="F72" s="1670"/>
      <c r="G72" s="1670"/>
      <c r="H72" s="1670"/>
      <c r="I72" s="1670"/>
      <c r="J72" s="1670"/>
      <c r="K72" s="1671"/>
      <c r="L72" s="2002">
        <f>'EFLH &amp; CF'!I61</f>
        <v>2451</v>
      </c>
      <c r="M72" s="2002"/>
      <c r="N72" s="2002"/>
      <c r="O72" s="2002"/>
      <c r="P72" s="2002"/>
      <c r="Q72" s="2002"/>
      <c r="R72" s="2002"/>
      <c r="S72" s="2002"/>
      <c r="T72" s="2002"/>
      <c r="U72" s="2003">
        <f>'EFLH &amp; CF'!M61</f>
        <v>0.4</v>
      </c>
      <c r="V72" s="2003"/>
      <c r="W72" s="2003"/>
      <c r="X72" s="2003"/>
      <c r="Y72" s="2003"/>
      <c r="Z72" s="2003"/>
      <c r="AA72" s="2003"/>
      <c r="AB72" s="2003"/>
      <c r="AC72" s="2003"/>
      <c r="AM72" s="478"/>
      <c r="AN72" s="478"/>
      <c r="AO72" s="478"/>
      <c r="AP72" s="478"/>
      <c r="AQ72" s="478"/>
      <c r="AR72" s="478"/>
      <c r="AS72" s="478"/>
      <c r="AT72" s="478"/>
      <c r="AU72" s="478"/>
      <c r="AV72" s="479"/>
      <c r="AW72" s="479"/>
      <c r="AX72" s="479"/>
      <c r="AY72" s="479"/>
      <c r="AZ72" s="479"/>
      <c r="BA72" s="479"/>
      <c r="BB72" s="479"/>
      <c r="BC72" s="479"/>
      <c r="BD72" s="479"/>
    </row>
    <row r="73" spans="1:56" s="192" customFormat="1" ht="15.6" customHeight="1" x14ac:dyDescent="0.25">
      <c r="B73" s="2004" t="s">
        <v>228</v>
      </c>
      <c r="C73" s="1670"/>
      <c r="D73" s="1670"/>
      <c r="E73" s="1670"/>
      <c r="F73" s="1670"/>
      <c r="G73" s="1670"/>
      <c r="H73" s="1670"/>
      <c r="I73" s="1670"/>
      <c r="J73" s="1670"/>
      <c r="K73" s="1671"/>
      <c r="L73" s="2002">
        <f>'EFLH &amp; CF'!I62</f>
        <v>1913</v>
      </c>
      <c r="M73" s="2002"/>
      <c r="N73" s="2002"/>
      <c r="O73" s="2002"/>
      <c r="P73" s="2002"/>
      <c r="Q73" s="2002"/>
      <c r="R73" s="2002"/>
      <c r="S73" s="2002"/>
      <c r="T73" s="2002"/>
      <c r="U73" s="2003">
        <f>'EFLH &amp; CF'!M62</f>
        <v>0.28999999999999998</v>
      </c>
      <c r="V73" s="2003"/>
      <c r="W73" s="2003"/>
      <c r="X73" s="2003"/>
      <c r="Y73" s="2003"/>
      <c r="Z73" s="2003"/>
      <c r="AA73" s="2003"/>
      <c r="AB73" s="2003"/>
      <c r="AC73" s="2003"/>
      <c r="AM73" s="478"/>
      <c r="AN73" s="478"/>
      <c r="AO73" s="478"/>
      <c r="AP73" s="478"/>
      <c r="AQ73" s="478"/>
      <c r="AR73" s="478"/>
      <c r="AS73" s="478"/>
      <c r="AT73" s="478"/>
      <c r="AU73" s="478"/>
      <c r="AV73" s="479"/>
      <c r="AW73" s="479"/>
      <c r="AX73" s="479"/>
      <c r="AY73" s="479"/>
      <c r="AZ73" s="479"/>
      <c r="BA73" s="479"/>
      <c r="BB73" s="479"/>
      <c r="BC73" s="479"/>
      <c r="BD73" s="479"/>
    </row>
    <row r="74" spans="1:56" s="198" customFormat="1" ht="15.6" customHeight="1" x14ac:dyDescent="0.25">
      <c r="B74" s="2004" t="s">
        <v>229</v>
      </c>
      <c r="C74" s="1670"/>
      <c r="D74" s="1670"/>
      <c r="E74" s="1670"/>
      <c r="F74" s="1670"/>
      <c r="G74" s="1670"/>
      <c r="H74" s="1670"/>
      <c r="I74" s="1670"/>
      <c r="J74" s="1670"/>
      <c r="K74" s="1671"/>
      <c r="L74" s="2002">
        <f>'EFLH &amp; CF'!I63</f>
        <v>1033</v>
      </c>
      <c r="M74" s="2002"/>
      <c r="N74" s="2002"/>
      <c r="O74" s="2002"/>
      <c r="P74" s="2002"/>
      <c r="Q74" s="2002"/>
      <c r="R74" s="2002"/>
      <c r="S74" s="2002"/>
      <c r="T74" s="2002"/>
      <c r="U74" s="2003">
        <f>'EFLH &amp; CF'!M63</f>
        <v>0.01</v>
      </c>
      <c r="V74" s="2003"/>
      <c r="W74" s="2003"/>
      <c r="X74" s="2003"/>
      <c r="Y74" s="2003"/>
      <c r="Z74" s="2003"/>
      <c r="AA74" s="2003"/>
      <c r="AB74" s="2003"/>
      <c r="AC74" s="2003"/>
      <c r="AD74" s="192"/>
      <c r="AE74" s="192"/>
      <c r="AF74" s="192"/>
      <c r="AG74" s="192"/>
    </row>
    <row r="75" spans="1:56" s="198" customFormat="1" ht="15.6" customHeight="1" x14ac:dyDescent="0.25">
      <c r="B75" s="465" t="s">
        <v>2684</v>
      </c>
      <c r="C75" s="194"/>
      <c r="D75" s="194"/>
      <c r="E75" s="194"/>
      <c r="F75" s="194"/>
      <c r="G75" s="194"/>
      <c r="H75" s="194"/>
      <c r="I75" s="194"/>
      <c r="J75" s="194"/>
      <c r="K75" s="194"/>
      <c r="L75" s="492"/>
      <c r="M75" s="492"/>
      <c r="N75" s="492"/>
      <c r="O75" s="492"/>
      <c r="P75" s="492"/>
      <c r="Q75" s="492"/>
      <c r="R75" s="492"/>
      <c r="S75" s="492"/>
      <c r="T75" s="492"/>
      <c r="U75" s="493"/>
      <c r="V75" s="493"/>
      <c r="W75" s="493"/>
      <c r="X75" s="493"/>
      <c r="Y75" s="493"/>
      <c r="Z75" s="493"/>
      <c r="AA75" s="493"/>
      <c r="AB75" s="493"/>
      <c r="AC75" s="493"/>
      <c r="AD75" s="192"/>
      <c r="AE75" s="192"/>
      <c r="AF75" s="192"/>
      <c r="AG75" s="192"/>
    </row>
    <row r="76" spans="1:56" s="198" customFormat="1" ht="14.45" customHeight="1" x14ac:dyDescent="0.25">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row>
    <row r="77" spans="1:56" s="192" customFormat="1" ht="14.45" customHeight="1" x14ac:dyDescent="0.25">
      <c r="A77" s="1621" t="s">
        <v>2870</v>
      </c>
      <c r="B77" s="1621"/>
      <c r="C77" s="1621"/>
      <c r="D77" s="1621"/>
      <c r="E77" s="1621"/>
      <c r="F77" s="1621"/>
      <c r="G77" s="1621"/>
      <c r="H77" s="1621"/>
      <c r="I77" s="1621"/>
      <c r="J77" s="1621"/>
      <c r="K77" s="1621"/>
      <c r="L77" s="1621"/>
      <c r="M77" s="1621"/>
      <c r="N77" s="1621"/>
      <c r="O77" s="1621"/>
      <c r="P77" s="1621"/>
      <c r="Q77" s="1621"/>
      <c r="R77" s="1621"/>
      <c r="S77" s="1621"/>
      <c r="T77" s="1621"/>
      <c r="U77" s="1621"/>
      <c r="V77" s="1621"/>
      <c r="W77" s="1621"/>
      <c r="X77" s="1621"/>
      <c r="Y77" s="1621"/>
      <c r="Z77" s="1621"/>
      <c r="AA77" s="1621"/>
      <c r="AB77" s="1621"/>
      <c r="AC77" s="1621"/>
      <c r="AD77" s="1621"/>
      <c r="AE77" s="1621"/>
      <c r="AF77" s="1621"/>
    </row>
    <row r="78" spans="1:56" s="192" customFormat="1" ht="14.45" customHeight="1" x14ac:dyDescent="0.25">
      <c r="A78" s="190"/>
      <c r="B78" s="190"/>
      <c r="C78" s="190"/>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row>
    <row r="79" spans="1:56" s="192" customFormat="1" ht="39" customHeight="1" x14ac:dyDescent="0.25">
      <c r="A79" s="475">
        <v>1</v>
      </c>
      <c r="B79" s="1168" t="s">
        <v>2661</v>
      </c>
      <c r="C79" s="1168"/>
      <c r="D79" s="1168"/>
      <c r="E79" s="1168"/>
      <c r="F79" s="1168"/>
      <c r="G79" s="1168"/>
      <c r="H79" s="1168"/>
      <c r="I79" s="1168"/>
      <c r="J79" s="1168"/>
      <c r="K79" s="1168"/>
      <c r="L79" s="1168"/>
      <c r="M79" s="1168"/>
      <c r="N79" s="1168"/>
      <c r="O79" s="1168"/>
      <c r="P79" s="1168"/>
      <c r="Q79" s="1168"/>
      <c r="R79" s="1168"/>
      <c r="S79" s="1168"/>
      <c r="T79" s="1168"/>
      <c r="U79" s="1168"/>
      <c r="V79" s="1168"/>
      <c r="W79" s="1168"/>
      <c r="X79" s="1168"/>
      <c r="Y79" s="1168"/>
      <c r="Z79" s="1168"/>
      <c r="AA79" s="1168"/>
      <c r="AB79" s="1168"/>
      <c r="AC79" s="1168"/>
      <c r="AD79" s="1168"/>
      <c r="AE79" s="1168"/>
      <c r="AF79" s="1168"/>
    </row>
    <row r="80" spans="1:56" s="192" customFormat="1" ht="66.75" customHeight="1" x14ac:dyDescent="0.25">
      <c r="A80" s="475">
        <v>2</v>
      </c>
      <c r="B80" s="1168" t="s">
        <v>2991</v>
      </c>
      <c r="C80" s="1168"/>
      <c r="D80" s="1168"/>
      <c r="E80" s="1168"/>
      <c r="F80" s="1168"/>
      <c r="G80" s="1168"/>
      <c r="H80" s="1168"/>
      <c r="I80" s="1168"/>
      <c r="J80" s="1168"/>
      <c r="K80" s="1168"/>
      <c r="L80" s="1168"/>
      <c r="M80" s="1168"/>
      <c r="N80" s="1168"/>
      <c r="O80" s="1168"/>
      <c r="P80" s="1168"/>
      <c r="Q80" s="1168"/>
      <c r="R80" s="1168"/>
      <c r="S80" s="1168"/>
      <c r="T80" s="1168"/>
      <c r="U80" s="1168"/>
      <c r="V80" s="1168"/>
      <c r="W80" s="1168"/>
      <c r="X80" s="1168"/>
      <c r="Y80" s="1168"/>
      <c r="Z80" s="1168"/>
      <c r="AA80" s="1168"/>
      <c r="AB80" s="1168"/>
      <c r="AC80" s="1168"/>
      <c r="AD80" s="1168"/>
      <c r="AE80" s="1168"/>
      <c r="AF80" s="1168"/>
    </row>
    <row r="81" spans="1:73" s="192" customFormat="1" ht="174" customHeight="1" x14ac:dyDescent="0.25">
      <c r="A81" s="475">
        <v>3</v>
      </c>
      <c r="B81" s="1168" t="s">
        <v>2950</v>
      </c>
      <c r="C81" s="1168"/>
      <c r="D81" s="1168"/>
      <c r="E81" s="1168"/>
      <c r="F81" s="1168"/>
      <c r="G81" s="1168"/>
      <c r="H81" s="1168"/>
      <c r="I81" s="1168"/>
      <c r="J81" s="1168"/>
      <c r="K81" s="1168"/>
      <c r="L81" s="1168"/>
      <c r="M81" s="1168"/>
      <c r="N81" s="1168"/>
      <c r="O81" s="1168"/>
      <c r="P81" s="1168"/>
      <c r="Q81" s="1168"/>
      <c r="R81" s="1168"/>
      <c r="S81" s="1168"/>
      <c r="T81" s="1168"/>
      <c r="U81" s="1168"/>
      <c r="V81" s="1168"/>
      <c r="W81" s="1168"/>
      <c r="X81" s="1168"/>
      <c r="Y81" s="1168"/>
      <c r="Z81" s="1168"/>
      <c r="AA81" s="1168"/>
      <c r="AB81" s="1168"/>
      <c r="AC81" s="1168"/>
      <c r="AD81" s="1168"/>
      <c r="AE81" s="1168"/>
      <c r="AF81" s="1168"/>
    </row>
    <row r="82" spans="1:73" s="192" customFormat="1" ht="66.75" customHeight="1" x14ac:dyDescent="0.25">
      <c r="A82" s="475">
        <v>4</v>
      </c>
      <c r="B82" s="1168" t="s">
        <v>2664</v>
      </c>
      <c r="C82" s="1168"/>
      <c r="D82" s="1168"/>
      <c r="E82" s="1168"/>
      <c r="F82" s="1168"/>
      <c r="G82" s="1168"/>
      <c r="H82" s="1168"/>
      <c r="I82" s="1168"/>
      <c r="J82" s="1168"/>
      <c r="K82" s="1168"/>
      <c r="L82" s="1168"/>
      <c r="M82" s="1168"/>
      <c r="N82" s="1168"/>
      <c r="O82" s="1168"/>
      <c r="P82" s="1168"/>
      <c r="Q82" s="1168"/>
      <c r="R82" s="1168"/>
      <c r="S82" s="1168"/>
      <c r="T82" s="1168"/>
      <c r="U82" s="1168"/>
      <c r="V82" s="1168"/>
      <c r="W82" s="1168"/>
      <c r="X82" s="1168"/>
      <c r="Y82" s="1168"/>
      <c r="Z82" s="1168"/>
      <c r="AA82" s="1168"/>
      <c r="AB82" s="1168"/>
      <c r="AC82" s="1168"/>
      <c r="AD82" s="1168"/>
      <c r="AE82" s="1168"/>
      <c r="AF82" s="1168"/>
    </row>
    <row r="83" spans="1:73" s="192" customFormat="1" ht="14.45" customHeight="1" x14ac:dyDescent="0.25"/>
    <row r="84" spans="1:73" s="192" customFormat="1" x14ac:dyDescent="0.25">
      <c r="A84" s="1621" t="s">
        <v>2871</v>
      </c>
      <c r="B84" s="1621"/>
      <c r="C84" s="1621"/>
      <c r="D84" s="1621"/>
      <c r="E84" s="1621"/>
      <c r="F84" s="1621"/>
      <c r="G84" s="1621"/>
      <c r="H84" s="1621"/>
      <c r="I84" s="1621"/>
      <c r="J84" s="1621"/>
      <c r="K84" s="1621"/>
      <c r="L84" s="1621"/>
      <c r="M84" s="1621"/>
      <c r="N84" s="1621"/>
      <c r="O84" s="1621"/>
      <c r="P84" s="1621"/>
      <c r="Q84" s="1621"/>
      <c r="R84" s="1621"/>
      <c r="S84" s="1621"/>
      <c r="T84" s="1621"/>
      <c r="U84" s="1621"/>
      <c r="V84" s="1621"/>
      <c r="W84" s="1621"/>
      <c r="X84" s="1621"/>
      <c r="Y84" s="1621"/>
      <c r="Z84" s="1621"/>
      <c r="AA84" s="1621"/>
      <c r="AB84" s="1621"/>
      <c r="AC84" s="1621"/>
      <c r="AD84" s="1621"/>
      <c r="AE84" s="1621"/>
      <c r="AF84" s="1621"/>
    </row>
    <row r="85" spans="1:73" s="192" customFormat="1" x14ac:dyDescent="0.25">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98"/>
      <c r="AE85" s="198"/>
      <c r="AF85" s="198"/>
    </row>
    <row r="86" spans="1:73" s="192" customFormat="1" ht="68.25" customHeight="1" x14ac:dyDescent="0.25">
      <c r="A86" s="515" t="s">
        <v>1013</v>
      </c>
      <c r="B86" s="1168" t="s">
        <v>5206</v>
      </c>
      <c r="C86" s="1168"/>
      <c r="D86" s="1168"/>
      <c r="E86" s="1168"/>
      <c r="F86" s="1168"/>
      <c r="G86" s="1168"/>
      <c r="H86" s="1168"/>
      <c r="I86" s="1168"/>
      <c r="J86" s="1168"/>
      <c r="K86" s="1168"/>
      <c r="L86" s="1168"/>
      <c r="M86" s="1168"/>
      <c r="N86" s="1168"/>
      <c r="O86" s="1168"/>
      <c r="P86" s="1168"/>
      <c r="Q86" s="1168"/>
      <c r="R86" s="1168"/>
      <c r="S86" s="1168"/>
      <c r="T86" s="1168"/>
      <c r="U86" s="1168"/>
      <c r="V86" s="1168"/>
      <c r="W86" s="1168"/>
      <c r="X86" s="1168"/>
      <c r="Y86" s="1168"/>
      <c r="Z86" s="1168"/>
      <c r="AA86" s="1168"/>
      <c r="AB86" s="1168"/>
      <c r="AC86" s="1168"/>
      <c r="AD86" s="1168"/>
      <c r="AE86" s="1168"/>
      <c r="AF86" s="1168"/>
    </row>
    <row r="87" spans="1:73" s="692" customFormat="1" ht="35.25" customHeight="1" x14ac:dyDescent="0.25">
      <c r="A87" s="517" t="s">
        <v>1013</v>
      </c>
      <c r="B87" s="1168" t="s">
        <v>5207</v>
      </c>
      <c r="C87" s="1168"/>
      <c r="D87" s="1168"/>
      <c r="E87" s="1168"/>
      <c r="F87" s="1168"/>
      <c r="G87" s="1168"/>
      <c r="H87" s="1168"/>
      <c r="I87" s="1168"/>
      <c r="J87" s="1168"/>
      <c r="K87" s="1168"/>
      <c r="L87" s="1168"/>
      <c r="M87" s="1168"/>
      <c r="N87" s="1168"/>
      <c r="O87" s="1168"/>
      <c r="P87" s="1168"/>
      <c r="Q87" s="1168"/>
      <c r="R87" s="1168"/>
      <c r="S87" s="1168"/>
      <c r="T87" s="1168"/>
      <c r="U87" s="1168"/>
      <c r="V87" s="1168"/>
      <c r="W87" s="1168"/>
      <c r="X87" s="1168"/>
      <c r="Y87" s="1168"/>
      <c r="Z87" s="1168"/>
      <c r="AA87" s="1168"/>
      <c r="AB87" s="1168"/>
      <c r="AC87" s="1168"/>
      <c r="AD87" s="1168"/>
      <c r="AE87" s="1168"/>
      <c r="AF87" s="1168"/>
      <c r="AG87" s="192"/>
      <c r="AH87" s="192"/>
      <c r="AI87" s="192"/>
      <c r="AJ87" s="192"/>
      <c r="AK87" s="192"/>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s="692" customFormat="1" ht="66.75" customHeight="1" x14ac:dyDescent="0.25">
      <c r="A88" s="517" t="s">
        <v>1013</v>
      </c>
      <c r="B88" s="1168" t="s">
        <v>2664</v>
      </c>
      <c r="C88" s="1168"/>
      <c r="D88" s="1168"/>
      <c r="E88" s="1168"/>
      <c r="F88" s="1168"/>
      <c r="G88" s="1168"/>
      <c r="H88" s="1168"/>
      <c r="I88" s="1168"/>
      <c r="J88" s="1168"/>
      <c r="K88" s="1168"/>
      <c r="L88" s="1168"/>
      <c r="M88" s="1168"/>
      <c r="N88" s="1168"/>
      <c r="O88" s="1168"/>
      <c r="P88" s="1168"/>
      <c r="Q88" s="1168"/>
      <c r="R88" s="1168"/>
      <c r="S88" s="1168"/>
      <c r="T88" s="1168"/>
      <c r="U88" s="1168"/>
      <c r="V88" s="1168"/>
      <c r="W88" s="1168"/>
      <c r="X88" s="1168"/>
      <c r="Y88" s="1168"/>
      <c r="Z88" s="1168"/>
      <c r="AA88" s="1168"/>
      <c r="AB88" s="1168"/>
      <c r="AC88" s="1168"/>
      <c r="AD88" s="1168"/>
      <c r="AE88" s="1168"/>
      <c r="AF88" s="1168"/>
      <c r="AG88" s="192"/>
      <c r="AH88" s="192"/>
      <c r="AI88" s="192"/>
      <c r="AJ88" s="192"/>
      <c r="AK88" s="192"/>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s="192" customFormat="1" ht="61.5" customHeight="1" x14ac:dyDescent="0.25">
      <c r="A89" s="517" t="s">
        <v>1013</v>
      </c>
      <c r="B89" s="1168" t="s">
        <v>2872</v>
      </c>
      <c r="C89" s="1168"/>
      <c r="D89" s="1168"/>
      <c r="E89" s="1168"/>
      <c r="F89" s="1168"/>
      <c r="G89" s="1168"/>
      <c r="H89" s="1168"/>
      <c r="I89" s="1168"/>
      <c r="J89" s="1168"/>
      <c r="K89" s="1168"/>
      <c r="L89" s="1168"/>
      <c r="M89" s="1168"/>
      <c r="N89" s="1168"/>
      <c r="O89" s="1168"/>
      <c r="P89" s="1168"/>
      <c r="Q89" s="1168"/>
      <c r="R89" s="1168"/>
      <c r="S89" s="1168"/>
      <c r="T89" s="1168"/>
      <c r="U89" s="1168"/>
      <c r="V89" s="1168"/>
      <c r="W89" s="1168"/>
      <c r="X89" s="1168"/>
      <c r="Y89" s="1168"/>
      <c r="Z89" s="1168"/>
      <c r="AA89" s="1168"/>
      <c r="AB89" s="1168"/>
      <c r="AC89" s="1168"/>
      <c r="AD89" s="1168"/>
      <c r="AE89" s="1168"/>
      <c r="AF89" s="1168"/>
    </row>
    <row r="90" spans="1:73" s="192" customFormat="1" ht="34.5" customHeight="1" x14ac:dyDescent="0.25">
      <c r="A90" s="517" t="s">
        <v>1013</v>
      </c>
      <c r="B90" s="1168" t="s">
        <v>2662</v>
      </c>
      <c r="C90" s="1168"/>
      <c r="D90" s="1168"/>
      <c r="E90" s="1168"/>
      <c r="F90" s="1168"/>
      <c r="G90" s="1168"/>
      <c r="H90" s="1168"/>
      <c r="I90" s="1168"/>
      <c r="J90" s="1168"/>
      <c r="K90" s="1168"/>
      <c r="L90" s="1168"/>
      <c r="M90" s="1168"/>
      <c r="N90" s="1168"/>
      <c r="O90" s="1168"/>
      <c r="P90" s="1168"/>
      <c r="Q90" s="1168"/>
      <c r="R90" s="1168"/>
      <c r="S90" s="1168"/>
      <c r="T90" s="1168"/>
      <c r="U90" s="1168"/>
      <c r="V90" s="1168"/>
      <c r="W90" s="1168"/>
      <c r="X90" s="1168"/>
      <c r="Y90" s="1168"/>
      <c r="Z90" s="1168"/>
      <c r="AA90" s="1168"/>
      <c r="AB90" s="1168"/>
      <c r="AC90" s="1168"/>
      <c r="AD90" s="1168"/>
      <c r="AE90" s="1168"/>
      <c r="AF90" s="1168"/>
    </row>
    <row r="91" spans="1:73" s="192" customFormat="1" ht="34.5" customHeight="1" x14ac:dyDescent="0.25">
      <c r="A91" s="517" t="s">
        <v>1013</v>
      </c>
      <c r="B91" s="1168" t="s">
        <v>2663</v>
      </c>
      <c r="C91" s="1168"/>
      <c r="D91" s="1168"/>
      <c r="E91" s="1168"/>
      <c r="F91" s="1168"/>
      <c r="G91" s="1168"/>
      <c r="H91" s="1168"/>
      <c r="I91" s="1168"/>
      <c r="J91" s="1168"/>
      <c r="K91" s="1168"/>
      <c r="L91" s="1168"/>
      <c r="M91" s="1168"/>
      <c r="N91" s="1168"/>
      <c r="O91" s="1168"/>
      <c r="P91" s="1168"/>
      <c r="Q91" s="1168"/>
      <c r="R91" s="1168"/>
      <c r="S91" s="1168"/>
      <c r="T91" s="1168"/>
      <c r="U91" s="1168"/>
      <c r="V91" s="1168"/>
      <c r="W91" s="1168"/>
      <c r="X91" s="1168"/>
      <c r="Y91" s="1168"/>
      <c r="Z91" s="1168"/>
      <c r="AA91" s="1168"/>
      <c r="AB91" s="1168"/>
      <c r="AC91" s="1168"/>
      <c r="AD91" s="1168"/>
      <c r="AE91" s="1168"/>
      <c r="AF91" s="1168"/>
    </row>
    <row r="92" spans="1:73" s="692" customFormat="1" ht="63.75" customHeight="1" x14ac:dyDescent="0.25">
      <c r="A92" s="517" t="s">
        <v>1013</v>
      </c>
      <c r="B92" s="1168" t="s">
        <v>5208</v>
      </c>
      <c r="C92" s="1168"/>
      <c r="D92" s="1168"/>
      <c r="E92" s="1168"/>
      <c r="F92" s="1168"/>
      <c r="G92" s="1168"/>
      <c r="H92" s="1168"/>
      <c r="I92" s="1168"/>
      <c r="J92" s="1168"/>
      <c r="K92" s="1168"/>
      <c r="L92" s="1168"/>
      <c r="M92" s="1168"/>
      <c r="N92" s="1168"/>
      <c r="O92" s="1168"/>
      <c r="P92" s="1168"/>
      <c r="Q92" s="1168"/>
      <c r="R92" s="1168"/>
      <c r="S92" s="1168"/>
      <c r="T92" s="1168"/>
      <c r="U92" s="1168"/>
      <c r="V92" s="1168"/>
      <c r="W92" s="1168"/>
      <c r="X92" s="1168"/>
      <c r="Y92" s="1168"/>
      <c r="Z92" s="1168"/>
      <c r="AA92" s="1168"/>
      <c r="AB92" s="1168"/>
      <c r="AC92" s="1168"/>
      <c r="AD92" s="1168"/>
      <c r="AE92" s="1168"/>
      <c r="AF92" s="1168"/>
      <c r="AG92" s="192"/>
      <c r="AH92" s="192"/>
      <c r="AI92" s="192"/>
      <c r="AJ92" s="192"/>
      <c r="AK92" s="1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s="692" customFormat="1" ht="36" customHeight="1" x14ac:dyDescent="0.25">
      <c r="A93" s="517" t="s">
        <v>1013</v>
      </c>
      <c r="B93" s="1168" t="s">
        <v>2661</v>
      </c>
      <c r="C93" s="1168"/>
      <c r="D93" s="1168"/>
      <c r="E93" s="1168"/>
      <c r="F93" s="1168"/>
      <c r="G93" s="1168"/>
      <c r="H93" s="1168"/>
      <c r="I93" s="1168"/>
      <c r="J93" s="1168"/>
      <c r="K93" s="1168"/>
      <c r="L93" s="1168"/>
      <c r="M93" s="1168"/>
      <c r="N93" s="1168"/>
      <c r="O93" s="1168"/>
      <c r="P93" s="1168"/>
      <c r="Q93" s="1168"/>
      <c r="R93" s="1168"/>
      <c r="S93" s="1168"/>
      <c r="T93" s="1168"/>
      <c r="U93" s="1168"/>
      <c r="V93" s="1168"/>
      <c r="W93" s="1168"/>
      <c r="X93" s="1168"/>
      <c r="Y93" s="1168"/>
      <c r="Z93" s="1168"/>
      <c r="AA93" s="1168"/>
      <c r="AB93" s="1168"/>
      <c r="AC93" s="1168"/>
      <c r="AD93" s="1168"/>
      <c r="AE93" s="1168"/>
      <c r="AF93" s="1168"/>
      <c r="AG93" s="192"/>
      <c r="AH93" s="192"/>
      <c r="AI93" s="192"/>
      <c r="AJ93" s="192"/>
      <c r="AK93" s="192"/>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s="192" customFormat="1" x14ac:dyDescent="0.25"/>
    <row r="95" spans="1:73" s="192" customFormat="1" x14ac:dyDescent="0.25"/>
    <row r="96" spans="1:73" s="192" customFormat="1" x14ac:dyDescent="0.25"/>
    <row r="97" s="192" customFormat="1" x14ac:dyDescent="0.25"/>
    <row r="98" s="192" customFormat="1" x14ac:dyDescent="0.25"/>
    <row r="99" s="192" customFormat="1" x14ac:dyDescent="0.25"/>
    <row r="100" s="192" customFormat="1" x14ac:dyDescent="0.25"/>
    <row r="101" s="192" customFormat="1" x14ac:dyDescent="0.25"/>
    <row r="102" s="192" customFormat="1" x14ac:dyDescent="0.25"/>
    <row r="103" s="192" customFormat="1" x14ac:dyDescent="0.25"/>
    <row r="104" s="192" customFormat="1" x14ac:dyDescent="0.25"/>
    <row r="105" s="192" customFormat="1" x14ac:dyDescent="0.25"/>
    <row r="106" s="192" customFormat="1" x14ac:dyDescent="0.25"/>
    <row r="107" s="192" customFormat="1" x14ac:dyDescent="0.25"/>
    <row r="108" s="192" customFormat="1" x14ac:dyDescent="0.25"/>
    <row r="109" s="192" customFormat="1" x14ac:dyDescent="0.25"/>
    <row r="110" s="192" customFormat="1" x14ac:dyDescent="0.25"/>
    <row r="111" s="192" customFormat="1" x14ac:dyDescent="0.25"/>
    <row r="112" s="192" customFormat="1" x14ac:dyDescent="0.25"/>
    <row r="113" s="192" customFormat="1" x14ac:dyDescent="0.25"/>
    <row r="114" s="192" customFormat="1" x14ac:dyDescent="0.25"/>
    <row r="115" s="192" customFormat="1" x14ac:dyDescent="0.25"/>
    <row r="116" s="192" customFormat="1" x14ac:dyDescent="0.25"/>
    <row r="117" s="192" customFormat="1" x14ac:dyDescent="0.25"/>
    <row r="118" s="192" customFormat="1" x14ac:dyDescent="0.25"/>
    <row r="119" s="192" customFormat="1" x14ac:dyDescent="0.25"/>
    <row r="120" s="192" customFormat="1" x14ac:dyDescent="0.25"/>
    <row r="121" s="192" customFormat="1" x14ac:dyDescent="0.25"/>
    <row r="122" s="192" customFormat="1" x14ac:dyDescent="0.25"/>
    <row r="123" s="192" customFormat="1" x14ac:dyDescent="0.25"/>
    <row r="124" s="192" customFormat="1" x14ac:dyDescent="0.25"/>
    <row r="125" s="192" customFormat="1" x14ac:dyDescent="0.25"/>
    <row r="126" s="192" customFormat="1" x14ac:dyDescent="0.25"/>
    <row r="127" s="192" customFormat="1" x14ac:dyDescent="0.25"/>
    <row r="128" s="192" customFormat="1" x14ac:dyDescent="0.25"/>
    <row r="129" spans="1:32" s="192" customFormat="1" x14ac:dyDescent="0.25"/>
    <row r="130" spans="1:32" s="8" customFormat="1" x14ac:dyDescent="0.25"/>
    <row r="131" spans="1:32" s="8" customFormat="1" x14ac:dyDescent="0.25"/>
    <row r="132" spans="1:32" s="8" customFormat="1" x14ac:dyDescent="0.25"/>
    <row r="133" spans="1:32" s="8" customFormat="1" x14ac:dyDescent="0.25"/>
    <row r="134" spans="1:32" s="8" customFormat="1" x14ac:dyDescent="0.25"/>
    <row r="135" spans="1:32" s="8" customFormat="1" x14ac:dyDescent="0.25"/>
    <row r="136" spans="1:32" s="8" customFormat="1" x14ac:dyDescent="0.25"/>
    <row r="137" spans="1:32"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x14ac:dyDescent="0.25">
      <c r="A156" s="184"/>
      <c r="B156" s="184"/>
      <c r="C156" s="184"/>
      <c r="D156" s="184"/>
      <c r="E156" s="184"/>
      <c r="F156" s="184"/>
      <c r="G156" s="184"/>
      <c r="H156" s="184"/>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x14ac:dyDescent="0.25">
      <c r="A157" s="245"/>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sheetData>
  <sheetProtection algorithmName="SHA-512" hashValue="OGGvaDBlFt6Wn0VnviDPRLWLdqg/eHd+/xqW81H0Ej/PfaYnrF53bg7X/uho71jQKZ7XOIKc6P8ZR7A2AZgneA==" saltValue="wZvtYGF6u0a/kXUySHOEew==" spinCount="100000" sheet="1" objects="1" scenarios="1"/>
  <mergeCells count="112">
    <mergeCell ref="B92:AF92"/>
    <mergeCell ref="B93:AF93"/>
    <mergeCell ref="U54:W54"/>
    <mergeCell ref="X54:AF54"/>
    <mergeCell ref="B65:K65"/>
    <mergeCell ref="B66:K66"/>
    <mergeCell ref="B67:K67"/>
    <mergeCell ref="B68:K68"/>
    <mergeCell ref="B69:K69"/>
    <mergeCell ref="B70:K70"/>
    <mergeCell ref="B71:K71"/>
    <mergeCell ref="L70:T70"/>
    <mergeCell ref="U70:AC70"/>
    <mergeCell ref="L67:T67"/>
    <mergeCell ref="U67:AC67"/>
    <mergeCell ref="L68:T68"/>
    <mergeCell ref="U68:AC68"/>
    <mergeCell ref="L64:T64"/>
    <mergeCell ref="U64:AC64"/>
    <mergeCell ref="L66:T66"/>
    <mergeCell ref="U66:AC66"/>
    <mergeCell ref="B91:AF91"/>
    <mergeCell ref="L71:T71"/>
    <mergeCell ref="U71:AC71"/>
    <mergeCell ref="B5:AF5"/>
    <mergeCell ref="B12:AF12"/>
    <mergeCell ref="B25:AF27"/>
    <mergeCell ref="A58:M58"/>
    <mergeCell ref="N58:V58"/>
    <mergeCell ref="B63:K63"/>
    <mergeCell ref="A7:AF7"/>
    <mergeCell ref="B19:AF19"/>
    <mergeCell ref="B22:AF22"/>
    <mergeCell ref="B15:AF16"/>
    <mergeCell ref="A57:AF57"/>
    <mergeCell ref="B60:AF60"/>
    <mergeCell ref="L63:T63"/>
    <mergeCell ref="U63:AC63"/>
    <mergeCell ref="A54:D54"/>
    <mergeCell ref="E54:P54"/>
    <mergeCell ref="Q54:T54"/>
    <mergeCell ref="A31:AF31"/>
    <mergeCell ref="A45:AF45"/>
    <mergeCell ref="B29:AF29"/>
    <mergeCell ref="Q46:T46"/>
    <mergeCell ref="X51:AF51"/>
    <mergeCell ref="A50:D50"/>
    <mergeCell ref="B80:AF80"/>
    <mergeCell ref="B81:AF81"/>
    <mergeCell ref="B82:AF82"/>
    <mergeCell ref="A77:AF77"/>
    <mergeCell ref="A84:AF84"/>
    <mergeCell ref="B86:AF86"/>
    <mergeCell ref="L65:T65"/>
    <mergeCell ref="U65:AC65"/>
    <mergeCell ref="L74:T74"/>
    <mergeCell ref="U74:AC74"/>
    <mergeCell ref="L72:T72"/>
    <mergeCell ref="U72:AC72"/>
    <mergeCell ref="L73:T73"/>
    <mergeCell ref="U73:AC73"/>
    <mergeCell ref="B72:K72"/>
    <mergeCell ref="B73:K73"/>
    <mergeCell ref="B74:K74"/>
    <mergeCell ref="B89:AF89"/>
    <mergeCell ref="B90:AF90"/>
    <mergeCell ref="E50:P50"/>
    <mergeCell ref="Q50:T50"/>
    <mergeCell ref="U50:W50"/>
    <mergeCell ref="X50:AF50"/>
    <mergeCell ref="Q47:T47"/>
    <mergeCell ref="U47:W47"/>
    <mergeCell ref="X47:AF47"/>
    <mergeCell ref="A47:D47"/>
    <mergeCell ref="E47:P47"/>
    <mergeCell ref="X49:AF49"/>
    <mergeCell ref="Q49:T49"/>
    <mergeCell ref="U49:W49"/>
    <mergeCell ref="A49:D49"/>
    <mergeCell ref="E49:P49"/>
    <mergeCell ref="E53:P53"/>
    <mergeCell ref="Q53:T53"/>
    <mergeCell ref="L69:T69"/>
    <mergeCell ref="U69:AC69"/>
    <mergeCell ref="B64:K64"/>
    <mergeCell ref="B87:AF87"/>
    <mergeCell ref="B88:AF88"/>
    <mergeCell ref="B79:AF79"/>
    <mergeCell ref="A1:AF1"/>
    <mergeCell ref="A3:AF3"/>
    <mergeCell ref="B10:AF10"/>
    <mergeCell ref="X52:AF52"/>
    <mergeCell ref="A53:D53"/>
    <mergeCell ref="A52:D52"/>
    <mergeCell ref="E52:P52"/>
    <mergeCell ref="Q52:T52"/>
    <mergeCell ref="U52:W52"/>
    <mergeCell ref="U53:W53"/>
    <mergeCell ref="X53:AF53"/>
    <mergeCell ref="A48:D48"/>
    <mergeCell ref="E48:P48"/>
    <mergeCell ref="Q48:T48"/>
    <mergeCell ref="U48:W48"/>
    <mergeCell ref="X48:AF48"/>
    <mergeCell ref="A51:D51"/>
    <mergeCell ref="U46:W46"/>
    <mergeCell ref="X46:AF46"/>
    <mergeCell ref="E51:P51"/>
    <mergeCell ref="Q51:T51"/>
    <mergeCell ref="U51:W51"/>
    <mergeCell ref="A46:D46"/>
    <mergeCell ref="E46:P46"/>
  </mergeCells>
  <hyperlinks>
    <hyperlink ref="A2" location="TOC!A1" display="Return to TOC" xr:uid="{00000000-0004-0000-1F00-000000000000}"/>
    <hyperlink ref="N58:V58" location="C_HVAC_Chiller_WKST!A1" display="(C_HVAC_Chiller_WKST)" xr:uid="{00000000-0004-0000-1F00-000001000000}"/>
    <hyperlink ref="Q48:T48" location="C_HVAC_Chiller_WKST!A1" display="See Chiller Worksheet" xr:uid="{00000000-0004-0000-1F00-000002000000}"/>
    <hyperlink ref="Q50:T50" location="C_HVAC_Chiller_WKST!A1" display="See Chiller Worksheet" xr:uid="{00000000-0004-0000-1F00-000003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5:AF43" numberStoredAsText="1"/>
  </ignoredErrors>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2">
    <tabColor theme="9" tint="0.79998168889431442"/>
    <pageSetUpPr autoPageBreaks="0" fitToPage="1"/>
  </sheetPr>
  <dimension ref="A1:T539"/>
  <sheetViews>
    <sheetView showGridLines="0" zoomScaleNormal="100" workbookViewId="0"/>
  </sheetViews>
  <sheetFormatPr defaultColWidth="8.85546875" defaultRowHeight="15" x14ac:dyDescent="0.25"/>
  <cols>
    <col min="2" max="2" width="1.85546875" customWidth="1"/>
    <col min="3" max="3" width="12.140625" customWidth="1"/>
    <col min="4" max="4" width="17.7109375" customWidth="1"/>
    <col min="5" max="5" width="5.7109375" bestFit="1" customWidth="1"/>
    <col min="6" max="11" width="14.7109375" customWidth="1"/>
    <col min="12" max="12" width="9" hidden="1" customWidth="1"/>
    <col min="13" max="13" width="6.7109375" hidden="1" customWidth="1"/>
    <col min="14" max="14" width="11.5703125" hidden="1" customWidth="1"/>
    <col min="15" max="15" width="10.5703125" hidden="1" customWidth="1"/>
    <col min="16" max="16" width="12.5703125" hidden="1" customWidth="1"/>
    <col min="17" max="17" width="4.5703125" hidden="1" customWidth="1"/>
    <col min="18" max="18" width="7.28515625" hidden="1" customWidth="1"/>
    <col min="19" max="20" width="8.85546875" hidden="1" customWidth="1"/>
  </cols>
  <sheetData>
    <row r="1" spans="1:20" ht="24.6" customHeight="1" x14ac:dyDescent="0.3">
      <c r="A1" s="644" t="s">
        <v>3737</v>
      </c>
      <c r="B1" s="644"/>
      <c r="C1" s="644"/>
      <c r="D1" s="644"/>
      <c r="E1" s="644"/>
      <c r="F1" s="644"/>
      <c r="G1" s="644"/>
      <c r="H1" s="644"/>
      <c r="I1" s="644"/>
      <c r="J1" s="644"/>
      <c r="K1" s="644"/>
      <c r="L1" s="644"/>
      <c r="M1" s="644"/>
      <c r="N1" s="644"/>
      <c r="O1" s="644"/>
      <c r="P1" s="644"/>
      <c r="Q1" s="644"/>
      <c r="R1" s="644"/>
      <c r="S1" s="644"/>
      <c r="T1" s="644"/>
    </row>
    <row r="2" spans="1:20" x14ac:dyDescent="0.25">
      <c r="A2" s="376" t="s">
        <v>1702</v>
      </c>
      <c r="D2" s="34"/>
      <c r="T2" s="227"/>
    </row>
    <row r="3" spans="1:20" s="423" customFormat="1" x14ac:dyDescent="0.25">
      <c r="A3" s="420"/>
      <c r="B3" s="420"/>
      <c r="C3" s="2016" t="s">
        <v>5213</v>
      </c>
      <c r="D3" s="2016"/>
      <c r="E3" s="421"/>
      <c r="F3" s="2015" t="s">
        <v>1284</v>
      </c>
      <c r="G3" s="2015"/>
      <c r="H3" s="421"/>
      <c r="I3" s="2015" t="s">
        <v>1424</v>
      </c>
      <c r="J3" s="2015"/>
      <c r="K3" s="422"/>
      <c r="L3" s="422"/>
      <c r="M3" s="421"/>
      <c r="N3" s="421"/>
      <c r="O3" s="421"/>
      <c r="P3" s="421"/>
      <c r="Q3" s="421"/>
      <c r="R3" s="421"/>
      <c r="T3" s="227"/>
    </row>
    <row r="4" spans="1:20" s="227" customFormat="1" x14ac:dyDescent="0.25">
      <c r="A4" s="424"/>
      <c r="B4" s="424"/>
      <c r="C4" s="425"/>
      <c r="D4" s="425"/>
      <c r="E4" s="426"/>
      <c r="F4" s="841" t="s">
        <v>2241</v>
      </c>
      <c r="G4" s="428" t="s">
        <v>2242</v>
      </c>
      <c r="H4" s="428" t="s">
        <v>2243</v>
      </c>
      <c r="I4" s="426"/>
      <c r="J4" s="426"/>
      <c r="K4" s="426"/>
      <c r="L4" s="426"/>
      <c r="M4" s="426"/>
      <c r="N4" s="426"/>
      <c r="O4" s="426"/>
      <c r="P4" s="426"/>
    </row>
    <row r="5" spans="1:20" s="227" customFormat="1" x14ac:dyDescent="0.25">
      <c r="A5" s="424"/>
      <c r="B5" s="424"/>
      <c r="C5" s="429" t="s">
        <v>1280</v>
      </c>
      <c r="D5" s="1066" t="s">
        <v>1285</v>
      </c>
      <c r="E5" s="426"/>
      <c r="F5" s="429" t="s">
        <v>2244</v>
      </c>
      <c r="G5" s="430" t="str">
        <f>IF( AND($D$5="pd", R23=3), "pass",
IF(  AND($D$5="centrifugal", R23=13), "pass",
(IF(  AND($D$5="air-cooled", R23=44), "pass", "fail"))))</f>
        <v>pass</v>
      </c>
      <c r="H5" s="430" t="str">
        <f>IF( AND($D$5="pd", R65=3), "pass",
IF(  AND($D$5="centrifugal", R65=13), "pass",
(IF(  AND($D$5="air-cooled", R65=44), "pass", "fail"))))</f>
        <v>pass</v>
      </c>
      <c r="I5" s="429" t="s">
        <v>1283</v>
      </c>
      <c r="J5" s="2017">
        <f>INDEX(C_HVAC_Chiller!$U$64:$U$74,MATCH(C_HVAC_Chiller_WKST!$D$7,C_HVAC_Chiller!$B$64:$B$74,0),1)</f>
        <v>0.38</v>
      </c>
      <c r="K5" s="2017"/>
      <c r="L5" s="431"/>
      <c r="M5" s="426"/>
      <c r="N5" s="426"/>
      <c r="O5" s="426"/>
      <c r="P5" s="426"/>
    </row>
    <row r="6" spans="1:20" s="227" customFormat="1" x14ac:dyDescent="0.25">
      <c r="A6" s="424"/>
      <c r="B6" s="424"/>
      <c r="C6" s="429" t="s">
        <v>4647</v>
      </c>
      <c r="D6" s="1067">
        <v>290</v>
      </c>
      <c r="E6" s="426"/>
      <c r="F6" s="427" t="s">
        <v>2245</v>
      </c>
      <c r="G6" s="430" t="str">
        <f>IF( AND($D$5="pd", R24=9), "pass",
IF(  AND($D$5="centrifugal", R24=21), "pass",
(IF(  AND($D$5="air-cooled", R24=70), "pass", "fail"))))</f>
        <v>fail</v>
      </c>
      <c r="H6" s="430" t="str">
        <f>IF( AND($D$5="pd", R66=9), "pass",
IF(  AND($D$5="centrifugal", R66=21), "pass",
(IF(  AND($D$5="air-cooled", R66=70), "pass", "fail"))))</f>
        <v>fail</v>
      </c>
      <c r="I6" s="429" t="s">
        <v>1282</v>
      </c>
      <c r="J6" s="2018">
        <f>INDEX(C_HVAC_Chiller!$L$64:$L$74,MATCH(C_HVAC_Chiller_WKST!$D$7,C_HVAC_Chiller!$B$64:$B$74,0),1)</f>
        <v>2594</v>
      </c>
      <c r="K6" s="2018"/>
      <c r="L6" s="432"/>
      <c r="M6" s="426"/>
      <c r="N6" s="433" t="s">
        <v>1287</v>
      </c>
      <c r="O6" s="426" t="s">
        <v>2246</v>
      </c>
      <c r="P6" s="426" t="s">
        <v>2247</v>
      </c>
      <c r="Q6" s="426" t="s">
        <v>2248</v>
      </c>
      <c r="R6" s="426"/>
    </row>
    <row r="7" spans="1:20" s="227" customFormat="1" x14ac:dyDescent="0.25">
      <c r="B7" s="424"/>
      <c r="C7" s="429" t="s">
        <v>1279</v>
      </c>
      <c r="D7" s="1066" t="s">
        <v>1984</v>
      </c>
      <c r="E7" s="426"/>
      <c r="F7" s="424"/>
      <c r="G7" s="424"/>
      <c r="H7" s="424"/>
      <c r="I7" s="429" t="s">
        <v>2249</v>
      </c>
      <c r="J7" s="2008" t="str">
        <f>IF(AND(G5="pass",G6="pass"),$N$11,IF(AND(G5="fail",G6="pass"),$N$12,IF(AND($G$5="fail",$G$6="fail"),"Does Not Meet Requirements",$N$11)))</f>
        <v>Path A</v>
      </c>
      <c r="K7" s="2008"/>
      <c r="L7" s="431"/>
      <c r="M7" s="426"/>
      <c r="N7" s="434" t="s">
        <v>1286</v>
      </c>
      <c r="O7" s="435" t="str">
        <f>"F"&amp;ROW($F$34)&amp;":J"&amp;ROW($F$37)</f>
        <v>F34:J37</v>
      </c>
      <c r="P7" s="426">
        <f>IF($D$6&gt;=600,5,IF($D$6&gt;=300,4,IF($D$6&gt;=150,3,IF(D6&gt;=75,2,1))))</f>
        <v>3</v>
      </c>
      <c r="Q7" s="426"/>
      <c r="R7" s="426" t="s">
        <v>2250</v>
      </c>
      <c r="S7" s="227" t="s">
        <v>2251</v>
      </c>
    </row>
    <row r="8" spans="1:20" s="227" customFormat="1" x14ac:dyDescent="0.25">
      <c r="A8" s="424"/>
      <c r="B8" s="424"/>
      <c r="C8" s="427" t="s">
        <v>1278</v>
      </c>
      <c r="D8" s="1068">
        <v>1</v>
      </c>
      <c r="E8" s="426"/>
      <c r="F8" s="427" t="s">
        <v>2252</v>
      </c>
      <c r="G8" s="436" t="s">
        <v>1269</v>
      </c>
      <c r="H8" s="436" t="s">
        <v>1267</v>
      </c>
      <c r="I8" s="427" t="s">
        <v>1423</v>
      </c>
      <c r="J8" s="2009">
        <f ca="1">IF(C13="",ROUND(IFERROR(INDEX($G$11:$H$11,1,MATCH($J$7,$N$11:$N$12,0))*$J$5*$D$6,0),3),"NA")</f>
        <v>20.731000000000002</v>
      </c>
      <c r="K8" s="2009"/>
      <c r="L8" s="437"/>
      <c r="M8" s="438"/>
      <c r="N8" s="434" t="s">
        <v>235</v>
      </c>
      <c r="O8" s="435" t="str">
        <f>"F"&amp;ROW($F$40)&amp;":J"&amp;ROW($F$43)</f>
        <v>F40:J43</v>
      </c>
      <c r="P8" s="426">
        <f>IF($D$6&gt;=600,5,IF($D$6&gt;=400,4,IF($D$6&gt;=300,3,IF($D$6&gt;=150,2,1))))</f>
        <v>2</v>
      </c>
      <c r="Q8" s="426" t="s">
        <v>1268</v>
      </c>
      <c r="R8" s="426">
        <v>1</v>
      </c>
      <c r="S8" s="227">
        <v>3</v>
      </c>
    </row>
    <row r="9" spans="1:20" s="227" customFormat="1" x14ac:dyDescent="0.25">
      <c r="A9" s="424"/>
      <c r="B9" s="424"/>
      <c r="C9" s="427" t="s">
        <v>1277</v>
      </c>
      <c r="D9" s="1068">
        <v>0.7</v>
      </c>
      <c r="E9" s="426"/>
      <c r="F9" s="427" t="s">
        <v>2253</v>
      </c>
      <c r="G9" s="439">
        <f ca="1">INDEX(INDIRECT(VLOOKUP($D$5,$N$7:$O$9,2,0)),INDEX($R$8:$S$9,MATCH(LEFT($F9,2),$Q$8:$Q$9,0),MATCH(RIGHT(G$8,1),$R$7:$S$7,0)),VLOOKUP($D$5,$N$7:$P$9,3,0))</f>
        <v>1.1881188118811881</v>
      </c>
      <c r="H9" s="439">
        <f ca="1">INDEX(INDIRECT(VLOOKUP($D$5,$N$7:$O$9,2,0)),INDEX($R$8:$S$9,MATCH(LEFT($F9,2),$Q$8:$Q$9,0),MATCH(RIGHT(H$8,1),$R$7:$S$7,0)),VLOOKUP($D$5,$N$7:$P$9,3,0))</f>
        <v>1.2371134020618557</v>
      </c>
      <c r="I9" s="427" t="s">
        <v>1281</v>
      </c>
      <c r="J9" s="2014">
        <f ca="1">IF(C13="",ROUND(IFERROR(INDEX($G$12:$H$12,1,MATCH($J$7,$N$11:$N$12,0))*$J$6*$D$6,0),2),"NA")</f>
        <v>118212.29</v>
      </c>
      <c r="K9" s="2014"/>
      <c r="L9" s="437"/>
      <c r="M9" s="426"/>
      <c r="N9" s="434" t="s">
        <v>1285</v>
      </c>
      <c r="O9" s="435" t="str">
        <f>"I"&amp;ROW($I$46)&amp;":J"&amp;ROW($J$49)</f>
        <v>I46:J49</v>
      </c>
      <c r="P9" s="426">
        <f>IF($D$6&gt;=150,2,1)</f>
        <v>2</v>
      </c>
      <c r="Q9" s="426" t="s">
        <v>2254</v>
      </c>
      <c r="R9" s="426">
        <v>2</v>
      </c>
      <c r="S9" s="227">
        <v>4</v>
      </c>
    </row>
    <row r="10" spans="1:20" s="227" customFormat="1" x14ac:dyDescent="0.25">
      <c r="A10" s="2019" t="s">
        <v>5214</v>
      </c>
      <c r="B10" s="2019"/>
      <c r="C10" s="2019"/>
      <c r="D10" s="1069"/>
      <c r="E10" s="426"/>
      <c r="F10" s="427" t="s">
        <v>2255</v>
      </c>
      <c r="G10" s="439">
        <f ca="1">INDEX(INDIRECT(VLOOKUP($D$5,$N$7:$O$9,2,0)),INDEX($R$8:$S$9,MATCH(LEFT($F10,2),$Q$8:$Q$9,0),MATCH(RIGHT(G$8,1),$R$7:$S$7,0)),VLOOKUP($D$5,$N$7:$P$9,3,0))</f>
        <v>0.8571428571428571</v>
      </c>
      <c r="H10" s="439">
        <f ca="1">INDEX(INDIRECT(VLOOKUP($D$5,$N$7:$O$9,2,0)),INDEX($R$8:$S$9,MATCH(LEFT($F10,2),$Q$8:$Q$9,0),MATCH(RIGHT(H$8,1),$R$7:$S$7,0)),VLOOKUP($D$5,$N$7:$P$9,3,0))</f>
        <v>0.74534161490683226</v>
      </c>
      <c r="I10" s="429" t="s">
        <v>2256</v>
      </c>
      <c r="J10" s="2014">
        <f ca="1">IF(C13="",ROUND($J$9*'[1]C_HVAC_Chiller-Notes'!$Q$52,2),"NA")</f>
        <v>2600670.38</v>
      </c>
      <c r="K10" s="2014"/>
      <c r="L10" s="431"/>
      <c r="M10" s="426"/>
      <c r="O10" s="426"/>
      <c r="P10" s="426"/>
      <c r="Q10" s="426"/>
      <c r="R10" s="426"/>
    </row>
    <row r="11" spans="1:20" s="227" customFormat="1" x14ac:dyDescent="0.25">
      <c r="A11" s="2019"/>
      <c r="B11" s="2019"/>
      <c r="C11" s="2019"/>
      <c r="D11" s="1066" t="s">
        <v>2363</v>
      </c>
      <c r="E11" s="426"/>
      <c r="F11" s="427" t="s">
        <v>2257</v>
      </c>
      <c r="G11" s="440">
        <f ca="1">G9-$D8</f>
        <v>0.18811881188118806</v>
      </c>
      <c r="H11" s="440">
        <f ca="1">H9-$D8</f>
        <v>0.23711340206185572</v>
      </c>
      <c r="I11" s="427" t="s">
        <v>2258</v>
      </c>
      <c r="J11" s="2008" t="str">
        <f>IF(INDEX($H$5:$H$6,MATCH($J$7,$N$11:$N$12,0),1)="pass",$O$12,IF(INDEX($G$5:$G$6,MATCH($J$7,$N$11:$N$12,0),1)="pass",$O$11,"None"))</f>
        <v>Tier 2 (ASHRAE + 20%)</v>
      </c>
      <c r="K11" s="2008"/>
      <c r="L11" s="441"/>
      <c r="M11" s="426"/>
      <c r="N11" s="426" t="s">
        <v>1269</v>
      </c>
      <c r="O11" s="426" t="s">
        <v>2259</v>
      </c>
      <c r="P11" s="426"/>
      <c r="Q11" s="426"/>
      <c r="R11" s="426"/>
    </row>
    <row r="12" spans="1:20" s="227" customFormat="1" x14ac:dyDescent="0.25">
      <c r="C12" s="841"/>
      <c r="D12" s="841"/>
      <c r="E12" s="426"/>
      <c r="F12" s="427" t="s">
        <v>1276</v>
      </c>
      <c r="G12" s="440">
        <f ca="1">G10-$D9</f>
        <v>0.15714285714285714</v>
      </c>
      <c r="H12" s="440">
        <f ca="1">H10-$D9</f>
        <v>4.5341614906832306E-2</v>
      </c>
      <c r="I12" s="442"/>
      <c r="J12" s="441"/>
      <c r="K12" s="441"/>
      <c r="L12" s="441"/>
      <c r="M12" s="426"/>
      <c r="N12" s="426" t="s">
        <v>1267</v>
      </c>
      <c r="O12" s="426" t="s">
        <v>2260</v>
      </c>
      <c r="P12" s="426"/>
      <c r="Q12" s="426"/>
      <c r="R12" s="426"/>
    </row>
    <row r="13" spans="1:20" s="227" customFormat="1" x14ac:dyDescent="0.25">
      <c r="C13" s="589" t="str">
        <f>IF(OR(AND(D5="PD",D6&gt;=600),AND(D5="Centrifugal",D6&gt;=600),AND(D5="Air-cooled",D6&gt;=300),D7="Cold Storage",D7="Industrial", D11="Yes"), "Evaluate using a custom approach.","")</f>
        <v/>
      </c>
      <c r="D13" s="443"/>
      <c r="E13" s="426"/>
      <c r="F13" s="426"/>
      <c r="G13" s="443"/>
      <c r="H13" s="426"/>
      <c r="I13" s="442"/>
      <c r="J13" s="425"/>
      <c r="K13" s="425"/>
      <c r="L13" s="425"/>
      <c r="M13" s="426"/>
      <c r="N13" s="426"/>
      <c r="O13" s="426"/>
      <c r="P13" s="426"/>
      <c r="Q13" s="426"/>
      <c r="R13" s="426"/>
    </row>
    <row r="14" spans="1:20" s="227" customFormat="1" ht="25.5" x14ac:dyDescent="0.25">
      <c r="A14" s="2010" t="s">
        <v>2261</v>
      </c>
      <c r="B14" s="424"/>
      <c r="C14" s="2011" t="s">
        <v>2262</v>
      </c>
      <c r="D14" s="444" t="s">
        <v>1270</v>
      </c>
      <c r="E14" s="445"/>
      <c r="F14" s="430" t="s">
        <v>1275</v>
      </c>
      <c r="G14" s="430" t="s">
        <v>1417</v>
      </c>
      <c r="H14" s="430" t="s">
        <v>1418</v>
      </c>
      <c r="I14" s="430" t="s">
        <v>1421</v>
      </c>
      <c r="J14" s="430" t="s">
        <v>1274</v>
      </c>
      <c r="K14" s="446"/>
      <c r="L14" s="446"/>
      <c r="M14" s="426" t="s">
        <v>2263</v>
      </c>
      <c r="N14" s="426"/>
      <c r="O14" s="426"/>
      <c r="P14" s="426"/>
      <c r="Q14" s="426"/>
      <c r="R14" s="426"/>
    </row>
    <row r="15" spans="1:20" s="227" customFormat="1" x14ac:dyDescent="0.25">
      <c r="A15" s="2010"/>
      <c r="B15" s="424"/>
      <c r="C15" s="2012"/>
      <c r="D15" s="1833" t="s">
        <v>1269</v>
      </c>
      <c r="E15" s="447" t="s">
        <v>1268</v>
      </c>
      <c r="F15" s="448">
        <f t="shared" ref="F15:J18" si="0">F34*0.9</f>
        <v>0.67500000000000004</v>
      </c>
      <c r="G15" s="448">
        <f t="shared" si="0"/>
        <v>0.64800000000000002</v>
      </c>
      <c r="H15" s="448">
        <f t="shared" si="0"/>
        <v>0.59400000000000008</v>
      </c>
      <c r="I15" s="448">
        <f t="shared" si="0"/>
        <v>0.54900000000000004</v>
      </c>
      <c r="J15" s="448">
        <f t="shared" si="0"/>
        <v>0.50400000000000011</v>
      </c>
      <c r="K15" s="446"/>
      <c r="L15" s="446"/>
      <c r="M15" s="449">
        <v>1</v>
      </c>
      <c r="N15" s="426"/>
      <c r="O15" s="426"/>
      <c r="P15" s="426"/>
      <c r="Q15" s="426"/>
      <c r="R15" s="426"/>
    </row>
    <row r="16" spans="1:20" s="227" customFormat="1" x14ac:dyDescent="0.25">
      <c r="A16" s="2010"/>
      <c r="B16" s="424"/>
      <c r="C16" s="2012"/>
      <c r="D16" s="1833"/>
      <c r="E16" s="447" t="s">
        <v>1263</v>
      </c>
      <c r="F16" s="448">
        <f t="shared" si="0"/>
        <v>0.54</v>
      </c>
      <c r="G16" s="448">
        <f t="shared" si="0"/>
        <v>0.50400000000000011</v>
      </c>
      <c r="H16" s="448">
        <f t="shared" si="0"/>
        <v>0.48600000000000004</v>
      </c>
      <c r="I16" s="448">
        <f t="shared" si="0"/>
        <v>0.46800000000000003</v>
      </c>
      <c r="J16" s="448">
        <f t="shared" si="0"/>
        <v>0.45</v>
      </c>
      <c r="K16" s="446"/>
      <c r="L16" s="446"/>
      <c r="M16" s="449">
        <v>2</v>
      </c>
      <c r="N16" s="426"/>
      <c r="O16" s="426"/>
      <c r="P16" s="426"/>
      <c r="Q16" s="426"/>
      <c r="R16" s="426"/>
    </row>
    <row r="17" spans="1:18" s="227" customFormat="1" x14ac:dyDescent="0.25">
      <c r="A17" s="2010"/>
      <c r="B17" s="424"/>
      <c r="C17" s="2012"/>
      <c r="D17" s="1833" t="s">
        <v>1267</v>
      </c>
      <c r="E17" s="447" t="s">
        <v>1268</v>
      </c>
      <c r="F17" s="448">
        <f t="shared" si="0"/>
        <v>0.70200000000000007</v>
      </c>
      <c r="G17" s="448">
        <f t="shared" si="0"/>
        <v>0.67500000000000004</v>
      </c>
      <c r="H17" s="448">
        <f t="shared" si="0"/>
        <v>0.6120000000000001</v>
      </c>
      <c r="I17" s="448">
        <f t="shared" si="0"/>
        <v>0.5625</v>
      </c>
      <c r="J17" s="448">
        <f t="shared" si="0"/>
        <v>0.52649999999999997</v>
      </c>
      <c r="K17" s="446"/>
      <c r="L17" s="446"/>
      <c r="M17" s="449">
        <v>4</v>
      </c>
      <c r="N17" s="426"/>
      <c r="O17" s="426"/>
      <c r="P17" s="426"/>
      <c r="Q17" s="426"/>
      <c r="R17" s="426"/>
    </row>
    <row r="18" spans="1:18" s="227" customFormat="1" x14ac:dyDescent="0.25">
      <c r="A18" s="2010"/>
      <c r="B18" s="424"/>
      <c r="C18" s="2013"/>
      <c r="D18" s="1833"/>
      <c r="E18" s="447" t="s">
        <v>1263</v>
      </c>
      <c r="F18" s="448">
        <f t="shared" si="0"/>
        <v>0.45</v>
      </c>
      <c r="G18" s="448">
        <f t="shared" si="0"/>
        <v>0.441</v>
      </c>
      <c r="H18" s="448">
        <f t="shared" si="0"/>
        <v>0.39600000000000002</v>
      </c>
      <c r="I18" s="448">
        <f t="shared" si="0"/>
        <v>0.36899999999999999</v>
      </c>
      <c r="J18" s="448">
        <f t="shared" si="0"/>
        <v>0.34200000000000003</v>
      </c>
      <c r="K18" s="446"/>
      <c r="L18" s="446"/>
      <c r="M18" s="449">
        <v>5</v>
      </c>
      <c r="N18" s="426"/>
      <c r="O18" s="426"/>
      <c r="P18" s="426"/>
      <c r="Q18" s="426"/>
      <c r="R18" s="426"/>
    </row>
    <row r="19" spans="1:18" s="227" customFormat="1" x14ac:dyDescent="0.25">
      <c r="A19" s="2010"/>
      <c r="B19" s="424"/>
      <c r="C19" s="450"/>
      <c r="D19" s="451"/>
      <c r="E19" s="451"/>
      <c r="F19" s="452"/>
      <c r="G19" s="452"/>
      <c r="H19" s="452"/>
      <c r="I19" s="452"/>
      <c r="J19" s="452"/>
      <c r="K19" s="452"/>
      <c r="L19" s="452"/>
      <c r="M19" s="426"/>
      <c r="N19" s="426"/>
      <c r="O19" s="426"/>
      <c r="P19" s="426"/>
      <c r="Q19" s="426"/>
      <c r="R19" s="426"/>
    </row>
    <row r="20" spans="1:18" s="227" customFormat="1" ht="25.5" x14ac:dyDescent="0.25">
      <c r="A20" s="2010"/>
      <c r="B20" s="424"/>
      <c r="C20" s="1833" t="s">
        <v>235</v>
      </c>
      <c r="D20" s="444" t="s">
        <v>1270</v>
      </c>
      <c r="E20" s="444"/>
      <c r="F20" s="430" t="s">
        <v>1266</v>
      </c>
      <c r="G20" s="430" t="s">
        <v>1418</v>
      </c>
      <c r="H20" s="430" t="s">
        <v>1420</v>
      </c>
      <c r="I20" s="430" t="s">
        <v>1422</v>
      </c>
      <c r="J20" s="430" t="s">
        <v>1274</v>
      </c>
      <c r="K20" s="446"/>
      <c r="L20" s="446"/>
      <c r="M20" s="426"/>
      <c r="N20" s="426"/>
      <c r="O20" s="426"/>
      <c r="P20" s="426"/>
      <c r="Q20" s="426"/>
      <c r="R20" s="426"/>
    </row>
    <row r="21" spans="1:18" s="227" customFormat="1" x14ac:dyDescent="0.25">
      <c r="A21" s="2010"/>
      <c r="B21" s="424"/>
      <c r="C21" s="1833"/>
      <c r="D21" s="1833" t="s">
        <v>1269</v>
      </c>
      <c r="E21" s="447" t="s">
        <v>1268</v>
      </c>
      <c r="F21" s="448">
        <f t="shared" ref="F21:J24" si="1">F40*0.9</f>
        <v>0.54900000000000004</v>
      </c>
      <c r="G21" s="448">
        <f t="shared" si="1"/>
        <v>0.54900000000000004</v>
      </c>
      <c r="H21" s="448">
        <f t="shared" si="1"/>
        <v>0.50400000000000011</v>
      </c>
      <c r="I21" s="448">
        <f t="shared" si="1"/>
        <v>0.50400000000000011</v>
      </c>
      <c r="J21" s="448">
        <f t="shared" si="1"/>
        <v>0.50400000000000011</v>
      </c>
      <c r="K21" s="446"/>
      <c r="L21" s="446"/>
      <c r="M21" s="449">
        <v>6</v>
      </c>
      <c r="N21" s="426"/>
      <c r="O21" s="426" t="s">
        <v>1273</v>
      </c>
      <c r="P21" s="426"/>
      <c r="Q21" s="426"/>
      <c r="R21" s="426"/>
    </row>
    <row r="22" spans="1:18" s="227" customFormat="1" x14ac:dyDescent="0.25">
      <c r="A22" s="2010"/>
      <c r="B22" s="424"/>
      <c r="C22" s="1833"/>
      <c r="D22" s="1833"/>
      <c r="E22" s="447" t="s">
        <v>1263</v>
      </c>
      <c r="F22" s="448">
        <f t="shared" si="1"/>
        <v>0.49500000000000005</v>
      </c>
      <c r="G22" s="448">
        <f t="shared" si="1"/>
        <v>0.49500000000000005</v>
      </c>
      <c r="H22" s="448">
        <f t="shared" si="1"/>
        <v>0.46800000000000003</v>
      </c>
      <c r="I22" s="448">
        <f t="shared" si="1"/>
        <v>0.45</v>
      </c>
      <c r="J22" s="448">
        <f t="shared" si="1"/>
        <v>0.45</v>
      </c>
      <c r="K22" s="446"/>
      <c r="L22" s="446"/>
      <c r="M22" s="449">
        <v>7</v>
      </c>
      <c r="N22" s="426"/>
      <c r="O22" s="426"/>
      <c r="P22" s="426" t="s">
        <v>1268</v>
      </c>
      <c r="Q22" s="426" t="s">
        <v>1263</v>
      </c>
      <c r="R22" s="426" t="s">
        <v>1272</v>
      </c>
    </row>
    <row r="23" spans="1:18" s="227" customFormat="1" x14ac:dyDescent="0.25">
      <c r="A23" s="2010"/>
      <c r="B23" s="424"/>
      <c r="C23" s="1833"/>
      <c r="D23" s="1833" t="s">
        <v>1267</v>
      </c>
      <c r="E23" s="447" t="s">
        <v>1268</v>
      </c>
      <c r="F23" s="448">
        <f t="shared" si="1"/>
        <v>0.62549999999999994</v>
      </c>
      <c r="G23" s="448">
        <f t="shared" si="1"/>
        <v>0.57150000000000001</v>
      </c>
      <c r="H23" s="448">
        <f t="shared" si="1"/>
        <v>0.53549999999999998</v>
      </c>
      <c r="I23" s="448">
        <f t="shared" si="1"/>
        <v>0.52649999999999997</v>
      </c>
      <c r="J23" s="448">
        <f t="shared" si="1"/>
        <v>0.52649999999999997</v>
      </c>
      <c r="K23" s="446"/>
      <c r="L23" s="446"/>
      <c r="M23" s="449">
        <v>10</v>
      </c>
      <c r="N23" s="426"/>
      <c r="O23" s="426" t="s">
        <v>2264</v>
      </c>
      <c r="P23" s="443">
        <f>IF($D$5="PD",
IF(AND($D$6&gt;=600,$D$8&lt;=J$34),$M15,
IF(AND($D$6&gt;=300,$D$6&lt;600,$D$8&lt;=$I34),$M15,
IF(AND($D$6&gt;=150,$D$6&lt;300,$D$8&lt;=$H34),$M15,
IF(AND($D$6&gt;=75,$D$6&lt;150,$D$8&lt;=$G34),$M15,
IF(AND($D$6&lt;75,$D$8&lt;=F34),$M15,0))))),
IF($D$5="centrifugal",
IF(AND($D$6&gt;=600,$D$8&lt;=J40),M21,
IF(AND($D$6&gt;=400,$D$6&lt;600,$D$8&lt;=I40),M21,
IF(AND($D$6&gt;=300,$D$6&lt;400,$D$8&lt;=H40),M21,
IF(AND($D$6&gt;=150,$D$6&lt;300,$D$8&lt;=G40),M21,
IF(AND($D$6&lt;150,$D$8&lt;=F40),M21,0))))),
IF($D$5="air-cooled",
IF(AND($D$6&gt;=150,$D$8&lt;=J46),M27,
IF(AND($D$6&lt;150,$D$8&lt;=I46),M27,0)))))</f>
        <v>22</v>
      </c>
      <c r="Q23" s="426">
        <f>IF($D$5="PD",
IF(AND($D$6&gt;=600,$D$9&lt;=J$16),$M16,
IF(AND($D$6&gt;=300,$D$6&lt;600,$D$9&lt;=$I16),$M16,
IF(AND($D$6&gt;=150,$D$6&lt;300,$D$9&lt;=$H16),$M16,
IF(AND($D$6&gt;=75,$D$6&lt;150,$D$9&lt;=$G16),$M16,
IF(AND($D$6&lt;75,$D$9&lt;=$F16),$M16,0))))),
IF($D$5="centrifugal",
IF(AND($D$6&gt;=600,$D$9&lt;=J22),M22,
IF(AND($D$6&gt;=400,$D$6&lt;600,$D$9&lt;=I22),M22,
IF(AND($D$6&gt;=300,$D$6&lt;400,$D$9&lt;=H22),M22,
IF(AND($D$6&gt;=150,$D$6&lt;300,$D$9&lt;=G22),M22,
IF(AND($D$6&lt;150,$D$9&lt;=F22),M22,0))))),
IF($D$5="air-cooled",
IF(AND($D$6&gt;=150,$D$9&lt;=J28),M28,
IF(AND($D$6&lt;150,$D$9&lt;=I28),M28,0)))))</f>
        <v>22</v>
      </c>
      <c r="R23" s="426">
        <f>P23+Q23</f>
        <v>44</v>
      </c>
    </row>
    <row r="24" spans="1:18" s="227" customFormat="1" x14ac:dyDescent="0.25">
      <c r="A24" s="2010"/>
      <c r="B24" s="424"/>
      <c r="C24" s="1833"/>
      <c r="D24" s="1833"/>
      <c r="E24" s="447" t="s">
        <v>1263</v>
      </c>
      <c r="F24" s="448">
        <f t="shared" si="1"/>
        <v>0.39600000000000002</v>
      </c>
      <c r="G24" s="448">
        <f t="shared" si="1"/>
        <v>0.36000000000000004</v>
      </c>
      <c r="H24" s="448">
        <f t="shared" si="1"/>
        <v>0.35100000000000003</v>
      </c>
      <c r="I24" s="448">
        <f t="shared" si="1"/>
        <v>0.34200000000000003</v>
      </c>
      <c r="J24" s="448">
        <f t="shared" si="1"/>
        <v>0.34200000000000003</v>
      </c>
      <c r="K24" s="446"/>
      <c r="L24" s="446"/>
      <c r="M24" s="449">
        <v>11</v>
      </c>
      <c r="N24" s="426"/>
      <c r="O24" s="426" t="s">
        <v>2265</v>
      </c>
      <c r="P24" s="443">
        <f>IF($D$5="PD",
IF(AND($D$6&gt;=600,$D$8&lt;=$J36),$M17,
IF(AND($D$6&gt;=300,$D$6&lt;600,$D$8&lt;=$I36),$M17,
IF(AND($D$6&gt;=150,$D$6&lt;300,$D$8&lt;=$H36),$M17,
IF(AND($D$6&gt;=75,$D$6&lt;150,$D$8&lt;=$G36),$M17,
IF(AND($D$6&lt;75,$D$8&lt;=F36),$M17,0))))),
IF($D$5="centrifugal",
IF(AND($D$6&gt;=600,$D$8&lt;=J42),M23,
IF(AND($D$6&gt;=400,$D$6&lt;600,$D$8&lt;=I42),M23,
IF(AND($D$6&gt;=300,$D$6&lt;400,$D$8&lt;=H42),M23,
IF(AND($D$6&gt;=150,$D$6&lt;300,$D$8&lt;=G42),M23,
IF(AND($D$6&lt;150,$D$8&lt;=F42),M23,0))))),
IF($D$5="air-cooled",
IF(AND($D$6&gt;=150,$D$8&lt;=J48),M29,
IF(AND($D$6&lt;150,$D$8&lt;=I48),M29,0)))))</f>
        <v>34</v>
      </c>
      <c r="Q24" s="426">
        <f>IF($D$5="PD",
IF(AND($D$6&gt;=600,$D$9&lt;=$J18),$M18,
IF(AND($D$6&gt;=300,$D$6&lt;600,$D$9&lt;=$I18),$M18,
IF(AND($D$6&gt;=150,$D$6&lt;300,$D$9&lt;=$H18),$M18,
IF(AND($D$6&gt;=75,$D$6&lt;150,$D$9&lt;=$G18),$M18,
IF(AND($D$6&lt;75,$D$9&lt;=F$18),$M18,0))))),
IF($D$5="centrifugal",
IF(AND($D$6&gt;=600,$D$9&lt;=J24),M24,
IF(AND($D$6&gt;=400,$D$6&lt;600,$D$9&lt;=I24),M24,
IF(AND($D$6&gt;=300,$D$6&lt;400,$D$9&lt;=H24),M24,
IF(AND($D$6&gt;=150,$D$6&lt;300,$D$9&lt;=G24),M24,
IF(AND($D$6&lt;150,$D$9&lt;=F24),M24,0))))),
IF($D$5="air-cooled",
IF(AND($D$6&gt;=150,$D$9&lt;=J30),M30,
IF(AND($D$6&lt;150,$D$9&lt;=I30),M30,0)))))</f>
        <v>0</v>
      </c>
      <c r="R24" s="426">
        <f>P24+Q24</f>
        <v>34</v>
      </c>
    </row>
    <row r="25" spans="1:18" s="227" customFormat="1" x14ac:dyDescent="0.25">
      <c r="A25" s="2010"/>
      <c r="B25" s="424"/>
      <c r="K25" s="452"/>
      <c r="L25" s="452"/>
      <c r="M25" s="426"/>
      <c r="N25" s="426"/>
      <c r="O25" s="426"/>
      <c r="P25" s="426"/>
      <c r="Q25" s="426"/>
      <c r="R25" s="426"/>
    </row>
    <row r="26" spans="1:18" s="227" customFormat="1" x14ac:dyDescent="0.25">
      <c r="A26" s="2010"/>
      <c r="B26" s="424"/>
      <c r="C26" s="1834" t="s">
        <v>1264</v>
      </c>
      <c r="D26" s="430" t="s">
        <v>1271</v>
      </c>
      <c r="E26" s="430"/>
      <c r="F26" s="430" t="s">
        <v>1266</v>
      </c>
      <c r="G26" s="430" t="s">
        <v>1419</v>
      </c>
      <c r="H26" s="444" t="s">
        <v>1270</v>
      </c>
      <c r="I26" s="430" t="s">
        <v>1266</v>
      </c>
      <c r="J26" s="430" t="s">
        <v>1265</v>
      </c>
      <c r="K26" s="446"/>
      <c r="L26" s="446"/>
      <c r="M26" s="426"/>
      <c r="N26" s="426"/>
      <c r="O26" s="426"/>
      <c r="P26" s="426"/>
      <c r="Q26" s="426"/>
      <c r="R26" s="426"/>
    </row>
    <row r="27" spans="1:18" s="227" customFormat="1" x14ac:dyDescent="0.25">
      <c r="A27" s="2010"/>
      <c r="B27" s="424"/>
      <c r="C27" s="1834"/>
      <c r="D27" s="1834" t="s">
        <v>1269</v>
      </c>
      <c r="E27" s="447" t="s">
        <v>1268</v>
      </c>
      <c r="F27" s="453">
        <f t="shared" ref="F27:G30" si="2">F46*1.1</f>
        <v>11.110000000000001</v>
      </c>
      <c r="G27" s="453">
        <f t="shared" si="2"/>
        <v>11.110000000000001</v>
      </c>
      <c r="H27" s="1834" t="s">
        <v>1269</v>
      </c>
      <c r="I27" s="448">
        <f t="shared" ref="I27:J30" si="3">12/F27</f>
        <v>1.0801080108010801</v>
      </c>
      <c r="J27" s="448">
        <f t="shared" si="3"/>
        <v>1.0801080108010801</v>
      </c>
      <c r="K27" s="446"/>
      <c r="L27" s="446"/>
      <c r="M27" s="426">
        <v>22</v>
      </c>
      <c r="N27" s="426"/>
      <c r="O27" s="426"/>
      <c r="P27" s="426"/>
      <c r="Q27" s="426"/>
      <c r="R27" s="426"/>
    </row>
    <row r="28" spans="1:18" s="227" customFormat="1" x14ac:dyDescent="0.25">
      <c r="A28" s="2010"/>
      <c r="B28" s="424"/>
      <c r="C28" s="1834"/>
      <c r="D28" s="1834"/>
      <c r="E28" s="447" t="s">
        <v>1263</v>
      </c>
      <c r="F28" s="453">
        <f t="shared" si="2"/>
        <v>15.07</v>
      </c>
      <c r="G28" s="453">
        <f t="shared" si="2"/>
        <v>15.400000000000002</v>
      </c>
      <c r="H28" s="1834"/>
      <c r="I28" s="448">
        <f t="shared" si="3"/>
        <v>0.79628400796284005</v>
      </c>
      <c r="J28" s="448">
        <f t="shared" si="3"/>
        <v>0.77922077922077915</v>
      </c>
      <c r="K28" s="446"/>
      <c r="L28" s="446"/>
      <c r="M28" s="426">
        <v>22</v>
      </c>
      <c r="N28" s="426"/>
      <c r="O28" s="426"/>
      <c r="P28" s="426"/>
      <c r="Q28" s="426"/>
      <c r="R28" s="426"/>
    </row>
    <row r="29" spans="1:18" s="227" customFormat="1" x14ac:dyDescent="0.25">
      <c r="A29" s="2010"/>
      <c r="B29" s="424"/>
      <c r="C29" s="1834"/>
      <c r="D29" s="1834" t="s">
        <v>1267</v>
      </c>
      <c r="E29" s="447" t="s">
        <v>1268</v>
      </c>
      <c r="F29" s="453">
        <f t="shared" si="2"/>
        <v>10.67</v>
      </c>
      <c r="G29" s="453">
        <f t="shared" si="2"/>
        <v>10.67</v>
      </c>
      <c r="H29" s="1834" t="s">
        <v>1267</v>
      </c>
      <c r="I29" s="448">
        <f t="shared" si="3"/>
        <v>1.1246485473289598</v>
      </c>
      <c r="J29" s="448">
        <f t="shared" si="3"/>
        <v>1.1246485473289598</v>
      </c>
      <c r="K29" s="446"/>
      <c r="L29" s="446"/>
      <c r="M29" s="426">
        <v>34</v>
      </c>
      <c r="N29" s="426"/>
      <c r="O29" s="426"/>
      <c r="P29" s="426"/>
      <c r="Q29" s="426"/>
      <c r="R29" s="426"/>
    </row>
    <row r="30" spans="1:18" s="227" customFormat="1" x14ac:dyDescent="0.25">
      <c r="A30" s="2010"/>
      <c r="B30" s="424"/>
      <c r="C30" s="1834"/>
      <c r="D30" s="1834"/>
      <c r="E30" s="447" t="s">
        <v>1263</v>
      </c>
      <c r="F30" s="453">
        <f t="shared" si="2"/>
        <v>17.380000000000003</v>
      </c>
      <c r="G30" s="453">
        <f t="shared" si="2"/>
        <v>17.710000000000004</v>
      </c>
      <c r="H30" s="1834"/>
      <c r="I30" s="448">
        <f t="shared" si="3"/>
        <v>0.69044879171461437</v>
      </c>
      <c r="J30" s="448">
        <f t="shared" si="3"/>
        <v>0.67758328627893827</v>
      </c>
      <c r="K30" s="446"/>
      <c r="L30" s="446"/>
      <c r="M30" s="426">
        <v>36</v>
      </c>
      <c r="N30" s="426"/>
      <c r="O30" s="426"/>
      <c r="P30" s="426"/>
      <c r="Q30" s="426"/>
      <c r="R30" s="426"/>
    </row>
    <row r="31" spans="1:18" s="227" customFormat="1" x14ac:dyDescent="0.25">
      <c r="A31" s="424"/>
      <c r="B31" s="424"/>
      <c r="C31" s="454"/>
      <c r="D31" s="426"/>
      <c r="E31" s="428"/>
      <c r="F31" s="426"/>
      <c r="G31" s="426"/>
      <c r="H31" s="426"/>
      <c r="I31" s="425"/>
      <c r="J31" s="426"/>
      <c r="K31" s="443"/>
      <c r="L31" s="443"/>
      <c r="M31" s="426"/>
      <c r="N31" s="426"/>
      <c r="O31" s="426"/>
      <c r="P31" s="426"/>
      <c r="Q31" s="426"/>
      <c r="R31" s="426"/>
    </row>
    <row r="32" spans="1:18" s="227" customFormat="1" x14ac:dyDescent="0.25">
      <c r="A32" s="424"/>
      <c r="B32" s="424"/>
      <c r="C32" s="426"/>
      <c r="D32" s="426"/>
      <c r="E32" s="426"/>
      <c r="F32" s="426"/>
      <c r="G32" s="426"/>
      <c r="H32" s="426"/>
      <c r="I32" s="443"/>
      <c r="J32" s="443"/>
      <c r="K32" s="443"/>
      <c r="L32" s="443"/>
      <c r="M32" s="443"/>
      <c r="N32" s="443"/>
      <c r="O32" s="443"/>
      <c r="P32" s="443"/>
      <c r="Q32" s="443"/>
      <c r="R32" s="443"/>
    </row>
    <row r="33" spans="1:18" s="227" customFormat="1" ht="25.5" x14ac:dyDescent="0.25">
      <c r="A33" s="2010" t="s">
        <v>2271</v>
      </c>
      <c r="B33" s="424"/>
      <c r="C33" s="2011" t="s">
        <v>2262</v>
      </c>
      <c r="D33" s="444" t="s">
        <v>1270</v>
      </c>
      <c r="E33" s="445"/>
      <c r="F33" s="430" t="s">
        <v>1275</v>
      </c>
      <c r="G33" s="430" t="s">
        <v>1417</v>
      </c>
      <c r="H33" s="430" t="s">
        <v>1418</v>
      </c>
      <c r="I33" s="430" t="s">
        <v>1421</v>
      </c>
      <c r="J33" s="430" t="s">
        <v>1274</v>
      </c>
      <c r="K33" s="443"/>
      <c r="L33" s="443"/>
      <c r="M33" s="426"/>
      <c r="N33" s="443"/>
      <c r="O33" s="443"/>
      <c r="P33" s="443"/>
      <c r="Q33" s="443"/>
      <c r="R33" s="443"/>
    </row>
    <row r="34" spans="1:18" s="227" customFormat="1" x14ac:dyDescent="0.25">
      <c r="A34" s="2010"/>
      <c r="B34" s="424"/>
      <c r="C34" s="2012"/>
      <c r="D34" s="1833" t="s">
        <v>1269</v>
      </c>
      <c r="E34" s="447" t="s">
        <v>1268</v>
      </c>
      <c r="F34" s="448">
        <v>0.75</v>
      </c>
      <c r="G34" s="448">
        <v>0.72</v>
      </c>
      <c r="H34" s="448">
        <v>0.66</v>
      </c>
      <c r="I34" s="448">
        <v>0.61</v>
      </c>
      <c r="J34" s="448">
        <v>0.56000000000000005</v>
      </c>
      <c r="K34" s="443"/>
      <c r="L34" s="443"/>
      <c r="M34" s="449"/>
      <c r="N34" s="443"/>
      <c r="O34" s="443"/>
      <c r="P34" s="443"/>
      <c r="Q34" s="443"/>
      <c r="R34" s="443"/>
    </row>
    <row r="35" spans="1:18" s="227" customFormat="1" x14ac:dyDescent="0.25">
      <c r="A35" s="2010"/>
      <c r="B35" s="424"/>
      <c r="C35" s="2012"/>
      <c r="D35" s="1833"/>
      <c r="E35" s="447" t="s">
        <v>1263</v>
      </c>
      <c r="F35" s="455">
        <v>0.6</v>
      </c>
      <c r="G35" s="455">
        <v>0.56000000000000005</v>
      </c>
      <c r="H35" s="455">
        <v>0.54</v>
      </c>
      <c r="I35" s="455">
        <v>0.52</v>
      </c>
      <c r="J35" s="455">
        <v>0.5</v>
      </c>
      <c r="K35" s="443"/>
      <c r="L35" s="443"/>
      <c r="M35" s="449"/>
      <c r="N35" s="443"/>
      <c r="O35" s="443"/>
      <c r="P35" s="443"/>
      <c r="Q35" s="443"/>
      <c r="R35" s="443"/>
    </row>
    <row r="36" spans="1:18" s="227" customFormat="1" x14ac:dyDescent="0.25">
      <c r="A36" s="2010"/>
      <c r="B36" s="424"/>
      <c r="C36" s="2012"/>
      <c r="D36" s="1833" t="s">
        <v>1267</v>
      </c>
      <c r="E36" s="447" t="s">
        <v>1268</v>
      </c>
      <c r="F36" s="456">
        <v>0.78</v>
      </c>
      <c r="G36" s="456">
        <v>0.75</v>
      </c>
      <c r="H36" s="456">
        <v>0.68</v>
      </c>
      <c r="I36" s="456">
        <v>0.625</v>
      </c>
      <c r="J36" s="456">
        <v>0.58499999999999996</v>
      </c>
      <c r="K36" s="443"/>
      <c r="L36" s="443"/>
      <c r="M36" s="449"/>
      <c r="N36" s="443"/>
      <c r="O36" s="443"/>
      <c r="P36" s="443"/>
      <c r="Q36" s="443"/>
      <c r="R36" s="443"/>
    </row>
    <row r="37" spans="1:18" s="227" customFormat="1" x14ac:dyDescent="0.25">
      <c r="A37" s="2010"/>
      <c r="B37" s="424"/>
      <c r="C37" s="2013"/>
      <c r="D37" s="1833"/>
      <c r="E37" s="447" t="s">
        <v>1263</v>
      </c>
      <c r="F37" s="455">
        <v>0.5</v>
      </c>
      <c r="G37" s="455">
        <v>0.49</v>
      </c>
      <c r="H37" s="455">
        <v>0.44</v>
      </c>
      <c r="I37" s="455">
        <v>0.41</v>
      </c>
      <c r="J37" s="455">
        <v>0.38</v>
      </c>
      <c r="K37" s="443"/>
      <c r="L37" s="443"/>
      <c r="M37" s="449"/>
      <c r="N37" s="443"/>
      <c r="O37" s="443"/>
      <c r="P37" s="443"/>
      <c r="Q37" s="443"/>
      <c r="R37" s="443"/>
    </row>
    <row r="38" spans="1:18" s="227" customFormat="1" x14ac:dyDescent="0.25">
      <c r="A38" s="2010"/>
      <c r="B38" s="424"/>
      <c r="C38" s="450"/>
      <c r="D38" s="451"/>
      <c r="E38" s="451"/>
      <c r="F38" s="452"/>
      <c r="G38" s="452"/>
      <c r="H38" s="452"/>
      <c r="I38" s="452"/>
      <c r="J38" s="452"/>
      <c r="K38" s="452"/>
      <c r="L38" s="452"/>
      <c r="M38" s="426"/>
      <c r="N38" s="443"/>
      <c r="O38" s="443"/>
      <c r="P38" s="443"/>
      <c r="Q38" s="443"/>
      <c r="R38" s="443"/>
    </row>
    <row r="39" spans="1:18" s="227" customFormat="1" ht="25.5" x14ac:dyDescent="0.25">
      <c r="A39" s="2010"/>
      <c r="B39" s="424"/>
      <c r="C39" s="1833" t="s">
        <v>235</v>
      </c>
      <c r="D39" s="444" t="s">
        <v>1270</v>
      </c>
      <c r="E39" s="444"/>
      <c r="F39" s="430" t="s">
        <v>1266</v>
      </c>
      <c r="G39" s="430" t="s">
        <v>1418</v>
      </c>
      <c r="H39" s="430" t="s">
        <v>1420</v>
      </c>
      <c r="I39" s="430" t="s">
        <v>1422</v>
      </c>
      <c r="J39" s="430" t="s">
        <v>1274</v>
      </c>
      <c r="K39" s="443"/>
      <c r="L39" s="443"/>
      <c r="M39" s="426"/>
      <c r="N39" s="443"/>
      <c r="O39" s="443"/>
      <c r="P39" s="443"/>
      <c r="Q39" s="443"/>
      <c r="R39" s="443"/>
    </row>
    <row r="40" spans="1:18" s="227" customFormat="1" x14ac:dyDescent="0.25">
      <c r="A40" s="2010"/>
      <c r="B40" s="424"/>
      <c r="C40" s="1833"/>
      <c r="D40" s="1833" t="s">
        <v>1269</v>
      </c>
      <c r="E40" s="447" t="s">
        <v>1268</v>
      </c>
      <c r="F40" s="456">
        <v>0.61</v>
      </c>
      <c r="G40" s="456">
        <v>0.61</v>
      </c>
      <c r="H40" s="456">
        <v>0.56000000000000005</v>
      </c>
      <c r="I40" s="456">
        <v>0.56000000000000005</v>
      </c>
      <c r="J40" s="456">
        <v>0.56000000000000005</v>
      </c>
      <c r="K40" s="443"/>
      <c r="L40" s="443"/>
      <c r="M40" s="449"/>
      <c r="N40" s="443"/>
      <c r="O40" s="443"/>
      <c r="P40" s="443"/>
      <c r="Q40" s="443"/>
      <c r="R40" s="443"/>
    </row>
    <row r="41" spans="1:18" s="227" customFormat="1" x14ac:dyDescent="0.25">
      <c r="A41" s="2010"/>
      <c r="B41" s="424"/>
      <c r="C41" s="1833"/>
      <c r="D41" s="1833"/>
      <c r="E41" s="447" t="s">
        <v>1263</v>
      </c>
      <c r="F41" s="455">
        <v>0.55000000000000004</v>
      </c>
      <c r="G41" s="455">
        <v>0.55000000000000004</v>
      </c>
      <c r="H41" s="455">
        <v>0.52</v>
      </c>
      <c r="I41" s="455">
        <v>0.5</v>
      </c>
      <c r="J41" s="455">
        <v>0.5</v>
      </c>
      <c r="K41" s="443"/>
      <c r="L41" s="443"/>
      <c r="M41" s="449"/>
      <c r="N41" s="443"/>
      <c r="O41" s="443"/>
      <c r="P41" s="443"/>
      <c r="Q41" s="443"/>
      <c r="R41" s="443"/>
    </row>
    <row r="42" spans="1:18" s="227" customFormat="1" x14ac:dyDescent="0.25">
      <c r="A42" s="2010"/>
      <c r="B42" s="424"/>
      <c r="C42" s="1833"/>
      <c r="D42" s="1833" t="s">
        <v>1267</v>
      </c>
      <c r="E42" s="447" t="s">
        <v>1268</v>
      </c>
      <c r="F42" s="456">
        <v>0.69499999999999995</v>
      </c>
      <c r="G42" s="456">
        <v>0.63500000000000001</v>
      </c>
      <c r="H42" s="456">
        <v>0.59499999999999997</v>
      </c>
      <c r="I42" s="456">
        <v>0.58499999999999996</v>
      </c>
      <c r="J42" s="456">
        <v>0.58499999999999996</v>
      </c>
      <c r="K42" s="443"/>
      <c r="L42" s="443"/>
      <c r="M42" s="449"/>
      <c r="N42" s="443"/>
      <c r="O42" s="443"/>
      <c r="P42" s="443"/>
      <c r="Q42" s="443"/>
      <c r="R42" s="443"/>
    </row>
    <row r="43" spans="1:18" s="227" customFormat="1" x14ac:dyDescent="0.25">
      <c r="A43" s="2010"/>
      <c r="B43" s="424"/>
      <c r="C43" s="1833"/>
      <c r="D43" s="1833"/>
      <c r="E43" s="447" t="s">
        <v>1263</v>
      </c>
      <c r="F43" s="455">
        <v>0.44</v>
      </c>
      <c r="G43" s="455">
        <v>0.4</v>
      </c>
      <c r="H43" s="455">
        <v>0.39</v>
      </c>
      <c r="I43" s="455">
        <v>0.38</v>
      </c>
      <c r="J43" s="455">
        <v>0.38</v>
      </c>
      <c r="K43" s="443"/>
      <c r="L43" s="443"/>
      <c r="M43" s="449"/>
      <c r="N43" s="443"/>
      <c r="O43" s="443"/>
      <c r="P43" s="443"/>
      <c r="Q43" s="443"/>
      <c r="R43" s="443"/>
    </row>
    <row r="44" spans="1:18" s="227" customFormat="1" x14ac:dyDescent="0.25">
      <c r="A44" s="2010"/>
      <c r="B44" s="424"/>
      <c r="K44" s="452"/>
      <c r="L44" s="452"/>
      <c r="M44" s="426"/>
      <c r="N44" s="443"/>
      <c r="O44" s="443"/>
      <c r="P44" s="443"/>
      <c r="Q44" s="443"/>
      <c r="R44" s="443"/>
    </row>
    <row r="45" spans="1:18" s="227" customFormat="1" x14ac:dyDescent="0.25">
      <c r="A45" s="2010"/>
      <c r="B45" s="424"/>
      <c r="C45" s="1834" t="s">
        <v>1264</v>
      </c>
      <c r="D45" s="430" t="s">
        <v>1271</v>
      </c>
      <c r="E45" s="430"/>
      <c r="F45" s="430" t="s">
        <v>1266</v>
      </c>
      <c r="G45" s="430" t="s">
        <v>1419</v>
      </c>
      <c r="H45" s="444" t="s">
        <v>1270</v>
      </c>
      <c r="I45" s="430" t="s">
        <v>1266</v>
      </c>
      <c r="J45" s="430" t="s">
        <v>1265</v>
      </c>
      <c r="K45" s="443"/>
      <c r="L45" s="443"/>
      <c r="M45" s="426"/>
      <c r="N45" s="443"/>
      <c r="O45" s="443"/>
      <c r="P45" s="443"/>
      <c r="Q45" s="443"/>
      <c r="R45" s="443"/>
    </row>
    <row r="46" spans="1:18" s="227" customFormat="1" x14ac:dyDescent="0.25">
      <c r="A46" s="2010"/>
      <c r="B46" s="424"/>
      <c r="C46" s="1834"/>
      <c r="D46" s="1834" t="s">
        <v>1269</v>
      </c>
      <c r="E46" s="447" t="s">
        <v>1268</v>
      </c>
      <c r="F46" s="457">
        <v>10.1</v>
      </c>
      <c r="G46" s="457">
        <v>10.1</v>
      </c>
      <c r="H46" s="1834" t="s">
        <v>1269</v>
      </c>
      <c r="I46" s="455">
        <f>12/F46</f>
        <v>1.1881188118811881</v>
      </c>
      <c r="J46" s="455">
        <f>12/G46</f>
        <v>1.1881188118811881</v>
      </c>
      <c r="K46" s="443"/>
      <c r="L46" s="443"/>
      <c r="M46" s="426"/>
      <c r="N46" s="443"/>
      <c r="O46" s="443"/>
      <c r="P46" s="443"/>
      <c r="Q46" s="443"/>
      <c r="R46" s="443"/>
    </row>
    <row r="47" spans="1:18" s="227" customFormat="1" x14ac:dyDescent="0.25">
      <c r="A47" s="2010"/>
      <c r="B47" s="424"/>
      <c r="C47" s="1834"/>
      <c r="D47" s="1834"/>
      <c r="E47" s="447" t="s">
        <v>1263</v>
      </c>
      <c r="F47" s="458">
        <v>13.7</v>
      </c>
      <c r="G47" s="458">
        <v>14</v>
      </c>
      <c r="H47" s="1834"/>
      <c r="I47" s="455">
        <f t="shared" ref="I47:J49" si="4">12/F47</f>
        <v>0.87591240875912413</v>
      </c>
      <c r="J47" s="455">
        <f t="shared" si="4"/>
        <v>0.8571428571428571</v>
      </c>
      <c r="K47" s="443"/>
      <c r="L47" s="443"/>
      <c r="M47" s="426"/>
      <c r="N47" s="443"/>
      <c r="O47" s="443"/>
      <c r="P47" s="443"/>
      <c r="Q47" s="443"/>
      <c r="R47" s="443"/>
    </row>
    <row r="48" spans="1:18" s="227" customFormat="1" x14ac:dyDescent="0.25">
      <c r="A48" s="2010"/>
      <c r="B48" s="424"/>
      <c r="C48" s="1834"/>
      <c r="D48" s="1834" t="s">
        <v>1267</v>
      </c>
      <c r="E48" s="447" t="s">
        <v>1268</v>
      </c>
      <c r="F48" s="458">
        <v>9.6999999999999993</v>
      </c>
      <c r="G48" s="458">
        <v>9.6999999999999993</v>
      </c>
      <c r="H48" s="1834" t="s">
        <v>1267</v>
      </c>
      <c r="I48" s="455">
        <f t="shared" si="4"/>
        <v>1.2371134020618557</v>
      </c>
      <c r="J48" s="455">
        <f t="shared" si="4"/>
        <v>1.2371134020618557</v>
      </c>
      <c r="K48" s="443"/>
      <c r="L48" s="443"/>
      <c r="M48" s="426"/>
      <c r="N48" s="443"/>
      <c r="O48" s="443"/>
      <c r="P48" s="443"/>
      <c r="Q48" s="443"/>
      <c r="R48" s="443"/>
    </row>
    <row r="49" spans="1:18" s="227" customFormat="1" x14ac:dyDescent="0.25">
      <c r="A49" s="2010"/>
      <c r="B49" s="424"/>
      <c r="C49" s="1834"/>
      <c r="D49" s="1834"/>
      <c r="E49" s="447" t="s">
        <v>1263</v>
      </c>
      <c r="F49" s="458">
        <v>15.8</v>
      </c>
      <c r="G49" s="458">
        <v>16.100000000000001</v>
      </c>
      <c r="H49" s="1834"/>
      <c r="I49" s="455">
        <f t="shared" si="4"/>
        <v>0.75949367088607589</v>
      </c>
      <c r="J49" s="455">
        <f t="shared" si="4"/>
        <v>0.74534161490683226</v>
      </c>
      <c r="K49" s="443"/>
      <c r="L49" s="443"/>
      <c r="M49" s="426"/>
      <c r="N49" s="443"/>
      <c r="O49" s="443"/>
      <c r="P49" s="443"/>
      <c r="Q49" s="443"/>
      <c r="R49" s="443"/>
    </row>
    <row r="50" spans="1:18" s="227" customFormat="1" x14ac:dyDescent="0.25">
      <c r="C50" s="459" t="s">
        <v>2266</v>
      </c>
      <c r="K50" s="443"/>
      <c r="L50" s="443"/>
      <c r="M50" s="443"/>
      <c r="N50" s="443"/>
      <c r="O50" s="443"/>
      <c r="P50" s="443"/>
      <c r="Q50" s="443"/>
      <c r="R50" s="443"/>
    </row>
    <row r="51" spans="1:18" s="227" customFormat="1" x14ac:dyDescent="0.25"/>
    <row r="52" spans="1:18" s="227" customFormat="1" x14ac:dyDescent="0.25"/>
    <row r="53" spans="1:18" s="227" customFormat="1" x14ac:dyDescent="0.25"/>
    <row r="54" spans="1:18" s="227" customFormat="1" x14ac:dyDescent="0.25"/>
    <row r="55" spans="1:18" s="227" customFormat="1" x14ac:dyDescent="0.25"/>
    <row r="56" spans="1:18" s="227" customFormat="1" ht="25.5" x14ac:dyDescent="0.25">
      <c r="A56" s="2010" t="s">
        <v>2267</v>
      </c>
      <c r="B56" s="424"/>
      <c r="C56" s="2011" t="s">
        <v>2262</v>
      </c>
      <c r="D56" s="444" t="s">
        <v>1270</v>
      </c>
      <c r="E56" s="445"/>
      <c r="F56" s="430" t="s">
        <v>1275</v>
      </c>
      <c r="G56" s="430" t="s">
        <v>1417</v>
      </c>
      <c r="H56" s="430" t="s">
        <v>1418</v>
      </c>
      <c r="I56" s="430" t="s">
        <v>1421</v>
      </c>
      <c r="J56" s="430" t="s">
        <v>1274</v>
      </c>
      <c r="M56" s="426" t="s">
        <v>2263</v>
      </c>
    </row>
    <row r="57" spans="1:18" s="227" customFormat="1" x14ac:dyDescent="0.25">
      <c r="A57" s="2010"/>
      <c r="B57" s="424"/>
      <c r="C57" s="2012"/>
      <c r="D57" s="1833" t="s">
        <v>1269</v>
      </c>
      <c r="E57" s="447" t="s">
        <v>1268</v>
      </c>
      <c r="F57" s="448">
        <f>F34*0.8</f>
        <v>0.60000000000000009</v>
      </c>
      <c r="G57" s="448">
        <f t="shared" ref="G57:J57" si="5">G34*0.8</f>
        <v>0.57599999999999996</v>
      </c>
      <c r="H57" s="448">
        <f t="shared" si="5"/>
        <v>0.52800000000000002</v>
      </c>
      <c r="I57" s="448">
        <f t="shared" si="5"/>
        <v>0.48799999999999999</v>
      </c>
      <c r="J57" s="448">
        <f t="shared" si="5"/>
        <v>0.44800000000000006</v>
      </c>
      <c r="M57" s="449">
        <v>1</v>
      </c>
    </row>
    <row r="58" spans="1:18" s="227" customFormat="1" x14ac:dyDescent="0.25">
      <c r="A58" s="2010"/>
      <c r="B58" s="424"/>
      <c r="C58" s="2012"/>
      <c r="D58" s="1833"/>
      <c r="E58" s="447" t="s">
        <v>1263</v>
      </c>
      <c r="F58" s="448">
        <f t="shared" ref="F58:J60" si="6">F35*0.8</f>
        <v>0.48</v>
      </c>
      <c r="G58" s="448">
        <f t="shared" si="6"/>
        <v>0.44800000000000006</v>
      </c>
      <c r="H58" s="448">
        <f t="shared" si="6"/>
        <v>0.43200000000000005</v>
      </c>
      <c r="I58" s="448">
        <f t="shared" si="6"/>
        <v>0.41600000000000004</v>
      </c>
      <c r="J58" s="448">
        <f t="shared" si="6"/>
        <v>0.4</v>
      </c>
      <c r="M58" s="449">
        <v>2</v>
      </c>
    </row>
    <row r="59" spans="1:18" s="227" customFormat="1" x14ac:dyDescent="0.25">
      <c r="A59" s="2010"/>
      <c r="B59" s="424"/>
      <c r="C59" s="2012"/>
      <c r="D59" s="1833" t="s">
        <v>1267</v>
      </c>
      <c r="E59" s="447" t="s">
        <v>1268</v>
      </c>
      <c r="F59" s="448">
        <f t="shared" si="6"/>
        <v>0.62400000000000011</v>
      </c>
      <c r="G59" s="448">
        <f t="shared" si="6"/>
        <v>0.60000000000000009</v>
      </c>
      <c r="H59" s="448">
        <f t="shared" si="6"/>
        <v>0.54400000000000004</v>
      </c>
      <c r="I59" s="448">
        <f t="shared" si="6"/>
        <v>0.5</v>
      </c>
      <c r="J59" s="448">
        <f t="shared" si="6"/>
        <v>0.46799999999999997</v>
      </c>
      <c r="M59" s="449">
        <v>4</v>
      </c>
    </row>
    <row r="60" spans="1:18" s="227" customFormat="1" x14ac:dyDescent="0.25">
      <c r="A60" s="2010"/>
      <c r="B60" s="424"/>
      <c r="C60" s="2013"/>
      <c r="D60" s="1833"/>
      <c r="E60" s="447" t="s">
        <v>1263</v>
      </c>
      <c r="F60" s="448">
        <f t="shared" si="6"/>
        <v>0.4</v>
      </c>
      <c r="G60" s="448">
        <f t="shared" si="6"/>
        <v>0.39200000000000002</v>
      </c>
      <c r="H60" s="448">
        <f t="shared" si="6"/>
        <v>0.35200000000000004</v>
      </c>
      <c r="I60" s="448">
        <f t="shared" si="6"/>
        <v>0.32800000000000001</v>
      </c>
      <c r="J60" s="448">
        <f t="shared" si="6"/>
        <v>0.30400000000000005</v>
      </c>
      <c r="M60" s="449">
        <v>5</v>
      </c>
    </row>
    <row r="61" spans="1:18" s="227" customFormat="1" x14ac:dyDescent="0.25">
      <c r="A61" s="2010"/>
      <c r="B61" s="424"/>
      <c r="C61" s="450"/>
      <c r="D61" s="451"/>
      <c r="E61" s="451"/>
      <c r="F61" s="452"/>
      <c r="G61" s="452"/>
      <c r="H61" s="452"/>
      <c r="I61" s="452"/>
      <c r="J61" s="452"/>
      <c r="M61" s="426"/>
    </row>
    <row r="62" spans="1:18" s="227" customFormat="1" ht="25.5" x14ac:dyDescent="0.25">
      <c r="A62" s="2010"/>
      <c r="B62" s="424"/>
      <c r="C62" s="1833" t="s">
        <v>235</v>
      </c>
      <c r="D62" s="444" t="s">
        <v>1270</v>
      </c>
      <c r="E62" s="444"/>
      <c r="F62" s="430" t="s">
        <v>1266</v>
      </c>
      <c r="G62" s="430" t="s">
        <v>1418</v>
      </c>
      <c r="H62" s="430" t="s">
        <v>1420</v>
      </c>
      <c r="I62" s="430" t="s">
        <v>1422</v>
      </c>
      <c r="J62" s="430" t="s">
        <v>1274</v>
      </c>
      <c r="M62" s="426"/>
    </row>
    <row r="63" spans="1:18" s="227" customFormat="1" x14ac:dyDescent="0.25">
      <c r="A63" s="2010"/>
      <c r="B63" s="424"/>
      <c r="C63" s="1833"/>
      <c r="D63" s="1833" t="s">
        <v>1269</v>
      </c>
      <c r="E63" s="447" t="s">
        <v>1268</v>
      </c>
      <c r="F63" s="448">
        <f>F40*0.8</f>
        <v>0.48799999999999999</v>
      </c>
      <c r="G63" s="448">
        <f t="shared" ref="G63:J63" si="7">G40*0.8</f>
        <v>0.48799999999999999</v>
      </c>
      <c r="H63" s="448">
        <f t="shared" si="7"/>
        <v>0.44800000000000006</v>
      </c>
      <c r="I63" s="448">
        <f t="shared" si="7"/>
        <v>0.44800000000000006</v>
      </c>
      <c r="J63" s="448">
        <f t="shared" si="7"/>
        <v>0.44800000000000006</v>
      </c>
      <c r="M63" s="449">
        <v>6</v>
      </c>
      <c r="O63" s="426" t="s">
        <v>1273</v>
      </c>
      <c r="P63" s="426"/>
      <c r="Q63" s="426"/>
      <c r="R63" s="426"/>
    </row>
    <row r="64" spans="1:18" s="227" customFormat="1" x14ac:dyDescent="0.25">
      <c r="A64" s="2010"/>
      <c r="B64" s="424"/>
      <c r="C64" s="1833"/>
      <c r="D64" s="1833"/>
      <c r="E64" s="447" t="s">
        <v>1263</v>
      </c>
      <c r="F64" s="448">
        <f t="shared" ref="F64:J66" si="8">F41*0.8</f>
        <v>0.44000000000000006</v>
      </c>
      <c r="G64" s="448">
        <f t="shared" si="8"/>
        <v>0.44000000000000006</v>
      </c>
      <c r="H64" s="448">
        <f t="shared" si="8"/>
        <v>0.41600000000000004</v>
      </c>
      <c r="I64" s="448">
        <f t="shared" si="8"/>
        <v>0.4</v>
      </c>
      <c r="J64" s="448">
        <f t="shared" si="8"/>
        <v>0.4</v>
      </c>
      <c r="M64" s="449">
        <v>7</v>
      </c>
      <c r="O64" s="426"/>
      <c r="P64" s="426" t="s">
        <v>1268</v>
      </c>
      <c r="Q64" s="426" t="s">
        <v>1263</v>
      </c>
      <c r="R64" s="426" t="s">
        <v>1272</v>
      </c>
    </row>
    <row r="65" spans="1:18" s="227" customFormat="1" x14ac:dyDescent="0.25">
      <c r="A65" s="2010"/>
      <c r="B65" s="424"/>
      <c r="C65" s="1833"/>
      <c r="D65" s="1833" t="s">
        <v>1267</v>
      </c>
      <c r="E65" s="447" t="s">
        <v>1268</v>
      </c>
      <c r="F65" s="448">
        <f t="shared" si="8"/>
        <v>0.55599999999999994</v>
      </c>
      <c r="G65" s="448">
        <f t="shared" si="8"/>
        <v>0.50800000000000001</v>
      </c>
      <c r="H65" s="448">
        <f t="shared" si="8"/>
        <v>0.47599999999999998</v>
      </c>
      <c r="I65" s="448">
        <f t="shared" si="8"/>
        <v>0.46799999999999997</v>
      </c>
      <c r="J65" s="448">
        <f t="shared" si="8"/>
        <v>0.46799999999999997</v>
      </c>
      <c r="M65" s="449">
        <v>10</v>
      </c>
      <c r="O65" s="426" t="s">
        <v>2264</v>
      </c>
      <c r="P65" s="443">
        <f>IF($D$5="PD",
IF(AND($D$6&gt;=600,$D$8&lt;=J$34),$M57,
IF(AND($D$6&gt;=300,$D$6&lt;600,$D$8&lt;=$I34),$M57,
IF(AND($D$6&gt;=150,$D$6&lt;300,$D$8&lt;=$H34),$M57,
IF(AND($D$6&gt;=75,$D$6&lt;150,$D$8&lt;=$G34),$M57,
IF(AND($D$6&lt;75,$D$8&lt;=F34),$M57,0))))),
IF($D$5="centrifugal",
IF(AND($D$6&gt;=600,$D$8&lt;=J40),M63,
IF(AND($D$6&gt;=400,$D$6&lt;600,$D$8&lt;=I40),M63,
IF(AND($D$6&gt;=300,$D$6&lt;400,$D$8&lt;=H40),M63,
IF(AND($D$6&gt;=150,$D$6&lt;300,$D$8&lt;=G40),M63,
IF(AND($D$6&lt;150,$D$8&lt;=F40),M63,0))))),
IF($D$5="air-cooled",
IF(AND($D$6&gt;=150,$D$8&lt;=J46),M69,
IF(AND($D$6&lt;150,$D$8&lt;=I46),M69,0)))))</f>
        <v>22</v>
      </c>
      <c r="Q65" s="443">
        <f>IF($D$5="PD",
IF(AND($D$6&gt;=600,$D$9&lt;=J$58),$M58,
IF(AND($D$6&gt;=300,$D$6&lt;600,$D$9&lt;=$I58),$M58,
IF(AND($D$6&gt;=150,$D$6&lt;300,$D$9&lt;=$H58),$M58,
IF(AND($D$6&gt;=75,$D$6&lt;150,$D$9&lt;=$G58),$M58,
IF(AND($D$6&lt;75,$D$9&lt;=$F58),$M58,0))))),
IF($D$5="centrifugal",
IF(AND($D$6&gt;=600,$D$9&lt;=J64),M64,
IF(AND($D$6&gt;=400,$D$6&lt;600,$D$9&lt;=I64),M64,
IF(AND($D$6&gt;=300,$D$6&lt;400,$D$9&lt;=H64),M64,
IF(AND($D$6&gt;=150,$D$6&lt;300,$D$9&lt;=G64),M64,
IF(AND($D$6&lt;150,$D$9&lt;=F64),M64,0))))),
IF($D$5="air-cooled",
IF(AND($D$6&gt;=150,$D$9&lt;=J70),M70,
IF(AND($D$6&lt;150,$D$9&lt;=I70),M70,0)))))</f>
        <v>22</v>
      </c>
      <c r="R65" s="426">
        <f>P65+Q65</f>
        <v>44</v>
      </c>
    </row>
    <row r="66" spans="1:18" s="227" customFormat="1" x14ac:dyDescent="0.25">
      <c r="A66" s="2010"/>
      <c r="B66" s="424"/>
      <c r="C66" s="1833"/>
      <c r="D66" s="1833"/>
      <c r="E66" s="447" t="s">
        <v>1263</v>
      </c>
      <c r="F66" s="448">
        <f t="shared" si="8"/>
        <v>0.35200000000000004</v>
      </c>
      <c r="G66" s="448">
        <f t="shared" si="8"/>
        <v>0.32000000000000006</v>
      </c>
      <c r="H66" s="448">
        <f t="shared" si="8"/>
        <v>0.31200000000000006</v>
      </c>
      <c r="I66" s="448">
        <f t="shared" si="8"/>
        <v>0.30400000000000005</v>
      </c>
      <c r="J66" s="448">
        <f t="shared" si="8"/>
        <v>0.30400000000000005</v>
      </c>
      <c r="M66" s="449">
        <v>11</v>
      </c>
      <c r="O66" s="426" t="s">
        <v>2265</v>
      </c>
      <c r="P66" s="443">
        <f>IF($D$5="PD",
IF(AND($D$6&gt;=600,$D$8&lt;=$J36),$M59,
IF(AND($D$6&gt;=300,$D$6&lt;600,$D$8&lt;=$I36),$M59,
IF(AND($D$6&gt;=150,$D$6&lt;300,$D$8&lt;=$H36),$M59,
IF(AND($D$6&gt;=75,$D$6&lt;150,$D$8&lt;=$G36),$M59,
IF(AND($D$6&lt;75,$D$8&lt;=F36),$M59,0))))),
IF($D$5="centrifugal",
IF(AND($D$6&gt;=600,$D$8&lt;=J42),M65,
IF(AND($D$6&gt;=400,$D$6&lt;600,$D$8&lt;=I42),M65,
IF(AND($D$6&gt;=300,$D$6&lt;400,$D$8&lt;=H42),M65,
IF(AND($D$6&gt;=150,$D$6&lt;300,$D$8&lt;=G42),M65,
IF(AND($D$6&lt;150,$D$8&lt;=F42),M65,0))))),
IF($D$5="air-cooled",
IF(AND($D$6&gt;=150,$D$8&lt;=J48),M71,
IF(AND($D$6&lt;150,$D$8&lt;=I48),M71,0)))))</f>
        <v>34</v>
      </c>
      <c r="Q66" s="443">
        <f>IF($D$5="PD",
IF(AND($D$6&gt;=600,$D$9&lt;=$J60),$M60,
IF(AND($D$6&gt;=300,$D$6&lt;600,$D$9&lt;=$I60),$M60,
IF(AND($D$6&gt;=150,$D$6&lt;300,$D$9&lt;=$H60),$M60,
IF(AND($D$6&gt;=75,$D$6&lt;150,$D$9&lt;=$G60),$M60,
IF(AND($D$6&lt;75,$D$9&lt;=F$60),$M60,0))))),
IF($D$5="centrifugal",
IF(AND($D$6&gt;=600,$D$9&lt;=J66),M66,
IF(AND($D$6&gt;=400,$D$6&lt;600,$D$9&lt;=I66),M66,
IF(AND($D$6&gt;=300,$D$6&lt;400,$D$9&lt;=H66),M66,
IF(AND($D$6&gt;=150,$D$6&lt;300,$D$9&lt;=G66),M66,
IF(AND($D$6&lt;150,$D$9&lt;=F66),M66,0))))),
IF($D$5="air-cooled",
IF(AND($D$6&gt;=150,$D$9&lt;=J72),M72,
IF(AND($D$6&lt;150,$D$9&lt;=I72),M72,0)))))</f>
        <v>0</v>
      </c>
      <c r="R66" s="426">
        <f>P66+Q66</f>
        <v>34</v>
      </c>
    </row>
    <row r="67" spans="1:18" s="227" customFormat="1" x14ac:dyDescent="0.25">
      <c r="A67" s="2010"/>
      <c r="B67" s="424"/>
      <c r="M67" s="426"/>
    </row>
    <row r="68" spans="1:18" s="227" customFormat="1" x14ac:dyDescent="0.25">
      <c r="A68" s="2010"/>
      <c r="B68" s="424"/>
      <c r="C68" s="1834" t="s">
        <v>1264</v>
      </c>
      <c r="D68" s="430" t="s">
        <v>1271</v>
      </c>
      <c r="E68" s="430"/>
      <c r="F68" s="430" t="s">
        <v>1266</v>
      </c>
      <c r="G68" s="430" t="s">
        <v>1419</v>
      </c>
      <c r="H68" s="444" t="s">
        <v>1270</v>
      </c>
      <c r="I68" s="430" t="s">
        <v>1266</v>
      </c>
      <c r="J68" s="430" t="s">
        <v>1265</v>
      </c>
      <c r="M68" s="426"/>
    </row>
    <row r="69" spans="1:18" s="227" customFormat="1" x14ac:dyDescent="0.25">
      <c r="A69" s="2010"/>
      <c r="B69" s="424"/>
      <c r="C69" s="1834"/>
      <c r="D69" s="1834" t="s">
        <v>1269</v>
      </c>
      <c r="E69" s="447" t="s">
        <v>1268</v>
      </c>
      <c r="F69" s="453">
        <f>F46*1.2</f>
        <v>12.12</v>
      </c>
      <c r="G69" s="453">
        <f>G46*1.2</f>
        <v>12.12</v>
      </c>
      <c r="H69" s="1834" t="s">
        <v>1269</v>
      </c>
      <c r="I69" s="448">
        <f t="shared" ref="I69:J72" si="9">12/F69</f>
        <v>0.9900990099009902</v>
      </c>
      <c r="J69" s="448">
        <f t="shared" si="9"/>
        <v>0.9900990099009902</v>
      </c>
      <c r="M69" s="426">
        <v>22</v>
      </c>
    </row>
    <row r="70" spans="1:18" s="227" customFormat="1" ht="14.45" customHeight="1" x14ac:dyDescent="0.25">
      <c r="A70" s="2010"/>
      <c r="B70" s="424"/>
      <c r="C70" s="1834"/>
      <c r="D70" s="1834"/>
      <c r="E70" s="447" t="s">
        <v>1263</v>
      </c>
      <c r="F70" s="453">
        <f t="shared" ref="F70:G72" si="10">F47*1.2</f>
        <v>16.439999999999998</v>
      </c>
      <c r="G70" s="453">
        <f t="shared" si="10"/>
        <v>16.8</v>
      </c>
      <c r="H70" s="1834"/>
      <c r="I70" s="448">
        <f t="shared" si="9"/>
        <v>0.72992700729927018</v>
      </c>
      <c r="J70" s="448">
        <f t="shared" si="9"/>
        <v>0.7142857142857143</v>
      </c>
      <c r="M70" s="426">
        <v>22</v>
      </c>
    </row>
    <row r="71" spans="1:18" s="227" customFormat="1" x14ac:dyDescent="0.25">
      <c r="A71" s="2010"/>
      <c r="B71" s="424"/>
      <c r="C71" s="1834"/>
      <c r="D71" s="1834" t="s">
        <v>1267</v>
      </c>
      <c r="E71" s="447" t="s">
        <v>1268</v>
      </c>
      <c r="F71" s="453">
        <f t="shared" si="10"/>
        <v>11.639999999999999</v>
      </c>
      <c r="G71" s="453">
        <f t="shared" si="10"/>
        <v>11.639999999999999</v>
      </c>
      <c r="H71" s="1834" t="s">
        <v>1267</v>
      </c>
      <c r="I71" s="448">
        <f t="shared" si="9"/>
        <v>1.0309278350515465</v>
      </c>
      <c r="J71" s="448">
        <f t="shared" si="9"/>
        <v>1.0309278350515465</v>
      </c>
      <c r="M71" s="426">
        <v>34</v>
      </c>
    </row>
    <row r="72" spans="1:18" s="227" customFormat="1" x14ac:dyDescent="0.25">
      <c r="A72" s="2010"/>
      <c r="B72" s="424"/>
      <c r="C72" s="1834"/>
      <c r="D72" s="1834"/>
      <c r="E72" s="447" t="s">
        <v>1263</v>
      </c>
      <c r="F72" s="453">
        <f t="shared" si="10"/>
        <v>18.96</v>
      </c>
      <c r="G72" s="453">
        <f t="shared" si="10"/>
        <v>19.32</v>
      </c>
      <c r="H72" s="1834"/>
      <c r="I72" s="448">
        <f t="shared" si="9"/>
        <v>0.63291139240506322</v>
      </c>
      <c r="J72" s="448">
        <f t="shared" si="9"/>
        <v>0.6211180124223602</v>
      </c>
      <c r="M72" s="426">
        <v>36</v>
      </c>
    </row>
    <row r="73" spans="1:18" s="227" customFormat="1" x14ac:dyDescent="0.25"/>
    <row r="74" spans="1:18" s="227" customFormat="1" x14ac:dyDescent="0.25"/>
    <row r="75" spans="1:18" s="227" customFormat="1" x14ac:dyDescent="0.25">
      <c r="M75" s="426" t="s">
        <v>2268</v>
      </c>
      <c r="O75" s="426"/>
    </row>
    <row r="76" spans="1:18" s="227" customFormat="1" x14ac:dyDescent="0.25">
      <c r="M76" s="426"/>
      <c r="N76" s="429" t="s">
        <v>2269</v>
      </c>
    </row>
    <row r="77" spans="1:18" s="227" customFormat="1" x14ac:dyDescent="0.25">
      <c r="M77" s="426"/>
      <c r="N77" s="427" t="s">
        <v>2270</v>
      </c>
    </row>
    <row r="78" spans="1:18" s="227" customFormat="1" x14ac:dyDescent="0.25"/>
    <row r="79" spans="1:18" s="227" customFormat="1" x14ac:dyDescent="0.25"/>
    <row r="80" spans="1:18" s="227" customFormat="1" x14ac:dyDescent="0.25"/>
    <row r="81" s="227" customFormat="1" x14ac:dyDescent="0.25"/>
    <row r="82" s="227" customFormat="1" x14ac:dyDescent="0.25"/>
    <row r="83" s="227" customFormat="1" x14ac:dyDescent="0.25"/>
    <row r="84" s="227" customFormat="1" x14ac:dyDescent="0.25"/>
    <row r="85" s="227" customFormat="1" x14ac:dyDescent="0.25"/>
    <row r="86" s="227" customFormat="1" x14ac:dyDescent="0.25"/>
    <row r="87" s="227" customFormat="1" x14ac:dyDescent="0.25"/>
    <row r="88" s="227" customFormat="1" x14ac:dyDescent="0.25"/>
    <row r="89" s="227" customFormat="1" x14ac:dyDescent="0.25"/>
    <row r="90" s="227" customFormat="1" x14ac:dyDescent="0.25"/>
    <row r="91" s="227" customFormat="1" x14ac:dyDescent="0.25"/>
    <row r="92" s="227" customFormat="1" x14ac:dyDescent="0.25"/>
    <row r="93" s="227" customFormat="1" x14ac:dyDescent="0.25"/>
    <row r="94" s="227" customFormat="1" x14ac:dyDescent="0.25"/>
    <row r="95" s="227" customFormat="1" x14ac:dyDescent="0.25"/>
    <row r="96" s="227" customFormat="1" x14ac:dyDescent="0.25"/>
    <row r="97" s="227" customFormat="1" x14ac:dyDescent="0.25"/>
    <row r="98" s="227" customFormat="1" x14ac:dyDescent="0.25"/>
    <row r="99" s="227" customFormat="1" x14ac:dyDescent="0.25"/>
    <row r="100" s="227" customFormat="1" x14ac:dyDescent="0.25"/>
    <row r="101" s="227" customFormat="1" x14ac:dyDescent="0.25"/>
    <row r="102" s="227" customFormat="1" x14ac:dyDescent="0.25"/>
    <row r="103" s="227" customFormat="1" x14ac:dyDescent="0.25"/>
    <row r="104" s="227" customFormat="1" x14ac:dyDescent="0.25"/>
    <row r="105" s="227" customFormat="1" x14ac:dyDescent="0.25"/>
    <row r="106" s="227" customFormat="1" x14ac:dyDescent="0.25"/>
    <row r="107" s="227" customFormat="1" x14ac:dyDescent="0.25"/>
    <row r="108" s="227" customFormat="1" x14ac:dyDescent="0.25"/>
    <row r="109" s="227" customFormat="1" x14ac:dyDescent="0.25"/>
    <row r="110" s="227" customFormat="1" x14ac:dyDescent="0.25"/>
    <row r="111" s="227" customFormat="1" x14ac:dyDescent="0.25"/>
    <row r="112" s="227" customFormat="1" x14ac:dyDescent="0.25"/>
    <row r="113" s="227" customFormat="1" x14ac:dyDescent="0.25"/>
    <row r="114" s="227" customFormat="1" x14ac:dyDescent="0.25"/>
    <row r="115" s="227" customFormat="1" x14ac:dyDescent="0.25"/>
    <row r="116" s="227" customFormat="1" x14ac:dyDescent="0.25"/>
    <row r="117" s="227" customFormat="1" x14ac:dyDescent="0.25"/>
    <row r="118" s="227" customFormat="1" x14ac:dyDescent="0.25"/>
    <row r="119" s="227" customFormat="1" x14ac:dyDescent="0.25"/>
    <row r="120" s="227" customFormat="1" x14ac:dyDescent="0.25"/>
    <row r="121" s="227" customFormat="1" x14ac:dyDescent="0.25"/>
    <row r="122" s="227" customFormat="1" x14ac:dyDescent="0.25"/>
    <row r="123" s="227" customFormat="1" x14ac:dyDescent="0.25"/>
    <row r="124" s="227" customFormat="1" x14ac:dyDescent="0.25"/>
    <row r="125" s="227" customFormat="1" x14ac:dyDescent="0.25"/>
    <row r="126" s="227" customFormat="1" x14ac:dyDescent="0.25"/>
    <row r="127" s="227" customFormat="1" x14ac:dyDescent="0.25"/>
    <row r="128" s="227" customFormat="1" x14ac:dyDescent="0.25"/>
    <row r="129" s="227" customFormat="1" x14ac:dyDescent="0.25"/>
    <row r="130" s="227" customFormat="1" x14ac:dyDescent="0.25"/>
    <row r="131" s="227" customFormat="1" x14ac:dyDescent="0.25"/>
    <row r="132" s="227" customFormat="1" x14ac:dyDescent="0.25"/>
    <row r="133" s="227" customFormat="1" x14ac:dyDescent="0.25"/>
    <row r="134" s="227" customFormat="1" x14ac:dyDescent="0.25"/>
    <row r="135" s="227" customFormat="1" x14ac:dyDescent="0.25"/>
    <row r="136" s="227" customFormat="1" x14ac:dyDescent="0.25"/>
    <row r="137" s="227" customFormat="1" x14ac:dyDescent="0.25"/>
    <row r="138" s="227" customFormat="1" x14ac:dyDescent="0.25"/>
    <row r="139" s="227" customFormat="1" x14ac:dyDescent="0.25"/>
    <row r="140" s="227" customFormat="1" x14ac:dyDescent="0.25"/>
    <row r="141" s="227" customFormat="1" x14ac:dyDescent="0.25"/>
    <row r="142" s="227" customFormat="1" x14ac:dyDescent="0.25"/>
    <row r="143" s="227" customFormat="1" x14ac:dyDescent="0.25"/>
    <row r="144" s="227" customFormat="1" x14ac:dyDescent="0.25"/>
    <row r="145" s="227" customFormat="1" x14ac:dyDescent="0.25"/>
    <row r="146" s="227" customFormat="1" x14ac:dyDescent="0.25"/>
    <row r="147" s="227" customFormat="1" x14ac:dyDescent="0.25"/>
    <row r="148" s="227" customFormat="1" x14ac:dyDescent="0.25"/>
    <row r="149" s="227" customFormat="1" x14ac:dyDescent="0.25"/>
    <row r="150" s="227" customFormat="1" x14ac:dyDescent="0.25"/>
    <row r="151" s="227" customFormat="1" x14ac:dyDescent="0.25"/>
    <row r="152" s="227" customFormat="1" x14ac:dyDescent="0.25"/>
    <row r="153" s="227" customFormat="1" x14ac:dyDescent="0.25"/>
    <row r="154" s="227" customFormat="1" x14ac:dyDescent="0.25"/>
    <row r="155" s="227" customFormat="1" x14ac:dyDescent="0.25"/>
    <row r="156" s="227" customFormat="1" x14ac:dyDescent="0.25"/>
    <row r="157" s="227" customFormat="1" x14ac:dyDescent="0.25"/>
    <row r="158" s="227" customFormat="1" x14ac:dyDescent="0.25"/>
    <row r="159" s="227" customFormat="1" x14ac:dyDescent="0.25"/>
    <row r="160" s="227" customFormat="1" x14ac:dyDescent="0.25"/>
    <row r="161" s="227" customFormat="1" x14ac:dyDescent="0.25"/>
    <row r="162" s="227" customFormat="1" x14ac:dyDescent="0.25"/>
    <row r="163" s="227" customFormat="1" x14ac:dyDescent="0.25"/>
    <row r="164" s="227" customFormat="1" x14ac:dyDescent="0.25"/>
    <row r="165" s="227" customFormat="1" x14ac:dyDescent="0.25"/>
    <row r="166" s="227" customFormat="1" x14ac:dyDescent="0.25"/>
    <row r="167" s="227" customFormat="1" x14ac:dyDescent="0.25"/>
    <row r="168" s="227" customFormat="1" x14ac:dyDescent="0.25"/>
    <row r="169" s="227" customFormat="1" x14ac:dyDescent="0.25"/>
    <row r="170" s="227" customFormat="1" x14ac:dyDescent="0.25"/>
    <row r="171" s="227" customFormat="1" x14ac:dyDescent="0.25"/>
    <row r="172" s="227" customFormat="1" x14ac:dyDescent="0.25"/>
    <row r="173" s="227" customFormat="1" x14ac:dyDescent="0.25"/>
    <row r="174" s="227" customFormat="1" x14ac:dyDescent="0.25"/>
    <row r="175" s="227" customFormat="1" x14ac:dyDescent="0.25"/>
    <row r="176" s="227" customFormat="1" x14ac:dyDescent="0.25"/>
    <row r="177" s="227" customFormat="1" x14ac:dyDescent="0.25"/>
    <row r="178" s="227" customFormat="1" x14ac:dyDescent="0.25"/>
    <row r="179" s="227" customFormat="1" x14ac:dyDescent="0.25"/>
    <row r="180" s="227" customFormat="1" x14ac:dyDescent="0.25"/>
    <row r="181" s="227" customFormat="1" x14ac:dyDescent="0.25"/>
    <row r="182" s="227" customFormat="1" x14ac:dyDescent="0.25"/>
    <row r="183" s="227" customFormat="1" x14ac:dyDescent="0.25"/>
    <row r="184" s="227" customFormat="1" x14ac:dyDescent="0.25"/>
    <row r="185" s="227" customFormat="1" x14ac:dyDescent="0.25"/>
    <row r="186" s="227" customFormat="1" x14ac:dyDescent="0.25"/>
    <row r="187" s="227" customFormat="1" x14ac:dyDescent="0.25"/>
    <row r="188" s="227" customFormat="1" x14ac:dyDescent="0.25"/>
    <row r="189" s="227" customFormat="1" x14ac:dyDescent="0.25"/>
    <row r="190" s="227" customFormat="1" x14ac:dyDescent="0.25"/>
    <row r="191" s="227" customFormat="1" x14ac:dyDescent="0.25"/>
    <row r="192" s="227" customFormat="1" x14ac:dyDescent="0.25"/>
    <row r="193" s="227" customFormat="1" x14ac:dyDescent="0.25"/>
    <row r="194" s="227" customFormat="1" x14ac:dyDescent="0.25"/>
    <row r="195" s="227" customFormat="1" x14ac:dyDescent="0.25"/>
    <row r="196" s="227" customFormat="1" x14ac:dyDescent="0.25"/>
    <row r="197" s="227" customFormat="1" x14ac:dyDescent="0.25"/>
    <row r="198" s="227" customFormat="1" x14ac:dyDescent="0.25"/>
    <row r="199" s="227" customFormat="1" x14ac:dyDescent="0.25"/>
    <row r="200" s="227" customFormat="1" x14ac:dyDescent="0.25"/>
    <row r="201" s="227" customFormat="1" x14ac:dyDescent="0.25"/>
    <row r="202" s="227" customFormat="1" x14ac:dyDescent="0.25"/>
    <row r="203" s="227" customFormat="1" x14ac:dyDescent="0.25"/>
    <row r="204" s="227" customFormat="1" x14ac:dyDescent="0.25"/>
    <row r="205" s="227" customFormat="1" x14ac:dyDescent="0.25"/>
    <row r="206" s="227" customFormat="1" x14ac:dyDescent="0.25"/>
    <row r="207" s="227" customFormat="1" x14ac:dyDescent="0.25"/>
    <row r="208" s="227" customFormat="1" x14ac:dyDescent="0.25"/>
    <row r="209" s="227" customFormat="1" x14ac:dyDescent="0.25"/>
    <row r="210" s="227" customFormat="1" x14ac:dyDescent="0.25"/>
    <row r="211" s="227" customFormat="1" x14ac:dyDescent="0.25"/>
    <row r="212" s="227" customFormat="1" x14ac:dyDescent="0.25"/>
    <row r="213" s="227" customFormat="1" x14ac:dyDescent="0.25"/>
    <row r="214" s="227" customFormat="1" x14ac:dyDescent="0.25"/>
    <row r="215" s="227" customFormat="1" x14ac:dyDescent="0.25"/>
    <row r="216" s="227" customFormat="1" x14ac:dyDescent="0.25"/>
    <row r="217" s="227" customFormat="1" x14ac:dyDescent="0.25"/>
    <row r="218" s="227" customFormat="1" x14ac:dyDescent="0.25"/>
    <row r="219" s="227" customFormat="1" x14ac:dyDescent="0.25"/>
    <row r="220" s="227" customFormat="1" x14ac:dyDescent="0.25"/>
    <row r="221" s="227" customFormat="1" x14ac:dyDescent="0.25"/>
    <row r="222" s="227" customFormat="1" x14ac:dyDescent="0.25"/>
    <row r="223" s="227" customFormat="1" x14ac:dyDescent="0.25"/>
    <row r="224" s="227" customFormat="1" x14ac:dyDescent="0.25"/>
    <row r="225" s="227" customFormat="1" x14ac:dyDescent="0.25"/>
    <row r="226" s="227" customFormat="1" x14ac:dyDescent="0.25"/>
    <row r="227" s="227" customFormat="1" x14ac:dyDescent="0.25"/>
    <row r="228" s="227" customFormat="1" x14ac:dyDescent="0.25"/>
    <row r="229" s="227" customFormat="1" x14ac:dyDescent="0.25"/>
    <row r="230" s="227" customFormat="1" x14ac:dyDescent="0.25"/>
    <row r="231" s="227" customFormat="1" x14ac:dyDescent="0.25"/>
    <row r="232" s="227" customFormat="1" x14ac:dyDescent="0.25"/>
    <row r="233" s="227" customFormat="1" x14ac:dyDescent="0.25"/>
    <row r="234" s="227" customFormat="1" x14ac:dyDescent="0.25"/>
    <row r="235" s="227" customFormat="1" x14ac:dyDescent="0.25"/>
    <row r="236" s="227" customFormat="1" x14ac:dyDescent="0.25"/>
    <row r="237" s="227" customFormat="1" x14ac:dyDescent="0.25"/>
    <row r="238" s="227" customFormat="1" x14ac:dyDescent="0.25"/>
    <row r="239" s="227" customFormat="1" x14ac:dyDescent="0.25"/>
    <row r="240" s="227" customFormat="1" x14ac:dyDescent="0.25"/>
    <row r="241" s="227" customFormat="1" x14ac:dyDescent="0.25"/>
    <row r="242" s="227" customFormat="1" x14ac:dyDescent="0.25"/>
    <row r="243" s="227" customFormat="1" x14ac:dyDescent="0.25"/>
    <row r="244" s="227" customFormat="1" x14ac:dyDescent="0.25"/>
    <row r="245" s="227" customFormat="1" x14ac:dyDescent="0.25"/>
    <row r="246" s="227" customFormat="1" x14ac:dyDescent="0.25"/>
    <row r="247" s="227" customFormat="1" x14ac:dyDescent="0.25"/>
    <row r="248" s="227" customFormat="1" x14ac:dyDescent="0.25"/>
    <row r="249" s="227" customFormat="1" x14ac:dyDescent="0.25"/>
    <row r="250" s="227" customFormat="1" x14ac:dyDescent="0.25"/>
    <row r="251" s="227" customFormat="1" x14ac:dyDescent="0.25"/>
    <row r="252" s="227" customFormat="1" x14ac:dyDescent="0.25"/>
    <row r="253" s="227" customFormat="1" x14ac:dyDescent="0.25"/>
    <row r="254" s="227" customFormat="1" x14ac:dyDescent="0.25"/>
    <row r="255" s="227" customFormat="1" x14ac:dyDescent="0.25"/>
    <row r="256" s="227" customFormat="1" x14ac:dyDescent="0.25"/>
    <row r="257" s="227" customFormat="1" x14ac:dyDescent="0.25"/>
    <row r="258" s="227" customFormat="1" x14ac:dyDescent="0.25"/>
    <row r="259" s="227" customFormat="1" x14ac:dyDescent="0.25"/>
    <row r="260" s="227" customFormat="1" x14ac:dyDescent="0.25"/>
    <row r="261" s="227" customFormat="1" x14ac:dyDescent="0.25"/>
    <row r="262" s="227" customFormat="1" x14ac:dyDescent="0.25"/>
    <row r="263" s="227" customFormat="1" x14ac:dyDescent="0.25"/>
    <row r="264" s="227" customFormat="1" x14ac:dyDescent="0.25"/>
    <row r="265" s="227" customFormat="1" x14ac:dyDescent="0.25"/>
    <row r="266" s="227" customFormat="1" x14ac:dyDescent="0.25"/>
    <row r="267" s="227" customFormat="1" x14ac:dyDescent="0.25"/>
    <row r="268" s="227" customFormat="1" x14ac:dyDescent="0.25"/>
    <row r="269" s="227" customFormat="1" x14ac:dyDescent="0.25"/>
    <row r="270" s="227" customFormat="1" x14ac:dyDescent="0.25"/>
    <row r="271" s="227" customFormat="1" x14ac:dyDescent="0.25"/>
    <row r="272" s="227" customFormat="1" x14ac:dyDescent="0.25"/>
    <row r="273" s="227" customFormat="1" x14ac:dyDescent="0.25"/>
    <row r="274" s="227" customFormat="1" x14ac:dyDescent="0.25"/>
    <row r="275" s="227" customFormat="1" x14ac:dyDescent="0.25"/>
    <row r="276" s="227" customFormat="1" x14ac:dyDescent="0.25"/>
    <row r="277" s="227" customFormat="1" x14ac:dyDescent="0.25"/>
    <row r="278" s="227" customFormat="1" x14ac:dyDescent="0.25"/>
    <row r="279" s="227" customFormat="1" x14ac:dyDescent="0.25"/>
    <row r="280" s="227" customFormat="1" x14ac:dyDescent="0.25"/>
    <row r="281" s="227" customFormat="1" x14ac:dyDescent="0.25"/>
    <row r="282" s="227" customFormat="1" x14ac:dyDescent="0.25"/>
    <row r="283" s="227" customFormat="1" x14ac:dyDescent="0.25"/>
    <row r="284" s="227" customFormat="1" x14ac:dyDescent="0.25"/>
    <row r="285" s="227" customFormat="1" x14ac:dyDescent="0.25"/>
    <row r="286" s="227" customFormat="1" x14ac:dyDescent="0.25"/>
    <row r="287" s="227" customFormat="1" x14ac:dyDescent="0.25"/>
    <row r="288" s="227" customFormat="1" x14ac:dyDescent="0.25"/>
    <row r="289" s="227" customFormat="1" x14ac:dyDescent="0.25"/>
    <row r="290" s="227" customFormat="1" x14ac:dyDescent="0.25"/>
    <row r="291" s="227" customFormat="1" x14ac:dyDescent="0.25"/>
    <row r="292" s="227" customFormat="1" x14ac:dyDescent="0.25"/>
    <row r="293" s="227" customFormat="1" x14ac:dyDescent="0.25"/>
    <row r="294" s="227" customFormat="1" x14ac:dyDescent="0.25"/>
    <row r="295" s="227" customFormat="1" x14ac:dyDescent="0.25"/>
    <row r="296" s="227" customFormat="1" x14ac:dyDescent="0.25"/>
    <row r="297" s="227" customFormat="1" x14ac:dyDescent="0.25"/>
    <row r="298" s="227" customFormat="1" x14ac:dyDescent="0.25"/>
    <row r="299" s="227" customFormat="1" x14ac:dyDescent="0.25"/>
    <row r="300" s="227" customFormat="1" x14ac:dyDescent="0.25"/>
    <row r="301" s="227" customFormat="1" x14ac:dyDescent="0.25"/>
    <row r="302" s="227" customFormat="1" x14ac:dyDescent="0.25"/>
    <row r="303" s="227" customFormat="1" x14ac:dyDescent="0.25"/>
    <row r="304" s="227" customFormat="1" x14ac:dyDescent="0.25"/>
    <row r="305" s="227" customFormat="1" x14ac:dyDescent="0.25"/>
    <row r="306" s="227" customFormat="1" x14ac:dyDescent="0.25"/>
    <row r="307" s="227" customFormat="1" x14ac:dyDescent="0.25"/>
    <row r="308" s="227" customFormat="1" x14ac:dyDescent="0.25"/>
    <row r="309" s="227" customFormat="1" x14ac:dyDescent="0.25"/>
    <row r="310" s="227" customFormat="1" x14ac:dyDescent="0.25"/>
    <row r="311" s="227" customFormat="1" x14ac:dyDescent="0.25"/>
    <row r="312" s="227" customFormat="1" x14ac:dyDescent="0.25"/>
    <row r="313" s="227" customFormat="1" x14ac:dyDescent="0.25"/>
    <row r="314" s="227" customFormat="1" x14ac:dyDescent="0.25"/>
    <row r="315" s="227" customFormat="1" x14ac:dyDescent="0.25"/>
    <row r="316" s="227" customFormat="1" x14ac:dyDescent="0.25"/>
    <row r="317" s="227" customFormat="1" x14ac:dyDescent="0.25"/>
    <row r="318" s="227" customFormat="1" x14ac:dyDescent="0.25"/>
    <row r="319" s="227" customFormat="1" x14ac:dyDescent="0.25"/>
    <row r="320" s="227" customFormat="1" x14ac:dyDescent="0.25"/>
    <row r="321" s="227" customFormat="1" x14ac:dyDescent="0.25"/>
    <row r="322" s="227" customFormat="1" x14ac:dyDescent="0.25"/>
    <row r="323" s="227" customFormat="1" x14ac:dyDescent="0.25"/>
    <row r="324" s="227" customFormat="1" x14ac:dyDescent="0.25"/>
    <row r="325" s="227" customFormat="1" x14ac:dyDescent="0.25"/>
    <row r="326" s="227" customFormat="1" x14ac:dyDescent="0.25"/>
    <row r="327" s="227" customFormat="1" x14ac:dyDescent="0.25"/>
    <row r="328" s="227" customFormat="1" x14ac:dyDescent="0.25"/>
    <row r="329" s="227" customFormat="1" x14ac:dyDescent="0.25"/>
    <row r="330" s="227" customFormat="1" x14ac:dyDescent="0.25"/>
    <row r="331" s="227" customFormat="1" x14ac:dyDescent="0.25"/>
    <row r="332" s="227" customFormat="1" x14ac:dyDescent="0.25"/>
    <row r="333" s="227" customFormat="1" x14ac:dyDescent="0.25"/>
    <row r="334" s="227" customFormat="1" x14ac:dyDescent="0.25"/>
    <row r="335" s="227" customFormat="1" x14ac:dyDescent="0.25"/>
    <row r="336" s="227" customFormat="1" x14ac:dyDescent="0.25"/>
    <row r="337" s="227" customFormat="1" x14ac:dyDescent="0.25"/>
    <row r="338" s="227" customFormat="1" x14ac:dyDescent="0.25"/>
    <row r="339" s="227" customFormat="1" x14ac:dyDescent="0.25"/>
    <row r="340" s="227" customFormat="1" x14ac:dyDescent="0.25"/>
    <row r="341" s="227" customFormat="1" x14ac:dyDescent="0.25"/>
    <row r="342" s="227" customFormat="1" x14ac:dyDescent="0.25"/>
    <row r="343" s="227" customFormat="1" x14ac:dyDescent="0.25"/>
    <row r="344" s="227" customFormat="1" x14ac:dyDescent="0.25"/>
    <row r="345" s="227" customFormat="1" x14ac:dyDescent="0.25"/>
    <row r="346" s="227" customFormat="1" x14ac:dyDescent="0.25"/>
    <row r="347" s="227" customFormat="1" x14ac:dyDescent="0.25"/>
    <row r="348" s="227" customFormat="1" x14ac:dyDescent="0.25"/>
    <row r="349" s="227" customFormat="1" x14ac:dyDescent="0.25"/>
    <row r="350" s="227" customFormat="1" x14ac:dyDescent="0.25"/>
    <row r="351" s="227" customFormat="1" x14ac:dyDescent="0.25"/>
    <row r="352" s="227" customFormat="1" x14ac:dyDescent="0.25"/>
    <row r="353" s="227" customFormat="1" x14ac:dyDescent="0.25"/>
    <row r="354" s="227" customFormat="1" x14ac:dyDescent="0.25"/>
    <row r="355" s="227" customFormat="1" x14ac:dyDescent="0.25"/>
    <row r="356" s="227" customFormat="1" x14ac:dyDescent="0.25"/>
    <row r="357" s="227" customFormat="1" x14ac:dyDescent="0.25"/>
    <row r="358" s="227" customFormat="1" x14ac:dyDescent="0.25"/>
    <row r="359" s="227" customFormat="1" x14ac:dyDescent="0.25"/>
    <row r="360" s="227" customFormat="1" x14ac:dyDescent="0.25"/>
    <row r="361" s="227" customFormat="1" x14ac:dyDescent="0.25"/>
    <row r="362" s="227" customFormat="1" x14ac:dyDescent="0.25"/>
    <row r="363" s="227" customFormat="1" x14ac:dyDescent="0.25"/>
    <row r="364" s="227" customFormat="1" x14ac:dyDescent="0.25"/>
    <row r="365" s="227" customFormat="1" x14ac:dyDescent="0.25"/>
    <row r="366" s="227" customFormat="1" x14ac:dyDescent="0.25"/>
    <row r="367" s="227" customFormat="1" x14ac:dyDescent="0.25"/>
    <row r="368" s="227" customFormat="1" x14ac:dyDescent="0.25"/>
    <row r="369" s="227" customFormat="1" x14ac:dyDescent="0.25"/>
    <row r="370" s="227" customFormat="1" x14ac:dyDescent="0.25"/>
    <row r="371" s="227" customFormat="1" x14ac:dyDescent="0.25"/>
    <row r="372" s="227" customFormat="1" x14ac:dyDescent="0.25"/>
    <row r="373" s="227" customFormat="1" x14ac:dyDescent="0.25"/>
    <row r="374" s="227" customFormat="1" x14ac:dyDescent="0.25"/>
    <row r="375" s="227" customFormat="1" x14ac:dyDescent="0.25"/>
    <row r="376" s="227" customFormat="1" x14ac:dyDescent="0.25"/>
    <row r="377" s="227" customFormat="1" x14ac:dyDescent="0.25"/>
    <row r="378" s="227" customFormat="1" x14ac:dyDescent="0.25"/>
    <row r="379" s="227" customFormat="1" x14ac:dyDescent="0.25"/>
    <row r="380" s="227" customFormat="1" x14ac:dyDescent="0.25"/>
    <row r="381" s="227" customFormat="1" x14ac:dyDescent="0.25"/>
    <row r="382" s="227" customFormat="1" x14ac:dyDescent="0.25"/>
    <row r="383" s="227" customFormat="1" x14ac:dyDescent="0.25"/>
    <row r="384" s="227" customFormat="1" x14ac:dyDescent="0.25"/>
    <row r="385" s="227" customFormat="1" x14ac:dyDescent="0.25"/>
    <row r="386" s="227" customFormat="1" x14ac:dyDescent="0.25"/>
    <row r="387" s="227" customFormat="1" x14ac:dyDescent="0.25"/>
    <row r="388" s="227" customFormat="1" x14ac:dyDescent="0.25"/>
    <row r="389" s="227" customFormat="1" x14ac:dyDescent="0.25"/>
    <row r="390" s="227" customFormat="1" x14ac:dyDescent="0.25"/>
    <row r="391" s="227" customFormat="1" x14ac:dyDescent="0.25"/>
    <row r="392" s="227" customFormat="1" x14ac:dyDescent="0.25"/>
    <row r="393" s="227" customFormat="1" x14ac:dyDescent="0.25"/>
    <row r="394" s="227" customFormat="1" x14ac:dyDescent="0.25"/>
    <row r="395" s="227" customFormat="1" x14ac:dyDescent="0.25"/>
    <row r="396" s="227" customFormat="1" x14ac:dyDescent="0.25"/>
    <row r="397" s="227" customFormat="1" x14ac:dyDescent="0.25"/>
    <row r="398" s="227" customFormat="1" x14ac:dyDescent="0.25"/>
    <row r="399" s="227" customFormat="1" x14ac:dyDescent="0.25"/>
    <row r="400" s="227" customFormat="1" x14ac:dyDescent="0.25"/>
    <row r="401" s="227" customFormat="1" x14ac:dyDescent="0.25"/>
    <row r="402" s="227" customFormat="1" x14ac:dyDescent="0.25"/>
    <row r="403" s="227" customFormat="1" x14ac:dyDescent="0.25"/>
    <row r="404" s="227" customFormat="1" x14ac:dyDescent="0.25"/>
    <row r="405" s="227" customFormat="1" x14ac:dyDescent="0.25"/>
    <row r="406" s="227" customFormat="1" x14ac:dyDescent="0.25"/>
    <row r="407" s="227" customFormat="1" x14ac:dyDescent="0.25"/>
    <row r="408" s="227" customFormat="1" x14ac:dyDescent="0.25"/>
    <row r="409" s="227" customFormat="1" x14ac:dyDescent="0.25"/>
    <row r="410" s="227" customFormat="1" x14ac:dyDescent="0.25"/>
    <row r="411" s="227" customFormat="1" x14ac:dyDescent="0.25"/>
    <row r="412" s="227" customFormat="1" x14ac:dyDescent="0.25"/>
    <row r="413" s="227" customFormat="1" x14ac:dyDescent="0.25"/>
    <row r="414" s="227" customFormat="1" x14ac:dyDescent="0.25"/>
    <row r="415" s="227" customFormat="1" x14ac:dyDescent="0.25"/>
    <row r="416" s="227" customFormat="1" x14ac:dyDescent="0.25"/>
    <row r="417" s="227" customFormat="1" x14ac:dyDescent="0.25"/>
    <row r="418" s="227" customFormat="1" x14ac:dyDescent="0.25"/>
    <row r="419" s="227" customFormat="1" x14ac:dyDescent="0.25"/>
    <row r="420" s="227" customFormat="1" x14ac:dyDescent="0.25"/>
    <row r="421" s="227" customFormat="1" x14ac:dyDescent="0.25"/>
    <row r="422" s="227" customFormat="1" x14ac:dyDescent="0.25"/>
    <row r="423" s="227" customFormat="1" x14ac:dyDescent="0.25"/>
    <row r="424" s="227" customFormat="1" x14ac:dyDescent="0.25"/>
    <row r="425" s="227" customFormat="1" x14ac:dyDescent="0.25"/>
    <row r="426" s="227" customFormat="1" x14ac:dyDescent="0.25"/>
    <row r="427" s="227" customFormat="1" x14ac:dyDescent="0.25"/>
    <row r="428" s="227" customFormat="1" x14ac:dyDescent="0.25"/>
    <row r="429" s="227" customFormat="1" x14ac:dyDescent="0.25"/>
    <row r="430" s="227" customFormat="1" x14ac:dyDescent="0.25"/>
    <row r="431" s="227" customFormat="1" x14ac:dyDescent="0.25"/>
    <row r="432" s="227" customFormat="1" x14ac:dyDescent="0.25"/>
    <row r="433" s="227" customFormat="1" x14ac:dyDescent="0.25"/>
    <row r="434" s="227" customFormat="1" x14ac:dyDescent="0.25"/>
    <row r="435" s="227" customFormat="1" x14ac:dyDescent="0.25"/>
    <row r="436" s="227" customFormat="1" x14ac:dyDescent="0.25"/>
    <row r="437" s="227" customFormat="1" x14ac:dyDescent="0.25"/>
    <row r="438" s="227" customFormat="1" x14ac:dyDescent="0.25"/>
    <row r="439" s="227" customFormat="1" x14ac:dyDescent="0.25"/>
    <row r="440" s="227" customFormat="1" x14ac:dyDescent="0.25"/>
    <row r="441" s="227" customFormat="1" x14ac:dyDescent="0.25"/>
    <row r="442" s="227" customFormat="1" x14ac:dyDescent="0.25"/>
    <row r="443" s="227" customFormat="1" x14ac:dyDescent="0.25"/>
    <row r="444" s="227" customFormat="1" x14ac:dyDescent="0.25"/>
    <row r="445" s="227" customFormat="1" x14ac:dyDescent="0.25"/>
    <row r="446" s="227" customFormat="1" x14ac:dyDescent="0.25"/>
    <row r="447" s="227" customFormat="1" x14ac:dyDescent="0.25"/>
    <row r="448" s="227" customFormat="1" x14ac:dyDescent="0.25"/>
    <row r="449" s="227" customFormat="1" x14ac:dyDescent="0.25"/>
    <row r="450" s="227" customFormat="1" x14ac:dyDescent="0.25"/>
    <row r="451" s="227" customFormat="1" x14ac:dyDescent="0.25"/>
    <row r="452" s="227" customFormat="1" x14ac:dyDescent="0.25"/>
    <row r="453" s="227" customFormat="1" x14ac:dyDescent="0.25"/>
    <row r="454" s="227" customFormat="1" x14ac:dyDescent="0.25"/>
    <row r="455" s="227" customFormat="1" x14ac:dyDescent="0.25"/>
    <row r="456" s="227" customFormat="1" x14ac:dyDescent="0.25"/>
    <row r="457" s="227" customFormat="1" x14ac:dyDescent="0.25"/>
    <row r="458" s="227" customFormat="1" x14ac:dyDescent="0.25"/>
    <row r="459" s="227" customFormat="1" x14ac:dyDescent="0.25"/>
    <row r="460" s="227" customFormat="1" x14ac:dyDescent="0.25"/>
    <row r="461" s="227" customFormat="1" x14ac:dyDescent="0.25"/>
    <row r="462" s="227" customFormat="1" x14ac:dyDescent="0.25"/>
    <row r="463" s="227" customFormat="1" x14ac:dyDescent="0.25"/>
    <row r="464" s="227" customFormat="1" x14ac:dyDescent="0.25"/>
    <row r="465" s="227" customFormat="1" x14ac:dyDescent="0.25"/>
    <row r="466" s="227" customFormat="1" x14ac:dyDescent="0.25"/>
    <row r="467" s="227" customFormat="1" x14ac:dyDescent="0.25"/>
    <row r="468" s="227" customFormat="1" x14ac:dyDescent="0.25"/>
    <row r="469" s="227" customFormat="1" x14ac:dyDescent="0.25"/>
    <row r="470" s="227" customFormat="1" x14ac:dyDescent="0.25"/>
    <row r="471" s="227" customFormat="1" x14ac:dyDescent="0.25"/>
    <row r="472" s="227" customFormat="1" x14ac:dyDescent="0.25"/>
    <row r="473" s="227" customFormat="1" x14ac:dyDescent="0.25"/>
    <row r="474" s="227" customFormat="1" x14ac:dyDescent="0.25"/>
    <row r="475" s="227" customFormat="1" x14ac:dyDescent="0.25"/>
    <row r="476" s="227" customFormat="1" x14ac:dyDescent="0.25"/>
    <row r="477" s="227" customFormat="1" x14ac:dyDescent="0.25"/>
    <row r="478" s="227" customFormat="1" x14ac:dyDescent="0.25"/>
    <row r="479" s="227" customFormat="1" x14ac:dyDescent="0.25"/>
    <row r="480" s="227" customFormat="1" x14ac:dyDescent="0.25"/>
    <row r="481" s="227" customFormat="1" x14ac:dyDescent="0.25"/>
    <row r="482" s="227" customFormat="1" x14ac:dyDescent="0.25"/>
    <row r="483" s="227" customFormat="1" x14ac:dyDescent="0.25"/>
    <row r="484" s="227" customFormat="1" x14ac:dyDescent="0.25"/>
    <row r="485" s="227" customFormat="1" x14ac:dyDescent="0.25"/>
    <row r="486" s="227" customFormat="1" x14ac:dyDescent="0.25"/>
    <row r="487" s="227" customFormat="1" x14ac:dyDescent="0.25"/>
    <row r="488" s="227" customFormat="1" x14ac:dyDescent="0.25"/>
    <row r="489" s="227" customFormat="1" x14ac:dyDescent="0.25"/>
    <row r="490" s="227" customFormat="1" x14ac:dyDescent="0.25"/>
    <row r="491" s="227" customFormat="1" x14ac:dyDescent="0.25"/>
    <row r="492" s="227" customFormat="1" x14ac:dyDescent="0.25"/>
    <row r="493" s="227" customFormat="1" x14ac:dyDescent="0.25"/>
    <row r="494" s="227" customFormat="1" x14ac:dyDescent="0.25"/>
    <row r="495" s="227" customFormat="1" x14ac:dyDescent="0.25"/>
    <row r="496" s="227" customFormat="1" x14ac:dyDescent="0.25"/>
    <row r="497" s="227" customFormat="1" x14ac:dyDescent="0.25"/>
    <row r="498" s="227" customFormat="1" x14ac:dyDescent="0.25"/>
    <row r="499" s="227" customFormat="1" x14ac:dyDescent="0.25"/>
    <row r="500" s="227" customFormat="1" x14ac:dyDescent="0.25"/>
    <row r="501" s="227" customFormat="1" x14ac:dyDescent="0.25"/>
    <row r="502" s="227" customFormat="1" x14ac:dyDescent="0.25"/>
    <row r="503" s="227" customFormat="1" x14ac:dyDescent="0.25"/>
    <row r="504" s="227" customFormat="1" x14ac:dyDescent="0.25"/>
    <row r="505" s="227" customFormat="1" x14ac:dyDescent="0.25"/>
    <row r="506" s="227" customFormat="1" x14ac:dyDescent="0.25"/>
    <row r="507" s="227" customFormat="1" x14ac:dyDescent="0.25"/>
    <row r="508" s="227" customFormat="1" x14ac:dyDescent="0.25"/>
    <row r="509" s="227" customFormat="1" x14ac:dyDescent="0.25"/>
    <row r="510" s="227" customFormat="1" x14ac:dyDescent="0.25"/>
    <row r="511" s="227" customFormat="1" x14ac:dyDescent="0.25"/>
    <row r="512" s="227" customFormat="1" x14ac:dyDescent="0.25"/>
    <row r="513" s="227" customFormat="1" x14ac:dyDescent="0.25"/>
    <row r="514" s="227" customFormat="1" x14ac:dyDescent="0.25"/>
    <row r="515" s="227" customFormat="1" x14ac:dyDescent="0.25"/>
    <row r="516" s="227" customFormat="1" x14ac:dyDescent="0.25"/>
    <row r="517" s="227" customFormat="1" x14ac:dyDescent="0.25"/>
    <row r="518" s="227" customFormat="1" x14ac:dyDescent="0.25"/>
    <row r="519" s="227" customFormat="1" x14ac:dyDescent="0.25"/>
    <row r="520" s="227" customFormat="1" x14ac:dyDescent="0.25"/>
    <row r="521" s="227" customFormat="1" x14ac:dyDescent="0.25"/>
    <row r="522" s="227" customFormat="1" x14ac:dyDescent="0.25"/>
    <row r="523" s="227" customFormat="1" x14ac:dyDescent="0.25"/>
    <row r="524" s="227" customFormat="1" x14ac:dyDescent="0.25"/>
    <row r="525" s="227" customFormat="1" x14ac:dyDescent="0.25"/>
    <row r="526" s="227" customFormat="1" x14ac:dyDescent="0.25"/>
    <row r="527" s="227" customFormat="1" x14ac:dyDescent="0.25"/>
    <row r="528" s="227" customFormat="1" x14ac:dyDescent="0.25"/>
    <row r="529" s="227" customFormat="1" x14ac:dyDescent="0.25"/>
    <row r="530" s="227" customFormat="1" x14ac:dyDescent="0.25"/>
    <row r="531" s="227" customFormat="1" x14ac:dyDescent="0.25"/>
    <row r="532" s="227" customFormat="1" x14ac:dyDescent="0.25"/>
    <row r="533" s="227" customFormat="1" x14ac:dyDescent="0.25"/>
    <row r="534" s="227" customFormat="1" x14ac:dyDescent="0.25"/>
    <row r="535" s="227" customFormat="1" x14ac:dyDescent="0.25"/>
    <row r="536" s="227" customFormat="1" x14ac:dyDescent="0.25"/>
    <row r="537" s="227" customFormat="1" x14ac:dyDescent="0.25"/>
    <row r="538" s="227" customFormat="1" x14ac:dyDescent="0.25"/>
    <row r="539" s="227" customFormat="1" x14ac:dyDescent="0.25"/>
  </sheetData>
  <sheetProtection algorithmName="SHA-512" hashValue="7tOvMEpDz3YXtWFkeQFzhyMNUHdE3Xfnz7FHcuJ06afveFYijX7n1O59u2FGJocxEvgxrVbxa40X2SYxBiCqlQ==" saltValue="jdQBF5TFrO/MlmnJ6xbmug==" spinCount="100000" sheet="1" objects="1" scenarios="1"/>
  <mergeCells count="47">
    <mergeCell ref="A10:C11"/>
    <mergeCell ref="H46:H47"/>
    <mergeCell ref="D48:D49"/>
    <mergeCell ref="H48:H49"/>
    <mergeCell ref="A56:A72"/>
    <mergeCell ref="C56:C60"/>
    <mergeCell ref="D57:D58"/>
    <mergeCell ref="D59:D60"/>
    <mergeCell ref="C62:C66"/>
    <mergeCell ref="D63:D64"/>
    <mergeCell ref="D65:D66"/>
    <mergeCell ref="C68:C72"/>
    <mergeCell ref="D69:D70"/>
    <mergeCell ref="H69:H70"/>
    <mergeCell ref="D71:D72"/>
    <mergeCell ref="H71:H72"/>
    <mergeCell ref="C39:C43"/>
    <mergeCell ref="D40:D41"/>
    <mergeCell ref="D42:D43"/>
    <mergeCell ref="C45:C49"/>
    <mergeCell ref="D46:D47"/>
    <mergeCell ref="D27:D28"/>
    <mergeCell ref="H27:H28"/>
    <mergeCell ref="D29:D30"/>
    <mergeCell ref="H29:H30"/>
    <mergeCell ref="D36:D37"/>
    <mergeCell ref="I3:J3"/>
    <mergeCell ref="C3:D3"/>
    <mergeCell ref="F3:G3"/>
    <mergeCell ref="J5:K5"/>
    <mergeCell ref="J6:K6"/>
    <mergeCell ref="J7:K7"/>
    <mergeCell ref="J8:K8"/>
    <mergeCell ref="A33:A49"/>
    <mergeCell ref="C33:C37"/>
    <mergeCell ref="D34:D35"/>
    <mergeCell ref="J9:K9"/>
    <mergeCell ref="J10:K10"/>
    <mergeCell ref="J11:K11"/>
    <mergeCell ref="A14:A30"/>
    <mergeCell ref="C14:C18"/>
    <mergeCell ref="D15:D16"/>
    <mergeCell ref="D17:D18"/>
    <mergeCell ref="C20:C24"/>
    <mergeCell ref="D21:D22"/>
    <mergeCell ref="D23:D24"/>
    <mergeCell ref="C26:C30"/>
  </mergeCells>
  <conditionalFormatting sqref="G5">
    <cfRule type="expression" dxfId="21" priority="11">
      <formula>IF($G$5="pass", 1,0)</formula>
    </cfRule>
    <cfRule type="expression" dxfId="20" priority="12">
      <formula>IF($G$5="fail", 1,0)</formula>
    </cfRule>
  </conditionalFormatting>
  <conditionalFormatting sqref="G6">
    <cfRule type="expression" dxfId="19" priority="9">
      <formula>IF($G$6="fail", 1,0)</formula>
    </cfRule>
    <cfRule type="expression" dxfId="18" priority="10">
      <formula>IF($G$6="pass", 1,0)</formula>
    </cfRule>
  </conditionalFormatting>
  <conditionalFormatting sqref="H5">
    <cfRule type="expression" dxfId="17" priority="7">
      <formula>IF($H$5="pass", 1,0)</formula>
    </cfRule>
    <cfRule type="expression" dxfId="16" priority="8">
      <formula>IF($H$5="fail", 1,0)</formula>
    </cfRule>
  </conditionalFormatting>
  <conditionalFormatting sqref="H6">
    <cfRule type="expression" dxfId="15" priority="1">
      <formula>IF($H$6="fail", 1,0)</formula>
    </cfRule>
    <cfRule type="expression" dxfId="14" priority="2">
      <formula>IF($H$6="pass", 1,0)</formula>
    </cfRule>
  </conditionalFormatting>
  <dataValidations count="3">
    <dataValidation type="list" allowBlank="1" showInputMessage="1" showErrorMessage="1" sqref="J7" xr:uid="{00000000-0002-0000-2000-000000000000}">
      <formula1>$N$11:$N$12</formula1>
    </dataValidation>
    <dataValidation type="list" allowBlank="1" showInputMessage="1" showErrorMessage="1" sqref="D5" xr:uid="{00000000-0002-0000-2000-000001000000}">
      <formula1>$N$7:$N$9</formula1>
    </dataValidation>
    <dataValidation type="list" allowBlank="1" showInputMessage="1" showErrorMessage="1" sqref="D11" xr:uid="{00000000-0002-0000-2000-000002000000}">
      <formula1>"Yes,No"</formula1>
    </dataValidation>
  </dataValidations>
  <hyperlinks>
    <hyperlink ref="A2" location="TOC!A1" display="Return to TOC" xr:uid="{00000000-0004-0000-2000-000000000000}"/>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3000000}">
          <x14:formula1>
            <xm:f>C_HVAC_Chiller!$B$64:$B$74</xm:f>
          </x14:formula1>
          <xm:sqref>D7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7">
    <tabColor theme="9" tint="0.79998168889431442"/>
    <pageSetUpPr autoPageBreaks="0"/>
  </sheetPr>
  <dimension ref="A1:BT99"/>
  <sheetViews>
    <sheetView zoomScaleNormal="100" workbookViewId="0">
      <selection sqref="A1:AF1"/>
    </sheetView>
  </sheetViews>
  <sheetFormatPr defaultColWidth="2.7109375" defaultRowHeight="15" x14ac:dyDescent="0.25"/>
  <cols>
    <col min="1" max="32" width="2.7109375" style="262"/>
    <col min="33" max="16384" width="2.7109375" style="1"/>
  </cols>
  <sheetData>
    <row r="1" spans="1:38" customFormat="1" ht="18.75" x14ac:dyDescent="0.25">
      <c r="A1" s="1464" t="s">
        <v>3786</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G1" s="1"/>
      <c r="AH1" s="1"/>
      <c r="AI1" s="1"/>
      <c r="AJ1" s="1"/>
      <c r="AL1" s="902"/>
    </row>
    <row r="2" spans="1:38" customFormat="1" ht="18.75" x14ac:dyDescent="0.25">
      <c r="A2" s="655" t="s">
        <v>1702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1"/>
      <c r="AH2" s="1"/>
      <c r="AI2" s="1"/>
      <c r="AJ2" s="1"/>
      <c r="AL2" s="893"/>
    </row>
    <row r="3" spans="1:38" customFormat="1"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c r="AG3" s="1"/>
      <c r="AH3" s="1"/>
      <c r="AI3" s="1"/>
      <c r="AJ3" s="1"/>
      <c r="AL3" s="839"/>
    </row>
    <row r="4" spans="1:38" customFormat="1"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
      <c r="AH4" s="1"/>
      <c r="AI4" s="1"/>
      <c r="AJ4" s="1"/>
      <c r="AL4" s="839"/>
    </row>
    <row r="5" spans="1:38" customFormat="1" ht="52.5" customHeight="1" x14ac:dyDescent="0.25">
      <c r="A5" s="262"/>
      <c r="B5" s="1173" t="s">
        <v>6200</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
      <c r="AH5" s="1"/>
      <c r="AI5" s="1"/>
      <c r="AJ5" s="1"/>
      <c r="AL5" s="624"/>
    </row>
    <row r="6" spans="1:38" customFormat="1" ht="18.75" x14ac:dyDescent="0.25">
      <c r="A6" s="529"/>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1"/>
      <c r="AH6" s="1"/>
      <c r="AI6" s="1"/>
      <c r="AJ6" s="1"/>
      <c r="AL6" s="839"/>
    </row>
    <row r="7" spans="1:38" customFormat="1"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c r="AG7" s="1"/>
      <c r="AH7" s="1"/>
      <c r="AI7" s="1"/>
      <c r="AJ7" s="1"/>
      <c r="AL7" s="839"/>
    </row>
    <row r="8" spans="1:38" customFormat="1" x14ac:dyDescent="0.25">
      <c r="A8" s="19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G8" s="1"/>
      <c r="AH8" s="1"/>
      <c r="AI8" s="1"/>
      <c r="AJ8" s="1"/>
      <c r="AL8" s="839"/>
    </row>
    <row r="9" spans="1:38" customFormat="1" x14ac:dyDescent="0.25">
      <c r="A9" s="262"/>
      <c r="B9" s="414" t="s">
        <v>10</v>
      </c>
      <c r="C9" s="414"/>
      <c r="D9" s="414"/>
      <c r="E9" s="414"/>
      <c r="F9" s="414"/>
      <c r="G9" s="414"/>
      <c r="H9" s="414"/>
      <c r="I9" s="414"/>
      <c r="J9" s="262"/>
      <c r="K9" s="262"/>
      <c r="L9" s="262"/>
      <c r="M9" s="262"/>
      <c r="N9" s="262"/>
      <c r="O9" s="262"/>
      <c r="P9" s="262"/>
      <c r="Q9" s="262"/>
      <c r="R9" s="262"/>
      <c r="S9" s="262"/>
      <c r="T9" s="262"/>
      <c r="U9" s="262"/>
      <c r="V9" s="262"/>
      <c r="W9" s="262"/>
      <c r="X9" s="262"/>
      <c r="Y9" s="262"/>
      <c r="Z9" s="262"/>
      <c r="AA9" s="262"/>
      <c r="AB9" s="262"/>
      <c r="AC9" s="262"/>
      <c r="AD9" s="262"/>
      <c r="AE9" s="262"/>
      <c r="AF9" s="262"/>
      <c r="AG9" s="1"/>
      <c r="AH9" s="1"/>
      <c r="AI9" s="1"/>
      <c r="AJ9" s="1"/>
      <c r="AL9" s="839"/>
    </row>
    <row r="10" spans="1:38" customFormat="1" ht="31.5" customHeight="1" x14ac:dyDescent="0.25">
      <c r="A10" s="262"/>
      <c r="B10" s="1704" t="s">
        <v>3787</v>
      </c>
      <c r="C10" s="1704"/>
      <c r="D10" s="1704"/>
      <c r="E10" s="1704"/>
      <c r="F10" s="1704"/>
      <c r="G10" s="1704"/>
      <c r="H10" s="1704"/>
      <c r="I10" s="1704"/>
      <c r="J10" s="1704"/>
      <c r="K10" s="1704"/>
      <c r="L10" s="1704"/>
      <c r="M10" s="1704"/>
      <c r="N10" s="1704"/>
      <c r="O10" s="1704"/>
      <c r="P10" s="1704"/>
      <c r="Q10" s="1704"/>
      <c r="R10" s="1704"/>
      <c r="S10" s="1704"/>
      <c r="T10" s="1704"/>
      <c r="U10" s="1704"/>
      <c r="V10" s="1704"/>
      <c r="W10" s="1704"/>
      <c r="X10" s="1704"/>
      <c r="Y10" s="1704"/>
      <c r="Z10" s="1704"/>
      <c r="AA10" s="1704"/>
      <c r="AB10" s="1704"/>
      <c r="AC10" s="1704"/>
      <c r="AD10" s="1704"/>
      <c r="AE10" s="1704"/>
      <c r="AF10" s="1704"/>
      <c r="AG10" s="1"/>
      <c r="AH10" s="1"/>
      <c r="AI10" s="1"/>
      <c r="AJ10" s="1"/>
      <c r="AL10" s="839"/>
    </row>
    <row r="11" spans="1:38" customFormat="1" ht="30" customHeight="1" x14ac:dyDescent="0.25">
      <c r="A11" s="262"/>
      <c r="B11" s="517" t="s">
        <v>1013</v>
      </c>
      <c r="C11" s="1704" t="s">
        <v>6201</v>
      </c>
      <c r="D11" s="1704"/>
      <c r="E11" s="1704"/>
      <c r="F11" s="1704"/>
      <c r="G11" s="1704"/>
      <c r="H11" s="1704"/>
      <c r="I11" s="1704"/>
      <c r="J11" s="1704"/>
      <c r="K11" s="1704"/>
      <c r="L11" s="1704"/>
      <c r="M11" s="1704"/>
      <c r="N11" s="1704"/>
      <c r="O11" s="1704"/>
      <c r="P11" s="1704"/>
      <c r="Q11" s="1704"/>
      <c r="R11" s="1704"/>
      <c r="S11" s="1704"/>
      <c r="T11" s="1704"/>
      <c r="U11" s="1704"/>
      <c r="V11" s="1704"/>
      <c r="W11" s="1704"/>
      <c r="X11" s="1704"/>
      <c r="Y11" s="1704"/>
      <c r="Z11" s="1704"/>
      <c r="AA11" s="1704"/>
      <c r="AB11" s="1704"/>
      <c r="AC11" s="1704"/>
      <c r="AD11" s="1704"/>
      <c r="AE11" s="1704"/>
      <c r="AF11" s="1704"/>
      <c r="AG11" s="1"/>
      <c r="AH11" s="1"/>
      <c r="AI11" s="1"/>
      <c r="AJ11" s="1"/>
      <c r="AL11" s="624"/>
    </row>
    <row r="12" spans="1:38" customFormat="1" ht="30" customHeight="1" x14ac:dyDescent="0.25">
      <c r="A12" s="262"/>
      <c r="B12" s="517" t="s">
        <v>1013</v>
      </c>
      <c r="C12" s="1704" t="s">
        <v>6202</v>
      </c>
      <c r="D12" s="1704"/>
      <c r="E12" s="1704"/>
      <c r="F12" s="1704"/>
      <c r="G12" s="1704"/>
      <c r="H12" s="1704"/>
      <c r="I12" s="1704"/>
      <c r="J12" s="1704"/>
      <c r="K12" s="1704"/>
      <c r="L12" s="1704"/>
      <c r="M12" s="1704"/>
      <c r="N12" s="1704"/>
      <c r="O12" s="1704"/>
      <c r="P12" s="1704"/>
      <c r="Q12" s="1704"/>
      <c r="R12" s="1704"/>
      <c r="S12" s="1704"/>
      <c r="T12" s="1704"/>
      <c r="U12" s="1704"/>
      <c r="V12" s="1704"/>
      <c r="W12" s="1704"/>
      <c r="X12" s="1704"/>
      <c r="Y12" s="1704"/>
      <c r="Z12" s="1704"/>
      <c r="AA12" s="1704"/>
      <c r="AB12" s="1704"/>
      <c r="AC12" s="1704"/>
      <c r="AD12" s="1704"/>
      <c r="AE12" s="1704"/>
      <c r="AF12" s="1704"/>
      <c r="AG12" s="1"/>
      <c r="AH12" s="1"/>
      <c r="AI12" s="1"/>
      <c r="AJ12" s="1"/>
      <c r="AL12" s="839"/>
    </row>
    <row r="13" spans="1:38" customFormat="1" ht="30" customHeight="1" x14ac:dyDescent="0.25">
      <c r="A13" s="262"/>
      <c r="B13" s="517" t="s">
        <v>1013</v>
      </c>
      <c r="C13" s="1704" t="s">
        <v>6222</v>
      </c>
      <c r="D13" s="1704"/>
      <c r="E13" s="1704"/>
      <c r="F13" s="1704"/>
      <c r="G13" s="1704"/>
      <c r="H13" s="1704"/>
      <c r="I13" s="1704"/>
      <c r="J13" s="1704"/>
      <c r="K13" s="1704"/>
      <c r="L13" s="1704"/>
      <c r="M13" s="1704"/>
      <c r="N13" s="1704"/>
      <c r="O13" s="1704"/>
      <c r="P13" s="1704"/>
      <c r="Q13" s="1704"/>
      <c r="R13" s="1704"/>
      <c r="S13" s="1704"/>
      <c r="T13" s="1704"/>
      <c r="U13" s="1704"/>
      <c r="V13" s="1704"/>
      <c r="W13" s="1704"/>
      <c r="X13" s="1704"/>
      <c r="Y13" s="1704"/>
      <c r="Z13" s="1704"/>
      <c r="AA13" s="1704"/>
      <c r="AB13" s="1704"/>
      <c r="AC13" s="1704"/>
      <c r="AD13" s="1704"/>
      <c r="AE13" s="1704"/>
      <c r="AF13" s="1704"/>
      <c r="AG13" s="1"/>
      <c r="AH13" s="1"/>
      <c r="AI13" s="1"/>
      <c r="AJ13" s="1"/>
      <c r="AL13" s="839"/>
    </row>
    <row r="14" spans="1:38" customFormat="1" x14ac:dyDescent="0.25">
      <c r="A14" s="262"/>
      <c r="B14" s="517" t="s">
        <v>1013</v>
      </c>
      <c r="C14" s="1704" t="s">
        <v>6203</v>
      </c>
      <c r="D14" s="1704"/>
      <c r="E14" s="1704"/>
      <c r="F14" s="1704"/>
      <c r="G14" s="1704"/>
      <c r="H14" s="1704"/>
      <c r="I14" s="1704"/>
      <c r="J14" s="1704"/>
      <c r="K14" s="1704"/>
      <c r="L14" s="1704"/>
      <c r="M14" s="1704"/>
      <c r="N14" s="1704"/>
      <c r="O14" s="1704"/>
      <c r="P14" s="1704"/>
      <c r="Q14" s="1704"/>
      <c r="R14" s="1704"/>
      <c r="S14" s="1704"/>
      <c r="T14" s="1704"/>
      <c r="U14" s="1704"/>
      <c r="V14" s="1704"/>
      <c r="W14" s="1704"/>
      <c r="X14" s="1704"/>
      <c r="Y14" s="1704"/>
      <c r="Z14" s="1704"/>
      <c r="AA14" s="1704"/>
      <c r="AB14" s="1704"/>
      <c r="AC14" s="1704"/>
      <c r="AD14" s="1704"/>
      <c r="AE14" s="1704"/>
      <c r="AF14" s="1704"/>
      <c r="AG14" s="1"/>
      <c r="AH14" s="1"/>
      <c r="AI14" s="1"/>
      <c r="AJ14" s="1"/>
      <c r="AL14" s="839"/>
    </row>
    <row r="15" spans="1:38" customFormat="1" x14ac:dyDescent="0.25">
      <c r="A15" s="262"/>
      <c r="B15" s="517" t="s">
        <v>1013</v>
      </c>
      <c r="C15" s="192" t="s">
        <v>3788</v>
      </c>
      <c r="D15" s="460"/>
      <c r="E15" s="460"/>
      <c r="F15" s="460"/>
      <c r="G15" s="460"/>
      <c r="H15" s="460"/>
      <c r="I15" s="460"/>
      <c r="J15" s="460"/>
      <c r="K15" s="460"/>
      <c r="L15" s="460"/>
      <c r="M15" s="460"/>
      <c r="N15" s="460"/>
      <c r="O15" s="460"/>
      <c r="P15" s="460"/>
      <c r="Q15" s="460"/>
      <c r="R15" s="460"/>
      <c r="S15" s="460"/>
      <c r="T15" s="460"/>
      <c r="U15" s="460"/>
      <c r="V15" s="460"/>
      <c r="W15" s="460"/>
      <c r="X15" s="460"/>
      <c r="Y15" s="460"/>
      <c r="Z15" s="460"/>
      <c r="AA15" s="460"/>
      <c r="AB15" s="460"/>
      <c r="AC15" s="460"/>
      <c r="AD15" s="460"/>
      <c r="AE15" s="460"/>
      <c r="AF15" s="460"/>
      <c r="AG15" s="1"/>
      <c r="AH15" s="1"/>
      <c r="AI15" s="1"/>
      <c r="AJ15" s="1"/>
      <c r="AL15" s="839"/>
    </row>
    <row r="16" spans="1:38" customFormat="1" x14ac:dyDescent="0.25">
      <c r="A16" s="262"/>
      <c r="B16" s="517" t="s">
        <v>1013</v>
      </c>
      <c r="C16" s="192" t="s">
        <v>3789</v>
      </c>
      <c r="D16" s="460"/>
      <c r="E16" s="460"/>
      <c r="F16" s="460"/>
      <c r="G16" s="460"/>
      <c r="H16" s="460"/>
      <c r="I16" s="460"/>
      <c r="J16" s="460"/>
      <c r="K16" s="460"/>
      <c r="L16" s="460"/>
      <c r="M16" s="460"/>
      <c r="N16" s="460"/>
      <c r="O16" s="460"/>
      <c r="P16" s="460"/>
      <c r="Q16" s="460"/>
      <c r="R16" s="460"/>
      <c r="S16" s="460"/>
      <c r="T16" s="460"/>
      <c r="U16" s="460"/>
      <c r="V16" s="460"/>
      <c r="W16" s="460"/>
      <c r="X16" s="460"/>
      <c r="Y16" s="460"/>
      <c r="Z16" s="460"/>
      <c r="AA16" s="460"/>
      <c r="AB16" s="460"/>
      <c r="AC16" s="460"/>
      <c r="AD16" s="460"/>
      <c r="AE16" s="460"/>
      <c r="AF16" s="460"/>
      <c r="AG16" s="1"/>
      <c r="AH16" s="1"/>
      <c r="AI16" s="1"/>
      <c r="AJ16" s="1"/>
      <c r="AL16" s="839"/>
    </row>
    <row r="17" spans="1:38" customFormat="1" x14ac:dyDescent="0.25">
      <c r="A17" s="262"/>
      <c r="B17" s="517" t="s">
        <v>1013</v>
      </c>
      <c r="C17" s="192" t="s">
        <v>6204</v>
      </c>
      <c r="D17" s="460"/>
      <c r="E17" s="460"/>
      <c r="F17" s="460"/>
      <c r="G17" s="460"/>
      <c r="H17" s="460"/>
      <c r="I17" s="460"/>
      <c r="J17" s="460"/>
      <c r="K17" s="460"/>
      <c r="L17" s="460"/>
      <c r="M17" s="460"/>
      <c r="N17" s="460"/>
      <c r="O17" s="460"/>
      <c r="P17" s="460"/>
      <c r="Q17" s="460"/>
      <c r="R17" s="460"/>
      <c r="S17" s="460"/>
      <c r="T17" s="460"/>
      <c r="U17" s="460"/>
      <c r="V17" s="460"/>
      <c r="W17" s="460"/>
      <c r="X17" s="460"/>
      <c r="Y17" s="460"/>
      <c r="Z17" s="460"/>
      <c r="AA17" s="460"/>
      <c r="AB17" s="460"/>
      <c r="AC17" s="460"/>
      <c r="AD17" s="460"/>
      <c r="AE17" s="460"/>
      <c r="AF17" s="460"/>
      <c r="AG17" s="1"/>
      <c r="AH17" s="1"/>
      <c r="AI17" s="1"/>
      <c r="AJ17" s="1"/>
      <c r="AL17" s="839"/>
    </row>
    <row r="18" spans="1:38" customFormat="1" x14ac:dyDescent="0.25">
      <c r="A18" s="262"/>
      <c r="B18" s="262"/>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1"/>
      <c r="AH18" s="1"/>
      <c r="AI18" s="1"/>
      <c r="AJ18" s="1"/>
      <c r="AL18" s="839"/>
    </row>
    <row r="19" spans="1:38" customFormat="1" x14ac:dyDescent="0.25">
      <c r="A19" s="262"/>
      <c r="B19" s="414" t="s">
        <v>11</v>
      </c>
      <c r="C19" s="414"/>
      <c r="D19" s="414"/>
      <c r="E19" s="414"/>
      <c r="F19" s="414"/>
      <c r="G19" s="414"/>
      <c r="H19" s="414"/>
      <c r="I19" s="414"/>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1"/>
      <c r="AH19" s="1"/>
      <c r="AI19" s="1"/>
      <c r="AJ19" s="1"/>
      <c r="AL19" s="839"/>
    </row>
    <row r="20" spans="1:38" customFormat="1" ht="31.5" customHeight="1" x14ac:dyDescent="0.25">
      <c r="A20" s="262"/>
      <c r="B20" s="1168" t="s">
        <v>6205</v>
      </c>
      <c r="C20" s="1168"/>
      <c r="D20" s="1168"/>
      <c r="E20" s="1168"/>
      <c r="F20" s="1168"/>
      <c r="G20" s="1168"/>
      <c r="H20" s="1168"/>
      <c r="I20" s="1168"/>
      <c r="J20" s="1168"/>
      <c r="K20" s="1168"/>
      <c r="L20" s="1168"/>
      <c r="M20" s="1168"/>
      <c r="N20" s="1168"/>
      <c r="O20" s="1168"/>
      <c r="P20" s="1168"/>
      <c r="Q20" s="1168"/>
      <c r="R20" s="1168"/>
      <c r="S20" s="1168"/>
      <c r="T20" s="1168"/>
      <c r="U20" s="1168"/>
      <c r="V20" s="1168"/>
      <c r="W20" s="1168"/>
      <c r="X20" s="1168"/>
      <c r="Y20" s="1168"/>
      <c r="Z20" s="1168"/>
      <c r="AA20" s="1168"/>
      <c r="AB20" s="1168"/>
      <c r="AC20" s="1168"/>
      <c r="AD20" s="1168"/>
      <c r="AE20" s="1168"/>
      <c r="AF20" s="1168"/>
      <c r="AG20" s="1"/>
      <c r="AH20" s="1"/>
      <c r="AI20" s="1"/>
      <c r="AJ20" s="1"/>
      <c r="AL20" s="624"/>
    </row>
    <row r="21" spans="1:38" customFormat="1" x14ac:dyDescent="0.25">
      <c r="A21" s="262"/>
      <c r="B21" s="414"/>
      <c r="C21" s="414"/>
      <c r="D21" s="414"/>
      <c r="E21" s="414"/>
      <c r="F21" s="414"/>
      <c r="G21" s="414"/>
      <c r="H21" s="414"/>
      <c r="I21" s="414"/>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G21" s="1"/>
      <c r="AH21" s="1"/>
      <c r="AI21" s="1"/>
      <c r="AJ21" s="1"/>
      <c r="AL21" s="839"/>
    </row>
    <row r="22" spans="1:38" customFormat="1" ht="33.75" customHeight="1" x14ac:dyDescent="0.25">
      <c r="A22" s="263"/>
      <c r="B22" s="1168" t="s">
        <v>6223</v>
      </c>
      <c r="C22" s="1168"/>
      <c r="D22" s="1168"/>
      <c r="E22" s="1168"/>
      <c r="F22" s="1168"/>
      <c r="G22" s="1168"/>
      <c r="H22" s="1168"/>
      <c r="I22" s="1168"/>
      <c r="J22" s="1168"/>
      <c r="K22" s="1168"/>
      <c r="L22" s="1168"/>
      <c r="M22" s="1168"/>
      <c r="N22" s="1168"/>
      <c r="O22" s="1168"/>
      <c r="P22" s="1168"/>
      <c r="Q22" s="1168"/>
      <c r="R22" s="1168"/>
      <c r="S22" s="1168"/>
      <c r="T22" s="1168"/>
      <c r="U22" s="1168"/>
      <c r="V22" s="1168"/>
      <c r="W22" s="1168"/>
      <c r="X22" s="1168"/>
      <c r="Y22" s="1168"/>
      <c r="Z22" s="1168"/>
      <c r="AA22" s="1168"/>
      <c r="AB22" s="1168"/>
      <c r="AC22" s="1168"/>
      <c r="AD22" s="1168"/>
      <c r="AE22" s="1168"/>
      <c r="AF22" s="1168"/>
      <c r="AG22" s="1"/>
      <c r="AH22" s="1"/>
      <c r="AI22" s="1"/>
      <c r="AJ22" s="1"/>
      <c r="AL22" s="839"/>
    </row>
    <row r="23" spans="1:38" customFormat="1" x14ac:dyDescent="0.25">
      <c r="A23" s="263"/>
      <c r="B23" s="460"/>
      <c r="C23" s="460"/>
      <c r="D23" s="460"/>
      <c r="E23" s="460"/>
      <c r="F23" s="460"/>
      <c r="G23" s="460"/>
      <c r="H23" s="460"/>
      <c r="I23" s="460"/>
      <c r="J23" s="460"/>
      <c r="K23" s="460"/>
      <c r="L23" s="460"/>
      <c r="M23" s="460"/>
      <c r="N23" s="460"/>
      <c r="O23" s="460"/>
      <c r="P23" s="460"/>
      <c r="Q23" s="460"/>
      <c r="R23" s="460"/>
      <c r="S23" s="460"/>
      <c r="T23" s="460"/>
      <c r="U23" s="460"/>
      <c r="V23" s="460"/>
      <c r="W23" s="460"/>
      <c r="X23" s="460"/>
      <c r="Y23" s="460"/>
      <c r="Z23" s="460"/>
      <c r="AA23" s="460"/>
      <c r="AB23" s="460"/>
      <c r="AC23" s="460"/>
      <c r="AD23" s="460"/>
      <c r="AE23" s="460"/>
      <c r="AF23" s="460"/>
      <c r="AG23" s="1"/>
      <c r="AH23" s="1"/>
      <c r="AI23" s="1"/>
      <c r="AJ23" s="1"/>
      <c r="AL23" s="839"/>
    </row>
    <row r="24" spans="1:38" customFormat="1" x14ac:dyDescent="0.25">
      <c r="A24" s="263"/>
      <c r="B24" s="1168" t="s">
        <v>3790</v>
      </c>
      <c r="C24" s="1168"/>
      <c r="D24" s="1168"/>
      <c r="E24" s="1168"/>
      <c r="F24" s="1168"/>
      <c r="G24" s="1168"/>
      <c r="H24" s="1168"/>
      <c r="I24" s="1168"/>
      <c r="J24" s="1168"/>
      <c r="K24" s="1168"/>
      <c r="L24" s="1168"/>
      <c r="M24" s="1168"/>
      <c r="N24" s="1168"/>
      <c r="O24" s="1168"/>
      <c r="P24" s="1168"/>
      <c r="Q24" s="1168"/>
      <c r="R24" s="1168"/>
      <c r="S24" s="1168"/>
      <c r="T24" s="1168"/>
      <c r="U24" s="1168"/>
      <c r="V24" s="1168"/>
      <c r="W24" s="1168"/>
      <c r="X24" s="1168"/>
      <c r="Y24" s="1168"/>
      <c r="Z24" s="1168"/>
      <c r="AA24" s="1168"/>
      <c r="AB24" s="1168"/>
      <c r="AC24" s="1168"/>
      <c r="AD24" s="1168"/>
      <c r="AE24" s="1168"/>
      <c r="AF24" s="1168"/>
      <c r="AG24" s="1"/>
      <c r="AH24" s="1"/>
      <c r="AI24" s="1"/>
      <c r="AJ24" s="1"/>
      <c r="AL24" s="839"/>
    </row>
    <row r="25" spans="1:38" customFormat="1" x14ac:dyDescent="0.25">
      <c r="A25" s="263"/>
      <c r="B25" s="517" t="s">
        <v>1013</v>
      </c>
      <c r="C25" s="1168" t="s">
        <v>3791</v>
      </c>
      <c r="D25" s="1168"/>
      <c r="E25" s="1168"/>
      <c r="F25" s="1168"/>
      <c r="G25" s="1168"/>
      <c r="H25" s="1168"/>
      <c r="I25" s="1168"/>
      <c r="J25" s="1168"/>
      <c r="K25" s="1168"/>
      <c r="L25" s="1168"/>
      <c r="M25" s="1168"/>
      <c r="N25" s="1168"/>
      <c r="O25" s="1168"/>
      <c r="P25" s="1168"/>
      <c r="Q25" s="1168"/>
      <c r="R25" s="1168"/>
      <c r="S25" s="1168"/>
      <c r="T25" s="1168"/>
      <c r="U25" s="1168"/>
      <c r="V25" s="1168"/>
      <c r="W25" s="1168"/>
      <c r="X25" s="1168"/>
      <c r="Y25" s="1168"/>
      <c r="Z25" s="1168"/>
      <c r="AA25" s="1168"/>
      <c r="AB25" s="1168"/>
      <c r="AC25" s="1168"/>
      <c r="AD25" s="1168"/>
      <c r="AE25" s="1168"/>
      <c r="AF25" s="1168"/>
      <c r="AG25" s="1"/>
      <c r="AH25" s="1"/>
      <c r="AI25" s="1"/>
      <c r="AJ25" s="1"/>
      <c r="AL25" s="839"/>
    </row>
    <row r="26" spans="1:38" customFormat="1" x14ac:dyDescent="0.25">
      <c r="A26" s="263"/>
      <c r="B26" s="517" t="s">
        <v>1013</v>
      </c>
      <c r="C26" s="1168" t="s">
        <v>3792</v>
      </c>
      <c r="D26" s="1168"/>
      <c r="E26" s="1168"/>
      <c r="F26" s="1168"/>
      <c r="G26" s="1168"/>
      <c r="H26" s="1168"/>
      <c r="I26" s="1168"/>
      <c r="J26" s="1168"/>
      <c r="K26" s="1168"/>
      <c r="L26" s="1168"/>
      <c r="M26" s="1168"/>
      <c r="N26" s="1168"/>
      <c r="O26" s="1168"/>
      <c r="P26" s="1168"/>
      <c r="Q26" s="1168"/>
      <c r="R26" s="1168"/>
      <c r="S26" s="1168"/>
      <c r="T26" s="1168"/>
      <c r="U26" s="1168"/>
      <c r="V26" s="1168"/>
      <c r="W26" s="1168"/>
      <c r="X26" s="1168"/>
      <c r="Y26" s="1168"/>
      <c r="Z26" s="1168"/>
      <c r="AA26" s="1168"/>
      <c r="AB26" s="1168"/>
      <c r="AC26" s="1168"/>
      <c r="AD26" s="1168"/>
      <c r="AE26" s="1168"/>
      <c r="AF26" s="1168"/>
      <c r="AG26" s="1"/>
      <c r="AH26" s="1"/>
      <c r="AI26" s="1"/>
      <c r="AJ26" s="1"/>
      <c r="AL26" s="839"/>
    </row>
    <row r="27" spans="1:38" customFormat="1" x14ac:dyDescent="0.25">
      <c r="A27" s="263"/>
      <c r="B27" s="517" t="s">
        <v>1013</v>
      </c>
      <c r="C27" s="1168" t="s">
        <v>3793</v>
      </c>
      <c r="D27" s="1168"/>
      <c r="E27" s="1168"/>
      <c r="F27" s="1168"/>
      <c r="G27" s="1168"/>
      <c r="H27" s="1168"/>
      <c r="I27" s="1168"/>
      <c r="J27" s="1168"/>
      <c r="K27" s="1168"/>
      <c r="L27" s="1168"/>
      <c r="M27" s="1168"/>
      <c r="N27" s="1168"/>
      <c r="O27" s="1168"/>
      <c r="P27" s="1168"/>
      <c r="Q27" s="1168"/>
      <c r="R27" s="1168"/>
      <c r="S27" s="1168"/>
      <c r="T27" s="1168"/>
      <c r="U27" s="1168"/>
      <c r="V27" s="1168"/>
      <c r="W27" s="1168"/>
      <c r="X27" s="1168"/>
      <c r="Y27" s="1168"/>
      <c r="Z27" s="1168"/>
      <c r="AA27" s="1168"/>
      <c r="AB27" s="1168"/>
      <c r="AC27" s="1168"/>
      <c r="AD27" s="1168"/>
      <c r="AE27" s="1168"/>
      <c r="AF27" s="1168"/>
      <c r="AG27" s="1"/>
      <c r="AH27" s="1"/>
      <c r="AI27" s="1"/>
      <c r="AJ27" s="1"/>
      <c r="AL27" s="839"/>
    </row>
    <row r="28" spans="1:38" customFormat="1" x14ac:dyDescent="0.25">
      <c r="A28" s="263"/>
      <c r="B28" s="517" t="s">
        <v>1013</v>
      </c>
      <c r="C28" s="1168" t="s">
        <v>3779</v>
      </c>
      <c r="D28" s="1168"/>
      <c r="E28" s="1168"/>
      <c r="F28" s="1168"/>
      <c r="G28" s="1168"/>
      <c r="H28" s="1168"/>
      <c r="I28" s="1168"/>
      <c r="J28" s="1168"/>
      <c r="K28" s="1168"/>
      <c r="L28" s="1168"/>
      <c r="M28" s="1168"/>
      <c r="N28" s="1168"/>
      <c r="O28" s="1168"/>
      <c r="P28" s="1168"/>
      <c r="Q28" s="1168"/>
      <c r="R28" s="1168"/>
      <c r="S28" s="1168"/>
      <c r="T28" s="1168"/>
      <c r="U28" s="1168"/>
      <c r="V28" s="1168"/>
      <c r="W28" s="1168"/>
      <c r="X28" s="1168"/>
      <c r="Y28" s="1168"/>
      <c r="Z28" s="1168"/>
      <c r="AA28" s="1168"/>
      <c r="AB28" s="1168"/>
      <c r="AC28" s="1168"/>
      <c r="AD28" s="1168"/>
      <c r="AE28" s="1168"/>
      <c r="AF28" s="1168"/>
      <c r="AG28" s="1"/>
      <c r="AH28" s="1"/>
      <c r="AI28" s="1"/>
      <c r="AJ28" s="1"/>
      <c r="AL28" s="839"/>
    </row>
    <row r="29" spans="1:38" customFormat="1" x14ac:dyDescent="0.25">
      <c r="A29" s="263"/>
      <c r="B29" s="517" t="s">
        <v>1013</v>
      </c>
      <c r="C29" s="1168" t="s">
        <v>3794</v>
      </c>
      <c r="D29" s="1168"/>
      <c r="E29" s="1168"/>
      <c r="F29" s="1168"/>
      <c r="G29" s="1168"/>
      <c r="H29" s="1168"/>
      <c r="I29" s="1168"/>
      <c r="J29" s="1168"/>
      <c r="K29" s="1168"/>
      <c r="L29" s="1168"/>
      <c r="M29" s="1168"/>
      <c r="N29" s="1168"/>
      <c r="O29" s="1168"/>
      <c r="P29" s="1168"/>
      <c r="Q29" s="1168"/>
      <c r="R29" s="1168"/>
      <c r="S29" s="1168"/>
      <c r="T29" s="1168"/>
      <c r="U29" s="1168"/>
      <c r="V29" s="1168"/>
      <c r="W29" s="1168"/>
      <c r="X29" s="1168"/>
      <c r="Y29" s="1168"/>
      <c r="Z29" s="1168"/>
      <c r="AA29" s="1168"/>
      <c r="AB29" s="1168"/>
      <c r="AC29" s="1168"/>
      <c r="AD29" s="1168"/>
      <c r="AE29" s="1168"/>
      <c r="AF29" s="1168"/>
      <c r="AG29" s="1"/>
      <c r="AH29" s="1"/>
      <c r="AI29" s="1"/>
      <c r="AJ29" s="1"/>
      <c r="AL29" s="839"/>
    </row>
    <row r="30" spans="1:38" customFormat="1" x14ac:dyDescent="0.25">
      <c r="A30" s="262"/>
      <c r="B30" s="517" t="s">
        <v>1013</v>
      </c>
      <c r="C30" s="1168" t="s">
        <v>3795</v>
      </c>
      <c r="D30" s="1168"/>
      <c r="E30" s="1168"/>
      <c r="F30" s="1168"/>
      <c r="G30" s="1168"/>
      <c r="H30" s="1168"/>
      <c r="I30" s="1168"/>
      <c r="J30" s="1168"/>
      <c r="K30" s="1168"/>
      <c r="L30" s="1168"/>
      <c r="M30" s="1168"/>
      <c r="N30" s="1168"/>
      <c r="O30" s="1168"/>
      <c r="P30" s="1168"/>
      <c r="Q30" s="1168"/>
      <c r="R30" s="1168"/>
      <c r="S30" s="1168"/>
      <c r="T30" s="1168"/>
      <c r="U30" s="1168"/>
      <c r="V30" s="1168"/>
      <c r="W30" s="1168"/>
      <c r="X30" s="1168"/>
      <c r="Y30" s="1168"/>
      <c r="Z30" s="1168"/>
      <c r="AA30" s="1168"/>
      <c r="AB30" s="1168"/>
      <c r="AC30" s="1168"/>
      <c r="AD30" s="1168"/>
      <c r="AE30" s="1168"/>
      <c r="AF30" s="1168"/>
      <c r="AG30" s="1"/>
      <c r="AH30" s="1"/>
      <c r="AI30" s="1"/>
      <c r="AJ30" s="1"/>
      <c r="AL30" s="839"/>
    </row>
    <row r="31" spans="1:38" customFormat="1" x14ac:dyDescent="0.25">
      <c r="A31" s="262"/>
      <c r="B31" s="517"/>
      <c r="C31" s="651"/>
      <c r="D31" s="651"/>
      <c r="E31" s="651"/>
      <c r="F31" s="651"/>
      <c r="G31" s="651"/>
      <c r="H31" s="651"/>
      <c r="I31" s="651"/>
      <c r="J31" s="651"/>
      <c r="K31" s="651"/>
      <c r="L31" s="651"/>
      <c r="M31" s="651"/>
      <c r="N31" s="651"/>
      <c r="O31" s="651"/>
      <c r="P31" s="651"/>
      <c r="Q31" s="651"/>
      <c r="R31" s="651"/>
      <c r="S31" s="651"/>
      <c r="T31" s="651"/>
      <c r="U31" s="651"/>
      <c r="V31" s="651"/>
      <c r="W31" s="651"/>
      <c r="X31" s="651"/>
      <c r="Y31" s="651"/>
      <c r="Z31" s="651"/>
      <c r="AA31" s="651"/>
      <c r="AB31" s="651"/>
      <c r="AC31" s="651"/>
      <c r="AD31" s="651"/>
      <c r="AE31" s="651"/>
      <c r="AF31" s="651"/>
      <c r="AG31" s="1"/>
      <c r="AH31" s="1"/>
      <c r="AI31" s="1"/>
      <c r="AJ31" s="1"/>
      <c r="AL31" s="839"/>
    </row>
    <row r="32" spans="1:38" customFormat="1" x14ac:dyDescent="0.25">
      <c r="A32" s="262"/>
      <c r="B32" s="414" t="s">
        <v>12</v>
      </c>
      <c r="C32" s="414"/>
      <c r="D32" s="414"/>
      <c r="E32" s="414"/>
      <c r="F32" s="414"/>
      <c r="G32" s="414"/>
      <c r="H32" s="414"/>
      <c r="I32" s="414"/>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1"/>
      <c r="AH32" s="1"/>
      <c r="AI32" s="1"/>
      <c r="AJ32" s="1"/>
      <c r="AL32" s="839"/>
    </row>
    <row r="33" spans="1:38" customFormat="1" x14ac:dyDescent="0.25">
      <c r="A33" s="262"/>
      <c r="B33" s="262" t="s">
        <v>2873</v>
      </c>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c r="AG33" s="1"/>
      <c r="AH33" s="1"/>
      <c r="AI33" s="1"/>
      <c r="AJ33" s="1"/>
      <c r="AL33" s="839"/>
    </row>
    <row r="34" spans="1:38" customFormat="1" x14ac:dyDescent="0.25">
      <c r="A34" s="262"/>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1"/>
      <c r="AH34" s="1"/>
      <c r="AI34" s="1"/>
      <c r="AJ34" s="1"/>
      <c r="AL34" s="839"/>
    </row>
    <row r="35" spans="1:38" customFormat="1" x14ac:dyDescent="0.25">
      <c r="A35" s="262"/>
      <c r="B35" s="414" t="s">
        <v>13</v>
      </c>
      <c r="C35" s="414"/>
      <c r="D35" s="414"/>
      <c r="E35" s="414"/>
      <c r="F35" s="414"/>
      <c r="G35" s="414"/>
      <c r="H35" s="414"/>
      <c r="I35" s="414"/>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1"/>
      <c r="AH35" s="1"/>
      <c r="AI35" s="1"/>
      <c r="AJ35" s="1"/>
      <c r="AL35" s="839"/>
    </row>
    <row r="36" spans="1:38" customFormat="1" ht="92.25" customHeight="1" x14ac:dyDescent="0.25">
      <c r="A36" s="263"/>
      <c r="B36" s="1173" t="s">
        <v>6224</v>
      </c>
      <c r="C36" s="1173"/>
      <c r="D36" s="1173"/>
      <c r="E36" s="1173"/>
      <c r="F36" s="1173"/>
      <c r="G36" s="1173"/>
      <c r="H36" s="1173"/>
      <c r="I36" s="1173"/>
      <c r="J36" s="1173"/>
      <c r="K36" s="1173"/>
      <c r="L36" s="1173"/>
      <c r="M36" s="1173"/>
      <c r="N36" s="1173"/>
      <c r="O36" s="1173"/>
      <c r="P36" s="1173"/>
      <c r="Q36" s="1173"/>
      <c r="R36" s="1173"/>
      <c r="S36" s="1173"/>
      <c r="T36" s="1173"/>
      <c r="U36" s="1173"/>
      <c r="V36" s="1173"/>
      <c r="W36" s="1173"/>
      <c r="X36" s="1173"/>
      <c r="Y36" s="1173"/>
      <c r="Z36" s="1173"/>
      <c r="AA36" s="1173"/>
      <c r="AB36" s="1173"/>
      <c r="AC36" s="1173"/>
      <c r="AD36" s="1173"/>
      <c r="AE36" s="1173"/>
      <c r="AF36" s="1173"/>
      <c r="AG36" s="1"/>
      <c r="AH36" s="1"/>
      <c r="AI36" s="1"/>
      <c r="AJ36" s="1"/>
      <c r="AL36" s="624"/>
    </row>
    <row r="37" spans="1:38" customFormat="1" x14ac:dyDescent="0.25">
      <c r="A37" s="263"/>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1"/>
      <c r="AH37" s="1"/>
      <c r="AI37" s="1"/>
      <c r="AJ37" s="1"/>
      <c r="AL37" s="839"/>
    </row>
    <row r="38" spans="1:38" customFormat="1" ht="84.75" customHeight="1" x14ac:dyDescent="0.25">
      <c r="A38" s="263"/>
      <c r="B38" s="1168" t="s">
        <v>6206</v>
      </c>
      <c r="C38" s="1168"/>
      <c r="D38" s="1168"/>
      <c r="E38" s="1168"/>
      <c r="F38" s="1168"/>
      <c r="G38" s="1168"/>
      <c r="H38" s="1168"/>
      <c r="I38" s="1168"/>
      <c r="J38" s="1168"/>
      <c r="K38" s="1168"/>
      <c r="L38" s="1168"/>
      <c r="M38" s="1168"/>
      <c r="N38" s="1168"/>
      <c r="O38" s="1168"/>
      <c r="P38" s="1168"/>
      <c r="Q38" s="1168"/>
      <c r="R38" s="1168"/>
      <c r="S38" s="1168"/>
      <c r="T38" s="1168"/>
      <c r="U38" s="1168"/>
      <c r="V38" s="1168"/>
      <c r="W38" s="1168"/>
      <c r="X38" s="1168"/>
      <c r="Y38" s="1168"/>
      <c r="Z38" s="1168"/>
      <c r="AA38" s="1168"/>
      <c r="AB38" s="1168"/>
      <c r="AC38" s="1168"/>
      <c r="AD38" s="1168"/>
      <c r="AE38" s="1168"/>
      <c r="AF38" s="1168"/>
      <c r="AG38" s="1"/>
      <c r="AH38" s="1"/>
      <c r="AI38" s="1"/>
      <c r="AJ38" s="1"/>
      <c r="AL38" s="624"/>
    </row>
    <row r="39" spans="1:38" customFormat="1" x14ac:dyDescent="0.25">
      <c r="A39" s="263"/>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1"/>
      <c r="AH39" s="1"/>
      <c r="AI39" s="1"/>
      <c r="AJ39" s="1"/>
      <c r="AL39" s="839"/>
    </row>
    <row r="40" spans="1:38" customFormat="1" ht="60.75" customHeight="1" x14ac:dyDescent="0.25">
      <c r="A40" s="262"/>
      <c r="B40" s="1168" t="s">
        <v>6207</v>
      </c>
      <c r="C40" s="1168"/>
      <c r="D40" s="1168"/>
      <c r="E40" s="1168"/>
      <c r="F40" s="1168"/>
      <c r="G40" s="1168"/>
      <c r="H40" s="1168"/>
      <c r="I40" s="1168"/>
      <c r="J40" s="1168"/>
      <c r="K40" s="1168"/>
      <c r="L40" s="1168"/>
      <c r="M40" s="1168"/>
      <c r="N40" s="1168"/>
      <c r="O40" s="1168"/>
      <c r="P40" s="1168"/>
      <c r="Q40" s="1168"/>
      <c r="R40" s="1168"/>
      <c r="S40" s="1168"/>
      <c r="T40" s="1168"/>
      <c r="U40" s="1168"/>
      <c r="V40" s="1168"/>
      <c r="W40" s="1168"/>
      <c r="X40" s="1168"/>
      <c r="Y40" s="1168"/>
      <c r="Z40" s="1168"/>
      <c r="AA40" s="1168"/>
      <c r="AB40" s="1168"/>
      <c r="AC40" s="1168"/>
      <c r="AD40" s="1168"/>
      <c r="AE40" s="1168"/>
      <c r="AF40" s="1168"/>
      <c r="AL40" s="624"/>
    </row>
    <row r="41" spans="1:38" customFormat="1" x14ac:dyDescent="0.25">
      <c r="A41" s="262"/>
      <c r="B41" s="651"/>
      <c r="C41" s="651"/>
      <c r="D41" s="651"/>
      <c r="E41" s="651"/>
      <c r="F41" s="651"/>
      <c r="G41" s="651"/>
      <c r="H41" s="651"/>
      <c r="I41" s="651"/>
      <c r="J41" s="651"/>
      <c r="K41" s="651"/>
      <c r="L41" s="651"/>
      <c r="M41" s="651"/>
      <c r="N41" s="651"/>
      <c r="O41" s="651"/>
      <c r="P41" s="651"/>
      <c r="Q41" s="651"/>
      <c r="R41" s="651"/>
      <c r="S41" s="651"/>
      <c r="T41" s="651"/>
      <c r="U41" s="651"/>
      <c r="V41" s="651"/>
      <c r="W41" s="651"/>
      <c r="X41" s="651"/>
      <c r="Y41" s="651"/>
      <c r="Z41" s="651"/>
      <c r="AA41" s="651"/>
      <c r="AB41" s="651"/>
      <c r="AC41" s="651"/>
      <c r="AD41" s="651"/>
      <c r="AE41" s="651"/>
      <c r="AF41" s="651"/>
      <c r="AL41" s="624"/>
    </row>
    <row r="42" spans="1:38" customFormat="1" ht="34.5" customHeight="1" x14ac:dyDescent="0.25">
      <c r="A42" s="263"/>
      <c r="B42" s="1173" t="s">
        <v>3796</v>
      </c>
      <c r="C42" s="1173"/>
      <c r="D42" s="1173"/>
      <c r="E42" s="1173"/>
      <c r="F42" s="1173"/>
      <c r="G42" s="1173"/>
      <c r="H42" s="1173"/>
      <c r="I42" s="1173"/>
      <c r="J42" s="1173"/>
      <c r="K42" s="1173"/>
      <c r="L42" s="1173"/>
      <c r="M42" s="1173"/>
      <c r="N42" s="1173"/>
      <c r="O42" s="1173"/>
      <c r="P42" s="1173"/>
      <c r="Q42" s="1173"/>
      <c r="R42" s="1173"/>
      <c r="S42" s="1173"/>
      <c r="T42" s="1173"/>
      <c r="U42" s="1173"/>
      <c r="V42" s="1173"/>
      <c r="W42" s="1173"/>
      <c r="X42" s="1173"/>
      <c r="Y42" s="1173"/>
      <c r="Z42" s="1173"/>
      <c r="AA42" s="1173"/>
      <c r="AB42" s="1173"/>
      <c r="AC42" s="1173"/>
      <c r="AD42" s="1173"/>
      <c r="AE42" s="1173"/>
      <c r="AF42" s="1173"/>
      <c r="AG42" s="1"/>
      <c r="AH42" s="1"/>
      <c r="AI42" s="1"/>
      <c r="AJ42" s="1"/>
      <c r="AL42" s="839"/>
    </row>
    <row r="43" spans="1:38" customFormat="1" x14ac:dyDescent="0.25">
      <c r="A43" s="263"/>
      <c r="B43" s="263"/>
      <c r="C43" s="263"/>
      <c r="D43" s="263"/>
      <c r="E43" s="263"/>
      <c r="F43" s="263"/>
      <c r="G43" s="263"/>
      <c r="H43" s="263"/>
      <c r="I43" s="263"/>
      <c r="J43" s="263"/>
      <c r="K43" s="263"/>
      <c r="L43" s="263"/>
      <c r="M43" s="263"/>
      <c r="N43" s="263"/>
      <c r="O43" s="263"/>
      <c r="P43" s="263"/>
      <c r="Q43" s="263"/>
      <c r="R43" s="263"/>
      <c r="S43" s="263"/>
      <c r="T43" s="263"/>
      <c r="U43" s="263"/>
      <c r="V43" s="263"/>
      <c r="W43" s="263"/>
      <c r="X43" s="263"/>
      <c r="Y43" s="263"/>
      <c r="Z43" s="263"/>
      <c r="AA43" s="263"/>
      <c r="AB43" s="263"/>
      <c r="AC43" s="263"/>
      <c r="AD43" s="263"/>
      <c r="AE43" s="263"/>
      <c r="AF43" s="263"/>
      <c r="AG43" s="1"/>
      <c r="AH43" s="1"/>
      <c r="AI43" s="1"/>
      <c r="AJ43" s="1"/>
      <c r="AL43" s="839"/>
    </row>
    <row r="44" spans="1:38" customFormat="1" ht="95.25" customHeight="1" x14ac:dyDescent="0.25">
      <c r="A44" s="263"/>
      <c r="B44" s="1173" t="s">
        <v>6225</v>
      </c>
      <c r="C44" s="1173"/>
      <c r="D44" s="1173"/>
      <c r="E44" s="1173"/>
      <c r="F44" s="1173"/>
      <c r="G44" s="1173"/>
      <c r="H44" s="1173"/>
      <c r="I44" s="1173"/>
      <c r="J44" s="1173"/>
      <c r="K44" s="1173"/>
      <c r="L44" s="1173"/>
      <c r="M44" s="1173"/>
      <c r="N44" s="1173"/>
      <c r="O44" s="1173"/>
      <c r="P44" s="1173"/>
      <c r="Q44" s="1173"/>
      <c r="R44" s="1173"/>
      <c r="S44" s="1173"/>
      <c r="T44" s="1173"/>
      <c r="U44" s="1173"/>
      <c r="V44" s="1173"/>
      <c r="W44" s="1173"/>
      <c r="X44" s="1173"/>
      <c r="Y44" s="1173"/>
      <c r="Z44" s="1173"/>
      <c r="AA44" s="1173"/>
      <c r="AB44" s="1173"/>
      <c r="AC44" s="1173"/>
      <c r="AD44" s="1173"/>
      <c r="AE44" s="1173"/>
      <c r="AF44" s="1173"/>
      <c r="AG44" s="1"/>
      <c r="AH44" s="1"/>
      <c r="AI44" s="1"/>
      <c r="AJ44" s="1"/>
      <c r="AL44" s="624"/>
    </row>
    <row r="45" spans="1:38" customFormat="1" x14ac:dyDescent="0.25">
      <c r="A45" s="262"/>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1"/>
      <c r="AH45" s="1"/>
      <c r="AI45" s="1"/>
      <c r="AJ45" s="1"/>
      <c r="AL45" s="839"/>
    </row>
    <row r="46" spans="1:38" customFormat="1" x14ac:dyDescent="0.25">
      <c r="A46" s="262"/>
      <c r="B46" s="414" t="s">
        <v>20</v>
      </c>
      <c r="C46" s="414"/>
      <c r="D46" s="414"/>
      <c r="E46" s="414"/>
      <c r="F46" s="414"/>
      <c r="G46" s="414"/>
      <c r="H46" s="414"/>
      <c r="I46" s="414"/>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1"/>
      <c r="AH46" s="1"/>
      <c r="AI46" s="1"/>
      <c r="AJ46" s="1"/>
      <c r="AL46" s="839"/>
    </row>
    <row r="47" spans="1:38" customFormat="1" ht="81" customHeight="1" x14ac:dyDescent="0.25">
      <c r="A47" s="263"/>
      <c r="B47" s="1168" t="s">
        <v>6226</v>
      </c>
      <c r="C47" s="1168"/>
      <c r="D47" s="1168"/>
      <c r="E47" s="1168"/>
      <c r="F47" s="1168"/>
      <c r="G47" s="1168"/>
      <c r="H47" s="1168"/>
      <c r="I47" s="1168"/>
      <c r="J47" s="1168"/>
      <c r="K47" s="1168"/>
      <c r="L47" s="1168"/>
      <c r="M47" s="1168"/>
      <c r="N47" s="1168"/>
      <c r="O47" s="1168"/>
      <c r="P47" s="1168"/>
      <c r="Q47" s="1168"/>
      <c r="R47" s="1168"/>
      <c r="S47" s="1168"/>
      <c r="T47" s="1168"/>
      <c r="U47" s="1168"/>
      <c r="V47" s="1168"/>
      <c r="W47" s="1168"/>
      <c r="X47" s="1168"/>
      <c r="Y47" s="1168"/>
      <c r="Z47" s="1168"/>
      <c r="AA47" s="1168"/>
      <c r="AB47" s="1168"/>
      <c r="AC47" s="1168"/>
      <c r="AD47" s="1168"/>
      <c r="AE47" s="1168"/>
      <c r="AF47" s="1168"/>
      <c r="AG47" s="1"/>
      <c r="AH47" s="1"/>
      <c r="AI47" s="1"/>
      <c r="AJ47" s="1"/>
      <c r="AL47" s="624"/>
    </row>
    <row r="48" spans="1:38" customFormat="1" x14ac:dyDescent="0.25">
      <c r="A48" s="263"/>
      <c r="B48" s="651"/>
      <c r="C48" s="651"/>
      <c r="D48" s="651"/>
      <c r="E48" s="651"/>
      <c r="F48" s="651"/>
      <c r="G48" s="651"/>
      <c r="H48" s="651"/>
      <c r="I48" s="651"/>
      <c r="J48" s="651"/>
      <c r="K48" s="651"/>
      <c r="L48" s="651"/>
      <c r="M48" s="651"/>
      <c r="N48" s="651"/>
      <c r="O48" s="651"/>
      <c r="P48" s="651"/>
      <c r="Q48" s="651"/>
      <c r="R48" s="651"/>
      <c r="S48" s="651"/>
      <c r="T48" s="651"/>
      <c r="U48" s="651"/>
      <c r="V48" s="651"/>
      <c r="W48" s="651"/>
      <c r="X48" s="651"/>
      <c r="Y48" s="651"/>
      <c r="Z48" s="651"/>
      <c r="AA48" s="651"/>
      <c r="AB48" s="651"/>
      <c r="AC48" s="651"/>
      <c r="AD48" s="651"/>
      <c r="AE48" s="651"/>
      <c r="AF48" s="651"/>
      <c r="AL48" s="839"/>
    </row>
    <row r="49" spans="1:72" customFormat="1" ht="88.5" customHeight="1" x14ac:dyDescent="0.25">
      <c r="A49" s="263"/>
      <c r="B49" s="1168" t="s">
        <v>6227</v>
      </c>
      <c r="C49" s="1168"/>
      <c r="D49" s="1168"/>
      <c r="E49" s="1168"/>
      <c r="F49" s="1168"/>
      <c r="G49" s="1168"/>
      <c r="H49" s="1168"/>
      <c r="I49" s="1168"/>
      <c r="J49" s="1168"/>
      <c r="K49" s="1168"/>
      <c r="L49" s="1168"/>
      <c r="M49" s="1168"/>
      <c r="N49" s="1168"/>
      <c r="O49" s="1168"/>
      <c r="P49" s="1168"/>
      <c r="Q49" s="1168"/>
      <c r="R49" s="1168"/>
      <c r="S49" s="1168"/>
      <c r="T49" s="1168"/>
      <c r="U49" s="1168"/>
      <c r="V49" s="1168"/>
      <c r="W49" s="1168"/>
      <c r="X49" s="1168"/>
      <c r="Y49" s="1168"/>
      <c r="Z49" s="1168"/>
      <c r="AA49" s="1168"/>
      <c r="AB49" s="1168"/>
      <c r="AC49" s="1168"/>
      <c r="AD49" s="1168"/>
      <c r="AE49" s="1168"/>
      <c r="AF49" s="1168"/>
      <c r="AL49" s="2020"/>
      <c r="AM49" s="2020"/>
      <c r="AN49" s="2020"/>
      <c r="AO49" s="2020"/>
      <c r="AP49" s="2020"/>
      <c r="AQ49" s="2020"/>
      <c r="AR49" s="2020"/>
      <c r="AS49" s="2020"/>
      <c r="AT49" s="2020"/>
      <c r="AU49" s="2020"/>
      <c r="AV49" s="2020"/>
      <c r="AW49" s="2020"/>
      <c r="AX49" s="2020"/>
      <c r="AY49" s="2020"/>
      <c r="AZ49" s="2020"/>
      <c r="BA49" s="2020"/>
      <c r="BB49" s="2020"/>
      <c r="BC49" s="2020"/>
      <c r="BD49" s="2020"/>
      <c r="BE49" s="2020"/>
      <c r="BF49" s="2020"/>
      <c r="BG49" s="2020"/>
      <c r="BH49" s="2020"/>
      <c r="BI49" s="2020"/>
      <c r="BJ49" s="2020"/>
      <c r="BK49" s="2020"/>
      <c r="BL49" s="2020"/>
      <c r="BM49" s="2020"/>
      <c r="BN49" s="2020"/>
      <c r="BO49" s="2020"/>
      <c r="BP49" s="2020"/>
      <c r="BQ49" s="2020"/>
      <c r="BR49" s="2020"/>
      <c r="BS49" s="2020"/>
      <c r="BT49" s="2020"/>
    </row>
    <row r="50" spans="1:72" customFormat="1" x14ac:dyDescent="0.25">
      <c r="A50" s="262"/>
      <c r="B50" s="842"/>
      <c r="C50" s="842"/>
      <c r="D50" s="842"/>
      <c r="E50" s="842"/>
      <c r="F50" s="842"/>
      <c r="G50" s="842"/>
      <c r="H50" s="842"/>
      <c r="I50" s="842"/>
      <c r="J50" s="842"/>
      <c r="K50" s="842"/>
      <c r="L50" s="842"/>
      <c r="M50" s="842"/>
      <c r="N50" s="842"/>
      <c r="O50" s="842"/>
      <c r="P50" s="842"/>
      <c r="Q50" s="842"/>
      <c r="R50" s="842"/>
      <c r="S50" s="842"/>
      <c r="T50" s="842"/>
      <c r="U50" s="842"/>
      <c r="V50" s="842"/>
      <c r="W50" s="842"/>
      <c r="X50" s="842"/>
      <c r="Y50" s="842"/>
      <c r="Z50" s="842"/>
      <c r="AA50" s="842"/>
      <c r="AB50" s="842"/>
      <c r="AC50" s="842"/>
      <c r="AD50" s="842"/>
      <c r="AE50" s="842"/>
      <c r="AF50" s="842"/>
      <c r="AL50" s="839"/>
    </row>
    <row r="51" spans="1:72" customFormat="1" ht="60.75" customHeight="1" x14ac:dyDescent="0.25">
      <c r="A51" s="262"/>
      <c r="B51" s="1168" t="s">
        <v>6228</v>
      </c>
      <c r="C51" s="1168"/>
      <c r="D51" s="1168"/>
      <c r="E51" s="1168"/>
      <c r="F51" s="1168"/>
      <c r="G51" s="1168"/>
      <c r="H51" s="1168"/>
      <c r="I51" s="1168"/>
      <c r="J51" s="1168"/>
      <c r="K51" s="1168"/>
      <c r="L51" s="1168"/>
      <c r="M51" s="1168"/>
      <c r="N51" s="1168"/>
      <c r="O51" s="1168"/>
      <c r="P51" s="1168"/>
      <c r="Q51" s="1168"/>
      <c r="R51" s="1168"/>
      <c r="S51" s="1168"/>
      <c r="T51" s="1168"/>
      <c r="U51" s="1168"/>
      <c r="V51" s="1168"/>
      <c r="W51" s="1168"/>
      <c r="X51" s="1168"/>
      <c r="Y51" s="1168"/>
      <c r="Z51" s="1168"/>
      <c r="AA51" s="1168"/>
      <c r="AB51" s="1168"/>
      <c r="AC51" s="1168"/>
      <c r="AD51" s="1168"/>
      <c r="AE51" s="1168"/>
      <c r="AF51" s="1168"/>
      <c r="AL51" s="624"/>
    </row>
    <row r="52" spans="1:72" customFormat="1" x14ac:dyDescent="0.25">
      <c r="A52" s="262"/>
      <c r="B52" s="647"/>
      <c r="C52" s="647"/>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1"/>
      <c r="AH52" s="1"/>
      <c r="AI52" s="1"/>
      <c r="AJ52" s="1"/>
      <c r="AL52" s="839"/>
    </row>
    <row r="53" spans="1:72" customFormat="1" x14ac:dyDescent="0.25">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1"/>
      <c r="AH53" s="1"/>
      <c r="AI53" s="1"/>
      <c r="AJ53" s="1"/>
      <c r="AL53" s="839"/>
    </row>
    <row r="54" spans="1:72" x14ac:dyDescent="0.25">
      <c r="A54" s="1621" t="s">
        <v>14</v>
      </c>
      <c r="B54" s="1621"/>
      <c r="C54" s="1621"/>
      <c r="D54" s="1621"/>
      <c r="E54" s="1621"/>
      <c r="F54" s="1621"/>
      <c r="G54" s="1621"/>
      <c r="H54" s="1621"/>
      <c r="I54" s="1621"/>
      <c r="J54" s="1621"/>
      <c r="K54" s="1621"/>
      <c r="L54" s="1621"/>
      <c r="M54" s="1621"/>
      <c r="N54" s="1621"/>
      <c r="O54" s="1621"/>
      <c r="P54" s="1621"/>
      <c r="Q54" s="1621"/>
      <c r="R54" s="1621"/>
      <c r="S54" s="1621"/>
      <c r="T54" s="1621"/>
      <c r="U54" s="1621"/>
      <c r="V54" s="1621"/>
      <c r="W54" s="1621"/>
      <c r="X54" s="1621"/>
      <c r="Y54" s="1621"/>
      <c r="Z54" s="1621"/>
      <c r="AA54" s="1621"/>
      <c r="AB54" s="1621"/>
      <c r="AC54" s="1621"/>
      <c r="AD54" s="1621"/>
      <c r="AE54" s="1621"/>
      <c r="AF54" s="1621"/>
      <c r="AK54"/>
      <c r="AL54" s="839"/>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ustomFormat="1" x14ac:dyDescent="0.25">
      <c r="A55" s="262"/>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2"/>
      <c r="AG55" s="1"/>
      <c r="AH55" s="1"/>
      <c r="AI55" s="1"/>
      <c r="AJ55" s="1"/>
      <c r="AL55" s="839"/>
    </row>
    <row r="56" spans="1:72" x14ac:dyDescent="0.25">
      <c r="B56" s="519" t="s">
        <v>2303</v>
      </c>
      <c r="AK56"/>
      <c r="AL56" s="839"/>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ustomFormat="1" x14ac:dyDescent="0.25">
      <c r="A57" s="262"/>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2"/>
      <c r="AG57" s="1"/>
      <c r="AH57" s="1"/>
      <c r="AI57" s="1"/>
      <c r="AJ57" s="1"/>
      <c r="AL57" s="839"/>
    </row>
    <row r="58" spans="1:72" ht="18" customHeight="1" x14ac:dyDescent="0.25">
      <c r="A58" s="2021"/>
      <c r="B58" s="2021"/>
      <c r="C58" s="2021"/>
      <c r="D58" s="2021"/>
      <c r="E58" s="2021"/>
      <c r="F58" s="2021"/>
      <c r="G58" s="2021"/>
      <c r="H58" s="2021"/>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t="s">
        <v>1705</v>
      </c>
      <c r="AK58"/>
      <c r="AL58" s="839"/>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s="193"/>
      <c r="B59" s="193"/>
      <c r="C59" s="193"/>
      <c r="D59" s="192" t="s">
        <v>6208</v>
      </c>
      <c r="F59" s="193"/>
      <c r="G59" s="193"/>
      <c r="H59" s="193"/>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K59"/>
      <c r="AL59" s="624"/>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25">
      <c r="A60" s="193"/>
      <c r="B60" s="193"/>
      <c r="C60" s="193"/>
      <c r="D60" s="193"/>
      <c r="E60" s="193"/>
      <c r="F60" s="193"/>
      <c r="G60" s="193"/>
      <c r="H60" s="193"/>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c r="AF60" s="520"/>
      <c r="AK60"/>
      <c r="AL60" s="839"/>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s="193"/>
      <c r="B61" s="519" t="s">
        <v>2194</v>
      </c>
      <c r="C61" s="193"/>
      <c r="D61" s="193"/>
      <c r="E61" s="193"/>
      <c r="F61" s="193"/>
      <c r="G61" s="193"/>
      <c r="H61" s="193"/>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c r="AF61" s="520"/>
      <c r="AK61"/>
      <c r="AL61" s="839"/>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x14ac:dyDescent="0.25">
      <c r="A62" s="193"/>
      <c r="B62" s="193"/>
      <c r="C62" s="193"/>
      <c r="D62" s="193"/>
      <c r="E62" s="193"/>
      <c r="F62" s="193"/>
      <c r="G62" s="193"/>
      <c r="H62" s="193"/>
      <c r="I62" s="520"/>
      <c r="J62" s="520"/>
      <c r="K62" s="520"/>
      <c r="L62" s="520"/>
      <c r="M62" s="520"/>
      <c r="N62" s="520"/>
      <c r="O62" s="520"/>
      <c r="P62" s="520"/>
      <c r="Q62" s="520"/>
      <c r="R62" s="520"/>
      <c r="S62" s="520"/>
      <c r="T62" s="520"/>
      <c r="U62" s="520"/>
      <c r="V62" s="520"/>
      <c r="W62" s="520"/>
      <c r="X62" s="520"/>
      <c r="Y62" s="520"/>
      <c r="Z62" s="520"/>
      <c r="AA62" s="520"/>
      <c r="AB62" s="520"/>
      <c r="AC62" s="520"/>
      <c r="AD62" s="520"/>
      <c r="AE62" s="520"/>
      <c r="AF62" s="520"/>
      <c r="AK62"/>
      <c r="AL62" s="839"/>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25">
      <c r="A63" s="2021"/>
      <c r="B63" s="2021"/>
      <c r="C63" s="2021"/>
      <c r="D63" s="2021"/>
      <c r="E63" s="2021"/>
      <c r="F63" s="2021"/>
      <c r="G63" s="2021"/>
      <c r="H63" s="2021"/>
      <c r="I63" s="196"/>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t="s">
        <v>1706</v>
      </c>
      <c r="AK63"/>
      <c r="AL63" s="839"/>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25">
      <c r="A64" s="193"/>
      <c r="B64" s="193"/>
      <c r="C64" s="193"/>
      <c r="D64" s="192" t="s">
        <v>6209</v>
      </c>
      <c r="G64" s="193"/>
      <c r="H64" s="193"/>
      <c r="I64" s="520"/>
      <c r="J64" s="520"/>
      <c r="K64" s="520"/>
      <c r="L64" s="520"/>
      <c r="M64" s="520"/>
      <c r="N64" s="520"/>
      <c r="O64" s="520"/>
      <c r="P64" s="520"/>
      <c r="Q64" s="520"/>
      <c r="R64" s="520"/>
      <c r="S64" s="520"/>
      <c r="T64" s="520"/>
      <c r="U64" s="520"/>
      <c r="V64" s="520"/>
      <c r="W64" s="520"/>
      <c r="X64" s="520"/>
      <c r="Y64" s="520"/>
      <c r="Z64" s="520"/>
      <c r="AA64" s="520"/>
      <c r="AB64" s="520"/>
      <c r="AC64" s="520"/>
      <c r="AD64" s="520"/>
      <c r="AE64" s="520"/>
      <c r="AF64" s="520"/>
      <c r="AK64"/>
      <c r="AL64" s="62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25">
      <c r="A65" s="193"/>
      <c r="B65" s="193"/>
      <c r="C65" s="193"/>
      <c r="D65" s="192" t="s">
        <v>6210</v>
      </c>
      <c r="G65" s="193"/>
      <c r="H65" s="193"/>
      <c r="I65" s="520"/>
      <c r="J65" s="520"/>
      <c r="K65" s="520"/>
      <c r="L65" s="520"/>
      <c r="M65" s="520"/>
      <c r="N65" s="520"/>
      <c r="O65" s="520"/>
      <c r="P65" s="520"/>
      <c r="Q65" s="520"/>
      <c r="R65" s="520"/>
      <c r="S65" s="520"/>
      <c r="T65" s="520"/>
      <c r="U65" s="520"/>
      <c r="V65" s="520"/>
      <c r="W65" s="520"/>
      <c r="X65" s="520"/>
      <c r="Y65" s="520"/>
      <c r="Z65" s="520"/>
      <c r="AA65" s="520"/>
      <c r="AB65" s="520"/>
      <c r="AC65" s="520"/>
      <c r="AD65" s="520"/>
      <c r="AE65" s="520"/>
      <c r="AF65" s="520"/>
      <c r="AK65"/>
      <c r="AL65" s="624"/>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25">
      <c r="A66" s="193"/>
      <c r="B66" s="193"/>
      <c r="C66" s="193"/>
      <c r="D66" s="193"/>
      <c r="E66" s="193"/>
      <c r="F66" s="192"/>
      <c r="G66" s="193"/>
      <c r="H66" s="193"/>
      <c r="I66" s="520"/>
      <c r="J66" s="520"/>
      <c r="K66" s="520"/>
      <c r="L66" s="520"/>
      <c r="M66" s="520"/>
      <c r="N66" s="520"/>
      <c r="O66" s="520"/>
      <c r="P66" s="520"/>
      <c r="Q66" s="520"/>
      <c r="R66" s="520"/>
      <c r="S66" s="520"/>
      <c r="T66" s="520"/>
      <c r="U66" s="520"/>
      <c r="V66" s="520"/>
      <c r="W66" s="520"/>
      <c r="X66" s="520"/>
      <c r="Y66" s="520"/>
      <c r="Z66" s="520"/>
      <c r="AA66" s="520"/>
      <c r="AB66" s="520"/>
      <c r="AC66" s="520"/>
      <c r="AD66" s="520"/>
      <c r="AE66" s="520"/>
      <c r="AF66" s="520"/>
      <c r="AK66"/>
      <c r="AL66" s="839"/>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25">
      <c r="A67" s="193"/>
      <c r="B67" s="519" t="s">
        <v>1998</v>
      </c>
      <c r="C67" s="193"/>
      <c r="D67" s="193"/>
      <c r="E67" s="193"/>
      <c r="F67" s="193"/>
      <c r="G67" s="193"/>
      <c r="H67" s="193"/>
      <c r="I67" s="520"/>
      <c r="J67" s="520"/>
      <c r="K67" s="520"/>
      <c r="L67" s="520"/>
      <c r="M67" s="520"/>
      <c r="N67" s="520"/>
      <c r="O67" s="520"/>
      <c r="P67" s="520"/>
      <c r="Q67" s="520"/>
      <c r="R67" s="520"/>
      <c r="S67" s="520"/>
      <c r="T67" s="520"/>
      <c r="U67" s="520"/>
      <c r="V67" s="520"/>
      <c r="W67" s="520"/>
      <c r="X67" s="520"/>
      <c r="Y67" s="520"/>
      <c r="Z67" s="520"/>
      <c r="AA67" s="520"/>
      <c r="AB67" s="520"/>
      <c r="AC67" s="520"/>
      <c r="AD67" s="520"/>
      <c r="AE67" s="520"/>
      <c r="AF67" s="520"/>
      <c r="AK67"/>
      <c r="AL67" s="839"/>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25">
      <c r="A68" s="193"/>
      <c r="B68" s="193"/>
      <c r="C68" s="193"/>
      <c r="D68" s="193"/>
      <c r="E68" s="193"/>
      <c r="F68" s="193"/>
      <c r="G68" s="193"/>
      <c r="H68" s="193"/>
      <c r="I68" s="520"/>
      <c r="J68" s="520"/>
      <c r="K68" s="520"/>
      <c r="L68" s="520"/>
      <c r="M68" s="520"/>
      <c r="N68" s="520"/>
      <c r="O68" s="520"/>
      <c r="P68" s="520"/>
      <c r="Q68" s="520"/>
      <c r="R68" s="520"/>
      <c r="S68" s="520"/>
      <c r="T68" s="520"/>
      <c r="U68" s="520"/>
      <c r="V68" s="520"/>
      <c r="W68" s="520"/>
      <c r="X68" s="520"/>
      <c r="Y68" s="520"/>
      <c r="Z68" s="520"/>
      <c r="AA68" s="520"/>
      <c r="AB68" s="520"/>
      <c r="AC68" s="520"/>
      <c r="AD68" s="520"/>
      <c r="AE68" s="520"/>
      <c r="AF68" s="520"/>
      <c r="AK68"/>
      <c r="AL68" s="839"/>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25">
      <c r="A69" s="2021"/>
      <c r="B69" s="2021"/>
      <c r="C69" s="2021"/>
      <c r="D69" s="2021"/>
      <c r="E69" s="2021"/>
      <c r="F69" s="2021"/>
      <c r="G69" s="2021"/>
      <c r="H69" s="2021"/>
      <c r="I69" s="419"/>
      <c r="J69" s="196"/>
      <c r="K69" s="196"/>
      <c r="L69" s="196"/>
      <c r="M69" s="196"/>
      <c r="N69" s="196"/>
      <c r="O69" s="196"/>
      <c r="P69" s="196"/>
      <c r="Q69" s="196"/>
      <c r="R69" s="196"/>
      <c r="S69" s="196"/>
      <c r="T69" s="196"/>
      <c r="U69" s="196"/>
      <c r="V69" s="196"/>
      <c r="W69" s="196"/>
      <c r="X69" s="196"/>
      <c r="Y69" s="196"/>
      <c r="Z69" s="196"/>
      <c r="AA69" s="196"/>
      <c r="AB69" s="196"/>
      <c r="AC69" s="196"/>
      <c r="AD69" s="196"/>
      <c r="AE69" s="196"/>
      <c r="AF69" s="419" t="s">
        <v>1707</v>
      </c>
      <c r="AK69"/>
      <c r="AL69" s="83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25">
      <c r="A70" s="717"/>
      <c r="B70" s="717"/>
      <c r="C70" s="717"/>
      <c r="D70" s="717"/>
      <c r="E70" s="717"/>
      <c r="F70" s="717"/>
      <c r="G70" s="717"/>
      <c r="H70" s="717"/>
      <c r="AK70"/>
      <c r="AL70" s="839"/>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ustomFormat="1" x14ac:dyDescent="0.25">
      <c r="A71" s="1621" t="s">
        <v>15</v>
      </c>
      <c r="B71" s="1621"/>
      <c r="C71" s="1621"/>
      <c r="D71" s="1621"/>
      <c r="E71" s="1621"/>
      <c r="F71" s="1621"/>
      <c r="G71" s="1621"/>
      <c r="H71" s="1621"/>
      <c r="I71" s="1621"/>
      <c r="J71" s="1621"/>
      <c r="K71" s="1621"/>
      <c r="L71" s="1621"/>
      <c r="M71" s="1621"/>
      <c r="N71" s="1621"/>
      <c r="O71" s="1621"/>
      <c r="P71" s="1621"/>
      <c r="Q71" s="1621"/>
      <c r="R71" s="1621"/>
      <c r="S71" s="1621"/>
      <c r="T71" s="1621"/>
      <c r="U71" s="1621"/>
      <c r="V71" s="1621"/>
      <c r="W71" s="1621"/>
      <c r="X71" s="1621"/>
      <c r="Y71" s="1621"/>
      <c r="Z71" s="1621"/>
      <c r="AA71" s="1621"/>
      <c r="AB71" s="1621"/>
      <c r="AC71" s="1621"/>
      <c r="AD71" s="1621"/>
      <c r="AE71" s="1621"/>
      <c r="AF71" s="1621"/>
      <c r="AG71" s="1"/>
      <c r="AH71" s="1"/>
      <c r="AI71" s="1"/>
      <c r="AJ71" s="1"/>
      <c r="AL71" s="839"/>
    </row>
    <row r="72" spans="1:72" customFormat="1" x14ac:dyDescent="0.25">
      <c r="A72" s="1697" t="s">
        <v>16</v>
      </c>
      <c r="B72" s="1698"/>
      <c r="C72" s="1698"/>
      <c r="D72" s="1699"/>
      <c r="E72" s="1697" t="s">
        <v>10</v>
      </c>
      <c r="F72" s="1698"/>
      <c r="G72" s="1698"/>
      <c r="H72" s="1698"/>
      <c r="I72" s="1698"/>
      <c r="J72" s="1698"/>
      <c r="K72" s="1698"/>
      <c r="L72" s="1698"/>
      <c r="M72" s="1698"/>
      <c r="N72" s="1698"/>
      <c r="O72" s="1698"/>
      <c r="P72" s="1699"/>
      <c r="Q72" s="1697" t="s">
        <v>17</v>
      </c>
      <c r="R72" s="1698"/>
      <c r="S72" s="1698"/>
      <c r="T72" s="1699"/>
      <c r="U72" s="1697" t="s">
        <v>18</v>
      </c>
      <c r="V72" s="1698"/>
      <c r="W72" s="1699"/>
      <c r="X72" s="1697" t="s">
        <v>1708</v>
      </c>
      <c r="Y72" s="1698"/>
      <c r="Z72" s="1698"/>
      <c r="AA72" s="1698"/>
      <c r="AB72" s="1698"/>
      <c r="AC72" s="1698"/>
      <c r="AD72" s="1698"/>
      <c r="AE72" s="1698"/>
      <c r="AF72" s="1699"/>
      <c r="AG72" s="1"/>
      <c r="AH72" s="1"/>
      <c r="AI72" s="1"/>
      <c r="AJ72" s="1"/>
      <c r="AL72" s="839"/>
    </row>
    <row r="73" spans="1:72" customFormat="1" ht="60.75" customHeight="1" x14ac:dyDescent="0.25">
      <c r="A73" s="1680" t="s">
        <v>2874</v>
      </c>
      <c r="B73" s="1681"/>
      <c r="C73" s="1681"/>
      <c r="D73" s="1682"/>
      <c r="E73" s="1494" t="s">
        <v>4641</v>
      </c>
      <c r="F73" s="1495"/>
      <c r="G73" s="1495"/>
      <c r="H73" s="1495"/>
      <c r="I73" s="1495"/>
      <c r="J73" s="1495"/>
      <c r="K73" s="1495"/>
      <c r="L73" s="1495"/>
      <c r="M73" s="1495"/>
      <c r="N73" s="1495"/>
      <c r="O73" s="1495"/>
      <c r="P73" s="1496"/>
      <c r="Q73" s="1497" t="s">
        <v>2875</v>
      </c>
      <c r="R73" s="1498"/>
      <c r="S73" s="1498"/>
      <c r="T73" s="1499"/>
      <c r="U73" s="1683" t="s">
        <v>2876</v>
      </c>
      <c r="V73" s="1684"/>
      <c r="W73" s="1685"/>
      <c r="X73" s="1538" t="s">
        <v>2877</v>
      </c>
      <c r="Y73" s="1539"/>
      <c r="Z73" s="1539"/>
      <c r="AA73" s="1539"/>
      <c r="AB73" s="1539"/>
      <c r="AC73" s="1539"/>
      <c r="AD73" s="1539"/>
      <c r="AE73" s="1539"/>
      <c r="AF73" s="1540"/>
      <c r="AG73" s="1"/>
      <c r="AH73" s="1"/>
      <c r="AI73" s="1"/>
      <c r="AJ73" s="1"/>
      <c r="AL73" s="839"/>
    </row>
    <row r="74" spans="1:72" customFormat="1" ht="119.25" customHeight="1" x14ac:dyDescent="0.25">
      <c r="A74" s="1494" t="s">
        <v>6229</v>
      </c>
      <c r="B74" s="1495"/>
      <c r="C74" s="1495"/>
      <c r="D74" s="1496"/>
      <c r="E74" s="1494" t="s">
        <v>6211</v>
      </c>
      <c r="F74" s="1495"/>
      <c r="G74" s="1495"/>
      <c r="H74" s="1495"/>
      <c r="I74" s="1495"/>
      <c r="J74" s="1495"/>
      <c r="K74" s="1495"/>
      <c r="L74" s="1495"/>
      <c r="M74" s="1495"/>
      <c r="N74" s="1495"/>
      <c r="O74" s="1495"/>
      <c r="P74" s="1496"/>
      <c r="Q74" s="1497" t="s">
        <v>3797</v>
      </c>
      <c r="R74" s="1498"/>
      <c r="S74" s="1498"/>
      <c r="T74" s="1499"/>
      <c r="U74" s="1683" t="s">
        <v>2878</v>
      </c>
      <c r="V74" s="1684"/>
      <c r="W74" s="1685"/>
      <c r="X74" s="1538" t="s">
        <v>6230</v>
      </c>
      <c r="Y74" s="1539"/>
      <c r="Z74" s="1539"/>
      <c r="AA74" s="1539"/>
      <c r="AB74" s="1539"/>
      <c r="AC74" s="1539"/>
      <c r="AD74" s="1539"/>
      <c r="AE74" s="1539"/>
      <c r="AF74" s="1540"/>
      <c r="AG74" s="1"/>
      <c r="AH74" s="1"/>
      <c r="AI74" s="1"/>
      <c r="AJ74" s="1"/>
      <c r="AL74" s="624"/>
      <c r="AM74" s="839"/>
      <c r="AN74" s="839"/>
      <c r="AO74" s="839"/>
      <c r="AP74" s="839"/>
      <c r="AQ74" s="839"/>
      <c r="AR74" s="839"/>
      <c r="AS74" s="839"/>
      <c r="AT74" s="839"/>
      <c r="AU74" s="839"/>
      <c r="AV74" s="839"/>
      <c r="AW74" s="839"/>
      <c r="AX74" s="839"/>
      <c r="AY74" s="839"/>
      <c r="AZ74" s="839"/>
      <c r="BA74" s="839"/>
      <c r="BB74" s="839"/>
      <c r="BC74" s="839"/>
      <c r="BD74" s="839"/>
      <c r="BE74" s="839"/>
      <c r="BF74" s="839"/>
      <c r="BG74" s="839"/>
      <c r="BH74" s="839"/>
      <c r="BI74" s="839"/>
      <c r="BJ74" s="839"/>
      <c r="BK74" s="839"/>
      <c r="BL74" s="839"/>
      <c r="BM74" s="839"/>
      <c r="BN74" s="839"/>
      <c r="BO74" s="839"/>
      <c r="BP74" s="839"/>
      <c r="BQ74" s="839"/>
      <c r="BR74" s="839"/>
      <c r="BS74" s="839"/>
      <c r="BT74" s="839"/>
    </row>
    <row r="75" spans="1:72" customFormat="1" ht="114.75" customHeight="1" x14ac:dyDescent="0.25">
      <c r="A75" s="1494" t="s">
        <v>6231</v>
      </c>
      <c r="B75" s="1495"/>
      <c r="C75" s="1495"/>
      <c r="D75" s="1496"/>
      <c r="E75" s="1494" t="s">
        <v>6212</v>
      </c>
      <c r="F75" s="1495"/>
      <c r="G75" s="1495"/>
      <c r="H75" s="1495"/>
      <c r="I75" s="1495"/>
      <c r="J75" s="1495"/>
      <c r="K75" s="1495"/>
      <c r="L75" s="1495"/>
      <c r="M75" s="1495"/>
      <c r="N75" s="1495"/>
      <c r="O75" s="1495"/>
      <c r="P75" s="1496"/>
      <c r="Q75" s="1497" t="s">
        <v>164</v>
      </c>
      <c r="R75" s="1498"/>
      <c r="S75" s="1498"/>
      <c r="T75" s="1499"/>
      <c r="U75" s="1683" t="s">
        <v>2878</v>
      </c>
      <c r="V75" s="1684"/>
      <c r="W75" s="1685"/>
      <c r="X75" s="1538" t="s">
        <v>6232</v>
      </c>
      <c r="Y75" s="1539"/>
      <c r="Z75" s="1539"/>
      <c r="AA75" s="1539"/>
      <c r="AB75" s="1539"/>
      <c r="AC75" s="1539"/>
      <c r="AD75" s="1539"/>
      <c r="AE75" s="1539"/>
      <c r="AF75" s="1540"/>
      <c r="AG75" s="1"/>
      <c r="AH75" s="1"/>
      <c r="AI75" s="1"/>
      <c r="AJ75" s="1"/>
      <c r="AL75" s="624"/>
    </row>
    <row r="76" spans="1:72" customFormat="1" ht="121.5" customHeight="1" x14ac:dyDescent="0.25">
      <c r="A76" s="1494" t="s">
        <v>6233</v>
      </c>
      <c r="B76" s="1495"/>
      <c r="C76" s="1495"/>
      <c r="D76" s="1496"/>
      <c r="E76" s="1494" t="s">
        <v>6213</v>
      </c>
      <c r="F76" s="1495"/>
      <c r="G76" s="1495"/>
      <c r="H76" s="1495"/>
      <c r="I76" s="1495"/>
      <c r="J76" s="1495"/>
      <c r="K76" s="1495"/>
      <c r="L76" s="1495"/>
      <c r="M76" s="1495"/>
      <c r="N76" s="1495"/>
      <c r="O76" s="1495"/>
      <c r="P76" s="1496"/>
      <c r="Q76" s="1497" t="s">
        <v>3797</v>
      </c>
      <c r="R76" s="1498"/>
      <c r="S76" s="1498"/>
      <c r="T76" s="1499"/>
      <c r="U76" s="1683" t="s">
        <v>2878</v>
      </c>
      <c r="V76" s="1684"/>
      <c r="W76" s="1685"/>
      <c r="X76" s="1538" t="s">
        <v>6230</v>
      </c>
      <c r="Y76" s="1539"/>
      <c r="Z76" s="1539"/>
      <c r="AA76" s="1539"/>
      <c r="AB76" s="1539"/>
      <c r="AC76" s="1539"/>
      <c r="AD76" s="1539"/>
      <c r="AE76" s="1539"/>
      <c r="AF76" s="1540"/>
      <c r="AG76" s="1"/>
      <c r="AH76" s="1"/>
      <c r="AI76" s="1"/>
      <c r="AJ76" s="1"/>
      <c r="AL76" s="624"/>
    </row>
    <row r="77" spans="1:72" customFormat="1" ht="110.25" customHeight="1" x14ac:dyDescent="0.25">
      <c r="A77" s="1494" t="s">
        <v>6234</v>
      </c>
      <c r="B77" s="1495"/>
      <c r="C77" s="1495"/>
      <c r="D77" s="1496"/>
      <c r="E77" s="1494" t="s">
        <v>6214</v>
      </c>
      <c r="F77" s="1495"/>
      <c r="G77" s="1495"/>
      <c r="H77" s="1495"/>
      <c r="I77" s="1495"/>
      <c r="J77" s="1495"/>
      <c r="K77" s="1495"/>
      <c r="L77" s="1495"/>
      <c r="M77" s="1495"/>
      <c r="N77" s="1495"/>
      <c r="O77" s="1495"/>
      <c r="P77" s="1496"/>
      <c r="Q77" s="1497" t="s">
        <v>164</v>
      </c>
      <c r="R77" s="1498"/>
      <c r="S77" s="1498"/>
      <c r="T77" s="1499"/>
      <c r="U77" s="1683" t="s">
        <v>2878</v>
      </c>
      <c r="V77" s="1684"/>
      <c r="W77" s="1685"/>
      <c r="X77" s="1538" t="s">
        <v>6232</v>
      </c>
      <c r="Y77" s="1539"/>
      <c r="Z77" s="1539"/>
      <c r="AA77" s="1539"/>
      <c r="AB77" s="1539"/>
      <c r="AC77" s="1539"/>
      <c r="AD77" s="1539"/>
      <c r="AE77" s="1539"/>
      <c r="AF77" s="1540"/>
      <c r="AG77" s="1"/>
      <c r="AH77" s="1"/>
      <c r="AI77" s="1"/>
      <c r="AJ77" s="1"/>
      <c r="AL77" s="624"/>
    </row>
    <row r="78" spans="1:72" customFormat="1" ht="65.25" customHeight="1" x14ac:dyDescent="0.25">
      <c r="A78" s="1680" t="s">
        <v>257</v>
      </c>
      <c r="B78" s="1681"/>
      <c r="C78" s="1681"/>
      <c r="D78" s="1682"/>
      <c r="E78" s="1494" t="s">
        <v>1175</v>
      </c>
      <c r="F78" s="1495"/>
      <c r="G78" s="1495"/>
      <c r="H78" s="1495"/>
      <c r="I78" s="1495"/>
      <c r="J78" s="1495"/>
      <c r="K78" s="1495"/>
      <c r="L78" s="1495"/>
      <c r="M78" s="1495"/>
      <c r="N78" s="1495"/>
      <c r="O78" s="1495"/>
      <c r="P78" s="1496"/>
      <c r="Q78" s="1497" t="s">
        <v>3798</v>
      </c>
      <c r="R78" s="1498"/>
      <c r="S78" s="1498"/>
      <c r="T78" s="1499"/>
      <c r="U78" s="1683" t="s">
        <v>45</v>
      </c>
      <c r="V78" s="1684"/>
      <c r="W78" s="1685"/>
      <c r="X78" s="1538" t="s">
        <v>6215</v>
      </c>
      <c r="Y78" s="1539"/>
      <c r="Z78" s="1539"/>
      <c r="AA78" s="1539"/>
      <c r="AB78" s="1539"/>
      <c r="AC78" s="1539"/>
      <c r="AD78" s="1539"/>
      <c r="AE78" s="1539"/>
      <c r="AF78" s="1540"/>
      <c r="AG78" s="1"/>
      <c r="AH78" s="1"/>
      <c r="AI78" s="1"/>
      <c r="AJ78" s="1"/>
      <c r="AL78" s="839"/>
    </row>
    <row r="79" spans="1:72" customFormat="1" ht="83.25" customHeight="1" x14ac:dyDescent="0.25">
      <c r="A79" s="1680" t="s">
        <v>29</v>
      </c>
      <c r="B79" s="1681"/>
      <c r="C79" s="1681"/>
      <c r="D79" s="1682"/>
      <c r="E79" s="1494" t="s">
        <v>104</v>
      </c>
      <c r="F79" s="1495"/>
      <c r="G79" s="1495"/>
      <c r="H79" s="1495"/>
      <c r="I79" s="1495"/>
      <c r="J79" s="1495"/>
      <c r="K79" s="1495"/>
      <c r="L79" s="1495"/>
      <c r="M79" s="1495"/>
      <c r="N79" s="1495"/>
      <c r="O79" s="1495"/>
      <c r="P79" s="1496"/>
      <c r="Q79" s="1497" t="s">
        <v>3798</v>
      </c>
      <c r="R79" s="1498"/>
      <c r="S79" s="1498"/>
      <c r="T79" s="1499"/>
      <c r="U79" s="1696" t="s">
        <v>28</v>
      </c>
      <c r="V79" s="1684"/>
      <c r="W79" s="1685"/>
      <c r="X79" s="1538" t="s">
        <v>6216</v>
      </c>
      <c r="Y79" s="1539"/>
      <c r="Z79" s="1539"/>
      <c r="AA79" s="1539"/>
      <c r="AB79" s="1539"/>
      <c r="AC79" s="1539"/>
      <c r="AD79" s="1539"/>
      <c r="AE79" s="1539"/>
      <c r="AF79" s="1540"/>
      <c r="AG79" s="1"/>
      <c r="AH79" s="1"/>
      <c r="AI79" s="1"/>
      <c r="AJ79" s="1"/>
      <c r="AL79" s="839"/>
    </row>
    <row r="80" spans="1:72" customFormat="1" ht="34.5" customHeight="1" x14ac:dyDescent="0.25">
      <c r="A80" s="1680" t="s">
        <v>2724</v>
      </c>
      <c r="B80" s="1681"/>
      <c r="C80" s="1681"/>
      <c r="D80" s="1682"/>
      <c r="E80" s="1494" t="s">
        <v>2217</v>
      </c>
      <c r="F80" s="1495"/>
      <c r="G80" s="1495"/>
      <c r="H80" s="1495"/>
      <c r="I80" s="1495"/>
      <c r="J80" s="1495"/>
      <c r="K80" s="1495"/>
      <c r="L80" s="1495"/>
      <c r="M80" s="1495"/>
      <c r="N80" s="1495"/>
      <c r="O80" s="1495"/>
      <c r="P80" s="1496"/>
      <c r="Q80" s="1497">
        <f>'Master EUL'!X79</f>
        <v>15</v>
      </c>
      <c r="R80" s="1498"/>
      <c r="S80" s="1498"/>
      <c r="T80" s="1499"/>
      <c r="U80" s="1683" t="s">
        <v>36</v>
      </c>
      <c r="V80" s="1684"/>
      <c r="W80" s="1685"/>
      <c r="X80" s="1538" t="s">
        <v>1757</v>
      </c>
      <c r="Y80" s="1539"/>
      <c r="Z80" s="1539"/>
      <c r="AA80" s="1539"/>
      <c r="AB80" s="1539"/>
      <c r="AC80" s="1539"/>
      <c r="AD80" s="1539"/>
      <c r="AE80" s="1539"/>
      <c r="AF80" s="1540"/>
      <c r="AG80" s="1"/>
      <c r="AH80" s="1"/>
      <c r="AI80" s="1"/>
      <c r="AJ80" s="1"/>
      <c r="AL80" s="893"/>
    </row>
    <row r="81" spans="1:38" customFormat="1" x14ac:dyDescent="0.25">
      <c r="A81" s="262"/>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2"/>
      <c r="AG81" s="1"/>
      <c r="AH81" s="1"/>
      <c r="AI81" s="1"/>
      <c r="AJ81" s="1"/>
      <c r="AL81" s="839"/>
    </row>
    <row r="82" spans="1:38" customFormat="1" x14ac:dyDescent="0.25">
      <c r="A82" s="262"/>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62"/>
      <c r="AF82" s="262"/>
      <c r="AG82" s="1"/>
      <c r="AH82" s="1"/>
      <c r="AI82" s="1"/>
      <c r="AJ82" s="1"/>
      <c r="AL82" s="839"/>
    </row>
    <row r="83" spans="1:38" customFormat="1" x14ac:dyDescent="0.25">
      <c r="A83" s="1621" t="s">
        <v>21</v>
      </c>
      <c r="B83" s="1621"/>
      <c r="C83" s="1621"/>
      <c r="D83" s="1621"/>
      <c r="E83" s="1621"/>
      <c r="F83" s="1621"/>
      <c r="G83" s="1621"/>
      <c r="H83" s="1621"/>
      <c r="I83" s="1621"/>
      <c r="J83" s="1621"/>
      <c r="K83" s="1621"/>
      <c r="L83" s="1621"/>
      <c r="M83" s="1621"/>
      <c r="N83" s="1621"/>
      <c r="O83" s="1621"/>
      <c r="P83" s="1621"/>
      <c r="Q83" s="1621"/>
      <c r="R83" s="1621"/>
      <c r="S83" s="1621"/>
      <c r="T83" s="1621"/>
      <c r="U83" s="1621"/>
      <c r="V83" s="1621"/>
      <c r="W83" s="1621"/>
      <c r="X83" s="1621"/>
      <c r="Y83" s="1621"/>
      <c r="Z83" s="1621"/>
      <c r="AA83" s="1621"/>
      <c r="AB83" s="1621"/>
      <c r="AC83" s="1621"/>
      <c r="AD83" s="1621"/>
      <c r="AE83" s="1621"/>
      <c r="AF83" s="1621"/>
      <c r="AG83" s="1"/>
      <c r="AH83" s="1"/>
      <c r="AI83" s="1"/>
      <c r="AJ83" s="1"/>
      <c r="AL83" s="839"/>
    </row>
    <row r="84" spans="1:38" customFormat="1" x14ac:dyDescent="0.25">
      <c r="A84" s="198"/>
      <c r="B84" s="198"/>
      <c r="C84" s="198"/>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
      <c r="AH84" s="1"/>
      <c r="AI84" s="1"/>
      <c r="AJ84" s="1"/>
      <c r="AL84" s="839"/>
    </row>
    <row r="85" spans="1:38" customFormat="1" x14ac:dyDescent="0.25">
      <c r="A85" s="262"/>
      <c r="B85" s="1589" t="s">
        <v>3799</v>
      </c>
      <c r="C85" s="1589"/>
      <c r="D85" s="1589"/>
      <c r="E85" s="1589"/>
      <c r="F85" s="1589"/>
      <c r="G85" s="1589"/>
      <c r="H85" s="1589"/>
      <c r="I85" s="1589"/>
      <c r="J85" s="1589"/>
      <c r="K85" s="1589"/>
      <c r="L85" s="1589"/>
      <c r="M85" s="1589"/>
      <c r="N85" s="1589"/>
      <c r="O85" s="1589"/>
      <c r="P85" s="1589"/>
      <c r="Q85" s="1589"/>
      <c r="R85" s="1589"/>
      <c r="S85" s="1589"/>
      <c r="T85" s="916" t="s">
        <v>3800</v>
      </c>
      <c r="U85" s="916"/>
      <c r="V85" s="916"/>
      <c r="W85" s="916"/>
      <c r="X85" s="916"/>
      <c r="Y85" s="916"/>
      <c r="Z85" s="916"/>
      <c r="AA85" s="916"/>
      <c r="AB85" s="917"/>
      <c r="AC85" s="262"/>
      <c r="AD85" s="262"/>
      <c r="AE85" s="262"/>
      <c r="AF85" s="262"/>
      <c r="AG85" s="1"/>
      <c r="AH85" s="1"/>
      <c r="AI85" s="1"/>
      <c r="AJ85" s="1"/>
      <c r="AL85" s="893"/>
    </row>
    <row r="86" spans="1:38" customFormat="1" x14ac:dyDescent="0.25">
      <c r="A86" s="262"/>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1"/>
      <c r="AH86" s="1"/>
      <c r="AI86" s="1"/>
      <c r="AJ86" s="1"/>
      <c r="AL86" s="839"/>
    </row>
    <row r="87" spans="1:38" customFormat="1" x14ac:dyDescent="0.25">
      <c r="A87" s="262"/>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262"/>
      <c r="AF87" s="262"/>
      <c r="AG87" s="1"/>
      <c r="AH87" s="1"/>
      <c r="AI87" s="1"/>
      <c r="AJ87" s="1"/>
      <c r="AL87" s="839"/>
    </row>
    <row r="88" spans="1:38" customFormat="1" x14ac:dyDescent="0.25">
      <c r="A88" s="262"/>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2"/>
      <c r="AE88" s="262"/>
      <c r="AF88" s="262"/>
      <c r="AG88" s="1"/>
      <c r="AH88" s="1"/>
      <c r="AI88" s="1"/>
      <c r="AJ88" s="1"/>
      <c r="AL88" s="839"/>
    </row>
    <row r="89" spans="1:38" customFormat="1" x14ac:dyDescent="0.25">
      <c r="A89" s="1621" t="s">
        <v>1753</v>
      </c>
      <c r="B89" s="1621"/>
      <c r="C89" s="1621"/>
      <c r="D89" s="1621"/>
      <c r="E89" s="1621"/>
      <c r="F89" s="1621"/>
      <c r="G89" s="1621"/>
      <c r="H89" s="1621"/>
      <c r="I89" s="1621"/>
      <c r="J89" s="1621"/>
      <c r="K89" s="1621"/>
      <c r="L89" s="1621"/>
      <c r="M89" s="1621"/>
      <c r="N89" s="1621"/>
      <c r="O89" s="1621"/>
      <c r="P89" s="1621"/>
      <c r="Q89" s="1621"/>
      <c r="R89" s="1621"/>
      <c r="S89" s="1621"/>
      <c r="T89" s="1621"/>
      <c r="U89" s="1621"/>
      <c r="V89" s="1621"/>
      <c r="W89" s="1621"/>
      <c r="X89" s="1621"/>
      <c r="Y89" s="1621"/>
      <c r="Z89" s="1621"/>
      <c r="AA89" s="1621"/>
      <c r="AB89" s="1621"/>
      <c r="AC89" s="1621"/>
      <c r="AD89" s="1621"/>
      <c r="AE89" s="1621"/>
      <c r="AF89" s="1621"/>
      <c r="AG89" s="1"/>
      <c r="AH89" s="1"/>
      <c r="AI89" s="1"/>
      <c r="AJ89" s="1"/>
      <c r="AL89" s="839"/>
    </row>
    <row r="90" spans="1:38" customFormat="1" x14ac:dyDescent="0.25">
      <c r="A90" s="190"/>
      <c r="B90" s="190"/>
      <c r="C90" s="190"/>
      <c r="D90" s="190"/>
      <c r="E90" s="190"/>
      <c r="F90" s="190"/>
      <c r="G90" s="190"/>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
      <c r="AH90" s="1"/>
      <c r="AI90" s="1"/>
      <c r="AJ90" s="1"/>
      <c r="AL90" s="839"/>
    </row>
    <row r="91" spans="1:38" customFormat="1" x14ac:dyDescent="0.25">
      <c r="A91" s="517" t="s">
        <v>1013</v>
      </c>
      <c r="B91" s="1168" t="s">
        <v>6217</v>
      </c>
      <c r="C91" s="1168"/>
      <c r="D91" s="1168"/>
      <c r="E91" s="1168"/>
      <c r="F91" s="1168"/>
      <c r="G91" s="1168"/>
      <c r="H91" s="1168"/>
      <c r="I91" s="1168"/>
      <c r="J91" s="1168"/>
      <c r="K91" s="1168"/>
      <c r="L91" s="1168"/>
      <c r="M91" s="1168"/>
      <c r="N91" s="1168"/>
      <c r="O91" s="1168"/>
      <c r="P91" s="1168"/>
      <c r="Q91" s="1168"/>
      <c r="R91" s="1168"/>
      <c r="S91" s="1168"/>
      <c r="T91" s="1168"/>
      <c r="U91" s="1168"/>
      <c r="V91" s="1168"/>
      <c r="W91" s="1168"/>
      <c r="X91" s="1168"/>
      <c r="Y91" s="1168"/>
      <c r="Z91" s="1168"/>
      <c r="AA91" s="1168"/>
      <c r="AB91" s="1168"/>
      <c r="AC91" s="1168"/>
      <c r="AD91" s="1168"/>
      <c r="AE91" s="1168"/>
      <c r="AF91" s="1168"/>
      <c r="AG91" s="1"/>
      <c r="AH91" s="1"/>
      <c r="AI91" s="1"/>
      <c r="AJ91" s="1"/>
      <c r="AL91" s="624"/>
    </row>
    <row r="92" spans="1:38" customFormat="1" x14ac:dyDescent="0.25">
      <c r="A92" s="517" t="s">
        <v>1013</v>
      </c>
      <c r="B92" s="1168" t="s">
        <v>6235</v>
      </c>
      <c r="C92" s="1168"/>
      <c r="D92" s="1168"/>
      <c r="E92" s="1168"/>
      <c r="F92" s="1168"/>
      <c r="G92" s="1168"/>
      <c r="H92" s="1168"/>
      <c r="I92" s="1168"/>
      <c r="J92" s="1168"/>
      <c r="K92" s="1168"/>
      <c r="L92" s="1168"/>
      <c r="M92" s="1168"/>
      <c r="N92" s="1168"/>
      <c r="O92" s="1168"/>
      <c r="P92" s="1168"/>
      <c r="Q92" s="1168"/>
      <c r="R92" s="1168"/>
      <c r="S92" s="1168"/>
      <c r="T92" s="1168"/>
      <c r="U92" s="1168"/>
      <c r="V92" s="1168"/>
      <c r="W92" s="1168"/>
      <c r="X92" s="1168"/>
      <c r="Y92" s="1168"/>
      <c r="Z92" s="1168"/>
      <c r="AA92" s="1168"/>
      <c r="AB92" s="1168"/>
      <c r="AC92" s="1168"/>
      <c r="AD92" s="1168"/>
      <c r="AE92" s="1168"/>
      <c r="AF92" s="1168"/>
      <c r="AL92" s="624"/>
    </row>
    <row r="93" spans="1:38" customFormat="1" ht="30" customHeight="1" x14ac:dyDescent="0.25">
      <c r="A93" s="517" t="s">
        <v>1013</v>
      </c>
      <c r="B93" s="1168" t="s">
        <v>6236</v>
      </c>
      <c r="C93" s="1168"/>
      <c r="D93" s="1168"/>
      <c r="E93" s="1168"/>
      <c r="F93" s="1168"/>
      <c r="G93" s="1168"/>
      <c r="H93" s="1168"/>
      <c r="I93" s="1168"/>
      <c r="J93" s="1168"/>
      <c r="K93" s="1168"/>
      <c r="L93" s="1168"/>
      <c r="M93" s="1168"/>
      <c r="N93" s="1168"/>
      <c r="O93" s="1168"/>
      <c r="P93" s="1168"/>
      <c r="Q93" s="1168"/>
      <c r="R93" s="1168"/>
      <c r="S93" s="1168"/>
      <c r="T93" s="1168"/>
      <c r="U93" s="1168"/>
      <c r="V93" s="1168"/>
      <c r="W93" s="1168"/>
      <c r="X93" s="1168"/>
      <c r="Y93" s="1168"/>
      <c r="Z93" s="1168"/>
      <c r="AA93" s="1168"/>
      <c r="AB93" s="1168"/>
      <c r="AC93" s="1168"/>
      <c r="AD93" s="1168"/>
      <c r="AE93" s="1168"/>
      <c r="AF93" s="1168"/>
      <c r="AG93" s="1"/>
      <c r="AH93" s="1"/>
      <c r="AI93" s="1"/>
      <c r="AJ93" s="1"/>
      <c r="AL93" s="624"/>
    </row>
    <row r="94" spans="1:38" customFormat="1" ht="43.5" customHeight="1" x14ac:dyDescent="0.25">
      <c r="A94" s="517" t="s">
        <v>1013</v>
      </c>
      <c r="B94" s="1168" t="s">
        <v>6218</v>
      </c>
      <c r="C94" s="1168"/>
      <c r="D94" s="1168"/>
      <c r="E94" s="1168"/>
      <c r="F94" s="1168"/>
      <c r="G94" s="1168"/>
      <c r="H94" s="1168"/>
      <c r="I94" s="1168"/>
      <c r="J94" s="1168"/>
      <c r="K94" s="1168"/>
      <c r="L94" s="1168"/>
      <c r="M94" s="1168"/>
      <c r="N94" s="1168"/>
      <c r="O94" s="1168"/>
      <c r="P94" s="1168"/>
      <c r="Q94" s="1168"/>
      <c r="R94" s="1168"/>
      <c r="S94" s="1168"/>
      <c r="T94" s="1168"/>
      <c r="U94" s="1168"/>
      <c r="V94" s="1168"/>
      <c r="W94" s="1168"/>
      <c r="X94" s="1168"/>
      <c r="Y94" s="1168"/>
      <c r="Z94" s="1168"/>
      <c r="AA94" s="1168"/>
      <c r="AB94" s="1168"/>
      <c r="AC94" s="1168"/>
      <c r="AD94" s="1168"/>
      <c r="AE94" s="1168"/>
      <c r="AF94" s="1168"/>
      <c r="AG94" s="1"/>
      <c r="AH94" s="1"/>
      <c r="AI94" s="1"/>
      <c r="AJ94" s="1"/>
      <c r="AL94" s="624"/>
    </row>
    <row r="95" spans="1:38" customFormat="1" ht="49.5" customHeight="1" x14ac:dyDescent="0.25">
      <c r="A95" s="517" t="s">
        <v>1013</v>
      </c>
      <c r="B95" s="1173" t="s">
        <v>6219</v>
      </c>
      <c r="C95" s="1173"/>
      <c r="D95" s="1173"/>
      <c r="E95" s="1173"/>
      <c r="F95" s="1173"/>
      <c r="G95" s="1173"/>
      <c r="H95" s="1173"/>
      <c r="I95" s="1173"/>
      <c r="J95" s="1173"/>
      <c r="K95" s="1173"/>
      <c r="L95" s="1173"/>
      <c r="M95" s="1173"/>
      <c r="N95" s="1173"/>
      <c r="O95" s="1173"/>
      <c r="P95" s="1173"/>
      <c r="Q95" s="1173"/>
      <c r="R95" s="1173"/>
      <c r="S95" s="1173"/>
      <c r="T95" s="1173"/>
      <c r="U95" s="1173"/>
      <c r="V95" s="1173"/>
      <c r="W95" s="1173"/>
      <c r="X95" s="1173"/>
      <c r="Y95" s="1173"/>
      <c r="Z95" s="1173"/>
      <c r="AA95" s="1173"/>
      <c r="AB95" s="1173"/>
      <c r="AC95" s="1173"/>
      <c r="AD95" s="1173"/>
      <c r="AE95" s="1173"/>
      <c r="AF95" s="1173"/>
      <c r="AG95" s="1"/>
      <c r="AH95" s="1"/>
      <c r="AI95" s="1"/>
      <c r="AJ95" s="1"/>
      <c r="AL95" s="624"/>
    </row>
    <row r="96" spans="1:38" customFormat="1" ht="67.5" customHeight="1" x14ac:dyDescent="0.25">
      <c r="A96" s="517" t="s">
        <v>1013</v>
      </c>
      <c r="B96" s="1173" t="s">
        <v>6220</v>
      </c>
      <c r="C96" s="1173"/>
      <c r="D96" s="1173"/>
      <c r="E96" s="1173"/>
      <c r="F96" s="1173"/>
      <c r="G96" s="1173"/>
      <c r="H96" s="1173"/>
      <c r="I96" s="1173"/>
      <c r="J96" s="1173"/>
      <c r="K96" s="1173"/>
      <c r="L96" s="1173"/>
      <c r="M96" s="1173"/>
      <c r="N96" s="1173"/>
      <c r="O96" s="1173"/>
      <c r="P96" s="1173"/>
      <c r="Q96" s="1173"/>
      <c r="R96" s="1173"/>
      <c r="S96" s="1173"/>
      <c r="T96" s="1173"/>
      <c r="U96" s="1173"/>
      <c r="V96" s="1173"/>
      <c r="W96" s="1173"/>
      <c r="X96" s="1173"/>
      <c r="Y96" s="1173"/>
      <c r="Z96" s="1173"/>
      <c r="AA96" s="1173"/>
      <c r="AB96" s="1173"/>
      <c r="AC96" s="1173"/>
      <c r="AD96" s="1173"/>
      <c r="AE96" s="1173"/>
      <c r="AF96" s="1173"/>
      <c r="AG96" s="1"/>
      <c r="AH96" s="1"/>
      <c r="AI96" s="1"/>
      <c r="AJ96" s="1"/>
      <c r="AL96" s="624"/>
    </row>
    <row r="97" spans="1:38" customFormat="1" ht="66.75" customHeight="1" x14ac:dyDescent="0.25">
      <c r="A97" s="517" t="s">
        <v>1013</v>
      </c>
      <c r="B97" s="1173" t="s">
        <v>6221</v>
      </c>
      <c r="C97" s="1173"/>
      <c r="D97" s="1173"/>
      <c r="E97" s="1173"/>
      <c r="F97" s="1173"/>
      <c r="G97" s="1173"/>
      <c r="H97" s="1173"/>
      <c r="I97" s="1173"/>
      <c r="J97" s="1173"/>
      <c r="K97" s="1173"/>
      <c r="L97" s="1173"/>
      <c r="M97" s="1173"/>
      <c r="N97" s="1173"/>
      <c r="O97" s="1173"/>
      <c r="P97" s="1173"/>
      <c r="Q97" s="1173"/>
      <c r="R97" s="1173"/>
      <c r="S97" s="1173"/>
      <c r="T97" s="1173"/>
      <c r="U97" s="1173"/>
      <c r="V97" s="1173"/>
      <c r="W97" s="1173"/>
      <c r="X97" s="1173"/>
      <c r="Y97" s="1173"/>
      <c r="Z97" s="1173"/>
      <c r="AA97" s="1173"/>
      <c r="AB97" s="1173"/>
      <c r="AC97" s="1173"/>
      <c r="AD97" s="1173"/>
      <c r="AE97" s="1173"/>
      <c r="AF97" s="1173"/>
      <c r="AG97" s="1"/>
      <c r="AH97" s="1"/>
      <c r="AI97" s="1"/>
      <c r="AJ97" s="1"/>
      <c r="AL97" s="624"/>
    </row>
    <row r="98" spans="1:38" customFormat="1" ht="63.75" customHeight="1" x14ac:dyDescent="0.25">
      <c r="A98" s="517" t="s">
        <v>1013</v>
      </c>
      <c r="B98" s="1168" t="s">
        <v>2664</v>
      </c>
      <c r="C98" s="1168"/>
      <c r="D98" s="1168"/>
      <c r="E98" s="1168"/>
      <c r="F98" s="1168"/>
      <c r="G98" s="1168"/>
      <c r="H98" s="1168"/>
      <c r="I98" s="1168"/>
      <c r="J98" s="1168"/>
      <c r="K98" s="1168"/>
      <c r="L98" s="1168"/>
      <c r="M98" s="1168"/>
      <c r="N98" s="1168"/>
      <c r="O98" s="1168"/>
      <c r="P98" s="1168"/>
      <c r="Q98" s="1168"/>
      <c r="R98" s="1168"/>
      <c r="S98" s="1168"/>
      <c r="T98" s="1168"/>
      <c r="U98" s="1168"/>
      <c r="V98" s="1168"/>
      <c r="W98" s="1168"/>
      <c r="X98" s="1168"/>
      <c r="Y98" s="1168"/>
      <c r="Z98" s="1168"/>
      <c r="AA98" s="1168"/>
      <c r="AB98" s="1168"/>
      <c r="AC98" s="1168"/>
      <c r="AD98" s="1168"/>
      <c r="AE98" s="1168"/>
      <c r="AF98" s="1168"/>
      <c r="AG98" s="1"/>
      <c r="AH98" s="1"/>
      <c r="AI98" s="1"/>
      <c r="AJ98" s="1"/>
      <c r="AL98" s="839"/>
    </row>
    <row r="99" spans="1:38" customFormat="1" ht="67.5" customHeight="1" x14ac:dyDescent="0.25">
      <c r="A99" s="517" t="s">
        <v>1013</v>
      </c>
      <c r="B99" s="1168" t="s">
        <v>2872</v>
      </c>
      <c r="C99" s="1168"/>
      <c r="D99" s="1168"/>
      <c r="E99" s="1168"/>
      <c r="F99" s="1168"/>
      <c r="G99" s="1168"/>
      <c r="H99" s="1168"/>
      <c r="I99" s="1168"/>
      <c r="J99" s="1168"/>
      <c r="K99" s="1168"/>
      <c r="L99" s="1168"/>
      <c r="M99" s="1168"/>
      <c r="N99" s="1168"/>
      <c r="O99" s="1168"/>
      <c r="P99" s="1168"/>
      <c r="Q99" s="1168"/>
      <c r="R99" s="1168"/>
      <c r="S99" s="1168"/>
      <c r="T99" s="1168"/>
      <c r="U99" s="1168"/>
      <c r="V99" s="1168"/>
      <c r="W99" s="1168"/>
      <c r="X99" s="1168"/>
      <c r="Y99" s="1168"/>
      <c r="Z99" s="1168"/>
      <c r="AA99" s="1168"/>
      <c r="AB99" s="1168"/>
      <c r="AC99" s="1168"/>
      <c r="AD99" s="1168"/>
      <c r="AE99" s="1168"/>
      <c r="AF99" s="1168"/>
      <c r="AG99" s="1"/>
      <c r="AH99" s="1"/>
      <c r="AI99" s="1"/>
      <c r="AJ99" s="1"/>
      <c r="AL99" s="839"/>
    </row>
  </sheetData>
  <sheetProtection algorithmName="SHA-512" hashValue="l0+d22PVhfKK/gwYzddcgUhH7oDEoIC2V48oVu2q9HaeUvW1KF6VnZ+S4oFaH2ujRO/9ICwg/7wyJGNln+a/fA==" saltValue="bJBEEiNqiICOH2c4n8tHpw==" spinCount="100000" sheet="1" objects="1" scenarios="1"/>
  <mergeCells count="89">
    <mergeCell ref="A75:D75"/>
    <mergeCell ref="E75:P75"/>
    <mergeCell ref="Q75:T75"/>
    <mergeCell ref="U75:W75"/>
    <mergeCell ref="X75:AF75"/>
    <mergeCell ref="B49:AF49"/>
    <mergeCell ref="B51:AF51"/>
    <mergeCell ref="A72:D72"/>
    <mergeCell ref="E72:P72"/>
    <mergeCell ref="Q72:T72"/>
    <mergeCell ref="U72:W72"/>
    <mergeCell ref="X72:AF72"/>
    <mergeCell ref="A54:AF54"/>
    <mergeCell ref="A58:H58"/>
    <mergeCell ref="A63:H63"/>
    <mergeCell ref="A69:H69"/>
    <mergeCell ref="A71:AF71"/>
    <mergeCell ref="C29:AF29"/>
    <mergeCell ref="C30:AF30"/>
    <mergeCell ref="B36:AF36"/>
    <mergeCell ref="B38:AF38"/>
    <mergeCell ref="B47:AF47"/>
    <mergeCell ref="B40:AF40"/>
    <mergeCell ref="B42:AF42"/>
    <mergeCell ref="B44:AF44"/>
    <mergeCell ref="B24:AF24"/>
    <mergeCell ref="C25:AF25"/>
    <mergeCell ref="C26:AF26"/>
    <mergeCell ref="C27:AF27"/>
    <mergeCell ref="C28:AF28"/>
    <mergeCell ref="B20:AF20"/>
    <mergeCell ref="B22:AF22"/>
    <mergeCell ref="C11:AF11"/>
    <mergeCell ref="C12:AF12"/>
    <mergeCell ref="C13:AF13"/>
    <mergeCell ref="C14:AF14"/>
    <mergeCell ref="A1:AF1"/>
    <mergeCell ref="A3:AF3"/>
    <mergeCell ref="B5:AF5"/>
    <mergeCell ref="A7:AF7"/>
    <mergeCell ref="B10:AF10"/>
    <mergeCell ref="A73:D73"/>
    <mergeCell ref="E73:P73"/>
    <mergeCell ref="Q73:T73"/>
    <mergeCell ref="U73:W73"/>
    <mergeCell ref="X73:AF73"/>
    <mergeCell ref="A74:D74"/>
    <mergeCell ref="E74:P74"/>
    <mergeCell ref="Q74:T74"/>
    <mergeCell ref="U74:W74"/>
    <mergeCell ref="X74:AF74"/>
    <mergeCell ref="E76:P76"/>
    <mergeCell ref="Q76:T76"/>
    <mergeCell ref="U76:W76"/>
    <mergeCell ref="X76:AF76"/>
    <mergeCell ref="A77:D77"/>
    <mergeCell ref="E77:P77"/>
    <mergeCell ref="Q77:T77"/>
    <mergeCell ref="U77:W77"/>
    <mergeCell ref="X77:AF77"/>
    <mergeCell ref="A76:D76"/>
    <mergeCell ref="A78:D78"/>
    <mergeCell ref="E78:P78"/>
    <mergeCell ref="Q78:T78"/>
    <mergeCell ref="U78:W78"/>
    <mergeCell ref="X78:AF78"/>
    <mergeCell ref="U80:W80"/>
    <mergeCell ref="X80:AF80"/>
    <mergeCell ref="A79:D79"/>
    <mergeCell ref="E79:P79"/>
    <mergeCell ref="Q79:T79"/>
    <mergeCell ref="U79:W79"/>
    <mergeCell ref="X79:AF79"/>
    <mergeCell ref="B98:AF98"/>
    <mergeCell ref="B99:AF99"/>
    <mergeCell ref="AL49:BT49"/>
    <mergeCell ref="B93:AF93"/>
    <mergeCell ref="B94:AF94"/>
    <mergeCell ref="B95:AF95"/>
    <mergeCell ref="B96:AF96"/>
    <mergeCell ref="B97:AF97"/>
    <mergeCell ref="A83:AF83"/>
    <mergeCell ref="B85:S85"/>
    <mergeCell ref="A89:AF89"/>
    <mergeCell ref="B91:AF91"/>
    <mergeCell ref="B92:AF92"/>
    <mergeCell ref="A80:D80"/>
    <mergeCell ref="E80:P80"/>
    <mergeCell ref="Q80:T80"/>
  </mergeCells>
  <hyperlinks>
    <hyperlink ref="A2" location="TOC!A1" display="Return to TOC" xr:uid="{CF62E0F9-0D02-4442-BE3C-52B0BF97FE6D}"/>
    <hyperlink ref="T85:AB85" location="C_HVAC_AC_HP_WKST!A1" display=" (C_HVAC_AC_HP_WKST)" xr:uid="{DAD4292B-D225-4D86-80D4-B8D078774CAA}"/>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58:AF69" numberStoredAsText="1"/>
  </ignoredErrors>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3">
    <tabColor theme="9" tint="0.79998168889431442"/>
    <pageSetUpPr autoPageBreaks="0" fitToPage="1"/>
  </sheetPr>
  <dimension ref="A1:U176"/>
  <sheetViews>
    <sheetView showGridLines="0" workbookViewId="0">
      <selection activeCell="B1" sqref="B1"/>
    </sheetView>
  </sheetViews>
  <sheetFormatPr defaultColWidth="8.85546875" defaultRowHeight="15" x14ac:dyDescent="0.25"/>
  <cols>
    <col min="1" max="1" width="2.7109375" customWidth="1"/>
    <col min="2" max="2" width="39.140625" customWidth="1"/>
    <col min="3" max="3" width="38" customWidth="1"/>
    <col min="4" max="4" width="13.5703125" customWidth="1"/>
    <col min="5" max="5" width="15.7109375" customWidth="1"/>
    <col min="6" max="6" width="30.28515625" customWidth="1"/>
    <col min="7" max="8" width="15.7109375" customWidth="1"/>
    <col min="9" max="9" width="5.140625" customWidth="1"/>
    <col min="10" max="12" width="15.7109375" customWidth="1"/>
    <col min="13" max="13" width="14" customWidth="1"/>
    <col min="14" max="14" width="14" style="584" customWidth="1"/>
    <col min="15" max="15" width="14" customWidth="1"/>
    <col min="16" max="19" width="14" style="227" customWidth="1"/>
    <col min="20" max="21" width="14" customWidth="1"/>
  </cols>
  <sheetData>
    <row r="1" spans="1:21" ht="23.25" x14ac:dyDescent="0.35">
      <c r="A1" s="666" t="s">
        <v>3801</v>
      </c>
      <c r="B1" s="667"/>
      <c r="C1" s="667"/>
      <c r="D1" s="667"/>
      <c r="E1" s="667"/>
      <c r="F1" s="667"/>
      <c r="G1" s="667"/>
      <c r="H1" s="667"/>
      <c r="I1" s="667"/>
      <c r="J1" s="667"/>
      <c r="K1" s="667"/>
      <c r="L1" s="667"/>
      <c r="M1" s="667"/>
      <c r="N1" s="667"/>
      <c r="O1" s="667"/>
      <c r="P1" s="667"/>
      <c r="Q1" s="667"/>
      <c r="R1" s="667"/>
      <c r="S1" s="667"/>
      <c r="T1" s="667"/>
    </row>
    <row r="2" spans="1:21" ht="18.75" x14ac:dyDescent="0.25">
      <c r="A2" s="655" t="s">
        <v>1702</v>
      </c>
      <c r="B2" s="284"/>
      <c r="C2" s="284"/>
      <c r="D2" s="284"/>
      <c r="E2" s="284"/>
      <c r="O2" s="521"/>
      <c r="Q2" s="262" t="s">
        <v>2895</v>
      </c>
      <c r="T2" s="227"/>
      <c r="U2" s="227"/>
    </row>
    <row r="3" spans="1:21" x14ac:dyDescent="0.25">
      <c r="G3" t="s">
        <v>6237</v>
      </c>
      <c r="Q3" s="262"/>
      <c r="T3" s="227"/>
      <c r="U3" s="227"/>
    </row>
    <row r="4" spans="1:21" x14ac:dyDescent="0.25">
      <c r="B4" s="613" t="s">
        <v>4574</v>
      </c>
      <c r="F4" s="2029" t="s">
        <v>1284</v>
      </c>
      <c r="G4" s="2029"/>
      <c r="J4" s="2029" t="s">
        <v>1424</v>
      </c>
      <c r="K4" s="2029"/>
      <c r="Q4" s="522" t="s">
        <v>6238</v>
      </c>
      <c r="T4" s="227"/>
      <c r="U4" s="227"/>
    </row>
    <row r="5" spans="1:21" x14ac:dyDescent="0.25">
      <c r="G5" s="290" t="s">
        <v>2882</v>
      </c>
      <c r="H5" s="290" t="s">
        <v>2896</v>
      </c>
      <c r="Q5" s="522" t="s">
        <v>6239</v>
      </c>
      <c r="T5" s="227"/>
      <c r="U5" s="227"/>
    </row>
    <row r="6" spans="1:21" x14ac:dyDescent="0.25">
      <c r="B6" s="330" t="s">
        <v>3802</v>
      </c>
      <c r="C6" s="1070" t="s">
        <v>6239</v>
      </c>
      <c r="D6" s="584"/>
      <c r="F6" s="753" t="s">
        <v>381</v>
      </c>
      <c r="G6" s="652" t="str">
        <f>IF(VLOOKUP($C$6,$B$57:$F$88,5,FALSE)="NA","NA",IF($C$9&gt;=INDEX($F$57:$F$88,MATCH($C$6&amp;" - "&amp;$G$9,$G$19:$G$50,0),1),"Pass","Fail"))</f>
        <v>NA</v>
      </c>
      <c r="H6" s="652" t="str">
        <f>IF($C$10&gt;=INDEX($D$57:$E$88,MATCH($C$6&amp;" - "&amp;$G$9,$G$19:$G$50,0),MATCH($D$10,$D$18:$E$18,0)),"Pass", "Fail")</f>
        <v>Pass</v>
      </c>
      <c r="J6" s="330" t="s">
        <v>1283</v>
      </c>
      <c r="K6" s="2022">
        <f>INDEX($C$134:$D$144,MATCH($C$8,$B$134:$B$144,0),2)</f>
        <v>0.48</v>
      </c>
      <c r="L6" s="2022"/>
      <c r="Q6" s="522" t="s">
        <v>6240</v>
      </c>
      <c r="T6" s="227"/>
      <c r="U6" s="227"/>
    </row>
    <row r="7" spans="1:21" x14ac:dyDescent="0.25">
      <c r="B7" s="330" t="s">
        <v>4648</v>
      </c>
      <c r="C7" s="1071">
        <v>64000</v>
      </c>
      <c r="F7" s="753" t="s">
        <v>388</v>
      </c>
      <c r="G7" s="652" t="str">
        <f>IF(VLOOKUP($C$6,$B$95:$F$126,5,FALSE)="NA","NA",IF($C$9&gt;=INDEX($F$95:$F$126,MATCH($C$6&amp;" - "&amp;$G$9,$G$19:$G$50,0),1),"Pass","Fail"))</f>
        <v>NA</v>
      </c>
      <c r="H7" s="652" t="str">
        <f>IF($C$10&gt;=INDEX($D$95:$E$126,MATCH($C$6&amp;" - "&amp;$G$9,$G$19:$G$50,0),MATCH($D$10,$D$18:$E$18,0)),"Pass", "Fail")</f>
        <v>Fail</v>
      </c>
      <c r="J7" s="330" t="s">
        <v>1282</v>
      </c>
      <c r="K7" s="2030">
        <f>INDEX($C$134:$D$144,MATCH($C$8,$B$134:$B$144,0),1)</f>
        <v>2754</v>
      </c>
      <c r="L7" s="2030"/>
      <c r="N7" s="692"/>
      <c r="Q7" s="522" t="s">
        <v>6241</v>
      </c>
      <c r="T7" s="227"/>
      <c r="U7" s="227"/>
    </row>
    <row r="8" spans="1:21" x14ac:dyDescent="0.25">
      <c r="B8" s="330" t="s">
        <v>3586</v>
      </c>
      <c r="C8" s="1072" t="s">
        <v>55</v>
      </c>
      <c r="F8" s="227"/>
      <c r="G8" s="227"/>
      <c r="H8" s="227"/>
      <c r="J8" s="305" t="s">
        <v>1423</v>
      </c>
      <c r="K8" s="2031">
        <f>ROUND(IF(OR($K$11=$F$6,$K$11=$F$7),$C$7/1000*(1/$G10-1/$C9)*$K6,0),3)</f>
        <v>0</v>
      </c>
      <c r="L8" s="2031"/>
      <c r="Q8" s="522" t="s">
        <v>6242</v>
      </c>
      <c r="T8" s="227"/>
      <c r="U8" s="227"/>
    </row>
    <row r="9" spans="1:21" x14ac:dyDescent="0.25">
      <c r="B9" s="415" t="s">
        <v>2898</v>
      </c>
      <c r="C9" s="1073">
        <v>10.6</v>
      </c>
      <c r="D9" s="460" t="s">
        <v>5709</v>
      </c>
      <c r="F9" s="625" t="s">
        <v>2899</v>
      </c>
      <c r="G9" s="1874" t="str">
        <f>IF(C6=Q14,INDEX($R$31:$R$34,MATCH($C$7,$Q$31:$Q$34,1),1),IF(C6=Q4,INDEX($R$36:$R$38,MATCH($C$7,$Q$36:$Q$38,1),1),IF(OR(C6=Q15,C6=Q16,C6=Q17,C6=Q18),INDEX($R$40:$R$43,MATCH($C$7,$Q$40:$Q$43,1),1),IF(C6=Q19,INDEX($R$45:$R$47,MATCH($C$7,$Q$45:$Q$47,1),1),INDEX($R$26:$R$29,MATCH($C$7,$Q$26:$Q$29,1),1)))))</f>
        <v>&lt; 65,000 Btu/h</v>
      </c>
      <c r="H9" s="1874"/>
      <c r="J9" s="305" t="s">
        <v>1281</v>
      </c>
      <c r="K9" s="2022">
        <f>ROUND(IF(OR($K$11=$F$6,$K$11=$F$7),$C$7/1000*(1/$G11-1/$C10)*$K7,0),2)</f>
        <v>1557.64</v>
      </c>
      <c r="L9" s="2022"/>
      <c r="Q9" s="522" t="s">
        <v>6243</v>
      </c>
      <c r="T9" s="227"/>
      <c r="U9" s="227"/>
    </row>
    <row r="10" spans="1:21" x14ac:dyDescent="0.25">
      <c r="B10" s="415" t="s">
        <v>2900</v>
      </c>
      <c r="C10" s="1073">
        <v>15.2</v>
      </c>
      <c r="D10" s="460" t="str">
        <f>IF($C$7&lt;65000, "SEER or SEER2","IEER")</f>
        <v>SEER or SEER2</v>
      </c>
      <c r="F10" s="625" t="s">
        <v>2901</v>
      </c>
      <c r="G10" s="652">
        <f>INDEX($F$19:$F$50,MATCH($C$6&amp;" - "&amp;$G$9,$G$19:$G$50,0),1)</f>
        <v>10.6</v>
      </c>
      <c r="H10" s="652" t="s">
        <v>5709</v>
      </c>
      <c r="J10" s="330" t="s">
        <v>2256</v>
      </c>
      <c r="K10" s="1285">
        <f>ROUND(K9*'C_HVAC_AC &amp; Heat Pump'!Q80,2)</f>
        <v>23364.6</v>
      </c>
      <c r="L10" s="1285"/>
      <c r="M10" s="227"/>
      <c r="Q10" s="522" t="s">
        <v>6244</v>
      </c>
      <c r="T10" s="227"/>
      <c r="U10" s="227"/>
    </row>
    <row r="11" spans="1:21" ht="15" customHeight="1" x14ac:dyDescent="0.25">
      <c r="B11" s="2028" t="s">
        <v>6245</v>
      </c>
      <c r="C11" s="386" t="str">
        <f>IF(AND(C6=Q14,C7&gt;134999),"Check Water-Source HP capacity","")</f>
        <v/>
      </c>
      <c r="D11" s="227"/>
      <c r="F11" s="625" t="s">
        <v>2902</v>
      </c>
      <c r="G11" s="652">
        <f>INDEX($D$19:$E$50,MATCH($C$6&amp;" - "&amp;$G$9,$G$19:$G$50,0),MATCH($D$10,$D$18:$E$18,0))</f>
        <v>13.4</v>
      </c>
      <c r="H11" s="652" t="str">
        <f>IF($C$7&lt;65000, "SEER or SEER2","IEER")</f>
        <v>SEER or SEER2</v>
      </c>
      <c r="J11" s="305" t="s">
        <v>2258</v>
      </c>
      <c r="K11" s="2023" t="str">
        <f>IF(AND(OR(G7="Pass",G7="NA"),H7="Pass"),F7,IF(AND(OR(G6="Pass",G6="NA"),H6="Pass"),F6,"Does Not Qualify"))</f>
        <v>Tier 1</v>
      </c>
      <c r="L11" s="2023"/>
      <c r="Q11" s="522" t="s">
        <v>6246</v>
      </c>
      <c r="T11" s="227"/>
      <c r="U11" s="227"/>
    </row>
    <row r="12" spans="1:21" x14ac:dyDescent="0.25">
      <c r="B12" s="2028"/>
      <c r="C12" s="386" t="str">
        <f>IF(C7&gt;239999,"Use custom approach for capacities ≥ 240,000 Btu/h","")</f>
        <v/>
      </c>
      <c r="D12" s="227"/>
      <c r="Q12" s="522" t="s">
        <v>6247</v>
      </c>
      <c r="T12" s="227"/>
      <c r="U12" s="227"/>
    </row>
    <row r="13" spans="1:21" x14ac:dyDescent="0.25">
      <c r="B13" s="2028"/>
      <c r="C13" s="386" t="str">
        <f>IF(AND(C7&gt;64999,OR(C6=Q4,C6=Q5,C6=Q6,C6=Q7,C6=Q9,C6=Q10,C6=Q11,C6=Q12,C6=Q15,C6=Q16,C6=Q17,C6=Q18)),"Check capacity","")</f>
        <v/>
      </c>
      <c r="D13" s="227"/>
      <c r="Q13" s="522" t="s">
        <v>2886</v>
      </c>
      <c r="T13" s="227"/>
      <c r="U13" s="227"/>
    </row>
    <row r="14" spans="1:21" x14ac:dyDescent="0.25">
      <c r="A14" s="227"/>
      <c r="B14" s="227"/>
      <c r="C14" s="386" t="str">
        <f>IF(AND(OR(C6=Q15,C6=Q16,C6=Q17,C6=Q18),F37&lt;0),"Check PTAC or PTHP capacity","")</f>
        <v/>
      </c>
      <c r="D14" s="227"/>
      <c r="E14" s="227"/>
      <c r="F14" s="227"/>
      <c r="G14" s="227"/>
      <c r="H14" s="227"/>
      <c r="I14" s="227"/>
      <c r="J14" s="227"/>
      <c r="K14" s="227"/>
      <c r="L14" s="227"/>
      <c r="M14" s="227"/>
      <c r="N14" s="227"/>
      <c r="Q14" s="522" t="s">
        <v>3780</v>
      </c>
      <c r="T14" s="227"/>
      <c r="U14" s="227"/>
    </row>
    <row r="15" spans="1:21" x14ac:dyDescent="0.25">
      <c r="A15" s="227"/>
      <c r="B15" s="227"/>
      <c r="C15" s="227"/>
      <c r="D15" s="227"/>
      <c r="E15" s="227"/>
      <c r="F15" s="227"/>
      <c r="G15" s="227"/>
      <c r="H15" s="227"/>
      <c r="I15" s="227"/>
      <c r="J15" s="227"/>
      <c r="K15" s="227"/>
      <c r="L15" s="227"/>
      <c r="M15" s="227"/>
      <c r="N15" s="227"/>
      <c r="O15" s="227"/>
      <c r="Q15" s="522" t="s">
        <v>3804</v>
      </c>
      <c r="T15" s="227"/>
      <c r="U15" s="227"/>
    </row>
    <row r="16" spans="1:21" ht="18.75" x14ac:dyDescent="0.25">
      <c r="A16" s="227"/>
      <c r="B16" s="283" t="s">
        <v>6248</v>
      </c>
      <c r="C16" s="227"/>
      <c r="D16" s="227"/>
      <c r="E16" s="227"/>
      <c r="F16" s="227"/>
      <c r="G16" s="227"/>
      <c r="H16" s="227"/>
      <c r="I16" s="227"/>
      <c r="J16" s="227"/>
      <c r="K16" s="227"/>
      <c r="L16" s="227"/>
      <c r="M16" s="227"/>
      <c r="N16" s="227"/>
      <c r="O16" s="227"/>
      <c r="Q16" s="522" t="s">
        <v>3805</v>
      </c>
      <c r="T16" s="227"/>
      <c r="U16" s="227"/>
    </row>
    <row r="17" spans="1:21" ht="15" customHeight="1" x14ac:dyDescent="0.25">
      <c r="A17" s="227"/>
      <c r="B17" s="2024" t="s">
        <v>2879</v>
      </c>
      <c r="C17" s="2024" t="s">
        <v>2880</v>
      </c>
      <c r="D17" s="2026" t="s">
        <v>2881</v>
      </c>
      <c r="E17" s="2027"/>
      <c r="F17" s="653" t="s">
        <v>2903</v>
      </c>
      <c r="G17" s="194"/>
      <c r="H17" s="194"/>
      <c r="I17" s="227"/>
      <c r="J17" s="227"/>
      <c r="K17" s="227"/>
      <c r="L17" s="227"/>
      <c r="M17" s="227"/>
      <c r="O17" s="227"/>
      <c r="Q17" s="522" t="s">
        <v>3806</v>
      </c>
      <c r="T17" s="227"/>
      <c r="U17" s="227"/>
    </row>
    <row r="18" spans="1:21" x14ac:dyDescent="0.25">
      <c r="A18" s="227"/>
      <c r="B18" s="2025"/>
      <c r="C18" s="2025"/>
      <c r="D18" s="524" t="s">
        <v>6249</v>
      </c>
      <c r="E18" s="524" t="s">
        <v>2883</v>
      </c>
      <c r="F18" s="524" t="s">
        <v>5709</v>
      </c>
      <c r="G18" s="194" t="s">
        <v>2904</v>
      </c>
      <c r="H18" s="227"/>
      <c r="I18" s="227"/>
      <c r="J18" s="227"/>
      <c r="K18" s="227"/>
      <c r="L18" s="227"/>
      <c r="M18" s="227"/>
      <c r="O18" s="227"/>
      <c r="Q18" s="522" t="s">
        <v>3803</v>
      </c>
      <c r="T18" s="227"/>
      <c r="U18" s="227"/>
    </row>
    <row r="19" spans="1:21" x14ac:dyDescent="0.25">
      <c r="A19" s="227"/>
      <c r="B19" s="653" t="s">
        <v>6238</v>
      </c>
      <c r="C19" s="653" t="s">
        <v>6250</v>
      </c>
      <c r="D19" s="918">
        <v>14.3</v>
      </c>
      <c r="E19" s="658" t="s">
        <v>2885</v>
      </c>
      <c r="F19" s="919">
        <v>11.7</v>
      </c>
      <c r="G19" s="227" t="str">
        <f t="shared" ref="G19:G50" si="0">B19&amp;" - "&amp;C19</f>
        <v>Single-Phase Split System AC - &lt; 45,000 Btu/h</v>
      </c>
      <c r="H19" s="227"/>
      <c r="I19" s="227"/>
      <c r="J19" s="227"/>
      <c r="K19" s="227"/>
      <c r="L19" s="227"/>
      <c r="M19" s="227"/>
      <c r="O19" s="227"/>
      <c r="Q19" s="522" t="s">
        <v>3807</v>
      </c>
      <c r="T19" s="227"/>
      <c r="U19" s="227"/>
    </row>
    <row r="20" spans="1:21" x14ac:dyDescent="0.25">
      <c r="A20" s="227"/>
      <c r="B20" s="653" t="s">
        <v>6238</v>
      </c>
      <c r="C20" s="653" t="s">
        <v>6251</v>
      </c>
      <c r="D20" s="918">
        <v>13.8</v>
      </c>
      <c r="E20" s="658" t="s">
        <v>2885</v>
      </c>
      <c r="F20" s="920">
        <v>11.2</v>
      </c>
      <c r="G20" s="227" t="str">
        <f t="shared" si="0"/>
        <v>Single-Phase Split System AC - ≥ 45,000 and &lt; 65,000 Btu/h</v>
      </c>
      <c r="H20" s="227"/>
      <c r="I20" s="227"/>
      <c r="J20" s="227"/>
      <c r="K20" s="227"/>
      <c r="L20" s="227"/>
      <c r="M20" s="227"/>
      <c r="O20" s="227"/>
      <c r="T20" s="227"/>
      <c r="U20" s="227"/>
    </row>
    <row r="21" spans="1:21" x14ac:dyDescent="0.25">
      <c r="A21" s="227"/>
      <c r="B21" s="653" t="s">
        <v>6239</v>
      </c>
      <c r="C21" s="653" t="s">
        <v>2884</v>
      </c>
      <c r="D21" s="918">
        <v>13.4</v>
      </c>
      <c r="E21" s="658" t="s">
        <v>2885</v>
      </c>
      <c r="F21" s="920">
        <v>10.6</v>
      </c>
      <c r="G21" s="227" t="str">
        <f t="shared" si="0"/>
        <v>Single-Phase Single Package AC - &lt; 65,000 Btu/h</v>
      </c>
      <c r="H21" s="227"/>
      <c r="I21" s="227"/>
      <c r="J21" s="227"/>
      <c r="K21" s="227"/>
      <c r="L21" s="227"/>
      <c r="M21" s="227"/>
      <c r="O21" s="227"/>
      <c r="Q21" s="192" t="s">
        <v>2897</v>
      </c>
      <c r="T21" s="227"/>
      <c r="U21" s="227"/>
    </row>
    <row r="22" spans="1:21" x14ac:dyDescent="0.25">
      <c r="A22" s="227"/>
      <c r="B22" s="653" t="s">
        <v>6240</v>
      </c>
      <c r="C22" s="653" t="s">
        <v>2884</v>
      </c>
      <c r="D22" s="918">
        <v>13.4</v>
      </c>
      <c r="E22" s="658" t="s">
        <v>2885</v>
      </c>
      <c r="F22" s="920">
        <v>10.6</v>
      </c>
      <c r="G22" s="227" t="str">
        <f t="shared" si="0"/>
        <v>Three-Phase Split System AC - &lt; 65,000 Btu/h</v>
      </c>
      <c r="H22" s="227"/>
      <c r="I22" s="227"/>
      <c r="J22" s="227"/>
      <c r="K22" s="227"/>
      <c r="L22" s="227"/>
      <c r="M22" s="227"/>
      <c r="O22" s="227"/>
      <c r="Q22" s="192" t="s">
        <v>6249</v>
      </c>
      <c r="T22" s="227"/>
      <c r="U22" s="227"/>
    </row>
    <row r="23" spans="1:21" x14ac:dyDescent="0.25">
      <c r="A23" s="227"/>
      <c r="B23" s="653" t="s">
        <v>6241</v>
      </c>
      <c r="C23" s="653" t="s">
        <v>2884</v>
      </c>
      <c r="D23" s="918">
        <v>13.4</v>
      </c>
      <c r="E23" s="658" t="s">
        <v>2885</v>
      </c>
      <c r="F23" s="920">
        <v>10.6</v>
      </c>
      <c r="G23" s="227" t="str">
        <f t="shared" si="0"/>
        <v>Three-Phase Single Package AC - &lt; 65,000 Btu/h</v>
      </c>
      <c r="H23" s="227"/>
      <c r="I23" s="227"/>
      <c r="J23" s="227"/>
      <c r="K23" s="227"/>
      <c r="L23" s="227"/>
      <c r="M23" s="227"/>
      <c r="O23" s="227"/>
      <c r="Q23" s="192" t="s">
        <v>2883</v>
      </c>
      <c r="T23" s="227"/>
      <c r="U23" s="227"/>
    </row>
    <row r="24" spans="1:21" x14ac:dyDescent="0.25">
      <c r="A24" s="227"/>
      <c r="B24" s="653" t="s">
        <v>6242</v>
      </c>
      <c r="C24" s="653" t="s">
        <v>2889</v>
      </c>
      <c r="D24" s="658" t="s">
        <v>2885</v>
      </c>
      <c r="E24" s="921">
        <v>14.8</v>
      </c>
      <c r="F24" s="922">
        <v>11.2</v>
      </c>
      <c r="G24" s="227" t="str">
        <f t="shared" si="0"/>
        <v>Split System &amp; Single Package AC - ≥ 65,000 and &lt; 135,000 Btu/h</v>
      </c>
      <c r="H24" s="227"/>
      <c r="I24" s="227"/>
      <c r="J24" s="227"/>
      <c r="K24" s="227"/>
      <c r="L24" s="227"/>
      <c r="M24" s="227"/>
      <c r="O24" s="227"/>
      <c r="T24" s="227"/>
      <c r="U24" s="227"/>
    </row>
    <row r="25" spans="1:21" x14ac:dyDescent="0.25">
      <c r="A25" s="227"/>
      <c r="B25" s="653" t="s">
        <v>6242</v>
      </c>
      <c r="C25" s="653" t="s">
        <v>2890</v>
      </c>
      <c r="D25" s="658" t="s">
        <v>2885</v>
      </c>
      <c r="E25" s="921">
        <v>14.2</v>
      </c>
      <c r="F25" s="922">
        <v>11</v>
      </c>
      <c r="G25" s="227" t="str">
        <f t="shared" si="0"/>
        <v>Split System &amp; Single Package AC - ≥ 135,000 and &lt; 240,000 Btu/h</v>
      </c>
      <c r="H25" s="227"/>
      <c r="I25" s="227"/>
      <c r="J25" s="227"/>
      <c r="K25" s="227"/>
      <c r="L25" s="227"/>
      <c r="M25" s="227"/>
      <c r="O25" s="227"/>
    </row>
    <row r="26" spans="1:21" x14ac:dyDescent="0.25">
      <c r="A26" s="227"/>
      <c r="B26" s="653" t="s">
        <v>6242</v>
      </c>
      <c r="C26" s="653" t="s">
        <v>2891</v>
      </c>
      <c r="D26" s="658" t="s">
        <v>2885</v>
      </c>
      <c r="E26" s="921">
        <v>13.2</v>
      </c>
      <c r="F26" s="922">
        <v>10</v>
      </c>
      <c r="G26" s="227" t="str">
        <f t="shared" si="0"/>
        <v>Split System &amp; Single Package AC - ≥ 240,000 Btu/h</v>
      </c>
      <c r="H26" s="227"/>
      <c r="I26" s="227"/>
      <c r="J26" s="227"/>
      <c r="K26" s="227"/>
      <c r="L26" s="227"/>
      <c r="M26" s="227"/>
      <c r="O26" s="227"/>
      <c r="Q26" s="227">
        <v>1000</v>
      </c>
      <c r="R26" s="522" t="s">
        <v>2884</v>
      </c>
    </row>
    <row r="27" spans="1:21" x14ac:dyDescent="0.25">
      <c r="A27" s="227"/>
      <c r="B27" s="653" t="s">
        <v>6243</v>
      </c>
      <c r="C27" s="653" t="s">
        <v>2884</v>
      </c>
      <c r="D27" s="918">
        <v>14.3</v>
      </c>
      <c r="E27" s="658" t="s">
        <v>2885</v>
      </c>
      <c r="F27" s="920">
        <v>11.7</v>
      </c>
      <c r="G27" s="227" t="str">
        <f t="shared" si="0"/>
        <v>Single-Phase Split System HP - &lt; 65,000 Btu/h</v>
      </c>
      <c r="H27" s="227"/>
      <c r="I27" s="227"/>
      <c r="J27" s="227"/>
      <c r="K27" s="227"/>
      <c r="L27" s="227"/>
      <c r="M27" s="227"/>
      <c r="O27" s="227"/>
      <c r="Q27" s="227">
        <v>65000</v>
      </c>
      <c r="R27" s="522" t="s">
        <v>2889</v>
      </c>
      <c r="T27" s="227"/>
    </row>
    <row r="28" spans="1:21" x14ac:dyDescent="0.25">
      <c r="A28" s="227"/>
      <c r="B28" s="653" t="s">
        <v>6244</v>
      </c>
      <c r="C28" s="653" t="s">
        <v>2884</v>
      </c>
      <c r="D28" s="918">
        <v>13.4</v>
      </c>
      <c r="E28" s="658" t="s">
        <v>2885</v>
      </c>
      <c r="F28" s="920">
        <v>10.6</v>
      </c>
      <c r="G28" s="227" t="str">
        <f t="shared" si="0"/>
        <v>Single-Phase Single Package HP - &lt; 65,000 Btu/h</v>
      </c>
      <c r="H28" s="227"/>
      <c r="I28" s="227"/>
      <c r="J28" s="227"/>
      <c r="K28" s="227"/>
      <c r="L28" s="227"/>
      <c r="M28" s="227"/>
      <c r="O28" s="227"/>
      <c r="Q28" s="227">
        <v>135000</v>
      </c>
      <c r="R28" s="522" t="s">
        <v>2890</v>
      </c>
      <c r="T28" s="227"/>
    </row>
    <row r="29" spans="1:21" x14ac:dyDescent="0.25">
      <c r="A29" s="227"/>
      <c r="B29" s="653" t="s">
        <v>6246</v>
      </c>
      <c r="C29" s="653" t="s">
        <v>2884</v>
      </c>
      <c r="D29" s="918">
        <v>14.3</v>
      </c>
      <c r="E29" s="658" t="s">
        <v>2885</v>
      </c>
      <c r="F29" s="920">
        <v>11.7</v>
      </c>
      <c r="G29" s="227" t="str">
        <f t="shared" si="0"/>
        <v>Three-Phase Split System Air-Source HP - &lt; 65,000 Btu/h</v>
      </c>
      <c r="H29" s="227"/>
      <c r="I29" s="227"/>
      <c r="J29" s="227"/>
      <c r="K29" s="227"/>
      <c r="L29" s="227"/>
      <c r="M29" s="227"/>
      <c r="O29" s="227"/>
      <c r="Q29" s="227">
        <v>240000</v>
      </c>
      <c r="R29" s="522" t="s">
        <v>2891</v>
      </c>
      <c r="T29" s="227"/>
    </row>
    <row r="30" spans="1:21" x14ac:dyDescent="0.25">
      <c r="A30" s="227"/>
      <c r="B30" s="653" t="s">
        <v>6247</v>
      </c>
      <c r="C30" s="653" t="s">
        <v>2884</v>
      </c>
      <c r="D30" s="918">
        <v>13.4</v>
      </c>
      <c r="E30" s="658" t="s">
        <v>2885</v>
      </c>
      <c r="F30" s="920">
        <v>10.6</v>
      </c>
      <c r="G30" s="227" t="str">
        <f t="shared" si="0"/>
        <v>Three-Phase Single Package Air-Source HP - &lt; 65,000 Btu/h</v>
      </c>
      <c r="H30" s="227"/>
      <c r="I30" s="227"/>
      <c r="J30" s="227"/>
      <c r="K30" s="227"/>
      <c r="L30" s="227"/>
      <c r="M30" s="227"/>
      <c r="O30" s="227"/>
      <c r="T30" s="227"/>
    </row>
    <row r="31" spans="1:21" x14ac:dyDescent="0.25">
      <c r="A31" s="227"/>
      <c r="B31" s="653" t="s">
        <v>2886</v>
      </c>
      <c r="C31" s="653" t="s">
        <v>2889</v>
      </c>
      <c r="D31" s="658" t="s">
        <v>2885</v>
      </c>
      <c r="E31" s="921">
        <v>14.1</v>
      </c>
      <c r="F31" s="922">
        <v>11</v>
      </c>
      <c r="G31" s="227" t="str">
        <f t="shared" si="0"/>
        <v>Air-Source HP - ≥ 65,000 and &lt; 135,000 Btu/h</v>
      </c>
      <c r="H31" s="227"/>
      <c r="I31" s="227"/>
      <c r="J31" s="227"/>
      <c r="K31" s="227"/>
      <c r="L31" s="227"/>
      <c r="M31" s="227"/>
      <c r="O31" s="227"/>
      <c r="Q31" s="227">
        <v>1000</v>
      </c>
      <c r="R31" s="522" t="s">
        <v>3781</v>
      </c>
      <c r="T31" s="227"/>
    </row>
    <row r="32" spans="1:21" x14ac:dyDescent="0.25">
      <c r="A32" s="227"/>
      <c r="B32" s="653" t="s">
        <v>2886</v>
      </c>
      <c r="C32" s="653" t="s">
        <v>2890</v>
      </c>
      <c r="D32" s="658" t="s">
        <v>2885</v>
      </c>
      <c r="E32" s="921">
        <v>13.5</v>
      </c>
      <c r="F32" s="922">
        <v>10.6</v>
      </c>
      <c r="G32" s="227" t="str">
        <f t="shared" si="0"/>
        <v>Air-Source HP - ≥ 135,000 and &lt; 240,000 Btu/h</v>
      </c>
      <c r="H32" s="227"/>
      <c r="I32" s="227"/>
      <c r="J32" s="227"/>
      <c r="K32" s="227"/>
      <c r="L32" s="227"/>
      <c r="M32" s="227"/>
      <c r="O32" s="227"/>
      <c r="Q32" s="227">
        <v>17000</v>
      </c>
      <c r="R32" s="522" t="s">
        <v>3782</v>
      </c>
      <c r="T32" s="227"/>
    </row>
    <row r="33" spans="1:20" x14ac:dyDescent="0.25">
      <c r="A33" s="227"/>
      <c r="B33" s="653" t="s">
        <v>2886</v>
      </c>
      <c r="C33" s="653" t="s">
        <v>2891</v>
      </c>
      <c r="D33" s="658" t="s">
        <v>2885</v>
      </c>
      <c r="E33" s="921">
        <v>12.5</v>
      </c>
      <c r="F33" s="922">
        <v>9.5</v>
      </c>
      <c r="G33" s="227" t="str">
        <f t="shared" si="0"/>
        <v>Air-Source HP - ≥ 240,000 Btu/h</v>
      </c>
      <c r="H33" s="227"/>
      <c r="I33" s="227"/>
      <c r="J33" s="227"/>
      <c r="K33" s="227"/>
      <c r="L33" s="227"/>
      <c r="M33" s="227"/>
      <c r="O33" s="227"/>
      <c r="Q33" s="227">
        <v>65000</v>
      </c>
      <c r="R33" s="522" t="s">
        <v>3783</v>
      </c>
      <c r="T33" s="227"/>
    </row>
    <row r="34" spans="1:20" x14ac:dyDescent="0.25">
      <c r="A34" s="227"/>
      <c r="B34" s="653" t="s">
        <v>3780</v>
      </c>
      <c r="C34" s="653" t="s">
        <v>3781</v>
      </c>
      <c r="D34" s="923">
        <f>F34</f>
        <v>12.2</v>
      </c>
      <c r="E34" s="658" t="s">
        <v>2885</v>
      </c>
      <c r="F34" s="922">
        <v>12.2</v>
      </c>
      <c r="G34" s="227" t="str">
        <f t="shared" si="0"/>
        <v>Water-Source HP - &lt; 17,000 Btu/h</v>
      </c>
      <c r="H34" s="227"/>
      <c r="I34" s="227"/>
      <c r="J34" s="227"/>
      <c r="K34" s="227"/>
      <c r="L34" s="227"/>
      <c r="M34" s="227"/>
      <c r="O34" s="227"/>
      <c r="Q34" s="227">
        <v>135000</v>
      </c>
      <c r="R34" s="522" t="s">
        <v>3784</v>
      </c>
      <c r="T34" s="227"/>
    </row>
    <row r="35" spans="1:20" x14ac:dyDescent="0.25">
      <c r="A35" s="227"/>
      <c r="B35" s="653" t="s">
        <v>3780</v>
      </c>
      <c r="C35" s="653" t="s">
        <v>3782</v>
      </c>
      <c r="D35" s="923">
        <f>F35</f>
        <v>13</v>
      </c>
      <c r="E35" s="658" t="s">
        <v>2885</v>
      </c>
      <c r="F35" s="922">
        <v>13</v>
      </c>
      <c r="G35" s="227" t="str">
        <f t="shared" si="0"/>
        <v>Water-Source HP - ≥ 17,000 and &lt; 65,000 Btu/h</v>
      </c>
      <c r="H35" s="227"/>
      <c r="I35" s="227"/>
      <c r="J35" s="227"/>
      <c r="K35" s="227"/>
      <c r="L35" s="227"/>
      <c r="M35" s="227"/>
      <c r="O35" s="227"/>
      <c r="T35" s="584"/>
    </row>
    <row r="36" spans="1:20" x14ac:dyDescent="0.25">
      <c r="A36" s="227"/>
      <c r="B36" s="653" t="s">
        <v>3780</v>
      </c>
      <c r="C36" s="653" t="s">
        <v>3783</v>
      </c>
      <c r="D36" s="658" t="s">
        <v>2885</v>
      </c>
      <c r="E36" s="921">
        <f>F36</f>
        <v>13</v>
      </c>
      <c r="F36" s="922">
        <v>13</v>
      </c>
      <c r="G36" s="227" t="str">
        <f t="shared" si="0"/>
        <v>Water-Source HP - ≥ 65,000 and &lt; 135,000 Btu/h</v>
      </c>
      <c r="H36" s="227"/>
      <c r="I36" s="227"/>
      <c r="J36" s="227"/>
      <c r="K36" s="227"/>
      <c r="L36" s="227"/>
      <c r="M36" s="227"/>
      <c r="O36" s="227"/>
      <c r="Q36" s="227">
        <v>1000</v>
      </c>
      <c r="R36" s="522" t="s">
        <v>6250</v>
      </c>
      <c r="T36" s="227"/>
    </row>
    <row r="37" spans="1:20" x14ac:dyDescent="0.25">
      <c r="A37" s="227"/>
      <c r="B37" s="653" t="s">
        <v>3804</v>
      </c>
      <c r="C37" s="653" t="s">
        <v>6252</v>
      </c>
      <c r="D37" s="923">
        <f>F37</f>
        <v>11.9</v>
      </c>
      <c r="E37" s="658" t="s">
        <v>2885</v>
      </c>
      <c r="F37" s="922">
        <v>11.9</v>
      </c>
      <c r="G37" s="227" t="str">
        <f t="shared" si="0"/>
        <v>PTAC (Std) - &lt; 7,000 Btu/h</v>
      </c>
      <c r="H37" s="227"/>
      <c r="I37" s="227"/>
      <c r="J37" s="227"/>
      <c r="K37" s="227"/>
      <c r="L37" s="227"/>
      <c r="M37" s="227"/>
      <c r="O37" s="227"/>
      <c r="Q37" s="227">
        <v>45000</v>
      </c>
      <c r="R37" s="522" t="s">
        <v>6251</v>
      </c>
      <c r="T37" s="227"/>
    </row>
    <row r="38" spans="1:20" x14ac:dyDescent="0.25">
      <c r="A38" s="227"/>
      <c r="B38" s="653" t="s">
        <v>3804</v>
      </c>
      <c r="C38" s="653" t="s">
        <v>6257</v>
      </c>
      <c r="D38" s="924">
        <f>F38</f>
        <v>-5.2</v>
      </c>
      <c r="E38" s="658" t="s">
        <v>2885</v>
      </c>
      <c r="F38" s="925">
        <f>IF(ISBLANK($C$7), "Size Dependent", ROUND(14-(0.3*$C$7/1000), 1))</f>
        <v>-5.2</v>
      </c>
      <c r="G38" s="227" t="str">
        <f t="shared" si="0"/>
        <v>PTAC (Std) - ≥ 7,000 and ≤ 15,000 Btu/h</v>
      </c>
      <c r="H38" s="227"/>
      <c r="I38" s="227"/>
      <c r="J38" s="227"/>
      <c r="K38" s="227"/>
      <c r="L38" s="227"/>
      <c r="M38" s="227"/>
      <c r="O38" s="227"/>
      <c r="Q38" s="227">
        <v>65000</v>
      </c>
      <c r="R38" s="522" t="s">
        <v>6253</v>
      </c>
      <c r="T38" s="227"/>
    </row>
    <row r="39" spans="1:20" x14ac:dyDescent="0.25">
      <c r="A39" s="227"/>
      <c r="B39" s="653" t="s">
        <v>3804</v>
      </c>
      <c r="C39" s="653" t="s">
        <v>6254</v>
      </c>
      <c r="D39" s="923">
        <f>F39</f>
        <v>9.5</v>
      </c>
      <c r="E39" s="658" t="s">
        <v>2885</v>
      </c>
      <c r="F39" s="922">
        <v>9.5</v>
      </c>
      <c r="G39" s="227" t="str">
        <f t="shared" si="0"/>
        <v>PTAC (Std) - &gt; 15,000 and &lt; 65,000 Btu/h</v>
      </c>
      <c r="H39" s="227"/>
      <c r="I39" s="227"/>
      <c r="J39" s="227"/>
      <c r="K39" s="227"/>
      <c r="L39" s="227"/>
      <c r="M39" s="227"/>
      <c r="O39" s="227"/>
      <c r="T39" s="227"/>
    </row>
    <row r="40" spans="1:20" x14ac:dyDescent="0.25">
      <c r="A40" s="227"/>
      <c r="B40" s="653" t="s">
        <v>3805</v>
      </c>
      <c r="C40" s="653" t="s">
        <v>6252</v>
      </c>
      <c r="D40" s="923">
        <f t="shared" ref="D40:D48" si="1">F40</f>
        <v>9.4</v>
      </c>
      <c r="E40" s="658" t="s">
        <v>2885</v>
      </c>
      <c r="F40" s="922">
        <v>9.4</v>
      </c>
      <c r="G40" s="227" t="str">
        <f t="shared" si="0"/>
        <v>PTAC (Non-Std) - &lt; 7,000 Btu/h</v>
      </c>
      <c r="H40" s="227"/>
      <c r="I40" s="227"/>
      <c r="J40" s="227"/>
      <c r="K40" s="227"/>
      <c r="L40" s="227"/>
      <c r="M40" s="227"/>
      <c r="O40" s="227"/>
      <c r="Q40" s="227">
        <v>1000</v>
      </c>
      <c r="R40" s="522" t="s">
        <v>6252</v>
      </c>
      <c r="T40" s="227"/>
    </row>
    <row r="41" spans="1:20" x14ac:dyDescent="0.25">
      <c r="A41" s="227"/>
      <c r="B41" s="653" t="s">
        <v>3805</v>
      </c>
      <c r="C41" s="653" t="s">
        <v>6257</v>
      </c>
      <c r="D41" s="924">
        <f t="shared" si="1"/>
        <v>-2.7</v>
      </c>
      <c r="E41" s="658" t="s">
        <v>2885</v>
      </c>
      <c r="F41" s="925">
        <f>IF(ISBLANK($C$7), "Size Dependent", ROUND(10.9-(0.213*$C$7/1000), 1))</f>
        <v>-2.7</v>
      </c>
      <c r="G41" s="227" t="str">
        <f t="shared" si="0"/>
        <v>PTAC (Non-Std) - ≥ 7,000 and ≤ 15,000 Btu/h</v>
      </c>
      <c r="H41" s="227"/>
      <c r="I41" s="227"/>
      <c r="J41" s="227"/>
      <c r="K41" s="227"/>
      <c r="L41" s="227"/>
      <c r="M41" s="227"/>
      <c r="O41" s="227"/>
      <c r="Q41" s="227">
        <v>7000</v>
      </c>
      <c r="R41" s="522" t="s">
        <v>6257</v>
      </c>
      <c r="T41" s="227"/>
    </row>
    <row r="42" spans="1:20" x14ac:dyDescent="0.25">
      <c r="A42" s="227"/>
      <c r="B42" s="653" t="s">
        <v>3805</v>
      </c>
      <c r="C42" s="653" t="s">
        <v>6254</v>
      </c>
      <c r="D42" s="923">
        <f t="shared" si="1"/>
        <v>7.7</v>
      </c>
      <c r="E42" s="658" t="s">
        <v>2885</v>
      </c>
      <c r="F42" s="922">
        <v>7.7</v>
      </c>
      <c r="G42" s="227" t="str">
        <f t="shared" si="0"/>
        <v>PTAC (Non-Std) - &gt; 15,000 and &lt; 65,000 Btu/h</v>
      </c>
      <c r="H42" s="227"/>
      <c r="I42" s="227"/>
      <c r="J42" s="227"/>
      <c r="K42" s="227"/>
      <c r="L42" s="227"/>
      <c r="M42" s="227"/>
      <c r="O42" s="227"/>
      <c r="Q42" s="227">
        <v>15001</v>
      </c>
      <c r="R42" s="522" t="s">
        <v>6254</v>
      </c>
      <c r="T42" s="227"/>
    </row>
    <row r="43" spans="1:20" x14ac:dyDescent="0.25">
      <c r="A43" s="227"/>
      <c r="B43" s="653" t="s">
        <v>3806</v>
      </c>
      <c r="C43" s="653" t="s">
        <v>6252</v>
      </c>
      <c r="D43" s="923">
        <f t="shared" si="1"/>
        <v>11.9</v>
      </c>
      <c r="E43" s="658" t="s">
        <v>2885</v>
      </c>
      <c r="F43" s="922">
        <v>11.9</v>
      </c>
      <c r="G43" s="227" t="str">
        <f t="shared" si="0"/>
        <v>PTHP (Std) - &lt; 7,000 Btu/h</v>
      </c>
      <c r="H43" s="227"/>
      <c r="I43" s="227"/>
      <c r="J43" s="227"/>
      <c r="K43" s="227"/>
      <c r="L43" s="227"/>
      <c r="M43" s="227"/>
      <c r="O43" s="227"/>
      <c r="Q43" s="227">
        <v>65000</v>
      </c>
      <c r="R43" s="522" t="s">
        <v>6253</v>
      </c>
      <c r="T43" s="227"/>
    </row>
    <row r="44" spans="1:20" x14ac:dyDescent="0.25">
      <c r="A44" s="227"/>
      <c r="B44" s="653" t="s">
        <v>3806</v>
      </c>
      <c r="C44" s="653" t="s">
        <v>6257</v>
      </c>
      <c r="D44" s="924">
        <f t="shared" si="1"/>
        <v>-5.2</v>
      </c>
      <c r="E44" s="658" t="s">
        <v>2885</v>
      </c>
      <c r="F44" s="925">
        <f t="shared" ref="F44" si="2">IF(ISBLANK($C$7), "Size Dependent", ROUND(14-(0.3*$C$7/1000), 1))</f>
        <v>-5.2</v>
      </c>
      <c r="G44" s="227" t="str">
        <f t="shared" si="0"/>
        <v>PTHP (Std) - ≥ 7,000 and ≤ 15,000 Btu/h</v>
      </c>
      <c r="H44" s="227"/>
      <c r="I44" s="227"/>
      <c r="J44" s="227"/>
      <c r="K44" s="227"/>
      <c r="L44" s="227"/>
      <c r="M44" s="227"/>
      <c r="O44" s="227"/>
      <c r="T44" s="227"/>
    </row>
    <row r="45" spans="1:20" ht="15" customHeight="1" x14ac:dyDescent="0.25">
      <c r="A45" s="227"/>
      <c r="B45" s="653" t="s">
        <v>3806</v>
      </c>
      <c r="C45" s="653" t="s">
        <v>6254</v>
      </c>
      <c r="D45" s="923">
        <f t="shared" si="1"/>
        <v>9.5</v>
      </c>
      <c r="E45" s="658" t="s">
        <v>2885</v>
      </c>
      <c r="F45" s="922">
        <v>9.5</v>
      </c>
      <c r="G45" s="227" t="str">
        <f t="shared" si="0"/>
        <v>PTHP (Std) - &gt; 15,000 and &lt; 65,000 Btu/h</v>
      </c>
      <c r="H45" s="227"/>
      <c r="I45" s="227"/>
      <c r="J45" s="227"/>
      <c r="K45" s="227"/>
      <c r="L45" s="227"/>
      <c r="M45" s="227"/>
      <c r="O45" s="227"/>
      <c r="Q45" s="227">
        <v>1000</v>
      </c>
      <c r="R45" s="522" t="s">
        <v>2884</v>
      </c>
      <c r="T45" s="227"/>
    </row>
    <row r="46" spans="1:20" x14ac:dyDescent="0.25">
      <c r="A46" s="227"/>
      <c r="B46" s="653" t="s">
        <v>3803</v>
      </c>
      <c r="C46" s="653" t="s">
        <v>6252</v>
      </c>
      <c r="D46" s="923">
        <f t="shared" si="1"/>
        <v>9.3000000000000007</v>
      </c>
      <c r="E46" s="658" t="s">
        <v>2885</v>
      </c>
      <c r="F46" s="922">
        <v>9.3000000000000007</v>
      </c>
      <c r="G46" s="227" t="str">
        <f t="shared" si="0"/>
        <v>PTHP (Non-Std) - &lt; 7,000 Btu/h</v>
      </c>
      <c r="H46" s="227"/>
      <c r="I46" s="227"/>
      <c r="J46" s="227"/>
      <c r="K46" s="227"/>
      <c r="L46" s="227"/>
      <c r="M46" s="227"/>
      <c r="O46" s="227"/>
      <c r="Q46" s="227">
        <v>65000</v>
      </c>
      <c r="R46" s="522" t="s">
        <v>6258</v>
      </c>
      <c r="T46" s="227"/>
    </row>
    <row r="47" spans="1:20" x14ac:dyDescent="0.25">
      <c r="A47" s="227"/>
      <c r="B47" s="653" t="s">
        <v>3803</v>
      </c>
      <c r="C47" s="653" t="s">
        <v>6257</v>
      </c>
      <c r="D47" s="924">
        <f t="shared" si="1"/>
        <v>-2.8</v>
      </c>
      <c r="E47" s="658" t="s">
        <v>2885</v>
      </c>
      <c r="F47" s="925">
        <f>IF(ISBLANK($C$7), "Size Dependent", ROUND(10.8-(0.213*$C$7/1000), 1))</f>
        <v>-2.8</v>
      </c>
      <c r="G47" s="227" t="str">
        <f t="shared" si="0"/>
        <v>PTHP (Non-Std) - ≥ 7,000 and ≤ 15,000 Btu/h</v>
      </c>
      <c r="H47" s="227"/>
      <c r="I47" s="227"/>
      <c r="J47" s="227"/>
      <c r="K47" s="227"/>
      <c r="L47" s="227"/>
      <c r="M47" s="227"/>
      <c r="O47" s="227"/>
      <c r="Q47" s="227">
        <v>240000</v>
      </c>
      <c r="R47" s="522" t="s">
        <v>2891</v>
      </c>
      <c r="T47" s="227"/>
    </row>
    <row r="48" spans="1:20" x14ac:dyDescent="0.25">
      <c r="A48" s="227"/>
      <c r="B48" s="653" t="s">
        <v>3803</v>
      </c>
      <c r="C48" s="653" t="s">
        <v>6254</v>
      </c>
      <c r="D48" s="923">
        <f t="shared" si="1"/>
        <v>7.6</v>
      </c>
      <c r="E48" s="658" t="s">
        <v>2885</v>
      </c>
      <c r="F48" s="922">
        <v>7.6</v>
      </c>
      <c r="G48" s="227" t="str">
        <f t="shared" si="0"/>
        <v>PTHP (Non-Std) - &gt; 15,000 and &lt; 65,000 Btu/h</v>
      </c>
      <c r="H48" s="227"/>
      <c r="I48" s="227"/>
      <c r="J48" s="227"/>
      <c r="K48" s="227"/>
      <c r="L48" s="227"/>
      <c r="M48" s="227"/>
      <c r="O48" s="227"/>
      <c r="T48" s="227"/>
    </row>
    <row r="49" spans="1:20" x14ac:dyDescent="0.25">
      <c r="A49" s="227"/>
      <c r="B49" s="653" t="s">
        <v>3807</v>
      </c>
      <c r="C49" s="653" t="s">
        <v>2884</v>
      </c>
      <c r="D49" s="923">
        <f>F49</f>
        <v>11</v>
      </c>
      <c r="E49" s="661" t="s">
        <v>2885</v>
      </c>
      <c r="F49" s="922">
        <v>11</v>
      </c>
      <c r="G49" s="227" t="str">
        <f t="shared" si="0"/>
        <v>Vertical AC or HP - &lt; 65,000 Btu/h</v>
      </c>
      <c r="H49" s="227"/>
      <c r="I49" s="227"/>
      <c r="J49" s="227"/>
      <c r="K49" s="227"/>
      <c r="L49" s="227"/>
      <c r="M49" s="227"/>
      <c r="O49" s="227"/>
      <c r="T49" s="227"/>
    </row>
    <row r="50" spans="1:20" x14ac:dyDescent="0.25">
      <c r="A50" s="227"/>
      <c r="B50" s="653" t="s">
        <v>3807</v>
      </c>
      <c r="C50" s="653" t="s">
        <v>6258</v>
      </c>
      <c r="D50" s="658" t="s">
        <v>2885</v>
      </c>
      <c r="E50" s="921">
        <f>F50</f>
        <v>10</v>
      </c>
      <c r="F50" s="922">
        <v>10</v>
      </c>
      <c r="G50" s="227" t="str">
        <f t="shared" si="0"/>
        <v>Vertical AC or HP - ≥ 65,000 and &lt; 240,000 Btu/h</v>
      </c>
      <c r="H50" s="227"/>
      <c r="I50" s="227"/>
      <c r="J50" s="227"/>
      <c r="K50" s="227"/>
      <c r="L50" s="227"/>
      <c r="M50" s="227"/>
      <c r="O50" s="227"/>
      <c r="T50" s="227"/>
    </row>
    <row r="51" spans="1:20" x14ac:dyDescent="0.25">
      <c r="A51" s="227"/>
      <c r="B51" s="227"/>
      <c r="C51" s="227"/>
      <c r="D51" s="659"/>
      <c r="E51" s="659"/>
      <c r="F51" s="659"/>
      <c r="G51" s="227"/>
      <c r="H51" s="227"/>
      <c r="I51" s="227"/>
      <c r="J51" s="227"/>
      <c r="K51" s="227"/>
      <c r="L51" s="227"/>
      <c r="M51" s="227"/>
      <c r="O51" s="227"/>
      <c r="T51" s="227"/>
    </row>
    <row r="52" spans="1:20" x14ac:dyDescent="0.25">
      <c r="A52" s="227"/>
      <c r="B52" s="227"/>
      <c r="C52" s="227"/>
      <c r="D52" s="659"/>
      <c r="E52" s="659"/>
      <c r="F52" s="659"/>
      <c r="G52" s="227"/>
      <c r="H52" s="227"/>
      <c r="I52" s="227"/>
      <c r="J52" s="227"/>
      <c r="K52" s="227"/>
      <c r="L52" s="227"/>
      <c r="M52" s="227"/>
      <c r="O52" s="227"/>
      <c r="T52" s="227"/>
    </row>
    <row r="53" spans="1:20" ht="18.75" x14ac:dyDescent="0.25">
      <c r="A53" s="227"/>
      <c r="B53" s="283" t="s">
        <v>6255</v>
      </c>
      <c r="C53" s="227"/>
      <c r="D53" s="659"/>
      <c r="E53" s="659"/>
      <c r="F53" s="659"/>
      <c r="G53" s="227"/>
      <c r="H53" s="227"/>
      <c r="I53" s="227"/>
      <c r="J53" s="227"/>
      <c r="K53" s="227"/>
      <c r="L53" s="227"/>
      <c r="M53" s="227"/>
      <c r="O53" s="227"/>
      <c r="T53" s="227"/>
    </row>
    <row r="54" spans="1:20" x14ac:dyDescent="0.25">
      <c r="A54" s="227"/>
      <c r="B54" s="227"/>
      <c r="C54" s="227"/>
      <c r="D54" s="659"/>
      <c r="E54" s="659"/>
      <c r="F54" s="659"/>
      <c r="G54" s="227"/>
      <c r="H54" s="227"/>
      <c r="I54" s="227"/>
      <c r="J54" s="227"/>
      <c r="K54" s="227"/>
      <c r="L54" s="227"/>
      <c r="M54" s="227"/>
      <c r="O54" s="227"/>
      <c r="T54" s="227"/>
    </row>
    <row r="55" spans="1:20" x14ac:dyDescent="0.25">
      <c r="A55" s="227"/>
      <c r="B55" s="2024" t="s">
        <v>2879</v>
      </c>
      <c r="C55" s="2024" t="s">
        <v>2880</v>
      </c>
      <c r="D55" s="2032" t="s">
        <v>2881</v>
      </c>
      <c r="E55" s="2033"/>
      <c r="F55" s="525" t="s">
        <v>2903</v>
      </c>
      <c r="G55" s="227"/>
      <c r="H55" s="227"/>
      <c r="I55" s="227"/>
      <c r="J55" s="227"/>
      <c r="K55" s="227"/>
      <c r="L55" s="227"/>
      <c r="M55" s="227"/>
      <c r="O55" s="227"/>
      <c r="T55" s="227"/>
    </row>
    <row r="56" spans="1:20" x14ac:dyDescent="0.25">
      <c r="A56" s="227"/>
      <c r="B56" s="2025"/>
      <c r="C56" s="2025"/>
      <c r="D56" s="660" t="s">
        <v>1008</v>
      </c>
      <c r="E56" s="660" t="s">
        <v>2883</v>
      </c>
      <c r="F56" s="660" t="s">
        <v>308</v>
      </c>
      <c r="G56" s="227"/>
      <c r="H56" s="227"/>
      <c r="I56" s="227"/>
      <c r="J56" s="227"/>
      <c r="K56" s="227"/>
      <c r="L56" s="227"/>
      <c r="M56" s="227"/>
      <c r="O56" s="227"/>
      <c r="T56" s="227"/>
    </row>
    <row r="57" spans="1:20" x14ac:dyDescent="0.25">
      <c r="A57" s="227"/>
      <c r="B57" s="653" t="s">
        <v>6238</v>
      </c>
      <c r="C57" s="653" t="s">
        <v>6250</v>
      </c>
      <c r="D57" s="918">
        <v>15.2</v>
      </c>
      <c r="E57" s="658" t="s">
        <v>2885</v>
      </c>
      <c r="F57" s="919" t="s">
        <v>3577</v>
      </c>
      <c r="G57" s="227"/>
      <c r="H57" s="227"/>
      <c r="I57" s="227"/>
      <c r="J57" s="227"/>
      <c r="K57" s="227"/>
      <c r="L57" s="227"/>
      <c r="M57" s="227"/>
      <c r="O57" s="227"/>
      <c r="T57" s="227"/>
    </row>
    <row r="58" spans="1:20" x14ac:dyDescent="0.25">
      <c r="A58" s="227"/>
      <c r="B58" s="653" t="s">
        <v>6238</v>
      </c>
      <c r="C58" s="653" t="s">
        <v>6251</v>
      </c>
      <c r="D58" s="918">
        <v>15.2</v>
      </c>
      <c r="E58" s="658" t="s">
        <v>2885</v>
      </c>
      <c r="F58" s="920" t="s">
        <v>3577</v>
      </c>
      <c r="G58" s="227"/>
      <c r="H58" s="227"/>
      <c r="I58" s="227"/>
      <c r="J58" s="227"/>
      <c r="K58" s="227"/>
      <c r="L58" s="227"/>
      <c r="M58" s="227"/>
      <c r="O58" s="227"/>
      <c r="T58" s="227"/>
    </row>
    <row r="59" spans="1:20" x14ac:dyDescent="0.25">
      <c r="A59" s="227"/>
      <c r="B59" s="653" t="s">
        <v>6239</v>
      </c>
      <c r="C59" s="653" t="s">
        <v>2884</v>
      </c>
      <c r="D59" s="918">
        <v>15.2</v>
      </c>
      <c r="E59" s="658" t="s">
        <v>2885</v>
      </c>
      <c r="F59" s="920" t="s">
        <v>3577</v>
      </c>
      <c r="G59" s="227"/>
      <c r="H59" s="227"/>
      <c r="I59" s="227"/>
      <c r="J59" s="227"/>
      <c r="K59" s="227"/>
      <c r="L59" s="227"/>
      <c r="M59" s="227"/>
      <c r="O59" s="227"/>
      <c r="T59" s="227"/>
    </row>
    <row r="60" spans="1:20" x14ac:dyDescent="0.25">
      <c r="A60" s="227"/>
      <c r="B60" s="653" t="s">
        <v>6240</v>
      </c>
      <c r="C60" s="653" t="s">
        <v>2884</v>
      </c>
      <c r="D60" s="918">
        <f t="shared" ref="D60:D61" si="3">ROUND(D22*1.1,1)</f>
        <v>14.7</v>
      </c>
      <c r="E60" s="658" t="s">
        <v>2885</v>
      </c>
      <c r="F60" s="920" t="s">
        <v>3577</v>
      </c>
      <c r="G60" s="227"/>
      <c r="H60" s="227"/>
      <c r="I60" s="227"/>
      <c r="J60" s="227"/>
      <c r="K60" s="227"/>
      <c r="L60" s="227"/>
      <c r="M60" s="227"/>
      <c r="O60" s="227"/>
      <c r="T60" s="227"/>
    </row>
    <row r="61" spans="1:20" x14ac:dyDescent="0.25">
      <c r="A61" s="227"/>
      <c r="B61" s="653" t="s">
        <v>6241</v>
      </c>
      <c r="C61" s="653" t="s">
        <v>2884</v>
      </c>
      <c r="D61" s="918">
        <f t="shared" si="3"/>
        <v>14.7</v>
      </c>
      <c r="E61" s="658" t="s">
        <v>2885</v>
      </c>
      <c r="F61" s="920" t="s">
        <v>3577</v>
      </c>
      <c r="G61" s="227"/>
      <c r="H61" s="227"/>
      <c r="I61" s="227"/>
      <c r="J61" s="227"/>
      <c r="K61" s="227"/>
      <c r="L61" s="227"/>
      <c r="M61" s="227"/>
      <c r="O61" s="227"/>
      <c r="T61" s="227"/>
    </row>
    <row r="62" spans="1:20" x14ac:dyDescent="0.25">
      <c r="A62" s="227"/>
      <c r="B62" s="653" t="s">
        <v>6242</v>
      </c>
      <c r="C62" s="653" t="s">
        <v>2889</v>
      </c>
      <c r="D62" s="658" t="s">
        <v>2885</v>
      </c>
      <c r="E62" s="921">
        <f>ROUND(E24*1.1,1)</f>
        <v>16.3</v>
      </c>
      <c r="F62" s="920" t="s">
        <v>3577</v>
      </c>
      <c r="G62" s="227"/>
      <c r="H62" s="227"/>
      <c r="I62" s="227"/>
      <c r="J62" s="227"/>
      <c r="K62" s="227"/>
      <c r="L62" s="227"/>
      <c r="M62" s="227"/>
      <c r="O62" s="227"/>
      <c r="T62" s="227"/>
    </row>
    <row r="63" spans="1:20" x14ac:dyDescent="0.25">
      <c r="A63" s="227"/>
      <c r="B63" s="653" t="s">
        <v>6242</v>
      </c>
      <c r="C63" s="653" t="s">
        <v>2890</v>
      </c>
      <c r="D63" s="658" t="s">
        <v>2885</v>
      </c>
      <c r="E63" s="921">
        <f t="shared" ref="E63:E64" si="4">ROUND(E25*1.1,1)</f>
        <v>15.6</v>
      </c>
      <c r="F63" s="920" t="s">
        <v>3577</v>
      </c>
      <c r="G63" s="227"/>
      <c r="H63" s="227"/>
      <c r="I63" s="227"/>
      <c r="J63" s="227"/>
      <c r="K63" s="227"/>
      <c r="L63" s="227"/>
      <c r="M63" s="227"/>
      <c r="O63" s="227"/>
      <c r="T63" s="227"/>
    </row>
    <row r="64" spans="1:20" x14ac:dyDescent="0.25">
      <c r="A64" s="227"/>
      <c r="B64" s="653" t="s">
        <v>6242</v>
      </c>
      <c r="C64" s="653" t="s">
        <v>2891</v>
      </c>
      <c r="D64" s="658" t="s">
        <v>2885</v>
      </c>
      <c r="E64" s="921">
        <f t="shared" si="4"/>
        <v>14.5</v>
      </c>
      <c r="F64" s="920" t="s">
        <v>3577</v>
      </c>
      <c r="G64" s="227"/>
      <c r="H64" s="227"/>
      <c r="I64" s="227"/>
      <c r="J64" s="227"/>
      <c r="K64" s="227"/>
      <c r="L64" s="227"/>
      <c r="M64" s="227"/>
      <c r="O64" s="227"/>
      <c r="T64" s="227"/>
    </row>
    <row r="65" spans="1:20" x14ac:dyDescent="0.25">
      <c r="A65" s="227"/>
      <c r="B65" s="653" t="s">
        <v>6243</v>
      </c>
      <c r="C65" s="653" t="s">
        <v>2884</v>
      </c>
      <c r="D65" s="918">
        <v>15.2</v>
      </c>
      <c r="E65" s="658"/>
      <c r="F65" s="920" t="s">
        <v>3577</v>
      </c>
      <c r="G65" s="227"/>
      <c r="H65" s="227"/>
      <c r="I65" s="227"/>
      <c r="J65" s="227"/>
      <c r="K65" s="227"/>
      <c r="L65" s="227"/>
      <c r="M65" s="227"/>
      <c r="O65" s="227"/>
      <c r="T65" s="227"/>
    </row>
    <row r="66" spans="1:20" x14ac:dyDescent="0.25">
      <c r="A66" s="227"/>
      <c r="B66" s="653" t="s">
        <v>6244</v>
      </c>
      <c r="C66" s="653" t="s">
        <v>2884</v>
      </c>
      <c r="D66" s="918">
        <v>15.2</v>
      </c>
      <c r="E66" s="658"/>
      <c r="F66" s="920" t="s">
        <v>3577</v>
      </c>
      <c r="G66" s="227"/>
      <c r="H66" s="227"/>
      <c r="I66" s="227"/>
      <c r="J66" s="227"/>
      <c r="K66" s="227"/>
      <c r="L66" s="227"/>
      <c r="M66" s="227"/>
      <c r="O66" s="227"/>
      <c r="T66" s="227"/>
    </row>
    <row r="67" spans="1:20" x14ac:dyDescent="0.25">
      <c r="A67" s="227"/>
      <c r="B67" s="653" t="s">
        <v>6246</v>
      </c>
      <c r="C67" s="653" t="s">
        <v>2884</v>
      </c>
      <c r="D67" s="918">
        <f>ROUND(D29*1.1,1)</f>
        <v>15.7</v>
      </c>
      <c r="E67" s="658"/>
      <c r="F67" s="920" t="s">
        <v>3577</v>
      </c>
      <c r="G67" s="227"/>
      <c r="H67" s="227"/>
      <c r="I67" s="227"/>
      <c r="J67" s="227"/>
      <c r="K67" s="227"/>
      <c r="L67" s="227"/>
      <c r="M67" s="227"/>
      <c r="O67" s="227"/>
      <c r="T67" s="227"/>
    </row>
    <row r="68" spans="1:20" x14ac:dyDescent="0.25">
      <c r="A68" s="227"/>
      <c r="B68" s="653" t="s">
        <v>6247</v>
      </c>
      <c r="C68" s="653" t="s">
        <v>2884</v>
      </c>
      <c r="D68" s="918">
        <f>ROUND(D30*1.1,1)</f>
        <v>14.7</v>
      </c>
      <c r="E68" s="658"/>
      <c r="F68" s="920" t="s">
        <v>3577</v>
      </c>
      <c r="G68" s="227"/>
      <c r="H68" s="227"/>
      <c r="I68" s="227"/>
      <c r="J68" s="227"/>
      <c r="K68" s="227"/>
      <c r="L68" s="227"/>
      <c r="M68" s="227"/>
      <c r="O68" s="227"/>
      <c r="T68" s="227"/>
    </row>
    <row r="69" spans="1:20" x14ac:dyDescent="0.25">
      <c r="A69" s="227"/>
      <c r="B69" s="653" t="s">
        <v>2886</v>
      </c>
      <c r="C69" s="653" t="s">
        <v>2889</v>
      </c>
      <c r="D69" s="658" t="s">
        <v>2885</v>
      </c>
      <c r="E69" s="921">
        <f t="shared" ref="E69:F84" si="5">ROUND(E31*1.1,1)</f>
        <v>15.5</v>
      </c>
      <c r="F69" s="920" t="s">
        <v>3577</v>
      </c>
      <c r="G69" s="227"/>
      <c r="H69" s="227"/>
      <c r="I69" s="227"/>
      <c r="J69" s="227"/>
      <c r="K69" s="227"/>
      <c r="L69" s="227"/>
      <c r="M69" s="227"/>
      <c r="O69" s="227"/>
      <c r="T69" s="227"/>
    </row>
    <row r="70" spans="1:20" x14ac:dyDescent="0.25">
      <c r="A70" s="227"/>
      <c r="B70" s="653" t="s">
        <v>2886</v>
      </c>
      <c r="C70" s="653" t="s">
        <v>2890</v>
      </c>
      <c r="D70" s="658" t="s">
        <v>2885</v>
      </c>
      <c r="E70" s="921">
        <f t="shared" si="5"/>
        <v>14.9</v>
      </c>
      <c r="F70" s="920" t="s">
        <v>3577</v>
      </c>
      <c r="G70" s="227"/>
      <c r="H70" s="227"/>
      <c r="I70" s="227"/>
      <c r="J70" s="227"/>
      <c r="K70" s="227"/>
      <c r="L70" s="227"/>
      <c r="M70" s="227"/>
      <c r="O70" s="227"/>
      <c r="T70" s="227"/>
    </row>
    <row r="71" spans="1:20" x14ac:dyDescent="0.25">
      <c r="A71" s="227"/>
      <c r="B71" s="653" t="s">
        <v>2886</v>
      </c>
      <c r="C71" s="653" t="s">
        <v>2891</v>
      </c>
      <c r="D71" s="658" t="s">
        <v>2885</v>
      </c>
      <c r="E71" s="921">
        <f t="shared" si="5"/>
        <v>13.8</v>
      </c>
      <c r="F71" s="920" t="s">
        <v>3577</v>
      </c>
      <c r="G71" s="227"/>
      <c r="H71" s="227"/>
      <c r="I71" s="227"/>
      <c r="J71" s="227"/>
      <c r="K71" s="227"/>
      <c r="L71" s="227"/>
      <c r="M71" s="227"/>
      <c r="O71" s="227"/>
      <c r="T71" s="227"/>
    </row>
    <row r="72" spans="1:20" x14ac:dyDescent="0.25">
      <c r="A72" s="227"/>
      <c r="B72" s="653" t="s">
        <v>3780</v>
      </c>
      <c r="C72" s="653" t="s">
        <v>3781</v>
      </c>
      <c r="D72" s="923">
        <f>F72</f>
        <v>13.4</v>
      </c>
      <c r="E72" s="658" t="s">
        <v>2885</v>
      </c>
      <c r="F72" s="922">
        <f t="shared" si="5"/>
        <v>13.4</v>
      </c>
      <c r="G72" s="227"/>
      <c r="H72" s="227"/>
      <c r="I72" s="227"/>
      <c r="J72" s="227"/>
      <c r="K72" s="227"/>
      <c r="L72" s="227"/>
      <c r="M72" s="227"/>
      <c r="O72" s="227"/>
      <c r="T72" s="227"/>
    </row>
    <row r="73" spans="1:20" ht="15" customHeight="1" x14ac:dyDescent="0.25">
      <c r="A73" s="227"/>
      <c r="B73" s="653" t="s">
        <v>3780</v>
      </c>
      <c r="C73" s="653" t="s">
        <v>3782</v>
      </c>
      <c r="D73" s="923">
        <f>F73</f>
        <v>14.3</v>
      </c>
      <c r="E73" s="658" t="s">
        <v>2885</v>
      </c>
      <c r="F73" s="922">
        <f t="shared" si="5"/>
        <v>14.3</v>
      </c>
      <c r="G73" s="227"/>
      <c r="H73" s="227"/>
      <c r="I73" s="227"/>
      <c r="J73" s="227"/>
      <c r="K73" s="227"/>
      <c r="L73" s="227"/>
      <c r="M73" s="227"/>
      <c r="O73" s="227"/>
      <c r="T73" s="227"/>
    </row>
    <row r="74" spans="1:20" x14ac:dyDescent="0.25">
      <c r="A74" s="227"/>
      <c r="B74" s="653" t="s">
        <v>3780</v>
      </c>
      <c r="C74" s="653" t="s">
        <v>3783</v>
      </c>
      <c r="D74" s="658" t="s">
        <v>2885</v>
      </c>
      <c r="E74" s="921">
        <f>F74</f>
        <v>14.3</v>
      </c>
      <c r="F74" s="922">
        <f t="shared" si="5"/>
        <v>14.3</v>
      </c>
      <c r="G74" s="227"/>
      <c r="H74" s="227"/>
      <c r="I74" s="227"/>
      <c r="J74" s="227"/>
      <c r="K74" s="227"/>
      <c r="L74" s="227"/>
      <c r="M74" s="227"/>
      <c r="O74" s="227"/>
      <c r="T74" s="227"/>
    </row>
    <row r="75" spans="1:20" x14ac:dyDescent="0.25">
      <c r="A75" s="227"/>
      <c r="B75" s="653" t="s">
        <v>3804</v>
      </c>
      <c r="C75" s="653" t="s">
        <v>6252</v>
      </c>
      <c r="D75" s="923">
        <f>F75</f>
        <v>13.1</v>
      </c>
      <c r="E75" s="658" t="s">
        <v>2885</v>
      </c>
      <c r="F75" s="922">
        <f t="shared" si="5"/>
        <v>13.1</v>
      </c>
      <c r="G75" s="227"/>
      <c r="H75" s="227"/>
      <c r="I75" s="227"/>
      <c r="J75" s="227"/>
      <c r="K75" s="227"/>
      <c r="L75" s="227"/>
      <c r="M75" s="227"/>
      <c r="O75" s="227"/>
      <c r="T75" s="227"/>
    </row>
    <row r="76" spans="1:20" x14ac:dyDescent="0.25">
      <c r="A76" s="227"/>
      <c r="B76" s="653" t="s">
        <v>3804</v>
      </c>
      <c r="C76" s="653" t="s">
        <v>6257</v>
      </c>
      <c r="D76" s="924">
        <f>F76</f>
        <v>-5.7</v>
      </c>
      <c r="E76" s="658" t="s">
        <v>2885</v>
      </c>
      <c r="F76" s="925">
        <f t="shared" si="5"/>
        <v>-5.7</v>
      </c>
      <c r="G76" s="227"/>
      <c r="H76" s="227"/>
      <c r="I76" s="227"/>
      <c r="J76" s="227"/>
      <c r="K76" s="227"/>
      <c r="L76" s="227"/>
      <c r="M76" s="227"/>
      <c r="O76" s="227"/>
      <c r="T76" s="227"/>
    </row>
    <row r="77" spans="1:20" x14ac:dyDescent="0.25">
      <c r="A77" s="227"/>
      <c r="B77" s="653" t="s">
        <v>3804</v>
      </c>
      <c r="C77" s="653" t="s">
        <v>6254</v>
      </c>
      <c r="D77" s="923">
        <f>F77</f>
        <v>10.5</v>
      </c>
      <c r="E77" s="658" t="s">
        <v>2885</v>
      </c>
      <c r="F77" s="922">
        <f t="shared" si="5"/>
        <v>10.5</v>
      </c>
      <c r="G77" s="227"/>
      <c r="H77" s="227"/>
      <c r="I77" s="227"/>
      <c r="J77" s="227"/>
      <c r="K77" s="227"/>
      <c r="L77" s="227"/>
      <c r="M77" s="227"/>
      <c r="O77" s="227"/>
      <c r="T77" s="227"/>
    </row>
    <row r="78" spans="1:20" x14ac:dyDescent="0.25">
      <c r="A78" s="227"/>
      <c r="B78" s="653" t="s">
        <v>3805</v>
      </c>
      <c r="C78" s="653" t="s">
        <v>6252</v>
      </c>
      <c r="D78" s="923">
        <f t="shared" ref="D78:D86" si="6">F78</f>
        <v>10.3</v>
      </c>
      <c r="E78" s="658" t="s">
        <v>2885</v>
      </c>
      <c r="F78" s="922">
        <f t="shared" si="5"/>
        <v>10.3</v>
      </c>
      <c r="G78" s="227"/>
      <c r="H78" s="227"/>
      <c r="I78" s="227"/>
      <c r="J78" s="227"/>
      <c r="K78" s="227"/>
      <c r="L78" s="227"/>
      <c r="M78" s="227"/>
      <c r="O78" s="227"/>
      <c r="T78" s="227"/>
    </row>
    <row r="79" spans="1:20" x14ac:dyDescent="0.25">
      <c r="A79" s="227"/>
      <c r="B79" s="653" t="s">
        <v>3805</v>
      </c>
      <c r="C79" s="653" t="s">
        <v>6257</v>
      </c>
      <c r="D79" s="924">
        <f t="shared" si="6"/>
        <v>-3</v>
      </c>
      <c r="E79" s="658" t="s">
        <v>2885</v>
      </c>
      <c r="F79" s="925">
        <f t="shared" si="5"/>
        <v>-3</v>
      </c>
      <c r="G79" s="227"/>
      <c r="H79" s="227"/>
      <c r="I79" s="227"/>
      <c r="J79" s="227"/>
      <c r="K79" s="227"/>
      <c r="L79" s="227"/>
      <c r="M79" s="227"/>
      <c r="O79" s="227"/>
      <c r="T79" s="227"/>
    </row>
    <row r="80" spans="1:20" x14ac:dyDescent="0.25">
      <c r="A80" s="227"/>
      <c r="B80" s="653" t="s">
        <v>3805</v>
      </c>
      <c r="C80" s="653" t="s">
        <v>6254</v>
      </c>
      <c r="D80" s="923">
        <f t="shared" si="6"/>
        <v>8.5</v>
      </c>
      <c r="E80" s="658" t="s">
        <v>2885</v>
      </c>
      <c r="F80" s="922">
        <f t="shared" si="5"/>
        <v>8.5</v>
      </c>
      <c r="G80" s="227"/>
      <c r="H80" s="227"/>
      <c r="I80" s="227"/>
      <c r="J80" s="227"/>
      <c r="K80" s="227"/>
      <c r="L80" s="227"/>
      <c r="M80" s="227"/>
      <c r="O80" s="227"/>
      <c r="T80" s="227"/>
    </row>
    <row r="81" spans="1:20" x14ac:dyDescent="0.25">
      <c r="A81" s="227"/>
      <c r="B81" s="653" t="s">
        <v>3806</v>
      </c>
      <c r="C81" s="653" t="s">
        <v>6252</v>
      </c>
      <c r="D81" s="923">
        <f t="shared" si="6"/>
        <v>13.1</v>
      </c>
      <c r="E81" s="658" t="s">
        <v>2885</v>
      </c>
      <c r="F81" s="922">
        <f t="shared" si="5"/>
        <v>13.1</v>
      </c>
      <c r="G81" s="227"/>
      <c r="H81" s="227"/>
      <c r="I81" s="227"/>
      <c r="J81" s="227"/>
      <c r="K81" s="227"/>
      <c r="L81" s="227"/>
      <c r="M81" s="227"/>
      <c r="O81" s="227"/>
      <c r="T81" s="227"/>
    </row>
    <row r="82" spans="1:20" x14ac:dyDescent="0.25">
      <c r="A82" s="227"/>
      <c r="B82" s="653" t="s">
        <v>3806</v>
      </c>
      <c r="C82" s="653" t="s">
        <v>6257</v>
      </c>
      <c r="D82" s="924">
        <f t="shared" si="6"/>
        <v>-5.7</v>
      </c>
      <c r="E82" s="658" t="s">
        <v>2885</v>
      </c>
      <c r="F82" s="925">
        <f t="shared" si="5"/>
        <v>-5.7</v>
      </c>
      <c r="G82" s="227"/>
      <c r="H82" s="227"/>
      <c r="I82" s="227"/>
      <c r="J82" s="227"/>
      <c r="K82" s="227"/>
      <c r="L82" s="227"/>
      <c r="M82" s="227"/>
      <c r="O82" s="227"/>
      <c r="T82" s="227"/>
    </row>
    <row r="83" spans="1:20" x14ac:dyDescent="0.25">
      <c r="A83" s="227"/>
      <c r="B83" s="653" t="s">
        <v>3806</v>
      </c>
      <c r="C83" s="653" t="s">
        <v>6254</v>
      </c>
      <c r="D83" s="923">
        <f t="shared" si="6"/>
        <v>10.5</v>
      </c>
      <c r="E83" s="658" t="s">
        <v>2885</v>
      </c>
      <c r="F83" s="922">
        <f t="shared" si="5"/>
        <v>10.5</v>
      </c>
      <c r="G83" s="227"/>
      <c r="H83" s="227"/>
      <c r="I83" s="227"/>
      <c r="J83" s="227"/>
      <c r="K83" s="227"/>
      <c r="L83" s="227"/>
      <c r="M83" s="227"/>
      <c r="O83" s="227"/>
      <c r="T83" s="227"/>
    </row>
    <row r="84" spans="1:20" x14ac:dyDescent="0.25">
      <c r="A84" s="227"/>
      <c r="B84" s="653" t="s">
        <v>3803</v>
      </c>
      <c r="C84" s="653" t="s">
        <v>6252</v>
      </c>
      <c r="D84" s="923">
        <f t="shared" si="6"/>
        <v>10.199999999999999</v>
      </c>
      <c r="E84" s="658" t="s">
        <v>2885</v>
      </c>
      <c r="F84" s="922">
        <f t="shared" si="5"/>
        <v>10.199999999999999</v>
      </c>
      <c r="G84" s="227"/>
      <c r="H84" s="227"/>
      <c r="I84" s="227"/>
      <c r="J84" s="227"/>
      <c r="K84" s="227"/>
      <c r="L84" s="227"/>
      <c r="M84" s="227"/>
      <c r="O84" s="227"/>
      <c r="T84" s="227"/>
    </row>
    <row r="85" spans="1:20" x14ac:dyDescent="0.25">
      <c r="A85" s="227"/>
      <c r="B85" s="653" t="s">
        <v>3803</v>
      </c>
      <c r="C85" s="653" t="s">
        <v>6257</v>
      </c>
      <c r="D85" s="924">
        <f>F85</f>
        <v>-3.1</v>
      </c>
      <c r="E85" s="658" t="s">
        <v>2885</v>
      </c>
      <c r="F85" s="925">
        <f>ROUND(F47*1.1,1)</f>
        <v>-3.1</v>
      </c>
      <c r="G85" s="227"/>
      <c r="H85" s="227"/>
      <c r="I85" s="227"/>
      <c r="J85" s="227"/>
      <c r="K85" s="227"/>
      <c r="L85" s="227"/>
      <c r="M85" s="227"/>
      <c r="O85" s="227"/>
      <c r="T85" s="227"/>
    </row>
    <row r="86" spans="1:20" x14ac:dyDescent="0.25">
      <c r="A86" s="227"/>
      <c r="B86" s="653" t="s">
        <v>3803</v>
      </c>
      <c r="C86" s="653" t="s">
        <v>6254</v>
      </c>
      <c r="D86" s="923">
        <f t="shared" si="6"/>
        <v>8.4</v>
      </c>
      <c r="E86" s="658" t="s">
        <v>2885</v>
      </c>
      <c r="F86" s="922">
        <f t="shared" ref="F86:F88" si="7">ROUND(F48*1.1,1)</f>
        <v>8.4</v>
      </c>
      <c r="G86" s="227"/>
      <c r="H86" s="227"/>
      <c r="I86" s="227"/>
      <c r="J86" s="227"/>
      <c r="K86" s="227"/>
      <c r="L86" s="227"/>
      <c r="M86" s="227"/>
      <c r="O86" s="227"/>
      <c r="T86" s="227"/>
    </row>
    <row r="87" spans="1:20" x14ac:dyDescent="0.25">
      <c r="A87" s="227"/>
      <c r="B87" s="653" t="s">
        <v>3807</v>
      </c>
      <c r="C87" s="653" t="s">
        <v>2884</v>
      </c>
      <c r="D87" s="923">
        <f>F87</f>
        <v>12.1</v>
      </c>
      <c r="E87" s="661" t="s">
        <v>2885</v>
      </c>
      <c r="F87" s="922">
        <f t="shared" si="7"/>
        <v>12.1</v>
      </c>
      <c r="G87" s="227"/>
      <c r="H87" s="227"/>
      <c r="I87" s="227"/>
      <c r="J87" s="227"/>
      <c r="K87" s="227"/>
      <c r="L87" s="227"/>
      <c r="M87" s="227"/>
      <c r="O87" s="227"/>
      <c r="T87" s="227"/>
    </row>
    <row r="88" spans="1:20" x14ac:dyDescent="0.25">
      <c r="A88" s="227"/>
      <c r="B88" s="653" t="s">
        <v>3807</v>
      </c>
      <c r="C88" s="653" t="s">
        <v>6258</v>
      </c>
      <c r="D88" s="658" t="s">
        <v>2885</v>
      </c>
      <c r="E88" s="921">
        <f>F88</f>
        <v>11</v>
      </c>
      <c r="F88" s="922">
        <f t="shared" si="7"/>
        <v>11</v>
      </c>
      <c r="G88" s="227"/>
      <c r="H88" s="227"/>
      <c r="I88" s="227"/>
      <c r="J88" s="227"/>
      <c r="K88" s="227"/>
      <c r="L88" s="227"/>
      <c r="M88" s="227"/>
      <c r="O88" s="227"/>
      <c r="T88" s="227"/>
    </row>
    <row r="89" spans="1:20" x14ac:dyDescent="0.25">
      <c r="A89" s="227"/>
      <c r="B89" s="227"/>
      <c r="C89" s="227"/>
      <c r="D89" s="659"/>
      <c r="E89" s="659"/>
      <c r="F89" s="659"/>
      <c r="G89" s="227"/>
      <c r="H89" s="227"/>
      <c r="I89" s="227"/>
      <c r="J89" s="227"/>
      <c r="K89" s="227"/>
      <c r="L89" s="227"/>
      <c r="M89" s="227"/>
      <c r="O89" s="227"/>
      <c r="T89" s="227"/>
    </row>
    <row r="90" spans="1:20" x14ac:dyDescent="0.25">
      <c r="A90" s="227"/>
      <c r="B90" s="227"/>
      <c r="C90" s="227"/>
      <c r="D90" s="659"/>
      <c r="E90" s="659"/>
      <c r="F90" s="659"/>
      <c r="G90" s="227"/>
      <c r="H90" s="227"/>
      <c r="I90" s="227"/>
      <c r="J90" s="227"/>
      <c r="K90" s="227"/>
      <c r="L90" s="227"/>
      <c r="M90" s="227"/>
      <c r="O90" s="227"/>
      <c r="T90" s="227"/>
    </row>
    <row r="91" spans="1:20" ht="18.75" x14ac:dyDescent="0.25">
      <c r="A91" s="227"/>
      <c r="B91" s="283" t="s">
        <v>6256</v>
      </c>
      <c r="C91" s="227"/>
      <c r="D91" s="659"/>
      <c r="E91" s="659"/>
      <c r="F91" s="659"/>
      <c r="G91" s="227"/>
      <c r="H91" s="227"/>
      <c r="I91" s="227"/>
      <c r="J91" s="227"/>
      <c r="K91" s="227"/>
      <c r="L91" s="227"/>
      <c r="M91" s="227"/>
      <c r="O91" s="227"/>
      <c r="T91" s="227"/>
    </row>
    <row r="92" spans="1:20" x14ac:dyDescent="0.25">
      <c r="A92" s="227"/>
      <c r="B92" s="227"/>
      <c r="C92" s="227"/>
      <c r="D92" s="659"/>
      <c r="E92" s="659"/>
      <c r="F92" s="659"/>
      <c r="G92" s="227"/>
      <c r="H92" s="227"/>
      <c r="I92" s="227"/>
      <c r="J92" s="227"/>
      <c r="K92" s="227"/>
      <c r="L92" s="227"/>
      <c r="M92" s="227"/>
      <c r="O92" s="227"/>
      <c r="T92" s="227"/>
    </row>
    <row r="93" spans="1:20" x14ac:dyDescent="0.25">
      <c r="A93" s="227"/>
      <c r="B93" s="2024" t="s">
        <v>2879</v>
      </c>
      <c r="C93" s="2024" t="s">
        <v>2880</v>
      </c>
      <c r="D93" s="2032" t="s">
        <v>2881</v>
      </c>
      <c r="E93" s="2033"/>
      <c r="F93" s="525" t="s">
        <v>2903</v>
      </c>
      <c r="G93" s="227"/>
      <c r="H93" s="227"/>
      <c r="I93" s="227"/>
      <c r="J93" s="227"/>
      <c r="K93" s="227"/>
      <c r="L93" s="227"/>
      <c r="M93" s="227"/>
      <c r="O93" s="227"/>
      <c r="T93" s="227"/>
    </row>
    <row r="94" spans="1:20" x14ac:dyDescent="0.25">
      <c r="A94" s="227"/>
      <c r="B94" s="2025"/>
      <c r="C94" s="2025"/>
      <c r="D94" s="660" t="s">
        <v>1008</v>
      </c>
      <c r="E94" s="660" t="s">
        <v>2883</v>
      </c>
      <c r="F94" s="660" t="s">
        <v>308</v>
      </c>
      <c r="G94" s="227"/>
      <c r="H94" s="227"/>
      <c r="I94" s="227"/>
      <c r="J94" s="227"/>
      <c r="K94" s="227"/>
      <c r="L94" s="227"/>
      <c r="M94" s="227"/>
      <c r="O94" s="227"/>
      <c r="T94" s="227"/>
    </row>
    <row r="95" spans="1:20" x14ac:dyDescent="0.25">
      <c r="A95" s="227"/>
      <c r="B95" s="653" t="s">
        <v>6238</v>
      </c>
      <c r="C95" s="653" t="s">
        <v>6250</v>
      </c>
      <c r="D95" s="918">
        <f>ROUND(D57*1.1,1)</f>
        <v>16.7</v>
      </c>
      <c r="E95" s="658" t="s">
        <v>2885</v>
      </c>
      <c r="F95" s="919" t="s">
        <v>3577</v>
      </c>
      <c r="G95" s="227"/>
      <c r="H95" s="227"/>
      <c r="I95" s="227"/>
      <c r="J95" s="227"/>
      <c r="K95" s="227"/>
      <c r="L95" s="227"/>
      <c r="M95" s="227"/>
      <c r="O95" s="227"/>
      <c r="T95" s="227"/>
    </row>
    <row r="96" spans="1:20" x14ac:dyDescent="0.25">
      <c r="A96" s="227"/>
      <c r="B96" s="653" t="s">
        <v>6238</v>
      </c>
      <c r="C96" s="653" t="s">
        <v>6251</v>
      </c>
      <c r="D96" s="918">
        <f t="shared" ref="D96:D97" si="8">ROUND(D58*1.1,1)</f>
        <v>16.7</v>
      </c>
      <c r="E96" s="658" t="s">
        <v>2885</v>
      </c>
      <c r="F96" s="920" t="s">
        <v>3577</v>
      </c>
      <c r="G96" s="227"/>
      <c r="H96" s="227"/>
      <c r="I96" s="227"/>
      <c r="J96" s="227"/>
      <c r="K96" s="227"/>
      <c r="L96" s="227"/>
      <c r="M96" s="227"/>
      <c r="O96" s="227"/>
      <c r="T96" s="227"/>
    </row>
    <row r="97" spans="1:20" x14ac:dyDescent="0.25">
      <c r="A97" s="227"/>
      <c r="B97" s="653" t="s">
        <v>6239</v>
      </c>
      <c r="C97" s="653" t="s">
        <v>2884</v>
      </c>
      <c r="D97" s="918">
        <f t="shared" si="8"/>
        <v>16.7</v>
      </c>
      <c r="E97" s="658" t="s">
        <v>2885</v>
      </c>
      <c r="F97" s="920" t="s">
        <v>3577</v>
      </c>
      <c r="G97" s="227"/>
      <c r="H97" s="227"/>
      <c r="I97" s="227"/>
      <c r="J97" s="227"/>
      <c r="K97" s="227"/>
      <c r="L97" s="227"/>
      <c r="M97" s="227"/>
      <c r="O97" s="227"/>
      <c r="T97" s="227"/>
    </row>
    <row r="98" spans="1:20" x14ac:dyDescent="0.25">
      <c r="A98" s="227"/>
      <c r="B98" s="653" t="s">
        <v>6240</v>
      </c>
      <c r="C98" s="653" t="s">
        <v>2884</v>
      </c>
      <c r="D98" s="918">
        <f>ROUND(D22*1.2,1)</f>
        <v>16.100000000000001</v>
      </c>
      <c r="E98" s="658" t="s">
        <v>2885</v>
      </c>
      <c r="F98" s="920" t="s">
        <v>3577</v>
      </c>
      <c r="G98" s="227"/>
      <c r="H98" s="227"/>
      <c r="I98" s="227"/>
      <c r="J98" s="227"/>
      <c r="K98" s="227"/>
      <c r="L98" s="227"/>
      <c r="M98" s="227"/>
      <c r="O98" s="227"/>
      <c r="T98" s="227"/>
    </row>
    <row r="99" spans="1:20" x14ac:dyDescent="0.25">
      <c r="A99" s="227"/>
      <c r="B99" s="653" t="s">
        <v>6241</v>
      </c>
      <c r="C99" s="653" t="s">
        <v>2884</v>
      </c>
      <c r="D99" s="918">
        <f>ROUND(D23*1.2,1)</f>
        <v>16.100000000000001</v>
      </c>
      <c r="E99" s="658" t="s">
        <v>2885</v>
      </c>
      <c r="F99" s="920" t="s">
        <v>3577</v>
      </c>
      <c r="G99" s="227"/>
      <c r="H99" s="227"/>
      <c r="I99" s="227"/>
      <c r="J99" s="227"/>
      <c r="K99" s="227"/>
      <c r="L99" s="227"/>
      <c r="M99" s="227"/>
      <c r="O99" s="227"/>
      <c r="T99" s="227"/>
    </row>
    <row r="100" spans="1:20" x14ac:dyDescent="0.25">
      <c r="A100" s="227"/>
      <c r="B100" s="653" t="s">
        <v>6242</v>
      </c>
      <c r="C100" s="653" t="s">
        <v>2889</v>
      </c>
      <c r="D100" s="658" t="s">
        <v>2885</v>
      </c>
      <c r="E100" s="921">
        <f>ROUND(E24*1.2,1)</f>
        <v>17.8</v>
      </c>
      <c r="F100" s="920" t="s">
        <v>3577</v>
      </c>
      <c r="G100" s="227"/>
      <c r="H100" s="227"/>
      <c r="I100" s="227"/>
      <c r="J100" s="227"/>
      <c r="K100" s="227"/>
      <c r="L100" s="227"/>
      <c r="M100" s="227"/>
      <c r="O100" s="227"/>
      <c r="T100" s="227"/>
    </row>
    <row r="101" spans="1:20" x14ac:dyDescent="0.25">
      <c r="A101" s="227"/>
      <c r="B101" s="653" t="s">
        <v>6242</v>
      </c>
      <c r="C101" s="653" t="s">
        <v>2890</v>
      </c>
      <c r="D101" s="658" t="s">
        <v>2885</v>
      </c>
      <c r="E101" s="921">
        <f t="shared" ref="E101:E102" si="9">ROUND(E25*1.2,1)</f>
        <v>17</v>
      </c>
      <c r="F101" s="920" t="s">
        <v>3577</v>
      </c>
      <c r="G101" s="227"/>
      <c r="H101" s="227"/>
      <c r="I101" s="227"/>
      <c r="J101" s="227"/>
      <c r="K101" s="227"/>
      <c r="L101" s="227"/>
      <c r="M101" s="227"/>
      <c r="O101" s="227"/>
      <c r="T101" s="227"/>
    </row>
    <row r="102" spans="1:20" x14ac:dyDescent="0.25">
      <c r="A102" s="227"/>
      <c r="B102" s="653" t="s">
        <v>6242</v>
      </c>
      <c r="C102" s="653" t="s">
        <v>2891</v>
      </c>
      <c r="D102" s="658" t="s">
        <v>2885</v>
      </c>
      <c r="E102" s="921">
        <f t="shared" si="9"/>
        <v>15.8</v>
      </c>
      <c r="F102" s="920" t="s">
        <v>3577</v>
      </c>
      <c r="G102" s="227"/>
      <c r="H102" s="227"/>
      <c r="I102" s="227"/>
      <c r="J102" s="227"/>
      <c r="K102" s="227"/>
      <c r="L102" s="227"/>
      <c r="M102" s="227"/>
      <c r="O102" s="227"/>
      <c r="T102" s="227"/>
    </row>
    <row r="103" spans="1:20" x14ac:dyDescent="0.25">
      <c r="A103" s="227"/>
      <c r="B103" s="653" t="s">
        <v>6243</v>
      </c>
      <c r="C103" s="653" t="s">
        <v>2884</v>
      </c>
      <c r="D103" s="918">
        <f t="shared" ref="D103:D104" si="10">ROUND(D65*1.1,1)</f>
        <v>16.7</v>
      </c>
      <c r="E103" s="658"/>
      <c r="F103" s="920" t="s">
        <v>3577</v>
      </c>
      <c r="G103" s="227"/>
      <c r="H103" s="227"/>
      <c r="I103" s="227"/>
      <c r="J103" s="227"/>
      <c r="K103" s="227"/>
      <c r="L103" s="227"/>
      <c r="M103" s="227"/>
      <c r="O103" s="227"/>
      <c r="T103" s="227"/>
    </row>
    <row r="104" spans="1:20" x14ac:dyDescent="0.25">
      <c r="A104" s="227"/>
      <c r="B104" s="653" t="s">
        <v>6244</v>
      </c>
      <c r="C104" s="653" t="s">
        <v>2884</v>
      </c>
      <c r="D104" s="918">
        <f t="shared" si="10"/>
        <v>16.7</v>
      </c>
      <c r="E104" s="658"/>
      <c r="F104" s="920" t="s">
        <v>3577</v>
      </c>
      <c r="G104" s="227"/>
      <c r="H104" s="227"/>
      <c r="I104" s="227"/>
      <c r="J104" s="227"/>
      <c r="K104" s="227"/>
      <c r="L104" s="227"/>
      <c r="M104" s="227"/>
      <c r="O104" s="227"/>
      <c r="T104" s="227"/>
    </row>
    <row r="105" spans="1:20" x14ac:dyDescent="0.25">
      <c r="A105" s="227"/>
      <c r="B105" s="653" t="s">
        <v>6246</v>
      </c>
      <c r="C105" s="653" t="s">
        <v>2884</v>
      </c>
      <c r="D105" s="918">
        <f t="shared" ref="D105:D106" si="11">ROUND(D29*1.2,1)</f>
        <v>17.2</v>
      </c>
      <c r="E105" s="658"/>
      <c r="F105" s="920" t="s">
        <v>3577</v>
      </c>
      <c r="G105" s="227"/>
      <c r="H105" s="227"/>
      <c r="I105" s="227"/>
      <c r="J105" s="227"/>
      <c r="K105" s="227"/>
      <c r="L105" s="227"/>
      <c r="M105" s="227"/>
      <c r="O105" s="227"/>
      <c r="T105" s="227"/>
    </row>
    <row r="106" spans="1:20" x14ac:dyDescent="0.25">
      <c r="A106" s="227"/>
      <c r="B106" s="653" t="s">
        <v>6247</v>
      </c>
      <c r="C106" s="653" t="s">
        <v>2884</v>
      </c>
      <c r="D106" s="918">
        <f t="shared" si="11"/>
        <v>16.100000000000001</v>
      </c>
      <c r="E106" s="658"/>
      <c r="F106" s="920" t="s">
        <v>3577</v>
      </c>
      <c r="G106" s="227"/>
      <c r="H106" s="227"/>
      <c r="I106" s="227"/>
      <c r="J106" s="227"/>
      <c r="K106" s="227"/>
      <c r="L106" s="227"/>
      <c r="M106" s="227"/>
      <c r="O106" s="227"/>
      <c r="T106" s="227"/>
    </row>
    <row r="107" spans="1:20" x14ac:dyDescent="0.25">
      <c r="A107" s="227"/>
      <c r="B107" s="653" t="s">
        <v>2886</v>
      </c>
      <c r="C107" s="653" t="s">
        <v>2889</v>
      </c>
      <c r="D107" s="658" t="s">
        <v>2885</v>
      </c>
      <c r="E107" s="921">
        <f t="shared" ref="E107:E109" si="12">ROUND(E31*1.2,1)</f>
        <v>16.899999999999999</v>
      </c>
      <c r="F107" s="920" t="s">
        <v>3577</v>
      </c>
      <c r="G107" s="227"/>
      <c r="H107" s="227"/>
      <c r="I107" s="227"/>
      <c r="J107" s="227"/>
      <c r="K107" s="227"/>
      <c r="L107" s="227"/>
      <c r="M107" s="227"/>
      <c r="O107" s="227"/>
      <c r="T107" s="227"/>
    </row>
    <row r="108" spans="1:20" x14ac:dyDescent="0.25">
      <c r="A108" s="227"/>
      <c r="B108" s="653" t="s">
        <v>2886</v>
      </c>
      <c r="C108" s="653" t="s">
        <v>2890</v>
      </c>
      <c r="D108" s="658" t="s">
        <v>2885</v>
      </c>
      <c r="E108" s="921">
        <f t="shared" si="12"/>
        <v>16.2</v>
      </c>
      <c r="F108" s="920" t="s">
        <v>3577</v>
      </c>
      <c r="G108" s="227"/>
      <c r="H108" s="227"/>
      <c r="I108" s="227"/>
      <c r="J108" s="227"/>
      <c r="K108" s="227"/>
      <c r="L108" s="227"/>
      <c r="M108" s="227"/>
      <c r="O108" s="227"/>
      <c r="T108" s="227"/>
    </row>
    <row r="109" spans="1:20" x14ac:dyDescent="0.25">
      <c r="A109" s="227"/>
      <c r="B109" s="653" t="s">
        <v>2886</v>
      </c>
      <c r="C109" s="653" t="s">
        <v>2891</v>
      </c>
      <c r="D109" s="658" t="s">
        <v>2885</v>
      </c>
      <c r="E109" s="921">
        <f t="shared" si="12"/>
        <v>15</v>
      </c>
      <c r="F109" s="920" t="s">
        <v>3577</v>
      </c>
      <c r="G109" s="227"/>
      <c r="H109" s="227"/>
      <c r="I109" s="227"/>
      <c r="J109" s="227"/>
      <c r="K109" s="227"/>
      <c r="L109" s="227"/>
      <c r="M109" s="227"/>
      <c r="O109" s="227"/>
      <c r="T109" s="227"/>
    </row>
    <row r="110" spans="1:20" x14ac:dyDescent="0.25">
      <c r="A110" s="227"/>
      <c r="B110" s="653" t="s">
        <v>3780</v>
      </c>
      <c r="C110" s="653" t="s">
        <v>3781</v>
      </c>
      <c r="D110" s="923">
        <f>F110</f>
        <v>14.6</v>
      </c>
      <c r="E110" s="658" t="s">
        <v>2885</v>
      </c>
      <c r="F110" s="922">
        <f>ROUND(F34*1.2,1)</f>
        <v>14.6</v>
      </c>
      <c r="G110" s="227"/>
      <c r="H110" s="227"/>
      <c r="I110" s="227"/>
      <c r="J110" s="227"/>
      <c r="K110" s="227"/>
      <c r="L110" s="227"/>
      <c r="M110" s="227"/>
      <c r="O110" s="227"/>
      <c r="T110" s="227"/>
    </row>
    <row r="111" spans="1:20" x14ac:dyDescent="0.25">
      <c r="A111" s="227"/>
      <c r="B111" s="653" t="s">
        <v>3780</v>
      </c>
      <c r="C111" s="653" t="s">
        <v>3782</v>
      </c>
      <c r="D111" s="923">
        <f>F111</f>
        <v>15.6</v>
      </c>
      <c r="E111" s="658" t="s">
        <v>2885</v>
      </c>
      <c r="F111" s="922">
        <f t="shared" ref="F111:F126" si="13">ROUND(F35*1.2,1)</f>
        <v>15.6</v>
      </c>
      <c r="G111" s="227"/>
      <c r="H111" s="227"/>
      <c r="I111" s="227"/>
      <c r="J111" s="227"/>
      <c r="K111" s="227"/>
      <c r="L111" s="227"/>
      <c r="M111" s="227"/>
      <c r="O111" s="227"/>
      <c r="T111" s="227"/>
    </row>
    <row r="112" spans="1:20" x14ac:dyDescent="0.25">
      <c r="A112" s="227"/>
      <c r="B112" s="653" t="s">
        <v>3780</v>
      </c>
      <c r="C112" s="653" t="s">
        <v>3783</v>
      </c>
      <c r="D112" s="658" t="s">
        <v>2885</v>
      </c>
      <c r="E112" s="921">
        <f>F112</f>
        <v>15.6</v>
      </c>
      <c r="F112" s="922">
        <f t="shared" si="13"/>
        <v>15.6</v>
      </c>
      <c r="G112" s="227"/>
      <c r="H112" s="227"/>
      <c r="I112" s="227"/>
      <c r="J112" s="227"/>
      <c r="K112" s="227"/>
      <c r="L112" s="227"/>
      <c r="M112" s="227"/>
      <c r="O112" s="227"/>
      <c r="T112" s="227"/>
    </row>
    <row r="113" spans="1:20" x14ac:dyDescent="0.25">
      <c r="A113" s="227"/>
      <c r="B113" s="653" t="s">
        <v>3804</v>
      </c>
      <c r="C113" s="653" t="s">
        <v>6252</v>
      </c>
      <c r="D113" s="923">
        <f>F113</f>
        <v>14.3</v>
      </c>
      <c r="E113" s="658" t="s">
        <v>2885</v>
      </c>
      <c r="F113" s="922">
        <f t="shared" si="13"/>
        <v>14.3</v>
      </c>
      <c r="G113" s="227"/>
      <c r="H113" s="227"/>
      <c r="I113" s="227"/>
      <c r="J113" s="227"/>
      <c r="K113" s="227"/>
      <c r="L113" s="227"/>
      <c r="M113" s="227"/>
      <c r="O113" s="227"/>
      <c r="T113" s="227"/>
    </row>
    <row r="114" spans="1:20" x14ac:dyDescent="0.25">
      <c r="A114" s="227"/>
      <c r="B114" s="653" t="s">
        <v>3804</v>
      </c>
      <c r="C114" s="653" t="s">
        <v>6257</v>
      </c>
      <c r="D114" s="924">
        <f>F114</f>
        <v>-6.2</v>
      </c>
      <c r="E114" s="658" t="s">
        <v>2885</v>
      </c>
      <c r="F114" s="925">
        <f t="shared" si="13"/>
        <v>-6.2</v>
      </c>
      <c r="G114" s="227"/>
      <c r="H114" s="227"/>
      <c r="I114" s="227"/>
      <c r="J114" s="227"/>
      <c r="K114" s="227"/>
      <c r="L114" s="227"/>
      <c r="M114" s="227"/>
      <c r="O114" s="227"/>
      <c r="T114" s="227"/>
    </row>
    <row r="115" spans="1:20" x14ac:dyDescent="0.25">
      <c r="A115" s="227"/>
      <c r="B115" s="653" t="s">
        <v>3804</v>
      </c>
      <c r="C115" s="653" t="s">
        <v>6254</v>
      </c>
      <c r="D115" s="923">
        <f>F115</f>
        <v>11.4</v>
      </c>
      <c r="E115" s="658" t="s">
        <v>2885</v>
      </c>
      <c r="F115" s="922">
        <f t="shared" si="13"/>
        <v>11.4</v>
      </c>
      <c r="G115" s="227"/>
      <c r="H115" s="227"/>
      <c r="I115" s="227"/>
      <c r="J115" s="227"/>
      <c r="K115" s="227"/>
      <c r="L115" s="227"/>
      <c r="M115" s="227"/>
      <c r="O115" s="227"/>
      <c r="T115" s="227"/>
    </row>
    <row r="116" spans="1:20" x14ac:dyDescent="0.25">
      <c r="A116" s="227"/>
      <c r="B116" s="653" t="s">
        <v>3805</v>
      </c>
      <c r="C116" s="653" t="s">
        <v>6252</v>
      </c>
      <c r="D116" s="923">
        <f>F116</f>
        <v>11.3</v>
      </c>
      <c r="E116" s="658" t="s">
        <v>2885</v>
      </c>
      <c r="F116" s="922">
        <f t="shared" si="13"/>
        <v>11.3</v>
      </c>
      <c r="G116" s="227"/>
      <c r="H116" s="227"/>
      <c r="I116" s="227"/>
      <c r="J116" s="227"/>
      <c r="K116" s="227"/>
      <c r="L116" s="227"/>
      <c r="M116" s="227"/>
      <c r="O116" s="227"/>
      <c r="T116" s="227"/>
    </row>
    <row r="117" spans="1:20" x14ac:dyDescent="0.25">
      <c r="A117" s="227"/>
      <c r="B117" s="653" t="s">
        <v>3805</v>
      </c>
      <c r="C117" s="653" t="s">
        <v>6257</v>
      </c>
      <c r="D117" s="924">
        <f t="shared" ref="D117:D122" si="14">F117</f>
        <v>-3.2</v>
      </c>
      <c r="E117" s="658" t="s">
        <v>2885</v>
      </c>
      <c r="F117" s="925">
        <f t="shared" si="13"/>
        <v>-3.2</v>
      </c>
      <c r="G117" s="227"/>
      <c r="H117" s="227"/>
      <c r="I117" s="227"/>
      <c r="J117" s="227"/>
      <c r="K117" s="227"/>
      <c r="L117" s="227"/>
      <c r="M117" s="227"/>
      <c r="O117" s="227"/>
      <c r="T117" s="227"/>
    </row>
    <row r="118" spans="1:20" x14ac:dyDescent="0.25">
      <c r="A118" s="227"/>
      <c r="B118" s="653" t="s">
        <v>3805</v>
      </c>
      <c r="C118" s="653" t="s">
        <v>6254</v>
      </c>
      <c r="D118" s="923">
        <f t="shared" si="14"/>
        <v>9.1999999999999993</v>
      </c>
      <c r="E118" s="658" t="s">
        <v>2885</v>
      </c>
      <c r="F118" s="922">
        <f t="shared" si="13"/>
        <v>9.1999999999999993</v>
      </c>
      <c r="G118" s="227"/>
      <c r="H118" s="227"/>
      <c r="I118" s="227"/>
      <c r="J118" s="227"/>
      <c r="K118" s="227"/>
      <c r="L118" s="227"/>
      <c r="M118" s="227"/>
      <c r="O118" s="227"/>
      <c r="T118" s="227"/>
    </row>
    <row r="119" spans="1:20" x14ac:dyDescent="0.25">
      <c r="A119" s="227"/>
      <c r="B119" s="653" t="s">
        <v>3806</v>
      </c>
      <c r="C119" s="653" t="s">
        <v>6252</v>
      </c>
      <c r="D119" s="923">
        <f t="shared" si="14"/>
        <v>14.3</v>
      </c>
      <c r="E119" s="658" t="s">
        <v>2885</v>
      </c>
      <c r="F119" s="922">
        <f t="shared" si="13"/>
        <v>14.3</v>
      </c>
      <c r="G119" s="227"/>
      <c r="H119" s="227"/>
      <c r="I119" s="227"/>
      <c r="J119" s="227"/>
      <c r="K119" s="227"/>
      <c r="L119" s="227"/>
      <c r="M119" s="227"/>
      <c r="O119" s="227"/>
      <c r="T119" s="227"/>
    </row>
    <row r="120" spans="1:20" x14ac:dyDescent="0.25">
      <c r="A120" s="227"/>
      <c r="B120" s="653" t="s">
        <v>3806</v>
      </c>
      <c r="C120" s="653" t="s">
        <v>6257</v>
      </c>
      <c r="D120" s="924">
        <f t="shared" si="14"/>
        <v>-6.2</v>
      </c>
      <c r="E120" s="658" t="s">
        <v>2885</v>
      </c>
      <c r="F120" s="925">
        <f t="shared" si="13"/>
        <v>-6.2</v>
      </c>
      <c r="G120" s="227"/>
      <c r="H120" s="227"/>
      <c r="I120" s="227"/>
      <c r="J120" s="227"/>
      <c r="K120" s="227"/>
      <c r="L120" s="227"/>
      <c r="M120" s="227"/>
      <c r="O120" s="227"/>
      <c r="T120" s="227"/>
    </row>
    <row r="121" spans="1:20" x14ac:dyDescent="0.25">
      <c r="A121" s="227"/>
      <c r="B121" s="653" t="s">
        <v>3806</v>
      </c>
      <c r="C121" s="653" t="s">
        <v>6254</v>
      </c>
      <c r="D121" s="923">
        <f t="shared" si="14"/>
        <v>11.4</v>
      </c>
      <c r="E121" s="658" t="s">
        <v>2885</v>
      </c>
      <c r="F121" s="922">
        <f t="shared" si="13"/>
        <v>11.4</v>
      </c>
      <c r="G121" s="227"/>
      <c r="H121" s="227"/>
      <c r="I121" s="227"/>
      <c r="J121" s="227"/>
      <c r="K121" s="227"/>
      <c r="L121" s="227"/>
      <c r="M121" s="227"/>
      <c r="O121" s="227"/>
      <c r="T121" s="227"/>
    </row>
    <row r="122" spans="1:20" x14ac:dyDescent="0.25">
      <c r="A122" s="227"/>
      <c r="B122" s="653" t="s">
        <v>3803</v>
      </c>
      <c r="C122" s="653" t="s">
        <v>6252</v>
      </c>
      <c r="D122" s="923">
        <f t="shared" si="14"/>
        <v>11.2</v>
      </c>
      <c r="E122" s="658" t="s">
        <v>2885</v>
      </c>
      <c r="F122" s="922">
        <f t="shared" si="13"/>
        <v>11.2</v>
      </c>
      <c r="G122" s="227"/>
      <c r="H122" s="227"/>
      <c r="I122" s="227"/>
      <c r="J122" s="227"/>
      <c r="K122" s="227"/>
      <c r="L122" s="227"/>
      <c r="M122" s="227"/>
      <c r="O122" s="227"/>
      <c r="T122" s="227"/>
    </row>
    <row r="123" spans="1:20" x14ac:dyDescent="0.25">
      <c r="A123" s="227"/>
      <c r="B123" s="653" t="s">
        <v>3803</v>
      </c>
      <c r="C123" s="653" t="s">
        <v>6257</v>
      </c>
      <c r="D123" s="924">
        <f>F123</f>
        <v>-3.4</v>
      </c>
      <c r="E123" s="658" t="s">
        <v>2885</v>
      </c>
      <c r="F123" s="925">
        <f t="shared" si="13"/>
        <v>-3.4</v>
      </c>
      <c r="G123" s="227"/>
      <c r="H123" s="227"/>
      <c r="I123" s="227"/>
      <c r="J123" s="227"/>
      <c r="K123" s="227"/>
      <c r="L123" s="227"/>
      <c r="M123" s="227"/>
      <c r="O123" s="227"/>
      <c r="T123" s="227"/>
    </row>
    <row r="124" spans="1:20" x14ac:dyDescent="0.25">
      <c r="A124" s="227"/>
      <c r="B124" s="653" t="s">
        <v>3803</v>
      </c>
      <c r="C124" s="653" t="s">
        <v>6254</v>
      </c>
      <c r="D124" s="923">
        <f t="shared" ref="D124" si="15">F124</f>
        <v>9.1</v>
      </c>
      <c r="E124" s="658" t="s">
        <v>2885</v>
      </c>
      <c r="F124" s="922">
        <f t="shared" si="13"/>
        <v>9.1</v>
      </c>
      <c r="G124" s="227"/>
      <c r="H124" s="227"/>
      <c r="I124" s="227"/>
      <c r="J124" s="227"/>
      <c r="K124" s="227"/>
      <c r="L124" s="227"/>
      <c r="M124" s="227"/>
      <c r="O124" s="227"/>
      <c r="T124" s="227"/>
    </row>
    <row r="125" spans="1:20" x14ac:dyDescent="0.25">
      <c r="A125" s="227"/>
      <c r="B125" s="653" t="s">
        <v>3807</v>
      </c>
      <c r="C125" s="653" t="s">
        <v>2884</v>
      </c>
      <c r="D125" s="923">
        <f>F125</f>
        <v>13.2</v>
      </c>
      <c r="E125" s="661" t="s">
        <v>2885</v>
      </c>
      <c r="F125" s="922">
        <f t="shared" si="13"/>
        <v>13.2</v>
      </c>
      <c r="G125" s="227"/>
      <c r="H125" s="227"/>
      <c r="I125" s="227"/>
      <c r="J125" s="227"/>
      <c r="K125" s="227"/>
      <c r="L125" s="227"/>
      <c r="M125" s="227"/>
      <c r="O125" s="227"/>
      <c r="T125" s="227"/>
    </row>
    <row r="126" spans="1:20" x14ac:dyDescent="0.25">
      <c r="A126" s="227"/>
      <c r="B126" s="653" t="s">
        <v>3807</v>
      </c>
      <c r="C126" s="653" t="s">
        <v>6258</v>
      </c>
      <c r="D126" s="658" t="s">
        <v>2885</v>
      </c>
      <c r="E126" s="921">
        <f>F126</f>
        <v>12</v>
      </c>
      <c r="F126" s="922">
        <f t="shared" si="13"/>
        <v>12</v>
      </c>
      <c r="G126" s="227"/>
      <c r="H126" s="227"/>
      <c r="I126" s="227"/>
      <c r="J126" s="227"/>
      <c r="K126" s="227"/>
      <c r="L126" s="227"/>
      <c r="M126" s="227"/>
      <c r="O126" s="227"/>
      <c r="T126" s="227"/>
    </row>
    <row r="127" spans="1:20" x14ac:dyDescent="0.25">
      <c r="A127" s="227"/>
      <c r="B127" s="227"/>
      <c r="C127" s="227"/>
      <c r="D127" s="227"/>
      <c r="E127" s="227"/>
      <c r="F127" s="227"/>
      <c r="G127" s="227"/>
      <c r="H127" s="227"/>
      <c r="I127" s="227"/>
      <c r="J127" s="227"/>
      <c r="K127" s="227"/>
      <c r="L127" s="227"/>
      <c r="M127" s="227"/>
      <c r="O127" s="227"/>
      <c r="T127" s="227"/>
    </row>
    <row r="128" spans="1:20" x14ac:dyDescent="0.25">
      <c r="A128" s="227"/>
      <c r="B128" s="227"/>
      <c r="C128" s="227"/>
      <c r="D128" s="227"/>
      <c r="E128" s="227"/>
      <c r="F128" s="227"/>
      <c r="G128" s="227"/>
      <c r="H128" s="227"/>
      <c r="I128" s="227"/>
      <c r="J128" s="227"/>
      <c r="K128" s="227"/>
      <c r="L128" s="227"/>
      <c r="M128" s="227"/>
      <c r="O128" s="227"/>
      <c r="T128" s="227"/>
    </row>
    <row r="129" spans="1:20" x14ac:dyDescent="0.25">
      <c r="A129" s="227"/>
      <c r="B129" s="227"/>
      <c r="C129" s="227"/>
      <c r="D129" s="227"/>
      <c r="E129" s="227"/>
      <c r="F129" s="227"/>
      <c r="G129" s="227"/>
      <c r="H129" s="227"/>
      <c r="I129" s="227"/>
      <c r="J129" s="227"/>
      <c r="K129" s="227"/>
      <c r="L129" s="227"/>
      <c r="M129" s="227"/>
      <c r="O129" s="227"/>
      <c r="T129" s="227"/>
    </row>
    <row r="130" spans="1:20" x14ac:dyDescent="0.25">
      <c r="A130" s="227"/>
      <c r="B130" s="227"/>
      <c r="C130" s="227"/>
      <c r="D130" s="227"/>
      <c r="E130" s="227"/>
      <c r="F130" s="227"/>
      <c r="G130" s="227"/>
      <c r="H130" s="227"/>
      <c r="I130" s="227"/>
      <c r="J130" s="262"/>
      <c r="K130" s="262"/>
      <c r="L130" s="262"/>
      <c r="M130" s="227"/>
      <c r="O130" s="227"/>
      <c r="T130" s="227"/>
    </row>
    <row r="131" spans="1:20" ht="18.75" x14ac:dyDescent="0.25">
      <c r="A131" s="227"/>
      <c r="B131" s="283" t="s">
        <v>3785</v>
      </c>
      <c r="C131" s="262"/>
      <c r="D131" s="262"/>
      <c r="E131" s="262"/>
      <c r="F131" s="262"/>
      <c r="G131" s="262"/>
      <c r="H131" s="262"/>
      <c r="I131" s="262"/>
      <c r="J131" s="262"/>
      <c r="K131" s="262"/>
      <c r="L131" s="262"/>
      <c r="M131" s="262"/>
      <c r="N131" s="656"/>
      <c r="O131" s="227"/>
      <c r="T131" s="227"/>
    </row>
    <row r="132" spans="1:20" x14ac:dyDescent="0.25">
      <c r="A132" s="227"/>
      <c r="B132" s="190"/>
      <c r="C132" s="262"/>
      <c r="D132" s="262"/>
      <c r="E132" s="262"/>
      <c r="F132" s="262"/>
      <c r="G132" s="262"/>
      <c r="H132" s="262"/>
      <c r="I132" s="262"/>
      <c r="J132" s="526"/>
      <c r="K132" s="227"/>
      <c r="L132" s="227"/>
      <c r="M132" s="262"/>
      <c r="N132" s="656"/>
      <c r="O132" s="262"/>
      <c r="T132" s="227"/>
    </row>
    <row r="133" spans="1:20" x14ac:dyDescent="0.25">
      <c r="A133" s="227"/>
      <c r="B133" s="527" t="s">
        <v>54</v>
      </c>
      <c r="C133" s="527" t="s">
        <v>257</v>
      </c>
      <c r="D133" s="527" t="s">
        <v>29</v>
      </c>
      <c r="E133" s="526"/>
      <c r="F133" s="262"/>
      <c r="G133" s="262"/>
      <c r="H133" s="262"/>
      <c r="I133" s="526"/>
      <c r="J133" s="191"/>
      <c r="K133" s="227"/>
      <c r="L133" s="227"/>
      <c r="M133" s="227"/>
      <c r="O133" s="262"/>
      <c r="T133" s="227"/>
    </row>
    <row r="134" spans="1:20" x14ac:dyDescent="0.25">
      <c r="A134" s="227"/>
      <c r="B134" s="653" t="s">
        <v>1984</v>
      </c>
      <c r="C134" s="664">
        <f>'EFLH &amp; CF'!I53</f>
        <v>2594</v>
      </c>
      <c r="D134" s="665">
        <f>'EFLH &amp; CF'!M53</f>
        <v>0.38</v>
      </c>
      <c r="E134" s="191"/>
      <c r="F134" s="262"/>
      <c r="G134" s="262"/>
      <c r="H134" s="262"/>
      <c r="I134" s="191"/>
      <c r="J134" s="191"/>
      <c r="K134" s="227"/>
      <c r="L134" s="227"/>
      <c r="M134" s="227"/>
      <c r="O134" s="227"/>
      <c r="T134" s="227"/>
    </row>
    <row r="135" spans="1:20" x14ac:dyDescent="0.25">
      <c r="A135" s="227"/>
      <c r="B135" s="653" t="s">
        <v>221</v>
      </c>
      <c r="C135" s="664" t="str">
        <f>'EFLH &amp; CF'!I54</f>
        <v>Varies</v>
      </c>
      <c r="D135" s="665" t="str">
        <f>'EFLH &amp; CF'!M54</f>
        <v>Varies</v>
      </c>
      <c r="E135" s="191"/>
      <c r="F135" s="262"/>
      <c r="G135" s="262"/>
      <c r="H135" s="262"/>
      <c r="I135" s="191"/>
      <c r="J135" s="191"/>
      <c r="K135" s="227"/>
      <c r="L135" s="227"/>
      <c r="M135" s="227"/>
      <c r="O135" s="227"/>
      <c r="T135" s="227"/>
    </row>
    <row r="136" spans="1:20" x14ac:dyDescent="0.25">
      <c r="A136" s="227"/>
      <c r="B136" s="653" t="s">
        <v>222</v>
      </c>
      <c r="C136" s="664">
        <f>'EFLH &amp; CF'!I55</f>
        <v>2549</v>
      </c>
      <c r="D136" s="665">
        <f>'EFLH &amp; CF'!M55</f>
        <v>0.43</v>
      </c>
      <c r="E136" s="191"/>
      <c r="F136" s="262"/>
      <c r="G136" s="262"/>
      <c r="H136" s="262"/>
      <c r="I136" s="191"/>
      <c r="J136" s="191"/>
      <c r="K136" s="227"/>
      <c r="L136" s="227"/>
      <c r="M136" s="227"/>
      <c r="O136" s="227"/>
      <c r="T136" s="227"/>
    </row>
    <row r="137" spans="1:20" x14ac:dyDescent="0.25">
      <c r="A137" s="227"/>
      <c r="B137" s="653" t="s">
        <v>223</v>
      </c>
      <c r="C137" s="664">
        <f>'EFLH &amp; CF'!I56</f>
        <v>1531</v>
      </c>
      <c r="D137" s="665">
        <f>'EFLH &amp; CF'!M56</f>
        <v>0.27</v>
      </c>
      <c r="E137" s="191"/>
      <c r="F137" s="262"/>
      <c r="G137" s="262"/>
      <c r="H137" s="262"/>
      <c r="I137" s="191"/>
      <c r="J137" s="191"/>
      <c r="K137" s="227"/>
      <c r="L137" s="227"/>
      <c r="M137" s="227"/>
      <c r="O137" s="227"/>
      <c r="T137" s="227"/>
    </row>
    <row r="138" spans="1:20" x14ac:dyDescent="0.25">
      <c r="A138" s="227"/>
      <c r="B138" s="653" t="s">
        <v>224</v>
      </c>
      <c r="C138" s="664">
        <f>'EFLH &amp; CF'!I57</f>
        <v>4891</v>
      </c>
      <c r="D138" s="665">
        <f>'EFLH &amp; CF'!M57</f>
        <v>0.55000000000000004</v>
      </c>
      <c r="E138" s="191"/>
      <c r="F138" s="262"/>
      <c r="G138" s="262"/>
      <c r="H138" s="262"/>
      <c r="I138" s="191"/>
      <c r="J138" s="191"/>
      <c r="K138" s="227"/>
      <c r="L138" s="227"/>
      <c r="M138" s="227"/>
      <c r="O138" s="227"/>
      <c r="T138" s="227"/>
    </row>
    <row r="139" spans="1:20" x14ac:dyDescent="0.25">
      <c r="A139" s="227"/>
      <c r="B139" s="653" t="s">
        <v>225</v>
      </c>
      <c r="C139" s="664">
        <f>'EFLH &amp; CF'!I58</f>
        <v>4910</v>
      </c>
      <c r="D139" s="665">
        <f>'EFLH &amp; CF'!M58</f>
        <v>0.6</v>
      </c>
      <c r="E139" s="191"/>
      <c r="F139" s="262"/>
      <c r="G139" s="262"/>
      <c r="H139" s="262"/>
      <c r="I139" s="191"/>
      <c r="J139" s="191"/>
      <c r="K139" s="227"/>
      <c r="L139" s="227"/>
      <c r="M139" s="227"/>
      <c r="O139" s="227"/>
      <c r="T139" s="227"/>
    </row>
    <row r="140" spans="1:20" x14ac:dyDescent="0.25">
      <c r="A140" s="227"/>
      <c r="B140" s="653" t="s">
        <v>226</v>
      </c>
      <c r="C140" s="664" t="str">
        <f>'EFLH &amp; CF'!I59</f>
        <v>Varies</v>
      </c>
      <c r="D140" s="665" t="str">
        <f>'EFLH &amp; CF'!M59</f>
        <v>Varies</v>
      </c>
      <c r="E140" s="191"/>
      <c r="F140" s="262"/>
      <c r="G140" s="262"/>
      <c r="H140" s="262"/>
      <c r="I140" s="191"/>
      <c r="J140" s="191"/>
      <c r="K140" s="227"/>
      <c r="L140" s="227"/>
      <c r="M140" s="227"/>
      <c r="O140" s="227"/>
      <c r="T140" s="227"/>
    </row>
    <row r="141" spans="1:20" x14ac:dyDescent="0.25">
      <c r="A141" s="227"/>
      <c r="B141" s="653" t="s">
        <v>55</v>
      </c>
      <c r="C141" s="664">
        <f>'EFLH &amp; CF'!I60</f>
        <v>2754</v>
      </c>
      <c r="D141" s="665">
        <f>'EFLH &amp; CF'!M60</f>
        <v>0.48</v>
      </c>
      <c r="E141" s="191"/>
      <c r="F141" s="262"/>
      <c r="G141" s="262"/>
      <c r="H141" s="262"/>
      <c r="I141" s="191"/>
      <c r="J141" s="191"/>
      <c r="K141" s="227"/>
      <c r="L141" s="227"/>
      <c r="M141" s="227"/>
      <c r="O141" s="227"/>
      <c r="T141" s="227"/>
    </row>
    <row r="142" spans="1:20" x14ac:dyDescent="0.25">
      <c r="A142" s="227"/>
      <c r="B142" s="653" t="s">
        <v>227</v>
      </c>
      <c r="C142" s="664">
        <f>'EFLH &amp; CF'!I61</f>
        <v>2451</v>
      </c>
      <c r="D142" s="665">
        <f>'EFLH &amp; CF'!M61</f>
        <v>0.4</v>
      </c>
      <c r="E142" s="191"/>
      <c r="F142" s="262"/>
      <c r="G142" s="262"/>
      <c r="H142" s="262"/>
      <c r="I142" s="191"/>
      <c r="J142" s="191"/>
      <c r="K142" s="227"/>
      <c r="L142" s="227"/>
      <c r="M142" s="227"/>
      <c r="O142" s="227"/>
      <c r="T142" s="227"/>
    </row>
    <row r="143" spans="1:20" x14ac:dyDescent="0.25">
      <c r="A143" s="227"/>
      <c r="B143" s="653" t="s">
        <v>228</v>
      </c>
      <c r="C143" s="664">
        <f>'EFLH &amp; CF'!I62</f>
        <v>1913</v>
      </c>
      <c r="D143" s="665">
        <f>'EFLH &amp; CF'!M62</f>
        <v>0.28999999999999998</v>
      </c>
      <c r="E143" s="191"/>
      <c r="F143" s="262"/>
      <c r="G143" s="262"/>
      <c r="H143" s="262"/>
      <c r="I143" s="191"/>
      <c r="J143" s="191"/>
      <c r="K143" s="227"/>
      <c r="L143" s="227"/>
      <c r="M143" s="227"/>
      <c r="O143" s="227"/>
      <c r="T143" s="227"/>
    </row>
    <row r="144" spans="1:20" x14ac:dyDescent="0.25">
      <c r="A144" s="227"/>
      <c r="B144" s="653" t="s">
        <v>229</v>
      </c>
      <c r="C144" s="664">
        <f>'EFLH &amp; CF'!I63</f>
        <v>1033</v>
      </c>
      <c r="D144" s="665">
        <f>'EFLH &amp; CF'!M63</f>
        <v>0.01</v>
      </c>
      <c r="E144" s="191"/>
      <c r="F144" s="262"/>
      <c r="G144" s="262"/>
      <c r="H144" s="262"/>
      <c r="I144" s="191"/>
      <c r="J144" s="227"/>
      <c r="K144" s="227"/>
      <c r="L144" s="227"/>
      <c r="M144" s="227"/>
      <c r="O144" s="227"/>
      <c r="T144" s="227"/>
    </row>
    <row r="145" spans="1:20" x14ac:dyDescent="0.25">
      <c r="A145" s="227"/>
      <c r="B145" s="227"/>
      <c r="C145" s="227"/>
      <c r="D145" s="227"/>
      <c r="E145" s="227"/>
      <c r="F145" s="262"/>
      <c r="G145" s="262"/>
      <c r="H145" s="262"/>
      <c r="I145" s="227"/>
      <c r="J145" s="227"/>
      <c r="K145" s="227"/>
      <c r="L145" s="227"/>
      <c r="M145" s="227"/>
      <c r="O145" s="227"/>
      <c r="S145" s="262"/>
      <c r="T145" s="262"/>
    </row>
    <row r="146" spans="1:20" x14ac:dyDescent="0.25">
      <c r="A146" s="227"/>
      <c r="B146" s="227"/>
      <c r="C146" s="227"/>
      <c r="D146" s="227"/>
      <c r="E146" s="227"/>
      <c r="F146" s="262"/>
      <c r="G146" s="262"/>
      <c r="H146" s="262"/>
      <c r="I146" s="227"/>
      <c r="J146" s="227"/>
      <c r="K146" s="227"/>
      <c r="L146" s="227"/>
      <c r="M146" s="227"/>
      <c r="O146" s="227"/>
      <c r="Q146" s="262"/>
      <c r="R146" s="262"/>
      <c r="S146" s="262"/>
      <c r="T146" s="262"/>
    </row>
    <row r="147" spans="1:20" x14ac:dyDescent="0.25">
      <c r="A147" s="227"/>
      <c r="B147" s="227"/>
      <c r="C147" s="227"/>
      <c r="D147" s="227"/>
      <c r="E147" s="227"/>
      <c r="F147" s="227"/>
      <c r="G147" s="227"/>
      <c r="H147" s="227"/>
      <c r="I147" s="227"/>
      <c r="J147" s="227"/>
      <c r="K147" s="227"/>
      <c r="L147" s="227"/>
      <c r="M147" s="227"/>
      <c r="O147" s="227"/>
      <c r="Q147" s="262"/>
      <c r="R147" s="262"/>
      <c r="T147" s="227"/>
    </row>
    <row r="148" spans="1:20" x14ac:dyDescent="0.25">
      <c r="A148" s="227"/>
      <c r="B148" s="227"/>
      <c r="C148" s="227"/>
      <c r="D148" s="227"/>
      <c r="E148" s="227"/>
      <c r="F148" s="227"/>
      <c r="G148" s="227"/>
      <c r="H148" s="227"/>
      <c r="I148" s="227"/>
      <c r="J148" s="227"/>
      <c r="K148" s="227"/>
      <c r="L148" s="227"/>
      <c r="M148" s="227"/>
      <c r="O148" s="227"/>
      <c r="T148" s="227"/>
    </row>
    <row r="149" spans="1:20" x14ac:dyDescent="0.25">
      <c r="A149" s="227"/>
      <c r="B149" s="227"/>
      <c r="C149" s="477"/>
      <c r="D149" s="477"/>
      <c r="E149" s="477"/>
      <c r="F149" s="477"/>
      <c r="G149" s="477"/>
      <c r="H149" s="477"/>
      <c r="I149" s="477"/>
      <c r="J149" s="477"/>
      <c r="K149" s="477"/>
      <c r="L149" s="477"/>
      <c r="M149" s="477"/>
      <c r="N149" s="662"/>
      <c r="O149" s="227"/>
      <c r="T149" s="227"/>
    </row>
    <row r="150" spans="1:20" x14ac:dyDescent="0.25">
      <c r="A150" s="227"/>
      <c r="B150" s="227"/>
      <c r="C150" s="263"/>
      <c r="D150" s="263"/>
      <c r="E150" s="263"/>
      <c r="F150" s="263"/>
      <c r="G150" s="263"/>
      <c r="H150" s="263"/>
      <c r="I150" s="263"/>
      <c r="J150" s="263"/>
      <c r="K150" s="263"/>
      <c r="L150" s="263"/>
      <c r="M150" s="478"/>
      <c r="N150" s="663"/>
      <c r="O150" s="477"/>
      <c r="T150" s="227"/>
    </row>
    <row r="151" spans="1:20" x14ac:dyDescent="0.25">
      <c r="A151" s="227"/>
      <c r="B151" s="227"/>
      <c r="C151" s="263"/>
      <c r="D151" s="263"/>
      <c r="E151" s="263"/>
      <c r="F151" s="263"/>
      <c r="G151" s="263"/>
      <c r="H151" s="263"/>
      <c r="I151" s="263"/>
      <c r="J151" s="263"/>
      <c r="K151" s="263"/>
      <c r="L151" s="263"/>
      <c r="M151" s="478"/>
      <c r="N151" s="663"/>
      <c r="O151" s="478"/>
      <c r="T151" s="227"/>
    </row>
    <row r="152" spans="1:20" x14ac:dyDescent="0.25">
      <c r="A152" s="227"/>
      <c r="B152" s="227"/>
      <c r="C152" s="263"/>
      <c r="D152" s="263"/>
      <c r="E152" s="263"/>
      <c r="F152" s="263"/>
      <c r="G152" s="263"/>
      <c r="H152" s="263"/>
      <c r="I152" s="263"/>
      <c r="J152" s="263"/>
      <c r="K152" s="263"/>
      <c r="L152" s="263"/>
      <c r="M152" s="478"/>
      <c r="N152" s="663"/>
      <c r="O152" s="478"/>
      <c r="T152" s="227"/>
    </row>
    <row r="153" spans="1:20" x14ac:dyDescent="0.25">
      <c r="A153" s="227"/>
      <c r="B153" s="227"/>
      <c r="C153" s="263"/>
      <c r="D153" s="263"/>
      <c r="E153" s="263"/>
      <c r="F153" s="263"/>
      <c r="G153" s="263"/>
      <c r="H153" s="263"/>
      <c r="I153" s="263"/>
      <c r="J153" s="263"/>
      <c r="K153" s="263"/>
      <c r="L153" s="263"/>
      <c r="M153" s="478"/>
      <c r="N153" s="663"/>
      <c r="O153" s="478"/>
      <c r="T153" s="227"/>
    </row>
    <row r="154" spans="1:20" x14ac:dyDescent="0.25">
      <c r="A154" s="227"/>
      <c r="B154" s="227"/>
      <c r="C154" s="263"/>
      <c r="D154" s="263"/>
      <c r="E154" s="263"/>
      <c r="F154" s="263"/>
      <c r="G154" s="263"/>
      <c r="H154" s="263"/>
      <c r="I154" s="263"/>
      <c r="J154" s="263"/>
      <c r="K154" s="263"/>
      <c r="L154" s="263"/>
      <c r="M154" s="478"/>
      <c r="N154" s="663"/>
      <c r="O154" s="478"/>
      <c r="P154" s="477"/>
      <c r="T154" s="227"/>
    </row>
    <row r="155" spans="1:20" x14ac:dyDescent="0.25">
      <c r="A155" s="227"/>
      <c r="B155" s="227"/>
      <c r="C155" s="263"/>
      <c r="D155" s="263"/>
      <c r="E155" s="263"/>
      <c r="F155" s="263"/>
      <c r="G155" s="263"/>
      <c r="H155" s="263"/>
      <c r="I155" s="263"/>
      <c r="J155" s="263"/>
      <c r="K155" s="263"/>
      <c r="L155" s="263"/>
      <c r="M155" s="478"/>
      <c r="N155" s="663"/>
      <c r="O155" s="478"/>
      <c r="P155" s="478"/>
      <c r="T155" s="227"/>
    </row>
    <row r="156" spans="1:20" x14ac:dyDescent="0.25">
      <c r="A156" s="227"/>
      <c r="B156" s="227"/>
      <c r="C156" s="263"/>
      <c r="D156" s="263"/>
      <c r="E156" s="263"/>
      <c r="F156" s="263"/>
      <c r="G156" s="263"/>
      <c r="H156" s="263"/>
      <c r="I156" s="263"/>
      <c r="J156" s="263"/>
      <c r="K156" s="263"/>
      <c r="L156" s="263"/>
      <c r="M156" s="478"/>
      <c r="N156" s="663"/>
      <c r="O156" s="478"/>
      <c r="P156" s="478"/>
      <c r="T156" s="227"/>
    </row>
    <row r="157" spans="1:20" x14ac:dyDescent="0.25">
      <c r="A157" s="227"/>
      <c r="B157" s="227"/>
      <c r="C157" s="263"/>
      <c r="D157" s="263"/>
      <c r="E157" s="263"/>
      <c r="F157" s="263"/>
      <c r="G157" s="263"/>
      <c r="H157" s="263"/>
      <c r="I157" s="263"/>
      <c r="J157" s="263"/>
      <c r="K157" s="263"/>
      <c r="L157" s="263"/>
      <c r="M157" s="478"/>
      <c r="N157" s="663"/>
      <c r="O157" s="478"/>
      <c r="P157" s="478"/>
      <c r="T157" s="227"/>
    </row>
    <row r="158" spans="1:20" x14ac:dyDescent="0.25">
      <c r="A158" s="227"/>
      <c r="B158" s="227"/>
      <c r="C158" s="263"/>
      <c r="D158" s="263"/>
      <c r="E158" s="263"/>
      <c r="F158" s="263"/>
      <c r="G158" s="263"/>
      <c r="H158" s="263"/>
      <c r="I158" s="263"/>
      <c r="J158" s="263"/>
      <c r="K158" s="263"/>
      <c r="L158" s="263"/>
      <c r="M158" s="478"/>
      <c r="N158" s="663"/>
      <c r="O158" s="478"/>
      <c r="P158" s="478"/>
      <c r="T158" s="227"/>
    </row>
    <row r="159" spans="1:20" x14ac:dyDescent="0.25">
      <c r="A159" s="227"/>
      <c r="B159" s="227"/>
      <c r="C159" s="263"/>
      <c r="D159" s="263"/>
      <c r="E159" s="263"/>
      <c r="F159" s="263"/>
      <c r="G159" s="263"/>
      <c r="H159" s="263"/>
      <c r="I159" s="263"/>
      <c r="J159" s="263"/>
      <c r="K159" s="263"/>
      <c r="L159" s="263"/>
      <c r="M159" s="478"/>
      <c r="N159" s="663"/>
      <c r="O159" s="478"/>
      <c r="P159" s="478"/>
      <c r="T159" s="227"/>
    </row>
    <row r="160" spans="1:20" x14ac:dyDescent="0.25">
      <c r="A160" s="227"/>
      <c r="B160" s="227"/>
      <c r="C160" s="263"/>
      <c r="D160" s="263"/>
      <c r="E160" s="263"/>
      <c r="F160" s="263"/>
      <c r="G160" s="263"/>
      <c r="H160" s="263"/>
      <c r="I160" s="263"/>
      <c r="J160" s="263"/>
      <c r="K160" s="263"/>
      <c r="L160" s="263"/>
      <c r="M160" s="478"/>
      <c r="N160" s="663"/>
      <c r="O160" s="478"/>
      <c r="P160" s="478"/>
      <c r="T160" s="227"/>
    </row>
    <row r="161" spans="1:20" x14ac:dyDescent="0.25">
      <c r="A161" s="227"/>
      <c r="B161" s="227"/>
      <c r="C161" s="227"/>
      <c r="D161" s="227"/>
      <c r="E161" s="227"/>
      <c r="F161" s="227"/>
      <c r="G161" s="227"/>
      <c r="H161" s="227"/>
      <c r="I161" s="227"/>
      <c r="J161" s="227"/>
      <c r="K161" s="227"/>
      <c r="L161" s="227"/>
      <c r="M161" s="227"/>
      <c r="O161" s="478"/>
      <c r="P161" s="478"/>
      <c r="T161" s="227"/>
    </row>
    <row r="162" spans="1:20" x14ac:dyDescent="0.25">
      <c r="A162" s="227"/>
      <c r="B162" s="227"/>
      <c r="C162" s="227"/>
      <c r="D162" s="227"/>
      <c r="E162" s="227"/>
      <c r="F162" s="227"/>
      <c r="G162" s="227"/>
      <c r="H162" s="227"/>
      <c r="I162" s="227"/>
      <c r="J162" s="227"/>
      <c r="K162" s="227"/>
      <c r="L162" s="227"/>
      <c r="M162" s="227"/>
      <c r="O162" s="227"/>
      <c r="P162" s="478"/>
      <c r="T162" s="227"/>
    </row>
    <row r="163" spans="1:20" x14ac:dyDescent="0.25">
      <c r="O163" s="227"/>
      <c r="P163" s="478"/>
      <c r="Q163" s="477"/>
      <c r="R163" s="477"/>
      <c r="S163" s="477"/>
      <c r="T163" s="477"/>
    </row>
    <row r="164" spans="1:20" x14ac:dyDescent="0.25">
      <c r="P164" s="478"/>
      <c r="Q164" s="478"/>
      <c r="R164" s="478"/>
      <c r="S164" s="478"/>
      <c r="T164" s="478"/>
    </row>
    <row r="165" spans="1:20" x14ac:dyDescent="0.25">
      <c r="P165" s="478"/>
      <c r="Q165" s="478"/>
      <c r="R165" s="478"/>
      <c r="S165" s="478"/>
      <c r="T165" s="478"/>
    </row>
    <row r="166" spans="1:20" x14ac:dyDescent="0.25">
      <c r="Q166" s="478"/>
      <c r="R166" s="478"/>
      <c r="S166" s="478"/>
      <c r="T166" s="478"/>
    </row>
    <row r="167" spans="1:20" x14ac:dyDescent="0.25">
      <c r="Q167" s="478"/>
      <c r="R167" s="478"/>
      <c r="S167" s="478"/>
      <c r="T167" s="478"/>
    </row>
    <row r="168" spans="1:20" x14ac:dyDescent="0.25">
      <c r="Q168" s="478"/>
      <c r="R168" s="478"/>
      <c r="S168" s="478"/>
      <c r="T168" s="478"/>
    </row>
    <row r="169" spans="1:20" x14ac:dyDescent="0.25">
      <c r="Q169" s="478"/>
      <c r="R169" s="478"/>
      <c r="S169" s="478"/>
      <c r="T169" s="478"/>
    </row>
    <row r="170" spans="1:20" x14ac:dyDescent="0.25">
      <c r="Q170" s="478"/>
      <c r="R170" s="478"/>
      <c r="S170" s="478"/>
      <c r="T170" s="478"/>
    </row>
    <row r="171" spans="1:20" x14ac:dyDescent="0.25">
      <c r="Q171" s="478"/>
      <c r="R171" s="478"/>
      <c r="S171" s="478"/>
      <c r="T171" s="478"/>
    </row>
    <row r="172" spans="1:20" x14ac:dyDescent="0.25">
      <c r="Q172" s="478"/>
      <c r="R172" s="478"/>
      <c r="S172" s="478"/>
      <c r="T172" s="478"/>
    </row>
    <row r="173" spans="1:20" x14ac:dyDescent="0.25">
      <c r="Q173" s="478"/>
      <c r="R173" s="478"/>
      <c r="S173" s="478"/>
      <c r="T173" s="478"/>
    </row>
    <row r="174" spans="1:20" x14ac:dyDescent="0.25">
      <c r="Q174" s="478"/>
      <c r="R174" s="478"/>
      <c r="S174" s="478"/>
      <c r="T174" s="478"/>
    </row>
    <row r="175" spans="1:20" x14ac:dyDescent="0.25">
      <c r="T175" s="227"/>
    </row>
    <row r="176" spans="1:20" x14ac:dyDescent="0.25">
      <c r="T176" s="227"/>
    </row>
  </sheetData>
  <sheetProtection algorithmName="SHA-512" hashValue="CyL+gaFW3NvpSxz9ajOVHKV0Lk9ZKZRPSqbd99LhnDyieUrcrLwVDR0U5x4xfi625zAq0pYHxB3kcko4H2MsSg==" saltValue="F09ptx5DviZRyilwYIW68g==" spinCount="100000" sheet="1" objects="1" scenarios="1"/>
  <mergeCells count="19">
    <mergeCell ref="B55:B56"/>
    <mergeCell ref="C55:C56"/>
    <mergeCell ref="D55:E55"/>
    <mergeCell ref="B93:B94"/>
    <mergeCell ref="C93:C94"/>
    <mergeCell ref="D93:E93"/>
    <mergeCell ref="F4:G4"/>
    <mergeCell ref="J4:K4"/>
    <mergeCell ref="K6:L6"/>
    <mergeCell ref="K7:L7"/>
    <mergeCell ref="K8:L8"/>
    <mergeCell ref="G9:H9"/>
    <mergeCell ref="K9:L9"/>
    <mergeCell ref="K10:L10"/>
    <mergeCell ref="K11:L11"/>
    <mergeCell ref="B17:B18"/>
    <mergeCell ref="C17:C18"/>
    <mergeCell ref="D17:E17"/>
    <mergeCell ref="B11:B13"/>
  </mergeCells>
  <conditionalFormatting sqref="H6:H7">
    <cfRule type="containsText" dxfId="13" priority="3" operator="containsText" text="Fail">
      <formula>NOT(ISERROR(SEARCH("Fail",H6)))</formula>
    </cfRule>
    <cfRule type="containsText" dxfId="12" priority="4" operator="containsText" text="Pass">
      <formula>NOT(ISERROR(SEARCH("Pass",H6)))</formula>
    </cfRule>
  </conditionalFormatting>
  <conditionalFormatting sqref="G6:G7">
    <cfRule type="containsText" dxfId="11" priority="1" operator="containsText" text="Fail">
      <formula>NOT(ISERROR(SEARCH("Fail",G6)))</formula>
    </cfRule>
    <cfRule type="containsText" dxfId="10" priority="2" operator="containsText" text="Pass">
      <formula>NOT(ISERROR(SEARCH("Pass",G6)))</formula>
    </cfRule>
  </conditionalFormatting>
  <dataValidations count="2">
    <dataValidation type="list" allowBlank="1" showInputMessage="1" showErrorMessage="1" sqref="C6" xr:uid="{C3C5723B-C319-4B20-BF43-27975289F8F6}">
      <formula1>$Q$4:$Q$19</formula1>
    </dataValidation>
    <dataValidation type="list" allowBlank="1" showInputMessage="1" showErrorMessage="1" sqref="C8" xr:uid="{CCF9B61C-6576-410A-807E-B97695168CED}">
      <formula1>$B$134:$B$144</formula1>
    </dataValidation>
  </dataValidations>
  <hyperlinks>
    <hyperlink ref="A2" location="TOC!A1" display="Return to TOC" xr:uid="{7E7A83E7-0562-408D-8CCB-6EEAD4A6CA15}"/>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pageSetUpPr autoPageBreaks="0"/>
  </sheetPr>
  <dimension ref="A1:AF124"/>
  <sheetViews>
    <sheetView workbookViewId="0">
      <selection sqref="A1:AF1"/>
    </sheetView>
  </sheetViews>
  <sheetFormatPr defaultColWidth="2.7109375" defaultRowHeight="15" x14ac:dyDescent="0.25"/>
  <cols>
    <col min="1" max="32" width="2.7109375" style="341"/>
  </cols>
  <sheetData>
    <row r="1" spans="1:32" ht="18.75" x14ac:dyDescent="0.25">
      <c r="A1" s="2039" t="s">
        <v>3544</v>
      </c>
      <c r="B1" s="2039"/>
      <c r="C1" s="2039"/>
      <c r="D1" s="2039"/>
      <c r="E1" s="2039"/>
      <c r="F1" s="2039"/>
      <c r="G1" s="2039"/>
      <c r="H1" s="2039"/>
      <c r="I1" s="2039"/>
      <c r="J1" s="2039"/>
      <c r="K1" s="2039"/>
      <c r="L1" s="2039"/>
      <c r="M1" s="2039"/>
      <c r="N1" s="2039"/>
      <c r="O1" s="2039"/>
      <c r="P1" s="2039"/>
      <c r="Q1" s="2039"/>
      <c r="R1" s="2039"/>
      <c r="S1" s="2039"/>
      <c r="T1" s="2039"/>
      <c r="U1" s="2039"/>
      <c r="V1" s="2039"/>
      <c r="W1" s="2039"/>
      <c r="X1" s="2039"/>
      <c r="Y1" s="2039"/>
      <c r="Z1" s="2039"/>
      <c r="AA1" s="2039"/>
      <c r="AB1" s="2039"/>
      <c r="AC1" s="2039"/>
      <c r="AD1" s="2039"/>
      <c r="AE1" s="2039"/>
      <c r="AF1" s="2039"/>
    </row>
    <row r="2" spans="1:32" ht="18.75" x14ac:dyDescent="0.25">
      <c r="A2" s="376" t="s">
        <v>1702</v>
      </c>
      <c r="B2" s="542"/>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row>
    <row r="3" spans="1:32"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44.25" customHeight="1" x14ac:dyDescent="0.25">
      <c r="A5" s="262"/>
      <c r="B5" s="1151" t="s">
        <v>4649</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x14ac:dyDescent="0.25">
      <c r="A6" s="376"/>
      <c r="B6"/>
      <c r="C6"/>
      <c r="D6"/>
      <c r="E6"/>
      <c r="F6"/>
      <c r="G6"/>
      <c r="H6"/>
      <c r="I6"/>
      <c r="J6"/>
      <c r="K6"/>
      <c r="L6"/>
      <c r="M6"/>
      <c r="N6"/>
      <c r="O6"/>
      <c r="P6"/>
      <c r="Q6"/>
      <c r="R6"/>
      <c r="S6"/>
      <c r="T6"/>
      <c r="U6"/>
      <c r="V6"/>
      <c r="W6"/>
      <c r="X6"/>
      <c r="Y6"/>
      <c r="Z6"/>
      <c r="AA6"/>
      <c r="AB6"/>
      <c r="AC6"/>
      <c r="AD6"/>
      <c r="AE6"/>
      <c r="AF6"/>
    </row>
    <row r="7" spans="1:32" x14ac:dyDescent="0.25">
      <c r="A7" s="2040" t="s">
        <v>9</v>
      </c>
      <c r="B7" s="2040"/>
      <c r="C7" s="2040"/>
      <c r="D7" s="2040"/>
      <c r="E7" s="2040"/>
      <c r="F7" s="2040"/>
      <c r="G7" s="2040"/>
      <c r="H7" s="2040"/>
      <c r="I7" s="2040"/>
      <c r="J7" s="2040"/>
      <c r="K7" s="2040"/>
      <c r="L7" s="2040"/>
      <c r="M7" s="2040"/>
      <c r="N7" s="2040"/>
      <c r="O7" s="2040"/>
      <c r="P7" s="2040"/>
      <c r="Q7" s="2040"/>
      <c r="R7" s="2040"/>
      <c r="S7" s="2040"/>
      <c r="T7" s="2040"/>
      <c r="U7" s="2040"/>
      <c r="V7" s="2040"/>
      <c r="W7" s="2040"/>
      <c r="X7" s="2040"/>
      <c r="Y7" s="2040"/>
      <c r="Z7" s="2040"/>
      <c r="AA7" s="2040"/>
      <c r="AB7" s="2040"/>
      <c r="AC7" s="2040"/>
      <c r="AD7" s="2040"/>
      <c r="AE7" s="2040"/>
      <c r="AF7" s="2040"/>
    </row>
    <row r="8" spans="1:32" x14ac:dyDescent="0.25">
      <c r="A8" s="543"/>
      <c r="B8" s="543"/>
      <c r="C8" s="543"/>
      <c r="D8" s="543"/>
      <c r="E8" s="543"/>
      <c r="F8" s="543"/>
      <c r="G8" s="543"/>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row>
    <row r="9" spans="1:32" x14ac:dyDescent="0.25">
      <c r="A9" s="544"/>
      <c r="B9" s="2034" t="s">
        <v>10</v>
      </c>
      <c r="C9" s="2034"/>
      <c r="D9" s="2034"/>
      <c r="E9" s="2034"/>
      <c r="F9" s="2034"/>
      <c r="G9" s="2034"/>
      <c r="H9" s="2034"/>
      <c r="I9" s="2034"/>
      <c r="J9" s="544"/>
      <c r="K9" s="544"/>
      <c r="L9" s="544"/>
      <c r="M9" s="544"/>
      <c r="N9" s="544"/>
      <c r="O9" s="544"/>
      <c r="P9" s="544"/>
      <c r="Q9" s="544"/>
      <c r="R9" s="544"/>
      <c r="S9" s="544"/>
      <c r="T9" s="544"/>
      <c r="U9" s="544"/>
      <c r="V9" s="544"/>
      <c r="W9" s="544"/>
      <c r="X9" s="544"/>
      <c r="Y9" s="544"/>
      <c r="Z9" s="544"/>
      <c r="AA9" s="544"/>
      <c r="AB9" s="544"/>
      <c r="AC9" s="544"/>
      <c r="AD9" s="544"/>
      <c r="AE9" s="544"/>
      <c r="AF9" s="544"/>
    </row>
    <row r="10" spans="1:32" ht="60" customHeight="1" x14ac:dyDescent="0.25">
      <c r="A10" s="545"/>
      <c r="B10" s="2035" t="s">
        <v>3734</v>
      </c>
      <c r="C10" s="2036"/>
      <c r="D10" s="2036"/>
      <c r="E10" s="2036"/>
      <c r="F10" s="2036"/>
      <c r="G10" s="2036"/>
      <c r="H10" s="2036"/>
      <c r="I10" s="2036"/>
      <c r="J10" s="2036"/>
      <c r="K10" s="2036"/>
      <c r="L10" s="2036"/>
      <c r="M10" s="2036"/>
      <c r="N10" s="2036"/>
      <c r="O10" s="2036"/>
      <c r="P10" s="2036"/>
      <c r="Q10" s="2036"/>
      <c r="R10" s="2036"/>
      <c r="S10" s="2036"/>
      <c r="T10" s="2036"/>
      <c r="U10" s="2036"/>
      <c r="V10" s="2036"/>
      <c r="W10" s="2036"/>
      <c r="X10" s="2036"/>
      <c r="Y10" s="2036"/>
      <c r="Z10" s="2036"/>
      <c r="AA10" s="2036"/>
      <c r="AB10" s="2036"/>
      <c r="AC10" s="2036"/>
      <c r="AD10" s="2036"/>
      <c r="AE10" s="2036"/>
      <c r="AF10" s="2036"/>
    </row>
    <row r="11" spans="1:32" x14ac:dyDescent="0.25">
      <c r="A11" s="544"/>
      <c r="B11" s="544"/>
      <c r="C11" s="544"/>
      <c r="D11" s="544"/>
      <c r="E11" s="544"/>
      <c r="F11" s="544"/>
      <c r="G11" s="544"/>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row>
    <row r="12" spans="1:32" x14ac:dyDescent="0.25">
      <c r="A12" s="544"/>
      <c r="B12" s="2034" t="s">
        <v>11</v>
      </c>
      <c r="C12" s="2034"/>
      <c r="D12" s="2034"/>
      <c r="E12" s="2034"/>
      <c r="F12" s="2034"/>
      <c r="G12" s="2034"/>
      <c r="H12" s="2034"/>
      <c r="I12" s="203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row>
    <row r="13" spans="1:32" ht="46.5" customHeight="1" x14ac:dyDescent="0.25">
      <c r="A13" s="544"/>
      <c r="B13" s="2035" t="s">
        <v>3506</v>
      </c>
      <c r="C13" s="2036"/>
      <c r="D13" s="2036"/>
      <c r="E13" s="2036"/>
      <c r="F13" s="2036"/>
      <c r="G13" s="2036"/>
      <c r="H13" s="2036"/>
      <c r="I13" s="2036"/>
      <c r="J13" s="2036"/>
      <c r="K13" s="2036"/>
      <c r="L13" s="2036"/>
      <c r="M13" s="2036"/>
      <c r="N13" s="2036"/>
      <c r="O13" s="2036"/>
      <c r="P13" s="2036"/>
      <c r="Q13" s="2036"/>
      <c r="R13" s="2036"/>
      <c r="S13" s="2036"/>
      <c r="T13" s="2036"/>
      <c r="U13" s="2036"/>
      <c r="V13" s="2036"/>
      <c r="W13" s="2036"/>
      <c r="X13" s="2036"/>
      <c r="Y13" s="2036"/>
      <c r="Z13" s="2036"/>
      <c r="AA13" s="2036"/>
      <c r="AB13" s="2036"/>
      <c r="AC13" s="2036"/>
      <c r="AD13" s="2036"/>
      <c r="AE13" s="2036"/>
      <c r="AF13" s="2036"/>
    </row>
    <row r="14" spans="1:32" x14ac:dyDescent="0.25">
      <c r="A14" s="544"/>
      <c r="B14" s="544"/>
      <c r="C14" s="544"/>
      <c r="D14" s="544"/>
      <c r="E14" s="544"/>
      <c r="F14" s="544"/>
      <c r="G14" s="544"/>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row>
    <row r="15" spans="1:32" x14ac:dyDescent="0.25">
      <c r="A15" s="544"/>
      <c r="B15" s="2034" t="s">
        <v>12</v>
      </c>
      <c r="C15" s="2034"/>
      <c r="D15" s="2034"/>
      <c r="E15" s="2034"/>
      <c r="F15" s="2034"/>
      <c r="G15" s="2034"/>
      <c r="H15" s="2034"/>
      <c r="I15" s="203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row>
    <row r="16" spans="1:32" x14ac:dyDescent="0.25">
      <c r="A16" s="544"/>
      <c r="B16" s="2037" t="s">
        <v>3438</v>
      </c>
      <c r="C16" s="2038"/>
      <c r="D16" s="2038"/>
      <c r="E16" s="2038"/>
      <c r="F16" s="2038"/>
      <c r="G16" s="2038"/>
      <c r="H16" s="2038"/>
      <c r="I16" s="2038"/>
      <c r="J16" s="2038"/>
      <c r="K16" s="2038"/>
      <c r="L16" s="2038"/>
      <c r="M16" s="2038"/>
      <c r="N16" s="2038"/>
      <c r="O16" s="2038"/>
      <c r="P16" s="2038"/>
      <c r="Q16" s="2038"/>
      <c r="R16" s="2038"/>
      <c r="S16" s="2038"/>
      <c r="T16" s="2038"/>
      <c r="U16" s="2038"/>
      <c r="V16" s="2038"/>
      <c r="W16" s="2038"/>
      <c r="X16" s="2038"/>
      <c r="Y16" s="2038"/>
      <c r="Z16" s="2038"/>
      <c r="AA16" s="2038"/>
      <c r="AB16" s="2038"/>
      <c r="AC16" s="2038"/>
      <c r="AD16" s="2038"/>
      <c r="AE16" s="2038"/>
      <c r="AF16" s="2038"/>
    </row>
    <row r="17" spans="1:32" x14ac:dyDescent="0.25">
      <c r="A17" s="544"/>
      <c r="B17" s="544"/>
      <c r="C17" s="544"/>
      <c r="D17" s="544"/>
      <c r="E17" s="544"/>
      <c r="F17" s="544"/>
      <c r="G17" s="544"/>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row>
    <row r="18" spans="1:32" x14ac:dyDescent="0.25">
      <c r="A18" s="544"/>
      <c r="B18" s="2034" t="s">
        <v>13</v>
      </c>
      <c r="C18" s="2034"/>
      <c r="D18" s="2034"/>
      <c r="E18" s="2034"/>
      <c r="F18" s="2034"/>
      <c r="G18" s="2034"/>
      <c r="H18" s="2034"/>
      <c r="I18" s="203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row>
    <row r="19" spans="1:32" ht="64.5" customHeight="1" x14ac:dyDescent="0.25">
      <c r="A19" s="545"/>
      <c r="B19" s="2035" t="s">
        <v>3545</v>
      </c>
      <c r="C19" s="2036"/>
      <c r="D19" s="2036"/>
      <c r="E19" s="2036"/>
      <c r="F19" s="2036"/>
      <c r="G19" s="2036"/>
      <c r="H19" s="2036"/>
      <c r="I19" s="2036"/>
      <c r="J19" s="2036"/>
      <c r="K19" s="2036"/>
      <c r="L19" s="2036"/>
      <c r="M19" s="2036"/>
      <c r="N19" s="2036"/>
      <c r="O19" s="2036"/>
      <c r="P19" s="2036"/>
      <c r="Q19" s="2036"/>
      <c r="R19" s="2036"/>
      <c r="S19" s="2036"/>
      <c r="T19" s="2036"/>
      <c r="U19" s="2036"/>
      <c r="V19" s="2036"/>
      <c r="W19" s="2036"/>
      <c r="X19" s="2036"/>
      <c r="Y19" s="2036"/>
      <c r="Z19" s="2036"/>
      <c r="AA19" s="2036"/>
      <c r="AB19" s="2036"/>
      <c r="AC19" s="2036"/>
      <c r="AD19" s="2036"/>
      <c r="AE19" s="2036"/>
      <c r="AF19" s="2036"/>
    </row>
    <row r="20" spans="1:32" x14ac:dyDescent="0.25">
      <c r="A20" s="545"/>
      <c r="B20" s="600"/>
      <c r="C20" s="601"/>
      <c r="D20" s="601"/>
      <c r="E20" s="601"/>
      <c r="F20" s="601"/>
      <c r="G20" s="601"/>
      <c r="H20" s="601"/>
      <c r="I20" s="601"/>
      <c r="J20" s="601"/>
      <c r="K20" s="601"/>
      <c r="L20" s="601"/>
      <c r="M20" s="601"/>
      <c r="N20" s="601"/>
      <c r="O20" s="601"/>
      <c r="P20" s="601"/>
      <c r="Q20" s="601"/>
      <c r="R20" s="601"/>
      <c r="S20" s="601"/>
      <c r="T20" s="601"/>
      <c r="U20" s="601"/>
      <c r="V20" s="601"/>
      <c r="W20" s="601"/>
      <c r="X20" s="601"/>
      <c r="Y20" s="601"/>
      <c r="Z20" s="601"/>
      <c r="AA20" s="601"/>
      <c r="AB20" s="601"/>
      <c r="AC20" s="601"/>
      <c r="AD20" s="601"/>
      <c r="AE20" s="601"/>
      <c r="AF20" s="601"/>
    </row>
    <row r="21" spans="1:32" ht="77.25" customHeight="1" x14ac:dyDescent="0.25">
      <c r="A21" s="545"/>
      <c r="B21" s="2035" t="s">
        <v>3546</v>
      </c>
      <c r="C21" s="2036"/>
      <c r="D21" s="2036"/>
      <c r="E21" s="2036"/>
      <c r="F21" s="2036"/>
      <c r="G21" s="2036"/>
      <c r="H21" s="2036"/>
      <c r="I21" s="2036"/>
      <c r="J21" s="2036"/>
      <c r="K21" s="2036"/>
      <c r="L21" s="2036"/>
      <c r="M21" s="2036"/>
      <c r="N21" s="2036"/>
      <c r="O21" s="2036"/>
      <c r="P21" s="2036"/>
      <c r="Q21" s="2036"/>
      <c r="R21" s="2036"/>
      <c r="S21" s="2036"/>
      <c r="T21" s="2036"/>
      <c r="U21" s="2036"/>
      <c r="V21" s="2036"/>
      <c r="W21" s="2036"/>
      <c r="X21" s="2036"/>
      <c r="Y21" s="2036"/>
      <c r="Z21" s="2036"/>
      <c r="AA21" s="2036"/>
      <c r="AB21" s="2036"/>
      <c r="AC21" s="2036"/>
      <c r="AD21" s="2036"/>
      <c r="AE21" s="2036"/>
      <c r="AF21" s="2036"/>
    </row>
    <row r="22" spans="1:32" x14ac:dyDescent="0.25">
      <c r="A22" s="545"/>
      <c r="B22" s="600"/>
      <c r="C22" s="601"/>
      <c r="D22" s="601"/>
      <c r="E22" s="601"/>
      <c r="F22" s="601"/>
      <c r="G22" s="601"/>
      <c r="H22" s="601"/>
      <c r="I22" s="601"/>
      <c r="J22" s="601"/>
      <c r="K22" s="601"/>
      <c r="L22" s="601"/>
      <c r="M22" s="601"/>
      <c r="N22" s="601"/>
      <c r="O22" s="601"/>
      <c r="P22" s="601"/>
      <c r="Q22" s="601"/>
      <c r="R22" s="601"/>
      <c r="S22" s="601"/>
      <c r="T22" s="601"/>
      <c r="U22" s="601"/>
      <c r="V22" s="601"/>
      <c r="W22" s="601"/>
      <c r="X22" s="601"/>
      <c r="Y22" s="601"/>
      <c r="Z22" s="601"/>
      <c r="AA22" s="601"/>
      <c r="AB22" s="601"/>
      <c r="AC22" s="601"/>
      <c r="AD22" s="601"/>
      <c r="AE22" s="601"/>
      <c r="AF22" s="601"/>
    </row>
    <row r="23" spans="1:32" ht="48" customHeight="1" x14ac:dyDescent="0.25">
      <c r="A23" s="545"/>
      <c r="B23" s="2035" t="s">
        <v>3547</v>
      </c>
      <c r="C23" s="2036"/>
      <c r="D23" s="2036"/>
      <c r="E23" s="2036"/>
      <c r="F23" s="2036"/>
      <c r="G23" s="2036"/>
      <c r="H23" s="2036"/>
      <c r="I23" s="2036"/>
      <c r="J23" s="2036"/>
      <c r="K23" s="2036"/>
      <c r="L23" s="2036"/>
      <c r="M23" s="2036"/>
      <c r="N23" s="2036"/>
      <c r="O23" s="2036"/>
      <c r="P23" s="2036"/>
      <c r="Q23" s="2036"/>
      <c r="R23" s="2036"/>
      <c r="S23" s="2036"/>
      <c r="T23" s="2036"/>
      <c r="U23" s="2036"/>
      <c r="V23" s="2036"/>
      <c r="W23" s="2036"/>
      <c r="X23" s="2036"/>
      <c r="Y23" s="2036"/>
      <c r="Z23" s="2036"/>
      <c r="AA23" s="2036"/>
      <c r="AB23" s="2036"/>
      <c r="AC23" s="2036"/>
      <c r="AD23" s="2036"/>
      <c r="AE23" s="2036"/>
      <c r="AF23" s="2036"/>
    </row>
    <row r="24" spans="1:32" x14ac:dyDescent="0.25">
      <c r="A24" s="544"/>
      <c r="B24" s="544"/>
      <c r="C24" s="544"/>
      <c r="D24" s="544"/>
      <c r="E24" s="544"/>
      <c r="F24" s="544"/>
      <c r="G24" s="544"/>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row>
    <row r="25" spans="1:32" x14ac:dyDescent="0.25">
      <c r="A25" s="544"/>
      <c r="B25" s="549" t="s">
        <v>20</v>
      </c>
      <c r="C25" s="549"/>
      <c r="D25" s="549"/>
      <c r="E25" s="549"/>
      <c r="F25" s="549"/>
      <c r="G25" s="549"/>
      <c r="H25" s="549"/>
      <c r="I25" s="549"/>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row>
    <row r="26" spans="1:32" ht="78.75" customHeight="1" x14ac:dyDescent="0.25">
      <c r="A26" s="544"/>
      <c r="B26" s="2035" t="s">
        <v>3548</v>
      </c>
      <c r="C26" s="2038"/>
      <c r="D26" s="2038"/>
      <c r="E26" s="2038"/>
      <c r="F26" s="2038"/>
      <c r="G26" s="2038"/>
      <c r="H26" s="2038"/>
      <c r="I26" s="2038"/>
      <c r="J26" s="2038"/>
      <c r="K26" s="2038"/>
      <c r="L26" s="2038"/>
      <c r="M26" s="2038"/>
      <c r="N26" s="2038"/>
      <c r="O26" s="2038"/>
      <c r="P26" s="2038"/>
      <c r="Q26" s="2038"/>
      <c r="R26" s="2038"/>
      <c r="S26" s="2038"/>
      <c r="T26" s="2038"/>
      <c r="U26" s="2038"/>
      <c r="V26" s="2038"/>
      <c r="W26" s="2038"/>
      <c r="X26" s="2038"/>
      <c r="Y26" s="2038"/>
      <c r="Z26" s="2038"/>
      <c r="AA26" s="2038"/>
      <c r="AB26" s="2038"/>
      <c r="AC26" s="2038"/>
      <c r="AD26" s="2038"/>
      <c r="AE26" s="2038"/>
      <c r="AF26" s="2038"/>
    </row>
    <row r="27" spans="1:32" x14ac:dyDescent="0.25">
      <c r="A27" s="544"/>
      <c r="B27" s="600"/>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row>
    <row r="28" spans="1:32" ht="18" customHeight="1" x14ac:dyDescent="0.25">
      <c r="A28" s="544"/>
      <c r="B28" s="2049" t="s">
        <v>3769</v>
      </c>
      <c r="C28" s="2050"/>
      <c r="D28" s="2050"/>
      <c r="E28" s="2050"/>
      <c r="F28" s="2050"/>
      <c r="G28" s="2050"/>
      <c r="H28" s="2050"/>
      <c r="I28" s="2050"/>
      <c r="J28" s="2050"/>
      <c r="K28" s="2050"/>
      <c r="L28" s="2050"/>
      <c r="M28" s="2050"/>
      <c r="N28" s="2050"/>
      <c r="O28" s="2050"/>
      <c r="P28" s="2050"/>
      <c r="Q28" s="2050"/>
      <c r="R28" s="2050"/>
      <c r="S28" s="2050"/>
      <c r="T28" s="2050"/>
      <c r="U28" s="2050"/>
      <c r="V28" s="2050"/>
      <c r="W28" s="2050"/>
      <c r="X28" s="2050"/>
      <c r="Y28" s="2050"/>
      <c r="Z28" s="2050"/>
      <c r="AA28" s="2050"/>
      <c r="AB28" s="2050"/>
      <c r="AC28" s="2050"/>
      <c r="AD28" s="2050"/>
      <c r="AE28" s="2050"/>
      <c r="AF28" s="2050"/>
    </row>
    <row r="29" spans="1:32" x14ac:dyDescent="0.25">
      <c r="A29" s="544"/>
      <c r="B29" s="600"/>
      <c r="C29" s="612"/>
      <c r="D29" s="612"/>
      <c r="E29" s="612"/>
      <c r="F29" s="612"/>
      <c r="G29" s="612"/>
      <c r="H29" s="612"/>
      <c r="I29" s="612"/>
      <c r="J29" s="612"/>
      <c r="K29" s="612"/>
      <c r="L29" s="612"/>
      <c r="M29" s="612"/>
      <c r="N29" s="612"/>
      <c r="O29" s="612"/>
      <c r="P29" s="612"/>
      <c r="Q29" s="612"/>
      <c r="R29" s="612"/>
      <c r="S29" s="612"/>
      <c r="T29" s="612"/>
      <c r="U29" s="612"/>
      <c r="V29" s="612"/>
      <c r="W29" s="612"/>
      <c r="X29" s="612"/>
      <c r="Y29" s="612"/>
      <c r="Z29" s="612"/>
      <c r="AA29" s="612"/>
      <c r="AB29" s="612"/>
      <c r="AC29" s="612"/>
      <c r="AD29" s="612"/>
      <c r="AE29" s="612"/>
      <c r="AF29" s="612"/>
    </row>
    <row r="30" spans="1:32" ht="56.1" customHeight="1" x14ac:dyDescent="0.25">
      <c r="A30" s="544"/>
      <c r="B30" s="2049" t="s">
        <v>3770</v>
      </c>
      <c r="C30" s="2050"/>
      <c r="D30" s="2050"/>
      <c r="E30" s="2050"/>
      <c r="F30" s="2050"/>
      <c r="G30" s="2050"/>
      <c r="H30" s="2050"/>
      <c r="I30" s="2050"/>
      <c r="J30" s="2050"/>
      <c r="K30" s="2050"/>
      <c r="L30" s="2050"/>
      <c r="M30" s="2050"/>
      <c r="N30" s="2050"/>
      <c r="O30" s="2050"/>
      <c r="P30" s="2050"/>
      <c r="Q30" s="2050"/>
      <c r="R30" s="2050"/>
      <c r="S30" s="2050"/>
      <c r="T30" s="2050"/>
      <c r="U30" s="2050"/>
      <c r="V30" s="2050"/>
      <c r="W30" s="2050"/>
      <c r="X30" s="2050"/>
      <c r="Y30" s="2050"/>
      <c r="Z30" s="2050"/>
      <c r="AA30" s="2050"/>
      <c r="AB30" s="2050"/>
      <c r="AC30" s="2050"/>
      <c r="AD30" s="2050"/>
      <c r="AE30" s="2050"/>
      <c r="AF30" s="2050"/>
    </row>
    <row r="31" spans="1:32" x14ac:dyDescent="0.25">
      <c r="A31" s="544"/>
      <c r="B31" s="600"/>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row>
    <row r="32" spans="1:32" x14ac:dyDescent="0.25">
      <c r="A32" s="545"/>
      <c r="B32" s="2042" t="s">
        <v>3622</v>
      </c>
      <c r="C32" s="2042"/>
      <c r="D32" s="2042"/>
      <c r="E32" s="2042"/>
      <c r="F32" s="2042"/>
      <c r="G32" s="2042"/>
      <c r="H32" s="2042"/>
      <c r="I32" s="2042"/>
      <c r="J32" s="2042"/>
      <c r="K32" s="2042"/>
      <c r="L32" s="2042"/>
      <c r="M32" s="2042"/>
      <c r="N32" s="2042"/>
      <c r="O32" s="2042"/>
      <c r="P32" s="2042"/>
      <c r="Q32" s="2042"/>
      <c r="R32" s="2042"/>
      <c r="S32" s="2042"/>
      <c r="T32" s="2042"/>
      <c r="U32" s="2042"/>
      <c r="V32" s="2042"/>
      <c r="W32" s="2042"/>
      <c r="X32" s="2042"/>
      <c r="Y32" s="2042"/>
      <c r="Z32" s="2042"/>
      <c r="AA32" s="2042"/>
      <c r="AB32" s="2042"/>
      <c r="AC32" s="2042"/>
      <c r="AD32" s="2042"/>
      <c r="AE32" s="2042"/>
      <c r="AF32" s="2042"/>
    </row>
    <row r="33" spans="1:32" ht="17.25" x14ac:dyDescent="0.25">
      <c r="A33" s="545"/>
      <c r="B33" s="2043" t="s">
        <v>3549</v>
      </c>
      <c r="C33" s="2044"/>
      <c r="D33" s="2044"/>
      <c r="E33" s="2044"/>
      <c r="F33" s="2044"/>
      <c r="G33" s="2044"/>
      <c r="H33" s="2045"/>
      <c r="I33" s="2041" t="s">
        <v>3550</v>
      </c>
      <c r="J33" s="2041"/>
      <c r="K33" s="2041"/>
      <c r="L33" s="2041"/>
      <c r="M33" s="2041"/>
      <c r="N33" s="2041"/>
      <c r="O33" s="2041" t="s">
        <v>3551</v>
      </c>
      <c r="P33" s="2041"/>
      <c r="Q33" s="2041"/>
      <c r="R33" s="2041"/>
      <c r="S33" s="2041"/>
      <c r="T33" s="2041"/>
      <c r="U33" s="2041" t="s">
        <v>3552</v>
      </c>
      <c r="V33" s="2041"/>
      <c r="W33" s="2041"/>
      <c r="X33" s="2041"/>
      <c r="Y33" s="2041"/>
      <c r="Z33" s="2041"/>
      <c r="AA33" s="2041"/>
      <c r="AB33" s="2041"/>
      <c r="AC33" s="2041"/>
      <c r="AD33" s="2041"/>
      <c r="AE33" s="2041"/>
      <c r="AF33" s="2041"/>
    </row>
    <row r="34" spans="1:32" ht="18" x14ac:dyDescent="0.25">
      <c r="A34" s="545"/>
      <c r="B34" s="2046"/>
      <c r="C34" s="2047"/>
      <c r="D34" s="2047"/>
      <c r="E34" s="2047"/>
      <c r="F34" s="2047"/>
      <c r="G34" s="2047"/>
      <c r="H34" s="2048"/>
      <c r="I34" s="2041" t="s">
        <v>3553</v>
      </c>
      <c r="J34" s="2041"/>
      <c r="K34" s="2041"/>
      <c r="L34" s="2041" t="s">
        <v>3554</v>
      </c>
      <c r="M34" s="2041"/>
      <c r="N34" s="2041"/>
      <c r="O34" s="2041" t="s">
        <v>3555</v>
      </c>
      <c r="P34" s="2041"/>
      <c r="Q34" s="2041"/>
      <c r="R34" s="2041" t="s">
        <v>3556</v>
      </c>
      <c r="S34" s="2041"/>
      <c r="T34" s="2041"/>
      <c r="U34" s="2041" t="s">
        <v>3557</v>
      </c>
      <c r="V34" s="2041"/>
      <c r="W34" s="2041"/>
      <c r="X34" s="2041" t="s">
        <v>3558</v>
      </c>
      <c r="Y34" s="2041"/>
      <c r="Z34" s="2041"/>
      <c r="AA34" s="2041" t="s">
        <v>3559</v>
      </c>
      <c r="AB34" s="2041"/>
      <c r="AC34" s="2041"/>
      <c r="AD34" s="2041" t="s">
        <v>3560</v>
      </c>
      <c r="AE34" s="2041"/>
      <c r="AF34" s="2041"/>
    </row>
    <row r="35" spans="1:32" x14ac:dyDescent="0.25">
      <c r="A35" s="545"/>
      <c r="B35" s="2052" t="s">
        <v>3561</v>
      </c>
      <c r="C35" s="2052"/>
      <c r="D35" s="2052"/>
      <c r="E35" s="2052"/>
      <c r="F35" s="2052"/>
      <c r="G35" s="2052"/>
      <c r="H35" s="2052"/>
      <c r="I35" s="2051">
        <f>ROUND(L35/1.01,1)</f>
        <v>9.6</v>
      </c>
      <c r="J35" s="2051"/>
      <c r="K35" s="2051"/>
      <c r="L35" s="2051">
        <v>9.6999999999999993</v>
      </c>
      <c r="M35" s="2051"/>
      <c r="N35" s="2051"/>
      <c r="O35" s="2051">
        <v>11</v>
      </c>
      <c r="P35" s="2051"/>
      <c r="Q35" s="2051"/>
      <c r="R35" s="2051">
        <f>ROUND(O35*1.01,1)</f>
        <v>11.1</v>
      </c>
      <c r="S35" s="2051"/>
      <c r="T35" s="2051"/>
      <c r="U35" s="2051">
        <v>12.1</v>
      </c>
      <c r="V35" s="2051"/>
      <c r="W35" s="2051"/>
      <c r="X35" s="2051">
        <f>ROUND(U35*1.01,1)</f>
        <v>12.2</v>
      </c>
      <c r="Y35" s="2051"/>
      <c r="Z35" s="2051"/>
      <c r="AA35" s="2051">
        <f>ROUND(U35-0.05*U35,1)</f>
        <v>11.5</v>
      </c>
      <c r="AB35" s="2051"/>
      <c r="AC35" s="2051"/>
      <c r="AD35" s="2051">
        <f>ROUND(AA35*1.01,1)</f>
        <v>11.6</v>
      </c>
      <c r="AE35" s="2051"/>
      <c r="AF35" s="2051"/>
    </row>
    <row r="36" spans="1:32" x14ac:dyDescent="0.25">
      <c r="A36" s="545"/>
      <c r="B36" s="2052" t="s">
        <v>3562</v>
      </c>
      <c r="C36" s="2052"/>
      <c r="D36" s="2052"/>
      <c r="E36" s="2052"/>
      <c r="F36" s="2052"/>
      <c r="G36" s="2052"/>
      <c r="H36" s="2052"/>
      <c r="I36" s="2051">
        <f t="shared" ref="I36:I38" si="0">ROUND(L36/1.01,1)</f>
        <v>9.6999999999999993</v>
      </c>
      <c r="J36" s="2051"/>
      <c r="K36" s="2051"/>
      <c r="L36" s="2051">
        <v>9.8000000000000007</v>
      </c>
      <c r="M36" s="2051"/>
      <c r="N36" s="2051"/>
      <c r="O36" s="2051">
        <v>10.9</v>
      </c>
      <c r="P36" s="2051"/>
      <c r="Q36" s="2051"/>
      <c r="R36" s="2051">
        <f t="shared" ref="R36:R38" si="1">ROUND(O36*1.01,1)</f>
        <v>11</v>
      </c>
      <c r="S36" s="2051"/>
      <c r="T36" s="2051"/>
      <c r="U36" s="2051">
        <v>12</v>
      </c>
      <c r="V36" s="2051"/>
      <c r="W36" s="2051"/>
      <c r="X36" s="2051">
        <f t="shared" ref="X36:X38" si="2">ROUND(U36*1.01,1)</f>
        <v>12.1</v>
      </c>
      <c r="Y36" s="2051"/>
      <c r="Z36" s="2051"/>
      <c r="AA36" s="2051">
        <f t="shared" ref="AA36:AA38" si="3">ROUND(U36-0.05*U36,1)</f>
        <v>11.4</v>
      </c>
      <c r="AB36" s="2051"/>
      <c r="AC36" s="2051"/>
      <c r="AD36" s="2051">
        <f t="shared" ref="AD36:AD38" si="4">ROUND(AA36*1.01,1)</f>
        <v>11.5</v>
      </c>
      <c r="AE36" s="2051"/>
      <c r="AF36" s="2051"/>
    </row>
    <row r="37" spans="1:32" x14ac:dyDescent="0.25">
      <c r="A37" s="545"/>
      <c r="B37" s="2052" t="s">
        <v>3563</v>
      </c>
      <c r="C37" s="2052"/>
      <c r="D37" s="2052"/>
      <c r="E37" s="2052"/>
      <c r="F37" s="2052"/>
      <c r="G37" s="2052"/>
      <c r="H37" s="2052"/>
      <c r="I37" s="2051">
        <f t="shared" si="0"/>
        <v>9.6</v>
      </c>
      <c r="J37" s="2051"/>
      <c r="K37" s="2051"/>
      <c r="L37" s="2051">
        <v>9.6999999999999993</v>
      </c>
      <c r="M37" s="2051"/>
      <c r="N37" s="2051"/>
      <c r="O37" s="2051">
        <v>10.7</v>
      </c>
      <c r="P37" s="2051"/>
      <c r="Q37" s="2051"/>
      <c r="R37" s="2051">
        <f t="shared" si="1"/>
        <v>10.8</v>
      </c>
      <c r="S37" s="2051"/>
      <c r="T37" s="2051"/>
      <c r="U37" s="2051">
        <v>11.8</v>
      </c>
      <c r="V37" s="2051"/>
      <c r="W37" s="2051"/>
      <c r="X37" s="2051">
        <f t="shared" si="2"/>
        <v>11.9</v>
      </c>
      <c r="Y37" s="2051"/>
      <c r="Z37" s="2051"/>
      <c r="AA37" s="2051">
        <f t="shared" si="3"/>
        <v>11.2</v>
      </c>
      <c r="AB37" s="2051"/>
      <c r="AC37" s="2051"/>
      <c r="AD37" s="2051">
        <f t="shared" si="4"/>
        <v>11.3</v>
      </c>
      <c r="AE37" s="2051"/>
      <c r="AF37" s="2051"/>
    </row>
    <row r="38" spans="1:32" x14ac:dyDescent="0.25">
      <c r="A38" s="545"/>
      <c r="B38" s="2052" t="s">
        <v>3564</v>
      </c>
      <c r="C38" s="2052"/>
      <c r="D38" s="2052"/>
      <c r="E38" s="2052"/>
      <c r="F38" s="2052"/>
      <c r="G38" s="2052"/>
      <c r="H38" s="2052"/>
      <c r="I38" s="2051">
        <f t="shared" si="0"/>
        <v>8.4</v>
      </c>
      <c r="J38" s="2051"/>
      <c r="K38" s="2051"/>
      <c r="L38" s="2051">
        <v>8.5</v>
      </c>
      <c r="M38" s="2051"/>
      <c r="N38" s="2051"/>
      <c r="O38" s="2051">
        <v>9.4</v>
      </c>
      <c r="P38" s="2051"/>
      <c r="Q38" s="2051"/>
      <c r="R38" s="2051">
        <f t="shared" si="1"/>
        <v>9.5</v>
      </c>
      <c r="S38" s="2051"/>
      <c r="T38" s="2051"/>
      <c r="U38" s="2051">
        <v>10.3</v>
      </c>
      <c r="V38" s="2051"/>
      <c r="W38" s="2051"/>
      <c r="X38" s="2051">
        <f t="shared" si="2"/>
        <v>10.4</v>
      </c>
      <c r="Y38" s="2051"/>
      <c r="Z38" s="2051"/>
      <c r="AA38" s="2051">
        <f t="shared" si="3"/>
        <v>9.8000000000000007</v>
      </c>
      <c r="AB38" s="2051"/>
      <c r="AC38" s="2051"/>
      <c r="AD38" s="2051">
        <f t="shared" si="4"/>
        <v>9.9</v>
      </c>
      <c r="AE38" s="2051"/>
      <c r="AF38" s="2051"/>
    </row>
    <row r="39" spans="1:32" ht="45" customHeight="1" x14ac:dyDescent="0.25">
      <c r="A39" s="545"/>
      <c r="B39" s="2054" t="s">
        <v>3565</v>
      </c>
      <c r="C39" s="2054"/>
      <c r="D39" s="2054"/>
      <c r="E39" s="2054"/>
      <c r="F39" s="2054"/>
      <c r="G39" s="2054"/>
      <c r="H39" s="2054"/>
      <c r="I39" s="2054"/>
      <c r="J39" s="2054"/>
      <c r="K39" s="2054"/>
      <c r="L39" s="2054"/>
      <c r="M39" s="2054"/>
      <c r="N39" s="2054"/>
      <c r="O39" s="2054"/>
      <c r="P39" s="2054"/>
      <c r="Q39" s="2054"/>
      <c r="R39" s="2054"/>
      <c r="S39" s="2054"/>
      <c r="T39" s="2054"/>
      <c r="U39" s="2054"/>
      <c r="V39" s="2054"/>
      <c r="W39" s="2054"/>
      <c r="X39" s="2054"/>
      <c r="Y39" s="2054"/>
      <c r="Z39" s="2054"/>
      <c r="AA39" s="2054"/>
      <c r="AB39" s="2054"/>
      <c r="AC39" s="2054"/>
      <c r="AD39" s="2054"/>
      <c r="AE39" s="2054"/>
      <c r="AF39" s="2054"/>
    </row>
    <row r="40" spans="1:32" ht="45" customHeight="1" x14ac:dyDescent="0.25">
      <c r="A40" s="545"/>
      <c r="B40" s="2053" t="s">
        <v>3566</v>
      </c>
      <c r="C40" s="2053"/>
      <c r="D40" s="2053"/>
      <c r="E40" s="2053"/>
      <c r="F40" s="2053"/>
      <c r="G40" s="2053"/>
      <c r="H40" s="2053"/>
      <c r="I40" s="2053"/>
      <c r="J40" s="2053"/>
      <c r="K40" s="2053"/>
      <c r="L40" s="2053"/>
      <c r="M40" s="2053"/>
      <c r="N40" s="2053"/>
      <c r="O40" s="2053"/>
      <c r="P40" s="2053"/>
      <c r="Q40" s="2053"/>
      <c r="R40" s="2053"/>
      <c r="S40" s="2053"/>
      <c r="T40" s="2053"/>
      <c r="U40" s="2053"/>
      <c r="V40" s="2053"/>
      <c r="W40" s="2053"/>
      <c r="X40" s="2053"/>
      <c r="Y40" s="2053"/>
      <c r="Z40" s="2053"/>
      <c r="AA40" s="2053"/>
      <c r="AB40" s="2053"/>
      <c r="AC40" s="2053"/>
      <c r="AD40" s="2053"/>
      <c r="AE40" s="2053"/>
      <c r="AF40" s="2053"/>
    </row>
    <row r="41" spans="1:32" ht="45" customHeight="1" x14ac:dyDescent="0.25">
      <c r="A41" s="545"/>
      <c r="B41" s="2053" t="s">
        <v>3567</v>
      </c>
      <c r="C41" s="2053"/>
      <c r="D41" s="2053"/>
      <c r="E41" s="2053"/>
      <c r="F41" s="2053"/>
      <c r="G41" s="2053"/>
      <c r="H41" s="2053"/>
      <c r="I41" s="2053"/>
      <c r="J41" s="2053"/>
      <c r="K41" s="2053"/>
      <c r="L41" s="2053"/>
      <c r="M41" s="2053"/>
      <c r="N41" s="2053"/>
      <c r="O41" s="2053"/>
      <c r="P41" s="2053"/>
      <c r="Q41" s="2053"/>
      <c r="R41" s="2053"/>
      <c r="S41" s="2053"/>
      <c r="T41" s="2053"/>
      <c r="U41" s="2053"/>
      <c r="V41" s="2053"/>
      <c r="W41" s="2053"/>
      <c r="X41" s="2053"/>
      <c r="Y41" s="2053"/>
      <c r="Z41" s="2053"/>
      <c r="AA41" s="2053"/>
      <c r="AB41" s="2053"/>
      <c r="AC41" s="2053"/>
      <c r="AD41" s="2053"/>
      <c r="AE41" s="2053"/>
      <c r="AF41" s="2053"/>
    </row>
    <row r="42" spans="1:32" x14ac:dyDescent="0.25">
      <c r="A42" s="545"/>
      <c r="B42" s="600"/>
      <c r="C42" s="601"/>
      <c r="D42" s="601"/>
      <c r="E42" s="601"/>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row>
    <row r="43" spans="1:32" x14ac:dyDescent="0.25">
      <c r="A43" s="544"/>
      <c r="B43" s="544"/>
      <c r="C43" s="544"/>
      <c r="D43" s="544"/>
      <c r="E43" s="544"/>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row>
    <row r="44" spans="1:32" x14ac:dyDescent="0.25">
      <c r="A44" s="2040" t="s">
        <v>14</v>
      </c>
      <c r="B44" s="2040"/>
      <c r="C44" s="2040"/>
      <c r="D44" s="2040"/>
      <c r="E44" s="2040"/>
      <c r="F44" s="2040"/>
      <c r="G44" s="2040"/>
      <c r="H44" s="2040"/>
      <c r="I44" s="2040"/>
      <c r="J44" s="2040"/>
      <c r="K44" s="2040"/>
      <c r="L44" s="2040"/>
      <c r="M44" s="2040"/>
      <c r="N44" s="2040"/>
      <c r="O44" s="2040"/>
      <c r="P44" s="2040"/>
      <c r="Q44" s="2040"/>
      <c r="R44" s="2040"/>
      <c r="S44" s="2040"/>
      <c r="T44" s="2040"/>
      <c r="U44" s="2040"/>
      <c r="V44" s="2040"/>
      <c r="W44" s="2040"/>
      <c r="X44" s="2040"/>
      <c r="Y44" s="2040"/>
      <c r="Z44" s="2040"/>
      <c r="AA44" s="2040"/>
      <c r="AB44" s="2040"/>
      <c r="AC44" s="2040"/>
      <c r="AD44" s="2040"/>
      <c r="AE44" s="2040"/>
      <c r="AF44" s="2040"/>
    </row>
    <row r="45" spans="1:32" x14ac:dyDescent="0.25">
      <c r="A45" s="544"/>
      <c r="B45" s="544"/>
      <c r="C45" s="544"/>
      <c r="D45" s="544"/>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row>
    <row r="46" spans="1:32" x14ac:dyDescent="0.25">
      <c r="A46" s="262"/>
      <c r="B46" s="379" t="s">
        <v>3439</v>
      </c>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row>
    <row r="47" spans="1:32" x14ac:dyDescent="0.25">
      <c r="A47" s="262"/>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row>
    <row r="48" spans="1:32" x14ac:dyDescent="0.25">
      <c r="A48" s="2021"/>
      <c r="B48" s="2021"/>
      <c r="C48" s="2021"/>
      <c r="D48" s="2021"/>
      <c r="E48" s="2021"/>
      <c r="F48" s="2021"/>
      <c r="G48" s="2021"/>
      <c r="H48" s="2021"/>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t="s">
        <v>1705</v>
      </c>
    </row>
    <row r="49" spans="1:32" x14ac:dyDescent="0.25">
      <c r="A49" s="193"/>
      <c r="B49" s="193"/>
      <c r="C49" s="193"/>
      <c r="D49" s="193"/>
      <c r="E49" s="193"/>
      <c r="F49" s="193"/>
      <c r="G49" s="193"/>
      <c r="H49" s="193"/>
      <c r="I49" s="520"/>
      <c r="J49" s="520"/>
      <c r="K49" s="520"/>
      <c r="L49" s="520"/>
      <c r="M49" s="520"/>
      <c r="N49" s="520"/>
      <c r="O49" s="520"/>
      <c r="P49" s="520"/>
      <c r="Q49" s="520"/>
      <c r="R49" s="520"/>
      <c r="S49" s="520"/>
      <c r="T49" s="520"/>
      <c r="U49" s="520"/>
      <c r="V49" s="520"/>
      <c r="W49" s="520"/>
      <c r="X49" s="520"/>
      <c r="Y49" s="520"/>
      <c r="Z49" s="520"/>
      <c r="AA49" s="520"/>
      <c r="AB49" s="520"/>
      <c r="AC49" s="520"/>
      <c r="AD49" s="520"/>
      <c r="AE49" s="520"/>
      <c r="AF49" s="520"/>
    </row>
    <row r="50" spans="1:32" x14ac:dyDescent="0.25">
      <c r="A50" s="262"/>
      <c r="B50" s="379" t="s">
        <v>3440</v>
      </c>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row>
    <row r="51" spans="1:32" x14ac:dyDescent="0.25">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row>
    <row r="52" spans="1:32" x14ac:dyDescent="0.25">
      <c r="A52" s="2021"/>
      <c r="B52" s="2021"/>
      <c r="C52" s="2021"/>
      <c r="D52" s="2021"/>
      <c r="E52" s="2021"/>
      <c r="F52" s="2021"/>
      <c r="G52" s="2021"/>
      <c r="H52" s="2021"/>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t="s">
        <v>1706</v>
      </c>
    </row>
    <row r="53" spans="1:32" x14ac:dyDescent="0.25">
      <c r="A53" s="193"/>
      <c r="B53" s="193"/>
      <c r="C53" s="193"/>
      <c r="D53" s="193"/>
      <c r="E53" s="193"/>
      <c r="F53" s="193"/>
      <c r="G53" s="193"/>
      <c r="H53" s="193"/>
      <c r="I53" s="520"/>
      <c r="J53" s="520"/>
      <c r="K53" s="520"/>
      <c r="L53" s="520"/>
      <c r="M53" s="520"/>
      <c r="N53" s="520"/>
      <c r="O53" s="520"/>
      <c r="P53" s="520"/>
      <c r="Q53" s="520"/>
      <c r="R53" s="520"/>
      <c r="S53" s="520"/>
      <c r="T53" s="520"/>
      <c r="U53" s="520"/>
      <c r="V53" s="520"/>
      <c r="W53" s="520"/>
      <c r="X53" s="520"/>
      <c r="Y53" s="520"/>
      <c r="Z53" s="520"/>
      <c r="AA53" s="520"/>
      <c r="AB53" s="520"/>
      <c r="AC53" s="520"/>
      <c r="AD53" s="520"/>
      <c r="AE53" s="520"/>
      <c r="AF53" s="520"/>
    </row>
    <row r="54" spans="1:32" x14ac:dyDescent="0.25">
      <c r="A54" s="193"/>
      <c r="B54" s="519" t="s">
        <v>3441</v>
      </c>
      <c r="C54" s="193"/>
      <c r="D54" s="193"/>
      <c r="E54" s="193"/>
      <c r="F54" s="193"/>
      <c r="G54" s="193"/>
      <c r="H54" s="193"/>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row>
    <row r="55" spans="1:32" x14ac:dyDescent="0.25">
      <c r="A55" s="193"/>
      <c r="B55" s="193"/>
      <c r="C55" s="193"/>
      <c r="D55" s="193"/>
      <c r="E55" s="193"/>
      <c r="F55" s="193"/>
      <c r="G55" s="193"/>
      <c r="H55" s="193"/>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c r="AF55" s="520"/>
    </row>
    <row r="56" spans="1:32" x14ac:dyDescent="0.25">
      <c r="A56" s="2021"/>
      <c r="B56" s="2021"/>
      <c r="C56" s="2021"/>
      <c r="D56" s="2021"/>
      <c r="E56" s="2021"/>
      <c r="F56" s="2021"/>
      <c r="G56" s="2021"/>
      <c r="H56" s="2021"/>
      <c r="I56" s="196"/>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t="s">
        <v>1707</v>
      </c>
    </row>
    <row r="57" spans="1:32" x14ac:dyDescent="0.25">
      <c r="A57" s="193"/>
      <c r="B57" s="193"/>
      <c r="C57" s="193"/>
      <c r="D57" s="193"/>
      <c r="E57" s="192"/>
      <c r="F57" s="262"/>
      <c r="G57" s="193"/>
      <c r="H57" s="193"/>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c r="AF57" s="520"/>
    </row>
    <row r="58" spans="1:32" x14ac:dyDescent="0.25">
      <c r="A58" s="193"/>
      <c r="B58" s="519" t="s">
        <v>3442</v>
      </c>
      <c r="C58" s="193"/>
      <c r="D58" s="193"/>
      <c r="E58" s="193"/>
      <c r="F58" s="193"/>
      <c r="G58" s="193"/>
      <c r="H58" s="193"/>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c r="AF58" s="520"/>
    </row>
    <row r="59" spans="1:32" x14ac:dyDescent="0.25">
      <c r="A59" s="193"/>
      <c r="B59" s="193"/>
      <c r="C59" s="193"/>
      <c r="D59" s="193"/>
      <c r="E59" s="193"/>
      <c r="F59" s="193"/>
      <c r="G59" s="193"/>
      <c r="H59" s="193"/>
      <c r="I59" s="520"/>
      <c r="J59" s="520"/>
      <c r="K59" s="520"/>
      <c r="L59" s="520"/>
      <c r="M59" s="520"/>
      <c r="N59" s="520"/>
      <c r="O59" s="520"/>
      <c r="P59" s="520"/>
      <c r="Q59" s="520"/>
      <c r="R59" s="520"/>
      <c r="S59" s="520"/>
      <c r="T59" s="520"/>
      <c r="U59" s="520"/>
      <c r="V59" s="520"/>
      <c r="W59" s="520"/>
      <c r="X59" s="520"/>
      <c r="Y59" s="520"/>
      <c r="Z59" s="520"/>
      <c r="AA59" s="520"/>
      <c r="AB59" s="520"/>
      <c r="AC59" s="520"/>
      <c r="AD59" s="520"/>
      <c r="AE59" s="520"/>
      <c r="AF59" s="520"/>
    </row>
    <row r="60" spans="1:32" x14ac:dyDescent="0.25">
      <c r="A60" s="2021"/>
      <c r="B60" s="2021"/>
      <c r="C60" s="2021"/>
      <c r="D60" s="2021"/>
      <c r="E60" s="2021"/>
      <c r="F60" s="2021"/>
      <c r="G60" s="2021"/>
      <c r="H60" s="2021"/>
      <c r="I60" s="196"/>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t="s">
        <v>1756</v>
      </c>
    </row>
    <row r="61" spans="1:32" x14ac:dyDescent="0.25">
      <c r="A61" s="193"/>
      <c r="B61" s="193"/>
      <c r="C61" s="193"/>
      <c r="D61" s="193"/>
      <c r="E61" s="192"/>
      <c r="F61" s="262"/>
      <c r="G61" s="193"/>
      <c r="H61" s="193"/>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c r="AF61" s="520"/>
    </row>
    <row r="62" spans="1:32" x14ac:dyDescent="0.25">
      <c r="A62" s="193"/>
      <c r="B62" s="519" t="s">
        <v>3443</v>
      </c>
      <c r="C62" s="193"/>
      <c r="D62" s="193"/>
      <c r="E62" s="193"/>
      <c r="F62" s="193"/>
      <c r="G62" s="193"/>
      <c r="H62" s="193"/>
      <c r="I62" s="520"/>
      <c r="J62" s="520"/>
      <c r="K62" s="520"/>
      <c r="L62" s="520"/>
      <c r="M62" s="520"/>
      <c r="N62" s="520"/>
      <c r="O62" s="520"/>
      <c r="P62" s="520"/>
      <c r="Q62" s="520"/>
      <c r="R62" s="520"/>
      <c r="S62" s="520"/>
      <c r="T62" s="520"/>
      <c r="U62" s="520"/>
      <c r="V62" s="520"/>
      <c r="W62" s="520"/>
      <c r="X62" s="520"/>
      <c r="Y62" s="520"/>
      <c r="Z62" s="520"/>
      <c r="AA62" s="520"/>
      <c r="AB62" s="520"/>
      <c r="AC62" s="520"/>
      <c r="AD62" s="520"/>
      <c r="AE62" s="520"/>
      <c r="AF62" s="520"/>
    </row>
    <row r="63" spans="1:32" x14ac:dyDescent="0.25">
      <c r="A63" s="193"/>
      <c r="B63" s="193"/>
      <c r="C63" s="193"/>
      <c r="D63" s="193"/>
      <c r="E63" s="193"/>
      <c r="F63" s="193"/>
      <c r="G63" s="193"/>
      <c r="H63" s="193"/>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0"/>
    </row>
    <row r="64" spans="1:32" x14ac:dyDescent="0.25">
      <c r="A64" s="2021"/>
      <c r="B64" s="2021"/>
      <c r="C64" s="2021"/>
      <c r="D64" s="2021"/>
      <c r="E64" s="2021"/>
      <c r="F64" s="2021"/>
      <c r="G64" s="2021"/>
      <c r="H64" s="2021"/>
      <c r="I64" s="419"/>
      <c r="J64" s="196"/>
      <c r="K64" s="196"/>
      <c r="L64" s="196"/>
      <c r="M64" s="196"/>
      <c r="N64" s="196"/>
      <c r="O64" s="196"/>
      <c r="P64" s="196"/>
      <c r="Q64" s="196"/>
      <c r="R64" s="196"/>
      <c r="S64" s="196"/>
      <c r="T64" s="196"/>
      <c r="U64" s="196"/>
      <c r="V64" s="196"/>
      <c r="W64" s="196"/>
      <c r="X64" s="196"/>
      <c r="Y64" s="196"/>
      <c r="Z64" s="196"/>
      <c r="AA64" s="196"/>
      <c r="AB64" s="196"/>
      <c r="AC64" s="196"/>
      <c r="AD64" s="196"/>
      <c r="AE64" s="196"/>
      <c r="AF64" s="419" t="s">
        <v>1788</v>
      </c>
    </row>
    <row r="65" spans="1:32" x14ac:dyDescent="0.25">
      <c r="A65" s="262"/>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row>
    <row r="66" spans="1:32" x14ac:dyDescent="0.25">
      <c r="A66" s="193"/>
      <c r="B66" s="519" t="s">
        <v>3444</v>
      </c>
      <c r="C66" s="193"/>
      <c r="D66" s="193"/>
      <c r="E66" s="193"/>
      <c r="F66" s="193"/>
      <c r="G66" s="193"/>
      <c r="H66" s="193"/>
      <c r="I66" s="520"/>
      <c r="J66" s="520"/>
      <c r="K66" s="520"/>
      <c r="L66" s="520"/>
      <c r="M66" s="520"/>
      <c r="N66" s="520"/>
      <c r="O66" s="520"/>
      <c r="P66" s="520"/>
      <c r="Q66" s="520"/>
      <c r="R66" s="520"/>
      <c r="S66" s="520"/>
      <c r="T66" s="520"/>
      <c r="U66" s="520"/>
      <c r="V66" s="520"/>
      <c r="W66" s="520"/>
      <c r="X66" s="520"/>
      <c r="Y66" s="520"/>
      <c r="Z66" s="520"/>
      <c r="AA66" s="520"/>
      <c r="AB66" s="520"/>
      <c r="AC66" s="520"/>
      <c r="AD66" s="520"/>
      <c r="AE66" s="520"/>
      <c r="AF66" s="520"/>
    </row>
    <row r="67" spans="1:32" x14ac:dyDescent="0.25">
      <c r="A67" s="193"/>
      <c r="B67" s="193"/>
      <c r="C67" s="193"/>
      <c r="D67" s="193"/>
      <c r="E67" s="193"/>
      <c r="F67" s="193"/>
      <c r="G67" s="193"/>
      <c r="H67" s="193"/>
      <c r="I67" s="520"/>
      <c r="J67" s="520"/>
      <c r="K67" s="520"/>
      <c r="L67" s="520"/>
      <c r="M67" s="520"/>
      <c r="N67" s="520"/>
      <c r="O67" s="520"/>
      <c r="P67" s="520"/>
      <c r="Q67" s="520"/>
      <c r="R67" s="520"/>
      <c r="S67" s="520"/>
      <c r="T67" s="520"/>
      <c r="U67" s="520"/>
      <c r="V67" s="520"/>
      <c r="W67" s="520"/>
      <c r="X67" s="520"/>
      <c r="Y67" s="520"/>
      <c r="Z67" s="520"/>
      <c r="AA67" s="520"/>
      <c r="AB67" s="520"/>
      <c r="AC67" s="520"/>
      <c r="AD67" s="520"/>
      <c r="AE67" s="520"/>
      <c r="AF67" s="520"/>
    </row>
    <row r="68" spans="1:32" x14ac:dyDescent="0.25">
      <c r="A68" s="2021"/>
      <c r="B68" s="2021"/>
      <c r="C68" s="2021"/>
      <c r="D68" s="2021"/>
      <c r="E68" s="2021"/>
      <c r="F68" s="2021"/>
      <c r="G68" s="2021"/>
      <c r="H68" s="2021"/>
      <c r="I68" s="419"/>
      <c r="J68" s="196"/>
      <c r="K68" s="196"/>
      <c r="L68" s="196"/>
      <c r="M68" s="196"/>
      <c r="N68" s="196"/>
      <c r="O68" s="196"/>
      <c r="P68" s="196"/>
      <c r="Q68" s="196"/>
      <c r="R68" s="196"/>
      <c r="S68" s="196"/>
      <c r="T68" s="196"/>
      <c r="U68" s="196"/>
      <c r="V68" s="196"/>
      <c r="W68" s="196"/>
      <c r="X68" s="196"/>
      <c r="Y68" s="196"/>
      <c r="Z68" s="196"/>
      <c r="AA68" s="196"/>
      <c r="AB68" s="196"/>
      <c r="AC68" s="196"/>
      <c r="AD68" s="196"/>
      <c r="AE68" s="196"/>
      <c r="AF68" s="419" t="s">
        <v>1789</v>
      </c>
    </row>
    <row r="69" spans="1:32" x14ac:dyDescent="0.25">
      <c r="A69" s="717"/>
      <c r="B69" s="717"/>
      <c r="C69" s="717"/>
      <c r="D69" s="717"/>
      <c r="E69" s="717"/>
      <c r="F69" s="717"/>
      <c r="G69" s="717"/>
      <c r="H69" s="717"/>
      <c r="I69" s="262"/>
      <c r="J69" s="262"/>
      <c r="K69" s="262"/>
      <c r="L69" s="262"/>
      <c r="M69" s="262"/>
      <c r="N69" s="262"/>
      <c r="O69" s="262"/>
      <c r="P69" s="262"/>
      <c r="Q69" s="262"/>
      <c r="R69" s="262"/>
      <c r="S69" s="262"/>
      <c r="T69" s="262"/>
      <c r="U69" s="262"/>
      <c r="V69" s="262"/>
      <c r="W69" s="262"/>
      <c r="X69" s="262"/>
      <c r="Y69" s="262"/>
      <c r="Z69" s="262"/>
      <c r="AA69" s="262"/>
      <c r="AB69" s="262"/>
      <c r="AC69" s="262"/>
      <c r="AD69" s="262"/>
      <c r="AE69" s="262"/>
      <c r="AF69" s="262"/>
    </row>
    <row r="70" spans="1:32" x14ac:dyDescent="0.25">
      <c r="A70" s="2040" t="s">
        <v>15</v>
      </c>
      <c r="B70" s="2040"/>
      <c r="C70" s="2040"/>
      <c r="D70" s="2040"/>
      <c r="E70" s="2040"/>
      <c r="F70" s="2040"/>
      <c r="G70" s="2040"/>
      <c r="H70" s="2040"/>
      <c r="I70" s="2040"/>
      <c r="J70" s="2040"/>
      <c r="K70" s="2040"/>
      <c r="L70" s="2040"/>
      <c r="M70" s="2040"/>
      <c r="N70" s="2040"/>
      <c r="O70" s="2040"/>
      <c r="P70" s="2040"/>
      <c r="Q70" s="2040"/>
      <c r="R70" s="2040"/>
      <c r="S70" s="2040"/>
      <c r="T70" s="2040"/>
      <c r="U70" s="2040"/>
      <c r="V70" s="2040"/>
      <c r="W70" s="2040"/>
      <c r="X70" s="2040"/>
      <c r="Y70" s="2040"/>
      <c r="Z70" s="2040"/>
      <c r="AA70" s="2040"/>
      <c r="AB70" s="2040"/>
      <c r="AC70" s="2040"/>
      <c r="AD70" s="2040"/>
      <c r="AE70" s="2040"/>
      <c r="AF70" s="2040"/>
    </row>
    <row r="71" spans="1:32" x14ac:dyDescent="0.25">
      <c r="A71" s="2055" t="s">
        <v>16</v>
      </c>
      <c r="B71" s="2055"/>
      <c r="C71" s="2055"/>
      <c r="D71" s="2055"/>
      <c r="E71" s="2055" t="s">
        <v>10</v>
      </c>
      <c r="F71" s="2055"/>
      <c r="G71" s="2055"/>
      <c r="H71" s="2055"/>
      <c r="I71" s="2055"/>
      <c r="J71" s="2055"/>
      <c r="K71" s="2055"/>
      <c r="L71" s="2055"/>
      <c r="M71" s="2055"/>
      <c r="N71" s="2055"/>
      <c r="O71" s="2055"/>
      <c r="P71" s="2055"/>
      <c r="Q71" s="2055" t="s">
        <v>17</v>
      </c>
      <c r="R71" s="2055"/>
      <c r="S71" s="2055"/>
      <c r="T71" s="2055"/>
      <c r="U71" s="2056" t="s">
        <v>18</v>
      </c>
      <c r="V71" s="2057"/>
      <c r="W71" s="2058"/>
      <c r="X71" s="2056" t="s">
        <v>1708</v>
      </c>
      <c r="Y71" s="2057"/>
      <c r="Z71" s="2057"/>
      <c r="AA71" s="2057"/>
      <c r="AB71" s="2057"/>
      <c r="AC71" s="2057"/>
      <c r="AD71" s="2057"/>
      <c r="AE71" s="2057"/>
      <c r="AF71" s="2058"/>
    </row>
    <row r="72" spans="1:32" ht="49.5" customHeight="1" x14ac:dyDescent="0.25">
      <c r="A72" s="2059" t="s">
        <v>2874</v>
      </c>
      <c r="B72" s="2060" t="s">
        <v>552</v>
      </c>
      <c r="C72" s="2060" t="s">
        <v>552</v>
      </c>
      <c r="D72" s="2061" t="s">
        <v>552</v>
      </c>
      <c r="E72" s="2062" t="s">
        <v>4639</v>
      </c>
      <c r="F72" s="2062"/>
      <c r="G72" s="2062" t="s">
        <v>553</v>
      </c>
      <c r="H72" s="2062"/>
      <c r="I72" s="2062" t="s">
        <v>553</v>
      </c>
      <c r="J72" s="2062"/>
      <c r="K72" s="2062" t="s">
        <v>553</v>
      </c>
      <c r="L72" s="2062"/>
      <c r="M72" s="2062" t="s">
        <v>553</v>
      </c>
      <c r="N72" s="2062"/>
      <c r="O72" s="2062" t="s">
        <v>553</v>
      </c>
      <c r="P72" s="2062"/>
      <c r="Q72" s="2063" t="s">
        <v>2875</v>
      </c>
      <c r="R72" s="2063">
        <v>1.28</v>
      </c>
      <c r="S72" s="2063">
        <v>1.28</v>
      </c>
      <c r="T72" s="2063">
        <v>1.28</v>
      </c>
      <c r="U72" s="2064" t="s">
        <v>2876</v>
      </c>
      <c r="V72" s="2065"/>
      <c r="W72" s="2066"/>
      <c r="X72" s="2067" t="s">
        <v>3568</v>
      </c>
      <c r="Y72" s="2068"/>
      <c r="Z72" s="2068"/>
      <c r="AA72" s="2068"/>
      <c r="AB72" s="2068"/>
      <c r="AC72" s="2068"/>
      <c r="AD72" s="2068"/>
      <c r="AE72" s="2068"/>
      <c r="AF72" s="2069"/>
    </row>
    <row r="73" spans="1:32" ht="66.75" customHeight="1" x14ac:dyDescent="0.25">
      <c r="A73" s="2059" t="s">
        <v>3452</v>
      </c>
      <c r="B73" s="2060" t="s">
        <v>212</v>
      </c>
      <c r="C73" s="2060" t="s">
        <v>212</v>
      </c>
      <c r="D73" s="2061" t="s">
        <v>212</v>
      </c>
      <c r="E73" s="2062" t="s">
        <v>3473</v>
      </c>
      <c r="F73" s="2062"/>
      <c r="G73" s="2062" t="s">
        <v>214</v>
      </c>
      <c r="H73" s="2062"/>
      <c r="I73" s="2062" t="s">
        <v>214</v>
      </c>
      <c r="J73" s="2062"/>
      <c r="K73" s="2062" t="s">
        <v>214</v>
      </c>
      <c r="L73" s="2062"/>
      <c r="M73" s="2062" t="s">
        <v>214</v>
      </c>
      <c r="N73" s="2062"/>
      <c r="O73" s="2062" t="s">
        <v>214</v>
      </c>
      <c r="P73" s="2062"/>
      <c r="Q73" s="2070" t="s">
        <v>626</v>
      </c>
      <c r="R73" s="2070" t="s">
        <v>215</v>
      </c>
      <c r="S73" s="2070" t="s">
        <v>215</v>
      </c>
      <c r="T73" s="2070" t="s">
        <v>215</v>
      </c>
      <c r="U73" s="2064" t="s">
        <v>2878</v>
      </c>
      <c r="V73" s="2065"/>
      <c r="W73" s="2066"/>
      <c r="X73" s="2067" t="s">
        <v>3446</v>
      </c>
      <c r="Y73" s="2068"/>
      <c r="Z73" s="2068"/>
      <c r="AA73" s="2068"/>
      <c r="AB73" s="2068"/>
      <c r="AC73" s="2068"/>
      <c r="AD73" s="2068"/>
      <c r="AE73" s="2068"/>
      <c r="AF73" s="2069"/>
    </row>
    <row r="74" spans="1:32" ht="63.75" customHeight="1" x14ac:dyDescent="0.25">
      <c r="A74" s="2059" t="s">
        <v>3453</v>
      </c>
      <c r="B74" s="2060" t="s">
        <v>212</v>
      </c>
      <c r="C74" s="2060" t="s">
        <v>212</v>
      </c>
      <c r="D74" s="2061" t="s">
        <v>212</v>
      </c>
      <c r="E74" s="2062" t="s">
        <v>3474</v>
      </c>
      <c r="F74" s="2062"/>
      <c r="G74" s="2062" t="s">
        <v>214</v>
      </c>
      <c r="H74" s="2062"/>
      <c r="I74" s="2062" t="s">
        <v>214</v>
      </c>
      <c r="J74" s="2062"/>
      <c r="K74" s="2062" t="s">
        <v>214</v>
      </c>
      <c r="L74" s="2062"/>
      <c r="M74" s="2062" t="s">
        <v>214</v>
      </c>
      <c r="N74" s="2062"/>
      <c r="O74" s="2062" t="s">
        <v>214</v>
      </c>
      <c r="P74" s="2062"/>
      <c r="Q74" s="2070" t="s">
        <v>626</v>
      </c>
      <c r="R74" s="2070" t="s">
        <v>215</v>
      </c>
      <c r="S74" s="2070" t="s">
        <v>215</v>
      </c>
      <c r="T74" s="2070" t="s">
        <v>215</v>
      </c>
      <c r="U74" s="2064" t="s">
        <v>2878</v>
      </c>
      <c r="V74" s="2065"/>
      <c r="W74" s="2066"/>
      <c r="X74" s="2067" t="s">
        <v>3569</v>
      </c>
      <c r="Y74" s="2068"/>
      <c r="Z74" s="2068"/>
      <c r="AA74" s="2068"/>
      <c r="AB74" s="2068"/>
      <c r="AC74" s="2068"/>
      <c r="AD74" s="2068"/>
      <c r="AE74" s="2068"/>
      <c r="AF74" s="2069"/>
    </row>
    <row r="75" spans="1:32" ht="72" customHeight="1" x14ac:dyDescent="0.25">
      <c r="A75" s="2059" t="s">
        <v>3455</v>
      </c>
      <c r="B75" s="2060" t="s">
        <v>213</v>
      </c>
      <c r="C75" s="2060" t="s">
        <v>213</v>
      </c>
      <c r="D75" s="2061" t="s">
        <v>213</v>
      </c>
      <c r="E75" s="2062" t="s">
        <v>3475</v>
      </c>
      <c r="F75" s="2062"/>
      <c r="G75" s="2062" t="s">
        <v>214</v>
      </c>
      <c r="H75" s="2062"/>
      <c r="I75" s="2062" t="s">
        <v>214</v>
      </c>
      <c r="J75" s="2062"/>
      <c r="K75" s="2062" t="s">
        <v>214</v>
      </c>
      <c r="L75" s="2062"/>
      <c r="M75" s="2062" t="s">
        <v>214</v>
      </c>
      <c r="N75" s="2062"/>
      <c r="O75" s="2062" t="s">
        <v>214</v>
      </c>
      <c r="P75" s="2062"/>
      <c r="Q75" s="2070" t="s">
        <v>2877</v>
      </c>
      <c r="R75" s="2070" t="s">
        <v>215</v>
      </c>
      <c r="S75" s="2070" t="s">
        <v>215</v>
      </c>
      <c r="T75" s="2070" t="s">
        <v>215</v>
      </c>
      <c r="U75" s="2064" t="s">
        <v>2878</v>
      </c>
      <c r="V75" s="2065"/>
      <c r="W75" s="2066"/>
      <c r="X75" s="2067" t="s">
        <v>3767</v>
      </c>
      <c r="Y75" s="2068"/>
      <c r="Z75" s="2068"/>
      <c r="AA75" s="2068"/>
      <c r="AB75" s="2068"/>
      <c r="AC75" s="2068"/>
      <c r="AD75" s="2068"/>
      <c r="AE75" s="2068"/>
      <c r="AF75" s="2069"/>
    </row>
    <row r="76" spans="1:32" ht="51" customHeight="1" x14ac:dyDescent="0.25">
      <c r="A76" s="2059" t="s">
        <v>3450</v>
      </c>
      <c r="B76" s="2060" t="s">
        <v>212</v>
      </c>
      <c r="C76" s="2060" t="s">
        <v>212</v>
      </c>
      <c r="D76" s="2061" t="s">
        <v>212</v>
      </c>
      <c r="E76" s="2062" t="s">
        <v>3476</v>
      </c>
      <c r="F76" s="2062"/>
      <c r="G76" s="2062" t="s">
        <v>214</v>
      </c>
      <c r="H76" s="2062"/>
      <c r="I76" s="2062" t="s">
        <v>214</v>
      </c>
      <c r="J76" s="2062"/>
      <c r="K76" s="2062" t="s">
        <v>214</v>
      </c>
      <c r="L76" s="2062"/>
      <c r="M76" s="2062" t="s">
        <v>214</v>
      </c>
      <c r="N76" s="2062"/>
      <c r="O76" s="2062" t="s">
        <v>214</v>
      </c>
      <c r="P76" s="2062"/>
      <c r="Q76" s="2070" t="s">
        <v>626</v>
      </c>
      <c r="R76" s="2070" t="s">
        <v>215</v>
      </c>
      <c r="S76" s="2070" t="s">
        <v>215</v>
      </c>
      <c r="T76" s="2070" t="s">
        <v>215</v>
      </c>
      <c r="U76" s="2064" t="s">
        <v>2878</v>
      </c>
      <c r="V76" s="2065"/>
      <c r="W76" s="2066"/>
      <c r="X76" s="2067" t="s">
        <v>3570</v>
      </c>
      <c r="Y76" s="2068"/>
      <c r="Z76" s="2068"/>
      <c r="AA76" s="2068"/>
      <c r="AB76" s="2068"/>
      <c r="AC76" s="2068"/>
      <c r="AD76" s="2068"/>
      <c r="AE76" s="2068"/>
      <c r="AF76" s="2069"/>
    </row>
    <row r="77" spans="1:32" ht="63.75" customHeight="1" x14ac:dyDescent="0.25">
      <c r="A77" s="2059" t="s">
        <v>3451</v>
      </c>
      <c r="B77" s="2060" t="s">
        <v>212</v>
      </c>
      <c r="C77" s="2060" t="s">
        <v>212</v>
      </c>
      <c r="D77" s="2061" t="s">
        <v>212</v>
      </c>
      <c r="E77" s="2062" t="s">
        <v>3477</v>
      </c>
      <c r="F77" s="2062"/>
      <c r="G77" s="2062" t="s">
        <v>214</v>
      </c>
      <c r="H77" s="2062"/>
      <c r="I77" s="2062" t="s">
        <v>214</v>
      </c>
      <c r="J77" s="2062"/>
      <c r="K77" s="2062" t="s">
        <v>214</v>
      </c>
      <c r="L77" s="2062"/>
      <c r="M77" s="2062" t="s">
        <v>214</v>
      </c>
      <c r="N77" s="2062"/>
      <c r="O77" s="2062" t="s">
        <v>214</v>
      </c>
      <c r="P77" s="2062"/>
      <c r="Q77" s="2070" t="s">
        <v>626</v>
      </c>
      <c r="R77" s="2070" t="s">
        <v>215</v>
      </c>
      <c r="S77" s="2070" t="s">
        <v>215</v>
      </c>
      <c r="T77" s="2070" t="s">
        <v>215</v>
      </c>
      <c r="U77" s="2064" t="s">
        <v>2878</v>
      </c>
      <c r="V77" s="2065"/>
      <c r="W77" s="2066"/>
      <c r="X77" s="2067" t="s">
        <v>3445</v>
      </c>
      <c r="Y77" s="2068"/>
      <c r="Z77" s="2068"/>
      <c r="AA77" s="2068"/>
      <c r="AB77" s="2068"/>
      <c r="AC77" s="2068"/>
      <c r="AD77" s="2068"/>
      <c r="AE77" s="2068"/>
      <c r="AF77" s="2069"/>
    </row>
    <row r="78" spans="1:32" ht="132.75" customHeight="1" x14ac:dyDescent="0.25">
      <c r="A78" s="2059" t="s">
        <v>3454</v>
      </c>
      <c r="B78" s="2060" t="s">
        <v>213</v>
      </c>
      <c r="C78" s="2060" t="s">
        <v>213</v>
      </c>
      <c r="D78" s="2061" t="s">
        <v>213</v>
      </c>
      <c r="E78" s="2062" t="s">
        <v>3478</v>
      </c>
      <c r="F78" s="2062"/>
      <c r="G78" s="2062" t="s">
        <v>214</v>
      </c>
      <c r="H78" s="2062"/>
      <c r="I78" s="2062" t="s">
        <v>214</v>
      </c>
      <c r="J78" s="2062"/>
      <c r="K78" s="2062" t="s">
        <v>214</v>
      </c>
      <c r="L78" s="2062"/>
      <c r="M78" s="2062" t="s">
        <v>214</v>
      </c>
      <c r="N78" s="2062"/>
      <c r="O78" s="2062" t="s">
        <v>214</v>
      </c>
      <c r="P78" s="2062"/>
      <c r="Q78" s="2070" t="s">
        <v>2877</v>
      </c>
      <c r="R78" s="2070" t="s">
        <v>215</v>
      </c>
      <c r="S78" s="2070" t="s">
        <v>215</v>
      </c>
      <c r="T78" s="2070" t="s">
        <v>215</v>
      </c>
      <c r="U78" s="2064" t="s">
        <v>2878</v>
      </c>
      <c r="V78" s="2065"/>
      <c r="W78" s="2066"/>
      <c r="X78" s="2067" t="s">
        <v>3768</v>
      </c>
      <c r="Y78" s="2068"/>
      <c r="Z78" s="2068"/>
      <c r="AA78" s="2068"/>
      <c r="AB78" s="2068"/>
      <c r="AC78" s="2068"/>
      <c r="AD78" s="2068"/>
      <c r="AE78" s="2068"/>
      <c r="AF78" s="2069"/>
    </row>
    <row r="79" spans="1:32" ht="76.5" customHeight="1" x14ac:dyDescent="0.25">
      <c r="A79" s="2059" t="s">
        <v>29</v>
      </c>
      <c r="B79" s="2060" t="s">
        <v>29</v>
      </c>
      <c r="C79" s="2060" t="s">
        <v>29</v>
      </c>
      <c r="D79" s="2061" t="s">
        <v>29</v>
      </c>
      <c r="E79" s="2062" t="s">
        <v>104</v>
      </c>
      <c r="F79" s="2062"/>
      <c r="G79" s="2062" t="s">
        <v>546</v>
      </c>
      <c r="H79" s="2062"/>
      <c r="I79" s="2062" t="s">
        <v>546</v>
      </c>
      <c r="J79" s="2062"/>
      <c r="K79" s="2062" t="s">
        <v>546</v>
      </c>
      <c r="L79" s="2062"/>
      <c r="M79" s="2062" t="s">
        <v>546</v>
      </c>
      <c r="N79" s="2062"/>
      <c r="O79" s="2062" t="s">
        <v>546</v>
      </c>
      <c r="P79" s="2062"/>
      <c r="Q79" s="2071" t="s">
        <v>1106</v>
      </c>
      <c r="R79" s="2071">
        <v>0.5</v>
      </c>
      <c r="S79" s="2071">
        <v>0.5</v>
      </c>
      <c r="T79" s="2071">
        <v>0.5</v>
      </c>
      <c r="U79" s="2072" t="s">
        <v>28</v>
      </c>
      <c r="V79" s="2073"/>
      <c r="W79" s="2074" t="s">
        <v>1080</v>
      </c>
      <c r="X79" s="1538" t="s">
        <v>3356</v>
      </c>
      <c r="Y79" s="1539"/>
      <c r="Z79" s="1539"/>
      <c r="AA79" s="1539"/>
      <c r="AB79" s="1539"/>
      <c r="AC79" s="1539"/>
      <c r="AD79" s="1539"/>
      <c r="AE79" s="1539"/>
      <c r="AF79" s="1540"/>
    </row>
    <row r="80" spans="1:32" ht="65.25" customHeight="1" x14ac:dyDescent="0.25">
      <c r="A80" s="2059" t="s">
        <v>257</v>
      </c>
      <c r="B80" s="2060" t="s">
        <v>216</v>
      </c>
      <c r="C80" s="2060" t="s">
        <v>216</v>
      </c>
      <c r="D80" s="2061" t="s">
        <v>216</v>
      </c>
      <c r="E80" s="2062" t="s">
        <v>1175</v>
      </c>
      <c r="F80" s="2062"/>
      <c r="G80" s="2062" t="s">
        <v>217</v>
      </c>
      <c r="H80" s="2062"/>
      <c r="I80" s="2062" t="s">
        <v>217</v>
      </c>
      <c r="J80" s="2062"/>
      <c r="K80" s="2062" t="s">
        <v>217</v>
      </c>
      <c r="L80" s="2062"/>
      <c r="M80" s="2062" t="s">
        <v>217</v>
      </c>
      <c r="N80" s="2062"/>
      <c r="O80" s="2062" t="s">
        <v>217</v>
      </c>
      <c r="P80" s="2062"/>
      <c r="Q80" s="2071" t="s">
        <v>1106</v>
      </c>
      <c r="R80" s="2071">
        <v>0.5</v>
      </c>
      <c r="S80" s="2071">
        <v>0.5</v>
      </c>
      <c r="T80" s="2071">
        <v>0.5</v>
      </c>
      <c r="U80" s="2072" t="s">
        <v>1000</v>
      </c>
      <c r="V80" s="2073"/>
      <c r="W80" s="2074" t="s">
        <v>1081</v>
      </c>
      <c r="X80" s="1538" t="s">
        <v>3571</v>
      </c>
      <c r="Y80" s="1539"/>
      <c r="Z80" s="1539"/>
      <c r="AA80" s="1539"/>
      <c r="AB80" s="1539"/>
      <c r="AC80" s="1539"/>
      <c r="AD80" s="1539"/>
      <c r="AE80" s="1539"/>
      <c r="AF80" s="1540"/>
    </row>
    <row r="81" spans="1:32" x14ac:dyDescent="0.25">
      <c r="A81" s="2059" t="s">
        <v>42</v>
      </c>
      <c r="B81" s="2060" t="s">
        <v>42</v>
      </c>
      <c r="C81" s="2060" t="s">
        <v>42</v>
      </c>
      <c r="D81" s="2061" t="s">
        <v>42</v>
      </c>
      <c r="E81" s="2062" t="s">
        <v>865</v>
      </c>
      <c r="F81" s="2062"/>
      <c r="G81" s="2062" t="s">
        <v>548</v>
      </c>
      <c r="H81" s="2062"/>
      <c r="I81" s="2062" t="s">
        <v>548</v>
      </c>
      <c r="J81" s="2062"/>
      <c r="K81" s="2062" t="s">
        <v>548</v>
      </c>
      <c r="L81" s="2062"/>
      <c r="M81" s="2062" t="s">
        <v>548</v>
      </c>
      <c r="N81" s="2062"/>
      <c r="O81" s="2062" t="s">
        <v>548</v>
      </c>
      <c r="P81" s="2062"/>
      <c r="Q81" s="2071">
        <v>1</v>
      </c>
      <c r="R81" s="2071">
        <v>1</v>
      </c>
      <c r="S81" s="2071">
        <v>1</v>
      </c>
      <c r="T81" s="2071">
        <v>1</v>
      </c>
      <c r="U81" s="2072" t="s">
        <v>28</v>
      </c>
      <c r="V81" s="2073"/>
      <c r="W81" s="2074"/>
      <c r="X81" s="2075"/>
      <c r="Y81" s="2076"/>
      <c r="Z81" s="2076"/>
      <c r="AA81" s="2076"/>
      <c r="AB81" s="2076"/>
      <c r="AC81" s="2076"/>
      <c r="AD81" s="2076"/>
      <c r="AE81" s="2076"/>
      <c r="AF81" s="2077"/>
    </row>
    <row r="82" spans="1:32" x14ac:dyDescent="0.25">
      <c r="A82" s="1647" t="s">
        <v>167</v>
      </c>
      <c r="B82" s="1648"/>
      <c r="C82" s="1648"/>
      <c r="D82" s="1649"/>
      <c r="E82" s="1653" t="s">
        <v>3457</v>
      </c>
      <c r="F82" s="1654"/>
      <c r="G82" s="1654"/>
      <c r="H82" s="1654"/>
      <c r="I82" s="1654"/>
      <c r="J82" s="1654"/>
      <c r="K82" s="1654"/>
      <c r="L82" s="1654"/>
      <c r="M82" s="1654"/>
      <c r="N82" s="1654"/>
      <c r="O82" s="1654"/>
      <c r="P82" s="1655"/>
      <c r="Q82" s="2078">
        <v>1000</v>
      </c>
      <c r="R82" s="2078"/>
      <c r="S82" s="2078"/>
      <c r="T82" s="2078"/>
      <c r="U82" s="2072" t="s">
        <v>293</v>
      </c>
      <c r="V82" s="2073"/>
      <c r="W82" s="2074"/>
      <c r="X82" s="2075"/>
      <c r="Y82" s="2076"/>
      <c r="Z82" s="2076"/>
      <c r="AA82" s="2076"/>
      <c r="AB82" s="2076"/>
      <c r="AC82" s="2076"/>
      <c r="AD82" s="2076"/>
      <c r="AE82" s="2076"/>
      <c r="AF82" s="2077"/>
    </row>
    <row r="83" spans="1:32" x14ac:dyDescent="0.25">
      <c r="A83" s="1680" t="s">
        <v>1828</v>
      </c>
      <c r="B83" s="1681"/>
      <c r="C83" s="1681"/>
      <c r="D83" s="1682"/>
      <c r="E83" s="1494" t="s">
        <v>3458</v>
      </c>
      <c r="F83" s="1495"/>
      <c r="G83" s="1495"/>
      <c r="H83" s="1495"/>
      <c r="I83" s="1495"/>
      <c r="J83" s="1495"/>
      <c r="K83" s="1495"/>
      <c r="L83" s="1495"/>
      <c r="M83" s="1495"/>
      <c r="N83" s="1495"/>
      <c r="O83" s="1495"/>
      <c r="P83" s="1496"/>
      <c r="Q83" s="2071">
        <f>Q84/3</f>
        <v>3</v>
      </c>
      <c r="R83" s="2071"/>
      <c r="S83" s="2071"/>
      <c r="T83" s="2071"/>
      <c r="U83" s="2072" t="s">
        <v>46</v>
      </c>
      <c r="V83" s="2073"/>
      <c r="W83" s="2074"/>
      <c r="X83" s="2075" t="s">
        <v>3459</v>
      </c>
      <c r="Y83" s="2076"/>
      <c r="Z83" s="2076"/>
      <c r="AA83" s="2076"/>
      <c r="AB83" s="2076"/>
      <c r="AC83" s="2076"/>
      <c r="AD83" s="2076"/>
      <c r="AE83" s="2076"/>
      <c r="AF83" s="2077"/>
    </row>
    <row r="84" spans="1:32" x14ac:dyDescent="0.25">
      <c r="A84" s="1680" t="s">
        <v>2724</v>
      </c>
      <c r="B84" s="1681"/>
      <c r="C84" s="1681"/>
      <c r="D84" s="1682"/>
      <c r="E84" s="1494" t="s">
        <v>2217</v>
      </c>
      <c r="F84" s="1495"/>
      <c r="G84" s="1495"/>
      <c r="H84" s="1495"/>
      <c r="I84" s="1495"/>
      <c r="J84" s="1495"/>
      <c r="K84" s="1495"/>
      <c r="L84" s="1495"/>
      <c r="M84" s="1495"/>
      <c r="N84" s="1495"/>
      <c r="O84" s="1495"/>
      <c r="P84" s="1496"/>
      <c r="Q84" s="2071">
        <f>'Master EUL'!X80</f>
        <v>9</v>
      </c>
      <c r="R84" s="2071"/>
      <c r="S84" s="2071"/>
      <c r="T84" s="2071"/>
      <c r="U84" s="2072" t="s">
        <v>46</v>
      </c>
      <c r="V84" s="2073"/>
      <c r="W84" s="2074"/>
      <c r="X84" s="2075" t="s">
        <v>3456</v>
      </c>
      <c r="Y84" s="2076"/>
      <c r="Z84" s="2076"/>
      <c r="AA84" s="2076"/>
      <c r="AB84" s="2076"/>
      <c r="AC84" s="2076"/>
      <c r="AD84" s="2076"/>
      <c r="AE84" s="2076"/>
      <c r="AF84" s="2077"/>
    </row>
    <row r="85" spans="1:32" x14ac:dyDescent="0.25">
      <c r="A85" s="2080" t="s">
        <v>3509</v>
      </c>
      <c r="B85" s="2080"/>
      <c r="C85" s="2080"/>
      <c r="D85" s="2080"/>
      <c r="E85" s="2080"/>
      <c r="F85" s="2080"/>
      <c r="G85" s="2080"/>
      <c r="H85" s="2080"/>
      <c r="I85" s="2080"/>
      <c r="J85" s="2080"/>
      <c r="K85" s="2080"/>
      <c r="L85" s="2080"/>
      <c r="M85" s="2080"/>
      <c r="N85" s="2080"/>
      <c r="O85" s="2080"/>
      <c r="P85" s="2080"/>
      <c r="Q85" s="2080"/>
      <c r="R85" s="2080"/>
      <c r="S85" s="2080"/>
      <c r="T85" s="2080"/>
      <c r="U85" s="2080"/>
      <c r="V85" s="2080"/>
      <c r="W85" s="2080"/>
      <c r="X85" s="2080"/>
      <c r="Y85" s="2080"/>
      <c r="Z85" s="2080"/>
      <c r="AA85" s="2080"/>
      <c r="AB85" s="2080"/>
      <c r="AC85" s="2080"/>
      <c r="AD85" s="2080"/>
      <c r="AE85" s="2080"/>
      <c r="AF85" s="2080"/>
    </row>
    <row r="86" spans="1:32" ht="45" customHeight="1" x14ac:dyDescent="0.25">
      <c r="A86" s="2079" t="s">
        <v>3572</v>
      </c>
      <c r="B86" s="2079"/>
      <c r="C86" s="2079"/>
      <c r="D86" s="2079"/>
      <c r="E86" s="2079"/>
      <c r="F86" s="2079"/>
      <c r="G86" s="2079"/>
      <c r="H86" s="2079"/>
      <c r="I86" s="2079"/>
      <c r="J86" s="2079"/>
      <c r="K86" s="2079"/>
      <c r="L86" s="2079"/>
      <c r="M86" s="2079"/>
      <c r="N86" s="2079"/>
      <c r="O86" s="2079"/>
      <c r="P86" s="2079"/>
      <c r="Q86" s="2079"/>
      <c r="R86" s="2079"/>
      <c r="S86" s="2079"/>
      <c r="T86" s="2079"/>
      <c r="U86" s="2079"/>
      <c r="V86" s="2079"/>
      <c r="W86" s="2079"/>
      <c r="X86" s="2079"/>
      <c r="Y86" s="2079"/>
      <c r="Z86" s="2079"/>
      <c r="AA86" s="2079"/>
      <c r="AB86" s="2079"/>
      <c r="AC86" s="2079"/>
      <c r="AD86" s="2079"/>
      <c r="AE86" s="2079"/>
      <c r="AF86" s="2079"/>
    </row>
    <row r="87" spans="1:32" ht="104.25" customHeight="1" x14ac:dyDescent="0.25">
      <c r="A87" s="2079" t="s">
        <v>3573</v>
      </c>
      <c r="B87" s="2079"/>
      <c r="C87" s="2079"/>
      <c r="D87" s="2079"/>
      <c r="E87" s="2079"/>
      <c r="F87" s="2079"/>
      <c r="G87" s="2079"/>
      <c r="H87" s="2079"/>
      <c r="I87" s="2079"/>
      <c r="J87" s="2079"/>
      <c r="K87" s="2079"/>
      <c r="L87" s="2079"/>
      <c r="M87" s="2079"/>
      <c r="N87" s="2079"/>
      <c r="O87" s="2079"/>
      <c r="P87" s="2079"/>
      <c r="Q87" s="2079"/>
      <c r="R87" s="2079"/>
      <c r="S87" s="2079"/>
      <c r="T87" s="2079"/>
      <c r="U87" s="2079"/>
      <c r="V87" s="2079"/>
      <c r="W87" s="2079"/>
      <c r="X87" s="2079"/>
      <c r="Y87" s="2079"/>
      <c r="Z87" s="2079"/>
      <c r="AA87" s="2079"/>
      <c r="AB87" s="2079"/>
      <c r="AC87" s="2079"/>
      <c r="AD87" s="2079"/>
      <c r="AE87" s="2079"/>
      <c r="AF87" s="2079"/>
    </row>
    <row r="88" spans="1:32" x14ac:dyDescent="0.25">
      <c r="A88" s="585"/>
      <c r="B88" s="585"/>
      <c r="C88" s="585"/>
      <c r="D88" s="585"/>
      <c r="E88" s="586"/>
      <c r="F88" s="586"/>
      <c r="G88" s="586"/>
      <c r="H88" s="586"/>
      <c r="I88" s="586"/>
      <c r="J88" s="586"/>
      <c r="K88" s="586"/>
      <c r="L88" s="586"/>
      <c r="M88" s="586"/>
      <c r="N88" s="586"/>
      <c r="O88" s="586"/>
      <c r="P88" s="586"/>
      <c r="Q88" s="587"/>
      <c r="R88" s="587"/>
      <c r="S88" s="587"/>
      <c r="T88" s="587"/>
      <c r="U88" s="587"/>
      <c r="V88" s="587"/>
      <c r="W88" s="587"/>
      <c r="X88" s="586"/>
      <c r="Y88" s="586"/>
      <c r="Z88" s="586"/>
      <c r="AA88" s="586"/>
      <c r="AB88" s="586"/>
      <c r="AC88" s="586"/>
      <c r="AD88" s="586"/>
      <c r="AE88" s="586"/>
      <c r="AF88" s="586"/>
    </row>
    <row r="89" spans="1:32" x14ac:dyDescent="0.25">
      <c r="A89" s="2040" t="s">
        <v>21</v>
      </c>
      <c r="B89" s="2040"/>
      <c r="C89" s="2040"/>
      <c r="D89" s="2040"/>
      <c r="E89" s="2040"/>
      <c r="F89" s="2040"/>
      <c r="G89" s="2040"/>
      <c r="H89" s="2040"/>
      <c r="I89" s="2040"/>
      <c r="J89" s="2040"/>
      <c r="K89" s="2040"/>
      <c r="L89" s="2040"/>
      <c r="M89" s="2040"/>
      <c r="N89" s="2040"/>
      <c r="O89" s="2040"/>
      <c r="P89" s="2040"/>
      <c r="Q89" s="2040"/>
      <c r="R89" s="2040"/>
      <c r="S89" s="2040"/>
      <c r="T89" s="2040"/>
      <c r="U89" s="2040"/>
      <c r="V89" s="2040"/>
      <c r="W89" s="2040"/>
      <c r="X89" s="2040"/>
      <c r="Y89" s="2040"/>
      <c r="Z89" s="2040"/>
      <c r="AA89" s="2040"/>
      <c r="AB89" s="2040"/>
      <c r="AC89" s="2040"/>
      <c r="AD89" s="2040"/>
      <c r="AE89" s="2040"/>
      <c r="AF89" s="2040"/>
    </row>
    <row r="90" spans="1:32" x14ac:dyDescent="0.25">
      <c r="A90" s="546"/>
      <c r="B90" s="548"/>
      <c r="C90" s="547"/>
      <c r="D90" s="547"/>
      <c r="E90" s="547"/>
      <c r="F90" s="547"/>
      <c r="G90" s="547"/>
      <c r="H90" s="547"/>
      <c r="I90" s="547"/>
      <c r="J90" s="547"/>
      <c r="K90" s="547"/>
      <c r="L90" s="547"/>
      <c r="M90" s="547"/>
      <c r="N90" s="547"/>
      <c r="O90" s="547"/>
      <c r="P90" s="547"/>
      <c r="Q90" s="547"/>
      <c r="R90" s="547"/>
      <c r="S90" s="547"/>
      <c r="T90" s="547"/>
      <c r="U90" s="547"/>
      <c r="V90" s="547"/>
      <c r="W90" s="547"/>
      <c r="X90" s="547"/>
      <c r="Y90" s="547"/>
      <c r="Z90" s="547"/>
      <c r="AA90" s="547"/>
      <c r="AB90" s="547"/>
      <c r="AC90" s="547"/>
      <c r="AD90" s="547"/>
      <c r="AE90" s="547"/>
      <c r="AF90" s="547"/>
    </row>
    <row r="91" spans="1:32" x14ac:dyDescent="0.25">
      <c r="A91" s="227"/>
      <c r="B91" s="1168" t="s">
        <v>3574</v>
      </c>
      <c r="C91" s="1168"/>
      <c r="D91" s="1168"/>
      <c r="E91" s="1168"/>
      <c r="F91" s="1168"/>
      <c r="G91" s="1168"/>
      <c r="H91" s="1168"/>
      <c r="I91" s="1168"/>
      <c r="J91" s="1168"/>
      <c r="K91" s="1168"/>
      <c r="L91" s="1168"/>
      <c r="M91" s="1168"/>
      <c r="N91" s="1168"/>
      <c r="O91" s="1168"/>
      <c r="P91" s="1168"/>
      <c r="Q91" s="1168"/>
      <c r="R91" s="1168"/>
      <c r="S91" s="1168"/>
      <c r="T91" s="1168"/>
      <c r="U91" s="1168"/>
      <c r="V91" s="1168"/>
      <c r="W91" s="1168"/>
      <c r="X91" s="1168"/>
      <c r="Y91" s="1168"/>
      <c r="Z91" s="1168"/>
      <c r="AA91" s="1168"/>
      <c r="AB91" s="1168"/>
      <c r="AC91" s="1168"/>
      <c r="AD91" s="1168"/>
      <c r="AE91" s="1168"/>
      <c r="AF91" s="1168"/>
    </row>
    <row r="92" spans="1:32" x14ac:dyDescent="0.25">
      <c r="A92" s="227"/>
      <c r="B92" s="227"/>
      <c r="C92" s="227"/>
      <c r="D92" s="227"/>
      <c r="E92" s="227"/>
      <c r="F92" s="227"/>
      <c r="G92" s="2081" t="s">
        <v>3624</v>
      </c>
      <c r="H92" s="2081"/>
      <c r="I92" s="2081"/>
      <c r="J92" s="2081"/>
      <c r="K92" s="2081"/>
      <c r="L92" s="2081"/>
      <c r="M92" s="2081"/>
      <c r="N92" s="2081"/>
      <c r="O92" s="2081"/>
      <c r="P92" s="2081"/>
      <c r="Q92" s="227"/>
      <c r="R92" s="227"/>
      <c r="S92" s="227"/>
      <c r="T92" s="227"/>
      <c r="U92" s="227"/>
      <c r="V92" s="227"/>
      <c r="W92" s="227"/>
      <c r="X92" s="227"/>
      <c r="Y92" s="227"/>
      <c r="Z92" s="227"/>
      <c r="AA92" s="227"/>
      <c r="AB92" s="227"/>
      <c r="AC92" s="227"/>
      <c r="AD92" s="227"/>
      <c r="AE92" s="227"/>
      <c r="AF92" s="227"/>
    </row>
    <row r="93" spans="1:32" x14ac:dyDescent="0.25">
      <c r="A93" s="227"/>
      <c r="B93" s="227"/>
      <c r="C93" s="227"/>
      <c r="D93" s="227"/>
      <c r="E93" s="227"/>
      <c r="F93" s="227"/>
      <c r="G93" s="227"/>
      <c r="H93" s="227"/>
      <c r="I93" s="227"/>
      <c r="J93" s="227"/>
      <c r="K93" s="227"/>
      <c r="L93" s="227"/>
      <c r="M93" s="227"/>
      <c r="N93" s="227"/>
      <c r="O93" s="227"/>
      <c r="P93" s="227"/>
      <c r="Q93" s="227"/>
      <c r="R93" s="227"/>
      <c r="S93" s="227"/>
      <c r="T93" s="227"/>
      <c r="U93" s="227"/>
      <c r="V93" s="227"/>
      <c r="W93" s="227"/>
      <c r="X93" s="227"/>
      <c r="Y93" s="227"/>
      <c r="Z93" s="227"/>
      <c r="AA93" s="227"/>
      <c r="AB93" s="227"/>
      <c r="AC93" s="227"/>
      <c r="AD93" s="227"/>
      <c r="AE93" s="227"/>
      <c r="AF93" s="227"/>
    </row>
    <row r="94" spans="1:32" ht="68.25" customHeight="1" x14ac:dyDescent="0.25">
      <c r="A94" s="192"/>
      <c r="B94" s="1173" t="s">
        <v>3575</v>
      </c>
      <c r="C94" s="1173"/>
      <c r="D94" s="1173"/>
      <c r="E94" s="1173"/>
      <c r="F94" s="1173"/>
      <c r="G94" s="1173"/>
      <c r="H94" s="1173"/>
      <c r="I94" s="1173"/>
      <c r="J94" s="1173"/>
      <c r="K94" s="1173"/>
      <c r="L94" s="1173"/>
      <c r="M94" s="1173"/>
      <c r="N94" s="1173"/>
      <c r="O94" s="1173"/>
      <c r="P94" s="1173"/>
      <c r="Q94" s="1173"/>
      <c r="R94" s="1173"/>
      <c r="S94" s="1173"/>
      <c r="T94" s="1173"/>
      <c r="U94" s="1173"/>
      <c r="V94" s="1173"/>
      <c r="W94" s="1173"/>
      <c r="X94" s="1173"/>
      <c r="Y94" s="1173"/>
      <c r="Z94" s="1173"/>
      <c r="AA94" s="1173"/>
      <c r="AB94" s="1173"/>
      <c r="AC94" s="1173"/>
      <c r="AD94" s="1173"/>
      <c r="AE94" s="1173"/>
      <c r="AF94" s="1173"/>
    </row>
    <row r="95" spans="1:32" x14ac:dyDescent="0.25">
      <c r="A95" s="192"/>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263"/>
      <c r="AF95" s="263"/>
    </row>
    <row r="96" spans="1:32" x14ac:dyDescent="0.25">
      <c r="A96" s="192"/>
      <c r="B96" s="190" t="s">
        <v>3576</v>
      </c>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62"/>
      <c r="AE96" s="262"/>
      <c r="AF96" s="262"/>
    </row>
    <row r="97" spans="1:32" x14ac:dyDescent="0.25">
      <c r="A97" s="192"/>
      <c r="B97" s="1439" t="s">
        <v>54</v>
      </c>
      <c r="C97" s="1440"/>
      <c r="D97" s="1440"/>
      <c r="E97" s="1440"/>
      <c r="F97" s="1440"/>
      <c r="G97" s="1440"/>
      <c r="H97" s="1440"/>
      <c r="I97" s="1440"/>
      <c r="J97" s="1440"/>
      <c r="K97" s="1441"/>
      <c r="L97" s="1319" t="s">
        <v>257</v>
      </c>
      <c r="M97" s="1319"/>
      <c r="N97" s="1319"/>
      <c r="O97" s="1319"/>
      <c r="P97" s="1319"/>
      <c r="Q97" s="1319"/>
      <c r="R97" s="1319"/>
      <c r="S97" s="1319"/>
      <c r="T97" s="1319"/>
      <c r="U97" s="1319" t="s">
        <v>29</v>
      </c>
      <c r="V97" s="1319"/>
      <c r="W97" s="1319"/>
      <c r="X97" s="1319"/>
      <c r="Y97" s="1319"/>
      <c r="Z97" s="1319"/>
      <c r="AA97" s="1319"/>
      <c r="AB97" s="1319"/>
      <c r="AC97" s="1319"/>
      <c r="AD97" s="192"/>
      <c r="AE97" s="192"/>
      <c r="AF97" s="192"/>
    </row>
    <row r="98" spans="1:32" x14ac:dyDescent="0.25">
      <c r="A98" s="192"/>
      <c r="B98" s="2004" t="s">
        <v>1984</v>
      </c>
      <c r="C98" s="1670"/>
      <c r="D98" s="1670"/>
      <c r="E98" s="1670"/>
      <c r="F98" s="1670"/>
      <c r="G98" s="1670"/>
      <c r="H98" s="1670"/>
      <c r="I98" s="1670"/>
      <c r="J98" s="1670"/>
      <c r="K98" s="1671"/>
      <c r="L98" s="2002" t="s">
        <v>3577</v>
      </c>
      <c r="M98" s="2002"/>
      <c r="N98" s="2002"/>
      <c r="O98" s="2002"/>
      <c r="P98" s="2002"/>
      <c r="Q98" s="2002"/>
      <c r="R98" s="2002"/>
      <c r="S98" s="2002"/>
      <c r="T98" s="2002"/>
      <c r="U98" s="2003" t="s">
        <v>3577</v>
      </c>
      <c r="V98" s="2003"/>
      <c r="W98" s="2003"/>
      <c r="X98" s="2003"/>
      <c r="Y98" s="2003"/>
      <c r="Z98" s="2003"/>
      <c r="AA98" s="2003"/>
      <c r="AB98" s="2003"/>
      <c r="AC98" s="2003"/>
      <c r="AD98" s="192"/>
      <c r="AE98" s="192"/>
      <c r="AF98" s="192"/>
    </row>
    <row r="99" spans="1:32" ht="15" customHeight="1" x14ac:dyDescent="0.25">
      <c r="A99" s="198"/>
      <c r="B99" s="2004" t="s">
        <v>221</v>
      </c>
      <c r="C99" s="1670"/>
      <c r="D99" s="1670"/>
      <c r="E99" s="1670"/>
      <c r="F99" s="1670"/>
      <c r="G99" s="1670"/>
      <c r="H99" s="1670"/>
      <c r="I99" s="1670"/>
      <c r="J99" s="1670"/>
      <c r="K99" s="1671"/>
      <c r="L99" s="2002" t="s">
        <v>3577</v>
      </c>
      <c r="M99" s="2002"/>
      <c r="N99" s="2002"/>
      <c r="O99" s="2002"/>
      <c r="P99" s="2002"/>
      <c r="Q99" s="2002"/>
      <c r="R99" s="2002"/>
      <c r="S99" s="2002"/>
      <c r="T99" s="2002"/>
      <c r="U99" s="2003" t="s">
        <v>3577</v>
      </c>
      <c r="V99" s="2003"/>
      <c r="W99" s="2003"/>
      <c r="X99" s="2003"/>
      <c r="Y99" s="2003"/>
      <c r="Z99" s="2003"/>
      <c r="AA99" s="2003"/>
      <c r="AB99" s="2003"/>
      <c r="AC99" s="2003"/>
      <c r="AD99" s="192"/>
      <c r="AE99" s="192"/>
      <c r="AF99" s="192"/>
    </row>
    <row r="100" spans="1:32" x14ac:dyDescent="0.25">
      <c r="A100" s="192"/>
      <c r="B100" s="2004" t="s">
        <v>222</v>
      </c>
      <c r="C100" s="1670"/>
      <c r="D100" s="1670"/>
      <c r="E100" s="1670"/>
      <c r="F100" s="1670"/>
      <c r="G100" s="1670"/>
      <c r="H100" s="1670"/>
      <c r="I100" s="1670"/>
      <c r="J100" s="1670"/>
      <c r="K100" s="1671"/>
      <c r="L100" s="2002">
        <f>'EFLH &amp; CF'!I55</f>
        <v>2549</v>
      </c>
      <c r="M100" s="2002"/>
      <c r="N100" s="2002"/>
      <c r="O100" s="2002"/>
      <c r="P100" s="2002"/>
      <c r="Q100" s="2002"/>
      <c r="R100" s="2002"/>
      <c r="S100" s="2002"/>
      <c r="T100" s="2002"/>
      <c r="U100" s="2003">
        <f>'EFLH &amp; CF'!M55</f>
        <v>0.43</v>
      </c>
      <c r="V100" s="2003"/>
      <c r="W100" s="2003"/>
      <c r="X100" s="2003"/>
      <c r="Y100" s="2003"/>
      <c r="Z100" s="2003"/>
      <c r="AA100" s="2003"/>
      <c r="AB100" s="2003"/>
      <c r="AC100" s="2003"/>
      <c r="AD100" s="192"/>
      <c r="AE100" s="192"/>
      <c r="AF100" s="192"/>
    </row>
    <row r="101" spans="1:32" x14ac:dyDescent="0.25">
      <c r="A101" s="192"/>
      <c r="B101" s="2004" t="s">
        <v>223</v>
      </c>
      <c r="C101" s="1670"/>
      <c r="D101" s="1670"/>
      <c r="E101" s="1670"/>
      <c r="F101" s="1670"/>
      <c r="G101" s="1670"/>
      <c r="H101" s="1670"/>
      <c r="I101" s="1670"/>
      <c r="J101" s="1670"/>
      <c r="K101" s="1671"/>
      <c r="L101" s="2002">
        <f>'EFLH &amp; CF'!I56</f>
        <v>1531</v>
      </c>
      <c r="M101" s="2002"/>
      <c r="N101" s="2002"/>
      <c r="O101" s="2002"/>
      <c r="P101" s="2002"/>
      <c r="Q101" s="2002"/>
      <c r="R101" s="2002"/>
      <c r="S101" s="2002"/>
      <c r="T101" s="2002"/>
      <c r="U101" s="2003">
        <f>'EFLH &amp; CF'!M56</f>
        <v>0.27</v>
      </c>
      <c r="V101" s="2003"/>
      <c r="W101" s="2003"/>
      <c r="X101" s="2003"/>
      <c r="Y101" s="2003"/>
      <c r="Z101" s="2003"/>
      <c r="AA101" s="2003"/>
      <c r="AB101" s="2003"/>
      <c r="AC101" s="2003"/>
      <c r="AD101" s="192"/>
      <c r="AE101" s="192"/>
      <c r="AF101" s="192"/>
    </row>
    <row r="102" spans="1:32" ht="15" customHeight="1" x14ac:dyDescent="0.25">
      <c r="A102" s="192"/>
      <c r="B102" s="2004" t="s">
        <v>224</v>
      </c>
      <c r="C102" s="1670"/>
      <c r="D102" s="1670"/>
      <c r="E102" s="1670"/>
      <c r="F102" s="1670"/>
      <c r="G102" s="1670"/>
      <c r="H102" s="1670"/>
      <c r="I102" s="1670"/>
      <c r="J102" s="1670"/>
      <c r="K102" s="1671"/>
      <c r="L102" s="2002" t="s">
        <v>3577</v>
      </c>
      <c r="M102" s="2002"/>
      <c r="N102" s="2002"/>
      <c r="O102" s="2002"/>
      <c r="P102" s="2002"/>
      <c r="Q102" s="2002"/>
      <c r="R102" s="2002"/>
      <c r="S102" s="2002"/>
      <c r="T102" s="2002"/>
      <c r="U102" s="2003" t="s">
        <v>3577</v>
      </c>
      <c r="V102" s="2003"/>
      <c r="W102" s="2003"/>
      <c r="X102" s="2003"/>
      <c r="Y102" s="2003"/>
      <c r="Z102" s="2003"/>
      <c r="AA102" s="2003"/>
      <c r="AB102" s="2003"/>
      <c r="AC102" s="2003"/>
      <c r="AD102" s="192"/>
      <c r="AE102" s="192"/>
      <c r="AF102" s="192"/>
    </row>
    <row r="103" spans="1:32" x14ac:dyDescent="0.25">
      <c r="A103" s="192"/>
      <c r="B103" s="2004" t="s">
        <v>225</v>
      </c>
      <c r="C103" s="1670"/>
      <c r="D103" s="1670"/>
      <c r="E103" s="1670"/>
      <c r="F103" s="1670"/>
      <c r="G103" s="1670"/>
      <c r="H103" s="1670"/>
      <c r="I103" s="1670"/>
      <c r="J103" s="1670"/>
      <c r="K103" s="1671"/>
      <c r="L103" s="2002">
        <f>'EFLH &amp; CF'!I58</f>
        <v>4910</v>
      </c>
      <c r="M103" s="2002"/>
      <c r="N103" s="2002"/>
      <c r="O103" s="2002"/>
      <c r="P103" s="2002"/>
      <c r="Q103" s="2002"/>
      <c r="R103" s="2002"/>
      <c r="S103" s="2002"/>
      <c r="T103" s="2002"/>
      <c r="U103" s="2003">
        <f>'EFLH &amp; CF'!M58</f>
        <v>0.6</v>
      </c>
      <c r="V103" s="2003"/>
      <c r="W103" s="2003"/>
      <c r="X103" s="2003"/>
      <c r="Y103" s="2003"/>
      <c r="Z103" s="2003"/>
      <c r="AA103" s="2003"/>
      <c r="AB103" s="2003"/>
      <c r="AC103" s="2003"/>
      <c r="AD103" s="192"/>
      <c r="AE103" s="192"/>
      <c r="AF103" s="192"/>
    </row>
    <row r="104" spans="1:32" ht="15" customHeight="1" x14ac:dyDescent="0.25">
      <c r="A104" s="198"/>
      <c r="B104" s="2004" t="s">
        <v>226</v>
      </c>
      <c r="C104" s="1670"/>
      <c r="D104" s="1670"/>
      <c r="E104" s="1670"/>
      <c r="F104" s="1670"/>
      <c r="G104" s="1670"/>
      <c r="H104" s="1670"/>
      <c r="I104" s="1670"/>
      <c r="J104" s="1670"/>
      <c r="K104" s="1671"/>
      <c r="L104" s="2002" t="s">
        <v>3577</v>
      </c>
      <c r="M104" s="2002"/>
      <c r="N104" s="2002"/>
      <c r="O104" s="2002"/>
      <c r="P104" s="2002"/>
      <c r="Q104" s="2002"/>
      <c r="R104" s="2002"/>
      <c r="S104" s="2002"/>
      <c r="T104" s="2002"/>
      <c r="U104" s="2003" t="s">
        <v>3577</v>
      </c>
      <c r="V104" s="2003"/>
      <c r="W104" s="2003"/>
      <c r="X104" s="2003"/>
      <c r="Y104" s="2003"/>
      <c r="Z104" s="2003"/>
      <c r="AA104" s="2003"/>
      <c r="AB104" s="2003"/>
      <c r="AC104" s="2003"/>
      <c r="AD104" s="192"/>
      <c r="AE104" s="192"/>
      <c r="AF104" s="192"/>
    </row>
    <row r="105" spans="1:32" x14ac:dyDescent="0.25">
      <c r="A105" s="192"/>
      <c r="B105" s="2004" t="s">
        <v>55</v>
      </c>
      <c r="C105" s="1670"/>
      <c r="D105" s="1670"/>
      <c r="E105" s="1670"/>
      <c r="F105" s="1670"/>
      <c r="G105" s="1670"/>
      <c r="H105" s="1670"/>
      <c r="I105" s="1670"/>
      <c r="J105" s="1670"/>
      <c r="K105" s="1671"/>
      <c r="L105" s="2002">
        <f>'EFLH &amp; CF'!I60</f>
        <v>2754</v>
      </c>
      <c r="M105" s="2002"/>
      <c r="N105" s="2002"/>
      <c r="O105" s="2002"/>
      <c r="P105" s="2002"/>
      <c r="Q105" s="2002"/>
      <c r="R105" s="2002"/>
      <c r="S105" s="2002"/>
      <c r="T105" s="2002"/>
      <c r="U105" s="2003">
        <f>'EFLH &amp; CF'!M60</f>
        <v>0.48</v>
      </c>
      <c r="V105" s="2003"/>
      <c r="W105" s="2003"/>
      <c r="X105" s="2003"/>
      <c r="Y105" s="2003"/>
      <c r="Z105" s="2003"/>
      <c r="AA105" s="2003"/>
      <c r="AB105" s="2003"/>
      <c r="AC105" s="2003"/>
      <c r="AD105" s="192"/>
      <c r="AE105" s="192"/>
      <c r="AF105" s="192"/>
    </row>
    <row r="106" spans="1:32" x14ac:dyDescent="0.25">
      <c r="A106" s="192"/>
      <c r="B106" s="2004" t="s">
        <v>227</v>
      </c>
      <c r="C106" s="1670"/>
      <c r="D106" s="1670"/>
      <c r="E106" s="1670"/>
      <c r="F106" s="1670"/>
      <c r="G106" s="1670"/>
      <c r="H106" s="1670"/>
      <c r="I106" s="1670"/>
      <c r="J106" s="1670"/>
      <c r="K106" s="1671"/>
      <c r="L106" s="2002">
        <f>'EFLH &amp; CF'!I61</f>
        <v>2451</v>
      </c>
      <c r="M106" s="2002"/>
      <c r="N106" s="2002"/>
      <c r="O106" s="2002"/>
      <c r="P106" s="2002"/>
      <c r="Q106" s="2002"/>
      <c r="R106" s="2002"/>
      <c r="S106" s="2002"/>
      <c r="T106" s="2002"/>
      <c r="U106" s="2003">
        <f>'EFLH &amp; CF'!M61</f>
        <v>0.4</v>
      </c>
      <c r="V106" s="2003"/>
      <c r="W106" s="2003"/>
      <c r="X106" s="2003"/>
      <c r="Y106" s="2003"/>
      <c r="Z106" s="2003"/>
      <c r="AA106" s="2003"/>
      <c r="AB106" s="2003"/>
      <c r="AC106" s="2003"/>
      <c r="AD106" s="192"/>
      <c r="AE106" s="192"/>
      <c r="AF106" s="192"/>
    </row>
    <row r="107" spans="1:32" x14ac:dyDescent="0.25">
      <c r="A107" s="192"/>
      <c r="B107" s="2004" t="s">
        <v>228</v>
      </c>
      <c r="C107" s="1670"/>
      <c r="D107" s="1670"/>
      <c r="E107" s="1670"/>
      <c r="F107" s="1670"/>
      <c r="G107" s="1670"/>
      <c r="H107" s="1670"/>
      <c r="I107" s="1670"/>
      <c r="J107" s="1670"/>
      <c r="K107" s="1671"/>
      <c r="L107" s="2002">
        <f>'EFLH &amp; CF'!I62</f>
        <v>1913</v>
      </c>
      <c r="M107" s="2002"/>
      <c r="N107" s="2002"/>
      <c r="O107" s="2002"/>
      <c r="P107" s="2002"/>
      <c r="Q107" s="2002"/>
      <c r="R107" s="2002"/>
      <c r="S107" s="2002"/>
      <c r="T107" s="2002"/>
      <c r="U107" s="2003">
        <f>'EFLH &amp; CF'!M62</f>
        <v>0.28999999999999998</v>
      </c>
      <c r="V107" s="2003"/>
      <c r="W107" s="2003"/>
      <c r="X107" s="2003"/>
      <c r="Y107" s="2003"/>
      <c r="Z107" s="2003"/>
      <c r="AA107" s="2003"/>
      <c r="AB107" s="2003"/>
      <c r="AC107" s="2003"/>
      <c r="AD107" s="192"/>
      <c r="AE107" s="192"/>
      <c r="AF107" s="192"/>
    </row>
    <row r="108" spans="1:32" ht="15" customHeight="1" x14ac:dyDescent="0.25">
      <c r="A108" s="198"/>
      <c r="B108" s="2004" t="s">
        <v>229</v>
      </c>
      <c r="C108" s="1670"/>
      <c r="D108" s="1670"/>
      <c r="E108" s="1670"/>
      <c r="F108" s="1670"/>
      <c r="G108" s="1670"/>
      <c r="H108" s="1670"/>
      <c r="I108" s="1670"/>
      <c r="J108" s="1670"/>
      <c r="K108" s="1671"/>
      <c r="L108" s="2002" t="s">
        <v>3577</v>
      </c>
      <c r="M108" s="2002"/>
      <c r="N108" s="2002"/>
      <c r="O108" s="2002"/>
      <c r="P108" s="2002"/>
      <c r="Q108" s="2002"/>
      <c r="R108" s="2002"/>
      <c r="S108" s="2002"/>
      <c r="T108" s="2002"/>
      <c r="U108" s="2003" t="s">
        <v>3577</v>
      </c>
      <c r="V108" s="2003"/>
      <c r="W108" s="2003"/>
      <c r="X108" s="2003"/>
      <c r="Y108" s="2003"/>
      <c r="Z108" s="2003"/>
      <c r="AA108" s="2003"/>
      <c r="AB108" s="2003"/>
      <c r="AC108" s="2003"/>
      <c r="AD108" s="192"/>
      <c r="AE108" s="192"/>
      <c r="AF108" s="192"/>
    </row>
    <row r="109" spans="1:32" x14ac:dyDescent="0.25">
      <c r="A109" s="198"/>
      <c r="B109" s="1686" t="s">
        <v>3578</v>
      </c>
      <c r="C109" s="1686"/>
      <c r="D109" s="1686"/>
      <c r="E109" s="1686"/>
      <c r="F109" s="1686"/>
      <c r="G109" s="1686"/>
      <c r="H109" s="1686"/>
      <c r="I109" s="1686"/>
      <c r="J109" s="1686"/>
      <c r="K109" s="1686"/>
      <c r="L109" s="1686"/>
      <c r="M109" s="1686"/>
      <c r="N109" s="1686"/>
      <c r="O109" s="1686"/>
      <c r="P109" s="1686"/>
      <c r="Q109" s="1686"/>
      <c r="R109" s="1686"/>
      <c r="S109" s="1686"/>
      <c r="T109" s="1686"/>
      <c r="U109" s="1686"/>
      <c r="V109" s="1686"/>
      <c r="W109" s="1686"/>
      <c r="X109" s="1686"/>
      <c r="Y109" s="1686"/>
      <c r="Z109" s="1686"/>
      <c r="AA109" s="1686"/>
      <c r="AB109" s="1686"/>
      <c r="AC109" s="1686"/>
      <c r="AD109" s="1686"/>
      <c r="AE109" s="1686"/>
      <c r="AF109" s="1686"/>
    </row>
    <row r="111" spans="1:32" x14ac:dyDescent="0.25">
      <c r="A111" s="1621" t="s">
        <v>1753</v>
      </c>
      <c r="B111" s="1621"/>
      <c r="C111" s="1621"/>
      <c r="D111" s="1621"/>
      <c r="E111" s="1621"/>
      <c r="F111" s="1621"/>
      <c r="G111" s="1621"/>
      <c r="H111" s="1621"/>
      <c r="I111" s="1621"/>
      <c r="J111" s="1621"/>
      <c r="K111" s="1621"/>
      <c r="L111" s="1621"/>
      <c r="M111" s="1621"/>
      <c r="N111" s="1621"/>
      <c r="O111" s="1621"/>
      <c r="P111" s="1621"/>
      <c r="Q111" s="1621"/>
      <c r="R111" s="1621"/>
      <c r="S111" s="1621"/>
      <c r="T111" s="1621"/>
      <c r="U111" s="1621"/>
      <c r="V111" s="1621"/>
      <c r="W111" s="1621"/>
      <c r="X111" s="1621"/>
      <c r="Y111" s="1621"/>
      <c r="Z111" s="1621"/>
      <c r="AA111" s="1621"/>
      <c r="AB111" s="1621"/>
      <c r="AC111" s="1621"/>
      <c r="AD111" s="1621"/>
      <c r="AE111" s="1621"/>
      <c r="AF111" s="1621"/>
    </row>
    <row r="112" spans="1:32" x14ac:dyDescent="0.25">
      <c r="A112" s="190"/>
      <c r="B112" s="190"/>
      <c r="C112" s="190"/>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row>
    <row r="113" spans="1:32" ht="63" customHeight="1" x14ac:dyDescent="0.25">
      <c r="A113" s="517" t="s">
        <v>1013</v>
      </c>
      <c r="B113" s="1168" t="s">
        <v>3579</v>
      </c>
      <c r="C113" s="1168"/>
      <c r="D113" s="1168"/>
      <c r="E113" s="1168"/>
      <c r="F113" s="1168"/>
      <c r="G113" s="1168"/>
      <c r="H113" s="1168"/>
      <c r="I113" s="1168"/>
      <c r="J113" s="1168"/>
      <c r="K113" s="1168"/>
      <c r="L113" s="1168"/>
      <c r="M113" s="1168"/>
      <c r="N113" s="1168"/>
      <c r="O113" s="1168"/>
      <c r="P113" s="1168"/>
      <c r="Q113" s="1168"/>
      <c r="R113" s="1168"/>
      <c r="S113" s="1168"/>
      <c r="T113" s="1168"/>
      <c r="U113" s="1168"/>
      <c r="V113" s="1168"/>
      <c r="W113" s="1168"/>
      <c r="X113" s="1168"/>
      <c r="Y113" s="1168"/>
      <c r="Z113" s="1168"/>
      <c r="AA113" s="1168"/>
      <c r="AB113" s="1168"/>
      <c r="AC113" s="1168"/>
      <c r="AD113" s="1168"/>
      <c r="AE113" s="1168"/>
      <c r="AF113" s="1168"/>
    </row>
    <row r="114" spans="1:32" ht="48" customHeight="1" x14ac:dyDescent="0.25">
      <c r="A114" s="515" t="s">
        <v>1013</v>
      </c>
      <c r="B114" s="1173" t="s">
        <v>2083</v>
      </c>
      <c r="C114" s="1173"/>
      <c r="D114" s="1173"/>
      <c r="E114" s="1173"/>
      <c r="F114" s="1173"/>
      <c r="G114" s="1173"/>
      <c r="H114" s="1173"/>
      <c r="I114" s="1173"/>
      <c r="J114" s="1173"/>
      <c r="K114" s="1173"/>
      <c r="L114" s="1173"/>
      <c r="M114" s="1173"/>
      <c r="N114" s="1173"/>
      <c r="O114" s="1173"/>
      <c r="P114" s="1173"/>
      <c r="Q114" s="1173"/>
      <c r="R114" s="1173"/>
      <c r="S114" s="1173"/>
      <c r="T114" s="1173"/>
      <c r="U114" s="1173"/>
      <c r="V114" s="1173"/>
      <c r="W114" s="1173"/>
      <c r="X114" s="1173"/>
      <c r="Y114" s="1173"/>
      <c r="Z114" s="1173"/>
      <c r="AA114" s="1173"/>
      <c r="AB114" s="1173"/>
      <c r="AC114" s="1173"/>
      <c r="AD114" s="1173"/>
      <c r="AE114" s="1173"/>
      <c r="AF114" s="1173"/>
    </row>
    <row r="115" spans="1:32" ht="65.25" customHeight="1" x14ac:dyDescent="0.25">
      <c r="A115" s="515" t="s">
        <v>1013</v>
      </c>
      <c r="B115" s="1247" t="s">
        <v>3460</v>
      </c>
      <c r="C115" s="1247"/>
      <c r="D115" s="1247"/>
      <c r="E115" s="1247"/>
      <c r="F115" s="1247"/>
      <c r="G115" s="1247"/>
      <c r="H115" s="1247"/>
      <c r="I115" s="1247"/>
      <c r="J115" s="1247"/>
      <c r="K115" s="1247"/>
      <c r="L115" s="1247"/>
      <c r="M115" s="1247"/>
      <c r="N115" s="1247"/>
      <c r="O115" s="1247"/>
      <c r="P115" s="1247"/>
      <c r="Q115" s="1247"/>
      <c r="R115" s="1247"/>
      <c r="S115" s="1247"/>
      <c r="T115" s="1247"/>
      <c r="U115" s="1247"/>
      <c r="V115" s="1247"/>
      <c r="W115" s="1247"/>
      <c r="X115" s="1247"/>
      <c r="Y115" s="1247"/>
      <c r="Z115" s="1247"/>
      <c r="AA115" s="1247"/>
      <c r="AB115" s="1247"/>
      <c r="AC115" s="1247"/>
      <c r="AD115" s="1247"/>
      <c r="AE115" s="1247"/>
      <c r="AF115" s="1247"/>
    </row>
    <row r="116" spans="1:32" ht="33" customHeight="1" x14ac:dyDescent="0.25">
      <c r="A116" s="517" t="s">
        <v>1013</v>
      </c>
      <c r="B116" s="1168" t="s">
        <v>3580</v>
      </c>
      <c r="C116" s="1168"/>
      <c r="D116" s="1168"/>
      <c r="E116" s="1168"/>
      <c r="F116" s="1168"/>
      <c r="G116" s="1168"/>
      <c r="H116" s="1168"/>
      <c r="I116" s="1168"/>
      <c r="J116" s="1168"/>
      <c r="K116" s="1168"/>
      <c r="L116" s="1168"/>
      <c r="M116" s="1168"/>
      <c r="N116" s="1168"/>
      <c r="O116" s="1168"/>
      <c r="P116" s="1168"/>
      <c r="Q116" s="1168"/>
      <c r="R116" s="1168"/>
      <c r="S116" s="1168"/>
      <c r="T116" s="1168"/>
      <c r="U116" s="1168"/>
      <c r="V116" s="1168"/>
      <c r="W116" s="1168"/>
      <c r="X116" s="1168"/>
      <c r="Y116" s="1168"/>
      <c r="Z116" s="1168"/>
      <c r="AA116" s="1168"/>
      <c r="AB116" s="1168"/>
      <c r="AC116" s="1168"/>
      <c r="AD116" s="1168"/>
      <c r="AE116" s="1168"/>
      <c r="AF116" s="1168"/>
    </row>
    <row r="117" spans="1:32" ht="51" customHeight="1" x14ac:dyDescent="0.25">
      <c r="A117" s="517" t="s">
        <v>1013</v>
      </c>
      <c r="B117" s="1168" t="s">
        <v>3505</v>
      </c>
      <c r="C117" s="1168"/>
      <c r="D117" s="1168"/>
      <c r="E117" s="1168"/>
      <c r="F117" s="1168"/>
      <c r="G117" s="1168"/>
      <c r="H117" s="1168"/>
      <c r="I117" s="1168"/>
      <c r="J117" s="1168"/>
      <c r="K117" s="1168"/>
      <c r="L117" s="1168"/>
      <c r="M117" s="1168"/>
      <c r="N117" s="1168"/>
      <c r="O117" s="1168"/>
      <c r="P117" s="1168"/>
      <c r="Q117" s="1168"/>
      <c r="R117" s="1168"/>
      <c r="S117" s="1168"/>
      <c r="T117" s="1168"/>
      <c r="U117" s="1168"/>
      <c r="V117" s="1168"/>
      <c r="W117" s="1168"/>
      <c r="X117" s="1168"/>
      <c r="Y117" s="1168"/>
      <c r="Z117" s="1168"/>
      <c r="AA117" s="1168"/>
      <c r="AB117" s="1168"/>
      <c r="AC117" s="1168"/>
      <c r="AD117" s="1168"/>
      <c r="AE117" s="1168"/>
      <c r="AF117" s="1168"/>
    </row>
    <row r="118" spans="1:32" ht="34.5" customHeight="1" x14ac:dyDescent="0.25">
      <c r="A118" s="517" t="s">
        <v>1013</v>
      </c>
      <c r="B118" s="1168" t="s">
        <v>3461</v>
      </c>
      <c r="C118" s="1168"/>
      <c r="D118" s="1168"/>
      <c r="E118" s="1168"/>
      <c r="F118" s="1168"/>
      <c r="G118" s="1168"/>
      <c r="H118" s="1168"/>
      <c r="I118" s="1168"/>
      <c r="J118" s="1168"/>
      <c r="K118" s="1168"/>
      <c r="L118" s="1168"/>
      <c r="M118" s="1168"/>
      <c r="N118" s="1168"/>
      <c r="O118" s="1168"/>
      <c r="P118" s="1168"/>
      <c r="Q118" s="1168"/>
      <c r="R118" s="1168"/>
      <c r="S118" s="1168"/>
      <c r="T118" s="1168"/>
      <c r="U118" s="1168"/>
      <c r="V118" s="1168"/>
      <c r="W118" s="1168"/>
      <c r="X118" s="1168"/>
      <c r="Y118" s="1168"/>
      <c r="Z118" s="1168"/>
      <c r="AA118" s="1168"/>
      <c r="AB118" s="1168"/>
      <c r="AC118" s="1168"/>
      <c r="AD118" s="1168"/>
      <c r="AE118" s="1168"/>
      <c r="AF118" s="1168"/>
    </row>
    <row r="119" spans="1:32" ht="34.5" customHeight="1" x14ac:dyDescent="0.25">
      <c r="A119" s="517" t="s">
        <v>1013</v>
      </c>
      <c r="B119" s="1168" t="s">
        <v>3581</v>
      </c>
      <c r="C119" s="1168"/>
      <c r="D119" s="1168"/>
      <c r="E119" s="1168"/>
      <c r="F119" s="1168"/>
      <c r="G119" s="1168"/>
      <c r="H119" s="1168"/>
      <c r="I119" s="1168"/>
      <c r="J119" s="1168"/>
      <c r="K119" s="1168"/>
      <c r="L119" s="1168"/>
      <c r="M119" s="1168"/>
      <c r="N119" s="1168"/>
      <c r="O119" s="1168"/>
      <c r="P119" s="1168"/>
      <c r="Q119" s="1168"/>
      <c r="R119" s="1168"/>
      <c r="S119" s="1168"/>
      <c r="T119" s="1168"/>
      <c r="U119" s="1168"/>
      <c r="V119" s="1168"/>
      <c r="W119" s="1168"/>
      <c r="X119" s="1168"/>
      <c r="Y119" s="1168"/>
      <c r="Z119" s="1168"/>
      <c r="AA119" s="1168"/>
      <c r="AB119" s="1168"/>
      <c r="AC119" s="1168"/>
      <c r="AD119" s="1168"/>
      <c r="AE119" s="1168"/>
      <c r="AF119" s="1168"/>
    </row>
    <row r="120" spans="1:32" ht="75.75" customHeight="1" x14ac:dyDescent="0.25">
      <c r="A120" s="515" t="s">
        <v>1013</v>
      </c>
      <c r="B120" s="1173" t="s">
        <v>3582</v>
      </c>
      <c r="C120" s="1173"/>
      <c r="D120" s="1173"/>
      <c r="E120" s="1173"/>
      <c r="F120" s="1173"/>
      <c r="G120" s="1173"/>
      <c r="H120" s="1173"/>
      <c r="I120" s="1173"/>
      <c r="J120" s="1173"/>
      <c r="K120" s="1173"/>
      <c r="L120" s="1173"/>
      <c r="M120" s="1173"/>
      <c r="N120" s="1173"/>
      <c r="O120" s="1173"/>
      <c r="P120" s="1173"/>
      <c r="Q120" s="1173"/>
      <c r="R120" s="1173"/>
      <c r="S120" s="1173"/>
      <c r="T120" s="1173"/>
      <c r="U120" s="1173"/>
      <c r="V120" s="1173"/>
      <c r="W120" s="1173"/>
      <c r="X120" s="1173"/>
      <c r="Y120" s="1173"/>
      <c r="Z120" s="1173"/>
      <c r="AA120" s="1173"/>
      <c r="AB120" s="1173"/>
      <c r="AC120" s="1173"/>
      <c r="AD120" s="1173"/>
      <c r="AE120" s="1173"/>
      <c r="AF120" s="1173"/>
    </row>
    <row r="121" spans="1:32" ht="64.5" customHeight="1" x14ac:dyDescent="0.25">
      <c r="A121" s="517" t="s">
        <v>1013</v>
      </c>
      <c r="B121" s="1168" t="s">
        <v>2872</v>
      </c>
      <c r="C121" s="1168"/>
      <c r="D121" s="1168"/>
      <c r="E121" s="1168"/>
      <c r="F121" s="1168"/>
      <c r="G121" s="1168"/>
      <c r="H121" s="1168"/>
      <c r="I121" s="1168"/>
      <c r="J121" s="1168"/>
      <c r="K121" s="1168"/>
      <c r="L121" s="1168"/>
      <c r="M121" s="1168"/>
      <c r="N121" s="1168"/>
      <c r="O121" s="1168"/>
      <c r="P121" s="1168"/>
      <c r="Q121" s="1168"/>
      <c r="R121" s="1168"/>
      <c r="S121" s="1168"/>
      <c r="T121" s="1168"/>
      <c r="U121" s="1168"/>
      <c r="V121" s="1168"/>
      <c r="W121" s="1168"/>
      <c r="X121" s="1168"/>
      <c r="Y121" s="1168"/>
      <c r="Z121" s="1168"/>
      <c r="AA121" s="1168"/>
      <c r="AB121" s="1168"/>
      <c r="AC121" s="1168"/>
      <c r="AD121" s="1168"/>
      <c r="AE121" s="1168"/>
      <c r="AF121" s="1168"/>
    </row>
    <row r="122" spans="1:32" x14ac:dyDescent="0.25">
      <c r="A122" s="517" t="s">
        <v>1013</v>
      </c>
      <c r="B122" s="1168" t="s">
        <v>3583</v>
      </c>
      <c r="C122" s="1168"/>
      <c r="D122" s="1168"/>
      <c r="E122" s="1168"/>
      <c r="F122" s="1168"/>
      <c r="G122" s="1168"/>
      <c r="H122" s="1168"/>
      <c r="I122" s="1168"/>
      <c r="J122" s="1168"/>
      <c r="K122" s="1168"/>
      <c r="L122" s="1168"/>
      <c r="M122" s="1168"/>
      <c r="N122" s="1168"/>
      <c r="O122" s="1168"/>
      <c r="P122" s="1168"/>
      <c r="Q122" s="1168"/>
      <c r="R122" s="1168"/>
      <c r="S122" s="1168"/>
      <c r="T122" s="1168"/>
      <c r="U122" s="1168"/>
      <c r="V122" s="1168"/>
      <c r="W122" s="1168"/>
      <c r="X122" s="1168"/>
      <c r="Y122" s="1168"/>
      <c r="Z122" s="1168"/>
      <c r="AA122" s="1168"/>
      <c r="AB122" s="1168"/>
      <c r="AC122" s="1168"/>
      <c r="AD122" s="1168"/>
      <c r="AE122" s="1168"/>
      <c r="AF122" s="1168"/>
    </row>
    <row r="123" spans="1:32" ht="30.75" customHeight="1" x14ac:dyDescent="0.25">
      <c r="A123" s="517" t="s">
        <v>1013</v>
      </c>
      <c r="B123" s="1168" t="s">
        <v>3584</v>
      </c>
      <c r="C123" s="1168"/>
      <c r="D123" s="1168"/>
      <c r="E123" s="1168"/>
      <c r="F123" s="1168"/>
      <c r="G123" s="1168"/>
      <c r="H123" s="1168"/>
      <c r="I123" s="1168"/>
      <c r="J123" s="1168"/>
      <c r="K123" s="1168"/>
      <c r="L123" s="1168"/>
      <c r="M123" s="1168"/>
      <c r="N123" s="1168"/>
      <c r="O123" s="1168"/>
      <c r="P123" s="1168"/>
      <c r="Q123" s="1168"/>
      <c r="R123" s="1168"/>
      <c r="S123" s="1168"/>
      <c r="T123" s="1168"/>
      <c r="U123" s="1168"/>
      <c r="V123" s="1168"/>
      <c r="W123" s="1168"/>
      <c r="X123" s="1168"/>
      <c r="Y123" s="1168"/>
      <c r="Z123" s="1168"/>
      <c r="AA123" s="1168"/>
      <c r="AB123" s="1168"/>
      <c r="AC123" s="1168"/>
      <c r="AD123" s="1168"/>
      <c r="AE123" s="1168"/>
      <c r="AF123" s="1168"/>
    </row>
    <row r="124" spans="1:32" ht="35.25" customHeight="1" x14ac:dyDescent="0.25">
      <c r="A124" s="515" t="s">
        <v>1013</v>
      </c>
      <c r="B124" s="1173" t="s">
        <v>3585</v>
      </c>
      <c r="C124" s="1173"/>
      <c r="D124" s="1173"/>
      <c r="E124" s="1173"/>
      <c r="F124" s="1173"/>
      <c r="G124" s="1173"/>
      <c r="H124" s="1173"/>
      <c r="I124" s="1173"/>
      <c r="J124" s="1173"/>
      <c r="K124" s="1173"/>
      <c r="L124" s="1173"/>
      <c r="M124" s="1173"/>
      <c r="N124" s="1173"/>
      <c r="O124" s="1173"/>
      <c r="P124" s="1173"/>
      <c r="Q124" s="1173"/>
      <c r="R124" s="1173"/>
      <c r="S124" s="1173"/>
      <c r="T124" s="1173"/>
      <c r="U124" s="1173"/>
      <c r="V124" s="1173"/>
      <c r="W124" s="1173"/>
      <c r="X124" s="1173"/>
      <c r="Y124" s="1173"/>
      <c r="Z124" s="1173"/>
      <c r="AA124" s="1173"/>
      <c r="AB124" s="1173"/>
      <c r="AC124" s="1173"/>
      <c r="AD124" s="1173"/>
      <c r="AE124" s="1173"/>
      <c r="AF124" s="1173"/>
    </row>
  </sheetData>
  <sheetProtection algorithmName="SHA-512" hashValue="gqf9V+5xTDfvM9QzQca830XNplNteC+cRB+FzaW7krlRPMpBAglP97YUqba2LxsCEVdcvvsA4RNP7ISYbK9iHw==" saltValue="L6TSGQ3Ku6uH8UUGnIgsFA==" spinCount="100000" sheet="1" objects="1" scenarios="1"/>
  <mergeCells count="204">
    <mergeCell ref="B120:AF120"/>
    <mergeCell ref="B121:AF121"/>
    <mergeCell ref="B122:AF122"/>
    <mergeCell ref="B123:AF123"/>
    <mergeCell ref="B124:AF124"/>
    <mergeCell ref="G92:P92"/>
    <mergeCell ref="B114:AF114"/>
    <mergeCell ref="B115:AF115"/>
    <mergeCell ref="B116:AF116"/>
    <mergeCell ref="B117:AF117"/>
    <mergeCell ref="B118:AF118"/>
    <mergeCell ref="B119:AF119"/>
    <mergeCell ref="B108:K108"/>
    <mergeCell ref="L108:T108"/>
    <mergeCell ref="U108:AC108"/>
    <mergeCell ref="B109:AF109"/>
    <mergeCell ref="A111:AF111"/>
    <mergeCell ref="B113:AF113"/>
    <mergeCell ref="B106:K106"/>
    <mergeCell ref="L106:T106"/>
    <mergeCell ref="U106:AC106"/>
    <mergeCell ref="B107:K107"/>
    <mergeCell ref="L107:T107"/>
    <mergeCell ref="U107:AC107"/>
    <mergeCell ref="B104:K104"/>
    <mergeCell ref="L104:T104"/>
    <mergeCell ref="U104:AC104"/>
    <mergeCell ref="B105:K105"/>
    <mergeCell ref="L105:T105"/>
    <mergeCell ref="U105:AC105"/>
    <mergeCell ref="B102:K102"/>
    <mergeCell ref="L102:T102"/>
    <mergeCell ref="U102:AC102"/>
    <mergeCell ref="B103:K103"/>
    <mergeCell ref="L103:T103"/>
    <mergeCell ref="U103:AC103"/>
    <mergeCell ref="B100:K100"/>
    <mergeCell ref="L100:T100"/>
    <mergeCell ref="U100:AC100"/>
    <mergeCell ref="B101:K101"/>
    <mergeCell ref="L101:T101"/>
    <mergeCell ref="U101:AC101"/>
    <mergeCell ref="B98:K98"/>
    <mergeCell ref="L98:T98"/>
    <mergeCell ref="U98:AC98"/>
    <mergeCell ref="B99:K99"/>
    <mergeCell ref="L99:T99"/>
    <mergeCell ref="U99:AC99"/>
    <mergeCell ref="A86:AF86"/>
    <mergeCell ref="A87:AF87"/>
    <mergeCell ref="A89:AF89"/>
    <mergeCell ref="B91:AF91"/>
    <mergeCell ref="B94:AF94"/>
    <mergeCell ref="B97:K97"/>
    <mergeCell ref="L97:T97"/>
    <mergeCell ref="U97:AC97"/>
    <mergeCell ref="A84:D84"/>
    <mergeCell ref="E84:P84"/>
    <mergeCell ref="Q84:T84"/>
    <mergeCell ref="U84:W84"/>
    <mergeCell ref="X84:AF84"/>
    <mergeCell ref="A85:AF85"/>
    <mergeCell ref="A82:D82"/>
    <mergeCell ref="E82:P82"/>
    <mergeCell ref="Q82:T82"/>
    <mergeCell ref="U82:W82"/>
    <mergeCell ref="X82:AF82"/>
    <mergeCell ref="A83:D83"/>
    <mergeCell ref="E83:P83"/>
    <mergeCell ref="Q83:T83"/>
    <mergeCell ref="U83:W83"/>
    <mergeCell ref="X83:AF83"/>
    <mergeCell ref="A80:D80"/>
    <mergeCell ref="E80:P80"/>
    <mergeCell ref="Q80:T80"/>
    <mergeCell ref="U80:W80"/>
    <mergeCell ref="X80:AF80"/>
    <mergeCell ref="A81:D81"/>
    <mergeCell ref="E81:P81"/>
    <mergeCell ref="Q81:T81"/>
    <mergeCell ref="U81:W81"/>
    <mergeCell ref="X81:AF81"/>
    <mergeCell ref="A78:D78"/>
    <mergeCell ref="E78:P78"/>
    <mergeCell ref="Q78:T78"/>
    <mergeCell ref="U78:W78"/>
    <mergeCell ref="X78:AF78"/>
    <mergeCell ref="A79:D79"/>
    <mergeCell ref="E79:P79"/>
    <mergeCell ref="Q79:T79"/>
    <mergeCell ref="U79:W79"/>
    <mergeCell ref="X79:AF79"/>
    <mergeCell ref="A76:D76"/>
    <mergeCell ref="E76:P76"/>
    <mergeCell ref="Q76:T76"/>
    <mergeCell ref="U76:W76"/>
    <mergeCell ref="X76:AF76"/>
    <mergeCell ref="A77:D77"/>
    <mergeCell ref="E77:P77"/>
    <mergeCell ref="Q77:T77"/>
    <mergeCell ref="U77:W77"/>
    <mergeCell ref="X77:AF77"/>
    <mergeCell ref="A74:D74"/>
    <mergeCell ref="E74:P74"/>
    <mergeCell ref="Q74:T74"/>
    <mergeCell ref="U74:W74"/>
    <mergeCell ref="X74:AF74"/>
    <mergeCell ref="A75:D75"/>
    <mergeCell ref="E75:P75"/>
    <mergeCell ref="Q75:T75"/>
    <mergeCell ref="U75:W75"/>
    <mergeCell ref="X75:AF75"/>
    <mergeCell ref="A72:D72"/>
    <mergeCell ref="E72:P72"/>
    <mergeCell ref="Q72:T72"/>
    <mergeCell ref="U72:W72"/>
    <mergeCell ref="X72:AF72"/>
    <mergeCell ref="A73:D73"/>
    <mergeCell ref="E73:P73"/>
    <mergeCell ref="Q73:T73"/>
    <mergeCell ref="U73:W73"/>
    <mergeCell ref="X73:AF73"/>
    <mergeCell ref="A56:H56"/>
    <mergeCell ref="A60:H60"/>
    <mergeCell ref="A64:H64"/>
    <mergeCell ref="A68:H68"/>
    <mergeCell ref="A70:AF70"/>
    <mergeCell ref="A71:D71"/>
    <mergeCell ref="E71:P71"/>
    <mergeCell ref="Q71:T71"/>
    <mergeCell ref="U71:W71"/>
    <mergeCell ref="X71:AF71"/>
    <mergeCell ref="B40:AF40"/>
    <mergeCell ref="B41:AF41"/>
    <mergeCell ref="A44:AF44"/>
    <mergeCell ref="A48:H48"/>
    <mergeCell ref="A52:H52"/>
    <mergeCell ref="AD37:AF37"/>
    <mergeCell ref="B38:H38"/>
    <mergeCell ref="I38:K38"/>
    <mergeCell ref="L38:N38"/>
    <mergeCell ref="O38:Q38"/>
    <mergeCell ref="R38:T38"/>
    <mergeCell ref="U38:W38"/>
    <mergeCell ref="X38:Z38"/>
    <mergeCell ref="AA38:AC38"/>
    <mergeCell ref="AD38:AF38"/>
    <mergeCell ref="B37:H37"/>
    <mergeCell ref="I37:K37"/>
    <mergeCell ref="L37:N37"/>
    <mergeCell ref="O37:Q37"/>
    <mergeCell ref="R37:T37"/>
    <mergeCell ref="U37:W37"/>
    <mergeCell ref="X37:Z37"/>
    <mergeCell ref="AA37:AC37"/>
    <mergeCell ref="B39:AF39"/>
    <mergeCell ref="X35:Z35"/>
    <mergeCell ref="AA35:AC35"/>
    <mergeCell ref="AD35:AF35"/>
    <mergeCell ref="B36:H36"/>
    <mergeCell ref="I36:K36"/>
    <mergeCell ref="L36:N36"/>
    <mergeCell ref="O36:Q36"/>
    <mergeCell ref="R36:T36"/>
    <mergeCell ref="U36:W36"/>
    <mergeCell ref="X36:Z36"/>
    <mergeCell ref="B35:H35"/>
    <mergeCell ref="I35:K35"/>
    <mergeCell ref="L35:N35"/>
    <mergeCell ref="O35:Q35"/>
    <mergeCell ref="R35:T35"/>
    <mergeCell ref="U35:W35"/>
    <mergeCell ref="AA36:AC36"/>
    <mergeCell ref="AD36:AF36"/>
    <mergeCell ref="O34:Q34"/>
    <mergeCell ref="R34:T34"/>
    <mergeCell ref="U34:W34"/>
    <mergeCell ref="X34:Z34"/>
    <mergeCell ref="AA34:AC34"/>
    <mergeCell ref="AD34:AF34"/>
    <mergeCell ref="B21:AF21"/>
    <mergeCell ref="B23:AF23"/>
    <mergeCell ref="B26:AF26"/>
    <mergeCell ref="B32:AF32"/>
    <mergeCell ref="B33:H34"/>
    <mergeCell ref="I33:N33"/>
    <mergeCell ref="O33:T33"/>
    <mergeCell ref="U33:AF33"/>
    <mergeCell ref="I34:K34"/>
    <mergeCell ref="L34:N34"/>
    <mergeCell ref="B30:AF30"/>
    <mergeCell ref="B28:AF28"/>
    <mergeCell ref="B12:I12"/>
    <mergeCell ref="B13:AF13"/>
    <mergeCell ref="B15:I15"/>
    <mergeCell ref="B16:AF16"/>
    <mergeCell ref="B18:I18"/>
    <mergeCell ref="B19:AF19"/>
    <mergeCell ref="A1:AF1"/>
    <mergeCell ref="A3:AF3"/>
    <mergeCell ref="B5:AF5"/>
    <mergeCell ref="A7:AF7"/>
    <mergeCell ref="B9:I9"/>
    <mergeCell ref="B10:AF10"/>
  </mergeCells>
  <hyperlinks>
    <hyperlink ref="A2" location="TOC!A1" display="Return to TOC" xr:uid="{00000000-0004-0000-2300-000000000000}"/>
    <hyperlink ref="G92:P92" location="C_HVAC_WindowAC_WKST!A1" display="(C_HVAC_WindowAC_WKST)" xr:uid="{00000000-0004-0000-23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48:AF68"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79998168889431442"/>
    <pageSetUpPr autoPageBreaks="0" fitToPage="1"/>
  </sheetPr>
  <dimension ref="A1:AD38"/>
  <sheetViews>
    <sheetView showGridLines="0" workbookViewId="0"/>
  </sheetViews>
  <sheetFormatPr defaultRowHeight="15" x14ac:dyDescent="0.25"/>
  <cols>
    <col min="1" max="1" width="2.7109375" customWidth="1"/>
    <col min="2" max="2" width="45.28515625" customWidth="1"/>
    <col min="3" max="3" width="40.42578125" bestFit="1" customWidth="1"/>
    <col min="4" max="4" width="20" bestFit="1" customWidth="1"/>
    <col min="5" max="5" width="20.42578125" customWidth="1"/>
    <col min="6" max="6" width="15.7109375" customWidth="1"/>
    <col min="7" max="7" width="18.140625" customWidth="1"/>
    <col min="8" max="8" width="18.42578125" customWidth="1"/>
    <col min="9" max="9" width="22.42578125" bestFit="1" customWidth="1"/>
    <col min="10" max="11" width="15.7109375" customWidth="1"/>
  </cols>
  <sheetData>
    <row r="1" spans="1:30" ht="24.6" customHeight="1" x14ac:dyDescent="0.25">
      <c r="A1" s="715" t="s">
        <v>3595</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row>
    <row r="2" spans="1:30" ht="18.75" x14ac:dyDescent="0.25">
      <c r="B2" s="376" t="s">
        <v>1702</v>
      </c>
      <c r="C2" s="284"/>
      <c r="D2" s="284"/>
      <c r="E2" s="284"/>
      <c r="F2" s="284"/>
      <c r="G2" s="284"/>
      <c r="H2" s="284"/>
    </row>
    <row r="3" spans="1:30" x14ac:dyDescent="0.25">
      <c r="B3" s="613" t="s">
        <v>1435</v>
      </c>
      <c r="E3" s="613" t="s">
        <v>1284</v>
      </c>
      <c r="I3" s="613" t="s">
        <v>1424</v>
      </c>
      <c r="J3" s="613"/>
    </row>
    <row r="5" spans="1:30" x14ac:dyDescent="0.25">
      <c r="B5" s="415" t="s">
        <v>3733</v>
      </c>
      <c r="C5" s="1072" t="s">
        <v>1805</v>
      </c>
      <c r="D5" s="645"/>
    </row>
    <row r="6" spans="1:30" x14ac:dyDescent="0.25">
      <c r="B6" s="415" t="s">
        <v>3586</v>
      </c>
      <c r="C6" s="1072" t="s">
        <v>228</v>
      </c>
      <c r="D6" s="589" t="str">
        <f>IF($J$7="NA","Building Type is Not Applicable","")</f>
        <v/>
      </c>
      <c r="I6" s="22"/>
    </row>
    <row r="7" spans="1:30" x14ac:dyDescent="0.25">
      <c r="B7" s="415" t="s">
        <v>1428</v>
      </c>
      <c r="C7" s="1072" t="s">
        <v>3587</v>
      </c>
      <c r="E7" s="22" t="str">
        <f>"EER_"&amp;IF($C$5="Yes","EE_Min","EE_Base")</f>
        <v>EER_EE_Min</v>
      </c>
      <c r="F7" s="611">
        <f>INDEX($C$28:$F$35,MATCH($C$7,$B$28:$B$35,0),MATCH($E7,$C$27:$F$27,0))</f>
        <v>11.6</v>
      </c>
      <c r="G7" s="33" t="str">
        <f>IF(C9&gt;=F7,"Pass","Fail")</f>
        <v>Pass</v>
      </c>
      <c r="I7" s="22" t="s">
        <v>1283</v>
      </c>
      <c r="J7" s="33">
        <f>INDEX('C_HVAC_Window AC'!$U$98:$U$108,MATCH($C$6,'C_HVAC_Window AC'!$B$98:B108,0),1)</f>
        <v>0.28999999999999998</v>
      </c>
    </row>
    <row r="8" spans="1:30" x14ac:dyDescent="0.25">
      <c r="B8" s="415" t="s">
        <v>4644</v>
      </c>
      <c r="C8" s="1071">
        <v>7000</v>
      </c>
      <c r="D8" s="589"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f>
        <v/>
      </c>
      <c r="E8" s="22" t="str">
        <f>"CEER_"&amp;IF($C$5="Yes","EE_Min","EE_Base")</f>
        <v>CEER_EE_Min</v>
      </c>
      <c r="F8" s="611">
        <f>INDEX($C$28:$F$35,MATCH($C$7,$B$28:$B$35,0),MATCH($E8,$C$27:$F$27,0))</f>
        <v>11.5</v>
      </c>
      <c r="G8" s="33" t="str">
        <f>IF(C10&gt;=F8,"Pass","Fail")</f>
        <v>Pass</v>
      </c>
      <c r="I8" s="22" t="s">
        <v>1282</v>
      </c>
      <c r="J8" s="620">
        <f>INDEX('C_HVAC_Window AC'!$L$98:$L$108,MATCH($C$6,'C_HVAC_Window AC'!$B$98:B108,0),1)</f>
        <v>1913</v>
      </c>
    </row>
    <row r="9" spans="1:30" ht="18" x14ac:dyDescent="0.25">
      <c r="B9" s="415" t="s">
        <v>3484</v>
      </c>
      <c r="C9" s="1074">
        <v>14</v>
      </c>
      <c r="E9" s="643" t="s">
        <v>3556</v>
      </c>
      <c r="F9" s="611">
        <f>IF($C$7="Room AC w/ recycling (&lt; 8,000 Btu/h)",$D$17,IF($C$7="Room AC w/o recycling (&lt; 8,000 Btu/h)",$D$18,IF($C$7="Room AC w/ recycling (8,000-13,999 Btu/h)",$D$19,IF($C$7="Room AC w/o recycling (8,000-13,999 Btu/h)",$D$20,IF($C$7="Room AC w/ recycling (14,000-19,999 Btu/h)",$D$21,IF($C$7="Room AC w/o recycling (14,000-19,999 Btu/h)",$D$22,IF($C$7="Room AC w/ recycling (20,000-27,999 Btu/h)",$D$23,IF($C$7="Room AC w/o recycling (20,000-27,999 Btu/h)",$D$24,""))))))))</f>
        <v>11.1</v>
      </c>
      <c r="I9" s="22" t="s">
        <v>2915</v>
      </c>
      <c r="J9" s="610">
        <f>INDEX($G$28:$G$35,MATCH($C$7,$B$28:$B$35,0),MATCH(LEFT(I9,LEN(I9)-1),$G$27:$G$27,0))</f>
        <v>1</v>
      </c>
    </row>
    <row r="10" spans="1:30" ht="18" x14ac:dyDescent="0.25">
      <c r="B10" s="415" t="s">
        <v>3485</v>
      </c>
      <c r="C10" s="1075">
        <v>14</v>
      </c>
      <c r="E10" s="643" t="s">
        <v>3555</v>
      </c>
      <c r="F10" s="611">
        <f>IF($C$7="Room AC w/ recycling (&lt; 8,000 Btu/h)",$C$17,IF($C$7="Room AC w/o recycling (&lt; 8,000 Btu/h)",$C$18,IF($C$7="Room AC w/ recycling (8,000-13,999 Btu/h)",$C$19,IF($C$7="Room AC w/o recycling (8,000-13,999 Btu/h)",$C$20,IF($C$7="Room AC w/ recycling (14,000-19,999 Btu/h)",$C$21,IF($C$7="Room AC w/o recycling (14,000-19,999 Btu/h)",$C$22,IF($C$7="Room AC w/ recycling (20,000-27,999 Btu/h)",$C$23,IF($C$7="Room AC w/o recycling (20,000-27,999 Btu/h)",$C$24,""))))))))</f>
        <v>11</v>
      </c>
      <c r="I10" s="22" t="s">
        <v>2916</v>
      </c>
      <c r="J10" s="614">
        <f>IF(AND($G$7="Pass",$G$8="Pass",$D$8=""),ROUND($C$8*(1/$F9-1/$C9)/1000*$J7*$J9,3),0)</f>
        <v>3.7999999999999999E-2</v>
      </c>
      <c r="K10" s="589"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f>
        <v/>
      </c>
    </row>
    <row r="11" spans="1:30" ht="18" x14ac:dyDescent="0.25">
      <c r="B11" s="248" t="s">
        <v>3588</v>
      </c>
      <c r="E11" s="643" t="s">
        <v>3554</v>
      </c>
      <c r="F11" s="611">
        <f>IF($C$7="Room AC w/ recycling (&lt; 8,000 Btu/h)",$F$17,IF($C$7="Room AC w/ recycling (8,000-13,999 Btu/h)",$F$19,IF($C$7="Room AC w/ recycling (14,000-19,999 Btu/h)",$F$21,IF($C$7="Room AC w/ recycling (20,000-27,999 Btu/h)",$F$23,""))))</f>
        <v>9.6999999999999993</v>
      </c>
      <c r="G11" s="383" t="s">
        <v>3486</v>
      </c>
      <c r="I11" s="22" t="s">
        <v>3487</v>
      </c>
      <c r="J11" s="614">
        <f>IF(AND(OR($C$7="Room AC w/ recycling (&lt; 8,000 Btu/h)",$C$7="Room AC w/ recycling (8,000-13,999 Btu/h)",$C$7="Room AC w/ recycling (14,000-19,999 Btu/h)",$C$7="Room AC w/ recycling (20,000-27,999 Btu/h)"),$G$7="Pass",$G$8="Pass",$D$8=""),ROUND($C$8*(1/$F11-1/$C9)/1000*$J7*$J9,3),0)</f>
        <v>6.4000000000000001E-2</v>
      </c>
      <c r="K11" s="383" t="s">
        <v>3488</v>
      </c>
    </row>
    <row r="12" spans="1:30" ht="18" x14ac:dyDescent="0.25">
      <c r="B12" s="248" t="s">
        <v>3589</v>
      </c>
      <c r="E12" s="643" t="s">
        <v>3553</v>
      </c>
      <c r="F12" s="611">
        <f>IF($C$7="Room AC w/ recycling (&lt; 8,000 Btu/h)",$E$17,IF($C$7="Room AC w/ recycling (8,000-13,999 Btu/h)",$E$19,IF($C$7="Room AC w/ recycling (14,000-19,999 Btu/h)",$E$21,IF($C$7="Room AC w/ recycling (20,000-27,999 Btu/h)",$E$23,""))))</f>
        <v>9.6</v>
      </c>
      <c r="G12" s="383" t="s">
        <v>3486</v>
      </c>
      <c r="I12" s="22" t="s">
        <v>1281</v>
      </c>
      <c r="J12" s="615">
        <f>IF(AND($G$7="Pass",$G$8="Pass",$D$8=""),ROUND($C$8*(1/$F10-1/$C10)/1000*$J8*$J9,2),0)</f>
        <v>260.86</v>
      </c>
      <c r="K12" s="589"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f>
        <v/>
      </c>
    </row>
    <row r="13" spans="1:30" x14ac:dyDescent="0.25">
      <c r="B13" s="227"/>
      <c r="C13" s="227"/>
      <c r="D13" s="227"/>
      <c r="E13" s="227"/>
      <c r="F13" s="227"/>
      <c r="G13" s="227"/>
      <c r="H13" s="227"/>
      <c r="I13" s="22" t="s">
        <v>3489</v>
      </c>
      <c r="J13" s="609">
        <f>IF(AND(OR($C$7="Room AC w/ recycling (&lt; 8,000 Btu/h)",$C$7="Room AC w/ recycling (8,000-13,999 Btu/h)",$C$7="Room AC w/ recycling (14,000-19,999 Btu/h)",$C$7="Room AC w/ recycling (20,000-27,999 Btu/h)"),$G$7="Pass",$G$8="Pass",$D$8=""),ROUND($C$8*(1/$F12-1/$C10)/1000*$J8*$J9,2),0)</f>
        <v>438.4</v>
      </c>
      <c r="K13" s="383" t="s">
        <v>3488</v>
      </c>
    </row>
    <row r="14" spans="1:30" ht="15.75" x14ac:dyDescent="0.25">
      <c r="B14" s="590" t="s">
        <v>3490</v>
      </c>
      <c r="C14" s="227"/>
      <c r="D14" s="227"/>
      <c r="E14" s="227"/>
      <c r="F14" s="227"/>
      <c r="G14" s="227"/>
      <c r="H14" s="227"/>
      <c r="I14" s="415" t="s">
        <v>2256</v>
      </c>
      <c r="J14" s="609">
        <f>IF($C$7="Room AC w/ recycling (&lt; 8,000 Btu/h)",ROUND(J13*$H$28/3+J12*($H$28*2/3),2),IF($C$7="Room AC w/ recycling (8,000-13,999 Btu/h)",ROUND(J13*$H$30/3+J12*($H$30*2/3),2),IF($C$7="Room AC w/ recycling (14,000-19,999 Btu/h)",ROUND(J13*$H$32/3+J12*($H$32*2/3),2),IF($C$7="Room AC w/ recycling (20,000-27,999 Btu/h)",ROUND(J13*$H$34/3+J12*($H$34*2/3),2),IF(AND($G$8="Pass",$D$8=""),ROUND(J12*INDEX($H$28:$H$35,MATCH($C$7,$B$28:$B$35,0),1),2),0)))))</f>
        <v>2880.36</v>
      </c>
      <c r="K14" s="589"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f>
        <v/>
      </c>
    </row>
    <row r="15" spans="1:30" x14ac:dyDescent="0.25">
      <c r="A15" s="531"/>
      <c r="B15" s="2082" t="s">
        <v>2879</v>
      </c>
      <c r="C15" s="2084" t="s">
        <v>3497</v>
      </c>
      <c r="D15" s="2085"/>
      <c r="E15" s="2086" t="s">
        <v>3493</v>
      </c>
      <c r="F15" s="2087"/>
      <c r="G15" s="227"/>
      <c r="H15" s="227"/>
      <c r="I15" s="227"/>
      <c r="J15" s="227"/>
      <c r="K15" s="227"/>
    </row>
    <row r="16" spans="1:30" ht="18" x14ac:dyDescent="0.25">
      <c r="A16" s="531">
        <v>65000</v>
      </c>
      <c r="B16" s="2083"/>
      <c r="C16" s="646" t="s">
        <v>3555</v>
      </c>
      <c r="D16" s="646" t="s">
        <v>3556</v>
      </c>
      <c r="E16" s="646" t="s">
        <v>3553</v>
      </c>
      <c r="F16" s="646" t="s">
        <v>3554</v>
      </c>
      <c r="G16" s="227"/>
      <c r="H16" s="227"/>
      <c r="I16" s="227"/>
      <c r="J16" s="227"/>
      <c r="K16" s="227"/>
    </row>
    <row r="17" spans="1:13" x14ac:dyDescent="0.25">
      <c r="A17" s="531"/>
      <c r="B17" s="593" t="s">
        <v>3587</v>
      </c>
      <c r="C17" s="594">
        <v>11</v>
      </c>
      <c r="D17" s="594">
        <v>11.1</v>
      </c>
      <c r="E17" s="594">
        <v>9.6</v>
      </c>
      <c r="F17" s="594">
        <v>9.6999999999999993</v>
      </c>
      <c r="G17" s="616"/>
      <c r="H17" s="616"/>
      <c r="I17" s="227"/>
      <c r="J17" s="227"/>
      <c r="K17" s="227"/>
    </row>
    <row r="18" spans="1:13" x14ac:dyDescent="0.25">
      <c r="A18" s="531"/>
      <c r="B18" s="593" t="s">
        <v>3590</v>
      </c>
      <c r="C18" s="594">
        <v>11</v>
      </c>
      <c r="D18" s="594">
        <v>11.1</v>
      </c>
      <c r="E18" s="617"/>
      <c r="F18" s="588"/>
      <c r="G18" s="616"/>
      <c r="H18" s="616"/>
      <c r="I18" s="227"/>
      <c r="J18" s="227"/>
      <c r="K18" s="227"/>
    </row>
    <row r="19" spans="1:13" x14ac:dyDescent="0.25">
      <c r="B19" s="593" t="s">
        <v>3495</v>
      </c>
      <c r="C19" s="594">
        <v>10.9</v>
      </c>
      <c r="D19" s="594">
        <v>11</v>
      </c>
      <c r="E19" s="594">
        <v>9.6999999999999993</v>
      </c>
      <c r="F19" s="594">
        <v>9.8000000000000007</v>
      </c>
      <c r="G19" s="227"/>
      <c r="H19" s="227"/>
      <c r="I19" s="227"/>
      <c r="J19" s="227"/>
      <c r="K19" s="227"/>
    </row>
    <row r="20" spans="1:13" x14ac:dyDescent="0.25">
      <c r="B20" s="593" t="s">
        <v>3483</v>
      </c>
      <c r="C20" s="594">
        <v>10.9</v>
      </c>
      <c r="D20" s="594">
        <v>11</v>
      </c>
      <c r="E20" s="617"/>
      <c r="F20" s="588"/>
      <c r="G20" s="227"/>
      <c r="H20" s="227"/>
      <c r="I20" s="227"/>
      <c r="J20" s="227"/>
      <c r="K20" s="227"/>
    </row>
    <row r="21" spans="1:13" x14ac:dyDescent="0.25">
      <c r="B21" s="593" t="s">
        <v>3591</v>
      </c>
      <c r="C21" s="594">
        <v>10.7</v>
      </c>
      <c r="D21" s="594">
        <v>10.8</v>
      </c>
      <c r="E21" s="594">
        <v>9.6</v>
      </c>
      <c r="F21" s="594">
        <v>9.6999999999999993</v>
      </c>
      <c r="G21" s="227"/>
      <c r="H21" s="227"/>
      <c r="I21" s="227"/>
      <c r="J21" s="227"/>
      <c r="K21" s="227"/>
    </row>
    <row r="22" spans="1:13" x14ac:dyDescent="0.25">
      <c r="B22" s="593" t="s">
        <v>3592</v>
      </c>
      <c r="C22" s="594">
        <v>10.7</v>
      </c>
      <c r="D22" s="594">
        <v>10.8</v>
      </c>
      <c r="E22" s="617"/>
      <c r="F22" s="588"/>
      <c r="G22" s="227"/>
      <c r="H22" s="227"/>
      <c r="I22" s="227"/>
      <c r="J22" s="227"/>
      <c r="K22" s="227"/>
    </row>
    <row r="23" spans="1:13" x14ac:dyDescent="0.25">
      <c r="B23" s="593" t="s">
        <v>3593</v>
      </c>
      <c r="C23" s="594">
        <v>9.4</v>
      </c>
      <c r="D23" s="594">
        <v>9.5</v>
      </c>
      <c r="E23" s="594">
        <v>8.4</v>
      </c>
      <c r="F23" s="594">
        <v>8.5</v>
      </c>
      <c r="G23" s="227"/>
      <c r="H23" s="227"/>
      <c r="I23" s="227"/>
      <c r="J23" s="227"/>
      <c r="K23" s="227"/>
    </row>
    <row r="24" spans="1:13" x14ac:dyDescent="0.25">
      <c r="B24" s="593" t="s">
        <v>3594</v>
      </c>
      <c r="C24" s="594">
        <v>9.4</v>
      </c>
      <c r="D24" s="594">
        <v>9.5</v>
      </c>
      <c r="E24" s="598"/>
      <c r="F24" s="599"/>
      <c r="G24" s="227"/>
      <c r="H24" s="227"/>
      <c r="I24" s="227"/>
      <c r="J24" s="227"/>
      <c r="K24" s="227"/>
    </row>
    <row r="25" spans="1:13" x14ac:dyDescent="0.25">
      <c r="B25" s="227"/>
      <c r="C25" s="227"/>
      <c r="D25" s="227"/>
      <c r="E25" s="227"/>
      <c r="F25" s="227"/>
      <c r="G25" s="227"/>
      <c r="H25" s="227"/>
      <c r="I25" s="227"/>
      <c r="J25" s="227"/>
      <c r="K25" s="227"/>
    </row>
    <row r="26" spans="1:13" ht="15.75" x14ac:dyDescent="0.25">
      <c r="B26" s="597" t="s">
        <v>3496</v>
      </c>
      <c r="C26" s="227"/>
      <c r="D26" s="227"/>
      <c r="E26" s="227"/>
      <c r="F26" s="227"/>
      <c r="G26" s="227"/>
      <c r="H26" s="227"/>
      <c r="I26" s="227"/>
      <c r="J26" s="227"/>
      <c r="K26" s="227"/>
    </row>
    <row r="27" spans="1:13" x14ac:dyDescent="0.25">
      <c r="B27" s="591" t="s">
        <v>2879</v>
      </c>
      <c r="C27" s="592" t="s">
        <v>3738</v>
      </c>
      <c r="D27" s="592" t="s">
        <v>3731</v>
      </c>
      <c r="E27" s="592" t="s">
        <v>3739</v>
      </c>
      <c r="F27" s="592" t="s">
        <v>3732</v>
      </c>
      <c r="G27" s="592" t="s">
        <v>42</v>
      </c>
      <c r="H27" s="592" t="s">
        <v>2724</v>
      </c>
      <c r="I27" s="227"/>
      <c r="J27" s="227"/>
      <c r="K27" s="227"/>
      <c r="L27" s="584"/>
      <c r="M27" s="584"/>
    </row>
    <row r="28" spans="1:13" x14ac:dyDescent="0.25">
      <c r="B28" s="593" t="s">
        <v>3587</v>
      </c>
      <c r="C28" s="618">
        <v>11.5</v>
      </c>
      <c r="D28" s="618">
        <v>11.6</v>
      </c>
      <c r="E28" s="618">
        <v>12.1</v>
      </c>
      <c r="F28" s="618">
        <v>12.2</v>
      </c>
      <c r="G28" s="619">
        <f>'C_HVAC_Window AC'!$Q$81</f>
        <v>1</v>
      </c>
      <c r="H28" s="61">
        <f>'C_HVAC_Window AC'!$Q$84</f>
        <v>9</v>
      </c>
      <c r="I28" s="227"/>
      <c r="J28" s="227"/>
      <c r="K28" s="227"/>
      <c r="L28" s="584"/>
      <c r="M28" s="584"/>
    </row>
    <row r="29" spans="1:13" x14ac:dyDescent="0.25">
      <c r="B29" s="593" t="s">
        <v>3590</v>
      </c>
      <c r="C29" s="618">
        <v>11.5</v>
      </c>
      <c r="D29" s="618">
        <v>11.6</v>
      </c>
      <c r="E29" s="618">
        <v>12.1</v>
      </c>
      <c r="F29" s="618">
        <v>12.2</v>
      </c>
      <c r="G29" s="619">
        <f>'C_HVAC_Window AC'!$Q$81</f>
        <v>1</v>
      </c>
      <c r="H29" s="61">
        <f>'C_HVAC_Window AC'!$Q$84</f>
        <v>9</v>
      </c>
      <c r="I29" s="227"/>
      <c r="J29" s="227"/>
      <c r="K29" s="227"/>
      <c r="L29" s="584"/>
      <c r="M29" s="584"/>
    </row>
    <row r="30" spans="1:13" x14ac:dyDescent="0.25">
      <c r="B30" s="593" t="s">
        <v>3495</v>
      </c>
      <c r="C30" s="618">
        <v>11.4</v>
      </c>
      <c r="D30" s="618">
        <v>11.5</v>
      </c>
      <c r="E30" s="618">
        <v>12</v>
      </c>
      <c r="F30" s="618">
        <v>12.1</v>
      </c>
      <c r="G30" s="619">
        <f>'C_HVAC_Window AC'!$Q$81</f>
        <v>1</v>
      </c>
      <c r="H30" s="61">
        <f>'C_HVAC_Window AC'!$Q$84</f>
        <v>9</v>
      </c>
      <c r="I30" s="227"/>
      <c r="J30" s="227"/>
      <c r="K30" s="227"/>
      <c r="L30" s="584"/>
      <c r="M30" s="584"/>
    </row>
    <row r="31" spans="1:13" x14ac:dyDescent="0.25">
      <c r="B31" s="593" t="s">
        <v>3483</v>
      </c>
      <c r="C31" s="618">
        <v>11.4</v>
      </c>
      <c r="D31" s="618">
        <v>11.5</v>
      </c>
      <c r="E31" s="618">
        <v>12</v>
      </c>
      <c r="F31" s="618">
        <v>12.1</v>
      </c>
      <c r="G31" s="619">
        <f>'C_HVAC_Window AC'!$Q$81</f>
        <v>1</v>
      </c>
      <c r="H31" s="61">
        <f>'C_HVAC_Window AC'!$Q$84</f>
        <v>9</v>
      </c>
      <c r="I31" s="227"/>
      <c r="J31" s="227"/>
      <c r="K31" s="227"/>
      <c r="L31" s="584"/>
      <c r="M31" s="584"/>
    </row>
    <row r="32" spans="1:13" x14ac:dyDescent="0.25">
      <c r="B32" s="593" t="s">
        <v>3591</v>
      </c>
      <c r="C32" s="618">
        <v>11.2</v>
      </c>
      <c r="D32" s="618">
        <v>11.3</v>
      </c>
      <c r="E32" s="618">
        <v>11.8</v>
      </c>
      <c r="F32" s="618">
        <v>11.9</v>
      </c>
      <c r="G32" s="619">
        <f>'C_HVAC_Window AC'!$Q$81</f>
        <v>1</v>
      </c>
      <c r="H32" s="61">
        <f>'C_HVAC_Window AC'!$Q$84</f>
        <v>9</v>
      </c>
      <c r="I32" s="227"/>
      <c r="J32" s="227"/>
      <c r="K32" s="227"/>
      <c r="L32" s="584"/>
      <c r="M32" s="584"/>
    </row>
    <row r="33" spans="2:13" x14ac:dyDescent="0.25">
      <c r="B33" s="593" t="s">
        <v>3592</v>
      </c>
      <c r="C33" s="618">
        <v>11.2</v>
      </c>
      <c r="D33" s="618">
        <v>11.3</v>
      </c>
      <c r="E33" s="618">
        <v>11.8</v>
      </c>
      <c r="F33" s="618">
        <v>11.9</v>
      </c>
      <c r="G33" s="619">
        <f>'C_HVAC_Window AC'!$Q$81</f>
        <v>1</v>
      </c>
      <c r="H33" s="61">
        <f>'C_HVAC_Window AC'!$Q$84</f>
        <v>9</v>
      </c>
      <c r="I33" s="227"/>
      <c r="J33" s="227"/>
      <c r="K33" s="227"/>
      <c r="L33" s="584"/>
      <c r="M33" s="584"/>
    </row>
    <row r="34" spans="2:13" x14ac:dyDescent="0.25">
      <c r="B34" s="593" t="s">
        <v>3593</v>
      </c>
      <c r="C34" s="618">
        <v>9.8000000000000007</v>
      </c>
      <c r="D34" s="618">
        <v>9.9</v>
      </c>
      <c r="E34" s="618">
        <v>10.3</v>
      </c>
      <c r="F34" s="618">
        <v>10.4</v>
      </c>
      <c r="G34" s="619">
        <f>'C_HVAC_Window AC'!$Q$81</f>
        <v>1</v>
      </c>
      <c r="H34" s="61">
        <f>'C_HVAC_Window AC'!$Q$84</f>
        <v>9</v>
      </c>
      <c r="I34" s="227"/>
      <c r="J34" s="227"/>
      <c r="K34" s="227"/>
      <c r="L34" s="584"/>
      <c r="M34" s="584"/>
    </row>
    <row r="35" spans="2:13" x14ac:dyDescent="0.25">
      <c r="B35" s="593" t="s">
        <v>3594</v>
      </c>
      <c r="C35" s="618">
        <v>9.8000000000000007</v>
      </c>
      <c r="D35" s="618">
        <v>9.9</v>
      </c>
      <c r="E35" s="618">
        <v>10.3</v>
      </c>
      <c r="F35" s="618">
        <v>10.4</v>
      </c>
      <c r="G35" s="619">
        <f>'C_HVAC_Window AC'!$Q$81</f>
        <v>1</v>
      </c>
      <c r="H35" s="61">
        <f>'C_HVAC_Window AC'!$Q$84</f>
        <v>9</v>
      </c>
      <c r="I35" s="227"/>
      <c r="J35" s="227"/>
      <c r="K35" s="227"/>
      <c r="L35" s="584"/>
      <c r="M35" s="584"/>
    </row>
    <row r="36" spans="2:13" x14ac:dyDescent="0.25">
      <c r="B36" s="227"/>
      <c r="C36" s="227"/>
      <c r="D36" s="227"/>
      <c r="E36" s="227"/>
      <c r="F36" s="227"/>
      <c r="G36" s="227"/>
      <c r="H36" s="227"/>
      <c r="I36" s="227"/>
      <c r="J36" s="227"/>
      <c r="K36" s="227"/>
    </row>
    <row r="37" spans="2:13" ht="45" customHeight="1" x14ac:dyDescent="0.25">
      <c r="B37" s="1173" t="s">
        <v>3771</v>
      </c>
      <c r="C37" s="1173"/>
      <c r="D37" s="1173"/>
      <c r="E37" s="1173"/>
      <c r="F37" s="1173"/>
      <c r="G37" s="1173"/>
      <c r="H37" s="1173"/>
      <c r="I37" s="227"/>
      <c r="J37" s="227"/>
      <c r="K37" s="227"/>
    </row>
    <row r="38" spans="2:13" x14ac:dyDescent="0.25">
      <c r="B38" s="227"/>
      <c r="C38" s="227"/>
      <c r="D38" s="227"/>
      <c r="E38" s="227"/>
      <c r="F38" s="227"/>
      <c r="G38" s="227"/>
      <c r="H38" s="227"/>
      <c r="I38" s="227"/>
      <c r="J38" s="227"/>
      <c r="K38" s="227"/>
    </row>
  </sheetData>
  <sheetProtection algorithmName="SHA-512" hashValue="fSrxdoj0InPAbv3NSFaEU2nJYt6qt5YaLRtzi6WIzErD5bCr2/loJSuZYkIhuqvTjziGIz9oNK7Wu/cfZgaa8w==" saltValue="cg+amc7KKVarANXz9B2SdA==" spinCount="100000" sheet="1" objects="1" scenarios="1"/>
  <mergeCells count="4">
    <mergeCell ref="B15:B16"/>
    <mergeCell ref="C15:D15"/>
    <mergeCell ref="E15:F15"/>
    <mergeCell ref="B37:H37"/>
  </mergeCells>
  <conditionalFormatting sqref="G7:G8">
    <cfRule type="containsText" dxfId="9" priority="1" operator="containsText" text="Fail">
      <formula>NOT(ISERROR(SEARCH("Fail",G7)))</formula>
    </cfRule>
    <cfRule type="containsText" dxfId="8" priority="2" operator="containsText" text="Pass">
      <formula>NOT(ISERROR(SEARCH("Pass",G7)))</formula>
    </cfRule>
  </conditionalFormatting>
  <dataValidations count="2">
    <dataValidation type="list" allowBlank="1" showInputMessage="1" showErrorMessage="1" sqref="C7" xr:uid="{00000000-0002-0000-2400-000000000000}">
      <formula1>$B$28:$B$35</formula1>
    </dataValidation>
    <dataValidation type="list" allowBlank="1" showInputMessage="1" showErrorMessage="1" sqref="C5" xr:uid="{00000000-0002-0000-2400-000001000000}">
      <formula1>"Yes,No"</formula1>
    </dataValidation>
  </dataValidations>
  <hyperlinks>
    <hyperlink ref="B2" location="TOC!A1" display="Return to TOC" xr:uid="{00000000-0004-0000-2400-000000000000}"/>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2000000}">
          <x14:formula1>
            <xm:f>'C_HVAC_Window AC'!$B$98:$B$108</xm:f>
          </x14:formula1>
          <xm:sqref>C6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8">
    <tabColor theme="9" tint="0.79998168889431442"/>
    <pageSetUpPr autoPageBreaks="0"/>
  </sheetPr>
  <dimension ref="A1:CH127"/>
  <sheetViews>
    <sheetView zoomScaleNormal="100" workbookViewId="0">
      <selection sqref="A1:AF1"/>
    </sheetView>
  </sheetViews>
  <sheetFormatPr defaultColWidth="2.7109375" defaultRowHeight="15" x14ac:dyDescent="0.25"/>
  <cols>
    <col min="1" max="4" width="2.7109375" style="8"/>
    <col min="5" max="5" width="2.7109375" style="8" customWidth="1"/>
    <col min="6" max="8" width="2.7109375" style="8"/>
    <col min="9" max="9" width="2.7109375" style="8" customWidth="1"/>
    <col min="10" max="16384" width="2.7109375" style="8"/>
  </cols>
  <sheetData>
    <row r="1" spans="1:32" s="1" customFormat="1" ht="18.75" x14ac:dyDescent="0.25">
      <c r="A1" s="1464" t="s">
        <v>2710</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s="1" customFormat="1"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x14ac:dyDescent="0.25">
      <c r="A5" s="262"/>
      <c r="B5" s="1151" t="s">
        <v>2713</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customFormat="1" ht="14.45" customHeight="1" x14ac:dyDescent="0.25">
      <c r="A6" s="376"/>
    </row>
    <row r="7" spans="1:32" customFormat="1"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customForma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customFormat="1" x14ac:dyDescent="0.25">
      <c r="A9" s="1"/>
      <c r="B9" s="171" t="s">
        <v>10</v>
      </c>
      <c r="C9" s="171"/>
      <c r="D9" s="171"/>
      <c r="E9" s="171"/>
      <c r="F9" s="171"/>
      <c r="G9" s="171"/>
      <c r="H9" s="171"/>
      <c r="I9" s="171"/>
      <c r="J9" s="1"/>
      <c r="K9" s="1"/>
      <c r="L9" s="1"/>
      <c r="M9" s="1"/>
      <c r="N9" s="1"/>
      <c r="O9" s="1"/>
      <c r="P9" s="1"/>
      <c r="Q9" s="1"/>
      <c r="R9" s="1"/>
      <c r="S9" s="1"/>
      <c r="T9" s="1"/>
      <c r="U9" s="1"/>
      <c r="V9" s="1"/>
      <c r="W9" s="1"/>
      <c r="X9" s="1"/>
      <c r="Y9" s="1"/>
      <c r="Z9" s="1"/>
      <c r="AA9" s="1"/>
      <c r="AB9" s="1"/>
      <c r="AC9" s="1"/>
      <c r="AD9" s="1"/>
      <c r="AE9" s="1"/>
      <c r="AF9" s="1"/>
    </row>
    <row r="10" spans="1:32" customFormat="1" ht="35.25" customHeight="1" x14ac:dyDescent="0.25">
      <c r="A10" s="1"/>
      <c r="B10" s="1247" t="s">
        <v>707</v>
      </c>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c r="AE10" s="1247"/>
      <c r="AF10" s="1247"/>
    </row>
    <row r="11" spans="1:32" customFormat="1"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customFormat="1" x14ac:dyDescent="0.25">
      <c r="A12" s="1"/>
      <c r="B12" s="171" t="s">
        <v>11</v>
      </c>
      <c r="C12" s="171"/>
      <c r="D12" s="171"/>
      <c r="E12" s="171"/>
      <c r="F12" s="171"/>
      <c r="G12" s="171"/>
      <c r="H12" s="171"/>
      <c r="I12" s="171"/>
      <c r="J12" s="1"/>
      <c r="K12" s="1"/>
      <c r="L12" s="1"/>
      <c r="M12" s="1"/>
      <c r="N12" s="1"/>
      <c r="O12" s="1"/>
      <c r="P12" s="1"/>
      <c r="Q12" s="1"/>
      <c r="R12" s="1"/>
      <c r="S12" s="1"/>
      <c r="T12" s="1"/>
      <c r="U12" s="1"/>
      <c r="V12" s="1"/>
      <c r="W12" s="1"/>
      <c r="X12" s="1"/>
      <c r="Y12" s="1"/>
      <c r="Z12" s="1"/>
      <c r="AA12" s="1"/>
      <c r="AB12" s="1"/>
      <c r="AC12" s="1"/>
      <c r="AD12" s="1"/>
      <c r="AE12" s="1"/>
      <c r="AF12" s="1"/>
    </row>
    <row r="13" spans="1:32" customFormat="1" ht="126.75" customHeight="1" x14ac:dyDescent="0.25">
      <c r="A13" s="4"/>
      <c r="B13" s="1247" t="s">
        <v>2838</v>
      </c>
      <c r="C13" s="1247"/>
      <c r="D13" s="1247"/>
      <c r="E13" s="1247"/>
      <c r="F13" s="1247"/>
      <c r="G13" s="1247"/>
      <c r="H13" s="1247"/>
      <c r="I13" s="1247"/>
      <c r="J13" s="1247"/>
      <c r="K13" s="1247"/>
      <c r="L13" s="1247"/>
      <c r="M13" s="1247"/>
      <c r="N13" s="1247"/>
      <c r="O13" s="1247"/>
      <c r="P13" s="1247"/>
      <c r="Q13" s="1247"/>
      <c r="R13" s="1247"/>
      <c r="S13" s="1247"/>
      <c r="T13" s="1247"/>
      <c r="U13" s="1247"/>
      <c r="V13" s="1247"/>
      <c r="W13" s="1247"/>
      <c r="X13" s="1247"/>
      <c r="Y13" s="1247"/>
      <c r="Z13" s="1247"/>
      <c r="AA13" s="1247"/>
      <c r="AB13" s="1247"/>
      <c r="AC13" s="1247"/>
      <c r="AD13" s="1247"/>
      <c r="AE13" s="1247"/>
      <c r="AF13" s="1247"/>
    </row>
    <row r="14" spans="1:32" customForma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customFormat="1" x14ac:dyDescent="0.25">
      <c r="A15" s="1"/>
      <c r="B15" s="171" t="s">
        <v>12</v>
      </c>
      <c r="C15" s="171"/>
      <c r="D15" s="171"/>
      <c r="E15" s="171"/>
      <c r="F15" s="171"/>
      <c r="G15" s="171"/>
      <c r="H15" s="171"/>
      <c r="I15" s="171"/>
      <c r="J15" s="1"/>
      <c r="K15" s="1"/>
      <c r="L15" s="1"/>
      <c r="M15" s="1"/>
      <c r="N15" s="1"/>
      <c r="O15" s="1"/>
      <c r="P15" s="1"/>
      <c r="Q15" s="1"/>
      <c r="R15" s="1"/>
      <c r="S15" s="1"/>
      <c r="T15" s="1"/>
      <c r="U15" s="1"/>
      <c r="V15" s="1"/>
      <c r="W15" s="1"/>
      <c r="X15" s="1"/>
      <c r="Y15" s="1"/>
      <c r="Z15" s="1"/>
      <c r="AA15" s="1"/>
      <c r="AB15" s="1"/>
      <c r="AC15" s="1"/>
      <c r="AD15" s="1"/>
      <c r="AE15" s="1"/>
      <c r="AF15" s="1"/>
    </row>
    <row r="16" spans="1:32" customFormat="1" x14ac:dyDescent="0.25">
      <c r="A16" s="1"/>
      <c r="B16" s="1" t="s">
        <v>2714</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spans="1:32" customForma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customFormat="1" x14ac:dyDescent="0.25">
      <c r="A18" s="1"/>
      <c r="B18" s="171" t="s">
        <v>13</v>
      </c>
      <c r="C18" s="171"/>
      <c r="D18" s="171"/>
      <c r="E18" s="171"/>
      <c r="F18" s="171"/>
      <c r="G18" s="171"/>
      <c r="H18" s="171"/>
      <c r="I18" s="171"/>
      <c r="J18" s="1"/>
      <c r="K18" s="1"/>
      <c r="L18" s="1"/>
      <c r="M18" s="1"/>
      <c r="N18" s="1"/>
      <c r="O18" s="1"/>
      <c r="P18" s="1"/>
      <c r="Q18" s="1"/>
      <c r="R18" s="1"/>
      <c r="S18" s="1"/>
      <c r="T18" s="1"/>
      <c r="U18" s="1"/>
      <c r="V18" s="1"/>
      <c r="W18" s="1"/>
      <c r="X18" s="1"/>
      <c r="Y18" s="1"/>
      <c r="Z18" s="1"/>
      <c r="AA18" s="1"/>
      <c r="AB18" s="1"/>
      <c r="AC18" s="1"/>
      <c r="AD18" s="1"/>
      <c r="AE18" s="1"/>
      <c r="AF18" s="1"/>
    </row>
    <row r="19" spans="1:32" customFormat="1" x14ac:dyDescent="0.25">
      <c r="A19" s="4"/>
      <c r="B19" s="1151" t="s">
        <v>1401</v>
      </c>
      <c r="C19" s="1151"/>
      <c r="D19" s="1151"/>
      <c r="E19" s="1151"/>
      <c r="F19" s="1151"/>
      <c r="G19" s="1151"/>
      <c r="H19" s="1151"/>
      <c r="I19" s="1151"/>
      <c r="J19" s="1151"/>
      <c r="K19" s="1151"/>
      <c r="L19" s="1151"/>
      <c r="M19" s="1151"/>
      <c r="N19" s="1151"/>
      <c r="O19" s="1151"/>
      <c r="P19" s="1151"/>
      <c r="Q19" s="1151"/>
      <c r="R19" s="1151"/>
      <c r="S19" s="1151"/>
      <c r="T19" s="1151"/>
      <c r="U19" s="1151"/>
      <c r="V19" s="1151"/>
      <c r="W19" s="1151"/>
      <c r="X19" s="1151"/>
      <c r="Y19" s="1151"/>
      <c r="Z19" s="1151"/>
      <c r="AA19" s="1151"/>
      <c r="AB19" s="1151"/>
      <c r="AC19" s="1151"/>
      <c r="AD19" s="1151"/>
      <c r="AE19" s="1151"/>
      <c r="AF19" s="1151"/>
    </row>
    <row r="20" spans="1:32" customForma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customFormat="1" x14ac:dyDescent="0.25">
      <c r="A21" s="1"/>
      <c r="B21" s="171" t="s">
        <v>20</v>
      </c>
      <c r="C21" s="171"/>
      <c r="D21" s="171"/>
      <c r="E21" s="171"/>
      <c r="F21" s="171"/>
      <c r="G21" s="171"/>
      <c r="H21" s="171"/>
      <c r="I21" s="171"/>
      <c r="J21" s="1"/>
      <c r="K21" s="1"/>
      <c r="L21" s="1"/>
      <c r="M21" s="1"/>
      <c r="N21" s="1"/>
      <c r="O21" s="1"/>
      <c r="P21" s="1"/>
      <c r="Q21" s="1"/>
      <c r="R21" s="1"/>
      <c r="S21" s="1"/>
      <c r="T21" s="1"/>
      <c r="U21" s="1"/>
      <c r="V21" s="1"/>
      <c r="W21" s="1"/>
      <c r="X21" s="1"/>
      <c r="Y21" s="1"/>
      <c r="Z21" s="1"/>
      <c r="AA21" s="1"/>
      <c r="AB21" s="1"/>
      <c r="AC21" s="1"/>
      <c r="AD21" s="1"/>
      <c r="AE21" s="1"/>
      <c r="AF21" s="1"/>
    </row>
    <row r="22" spans="1:32" customFormat="1" x14ac:dyDescent="0.25">
      <c r="A22" s="1"/>
      <c r="B22" s="1" t="s">
        <v>708</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3" spans="1:32" customForma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customForma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customFormat="1" x14ac:dyDescent="0.25">
      <c r="A25" s="1472" t="s">
        <v>14</v>
      </c>
      <c r="B25" s="1472"/>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row>
    <row r="26" spans="1:32" customFormat="1" x14ac:dyDescent="0.25"/>
    <row r="27" spans="1:32" s="262" customFormat="1" x14ac:dyDescent="0.25">
      <c r="B27" s="414" t="s">
        <v>2303</v>
      </c>
      <c r="H27" s="419"/>
    </row>
    <row r="28" spans="1:32" s="262" customFormat="1" x14ac:dyDescent="0.25">
      <c r="H28" s="419"/>
    </row>
    <row r="29" spans="1:32" customFormat="1" x14ac:dyDescent="0.25">
      <c r="L29" s="19"/>
      <c r="AB29" s="8"/>
      <c r="AC29" s="8"/>
      <c r="AD29" s="8"/>
      <c r="AF29" s="19" t="s">
        <v>1705</v>
      </c>
    </row>
    <row r="30" spans="1:32" customFormat="1" x14ac:dyDescent="0.25">
      <c r="L30" s="19"/>
      <c r="AB30" s="8"/>
      <c r="AC30" s="8"/>
      <c r="AD30" s="8"/>
    </row>
    <row r="31" spans="1:32" customFormat="1" x14ac:dyDescent="0.25">
      <c r="B31" s="414" t="s">
        <v>2194</v>
      </c>
      <c r="L31" s="19"/>
      <c r="AB31" s="8"/>
      <c r="AC31" s="8"/>
      <c r="AD31" s="8"/>
    </row>
    <row r="32" spans="1:32" customFormat="1" x14ac:dyDescent="0.25">
      <c r="L32" s="19"/>
      <c r="U32" s="20"/>
      <c r="AB32" s="8"/>
      <c r="AC32" s="8"/>
      <c r="AD32" s="8"/>
    </row>
    <row r="33" spans="1:86" customFormat="1" x14ac:dyDescent="0.25">
      <c r="A33" s="18"/>
      <c r="K33" s="20"/>
      <c r="AF33" s="19" t="s">
        <v>1706</v>
      </c>
      <c r="AL33" s="8"/>
    </row>
    <row r="34" spans="1:86" customFormat="1" x14ac:dyDescent="0.25">
      <c r="A34" s="18"/>
      <c r="K34" s="20"/>
    </row>
    <row r="35" spans="1:86" customFormat="1" x14ac:dyDescent="0.25">
      <c r="A35" s="18"/>
      <c r="B35" s="414" t="s">
        <v>1998</v>
      </c>
      <c r="C35" s="262"/>
      <c r="D35" s="262"/>
      <c r="E35" s="262"/>
      <c r="F35" s="262"/>
      <c r="G35" s="262"/>
      <c r="H35" s="262"/>
      <c r="I35" s="197"/>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262"/>
    </row>
    <row r="36" spans="1:86" customFormat="1" x14ac:dyDescent="0.25">
      <c r="A36" s="18"/>
      <c r="B36" s="262"/>
      <c r="C36" s="262"/>
      <c r="D36" s="262"/>
      <c r="E36" s="262"/>
      <c r="F36" s="262"/>
      <c r="G36" s="262"/>
      <c r="H36" s="262"/>
      <c r="I36" s="197"/>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row>
    <row r="37" spans="1:86" customFormat="1" x14ac:dyDescent="0.25">
      <c r="A37" s="18"/>
      <c r="B37" s="262"/>
      <c r="C37" s="262"/>
      <c r="D37" s="262"/>
      <c r="E37" s="262"/>
      <c r="F37" s="262"/>
      <c r="G37" s="262"/>
      <c r="H37" s="262"/>
      <c r="I37" s="197"/>
      <c r="J37" s="262"/>
      <c r="K37" s="262"/>
      <c r="L37" s="262"/>
      <c r="M37" s="262"/>
      <c r="N37" s="262"/>
      <c r="O37" s="262"/>
      <c r="P37" s="262"/>
      <c r="Q37" s="262"/>
      <c r="R37" s="262"/>
      <c r="S37" s="262"/>
      <c r="T37" s="262"/>
      <c r="U37" s="262"/>
      <c r="V37" s="262"/>
      <c r="W37" s="262"/>
      <c r="X37" s="262"/>
      <c r="Y37" s="262"/>
      <c r="Z37" s="262"/>
      <c r="AA37" s="262"/>
      <c r="AB37" s="262"/>
      <c r="AC37" s="262"/>
      <c r="AD37" s="262"/>
      <c r="AE37" s="262"/>
      <c r="AF37" s="419" t="s">
        <v>1707</v>
      </c>
      <c r="AG37" s="262"/>
    </row>
    <row r="38" spans="1:86" customFormat="1" x14ac:dyDescent="0.25">
      <c r="A38" s="18"/>
      <c r="B38" s="262"/>
      <c r="C38" s="262"/>
      <c r="D38" s="262"/>
      <c r="E38" s="262"/>
      <c r="F38" s="262"/>
      <c r="G38" s="262"/>
      <c r="H38" s="262"/>
      <c r="I38" s="197"/>
      <c r="J38" s="262"/>
      <c r="K38" s="262"/>
      <c r="L38" s="262"/>
      <c r="M38" s="262"/>
      <c r="N38" s="262"/>
      <c r="O38" s="262"/>
      <c r="P38" s="262"/>
      <c r="Q38" s="262"/>
      <c r="R38" s="262"/>
      <c r="S38" s="262"/>
      <c r="T38" s="262"/>
      <c r="U38" s="262"/>
      <c r="V38" s="262"/>
      <c r="W38" s="262"/>
      <c r="X38" s="262"/>
      <c r="Y38" s="262"/>
      <c r="Z38" s="262"/>
      <c r="AA38" s="262"/>
      <c r="AB38" s="262"/>
      <c r="AC38" s="262"/>
      <c r="AD38" s="262"/>
      <c r="AE38" s="262"/>
      <c r="AF38" s="419"/>
      <c r="AG38" s="262"/>
    </row>
    <row r="39" spans="1:86" customFormat="1" x14ac:dyDescent="0.25">
      <c r="A39" s="18"/>
      <c r="B39" s="262"/>
      <c r="C39" s="262"/>
      <c r="D39" s="262"/>
      <c r="E39" s="262"/>
      <c r="F39" s="262"/>
      <c r="G39" s="262"/>
      <c r="H39" s="262"/>
      <c r="I39" s="197"/>
      <c r="J39" s="262"/>
      <c r="K39" s="262"/>
      <c r="L39" s="262"/>
      <c r="M39" s="262"/>
      <c r="N39" s="262"/>
      <c r="O39" s="262"/>
      <c r="P39" s="262"/>
      <c r="Q39" s="262"/>
      <c r="R39" s="262"/>
      <c r="S39" s="262"/>
      <c r="T39" s="262"/>
      <c r="U39" s="262"/>
      <c r="V39" s="262"/>
      <c r="W39" s="262"/>
      <c r="X39" s="262"/>
      <c r="Y39" s="262"/>
      <c r="Z39" s="262"/>
      <c r="AA39" s="262"/>
      <c r="AB39" s="262"/>
      <c r="AC39" s="262"/>
      <c r="AD39" s="262"/>
      <c r="AE39" s="262"/>
      <c r="AF39" s="419"/>
      <c r="AG39" s="262"/>
    </row>
    <row r="40" spans="1:86" customFormat="1" x14ac:dyDescent="0.25">
      <c r="A40" s="1148" t="s">
        <v>15</v>
      </c>
      <c r="B40" s="1149"/>
      <c r="C40" s="1149"/>
      <c r="D40" s="1149"/>
      <c r="E40" s="1149"/>
      <c r="F40" s="1149"/>
      <c r="G40" s="1149"/>
      <c r="H40" s="1149"/>
      <c r="I40" s="1149"/>
      <c r="J40" s="1149"/>
      <c r="K40" s="1149"/>
      <c r="L40" s="1149"/>
      <c r="M40" s="1149"/>
      <c r="N40" s="1149"/>
      <c r="O40" s="1149"/>
      <c r="P40" s="1149"/>
      <c r="Q40" s="1149"/>
      <c r="R40" s="1149"/>
      <c r="S40" s="1149"/>
      <c r="T40" s="1149"/>
      <c r="U40" s="1149"/>
      <c r="V40" s="1149"/>
      <c r="W40" s="1149"/>
      <c r="X40" s="1149"/>
      <c r="Y40" s="1149"/>
      <c r="Z40" s="1149"/>
      <c r="AA40" s="1149"/>
      <c r="AB40" s="1149"/>
      <c r="AC40" s="1149"/>
      <c r="AD40" s="1149"/>
      <c r="AE40" s="1149"/>
      <c r="AF40" s="1150"/>
    </row>
    <row r="41" spans="1:86" customFormat="1" ht="14.45" customHeight="1" x14ac:dyDescent="0.25">
      <c r="A41" s="1590" t="s">
        <v>16</v>
      </c>
      <c r="B41" s="1591"/>
      <c r="C41" s="1591"/>
      <c r="D41" s="1751"/>
      <c r="E41" s="1590" t="s">
        <v>10</v>
      </c>
      <c r="F41" s="1591"/>
      <c r="G41" s="1591"/>
      <c r="H41" s="1591"/>
      <c r="I41" s="1591"/>
      <c r="J41" s="1591"/>
      <c r="K41" s="1591"/>
      <c r="L41" s="1591"/>
      <c r="M41" s="1591"/>
      <c r="N41" s="1591"/>
      <c r="O41" s="1591"/>
      <c r="P41" s="1751"/>
      <c r="Q41" s="1590" t="s">
        <v>17</v>
      </c>
      <c r="R41" s="1591"/>
      <c r="S41" s="1591"/>
      <c r="T41" s="1751"/>
      <c r="U41" s="1590" t="s">
        <v>18</v>
      </c>
      <c r="V41" s="1591"/>
      <c r="W41" s="1751"/>
      <c r="X41" s="1590" t="s">
        <v>1708</v>
      </c>
      <c r="Y41" s="1591"/>
      <c r="Z41" s="1591"/>
      <c r="AA41" s="1591"/>
      <c r="AB41" s="1591"/>
      <c r="AC41" s="1591"/>
      <c r="AD41" s="1591"/>
      <c r="AE41" s="1591"/>
      <c r="AF41" s="1751"/>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row>
    <row r="42" spans="1:86" customFormat="1" ht="14.45" customHeight="1" x14ac:dyDescent="0.25">
      <c r="A42" s="1577" t="s">
        <v>2716</v>
      </c>
      <c r="B42" s="1486"/>
      <c r="C42" s="1486"/>
      <c r="D42" s="1487"/>
      <c r="E42" s="1479" t="s">
        <v>2717</v>
      </c>
      <c r="F42" s="1480"/>
      <c r="G42" s="1480"/>
      <c r="H42" s="1480"/>
      <c r="I42" s="1480"/>
      <c r="J42" s="1480"/>
      <c r="K42" s="1480"/>
      <c r="L42" s="1480"/>
      <c r="M42" s="1480"/>
      <c r="N42" s="1480"/>
      <c r="O42" s="1480"/>
      <c r="P42" s="1481"/>
      <c r="Q42" s="1574" t="s">
        <v>164</v>
      </c>
      <c r="R42" s="1575"/>
      <c r="S42" s="1575"/>
      <c r="T42" s="1576"/>
      <c r="U42" s="1574" t="s">
        <v>2716</v>
      </c>
      <c r="V42" s="1575"/>
      <c r="W42" s="1576"/>
      <c r="X42" s="2121" t="s">
        <v>2722</v>
      </c>
      <c r="Y42" s="2122"/>
      <c r="Z42" s="2122"/>
      <c r="AA42" s="2122"/>
      <c r="AB42" s="2122"/>
      <c r="AC42" s="2122"/>
      <c r="AD42" s="2122"/>
      <c r="AE42" s="2122"/>
      <c r="AF42" s="2123"/>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row>
    <row r="43" spans="1:86" customFormat="1" ht="14.45" customHeight="1" x14ac:dyDescent="0.25">
      <c r="A43" s="1577" t="s">
        <v>2729</v>
      </c>
      <c r="B43" s="1486"/>
      <c r="C43" s="1486"/>
      <c r="D43" s="1487"/>
      <c r="E43" s="1479" t="s">
        <v>1472</v>
      </c>
      <c r="F43" s="1480"/>
      <c r="G43" s="1480"/>
      <c r="H43" s="1480"/>
      <c r="I43" s="1480"/>
      <c r="J43" s="1480"/>
      <c r="K43" s="1480"/>
      <c r="L43" s="1480"/>
      <c r="M43" s="1480"/>
      <c r="N43" s="1480"/>
      <c r="O43" s="1480"/>
      <c r="P43" s="1481"/>
      <c r="Q43" s="2127">
        <v>0.746</v>
      </c>
      <c r="R43" s="2128"/>
      <c r="S43" s="2128"/>
      <c r="T43" s="2129"/>
      <c r="U43" s="1574" t="s">
        <v>994</v>
      </c>
      <c r="V43" s="1575"/>
      <c r="W43" s="1576"/>
      <c r="X43" s="2121" t="s">
        <v>2722</v>
      </c>
      <c r="Y43" s="2122"/>
      <c r="Z43" s="2122"/>
      <c r="AA43" s="2122"/>
      <c r="AB43" s="2122"/>
      <c r="AC43" s="2122"/>
      <c r="AD43" s="2122"/>
      <c r="AE43" s="2122"/>
      <c r="AF43" s="2123"/>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row>
    <row r="44" spans="1:86" customFormat="1" ht="34.5" customHeight="1" x14ac:dyDescent="0.3">
      <c r="A44" s="1577" t="s">
        <v>250</v>
      </c>
      <c r="B44" s="1486"/>
      <c r="C44" s="1486"/>
      <c r="D44" s="1487"/>
      <c r="E44" s="1479" t="s">
        <v>856</v>
      </c>
      <c r="F44" s="1480"/>
      <c r="G44" s="1480"/>
      <c r="H44" s="1480"/>
      <c r="I44" s="1480"/>
      <c r="J44" s="1480"/>
      <c r="K44" s="1480"/>
      <c r="L44" s="1480"/>
      <c r="M44" s="1480"/>
      <c r="N44" s="1480"/>
      <c r="O44" s="1480"/>
      <c r="P44" s="1481"/>
      <c r="Q44" s="1775">
        <v>0.75</v>
      </c>
      <c r="R44" s="1776"/>
      <c r="S44" s="1776"/>
      <c r="T44" s="1777"/>
      <c r="U44" s="1574" t="s">
        <v>28</v>
      </c>
      <c r="V44" s="1575"/>
      <c r="W44" s="1576"/>
      <c r="X44" s="2121" t="s">
        <v>2711</v>
      </c>
      <c r="Y44" s="2122"/>
      <c r="Z44" s="2122"/>
      <c r="AA44" s="2122"/>
      <c r="AB44" s="2122"/>
      <c r="AC44" s="2122"/>
      <c r="AD44" s="2122"/>
      <c r="AE44" s="2122"/>
      <c r="AF44" s="2123"/>
      <c r="AI44" s="227"/>
      <c r="AJ44" s="503"/>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row>
    <row r="45" spans="1:86" customFormat="1" ht="63" customHeight="1" x14ac:dyDescent="0.25">
      <c r="A45" s="1577" t="s">
        <v>27</v>
      </c>
      <c r="B45" s="1486"/>
      <c r="C45" s="1486"/>
      <c r="D45" s="1487"/>
      <c r="E45" s="1479" t="s">
        <v>857</v>
      </c>
      <c r="F45" s="1480"/>
      <c r="G45" s="1480"/>
      <c r="H45" s="1480"/>
      <c r="I45" s="1480"/>
      <c r="J45" s="1480"/>
      <c r="K45" s="1480"/>
      <c r="L45" s="1480"/>
      <c r="M45" s="1480"/>
      <c r="N45" s="1480"/>
      <c r="O45" s="1480"/>
      <c r="P45" s="1481"/>
      <c r="Q45" s="1574" t="s">
        <v>164</v>
      </c>
      <c r="R45" s="1575"/>
      <c r="S45" s="1575"/>
      <c r="T45" s="1576"/>
      <c r="U45" s="1574" t="s">
        <v>28</v>
      </c>
      <c r="V45" s="1575"/>
      <c r="W45" s="1576"/>
      <c r="X45" s="2124" t="s">
        <v>2718</v>
      </c>
      <c r="Y45" s="2125"/>
      <c r="Z45" s="2125"/>
      <c r="AA45" s="2125"/>
      <c r="AB45" s="2125"/>
      <c r="AC45" s="2125"/>
      <c r="AD45" s="2125"/>
      <c r="AE45" s="2125"/>
      <c r="AF45" s="2126"/>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row>
    <row r="46" spans="1:86" customFormat="1" ht="63.75" customHeight="1" x14ac:dyDescent="0.3">
      <c r="A46" s="1485" t="s">
        <v>2727</v>
      </c>
      <c r="B46" s="1486"/>
      <c r="C46" s="1486"/>
      <c r="D46" s="1487"/>
      <c r="E46" s="1479" t="s">
        <v>858</v>
      </c>
      <c r="F46" s="1480"/>
      <c r="G46" s="1480"/>
      <c r="H46" s="1480"/>
      <c r="I46" s="1480"/>
      <c r="J46" s="1480"/>
      <c r="K46" s="1480"/>
      <c r="L46" s="1480"/>
      <c r="M46" s="1480"/>
      <c r="N46" s="1480"/>
      <c r="O46" s="1480"/>
      <c r="P46" s="1481"/>
      <c r="Q46" s="1574" t="s">
        <v>326</v>
      </c>
      <c r="R46" s="1575"/>
      <c r="S46" s="1575"/>
      <c r="T46" s="1576"/>
      <c r="U46" s="1574" t="s">
        <v>28</v>
      </c>
      <c r="V46" s="1575"/>
      <c r="W46" s="1576"/>
      <c r="X46" s="2121" t="s">
        <v>2719</v>
      </c>
      <c r="Y46" s="2122"/>
      <c r="Z46" s="2122"/>
      <c r="AA46" s="2122"/>
      <c r="AB46" s="2122"/>
      <c r="AC46" s="2122"/>
      <c r="AD46" s="2122"/>
      <c r="AE46" s="2122"/>
      <c r="AF46" s="2123"/>
      <c r="AI46" s="227"/>
      <c r="AJ46" s="503"/>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row>
    <row r="47" spans="1:86" customFormat="1" ht="57.6" customHeight="1" x14ac:dyDescent="0.25">
      <c r="A47" s="1485" t="s">
        <v>2728</v>
      </c>
      <c r="B47" s="1486"/>
      <c r="C47" s="1486"/>
      <c r="D47" s="1487"/>
      <c r="E47" s="1479" t="s">
        <v>859</v>
      </c>
      <c r="F47" s="1480"/>
      <c r="G47" s="1480"/>
      <c r="H47" s="1480"/>
      <c r="I47" s="1480"/>
      <c r="J47" s="1480"/>
      <c r="K47" s="1480"/>
      <c r="L47" s="1480"/>
      <c r="M47" s="1480"/>
      <c r="N47" s="1480"/>
      <c r="O47" s="1480"/>
      <c r="P47" s="1481"/>
      <c r="Q47" s="1574" t="s">
        <v>326</v>
      </c>
      <c r="R47" s="1575"/>
      <c r="S47" s="1575"/>
      <c r="T47" s="1576"/>
      <c r="U47" s="1574" t="s">
        <v>28</v>
      </c>
      <c r="V47" s="1575"/>
      <c r="W47" s="1576"/>
      <c r="X47" s="2121" t="s">
        <v>2720</v>
      </c>
      <c r="Y47" s="2122"/>
      <c r="Z47" s="2122"/>
      <c r="AA47" s="2122"/>
      <c r="AB47" s="2122"/>
      <c r="AC47" s="2122"/>
      <c r="AD47" s="2122"/>
      <c r="AE47" s="2122"/>
      <c r="AF47" s="2123"/>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row>
    <row r="48" spans="1:86" customFormat="1" ht="50.25" customHeight="1" x14ac:dyDescent="0.25">
      <c r="A48" s="1485" t="s">
        <v>29</v>
      </c>
      <c r="B48" s="1486"/>
      <c r="C48" s="1486"/>
      <c r="D48" s="1487"/>
      <c r="E48" s="1479" t="s">
        <v>104</v>
      </c>
      <c r="F48" s="1480"/>
      <c r="G48" s="1480"/>
      <c r="H48" s="1480"/>
      <c r="I48" s="1480"/>
      <c r="J48" s="1480"/>
      <c r="K48" s="1480"/>
      <c r="L48" s="1480"/>
      <c r="M48" s="1480"/>
      <c r="N48" s="1480"/>
      <c r="O48" s="1480"/>
      <c r="P48" s="1481"/>
      <c r="Q48" s="1482" t="s">
        <v>2756</v>
      </c>
      <c r="R48" s="1483"/>
      <c r="S48" s="1483"/>
      <c r="T48" s="1484"/>
      <c r="U48" s="1574" t="s">
        <v>28</v>
      </c>
      <c r="V48" s="1575"/>
      <c r="W48" s="1576"/>
      <c r="X48" s="1538" t="s">
        <v>2753</v>
      </c>
      <c r="Y48" s="1539"/>
      <c r="Z48" s="1539"/>
      <c r="AA48" s="1539"/>
      <c r="AB48" s="1539"/>
      <c r="AC48" s="1539"/>
      <c r="AD48" s="1539"/>
      <c r="AE48" s="1539"/>
      <c r="AF48" s="1540"/>
      <c r="AM48" s="502"/>
      <c r="AN48" s="502"/>
      <c r="AO48" s="502"/>
      <c r="AP48" s="502"/>
      <c r="AQ48" s="502"/>
      <c r="AR48" s="502"/>
      <c r="AS48" s="502"/>
      <c r="AT48" s="502"/>
      <c r="AU48" s="502"/>
    </row>
    <row r="49" spans="1:38" customFormat="1" ht="49.5" customHeight="1" x14ac:dyDescent="0.25">
      <c r="A49" s="1485" t="s">
        <v>32</v>
      </c>
      <c r="B49" s="1486"/>
      <c r="C49" s="1486"/>
      <c r="D49" s="1487"/>
      <c r="E49" s="1479" t="s">
        <v>2715</v>
      </c>
      <c r="F49" s="1480"/>
      <c r="G49" s="1480"/>
      <c r="H49" s="1480"/>
      <c r="I49" s="1480"/>
      <c r="J49" s="1480"/>
      <c r="K49" s="1480"/>
      <c r="L49" s="1480"/>
      <c r="M49" s="1480"/>
      <c r="N49" s="1480"/>
      <c r="O49" s="1480"/>
      <c r="P49" s="1481"/>
      <c r="Q49" s="1482" t="s">
        <v>2755</v>
      </c>
      <c r="R49" s="1483"/>
      <c r="S49" s="1483"/>
      <c r="T49" s="1484"/>
      <c r="U49" s="1574" t="s">
        <v>45</v>
      </c>
      <c r="V49" s="1575"/>
      <c r="W49" s="1576"/>
      <c r="X49" s="1538" t="s">
        <v>2754</v>
      </c>
      <c r="Y49" s="1539"/>
      <c r="Z49" s="1539"/>
      <c r="AA49" s="1539"/>
      <c r="AB49" s="1539"/>
      <c r="AC49" s="1539"/>
      <c r="AD49" s="1539"/>
      <c r="AE49" s="1539"/>
      <c r="AF49" s="1540"/>
    </row>
    <row r="50" spans="1:38" customFormat="1" ht="49.5" customHeight="1" x14ac:dyDescent="0.25">
      <c r="A50" s="1485" t="s">
        <v>2724</v>
      </c>
      <c r="B50" s="1486"/>
      <c r="C50" s="1486"/>
      <c r="D50" s="1487"/>
      <c r="E50" s="1494" t="s">
        <v>2217</v>
      </c>
      <c r="F50" s="1495"/>
      <c r="G50" s="1495"/>
      <c r="H50" s="1495"/>
      <c r="I50" s="1495"/>
      <c r="J50" s="1495"/>
      <c r="K50" s="1495"/>
      <c r="L50" s="1495"/>
      <c r="M50" s="1495"/>
      <c r="N50" s="1495"/>
      <c r="O50" s="1495"/>
      <c r="P50" s="1496"/>
      <c r="Q50" s="1574">
        <f>'Master EUL'!X84</f>
        <v>15</v>
      </c>
      <c r="R50" s="1575"/>
      <c r="S50" s="1575"/>
      <c r="T50" s="1576"/>
      <c r="U50" s="1574" t="s">
        <v>46</v>
      </c>
      <c r="V50" s="1575"/>
      <c r="W50" s="1576"/>
      <c r="X50" s="2121" t="s">
        <v>2725</v>
      </c>
      <c r="Y50" s="2122"/>
      <c r="Z50" s="2122"/>
      <c r="AA50" s="2122"/>
      <c r="AB50" s="2122"/>
      <c r="AC50" s="2122"/>
      <c r="AD50" s="2122"/>
      <c r="AE50" s="2122"/>
      <c r="AF50" s="2123"/>
    </row>
    <row r="51" spans="1:38" customFormat="1" ht="51" customHeight="1" x14ac:dyDescent="0.25">
      <c r="A51" s="1601" t="s">
        <v>2712</v>
      </c>
      <c r="B51" s="1601"/>
      <c r="C51" s="1601"/>
      <c r="D51" s="1601"/>
      <c r="E51" s="1601"/>
      <c r="F51" s="1601"/>
      <c r="G51" s="1601"/>
      <c r="H51" s="1601"/>
      <c r="I51" s="1601"/>
      <c r="J51" s="1601"/>
      <c r="K51" s="1601"/>
      <c r="L51" s="1601"/>
      <c r="M51" s="1601"/>
      <c r="N51" s="1601"/>
      <c r="O51" s="1601"/>
      <c r="P51" s="1601"/>
      <c r="Q51" s="1601"/>
      <c r="R51" s="1601"/>
      <c r="S51" s="1601"/>
      <c r="T51" s="1601"/>
      <c r="U51" s="1601"/>
      <c r="V51" s="1601"/>
      <c r="W51" s="1601"/>
      <c r="X51" s="1601"/>
      <c r="Y51" s="1601"/>
      <c r="Z51" s="1601"/>
      <c r="AA51" s="1601"/>
      <c r="AB51" s="1601"/>
      <c r="AC51" s="1601"/>
      <c r="AD51" s="1601"/>
      <c r="AE51" s="1601"/>
      <c r="AF51" s="1601"/>
      <c r="AL51" s="31"/>
    </row>
    <row r="52" spans="1:38" customFormat="1" ht="31.5" customHeight="1" x14ac:dyDescent="0.25">
      <c r="A52" s="1415" t="s">
        <v>2747</v>
      </c>
      <c r="B52" s="1415"/>
      <c r="C52" s="1415"/>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1415"/>
      <c r="AC52" s="1415"/>
      <c r="AD52" s="1415"/>
      <c r="AE52" s="1415"/>
      <c r="AF52" s="1415"/>
      <c r="AL52" s="31"/>
    </row>
    <row r="53" spans="1:38" customFormat="1" ht="46.5" customHeight="1" x14ac:dyDescent="0.25">
      <c r="A53" s="1415" t="s">
        <v>2721</v>
      </c>
      <c r="B53" s="1415"/>
      <c r="C53" s="1415"/>
      <c r="D53" s="1415"/>
      <c r="E53" s="1415"/>
      <c r="F53" s="1415"/>
      <c r="G53" s="1415"/>
      <c r="H53" s="1415"/>
      <c r="I53" s="1415"/>
      <c r="J53" s="1415"/>
      <c r="K53" s="1415"/>
      <c r="L53" s="1415"/>
      <c r="M53" s="1415"/>
      <c r="N53" s="1415"/>
      <c r="O53" s="1415"/>
      <c r="P53" s="1415"/>
      <c r="Q53" s="1415"/>
      <c r="R53" s="1415"/>
      <c r="S53" s="1415"/>
      <c r="T53" s="1415"/>
      <c r="U53" s="1415"/>
      <c r="V53" s="1415"/>
      <c r="W53" s="1415"/>
      <c r="X53" s="1415"/>
      <c r="Y53" s="1415"/>
      <c r="Z53" s="1415"/>
      <c r="AA53" s="1415"/>
      <c r="AB53" s="1415"/>
      <c r="AC53" s="1415"/>
      <c r="AD53" s="1415"/>
      <c r="AE53" s="1415"/>
      <c r="AF53" s="1415"/>
    </row>
    <row r="54" spans="1:38" customFormat="1" ht="94.5" customHeight="1" x14ac:dyDescent="0.25">
      <c r="A54" s="1415" t="s">
        <v>2723</v>
      </c>
      <c r="B54" s="1415"/>
      <c r="C54" s="1415"/>
      <c r="D54" s="1415"/>
      <c r="E54" s="1415"/>
      <c r="F54" s="1415"/>
      <c r="G54" s="1415"/>
      <c r="H54" s="1415"/>
      <c r="I54" s="1415"/>
      <c r="J54" s="1415"/>
      <c r="K54" s="1415"/>
      <c r="L54" s="1415"/>
      <c r="M54" s="1415"/>
      <c r="N54" s="1415"/>
      <c r="O54" s="1415"/>
      <c r="P54" s="1415"/>
      <c r="Q54" s="1415"/>
      <c r="R54" s="1415"/>
      <c r="S54" s="1415"/>
      <c r="T54" s="1415"/>
      <c r="U54" s="1415"/>
      <c r="V54" s="1415"/>
      <c r="W54" s="1415"/>
      <c r="X54" s="1415"/>
      <c r="Y54" s="1415"/>
      <c r="Z54" s="1415"/>
      <c r="AA54" s="1415"/>
      <c r="AB54" s="1415"/>
      <c r="AC54" s="1415"/>
      <c r="AD54" s="1415"/>
      <c r="AE54" s="1415"/>
      <c r="AF54" s="1415"/>
    </row>
    <row r="55" spans="1:38" customFormat="1" ht="56.25" customHeight="1" x14ac:dyDescent="0.25">
      <c r="A55" s="1415" t="s">
        <v>2757</v>
      </c>
      <c r="B55" s="1415"/>
      <c r="C55" s="1415"/>
      <c r="D55" s="1415"/>
      <c r="E55" s="1415"/>
      <c r="F55" s="1415"/>
      <c r="G55" s="1415"/>
      <c r="H55" s="1415"/>
      <c r="I55" s="1415"/>
      <c r="J55" s="1415"/>
      <c r="K55" s="1415"/>
      <c r="L55" s="1415"/>
      <c r="M55" s="1415"/>
      <c r="N55" s="1415"/>
      <c r="O55" s="1415"/>
      <c r="P55" s="1415"/>
      <c r="Q55" s="1415"/>
      <c r="R55" s="1415"/>
      <c r="S55" s="1415"/>
      <c r="T55" s="1415"/>
      <c r="U55" s="1415"/>
      <c r="V55" s="1415"/>
      <c r="W55" s="1415"/>
      <c r="X55" s="1415"/>
      <c r="Y55" s="1415"/>
      <c r="Z55" s="1415"/>
      <c r="AA55" s="1415"/>
      <c r="AB55" s="1415"/>
      <c r="AC55" s="1415"/>
      <c r="AD55" s="1415"/>
      <c r="AE55" s="1415"/>
      <c r="AF55" s="1415"/>
    </row>
    <row r="56" spans="1:38" customFormat="1" x14ac:dyDescent="0.25">
      <c r="A56" s="506">
        <v>1</v>
      </c>
      <c r="B56" s="506">
        <v>2</v>
      </c>
      <c r="C56" s="506">
        <v>3</v>
      </c>
      <c r="D56" s="506">
        <v>4</v>
      </c>
      <c r="E56" s="506">
        <v>5</v>
      </c>
      <c r="F56" s="506">
        <v>6</v>
      </c>
      <c r="G56" s="506">
        <v>7</v>
      </c>
      <c r="H56" s="506">
        <v>8</v>
      </c>
      <c r="I56" s="506">
        <v>9</v>
      </c>
      <c r="J56" s="506">
        <v>10</v>
      </c>
      <c r="K56" s="506">
        <v>11</v>
      </c>
      <c r="L56" s="506">
        <v>12</v>
      </c>
      <c r="M56" s="506">
        <v>13</v>
      </c>
      <c r="N56" s="506">
        <v>14</v>
      </c>
      <c r="O56" s="506">
        <v>15</v>
      </c>
      <c r="P56" s="506">
        <v>16</v>
      </c>
      <c r="Q56" s="506">
        <v>17</v>
      </c>
      <c r="R56" s="506">
        <v>18</v>
      </c>
      <c r="S56" s="506">
        <v>19</v>
      </c>
      <c r="T56" s="506">
        <v>20</v>
      </c>
      <c r="U56" s="506">
        <v>21</v>
      </c>
      <c r="V56" s="506">
        <v>22</v>
      </c>
      <c r="W56" s="506">
        <v>23</v>
      </c>
      <c r="X56" s="506">
        <v>24</v>
      </c>
      <c r="Y56" s="506">
        <v>25</v>
      </c>
      <c r="Z56" s="506">
        <v>26</v>
      </c>
      <c r="AA56" s="506">
        <v>27</v>
      </c>
      <c r="AB56" s="506">
        <v>28</v>
      </c>
      <c r="AC56" s="506">
        <v>29</v>
      </c>
      <c r="AD56" s="506">
        <v>30</v>
      </c>
      <c r="AE56" s="463"/>
      <c r="AF56" s="463"/>
    </row>
    <row r="57" spans="1:38" customFormat="1" ht="15" customHeight="1" x14ac:dyDescent="0.25">
      <c r="A57" s="249" t="s">
        <v>2730</v>
      </c>
      <c r="B57" s="249"/>
      <c r="C57" s="249"/>
      <c r="D57" s="249"/>
      <c r="E57" s="249"/>
      <c r="F57" s="249"/>
      <c r="G57" s="249"/>
      <c r="H57" s="249"/>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row>
    <row r="58" spans="1:38" customFormat="1" x14ac:dyDescent="0.25">
      <c r="A58" s="2104" t="s">
        <v>778</v>
      </c>
      <c r="B58" s="2104"/>
      <c r="C58" s="2104"/>
      <c r="D58" s="2104"/>
      <c r="E58" s="2104"/>
      <c r="F58" s="2104"/>
      <c r="G58" s="2104"/>
      <c r="H58" s="2104"/>
      <c r="I58" s="2104"/>
      <c r="J58" s="2104"/>
      <c r="K58" s="2104" t="s">
        <v>2739</v>
      </c>
      <c r="L58" s="2104"/>
      <c r="M58" s="2104"/>
      <c r="N58" s="2104"/>
      <c r="O58" s="2104"/>
      <c r="P58" s="2104" t="s">
        <v>2740</v>
      </c>
      <c r="Q58" s="2104"/>
      <c r="R58" s="2104"/>
      <c r="S58" s="2104"/>
      <c r="T58" s="2104"/>
      <c r="U58" s="2104" t="s">
        <v>2741</v>
      </c>
      <c r="V58" s="2104"/>
      <c r="W58" s="2104"/>
      <c r="X58" s="2104"/>
      <c r="Y58" s="2104"/>
      <c r="Z58" s="2104" t="s">
        <v>2742</v>
      </c>
      <c r="AA58" s="2104"/>
      <c r="AB58" s="2104"/>
      <c r="AC58" s="2104"/>
      <c r="AD58" s="2104"/>
      <c r="AE58" s="463"/>
      <c r="AF58" s="463"/>
      <c r="AG58" s="463"/>
      <c r="AH58" s="463"/>
      <c r="AI58" s="463"/>
      <c r="AJ58" s="463"/>
      <c r="AK58" s="463"/>
    </row>
    <row r="59" spans="1:38" customFormat="1" ht="15" customHeight="1" x14ac:dyDescent="0.25">
      <c r="A59" s="2104" t="s">
        <v>779</v>
      </c>
      <c r="B59" s="2104"/>
      <c r="C59" s="2104"/>
      <c r="D59" s="2104"/>
      <c r="E59" s="2104"/>
      <c r="F59" s="2104"/>
      <c r="G59" s="2104"/>
      <c r="H59" s="2104"/>
      <c r="I59" s="2104"/>
      <c r="J59" s="2104"/>
      <c r="K59" s="2105">
        <v>0.56999999999999995</v>
      </c>
      <c r="L59" s="2105"/>
      <c r="M59" s="2105"/>
      <c r="N59" s="2105"/>
      <c r="O59" s="2105"/>
      <c r="P59" s="2105">
        <v>0.498</v>
      </c>
      <c r="Q59" s="2105"/>
      <c r="R59" s="2105"/>
      <c r="S59" s="2105"/>
      <c r="T59" s="2105"/>
      <c r="U59" s="2105">
        <v>0.56999999999999995</v>
      </c>
      <c r="V59" s="2105"/>
      <c r="W59" s="2105"/>
      <c r="X59" s="2105"/>
      <c r="Y59" s="2105"/>
      <c r="Z59" s="2105">
        <v>0.51</v>
      </c>
      <c r="AA59" s="2105"/>
      <c r="AB59" s="2105"/>
      <c r="AC59" s="2105"/>
      <c r="AD59" s="2105"/>
      <c r="AE59" s="463"/>
      <c r="AF59" s="463"/>
      <c r="AG59" s="463"/>
      <c r="AH59" s="463"/>
      <c r="AI59" s="463"/>
      <c r="AJ59" s="463"/>
      <c r="AK59" s="463"/>
    </row>
    <row r="60" spans="1:38" customFormat="1" ht="15" customHeight="1" x14ac:dyDescent="0.25">
      <c r="A60" s="2104" t="s">
        <v>783</v>
      </c>
      <c r="B60" s="2104"/>
      <c r="C60" s="2104"/>
      <c r="D60" s="2104"/>
      <c r="E60" s="2104"/>
      <c r="F60" s="2104"/>
      <c r="G60" s="2104"/>
      <c r="H60" s="2104"/>
      <c r="I60" s="2104"/>
      <c r="J60" s="2104"/>
      <c r="K60" s="2105" t="s">
        <v>252</v>
      </c>
      <c r="L60" s="2105"/>
      <c r="M60" s="2105"/>
      <c r="N60" s="2105"/>
      <c r="O60" s="2105"/>
      <c r="P60" s="2105" t="s">
        <v>252</v>
      </c>
      <c r="Q60" s="2105"/>
      <c r="R60" s="2105"/>
      <c r="S60" s="2105"/>
      <c r="T60" s="2105"/>
      <c r="U60" s="2105">
        <v>0.2</v>
      </c>
      <c r="V60" s="2105"/>
      <c r="W60" s="2105"/>
      <c r="X60" s="2105"/>
      <c r="Y60" s="2105"/>
      <c r="Z60" s="2105">
        <v>0.24299999999999999</v>
      </c>
      <c r="AA60" s="2105"/>
      <c r="AB60" s="2105"/>
      <c r="AC60" s="2105"/>
      <c r="AD60" s="2105"/>
      <c r="AE60" s="463"/>
      <c r="AF60" s="463"/>
      <c r="AG60" s="463"/>
      <c r="AH60" s="463"/>
      <c r="AI60" s="463"/>
      <c r="AJ60" s="463"/>
      <c r="AK60" s="463"/>
    </row>
    <row r="61" spans="1:38" customFormat="1" ht="15" customHeight="1" x14ac:dyDescent="0.25">
      <c r="A61" s="2104" t="s">
        <v>781</v>
      </c>
      <c r="B61" s="2104"/>
      <c r="C61" s="2104"/>
      <c r="D61" s="2104"/>
      <c r="E61" s="2104"/>
      <c r="F61" s="2104"/>
      <c r="G61" s="2104"/>
      <c r="H61" s="2104"/>
      <c r="I61" s="2104"/>
      <c r="J61" s="2104"/>
      <c r="K61" s="2105">
        <v>0.31</v>
      </c>
      <c r="L61" s="2105"/>
      <c r="M61" s="2105"/>
      <c r="N61" s="2105"/>
      <c r="O61" s="2105"/>
      <c r="P61" s="2105">
        <v>0.35599999999999998</v>
      </c>
      <c r="Q61" s="2105"/>
      <c r="R61" s="2105"/>
      <c r="S61" s="2105"/>
      <c r="T61" s="2105"/>
      <c r="U61" s="2105" t="s">
        <v>252</v>
      </c>
      <c r="V61" s="2105"/>
      <c r="W61" s="2105"/>
      <c r="X61" s="2105"/>
      <c r="Y61" s="2105"/>
      <c r="Z61" s="2105" t="s">
        <v>252</v>
      </c>
      <c r="AA61" s="2105"/>
      <c r="AB61" s="2105"/>
      <c r="AC61" s="2105"/>
      <c r="AD61" s="2105"/>
      <c r="AE61" s="463"/>
      <c r="AF61" s="463"/>
      <c r="AG61" s="463"/>
      <c r="AH61" s="463"/>
      <c r="AI61" s="463"/>
      <c r="AJ61" s="463"/>
      <c r="AK61" s="463"/>
    </row>
    <row r="62" spans="1:38" customFormat="1" ht="15" customHeight="1" x14ac:dyDescent="0.25">
      <c r="A62" s="2104" t="s">
        <v>780</v>
      </c>
      <c r="B62" s="2104"/>
      <c r="C62" s="2104"/>
      <c r="D62" s="2104"/>
      <c r="E62" s="2104"/>
      <c r="F62" s="2104"/>
      <c r="G62" s="2104"/>
      <c r="H62" s="2104"/>
      <c r="I62" s="2104"/>
      <c r="J62" s="2104"/>
      <c r="K62" s="2105">
        <v>0.06</v>
      </c>
      <c r="L62" s="2105"/>
      <c r="M62" s="2105"/>
      <c r="N62" s="2105"/>
      <c r="O62" s="2105"/>
      <c r="P62" s="2105">
        <v>0.10100000000000001</v>
      </c>
      <c r="Q62" s="2105"/>
      <c r="R62" s="2105"/>
      <c r="S62" s="2105"/>
      <c r="T62" s="2105"/>
      <c r="U62" s="2105" t="s">
        <v>252</v>
      </c>
      <c r="V62" s="2105"/>
      <c r="W62" s="2105"/>
      <c r="X62" s="2105"/>
      <c r="Y62" s="2105"/>
      <c r="Z62" s="2105" t="s">
        <v>252</v>
      </c>
      <c r="AA62" s="2105"/>
      <c r="AB62" s="2105"/>
      <c r="AC62" s="2105"/>
      <c r="AD62" s="2105"/>
      <c r="AE62" s="463"/>
      <c r="AF62" s="463"/>
      <c r="AG62" s="463"/>
      <c r="AH62" s="463"/>
      <c r="AI62" s="463"/>
      <c r="AJ62" s="463"/>
      <c r="AK62" s="463"/>
    </row>
    <row r="63" spans="1:38" customFormat="1" ht="15" customHeight="1" x14ac:dyDescent="0.25">
      <c r="A63" s="2104" t="s">
        <v>782</v>
      </c>
      <c r="B63" s="2104"/>
      <c r="C63" s="2104"/>
      <c r="D63" s="2104"/>
      <c r="E63" s="2104"/>
      <c r="F63" s="2104"/>
      <c r="G63" s="2104"/>
      <c r="H63" s="2104"/>
      <c r="I63" s="2104"/>
      <c r="J63" s="2104"/>
      <c r="K63" s="2105">
        <v>0.22</v>
      </c>
      <c r="L63" s="2105"/>
      <c r="M63" s="2105"/>
      <c r="N63" s="2105"/>
      <c r="O63" s="2105"/>
      <c r="P63" s="2105">
        <v>0.27200000000000002</v>
      </c>
      <c r="Q63" s="2105"/>
      <c r="R63" s="2105"/>
      <c r="S63" s="2105"/>
      <c r="T63" s="2105"/>
      <c r="U63" s="2105" t="s">
        <v>252</v>
      </c>
      <c r="V63" s="2105"/>
      <c r="W63" s="2105"/>
      <c r="X63" s="2105"/>
      <c r="Y63" s="2105"/>
      <c r="Z63" s="2105" t="s">
        <v>252</v>
      </c>
      <c r="AA63" s="2105"/>
      <c r="AB63" s="2105"/>
      <c r="AC63" s="2105"/>
      <c r="AD63" s="2105"/>
      <c r="AE63" s="463"/>
      <c r="AF63" s="463"/>
      <c r="AG63" s="463"/>
      <c r="AH63" s="463"/>
      <c r="AI63" s="463"/>
      <c r="AJ63" s="463"/>
      <c r="AK63" s="463"/>
    </row>
    <row r="64" spans="1:38" customFormat="1" ht="15" customHeight="1" x14ac:dyDescent="0.25">
      <c r="A64" s="2104" t="s">
        <v>784</v>
      </c>
      <c r="B64" s="2104"/>
      <c r="C64" s="2104"/>
      <c r="D64" s="2104"/>
      <c r="E64" s="2104"/>
      <c r="F64" s="2104"/>
      <c r="G64" s="2104"/>
      <c r="H64" s="2104"/>
      <c r="I64" s="2104"/>
      <c r="J64" s="2104"/>
      <c r="K64" s="2105" t="s">
        <v>252</v>
      </c>
      <c r="L64" s="2105"/>
      <c r="M64" s="2105"/>
      <c r="N64" s="2105"/>
      <c r="O64" s="2105"/>
      <c r="P64" s="2105" t="s">
        <v>252</v>
      </c>
      <c r="Q64" s="2105"/>
      <c r="R64" s="2105"/>
      <c r="S64" s="2105"/>
      <c r="T64" s="2105"/>
      <c r="U64" s="2105">
        <v>0.47</v>
      </c>
      <c r="V64" s="2105"/>
      <c r="W64" s="2105"/>
      <c r="X64" s="2105"/>
      <c r="Y64" s="2105"/>
      <c r="Z64" s="2105">
        <v>0.45500000000000002</v>
      </c>
      <c r="AA64" s="2105"/>
      <c r="AB64" s="2105"/>
      <c r="AC64" s="2105"/>
      <c r="AD64" s="2105"/>
      <c r="AE64" s="463"/>
      <c r="AF64" s="463"/>
      <c r="AG64" s="463"/>
      <c r="AH64" s="463"/>
      <c r="AI64" s="463"/>
      <c r="AJ64" s="463"/>
      <c r="AK64" s="463"/>
    </row>
    <row r="65" spans="1:51" customFormat="1" ht="15" customHeight="1" x14ac:dyDescent="0.25">
      <c r="A65" s="2089" t="s">
        <v>57</v>
      </c>
      <c r="B65" s="2089"/>
      <c r="C65" s="2089"/>
      <c r="D65" s="2089"/>
      <c r="E65" s="2089"/>
      <c r="F65" s="2089"/>
      <c r="G65" s="2089"/>
      <c r="H65" s="2089"/>
      <c r="I65" s="2089"/>
      <c r="J65" s="2089"/>
      <c r="K65" s="2090">
        <f>ROUND(AVERAGE(K59:O64),2)</f>
        <v>0.28999999999999998</v>
      </c>
      <c r="L65" s="2090"/>
      <c r="M65" s="2090"/>
      <c r="N65" s="2090"/>
      <c r="O65" s="2090"/>
      <c r="P65" s="2090">
        <f>ROUND(AVERAGE(P59:T64),2)</f>
        <v>0.31</v>
      </c>
      <c r="Q65" s="2090"/>
      <c r="R65" s="2090"/>
      <c r="S65" s="2090"/>
      <c r="T65" s="2090"/>
      <c r="U65" s="2090">
        <f>ROUND(AVERAGE(U59:Y64),2)</f>
        <v>0.41</v>
      </c>
      <c r="V65" s="2090"/>
      <c r="W65" s="2090"/>
      <c r="X65" s="2090"/>
      <c r="Y65" s="2090"/>
      <c r="Z65" s="2090">
        <f>ROUND(AVERAGE(Z59:AD64),2)</f>
        <v>0.4</v>
      </c>
      <c r="AA65" s="2090"/>
      <c r="AB65" s="2090"/>
      <c r="AC65" s="2090"/>
      <c r="AD65" s="2090"/>
      <c r="AE65" s="463"/>
      <c r="AF65" s="463"/>
      <c r="AG65" s="463"/>
      <c r="AH65" s="463"/>
      <c r="AI65" s="463"/>
      <c r="AJ65" s="463"/>
      <c r="AK65" s="463"/>
    </row>
    <row r="66" spans="1:51" s="1" customFormat="1" ht="54" customHeight="1" x14ac:dyDescent="0.25">
      <c r="A66" s="1238" t="s">
        <v>2839</v>
      </c>
      <c r="B66" s="1238"/>
      <c r="C66" s="1238"/>
      <c r="D66" s="1238"/>
      <c r="E66" s="1238"/>
      <c r="F66" s="1238"/>
      <c r="G66" s="1238"/>
      <c r="H66" s="1238"/>
      <c r="I66" s="1238"/>
      <c r="J66" s="1238"/>
      <c r="K66" s="1238"/>
      <c r="L66" s="1238"/>
      <c r="M66" s="1238"/>
      <c r="N66" s="1238"/>
      <c r="O66" s="1238"/>
      <c r="P66" s="1238"/>
      <c r="Q66" s="1238"/>
      <c r="R66" s="1238"/>
      <c r="S66" s="1238"/>
      <c r="T66" s="1238"/>
      <c r="U66" s="1238"/>
      <c r="V66" s="1238"/>
      <c r="W66" s="1238"/>
      <c r="X66" s="1238"/>
      <c r="Y66" s="1238"/>
      <c r="Z66" s="1238"/>
      <c r="AA66" s="1238"/>
      <c r="AB66" s="1238"/>
      <c r="AC66" s="1238"/>
      <c r="AD66" s="1238"/>
      <c r="AE66" s="1238"/>
      <c r="AF66" s="1238"/>
      <c r="AU66" s="504"/>
      <c r="AV66" s="505"/>
      <c r="AW66" s="505"/>
      <c r="AX66" s="505"/>
      <c r="AY66" s="505"/>
    </row>
    <row r="67" spans="1:51" s="1" customFormat="1" ht="30.75" customHeight="1" x14ac:dyDescent="0.25">
      <c r="A67" s="1238" t="s">
        <v>2726</v>
      </c>
      <c r="B67" s="1238"/>
      <c r="C67" s="1238"/>
      <c r="D67" s="1238"/>
      <c r="E67" s="1238"/>
      <c r="F67" s="1238"/>
      <c r="G67" s="1238"/>
      <c r="H67" s="1238"/>
      <c r="I67" s="1238"/>
      <c r="J67" s="1238"/>
      <c r="K67" s="1238"/>
      <c r="L67" s="1238"/>
      <c r="M67" s="1238"/>
      <c r="N67" s="1238"/>
      <c r="O67" s="1238"/>
      <c r="P67" s="1238"/>
      <c r="Q67" s="1238"/>
      <c r="R67" s="1238"/>
      <c r="S67" s="1238"/>
      <c r="T67" s="1238"/>
      <c r="U67" s="1238"/>
      <c r="V67" s="1238"/>
      <c r="W67" s="1238"/>
      <c r="X67" s="1238"/>
      <c r="Y67" s="1238"/>
      <c r="Z67" s="1238"/>
      <c r="AA67" s="1238"/>
      <c r="AB67" s="1238"/>
      <c r="AC67" s="1238"/>
      <c r="AD67" s="1238"/>
      <c r="AE67" s="1238"/>
      <c r="AF67" s="1238"/>
      <c r="AU67" s="504"/>
      <c r="AV67" s="505"/>
      <c r="AW67" s="505"/>
      <c r="AX67" s="505"/>
      <c r="AY67" s="505"/>
    </row>
    <row r="68" spans="1:51" x14ac:dyDescent="0.25">
      <c r="A68" s="3"/>
      <c r="B68" s="250"/>
      <c r="AU68" s="504"/>
      <c r="AV68" s="505"/>
      <c r="AW68" s="505"/>
      <c r="AX68" s="505"/>
      <c r="AY68" s="505"/>
    </row>
    <row r="69" spans="1:51" s="1" customFormat="1" ht="15" customHeight="1" x14ac:dyDescent="0.25">
      <c r="A69" s="1472" t="s">
        <v>21</v>
      </c>
      <c r="B69" s="1472"/>
      <c r="C69" s="1472"/>
      <c r="D69" s="1472"/>
      <c r="E69" s="1472"/>
      <c r="F69" s="1472"/>
      <c r="G69" s="1472"/>
      <c r="H69" s="1472"/>
      <c r="I69" s="1472"/>
      <c r="J69" s="1472"/>
      <c r="K69" s="1472"/>
      <c r="L69" s="1472"/>
      <c r="M69" s="1472"/>
      <c r="N69" s="1472"/>
      <c r="O69" s="1472"/>
      <c r="P69" s="1472"/>
      <c r="Q69" s="1472"/>
      <c r="R69" s="1472"/>
      <c r="S69" s="1472"/>
      <c r="T69" s="1472"/>
      <c r="U69" s="1472"/>
      <c r="V69" s="1472"/>
      <c r="W69" s="1472"/>
      <c r="X69" s="1472"/>
      <c r="Y69" s="1472"/>
      <c r="Z69" s="1472"/>
      <c r="AA69" s="1472"/>
      <c r="AB69" s="1472"/>
      <c r="AC69" s="1472"/>
      <c r="AD69" s="1472"/>
      <c r="AE69" s="1472"/>
      <c r="AF69" s="1472"/>
      <c r="AU69" s="504"/>
      <c r="AV69" s="505"/>
      <c r="AW69" s="505"/>
      <c r="AX69" s="505"/>
      <c r="AY69" s="505"/>
    </row>
    <row r="70" spans="1:51" s="1" customForma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U70" s="504"/>
      <c r="AV70" s="505"/>
      <c r="AW70" s="505"/>
      <c r="AX70" s="505"/>
      <c r="AY70" s="505"/>
    </row>
    <row r="71" spans="1:51" s="380" customFormat="1" x14ac:dyDescent="0.25">
      <c r="A71" s="1"/>
      <c r="B71" s="380" t="s">
        <v>2760</v>
      </c>
    </row>
    <row r="72" spans="1:51" s="380" customFormat="1" x14ac:dyDescent="0.25">
      <c r="A72" s="1"/>
      <c r="B72" s="380" t="s">
        <v>2761</v>
      </c>
    </row>
    <row r="73" spans="1:51" s="380" customFormat="1" x14ac:dyDescent="0.25"/>
    <row r="74" spans="1:51" ht="15" customHeight="1" x14ac:dyDescent="0.25">
      <c r="B74" s="8" t="s">
        <v>2731</v>
      </c>
      <c r="C74" s="2"/>
      <c r="D74" s="2"/>
      <c r="AU74" s="504"/>
      <c r="AV74" s="505"/>
      <c r="AW74" s="505"/>
      <c r="AX74" s="505"/>
      <c r="AY74" s="505"/>
    </row>
    <row r="75" spans="1:51" s="2" customForma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U75" s="504"/>
      <c r="AV75" s="505"/>
      <c r="AW75" s="505"/>
      <c r="AX75" s="505"/>
      <c r="AY75" s="505"/>
    </row>
    <row r="76" spans="1:51" x14ac:dyDescent="0.25">
      <c r="C76" s="2109" t="s">
        <v>2737</v>
      </c>
      <c r="D76" s="2110"/>
      <c r="E76" s="2110"/>
      <c r="F76" s="2111"/>
      <c r="AU76" s="504"/>
      <c r="AV76" s="505"/>
      <c r="AW76" s="505"/>
      <c r="AX76" s="505"/>
      <c r="AY76" s="505"/>
    </row>
    <row r="77" spans="1:51" x14ac:dyDescent="0.25">
      <c r="AU77" s="504"/>
      <c r="AV77" s="505"/>
      <c r="AW77" s="505"/>
      <c r="AX77" s="505"/>
      <c r="AY77" s="505"/>
    </row>
    <row r="78" spans="1:51" x14ac:dyDescent="0.25">
      <c r="B78" s="8" t="s">
        <v>2732</v>
      </c>
      <c r="C78" s="2"/>
      <c r="D78" s="2"/>
      <c r="AU78" s="504"/>
      <c r="AV78" s="505"/>
      <c r="AW78" s="505"/>
      <c r="AX78" s="505"/>
      <c r="AY78" s="505"/>
    </row>
    <row r="79" spans="1:51" x14ac:dyDescent="0.25">
      <c r="B79" s="4"/>
      <c r="C79" s="4"/>
      <c r="D79" s="4"/>
      <c r="E79" s="4"/>
      <c r="F79" s="4"/>
      <c r="G79" s="4"/>
      <c r="H79" s="4"/>
      <c r="I79" s="4"/>
      <c r="J79" s="4"/>
      <c r="K79" s="4"/>
      <c r="L79" s="4"/>
      <c r="M79" s="4"/>
      <c r="N79" s="4"/>
      <c r="O79" s="4"/>
      <c r="P79" s="4"/>
      <c r="AU79" s="504"/>
      <c r="AV79" s="505"/>
      <c r="AW79" s="505"/>
      <c r="AX79" s="505"/>
      <c r="AY79" s="505"/>
    </row>
    <row r="80" spans="1:51" ht="18" x14ac:dyDescent="0.25">
      <c r="C80" s="2109" t="s">
        <v>779</v>
      </c>
      <c r="D80" s="2110"/>
      <c r="E80" s="2110"/>
      <c r="F80" s="2110"/>
      <c r="G80" s="2110"/>
      <c r="H80" s="2110"/>
      <c r="I80" s="2111"/>
      <c r="M80" s="188" t="s">
        <v>2743</v>
      </c>
      <c r="N80" s="2106">
        <f>IF(C76="Fan VFD",VLOOKUP(C80,A59:AD64,11,FALSE),VLOOKUP(C80,A59:AD64,21,FALSE))</f>
        <v>0.56999999999999995</v>
      </c>
      <c r="O80" s="2107"/>
      <c r="P80" s="2107"/>
      <c r="Q80" s="2108"/>
      <c r="U80" s="188" t="s">
        <v>2744</v>
      </c>
      <c r="V80" s="2106">
        <f>IF(C76="Fan VFD",VLOOKUP(C80,A59:AD64,16,FALSE),VLOOKUP(C80,A59:AD64,26,FALSE))</f>
        <v>0.498</v>
      </c>
      <c r="W80" s="2107"/>
      <c r="X80" s="2107"/>
      <c r="Y80" s="2108"/>
      <c r="AU80" s="504"/>
      <c r="AV80" s="505"/>
      <c r="AW80" s="505"/>
      <c r="AX80" s="505"/>
      <c r="AY80" s="505"/>
    </row>
    <row r="81" spans="2:51" x14ac:dyDescent="0.25">
      <c r="AU81" s="504"/>
      <c r="AV81" s="505"/>
      <c r="AW81" s="505"/>
      <c r="AX81" s="505"/>
      <c r="AY81" s="505"/>
    </row>
    <row r="82" spans="2:51" x14ac:dyDescent="0.25">
      <c r="B82" s="8" t="s">
        <v>2746</v>
      </c>
      <c r="AU82" s="504"/>
      <c r="AV82" s="505"/>
      <c r="AW82" s="505"/>
      <c r="AX82" s="505"/>
      <c r="AY82" s="505"/>
    </row>
    <row r="83" spans="2:51" x14ac:dyDescent="0.25">
      <c r="AU83" s="504"/>
      <c r="AV83" s="505"/>
      <c r="AW83" s="505"/>
      <c r="AX83" s="505"/>
      <c r="AY83" s="505"/>
    </row>
    <row r="84" spans="2:51" x14ac:dyDescent="0.25">
      <c r="C84" s="2109">
        <v>2</v>
      </c>
      <c r="D84" s="2110"/>
      <c r="E84" s="2110"/>
      <c r="F84" s="2111"/>
      <c r="AU84" s="504"/>
      <c r="AV84" s="505"/>
      <c r="AW84" s="505"/>
      <c r="AX84" s="505"/>
      <c r="AY84" s="505"/>
    </row>
    <row r="85" spans="2:51" x14ac:dyDescent="0.25">
      <c r="AU85" s="504"/>
      <c r="AV85" s="505"/>
      <c r="AW85" s="505"/>
      <c r="AX85" s="505"/>
      <c r="AY85" s="505"/>
    </row>
    <row r="86" spans="2:51" x14ac:dyDescent="0.25">
      <c r="B86" s="8" t="s">
        <v>2745</v>
      </c>
      <c r="AU86" s="504"/>
      <c r="AV86" s="505"/>
      <c r="AW86" s="505"/>
      <c r="AX86" s="505"/>
      <c r="AY86" s="505"/>
    </row>
    <row r="87" spans="2:51" x14ac:dyDescent="0.25">
      <c r="AU87" s="504"/>
      <c r="AV87" s="505"/>
      <c r="AW87" s="505"/>
      <c r="AX87" s="505"/>
      <c r="AY87" s="505"/>
    </row>
    <row r="88" spans="2:51" x14ac:dyDescent="0.25">
      <c r="C88" s="2112">
        <v>0.85499999999999998</v>
      </c>
      <c r="D88" s="2113"/>
      <c r="E88" s="2113"/>
      <c r="F88" s="2114"/>
      <c r="AU88" s="504"/>
      <c r="AV88" s="505"/>
      <c r="AW88" s="505"/>
      <c r="AX88" s="505"/>
      <c r="AY88" s="505"/>
    </row>
    <row r="89" spans="2:51" x14ac:dyDescent="0.25">
      <c r="AU89" s="504"/>
      <c r="AV89" s="505"/>
      <c r="AW89" s="505"/>
      <c r="AX89" s="505"/>
      <c r="AY89" s="505"/>
    </row>
    <row r="90" spans="2:51" x14ac:dyDescent="0.25">
      <c r="B90" s="8" t="s">
        <v>2736</v>
      </c>
      <c r="AU90" s="504"/>
      <c r="AV90" s="505"/>
      <c r="AW90" s="505"/>
      <c r="AX90" s="505"/>
      <c r="AY90" s="505"/>
    </row>
    <row r="91" spans="2:51" x14ac:dyDescent="0.25">
      <c r="AU91" s="504"/>
      <c r="AV91" s="505"/>
      <c r="AW91" s="505"/>
      <c r="AX91" s="505"/>
      <c r="AY91" s="505"/>
    </row>
    <row r="92" spans="2:51" ht="31.5" customHeight="1" x14ac:dyDescent="0.25">
      <c r="C92" s="2109">
        <v>0.5</v>
      </c>
      <c r="D92" s="2110"/>
      <c r="E92" s="2110"/>
      <c r="F92" s="2111"/>
      <c r="H92" s="1390" t="s">
        <v>2762</v>
      </c>
      <c r="I92" s="1390"/>
      <c r="J92" s="1390"/>
      <c r="K92" s="1390"/>
      <c r="L92" s="1390"/>
      <c r="M92" s="1390"/>
      <c r="N92" s="1390"/>
      <c r="O92" s="1390"/>
      <c r="P92" s="1390"/>
      <c r="Q92" s="1390"/>
      <c r="R92" s="1390"/>
      <c r="S92" s="1390"/>
      <c r="T92" s="1390"/>
      <c r="U92" s="1390"/>
      <c r="V92" s="1390"/>
      <c r="W92" s="1390"/>
      <c r="X92" s="1390"/>
      <c r="Y92" s="1390"/>
      <c r="Z92" s="1390"/>
      <c r="AA92" s="1390"/>
      <c r="AB92" s="1390"/>
      <c r="AC92" s="1390"/>
      <c r="AD92" s="1390"/>
      <c r="AE92" s="1390"/>
      <c r="AF92" s="1390"/>
      <c r="AU92" s="504"/>
      <c r="AV92" s="505"/>
      <c r="AW92" s="505"/>
      <c r="AX92" s="505"/>
      <c r="AY92" s="505"/>
    </row>
    <row r="93" spans="2:51" x14ac:dyDescent="0.25">
      <c r="AU93" s="504"/>
      <c r="AV93" s="505"/>
      <c r="AW93" s="505"/>
      <c r="AX93" s="505"/>
      <c r="AY93" s="505"/>
    </row>
    <row r="94" spans="2:51" x14ac:dyDescent="0.25">
      <c r="B94" s="8" t="s">
        <v>2735</v>
      </c>
      <c r="AU94" s="504"/>
      <c r="AV94" s="505"/>
      <c r="AW94" s="505"/>
      <c r="AX94" s="505"/>
      <c r="AY94" s="505"/>
    </row>
    <row r="95" spans="2:51" x14ac:dyDescent="0.25">
      <c r="AU95" s="504"/>
      <c r="AV95" s="505"/>
      <c r="AW95" s="505"/>
      <c r="AX95" s="505"/>
      <c r="AY95" s="505"/>
    </row>
    <row r="96" spans="2:51" ht="65.25" customHeight="1" x14ac:dyDescent="0.25">
      <c r="C96" s="2115">
        <v>4000</v>
      </c>
      <c r="D96" s="2116"/>
      <c r="E96" s="2116"/>
      <c r="F96" s="2117"/>
      <c r="H96" s="1390" t="s">
        <v>2763</v>
      </c>
      <c r="I96" s="1390"/>
      <c r="J96" s="1390"/>
      <c r="K96" s="1390"/>
      <c r="L96" s="1390"/>
      <c r="M96" s="1390"/>
      <c r="N96" s="1390"/>
      <c r="O96" s="1390"/>
      <c r="P96" s="1390"/>
      <c r="Q96" s="1390"/>
      <c r="R96" s="1390"/>
      <c r="S96" s="1390"/>
      <c r="T96" s="1390"/>
      <c r="U96" s="1390"/>
      <c r="V96" s="1390"/>
      <c r="W96" s="1390"/>
      <c r="X96" s="1390"/>
      <c r="Y96" s="1390"/>
      <c r="Z96" s="1390"/>
      <c r="AA96" s="1390"/>
      <c r="AB96" s="1390"/>
      <c r="AC96" s="1390"/>
      <c r="AD96" s="1390"/>
      <c r="AE96" s="1390"/>
      <c r="AF96" s="1390"/>
      <c r="AU96" s="504"/>
      <c r="AV96" s="505"/>
      <c r="AW96" s="505"/>
      <c r="AX96" s="505"/>
      <c r="AY96" s="505"/>
    </row>
    <row r="97" spans="1:51" x14ac:dyDescent="0.25">
      <c r="AU97" s="504"/>
      <c r="AV97" s="505"/>
      <c r="AW97" s="505"/>
      <c r="AX97" s="505"/>
      <c r="AY97" s="505"/>
    </row>
    <row r="98" spans="1:51" ht="15.75" thickBot="1" x14ac:dyDescent="0.3"/>
    <row r="99" spans="1:51" ht="33" customHeight="1" x14ac:dyDescent="0.25">
      <c r="A99" s="1583" t="s">
        <v>22</v>
      </c>
      <c r="B99" s="1584"/>
      <c r="C99" s="1584"/>
      <c r="D99" s="1584"/>
      <c r="E99" s="1584"/>
      <c r="F99" s="1584"/>
      <c r="G99" s="1584"/>
      <c r="H99" s="1584"/>
      <c r="I99" s="1609" t="s">
        <v>2922</v>
      </c>
      <c r="J99" s="1609"/>
      <c r="K99" s="1609"/>
      <c r="L99" s="1609"/>
      <c r="M99" s="1609"/>
      <c r="N99" s="1609"/>
      <c r="O99" s="1609"/>
      <c r="P99" s="1609"/>
      <c r="Q99" s="1609" t="s">
        <v>2918</v>
      </c>
      <c r="R99" s="1584"/>
      <c r="S99" s="1584"/>
      <c r="T99" s="1584"/>
      <c r="U99" s="1584"/>
      <c r="V99" s="1584"/>
      <c r="W99" s="1584"/>
      <c r="X99" s="1610"/>
      <c r="Y99" s="1609" t="s">
        <v>1786</v>
      </c>
      <c r="Z99" s="1584"/>
      <c r="AA99" s="1584"/>
      <c r="AB99" s="1584"/>
      <c r="AC99" s="1584"/>
      <c r="AD99" s="1584"/>
      <c r="AE99" s="1584"/>
      <c r="AF99" s="1585"/>
    </row>
    <row r="100" spans="1:51" ht="15.75" thickBot="1" x14ac:dyDescent="0.3">
      <c r="A100" s="1578" t="str">
        <f>C76</f>
        <v>Fan VFD</v>
      </c>
      <c r="B100" s="1579"/>
      <c r="C100" s="1579"/>
      <c r="D100" s="1579"/>
      <c r="E100" s="1579"/>
      <c r="F100" s="1579"/>
      <c r="G100" s="1579"/>
      <c r="H100" s="1579"/>
      <c r="I100" s="1611">
        <f>ROUND($C$84*0.746*(Q$44/C88)*C92*N80,3)</f>
        <v>0.373</v>
      </c>
      <c r="J100" s="1611"/>
      <c r="K100" s="1611"/>
      <c r="L100" s="1611"/>
      <c r="M100" s="1611"/>
      <c r="N100" s="1611"/>
      <c r="O100" s="1611"/>
      <c r="P100" s="1611"/>
      <c r="Q100" s="1612">
        <f>ROUND($C$84*0.746*(Q$44/C88)*C96*V80,2)</f>
        <v>2607.0700000000002</v>
      </c>
      <c r="R100" s="1612"/>
      <c r="S100" s="1612"/>
      <c r="T100" s="1612"/>
      <c r="U100" s="1612"/>
      <c r="V100" s="1612"/>
      <c r="W100" s="1612"/>
      <c r="X100" s="1613"/>
      <c r="Y100" s="1614">
        <f>Q100*Q50</f>
        <v>39106.050000000003</v>
      </c>
      <c r="Z100" s="1614"/>
      <c r="AA100" s="1614"/>
      <c r="AB100" s="1614"/>
      <c r="AC100" s="1614"/>
      <c r="AD100" s="1614"/>
      <c r="AE100" s="1614"/>
      <c r="AF100" s="1615"/>
    </row>
    <row r="101" spans="1:51" x14ac:dyDescent="0.2">
      <c r="A101" s="416" t="s">
        <v>2386</v>
      </c>
    </row>
    <row r="102" spans="1:51" x14ac:dyDescent="0.2">
      <c r="A102" s="416"/>
    </row>
    <row r="103" spans="1:51" x14ac:dyDescent="0.2">
      <c r="A103" s="416"/>
    </row>
    <row r="104" spans="1:51" x14ac:dyDescent="0.25">
      <c r="B104" s="380" t="s">
        <v>2764</v>
      </c>
    </row>
    <row r="106" spans="1:51" ht="31.5" customHeight="1" x14ac:dyDescent="0.25">
      <c r="A106" s="2091" t="s">
        <v>2770</v>
      </c>
      <c r="B106" s="2091"/>
      <c r="C106" s="2091"/>
      <c r="D106" s="2091"/>
      <c r="E106" s="2091"/>
      <c r="F106" s="2091"/>
      <c r="G106" s="2091"/>
      <c r="H106" s="2091"/>
      <c r="I106" s="2091"/>
      <c r="J106" s="2091"/>
      <c r="K106" s="2091"/>
      <c r="L106" s="2091"/>
      <c r="M106" s="2091"/>
      <c r="N106" s="2091"/>
      <c r="O106" s="2091"/>
      <c r="P106" s="2091"/>
      <c r="Q106" s="2091"/>
      <c r="R106" s="2091"/>
      <c r="S106" s="2091"/>
      <c r="T106" s="2091"/>
      <c r="U106" s="2091"/>
      <c r="V106" s="2091"/>
      <c r="W106" s="2091"/>
      <c r="X106" s="2091"/>
      <c r="Y106" s="2091"/>
      <c r="Z106" s="2091"/>
      <c r="AA106" s="2091"/>
      <c r="AB106" s="2091"/>
      <c r="AC106" s="2091"/>
      <c r="AD106" s="2091"/>
      <c r="AE106" s="2091"/>
      <c r="AF106" s="2091"/>
    </row>
    <row r="107" spans="1:51" ht="86.45" customHeight="1" x14ac:dyDescent="0.25">
      <c r="A107" s="2118" t="s">
        <v>54</v>
      </c>
      <c r="B107" s="2118"/>
      <c r="C107" s="2118"/>
      <c r="D107" s="2118"/>
      <c r="E107" s="2119" t="s">
        <v>29</v>
      </c>
      <c r="F107" s="2119"/>
      <c r="G107" s="2119" t="s">
        <v>2765</v>
      </c>
      <c r="H107" s="2119"/>
      <c r="I107" s="2118" t="s">
        <v>2758</v>
      </c>
      <c r="J107" s="2118"/>
      <c r="K107" s="2118"/>
      <c r="L107" s="2118"/>
      <c r="M107" s="2118" t="s">
        <v>2759</v>
      </c>
      <c r="N107" s="2118"/>
      <c r="O107" s="2118"/>
      <c r="P107" s="2118"/>
      <c r="Q107" s="2120" t="s">
        <v>2766</v>
      </c>
      <c r="R107" s="2120"/>
      <c r="S107" s="2120"/>
      <c r="T107" s="2120"/>
      <c r="U107" s="2120" t="s">
        <v>2767</v>
      </c>
      <c r="V107" s="2120"/>
      <c r="W107" s="2120"/>
      <c r="X107" s="2120"/>
      <c r="Y107" s="2120" t="s">
        <v>2768</v>
      </c>
      <c r="Z107" s="2120"/>
      <c r="AA107" s="2120"/>
      <c r="AB107" s="2120"/>
      <c r="AC107" s="2120" t="s">
        <v>2769</v>
      </c>
      <c r="AD107" s="2120"/>
      <c r="AE107" s="2120"/>
      <c r="AF107" s="2120"/>
    </row>
    <row r="108" spans="1:51" ht="28.9" customHeight="1" x14ac:dyDescent="0.25">
      <c r="A108" s="2093" t="s">
        <v>220</v>
      </c>
      <c r="B108" s="2093"/>
      <c r="C108" s="2093"/>
      <c r="D108" s="2093"/>
      <c r="E108" s="2094">
        <v>0.5</v>
      </c>
      <c r="F108" s="2094"/>
      <c r="G108" s="2095">
        <f>'EFLH &amp; CF'!I53</f>
        <v>2594</v>
      </c>
      <c r="H108" s="2095"/>
      <c r="I108" s="2096">
        <f>0.746*($Q$44/1)*$E108*$K$65</f>
        <v>8.1127499999999991E-2</v>
      </c>
      <c r="J108" s="2096"/>
      <c r="K108" s="2096"/>
      <c r="L108" s="2096"/>
      <c r="M108" s="2097">
        <f>0.746*($Q$44/1)*$G108*$P$65</f>
        <v>449.91633000000002</v>
      </c>
      <c r="N108" s="2097"/>
      <c r="O108" s="2097"/>
      <c r="P108" s="2097"/>
      <c r="Q108" s="2096">
        <f>0.746*($Q$44/1)*$E108*$U$65</f>
        <v>0.11469749999999999</v>
      </c>
      <c r="R108" s="2096"/>
      <c r="S108" s="2096"/>
      <c r="T108" s="2096"/>
      <c r="U108" s="2097">
        <f>0.746*($Q$44/1)*$G108*$Z$65</f>
        <v>580.5372000000001</v>
      </c>
      <c r="V108" s="2097"/>
      <c r="W108" s="2097"/>
      <c r="X108" s="2097"/>
      <c r="Y108" s="2096">
        <f>Q108</f>
        <v>0.11469749999999999</v>
      </c>
      <c r="Z108" s="2096"/>
      <c r="AA108" s="2096"/>
      <c r="AB108" s="2096"/>
      <c r="AC108" s="2097">
        <f>U108</f>
        <v>580.5372000000001</v>
      </c>
      <c r="AD108" s="2097"/>
      <c r="AE108" s="2097"/>
      <c r="AF108" s="2097"/>
    </row>
    <row r="109" spans="1:51" x14ac:dyDescent="0.25">
      <c r="A109" s="2093" t="s">
        <v>221</v>
      </c>
      <c r="B109" s="2093"/>
      <c r="C109" s="2093"/>
      <c r="D109" s="2093"/>
      <c r="E109" s="2094">
        <v>0.5</v>
      </c>
      <c r="F109" s="2094"/>
      <c r="G109" s="2095" t="str">
        <f>'EFLH &amp; CF'!I54</f>
        <v>Varies</v>
      </c>
      <c r="H109" s="2095"/>
      <c r="I109" s="2101" t="s">
        <v>2075</v>
      </c>
      <c r="J109" s="2102"/>
      <c r="K109" s="2102"/>
      <c r="L109" s="2103"/>
      <c r="M109" s="2098" t="s">
        <v>2075</v>
      </c>
      <c r="N109" s="2099"/>
      <c r="O109" s="2099"/>
      <c r="P109" s="2100"/>
      <c r="Q109" s="2101" t="s">
        <v>2075</v>
      </c>
      <c r="R109" s="2102"/>
      <c r="S109" s="2102"/>
      <c r="T109" s="2103"/>
      <c r="U109" s="2098" t="s">
        <v>2075</v>
      </c>
      <c r="V109" s="2099"/>
      <c r="W109" s="2099"/>
      <c r="X109" s="2100"/>
      <c r="Y109" s="2101" t="s">
        <v>2075</v>
      </c>
      <c r="Z109" s="2102"/>
      <c r="AA109" s="2102"/>
      <c r="AB109" s="2103"/>
      <c r="AC109" s="2098" t="s">
        <v>2075</v>
      </c>
      <c r="AD109" s="2099"/>
      <c r="AE109" s="2099"/>
      <c r="AF109" s="2100"/>
    </row>
    <row r="110" spans="1:51" x14ac:dyDescent="0.25">
      <c r="A110" s="2093" t="s">
        <v>222</v>
      </c>
      <c r="B110" s="2093"/>
      <c r="C110" s="2093"/>
      <c r="D110" s="2093"/>
      <c r="E110" s="2094">
        <v>0.5</v>
      </c>
      <c r="F110" s="2094"/>
      <c r="G110" s="2095">
        <f>'EFLH &amp; CF'!I55</f>
        <v>2549</v>
      </c>
      <c r="H110" s="2095"/>
      <c r="I110" s="2096">
        <f t="shared" ref="I110:I113" si="0">0.746*($Q$44/1)*$E110*$K$65</f>
        <v>8.1127499999999991E-2</v>
      </c>
      <c r="J110" s="2096"/>
      <c r="K110" s="2096"/>
      <c r="L110" s="2096"/>
      <c r="M110" s="2097">
        <f>0.746*($Q$44/1)*$G110*$P$65</f>
        <v>442.11130500000002</v>
      </c>
      <c r="N110" s="2097"/>
      <c r="O110" s="2097"/>
      <c r="P110" s="2097"/>
      <c r="Q110" s="2096">
        <f t="shared" ref="Q110:Q113" si="1">0.746*($Q$44/1)*$E110*$U$65</f>
        <v>0.11469749999999999</v>
      </c>
      <c r="R110" s="2096"/>
      <c r="S110" s="2096"/>
      <c r="T110" s="2096"/>
      <c r="U110" s="2097">
        <f t="shared" ref="U110:U113" si="2">0.746*($Q$44/1)*$G110*$Z$65</f>
        <v>570.46620000000007</v>
      </c>
      <c r="V110" s="2097"/>
      <c r="W110" s="2097"/>
      <c r="X110" s="2097"/>
      <c r="Y110" s="2096">
        <f t="shared" ref="Y110:Y113" si="3">Q110</f>
        <v>0.11469749999999999</v>
      </c>
      <c r="Z110" s="2096"/>
      <c r="AA110" s="2096"/>
      <c r="AB110" s="2096"/>
      <c r="AC110" s="2097">
        <f t="shared" ref="AC110:AC113" si="4">U110</f>
        <v>570.46620000000007</v>
      </c>
      <c r="AD110" s="2097"/>
      <c r="AE110" s="2097"/>
      <c r="AF110" s="2097"/>
    </row>
    <row r="111" spans="1:51" x14ac:dyDescent="0.25">
      <c r="A111" s="2093" t="s">
        <v>223</v>
      </c>
      <c r="B111" s="2093"/>
      <c r="C111" s="2093"/>
      <c r="D111" s="2093"/>
      <c r="E111" s="2094">
        <v>0.5</v>
      </c>
      <c r="F111" s="2094"/>
      <c r="G111" s="2095">
        <f>'EFLH &amp; CF'!I56</f>
        <v>1531</v>
      </c>
      <c r="H111" s="2095"/>
      <c r="I111" s="2096">
        <f t="shared" si="0"/>
        <v>8.1127499999999991E-2</v>
      </c>
      <c r="J111" s="2096"/>
      <c r="K111" s="2096"/>
      <c r="L111" s="2096"/>
      <c r="M111" s="2097">
        <f t="shared" ref="M111:M113" si="5">0.746*($Q$44/1)*$G111*$P$65</f>
        <v>265.54429500000003</v>
      </c>
      <c r="N111" s="2097"/>
      <c r="O111" s="2097"/>
      <c r="P111" s="2097"/>
      <c r="Q111" s="2096">
        <f t="shared" si="1"/>
        <v>0.11469749999999999</v>
      </c>
      <c r="R111" s="2096"/>
      <c r="S111" s="2096"/>
      <c r="T111" s="2096"/>
      <c r="U111" s="2097">
        <f t="shared" si="2"/>
        <v>342.63780000000003</v>
      </c>
      <c r="V111" s="2097"/>
      <c r="W111" s="2097"/>
      <c r="X111" s="2097"/>
      <c r="Y111" s="2096">
        <f t="shared" si="3"/>
        <v>0.11469749999999999</v>
      </c>
      <c r="Z111" s="2096"/>
      <c r="AA111" s="2096"/>
      <c r="AB111" s="2096"/>
      <c r="AC111" s="2097">
        <f t="shared" si="4"/>
        <v>342.63780000000003</v>
      </c>
      <c r="AD111" s="2097"/>
      <c r="AE111" s="2097"/>
      <c r="AF111" s="2097"/>
    </row>
    <row r="112" spans="1:51" x14ac:dyDescent="0.25">
      <c r="A112" s="2093" t="s">
        <v>224</v>
      </c>
      <c r="B112" s="2093"/>
      <c r="C112" s="2093"/>
      <c r="D112" s="2093"/>
      <c r="E112" s="2094">
        <v>0.5</v>
      </c>
      <c r="F112" s="2094"/>
      <c r="G112" s="2095">
        <f>'EFLH &amp; CF'!I57</f>
        <v>4891</v>
      </c>
      <c r="H112" s="2095"/>
      <c r="I112" s="2096">
        <f t="shared" si="0"/>
        <v>8.1127499999999991E-2</v>
      </c>
      <c r="J112" s="2096"/>
      <c r="K112" s="2096"/>
      <c r="L112" s="2096"/>
      <c r="M112" s="2097">
        <f t="shared" si="5"/>
        <v>848.31949499999996</v>
      </c>
      <c r="N112" s="2097"/>
      <c r="O112" s="2097"/>
      <c r="P112" s="2097"/>
      <c r="Q112" s="2096">
        <f t="shared" si="1"/>
        <v>0.11469749999999999</v>
      </c>
      <c r="R112" s="2096"/>
      <c r="S112" s="2096"/>
      <c r="T112" s="2096"/>
      <c r="U112" s="2097">
        <f t="shared" si="2"/>
        <v>1094.6058</v>
      </c>
      <c r="V112" s="2097"/>
      <c r="W112" s="2097"/>
      <c r="X112" s="2097"/>
      <c r="Y112" s="2096">
        <f t="shared" si="3"/>
        <v>0.11469749999999999</v>
      </c>
      <c r="Z112" s="2096"/>
      <c r="AA112" s="2096"/>
      <c r="AB112" s="2096"/>
      <c r="AC112" s="2097">
        <f t="shared" si="4"/>
        <v>1094.6058</v>
      </c>
      <c r="AD112" s="2097"/>
      <c r="AE112" s="2097"/>
      <c r="AF112" s="2097"/>
    </row>
    <row r="113" spans="1:33" x14ac:dyDescent="0.25">
      <c r="A113" s="2093" t="s">
        <v>225</v>
      </c>
      <c r="B113" s="2093"/>
      <c r="C113" s="2093"/>
      <c r="D113" s="2093"/>
      <c r="E113" s="2094">
        <v>0.5</v>
      </c>
      <c r="F113" s="2094"/>
      <c r="G113" s="2095">
        <f>'EFLH &amp; CF'!I58</f>
        <v>4910</v>
      </c>
      <c r="H113" s="2095"/>
      <c r="I113" s="2096">
        <f t="shared" si="0"/>
        <v>8.1127499999999991E-2</v>
      </c>
      <c r="J113" s="2096"/>
      <c r="K113" s="2096"/>
      <c r="L113" s="2096"/>
      <c r="M113" s="2097">
        <f t="shared" si="5"/>
        <v>851.61495000000002</v>
      </c>
      <c r="N113" s="2097"/>
      <c r="O113" s="2097"/>
      <c r="P113" s="2097"/>
      <c r="Q113" s="2096">
        <f t="shared" si="1"/>
        <v>0.11469749999999999</v>
      </c>
      <c r="R113" s="2096"/>
      <c r="S113" s="2096"/>
      <c r="T113" s="2096"/>
      <c r="U113" s="2097">
        <f t="shared" si="2"/>
        <v>1098.8579999999999</v>
      </c>
      <c r="V113" s="2097"/>
      <c r="W113" s="2097"/>
      <c r="X113" s="2097"/>
      <c r="Y113" s="2096">
        <f t="shared" si="3"/>
        <v>0.11469749999999999</v>
      </c>
      <c r="Z113" s="2096"/>
      <c r="AA113" s="2096"/>
      <c r="AB113" s="2096"/>
      <c r="AC113" s="2097">
        <f t="shared" si="4"/>
        <v>1098.8579999999999</v>
      </c>
      <c r="AD113" s="2097"/>
      <c r="AE113" s="2097"/>
      <c r="AF113" s="2097"/>
    </row>
    <row r="114" spans="1:33" x14ac:dyDescent="0.25">
      <c r="A114" s="2093" t="s">
        <v>226</v>
      </c>
      <c r="B114" s="2093"/>
      <c r="C114" s="2093"/>
      <c r="D114" s="2093"/>
      <c r="E114" s="2094">
        <v>0.5</v>
      </c>
      <c r="F114" s="2094"/>
      <c r="G114" s="2095" t="str">
        <f>'EFLH &amp; CF'!I59</f>
        <v>Varies</v>
      </c>
      <c r="H114" s="2095"/>
      <c r="I114" s="2096" t="s">
        <v>2075</v>
      </c>
      <c r="J114" s="2096"/>
      <c r="K114" s="2096"/>
      <c r="L114" s="2096"/>
      <c r="M114" s="2097" t="s">
        <v>2075</v>
      </c>
      <c r="N114" s="2097"/>
      <c r="O114" s="2097"/>
      <c r="P114" s="2097"/>
      <c r="Q114" s="2096" t="s">
        <v>2075</v>
      </c>
      <c r="R114" s="2096"/>
      <c r="S114" s="2096"/>
      <c r="T114" s="2096"/>
      <c r="U114" s="2097" t="s">
        <v>2075</v>
      </c>
      <c r="V114" s="2097"/>
      <c r="W114" s="2097"/>
      <c r="X114" s="2097"/>
      <c r="Y114" s="2096" t="s">
        <v>2075</v>
      </c>
      <c r="Z114" s="2096"/>
      <c r="AA114" s="2096"/>
      <c r="AB114" s="2096"/>
      <c r="AC114" s="2097" t="s">
        <v>2075</v>
      </c>
      <c r="AD114" s="2097"/>
      <c r="AE114" s="2097"/>
      <c r="AF114" s="2097"/>
    </row>
    <row r="115" spans="1:33" x14ac:dyDescent="0.25">
      <c r="A115" s="2093" t="s">
        <v>55</v>
      </c>
      <c r="B115" s="2093"/>
      <c r="C115" s="2093"/>
      <c r="D115" s="2093"/>
      <c r="E115" s="2094">
        <v>0.5</v>
      </c>
      <c r="F115" s="2094"/>
      <c r="G115" s="2095">
        <f>'EFLH &amp; CF'!I60</f>
        <v>2754</v>
      </c>
      <c r="H115" s="2095"/>
      <c r="I115" s="2096">
        <f t="shared" ref="I115:I118" si="6">0.746*($Q$44/1)*$E115*$K$65</f>
        <v>8.1127499999999991E-2</v>
      </c>
      <c r="J115" s="2096"/>
      <c r="K115" s="2096"/>
      <c r="L115" s="2096"/>
      <c r="M115" s="2097">
        <f t="shared" ref="M115:M118" si="7">0.746*($Q$44/1)*$G115*$P$65</f>
        <v>477.66753</v>
      </c>
      <c r="N115" s="2097"/>
      <c r="O115" s="2097"/>
      <c r="P115" s="2097"/>
      <c r="Q115" s="2096">
        <f t="shared" ref="Q115:Q118" si="8">0.746*($Q$44/1)*$E115*$U$65</f>
        <v>0.11469749999999999</v>
      </c>
      <c r="R115" s="2096"/>
      <c r="S115" s="2096"/>
      <c r="T115" s="2096"/>
      <c r="U115" s="2098">
        <f t="shared" ref="U115:U118" si="9">0.746*($Q$44/1)*$G115*$Z$65</f>
        <v>616.34520000000009</v>
      </c>
      <c r="V115" s="2099"/>
      <c r="W115" s="2099"/>
      <c r="X115" s="2100"/>
      <c r="Y115" s="2096">
        <f t="shared" ref="Y115:Y118" si="10">Q115</f>
        <v>0.11469749999999999</v>
      </c>
      <c r="Z115" s="2096"/>
      <c r="AA115" s="2096"/>
      <c r="AB115" s="2096"/>
      <c r="AC115" s="2097">
        <f t="shared" ref="AC115:AC118" si="11">U115</f>
        <v>616.34520000000009</v>
      </c>
      <c r="AD115" s="2097"/>
      <c r="AE115" s="2097"/>
      <c r="AF115" s="2097"/>
    </row>
    <row r="116" spans="1:33" x14ac:dyDescent="0.25">
      <c r="A116" s="2093" t="s">
        <v>227</v>
      </c>
      <c r="B116" s="2093"/>
      <c r="C116" s="2093"/>
      <c r="D116" s="2093"/>
      <c r="E116" s="2094">
        <v>0.5</v>
      </c>
      <c r="F116" s="2094"/>
      <c r="G116" s="2095">
        <f>'EFLH &amp; CF'!I61</f>
        <v>2451</v>
      </c>
      <c r="H116" s="2095"/>
      <c r="I116" s="2096">
        <f t="shared" si="6"/>
        <v>8.1127499999999991E-2</v>
      </c>
      <c r="J116" s="2096"/>
      <c r="K116" s="2096"/>
      <c r="L116" s="2096"/>
      <c r="M116" s="2097">
        <f t="shared" si="7"/>
        <v>425.11369499999995</v>
      </c>
      <c r="N116" s="2097"/>
      <c r="O116" s="2097"/>
      <c r="P116" s="2097"/>
      <c r="Q116" s="2096">
        <f t="shared" si="8"/>
        <v>0.11469749999999999</v>
      </c>
      <c r="R116" s="2096"/>
      <c r="S116" s="2096"/>
      <c r="T116" s="2096"/>
      <c r="U116" s="2098">
        <f t="shared" si="9"/>
        <v>548.53380000000004</v>
      </c>
      <c r="V116" s="2099"/>
      <c r="W116" s="2099"/>
      <c r="X116" s="2100"/>
      <c r="Y116" s="2096">
        <f t="shared" si="10"/>
        <v>0.11469749999999999</v>
      </c>
      <c r="Z116" s="2096"/>
      <c r="AA116" s="2096"/>
      <c r="AB116" s="2096"/>
      <c r="AC116" s="2097">
        <f t="shared" si="11"/>
        <v>548.53380000000004</v>
      </c>
      <c r="AD116" s="2097"/>
      <c r="AE116" s="2097"/>
      <c r="AF116" s="2097"/>
    </row>
    <row r="117" spans="1:33" x14ac:dyDescent="0.25">
      <c r="A117" s="2093" t="s">
        <v>228</v>
      </c>
      <c r="B117" s="2093"/>
      <c r="C117" s="2093"/>
      <c r="D117" s="2093"/>
      <c r="E117" s="2094">
        <v>0.5</v>
      </c>
      <c r="F117" s="2094"/>
      <c r="G117" s="2095">
        <f>'EFLH &amp; CF'!I62</f>
        <v>1913</v>
      </c>
      <c r="H117" s="2095"/>
      <c r="I117" s="2096">
        <f t="shared" si="6"/>
        <v>8.1127499999999991E-2</v>
      </c>
      <c r="J117" s="2096"/>
      <c r="K117" s="2096"/>
      <c r="L117" s="2096"/>
      <c r="M117" s="2097">
        <f t="shared" si="7"/>
        <v>331.80028499999997</v>
      </c>
      <c r="N117" s="2097"/>
      <c r="O117" s="2097"/>
      <c r="P117" s="2097"/>
      <c r="Q117" s="2096">
        <f t="shared" si="8"/>
        <v>0.11469749999999999</v>
      </c>
      <c r="R117" s="2096"/>
      <c r="S117" s="2096"/>
      <c r="T117" s="2096"/>
      <c r="U117" s="2098">
        <f t="shared" si="9"/>
        <v>428.12940000000003</v>
      </c>
      <c r="V117" s="2099"/>
      <c r="W117" s="2099"/>
      <c r="X117" s="2100"/>
      <c r="Y117" s="2096">
        <f t="shared" si="10"/>
        <v>0.11469749999999999</v>
      </c>
      <c r="Z117" s="2096"/>
      <c r="AA117" s="2096"/>
      <c r="AB117" s="2096"/>
      <c r="AC117" s="2097">
        <f t="shared" si="11"/>
        <v>428.12940000000003</v>
      </c>
      <c r="AD117" s="2097"/>
      <c r="AE117" s="2097"/>
      <c r="AF117" s="2097"/>
    </row>
    <row r="118" spans="1:33" x14ac:dyDescent="0.25">
      <c r="A118" s="2093" t="s">
        <v>229</v>
      </c>
      <c r="B118" s="2093"/>
      <c r="C118" s="2093"/>
      <c r="D118" s="2093"/>
      <c r="E118" s="2094">
        <v>0.5</v>
      </c>
      <c r="F118" s="2094"/>
      <c r="G118" s="2095">
        <f>'EFLH &amp; CF'!I63</f>
        <v>1033</v>
      </c>
      <c r="H118" s="2095"/>
      <c r="I118" s="2096">
        <f t="shared" si="6"/>
        <v>8.1127499999999991E-2</v>
      </c>
      <c r="J118" s="2096"/>
      <c r="K118" s="2096"/>
      <c r="L118" s="2096"/>
      <c r="M118" s="2097">
        <f t="shared" si="7"/>
        <v>179.16868499999998</v>
      </c>
      <c r="N118" s="2097"/>
      <c r="O118" s="2097"/>
      <c r="P118" s="2097"/>
      <c r="Q118" s="2096">
        <f t="shared" si="8"/>
        <v>0.11469749999999999</v>
      </c>
      <c r="R118" s="2096"/>
      <c r="S118" s="2096"/>
      <c r="T118" s="2096"/>
      <c r="U118" s="2098">
        <f t="shared" si="9"/>
        <v>231.18539999999999</v>
      </c>
      <c r="V118" s="2099"/>
      <c r="W118" s="2099"/>
      <c r="X118" s="2100"/>
      <c r="Y118" s="2096">
        <f t="shared" si="10"/>
        <v>0.11469749999999999</v>
      </c>
      <c r="Z118" s="2096"/>
      <c r="AA118" s="2096"/>
      <c r="AB118" s="2096"/>
      <c r="AC118" s="2097">
        <f t="shared" si="11"/>
        <v>231.18539999999999</v>
      </c>
      <c r="AD118" s="2097"/>
      <c r="AE118" s="2097"/>
      <c r="AF118" s="2097"/>
    </row>
    <row r="119" spans="1:33" ht="44.25" customHeight="1" x14ac:dyDescent="0.25">
      <c r="A119" s="2092" t="s">
        <v>2949</v>
      </c>
      <c r="B119" s="2092"/>
      <c r="C119" s="2092"/>
      <c r="D119" s="2092"/>
      <c r="E119" s="2092"/>
      <c r="F119" s="2092"/>
      <c r="G119" s="2092"/>
      <c r="H119" s="2092"/>
      <c r="I119" s="2092"/>
      <c r="J119" s="2092"/>
      <c r="K119" s="2092"/>
      <c r="L119" s="2092"/>
      <c r="M119" s="2092"/>
      <c r="N119" s="2092"/>
      <c r="O119" s="2092"/>
      <c r="P119" s="2092"/>
      <c r="Q119" s="2092"/>
      <c r="R119" s="2092"/>
      <c r="S119" s="2092"/>
      <c r="T119" s="2092"/>
      <c r="U119" s="2092"/>
      <c r="V119" s="2092"/>
      <c r="W119" s="2092"/>
      <c r="X119" s="2092"/>
      <c r="Y119" s="2092"/>
      <c r="Z119" s="2092"/>
      <c r="AA119" s="2092"/>
      <c r="AB119" s="2092"/>
      <c r="AC119" s="2092"/>
      <c r="AD119" s="2092"/>
      <c r="AE119" s="2092"/>
      <c r="AF119" s="2092"/>
    </row>
    <row r="120" spans="1:33" ht="30" customHeight="1" x14ac:dyDescent="0.25">
      <c r="A120" s="2088" t="s">
        <v>2840</v>
      </c>
      <c r="B120" s="2088"/>
      <c r="C120" s="2088"/>
      <c r="D120" s="2088"/>
      <c r="E120" s="2088"/>
      <c r="F120" s="2088"/>
      <c r="G120" s="2088"/>
      <c r="H120" s="2088"/>
      <c r="I120" s="2088"/>
      <c r="J120" s="2088"/>
      <c r="K120" s="2088"/>
      <c r="L120" s="2088"/>
      <c r="M120" s="2088"/>
      <c r="N120" s="2088"/>
      <c r="O120" s="2088"/>
      <c r="P120" s="2088"/>
      <c r="Q120" s="2088"/>
      <c r="R120" s="2088"/>
      <c r="S120" s="2088"/>
      <c r="T120" s="2088"/>
      <c r="U120" s="2088"/>
      <c r="V120" s="2088"/>
      <c r="W120" s="2088"/>
      <c r="X120" s="2088"/>
      <c r="Y120" s="2088"/>
      <c r="Z120" s="2088"/>
      <c r="AA120" s="2088"/>
      <c r="AB120" s="2088"/>
      <c r="AC120" s="2088"/>
      <c r="AD120" s="2088"/>
      <c r="AE120" s="2088"/>
      <c r="AF120" s="2088"/>
    </row>
    <row r="121" spans="1:33" ht="14.45" customHeight="1" x14ac:dyDescent="0.25">
      <c r="B121" s="326"/>
      <c r="C121" s="507"/>
      <c r="D121" s="507"/>
      <c r="E121" s="507"/>
      <c r="F121" s="507"/>
      <c r="G121" s="507"/>
      <c r="H121" s="507"/>
      <c r="I121" s="507"/>
      <c r="J121" s="507"/>
      <c r="K121" s="507"/>
      <c r="L121" s="507"/>
      <c r="M121" s="507"/>
      <c r="N121" s="507"/>
      <c r="O121" s="507"/>
      <c r="P121" s="507"/>
      <c r="Q121" s="507"/>
      <c r="R121" s="507"/>
      <c r="S121" s="507"/>
      <c r="T121" s="507"/>
      <c r="U121" s="507"/>
      <c r="V121" s="507"/>
      <c r="W121" s="507"/>
      <c r="X121" s="507"/>
      <c r="Y121" s="507"/>
      <c r="Z121" s="507"/>
      <c r="AA121" s="507"/>
      <c r="AB121" s="507"/>
      <c r="AC121" s="507"/>
      <c r="AD121" s="507"/>
      <c r="AE121" s="507"/>
      <c r="AF121" s="507"/>
    </row>
    <row r="122" spans="1:33" x14ac:dyDescent="0.25">
      <c r="A122" s="1472" t="s">
        <v>1753</v>
      </c>
      <c r="B122" s="1472"/>
      <c r="C122" s="1472"/>
      <c r="D122" s="1472"/>
      <c r="E122" s="1472"/>
      <c r="F122" s="1472"/>
      <c r="G122" s="1472"/>
      <c r="H122" s="1472"/>
      <c r="I122" s="1472"/>
      <c r="J122" s="1472"/>
      <c r="K122" s="1472"/>
      <c r="L122" s="1472"/>
      <c r="M122" s="1472"/>
      <c r="N122" s="1472"/>
      <c r="O122" s="1472"/>
      <c r="P122" s="1472"/>
      <c r="Q122" s="1472"/>
      <c r="R122" s="1472"/>
      <c r="S122" s="1472"/>
      <c r="T122" s="1472"/>
      <c r="U122" s="1472"/>
      <c r="V122" s="1472"/>
      <c r="W122" s="1472"/>
      <c r="X122" s="1472"/>
      <c r="Y122" s="1472"/>
      <c r="Z122" s="1472"/>
      <c r="AA122" s="1472"/>
      <c r="AB122" s="1472"/>
      <c r="AC122" s="1472"/>
      <c r="AD122" s="1472"/>
      <c r="AE122" s="1472"/>
      <c r="AF122" s="1472"/>
    </row>
    <row r="123" spans="1:33"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row>
    <row r="124" spans="1:33" x14ac:dyDescent="0.25">
      <c r="A124" s="515" t="s">
        <v>1013</v>
      </c>
      <c r="B124" s="1168" t="s">
        <v>2752</v>
      </c>
      <c r="C124" s="1168"/>
      <c r="D124" s="1168"/>
      <c r="E124" s="1168"/>
      <c r="F124" s="1168"/>
      <c r="G124" s="1168"/>
      <c r="H124" s="1168"/>
      <c r="I124" s="1168"/>
      <c r="J124" s="1168"/>
      <c r="K124" s="1168"/>
      <c r="L124" s="1168"/>
      <c r="M124" s="1168"/>
      <c r="N124" s="1168"/>
      <c r="O124" s="1168"/>
      <c r="P124" s="1168"/>
      <c r="Q124" s="1168"/>
      <c r="R124" s="1168"/>
      <c r="S124" s="1168"/>
      <c r="T124" s="1168"/>
      <c r="U124" s="1168"/>
      <c r="V124" s="1168"/>
      <c r="W124" s="1168"/>
      <c r="X124" s="1168"/>
      <c r="Y124" s="1168"/>
      <c r="Z124" s="1168"/>
      <c r="AA124" s="1168"/>
      <c r="AB124" s="1168"/>
      <c r="AC124" s="1168"/>
      <c r="AD124" s="1168"/>
      <c r="AE124" s="1168"/>
      <c r="AF124" s="1168"/>
    </row>
    <row r="125" spans="1:33" ht="51" customHeight="1" x14ac:dyDescent="0.25">
      <c r="A125" s="515" t="s">
        <v>1013</v>
      </c>
      <c r="B125" s="1142" t="s">
        <v>2749</v>
      </c>
      <c r="C125" s="1142"/>
      <c r="D125" s="1142"/>
      <c r="E125" s="1142"/>
      <c r="F125" s="1142"/>
      <c r="G125" s="1142"/>
      <c r="H125" s="1142"/>
      <c r="I125" s="1142"/>
      <c r="J125" s="1142"/>
      <c r="K125" s="1142"/>
      <c r="L125" s="1142"/>
      <c r="M125" s="1142"/>
      <c r="N125" s="1142"/>
      <c r="O125" s="1142"/>
      <c r="P125" s="1142"/>
      <c r="Q125" s="1142"/>
      <c r="R125" s="1142"/>
      <c r="S125" s="1142"/>
      <c r="T125" s="1142"/>
      <c r="U125" s="1142"/>
      <c r="V125" s="1142"/>
      <c r="W125" s="1142"/>
      <c r="X125" s="1142"/>
      <c r="Y125" s="1142"/>
      <c r="Z125" s="1142"/>
      <c r="AA125" s="1142"/>
      <c r="AB125" s="1142"/>
      <c r="AC125" s="1142"/>
      <c r="AD125" s="1142"/>
      <c r="AE125" s="1142"/>
      <c r="AF125" s="1142"/>
      <c r="AG125" s="1142"/>
    </row>
    <row r="126" spans="1:33" ht="65.25" customHeight="1" x14ac:dyDescent="0.25">
      <c r="A126" s="515" t="s">
        <v>1013</v>
      </c>
      <c r="B126" s="1142" t="s">
        <v>2748</v>
      </c>
      <c r="C126" s="1142"/>
      <c r="D126" s="1142"/>
      <c r="E126" s="1142"/>
      <c r="F126" s="1142"/>
      <c r="G126" s="1142"/>
      <c r="H126" s="1142"/>
      <c r="I126" s="1142"/>
      <c r="J126" s="1142"/>
      <c r="K126" s="1142"/>
      <c r="L126" s="1142"/>
      <c r="M126" s="1142"/>
      <c r="N126" s="1142"/>
      <c r="O126" s="1142"/>
      <c r="P126" s="1142"/>
      <c r="Q126" s="1142"/>
      <c r="R126" s="1142"/>
      <c r="S126" s="1142"/>
      <c r="T126" s="1142"/>
      <c r="U126" s="1142"/>
      <c r="V126" s="1142"/>
      <c r="W126" s="1142"/>
      <c r="X126" s="1142"/>
      <c r="Y126" s="1142"/>
      <c r="Z126" s="1142"/>
      <c r="AA126" s="1142"/>
      <c r="AB126" s="1142"/>
      <c r="AC126" s="1142"/>
      <c r="AD126" s="1142"/>
      <c r="AE126" s="1142"/>
      <c r="AF126" s="1142"/>
      <c r="AG126" s="1142"/>
    </row>
    <row r="127" spans="1:33" ht="65.25" customHeight="1" x14ac:dyDescent="0.25">
      <c r="A127" s="515" t="s">
        <v>1013</v>
      </c>
      <c r="B127" s="1142" t="s">
        <v>2750</v>
      </c>
      <c r="C127" s="1142"/>
      <c r="D127" s="1142"/>
      <c r="E127" s="1142"/>
      <c r="F127" s="1142"/>
      <c r="G127" s="1142"/>
      <c r="H127" s="1142"/>
      <c r="I127" s="1142"/>
      <c r="J127" s="1142"/>
      <c r="K127" s="1142"/>
      <c r="L127" s="1142"/>
      <c r="M127" s="1142"/>
      <c r="N127" s="1142"/>
      <c r="O127" s="1142"/>
      <c r="P127" s="1142"/>
      <c r="Q127" s="1142"/>
      <c r="R127" s="1142"/>
      <c r="S127" s="1142"/>
      <c r="T127" s="1142"/>
      <c r="U127" s="1142"/>
      <c r="V127" s="1142"/>
      <c r="W127" s="1142"/>
      <c r="X127" s="1142"/>
      <c r="Y127" s="1142"/>
      <c r="Z127" s="1142"/>
      <c r="AA127" s="1142"/>
      <c r="AB127" s="1142"/>
      <c r="AC127" s="1142"/>
      <c r="AD127" s="1142"/>
      <c r="AE127" s="1142"/>
      <c r="AF127" s="1142"/>
      <c r="AG127" s="1142"/>
    </row>
  </sheetData>
  <sheetProtection algorithmName="SHA-512" hashValue="+cPxT8HumOSMRx6A7oL4h0UkEbcSyotn9cy9Ki5NOwwNAKR4vOBPtBLLUQAEbci527BH0l/VuxWPvfa01JxPUA==" saltValue="irYXwA5MNkE76LWOE5ch0g==" spinCount="100000" sheet="1" objects="1" scenarios="1"/>
  <mergeCells count="241">
    <mergeCell ref="N80:Q80"/>
    <mergeCell ref="A67:AF67"/>
    <mergeCell ref="A66:AF66"/>
    <mergeCell ref="A3:AF3"/>
    <mergeCell ref="B5:AF5"/>
    <mergeCell ref="A51:AF51"/>
    <mergeCell ref="A25:AF25"/>
    <mergeCell ref="A7:AF7"/>
    <mergeCell ref="B10:AF10"/>
    <mergeCell ref="B13:AF13"/>
    <mergeCell ref="A69:AF69"/>
    <mergeCell ref="X44:AF44"/>
    <mergeCell ref="Q43:T43"/>
    <mergeCell ref="U43:W43"/>
    <mergeCell ref="X43:AF43"/>
    <mergeCell ref="A46:D46"/>
    <mergeCell ref="E46:P46"/>
    <mergeCell ref="E47:P47"/>
    <mergeCell ref="Q47:T47"/>
    <mergeCell ref="U47:W47"/>
    <mergeCell ref="X47:AF47"/>
    <mergeCell ref="C76:F76"/>
    <mergeCell ref="X42:AF42"/>
    <mergeCell ref="A53:AF53"/>
    <mergeCell ref="A1:AF1"/>
    <mergeCell ref="B19:AF19"/>
    <mergeCell ref="A50:D50"/>
    <mergeCell ref="E50:P50"/>
    <mergeCell ref="Q50:T50"/>
    <mergeCell ref="U50:W50"/>
    <mergeCell ref="X50:AF50"/>
    <mergeCell ref="A49:D49"/>
    <mergeCell ref="E49:P49"/>
    <mergeCell ref="Q49:T49"/>
    <mergeCell ref="U49:W49"/>
    <mergeCell ref="X49:AF49"/>
    <mergeCell ref="A47:D47"/>
    <mergeCell ref="A42:D42"/>
    <mergeCell ref="E42:P42"/>
    <mergeCell ref="Q42:T42"/>
    <mergeCell ref="U42:W42"/>
    <mergeCell ref="A40:AF40"/>
    <mergeCell ref="A41:D41"/>
    <mergeCell ref="E41:P41"/>
    <mergeCell ref="Q41:T41"/>
    <mergeCell ref="U41:W41"/>
    <mergeCell ref="X41:AF41"/>
    <mergeCell ref="U46:W46"/>
    <mergeCell ref="A52:AF52"/>
    <mergeCell ref="A55:AF55"/>
    <mergeCell ref="A48:D48"/>
    <mergeCell ref="E48:P48"/>
    <mergeCell ref="Q48:T48"/>
    <mergeCell ref="U48:W48"/>
    <mergeCell ref="X48:AF48"/>
    <mergeCell ref="A54:AF54"/>
    <mergeCell ref="A43:D43"/>
    <mergeCell ref="E43:P43"/>
    <mergeCell ref="X46:AF46"/>
    <mergeCell ref="A45:D45"/>
    <mergeCell ref="Q46:T46"/>
    <mergeCell ref="E45:P45"/>
    <mergeCell ref="Q45:T45"/>
    <mergeCell ref="U45:W45"/>
    <mergeCell ref="X45:AF45"/>
    <mergeCell ref="A44:D44"/>
    <mergeCell ref="E44:P44"/>
    <mergeCell ref="Q44:T44"/>
    <mergeCell ref="U44:W44"/>
    <mergeCell ref="C96:F96"/>
    <mergeCell ref="A99:H99"/>
    <mergeCell ref="I99:P99"/>
    <mergeCell ref="Q99:X99"/>
    <mergeCell ref="H96:AF96"/>
    <mergeCell ref="A122:AF122"/>
    <mergeCell ref="B127:AG127"/>
    <mergeCell ref="B126:AG126"/>
    <mergeCell ref="B125:AG125"/>
    <mergeCell ref="B124:AF124"/>
    <mergeCell ref="A107:D107"/>
    <mergeCell ref="E107:F107"/>
    <mergeCell ref="G107:H107"/>
    <mergeCell ref="I107:L107"/>
    <mergeCell ref="M107:P107"/>
    <mergeCell ref="Q107:T107"/>
    <mergeCell ref="U107:X107"/>
    <mergeCell ref="Y107:AB107"/>
    <mergeCell ref="AC107:AF107"/>
    <mergeCell ref="A108:D108"/>
    <mergeCell ref="E108:F108"/>
    <mergeCell ref="G108:H108"/>
    <mergeCell ref="I108:L108"/>
    <mergeCell ref="M108:P108"/>
    <mergeCell ref="Z59:AD59"/>
    <mergeCell ref="Y99:AF99"/>
    <mergeCell ref="A100:H100"/>
    <mergeCell ref="I100:P100"/>
    <mergeCell ref="Q100:X100"/>
    <mergeCell ref="Y100:AF100"/>
    <mergeCell ref="V80:Y80"/>
    <mergeCell ref="C80:I80"/>
    <mergeCell ref="K58:O58"/>
    <mergeCell ref="P58:T58"/>
    <mergeCell ref="U58:Y58"/>
    <mergeCell ref="Z58:AD58"/>
    <mergeCell ref="K60:O60"/>
    <mergeCell ref="P60:T60"/>
    <mergeCell ref="U60:Y60"/>
    <mergeCell ref="Z60:AD60"/>
    <mergeCell ref="K61:O61"/>
    <mergeCell ref="P61:T61"/>
    <mergeCell ref="U61:Y61"/>
    <mergeCell ref="Z61:AD61"/>
    <mergeCell ref="K62:O62"/>
    <mergeCell ref="C84:F84"/>
    <mergeCell ref="C88:F88"/>
    <mergeCell ref="C92:F92"/>
    <mergeCell ref="Z62:AD62"/>
    <mergeCell ref="K63:O63"/>
    <mergeCell ref="P63:T63"/>
    <mergeCell ref="U63:Y63"/>
    <mergeCell ref="Z63:AD63"/>
    <mergeCell ref="K64:O64"/>
    <mergeCell ref="P64:T64"/>
    <mergeCell ref="U64:Y64"/>
    <mergeCell ref="Z64:AD64"/>
    <mergeCell ref="A58:J58"/>
    <mergeCell ref="A59:J59"/>
    <mergeCell ref="A60:J60"/>
    <mergeCell ref="A61:J61"/>
    <mergeCell ref="A62:J62"/>
    <mergeCell ref="A63:J63"/>
    <mergeCell ref="A64:J64"/>
    <mergeCell ref="P62:T62"/>
    <mergeCell ref="U62:Y62"/>
    <mergeCell ref="K59:O59"/>
    <mergeCell ref="P59:T59"/>
    <mergeCell ref="U59:Y59"/>
    <mergeCell ref="Q108:T108"/>
    <mergeCell ref="U108:X108"/>
    <mergeCell ref="Y108:AB108"/>
    <mergeCell ref="AC108:AF108"/>
    <mergeCell ref="A109:D109"/>
    <mergeCell ref="E109:F109"/>
    <mergeCell ref="G109:H109"/>
    <mergeCell ref="I109:L109"/>
    <mergeCell ref="M109:P109"/>
    <mergeCell ref="Q109:T109"/>
    <mergeCell ref="U109:X109"/>
    <mergeCell ref="Y109:AB109"/>
    <mergeCell ref="AC109:AF109"/>
    <mergeCell ref="A110:D110"/>
    <mergeCell ref="E110:F110"/>
    <mergeCell ref="G110:H110"/>
    <mergeCell ref="I110:L110"/>
    <mergeCell ref="M110:P110"/>
    <mergeCell ref="Q110:T110"/>
    <mergeCell ref="U110:X110"/>
    <mergeCell ref="Y110:AB110"/>
    <mergeCell ref="AC110:AF110"/>
    <mergeCell ref="A111:D111"/>
    <mergeCell ref="E111:F111"/>
    <mergeCell ref="G111:H111"/>
    <mergeCell ref="I111:L111"/>
    <mergeCell ref="M111:P111"/>
    <mergeCell ref="Q111:T111"/>
    <mergeCell ref="U111:X111"/>
    <mergeCell ref="Y111:AB111"/>
    <mergeCell ref="AC111:AF111"/>
    <mergeCell ref="A112:D112"/>
    <mergeCell ref="E112:F112"/>
    <mergeCell ref="G112:H112"/>
    <mergeCell ref="I112:L112"/>
    <mergeCell ref="M112:P112"/>
    <mergeCell ref="Q112:T112"/>
    <mergeCell ref="U112:X112"/>
    <mergeCell ref="Y112:AB112"/>
    <mergeCell ref="AC112:AF112"/>
    <mergeCell ref="A113:D113"/>
    <mergeCell ref="E113:F113"/>
    <mergeCell ref="G113:H113"/>
    <mergeCell ref="I113:L113"/>
    <mergeCell ref="M113:P113"/>
    <mergeCell ref="Q113:T113"/>
    <mergeCell ref="U113:X113"/>
    <mergeCell ref="Y113:AB113"/>
    <mergeCell ref="AC113:AF113"/>
    <mergeCell ref="A114:D114"/>
    <mergeCell ref="E114:F114"/>
    <mergeCell ref="G114:H114"/>
    <mergeCell ref="I114:L114"/>
    <mergeCell ref="M114:P114"/>
    <mergeCell ref="Q114:T114"/>
    <mergeCell ref="U114:X114"/>
    <mergeCell ref="Y114:AB114"/>
    <mergeCell ref="AC114:AF114"/>
    <mergeCell ref="A115:D115"/>
    <mergeCell ref="E115:F115"/>
    <mergeCell ref="G115:H115"/>
    <mergeCell ref="I115:L115"/>
    <mergeCell ref="M115:P115"/>
    <mergeCell ref="Q115:T115"/>
    <mergeCell ref="U115:X115"/>
    <mergeCell ref="Y115:AB115"/>
    <mergeCell ref="AC115:AF115"/>
    <mergeCell ref="U117:X117"/>
    <mergeCell ref="Y117:AB117"/>
    <mergeCell ref="AC117:AF117"/>
    <mergeCell ref="A116:D116"/>
    <mergeCell ref="E116:F116"/>
    <mergeCell ref="G116:H116"/>
    <mergeCell ref="I116:L116"/>
    <mergeCell ref="M116:P116"/>
    <mergeCell ref="Q116:T116"/>
    <mergeCell ref="U116:X116"/>
    <mergeCell ref="Y116:AB116"/>
    <mergeCell ref="AC116:AF116"/>
    <mergeCell ref="A120:AF120"/>
    <mergeCell ref="A65:J65"/>
    <mergeCell ref="K65:O65"/>
    <mergeCell ref="P65:T65"/>
    <mergeCell ref="U65:Y65"/>
    <mergeCell ref="Z65:AD65"/>
    <mergeCell ref="A106:AF106"/>
    <mergeCell ref="H92:AF92"/>
    <mergeCell ref="A119:AF119"/>
    <mergeCell ref="A118:D118"/>
    <mergeCell ref="E118:F118"/>
    <mergeCell ref="G118:H118"/>
    <mergeCell ref="I118:L118"/>
    <mergeCell ref="M118:P118"/>
    <mergeCell ref="Q118:T118"/>
    <mergeCell ref="U118:X118"/>
    <mergeCell ref="Y118:AB118"/>
    <mergeCell ref="AC118:AF118"/>
    <mergeCell ref="A117:D117"/>
    <mergeCell ref="E117:F117"/>
    <mergeCell ref="G117:H117"/>
    <mergeCell ref="I117:L117"/>
    <mergeCell ref="M117:P117"/>
    <mergeCell ref="Q117:T117"/>
  </mergeCells>
  <hyperlinks>
    <hyperlink ref="A2" location="TOC!A1" display="Return to TOC" xr:uid="{00000000-0004-0000-2500-000000000000}"/>
    <hyperlink ref="X45:AF45" location="'C_HVAC_VFD Water Pump Reference'!A1" display="See &quot;C_HVAC_VFD Water Pump Reference&quot; table if nameplate efficiency is missing" xr:uid="{00000000-0004-0000-25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3 AF34:AF37" numberStoredAsText="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500-000000000000}">
          <x14:formula1>
            <xm:f>Dropdown!$Q$6:$Q$7</xm:f>
          </x14:formula1>
          <xm:sqref>C76:F76</xm:sqref>
        </x14:dataValidation>
        <x14:dataValidation type="list" allowBlank="1" showInputMessage="1" showErrorMessage="1" xr:uid="{00000000-0002-0000-2500-000001000000}">
          <x14:formula1>
            <xm:f>Dropdown!$R$6:$R$11</xm:f>
          </x14:formula1>
          <xm:sqref>C80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4">
    <pageSetUpPr autoPageBreaks="0"/>
  </sheetPr>
  <dimension ref="A1:AS35"/>
  <sheetViews>
    <sheetView showGridLines="0" zoomScaleNormal="100" workbookViewId="0">
      <selection sqref="A1:AF1"/>
    </sheetView>
  </sheetViews>
  <sheetFormatPr defaultColWidth="2.7109375" defaultRowHeight="15" x14ac:dyDescent="0.25"/>
  <cols>
    <col min="1" max="14" width="2.7109375" style="272"/>
    <col min="15" max="15" width="2.7109375" style="270"/>
    <col min="16" max="16384" width="2.7109375" style="272"/>
  </cols>
  <sheetData>
    <row r="1" spans="1:45" ht="18.75" x14ac:dyDescent="0.25">
      <c r="A1" s="1136" t="s">
        <v>7205</v>
      </c>
      <c r="B1" s="1137"/>
      <c r="C1" s="1137"/>
      <c r="D1" s="1137"/>
      <c r="E1" s="1137"/>
      <c r="F1" s="1137"/>
      <c r="G1" s="1137"/>
      <c r="H1" s="1137"/>
      <c r="I1" s="1137"/>
      <c r="J1" s="1137"/>
      <c r="K1" s="1137"/>
      <c r="L1" s="1137"/>
      <c r="M1" s="1137"/>
      <c r="N1" s="1137"/>
      <c r="O1" s="1137"/>
      <c r="P1" s="1137"/>
      <c r="Q1" s="1137"/>
      <c r="R1" s="1137"/>
      <c r="S1" s="1137"/>
      <c r="T1" s="1137"/>
      <c r="U1" s="1137"/>
      <c r="V1" s="1137"/>
      <c r="W1" s="1137"/>
      <c r="X1" s="1137"/>
      <c r="Y1" s="1137"/>
      <c r="Z1" s="1137"/>
      <c r="AA1" s="1137"/>
      <c r="AB1" s="1137"/>
      <c r="AC1" s="1137"/>
      <c r="AD1" s="1137"/>
      <c r="AE1" s="1137"/>
      <c r="AF1" s="1137"/>
      <c r="AG1" s="329"/>
      <c r="AH1" s="329"/>
      <c r="AI1" s="329"/>
      <c r="AJ1" s="329"/>
      <c r="AK1" s="329"/>
      <c r="AL1" s="329"/>
      <c r="AM1" s="329"/>
      <c r="AN1" s="329"/>
      <c r="AO1" s="329"/>
      <c r="AP1" s="329"/>
      <c r="AQ1" s="329"/>
      <c r="AR1" s="329"/>
      <c r="AS1" s="329"/>
    </row>
    <row r="2" spans="1:45" x14ac:dyDescent="0.25">
      <c r="A2" s="376" t="s">
        <v>1702</v>
      </c>
      <c r="B2" s="533"/>
      <c r="C2" s="533"/>
      <c r="D2" s="533"/>
      <c r="E2" s="533"/>
      <c r="F2" s="533"/>
      <c r="G2" s="533"/>
      <c r="H2" s="533"/>
      <c r="I2" s="533"/>
      <c r="J2" s="533"/>
      <c r="K2" s="533"/>
      <c r="L2" s="533"/>
      <c r="M2" s="533"/>
      <c r="N2" s="533"/>
      <c r="AJ2" s="682"/>
      <c r="AK2" s="682"/>
      <c r="AL2" s="682"/>
      <c r="AM2" s="682"/>
      <c r="AN2" s="682"/>
      <c r="AO2" s="682"/>
      <c r="AP2" s="682"/>
    </row>
    <row r="3" spans="1:45" x14ac:dyDescent="0.25">
      <c r="A3" s="374"/>
      <c r="B3" s="374"/>
      <c r="C3" s="374"/>
      <c r="D3" s="374"/>
      <c r="E3" s="374"/>
      <c r="F3" s="374"/>
      <c r="G3" s="374"/>
      <c r="H3" s="374"/>
      <c r="I3" s="374"/>
      <c r="J3" s="374"/>
      <c r="K3" s="374"/>
      <c r="L3" s="374"/>
      <c r="M3" s="374"/>
      <c r="N3" s="374"/>
    </row>
    <row r="4" spans="1:45" ht="15" customHeight="1" x14ac:dyDescent="0.25">
      <c r="A4" s="1139" t="s">
        <v>1577</v>
      </c>
      <c r="B4" s="1140"/>
      <c r="C4" s="1140"/>
      <c r="D4" s="1140"/>
      <c r="E4" s="1140"/>
      <c r="F4" s="1140"/>
      <c r="G4" s="1140"/>
      <c r="H4" s="1140"/>
      <c r="I4" s="1140"/>
      <c r="J4" s="1140"/>
      <c r="K4" s="1140"/>
      <c r="L4" s="1140"/>
      <c r="M4" s="1140"/>
      <c r="N4" s="1141"/>
      <c r="O4" s="1138" t="s">
        <v>3007</v>
      </c>
      <c r="P4" s="1138"/>
      <c r="Q4" s="1138"/>
      <c r="R4" s="1138"/>
      <c r="S4" s="1138"/>
      <c r="T4" s="1138"/>
      <c r="U4" s="1138"/>
      <c r="V4" s="1138"/>
      <c r="W4" s="1138"/>
      <c r="X4" s="1138"/>
      <c r="Y4" s="1138"/>
      <c r="Z4" s="1138"/>
      <c r="AA4" s="1138"/>
      <c r="AB4" s="1138"/>
      <c r="AC4" s="1138"/>
      <c r="AD4" s="1138"/>
      <c r="AE4" s="1138"/>
      <c r="AF4" s="1138"/>
    </row>
    <row r="5" spans="1:45" ht="36" customHeight="1" x14ac:dyDescent="0.25">
      <c r="A5" s="1134" t="s">
        <v>3819</v>
      </c>
      <c r="B5" s="1134"/>
      <c r="C5" s="1134"/>
      <c r="D5" s="1134"/>
      <c r="E5" s="1134"/>
      <c r="F5" s="1134"/>
      <c r="G5" s="1134"/>
      <c r="H5" s="1134"/>
      <c r="I5" s="1134"/>
      <c r="J5" s="1134"/>
      <c r="K5" s="1134"/>
      <c r="L5" s="1134"/>
      <c r="M5" s="1134"/>
      <c r="N5" s="1134"/>
      <c r="O5" s="1135" t="s">
        <v>7202</v>
      </c>
      <c r="P5" s="1135"/>
      <c r="Q5" s="1135"/>
      <c r="R5" s="1135"/>
      <c r="S5" s="1135"/>
      <c r="T5" s="1135"/>
      <c r="U5" s="1135"/>
      <c r="V5" s="1135"/>
      <c r="W5" s="1135"/>
      <c r="X5" s="1135"/>
      <c r="Y5" s="1135"/>
      <c r="Z5" s="1135"/>
      <c r="AA5" s="1135"/>
      <c r="AB5" s="1135"/>
      <c r="AC5" s="1135"/>
      <c r="AD5" s="1135"/>
      <c r="AE5" s="1135"/>
      <c r="AF5" s="1135"/>
      <c r="AG5" s="716"/>
    </row>
    <row r="6" spans="1:45" ht="30" customHeight="1" x14ac:dyDescent="0.25">
      <c r="A6" s="1134" t="s">
        <v>1598</v>
      </c>
      <c r="B6" s="1134"/>
      <c r="C6" s="1134"/>
      <c r="D6" s="1134"/>
      <c r="E6" s="1134"/>
      <c r="F6" s="1134"/>
      <c r="G6" s="1134"/>
      <c r="H6" s="1134"/>
      <c r="I6" s="1134"/>
      <c r="J6" s="1134"/>
      <c r="K6" s="1134"/>
      <c r="L6" s="1134"/>
      <c r="M6" s="1134"/>
      <c r="N6" s="1134"/>
      <c r="O6" s="1135" t="s">
        <v>7203</v>
      </c>
      <c r="P6" s="1135"/>
      <c r="Q6" s="1135"/>
      <c r="R6" s="1135"/>
      <c r="S6" s="1135"/>
      <c r="T6" s="1135"/>
      <c r="U6" s="1135"/>
      <c r="V6" s="1135"/>
      <c r="W6" s="1135"/>
      <c r="X6" s="1135"/>
      <c r="Y6" s="1135"/>
      <c r="Z6" s="1135"/>
      <c r="AA6" s="1135"/>
      <c r="AB6" s="1135"/>
      <c r="AC6" s="1135"/>
      <c r="AD6" s="1135"/>
      <c r="AE6" s="1135"/>
      <c r="AF6" s="1135"/>
      <c r="AG6" s="716"/>
    </row>
    <row r="7" spans="1:45" ht="30" customHeight="1" x14ac:dyDescent="0.25">
      <c r="A7" s="1134" t="s">
        <v>7204</v>
      </c>
      <c r="B7" s="1134"/>
      <c r="C7" s="1134"/>
      <c r="D7" s="1134"/>
      <c r="E7" s="1134"/>
      <c r="F7" s="1134"/>
      <c r="G7" s="1134"/>
      <c r="H7" s="1134"/>
      <c r="I7" s="1134"/>
      <c r="J7" s="1134"/>
      <c r="K7" s="1134"/>
      <c r="L7" s="1134"/>
      <c r="M7" s="1134"/>
      <c r="N7" s="1134"/>
      <c r="O7" s="1135" t="s">
        <v>7206</v>
      </c>
      <c r="P7" s="1135"/>
      <c r="Q7" s="1135"/>
      <c r="R7" s="1135"/>
      <c r="S7" s="1135"/>
      <c r="T7" s="1135"/>
      <c r="U7" s="1135"/>
      <c r="V7" s="1135"/>
      <c r="W7" s="1135"/>
      <c r="X7" s="1135"/>
      <c r="Y7" s="1135"/>
      <c r="Z7" s="1135"/>
      <c r="AA7" s="1135"/>
      <c r="AB7" s="1135"/>
      <c r="AC7" s="1135"/>
      <c r="AD7" s="1135"/>
      <c r="AE7" s="1135"/>
      <c r="AF7" s="1135"/>
      <c r="AG7" s="716"/>
    </row>
    <row r="8" spans="1:45" ht="30" customHeight="1" x14ac:dyDescent="0.25">
      <c r="A8" s="1134" t="s">
        <v>1317</v>
      </c>
      <c r="B8" s="1134"/>
      <c r="C8" s="1134"/>
      <c r="D8" s="1134"/>
      <c r="E8" s="1134"/>
      <c r="F8" s="1134"/>
      <c r="G8" s="1134"/>
      <c r="H8" s="1134"/>
      <c r="I8" s="1134"/>
      <c r="J8" s="1134"/>
      <c r="K8" s="1134"/>
      <c r="L8" s="1134"/>
      <c r="M8" s="1134"/>
      <c r="N8" s="1134"/>
      <c r="O8" s="1135" t="s">
        <v>7207</v>
      </c>
      <c r="P8" s="1135"/>
      <c r="Q8" s="1135"/>
      <c r="R8" s="1135"/>
      <c r="S8" s="1135"/>
      <c r="T8" s="1135"/>
      <c r="U8" s="1135"/>
      <c r="V8" s="1135"/>
      <c r="W8" s="1135"/>
      <c r="X8" s="1135"/>
      <c r="Y8" s="1135"/>
      <c r="Z8" s="1135"/>
      <c r="AA8" s="1135"/>
      <c r="AB8" s="1135"/>
      <c r="AC8" s="1135"/>
      <c r="AD8" s="1135"/>
      <c r="AE8" s="1135"/>
      <c r="AF8" s="1135"/>
      <c r="AG8" s="716"/>
    </row>
    <row r="9" spans="1:45" ht="30" customHeight="1" x14ac:dyDescent="0.25">
      <c r="A9" s="1134" t="s">
        <v>1318</v>
      </c>
      <c r="B9" s="1134"/>
      <c r="C9" s="1134"/>
      <c r="D9" s="1134"/>
      <c r="E9" s="1134"/>
      <c r="F9" s="1134"/>
      <c r="G9" s="1134"/>
      <c r="H9" s="1134"/>
      <c r="I9" s="1134"/>
      <c r="J9" s="1134"/>
      <c r="K9" s="1134"/>
      <c r="L9" s="1134"/>
      <c r="M9" s="1134"/>
      <c r="N9" s="1134"/>
      <c r="O9" s="1135" t="s">
        <v>7240</v>
      </c>
      <c r="P9" s="1135"/>
      <c r="Q9" s="1135"/>
      <c r="R9" s="1135"/>
      <c r="S9" s="1135"/>
      <c r="T9" s="1135"/>
      <c r="U9" s="1135"/>
      <c r="V9" s="1135"/>
      <c r="W9" s="1135"/>
      <c r="X9" s="1135"/>
      <c r="Y9" s="1135"/>
      <c r="Z9" s="1135"/>
      <c r="AA9" s="1135"/>
      <c r="AB9" s="1135"/>
      <c r="AC9" s="1135"/>
      <c r="AD9" s="1135"/>
      <c r="AE9" s="1135"/>
      <c r="AF9" s="1135"/>
      <c r="AG9" s="716"/>
    </row>
    <row r="10" spans="1:45" ht="30" customHeight="1" x14ac:dyDescent="0.25">
      <c r="A10" s="1134" t="s">
        <v>1319</v>
      </c>
      <c r="B10" s="1134"/>
      <c r="C10" s="1134"/>
      <c r="D10" s="1134"/>
      <c r="E10" s="1134"/>
      <c r="F10" s="1134"/>
      <c r="G10" s="1134"/>
      <c r="H10" s="1134"/>
      <c r="I10" s="1134"/>
      <c r="J10" s="1134"/>
      <c r="K10" s="1134"/>
      <c r="L10" s="1134"/>
      <c r="M10" s="1134"/>
      <c r="N10" s="1134"/>
      <c r="O10" s="1135" t="s">
        <v>7241</v>
      </c>
      <c r="P10" s="1135"/>
      <c r="Q10" s="1135"/>
      <c r="R10" s="1135"/>
      <c r="S10" s="1135"/>
      <c r="T10" s="1135"/>
      <c r="U10" s="1135"/>
      <c r="V10" s="1135"/>
      <c r="W10" s="1135"/>
      <c r="X10" s="1135"/>
      <c r="Y10" s="1135"/>
      <c r="Z10" s="1135"/>
      <c r="AA10" s="1135"/>
      <c r="AB10" s="1135"/>
      <c r="AC10" s="1135"/>
      <c r="AD10" s="1135"/>
      <c r="AE10" s="1135"/>
      <c r="AF10" s="1135"/>
      <c r="AG10" s="716"/>
    </row>
    <row r="11" spans="1:45" ht="30" customHeight="1" x14ac:dyDescent="0.25">
      <c r="A11" s="1134" t="s">
        <v>3821</v>
      </c>
      <c r="B11" s="1134"/>
      <c r="C11" s="1134"/>
      <c r="D11" s="1134"/>
      <c r="E11" s="1134"/>
      <c r="F11" s="1134"/>
      <c r="G11" s="1134"/>
      <c r="H11" s="1134"/>
      <c r="I11" s="1134"/>
      <c r="J11" s="1134"/>
      <c r="K11" s="1134"/>
      <c r="L11" s="1134"/>
      <c r="M11" s="1134"/>
      <c r="N11" s="1134"/>
      <c r="O11" s="1135" t="s">
        <v>7208</v>
      </c>
      <c r="P11" s="1135"/>
      <c r="Q11" s="1135"/>
      <c r="R11" s="1135"/>
      <c r="S11" s="1135"/>
      <c r="T11" s="1135"/>
      <c r="U11" s="1135"/>
      <c r="V11" s="1135"/>
      <c r="W11" s="1135"/>
      <c r="X11" s="1135"/>
      <c r="Y11" s="1135"/>
      <c r="Z11" s="1135"/>
      <c r="AA11" s="1135"/>
      <c r="AB11" s="1135"/>
      <c r="AC11" s="1135"/>
      <c r="AD11" s="1135"/>
      <c r="AE11" s="1135"/>
      <c r="AF11" s="1135"/>
      <c r="AG11" s="716"/>
    </row>
    <row r="12" spans="1:45" ht="30" customHeight="1" x14ac:dyDescent="0.25">
      <c r="A12" s="1132" t="s">
        <v>1320</v>
      </c>
      <c r="B12" s="1132"/>
      <c r="C12" s="1132"/>
      <c r="D12" s="1132"/>
      <c r="E12" s="1132"/>
      <c r="F12" s="1132"/>
      <c r="G12" s="1132"/>
      <c r="H12" s="1132"/>
      <c r="I12" s="1132"/>
      <c r="J12" s="1132"/>
      <c r="K12" s="1132"/>
      <c r="L12" s="1132"/>
      <c r="M12" s="1132"/>
      <c r="N12" s="1132"/>
      <c r="O12" s="1133" t="s">
        <v>7217</v>
      </c>
      <c r="P12" s="1133"/>
      <c r="Q12" s="1133"/>
      <c r="R12" s="1133"/>
      <c r="S12" s="1133"/>
      <c r="T12" s="1133"/>
      <c r="U12" s="1133"/>
      <c r="V12" s="1133"/>
      <c r="W12" s="1133"/>
      <c r="X12" s="1133"/>
      <c r="Y12" s="1133"/>
      <c r="Z12" s="1133"/>
      <c r="AA12" s="1133"/>
      <c r="AB12" s="1133"/>
      <c r="AC12" s="1133"/>
      <c r="AD12" s="1133"/>
      <c r="AE12" s="1133"/>
      <c r="AF12" s="1133"/>
      <c r="AG12" s="716"/>
    </row>
    <row r="13" spans="1:45" ht="30" customHeight="1" x14ac:dyDescent="0.25">
      <c r="A13" s="1132" t="s">
        <v>7273</v>
      </c>
      <c r="B13" s="1132"/>
      <c r="C13" s="1132"/>
      <c r="D13" s="1132"/>
      <c r="E13" s="1132"/>
      <c r="F13" s="1132"/>
      <c r="G13" s="1132"/>
      <c r="H13" s="1132"/>
      <c r="I13" s="1132"/>
      <c r="J13" s="1132"/>
      <c r="K13" s="1132"/>
      <c r="L13" s="1132"/>
      <c r="M13" s="1132"/>
      <c r="N13" s="1132"/>
      <c r="O13" s="1133" t="s">
        <v>7274</v>
      </c>
      <c r="P13" s="1133"/>
      <c r="Q13" s="1133"/>
      <c r="R13" s="1133"/>
      <c r="S13" s="1133"/>
      <c r="T13" s="1133"/>
      <c r="U13" s="1133"/>
      <c r="V13" s="1133"/>
      <c r="W13" s="1133"/>
      <c r="X13" s="1133"/>
      <c r="Y13" s="1133"/>
      <c r="Z13" s="1133"/>
      <c r="AA13" s="1133"/>
      <c r="AB13" s="1133"/>
      <c r="AC13" s="1133"/>
      <c r="AD13" s="1133"/>
      <c r="AE13" s="1133"/>
      <c r="AF13" s="1133"/>
      <c r="AG13" s="716"/>
    </row>
    <row r="14" spans="1:45" ht="30" customHeight="1" x14ac:dyDescent="0.25">
      <c r="A14" s="1132" t="s">
        <v>1321</v>
      </c>
      <c r="B14" s="1132"/>
      <c r="C14" s="1132"/>
      <c r="D14" s="1132"/>
      <c r="E14" s="1132"/>
      <c r="F14" s="1132"/>
      <c r="G14" s="1132"/>
      <c r="H14" s="1132"/>
      <c r="I14" s="1132"/>
      <c r="J14" s="1132"/>
      <c r="K14" s="1132"/>
      <c r="L14" s="1132"/>
      <c r="M14" s="1132"/>
      <c r="N14" s="1132"/>
      <c r="O14" s="1133" t="s">
        <v>7209</v>
      </c>
      <c r="P14" s="1133"/>
      <c r="Q14" s="1133"/>
      <c r="R14" s="1133"/>
      <c r="S14" s="1133"/>
      <c r="T14" s="1133"/>
      <c r="U14" s="1133"/>
      <c r="V14" s="1133"/>
      <c r="W14" s="1133"/>
      <c r="X14" s="1133"/>
      <c r="Y14" s="1133"/>
      <c r="Z14" s="1133"/>
      <c r="AA14" s="1133"/>
      <c r="AB14" s="1133"/>
      <c r="AC14" s="1133"/>
      <c r="AD14" s="1133"/>
      <c r="AE14" s="1133"/>
      <c r="AF14" s="1133"/>
      <c r="AG14" s="716"/>
    </row>
    <row r="15" spans="1:45" ht="36.75" customHeight="1" x14ac:dyDescent="0.25">
      <c r="A15" s="1134" t="s">
        <v>3006</v>
      </c>
      <c r="B15" s="1134"/>
      <c r="C15" s="1134"/>
      <c r="D15" s="1134"/>
      <c r="E15" s="1134"/>
      <c r="F15" s="1134"/>
      <c r="G15" s="1134"/>
      <c r="H15" s="1134"/>
      <c r="I15" s="1134"/>
      <c r="J15" s="1134"/>
      <c r="K15" s="1134"/>
      <c r="L15" s="1134"/>
      <c r="M15" s="1134"/>
      <c r="N15" s="1134"/>
      <c r="O15" s="1135" t="s">
        <v>7226</v>
      </c>
      <c r="P15" s="1135"/>
      <c r="Q15" s="1135"/>
      <c r="R15" s="1135"/>
      <c r="S15" s="1135"/>
      <c r="T15" s="1135"/>
      <c r="U15" s="1135"/>
      <c r="V15" s="1135"/>
      <c r="W15" s="1135"/>
      <c r="X15" s="1135"/>
      <c r="Y15" s="1135"/>
      <c r="Z15" s="1135"/>
      <c r="AA15" s="1135"/>
      <c r="AB15" s="1135"/>
      <c r="AC15" s="1135"/>
      <c r="AD15" s="1135"/>
      <c r="AE15" s="1135"/>
      <c r="AF15" s="1135"/>
      <c r="AG15" s="716"/>
    </row>
    <row r="16" spans="1:45" ht="30" customHeight="1" x14ac:dyDescent="0.25">
      <c r="A16" s="1133" t="s">
        <v>7210</v>
      </c>
      <c r="B16" s="1133"/>
      <c r="C16" s="1133"/>
      <c r="D16" s="1133"/>
      <c r="E16" s="1133"/>
      <c r="F16" s="1133"/>
      <c r="G16" s="1133"/>
      <c r="H16" s="1133"/>
      <c r="I16" s="1133"/>
      <c r="J16" s="1133"/>
      <c r="K16" s="1133"/>
      <c r="L16" s="1133"/>
      <c r="M16" s="1133"/>
      <c r="N16" s="1133"/>
      <c r="O16" s="1133" t="s">
        <v>7211</v>
      </c>
      <c r="P16" s="1133"/>
      <c r="Q16" s="1133"/>
      <c r="R16" s="1133"/>
      <c r="S16" s="1133"/>
      <c r="T16" s="1133"/>
      <c r="U16" s="1133"/>
      <c r="V16" s="1133"/>
      <c r="W16" s="1133"/>
      <c r="X16" s="1133"/>
      <c r="Y16" s="1133"/>
      <c r="Z16" s="1133"/>
      <c r="AA16" s="1133"/>
      <c r="AB16" s="1133"/>
      <c r="AC16" s="1133"/>
      <c r="AD16" s="1133"/>
      <c r="AE16" s="1133"/>
      <c r="AF16" s="1133"/>
    </row>
    <row r="17" spans="1:32" ht="30" customHeight="1" x14ac:dyDescent="0.25">
      <c r="A17" s="1133" t="s">
        <v>4336</v>
      </c>
      <c r="B17" s="1133"/>
      <c r="C17" s="1133"/>
      <c r="D17" s="1133"/>
      <c r="E17" s="1133"/>
      <c r="F17" s="1133"/>
      <c r="G17" s="1133"/>
      <c r="H17" s="1133"/>
      <c r="I17" s="1133"/>
      <c r="J17" s="1133"/>
      <c r="K17" s="1133"/>
      <c r="L17" s="1133"/>
      <c r="M17" s="1133"/>
      <c r="N17" s="1133"/>
      <c r="O17" s="1133" t="s">
        <v>5796</v>
      </c>
      <c r="P17" s="1133"/>
      <c r="Q17" s="1133"/>
      <c r="R17" s="1133"/>
      <c r="S17" s="1133"/>
      <c r="T17" s="1133"/>
      <c r="U17" s="1133"/>
      <c r="V17" s="1133"/>
      <c r="W17" s="1133"/>
      <c r="X17" s="1133"/>
      <c r="Y17" s="1133"/>
      <c r="Z17" s="1133"/>
      <c r="AA17" s="1133"/>
      <c r="AB17" s="1133"/>
      <c r="AC17" s="1133"/>
      <c r="AD17" s="1133"/>
      <c r="AE17" s="1133"/>
      <c r="AF17" s="1133"/>
    </row>
    <row r="18" spans="1:32" ht="30" customHeight="1" x14ac:dyDescent="0.25">
      <c r="A18" s="1133" t="s">
        <v>1605</v>
      </c>
      <c r="B18" s="1133"/>
      <c r="C18" s="1133"/>
      <c r="D18" s="1133"/>
      <c r="E18" s="1133"/>
      <c r="F18" s="1133"/>
      <c r="G18" s="1133"/>
      <c r="H18" s="1133"/>
      <c r="I18" s="1133"/>
      <c r="J18" s="1133"/>
      <c r="K18" s="1133"/>
      <c r="L18" s="1133"/>
      <c r="M18" s="1133"/>
      <c r="N18" s="1133"/>
      <c r="O18" s="1133" t="s">
        <v>7212</v>
      </c>
      <c r="P18" s="1133"/>
      <c r="Q18" s="1133"/>
      <c r="R18" s="1133"/>
      <c r="S18" s="1133"/>
      <c r="T18" s="1133"/>
      <c r="U18" s="1133"/>
      <c r="V18" s="1133"/>
      <c r="W18" s="1133"/>
      <c r="X18" s="1133"/>
      <c r="Y18" s="1133"/>
      <c r="Z18" s="1133"/>
      <c r="AA18" s="1133"/>
      <c r="AB18" s="1133"/>
      <c r="AC18" s="1133"/>
      <c r="AD18" s="1133"/>
      <c r="AE18" s="1133"/>
      <c r="AF18" s="1133"/>
    </row>
    <row r="19" spans="1:32" ht="30" customHeight="1" x14ac:dyDescent="0.25">
      <c r="A19" s="1133" t="s">
        <v>1413</v>
      </c>
      <c r="B19" s="1133"/>
      <c r="C19" s="1133"/>
      <c r="D19" s="1133"/>
      <c r="E19" s="1133"/>
      <c r="F19" s="1133"/>
      <c r="G19" s="1133"/>
      <c r="H19" s="1133"/>
      <c r="I19" s="1133"/>
      <c r="J19" s="1133"/>
      <c r="K19" s="1133"/>
      <c r="L19" s="1133"/>
      <c r="M19" s="1133"/>
      <c r="N19" s="1133"/>
      <c r="O19" s="1133" t="s">
        <v>7213</v>
      </c>
      <c r="P19" s="1133"/>
      <c r="Q19" s="1133"/>
      <c r="R19" s="1133"/>
      <c r="S19" s="1133"/>
      <c r="T19" s="1133"/>
      <c r="U19" s="1133"/>
      <c r="V19" s="1133"/>
      <c r="W19" s="1133"/>
      <c r="X19" s="1133"/>
      <c r="Y19" s="1133"/>
      <c r="Z19" s="1133"/>
      <c r="AA19" s="1133"/>
      <c r="AB19" s="1133"/>
      <c r="AC19" s="1133"/>
      <c r="AD19" s="1133"/>
      <c r="AE19" s="1133"/>
      <c r="AF19" s="1133"/>
    </row>
    <row r="20" spans="1:32" ht="30" customHeight="1" x14ac:dyDescent="0.25">
      <c r="A20" s="1133" t="s">
        <v>7214</v>
      </c>
      <c r="B20" s="1133"/>
      <c r="C20" s="1133"/>
      <c r="D20" s="1133"/>
      <c r="E20" s="1133"/>
      <c r="F20" s="1133"/>
      <c r="G20" s="1133"/>
      <c r="H20" s="1133"/>
      <c r="I20" s="1133"/>
      <c r="J20" s="1133"/>
      <c r="K20" s="1133"/>
      <c r="L20" s="1133"/>
      <c r="M20" s="1133"/>
      <c r="N20" s="1133"/>
      <c r="O20" s="1133" t="s">
        <v>7215</v>
      </c>
      <c r="P20" s="1133"/>
      <c r="Q20" s="1133"/>
      <c r="R20" s="1133"/>
      <c r="S20" s="1133"/>
      <c r="T20" s="1133"/>
      <c r="U20" s="1133"/>
      <c r="V20" s="1133"/>
      <c r="W20" s="1133"/>
      <c r="X20" s="1133"/>
      <c r="Y20" s="1133"/>
      <c r="Z20" s="1133"/>
      <c r="AA20" s="1133"/>
      <c r="AB20" s="1133"/>
      <c r="AC20" s="1133"/>
      <c r="AD20" s="1133"/>
      <c r="AE20" s="1133"/>
      <c r="AF20" s="1133"/>
    </row>
    <row r="21" spans="1:32" ht="30" customHeight="1" x14ac:dyDescent="0.25">
      <c r="A21" s="1133" t="s">
        <v>7216</v>
      </c>
      <c r="B21" s="1133"/>
      <c r="C21" s="1133"/>
      <c r="D21" s="1133"/>
      <c r="E21" s="1133"/>
      <c r="F21" s="1133"/>
      <c r="G21" s="1133"/>
      <c r="H21" s="1133"/>
      <c r="I21" s="1133"/>
      <c r="J21" s="1133"/>
      <c r="K21" s="1133"/>
      <c r="L21" s="1133"/>
      <c r="M21" s="1133"/>
      <c r="N21" s="1133"/>
      <c r="O21" s="1133" t="s">
        <v>7225</v>
      </c>
      <c r="P21" s="1133"/>
      <c r="Q21" s="1133"/>
      <c r="R21" s="1133"/>
      <c r="S21" s="1133"/>
      <c r="T21" s="1133"/>
      <c r="U21" s="1133"/>
      <c r="V21" s="1133"/>
      <c r="W21" s="1133"/>
      <c r="X21" s="1133"/>
      <c r="Y21" s="1133"/>
      <c r="Z21" s="1133"/>
      <c r="AA21" s="1133"/>
      <c r="AB21" s="1133"/>
      <c r="AC21" s="1133"/>
      <c r="AD21" s="1133"/>
      <c r="AE21" s="1133"/>
      <c r="AF21" s="1133"/>
    </row>
    <row r="22" spans="1:32" ht="30" customHeight="1" x14ac:dyDescent="0.25">
      <c r="A22" s="1133" t="s">
        <v>5044</v>
      </c>
      <c r="B22" s="1133"/>
      <c r="C22" s="1133"/>
      <c r="D22" s="1133"/>
      <c r="E22" s="1133"/>
      <c r="F22" s="1133"/>
      <c r="G22" s="1133"/>
      <c r="H22" s="1133"/>
      <c r="I22" s="1133"/>
      <c r="J22" s="1133"/>
      <c r="K22" s="1133"/>
      <c r="L22" s="1133"/>
      <c r="M22" s="1133"/>
      <c r="N22" s="1133"/>
      <c r="O22" s="1133" t="s">
        <v>7218</v>
      </c>
      <c r="P22" s="1133"/>
      <c r="Q22" s="1133"/>
      <c r="R22" s="1133"/>
      <c r="S22" s="1133"/>
      <c r="T22" s="1133"/>
      <c r="U22" s="1133"/>
      <c r="V22" s="1133"/>
      <c r="W22" s="1133"/>
      <c r="X22" s="1133"/>
      <c r="Y22" s="1133"/>
      <c r="Z22" s="1133"/>
      <c r="AA22" s="1133"/>
      <c r="AB22" s="1133"/>
      <c r="AC22" s="1133"/>
      <c r="AD22" s="1133"/>
      <c r="AE22" s="1133"/>
      <c r="AF22" s="1133"/>
    </row>
    <row r="23" spans="1:32" ht="30" customHeight="1" x14ac:dyDescent="0.25">
      <c r="A23" s="1133" t="s">
        <v>7223</v>
      </c>
      <c r="B23" s="1133"/>
      <c r="C23" s="1133"/>
      <c r="D23" s="1133"/>
      <c r="E23" s="1133"/>
      <c r="F23" s="1133"/>
      <c r="G23" s="1133"/>
      <c r="H23" s="1133"/>
      <c r="I23" s="1133"/>
      <c r="J23" s="1133"/>
      <c r="K23" s="1133"/>
      <c r="L23" s="1133"/>
      <c r="M23" s="1133"/>
      <c r="N23" s="1133"/>
      <c r="O23" s="1133" t="s">
        <v>7224</v>
      </c>
      <c r="P23" s="1133"/>
      <c r="Q23" s="1133"/>
      <c r="R23" s="1133"/>
      <c r="S23" s="1133"/>
      <c r="T23" s="1133"/>
      <c r="U23" s="1133"/>
      <c r="V23" s="1133"/>
      <c r="W23" s="1133"/>
      <c r="X23" s="1133"/>
      <c r="Y23" s="1133"/>
      <c r="Z23" s="1133"/>
      <c r="AA23" s="1133"/>
      <c r="AB23" s="1133"/>
      <c r="AC23" s="1133"/>
      <c r="AD23" s="1133"/>
      <c r="AE23" s="1133"/>
      <c r="AF23" s="1133"/>
    </row>
    <row r="24" spans="1:32" ht="30" customHeight="1" x14ac:dyDescent="0.25">
      <c r="A24" s="1133" t="s">
        <v>1607</v>
      </c>
      <c r="B24" s="1133"/>
      <c r="C24" s="1133"/>
      <c r="D24" s="1133"/>
      <c r="E24" s="1133"/>
      <c r="F24" s="1133"/>
      <c r="G24" s="1133"/>
      <c r="H24" s="1133"/>
      <c r="I24" s="1133"/>
      <c r="J24" s="1133"/>
      <c r="K24" s="1133"/>
      <c r="L24" s="1133"/>
      <c r="M24" s="1133"/>
      <c r="N24" s="1133"/>
      <c r="O24" s="1133" t="s">
        <v>5796</v>
      </c>
      <c r="P24" s="1133"/>
      <c r="Q24" s="1133"/>
      <c r="R24" s="1133"/>
      <c r="S24" s="1133"/>
      <c r="T24" s="1133"/>
      <c r="U24" s="1133"/>
      <c r="V24" s="1133"/>
      <c r="W24" s="1133"/>
      <c r="X24" s="1133"/>
      <c r="Y24" s="1133"/>
      <c r="Z24" s="1133"/>
      <c r="AA24" s="1133"/>
      <c r="AB24" s="1133"/>
      <c r="AC24" s="1133"/>
      <c r="AD24" s="1133"/>
      <c r="AE24" s="1133"/>
      <c r="AF24" s="1133"/>
    </row>
    <row r="25" spans="1:32" ht="30" customHeight="1" x14ac:dyDescent="0.25">
      <c r="A25" s="1133" t="s">
        <v>3841</v>
      </c>
      <c r="B25" s="1133"/>
      <c r="C25" s="1133"/>
      <c r="D25" s="1133"/>
      <c r="E25" s="1133"/>
      <c r="F25" s="1133"/>
      <c r="G25" s="1133"/>
      <c r="H25" s="1133"/>
      <c r="I25" s="1133"/>
      <c r="J25" s="1133"/>
      <c r="K25" s="1133"/>
      <c r="L25" s="1133"/>
      <c r="M25" s="1133"/>
      <c r="N25" s="1133"/>
      <c r="O25" s="1133" t="s">
        <v>7220</v>
      </c>
      <c r="P25" s="1133"/>
      <c r="Q25" s="1133"/>
      <c r="R25" s="1133"/>
      <c r="S25" s="1133"/>
      <c r="T25" s="1133"/>
      <c r="U25" s="1133"/>
      <c r="V25" s="1133"/>
      <c r="W25" s="1133"/>
      <c r="X25" s="1133"/>
      <c r="Y25" s="1133"/>
      <c r="Z25" s="1133"/>
      <c r="AA25" s="1133"/>
      <c r="AB25" s="1133"/>
      <c r="AC25" s="1133"/>
      <c r="AD25" s="1133"/>
      <c r="AE25" s="1133"/>
      <c r="AF25" s="1133"/>
    </row>
    <row r="26" spans="1:32" ht="30" customHeight="1" x14ac:dyDescent="0.25">
      <c r="A26" s="1133" t="s">
        <v>1341</v>
      </c>
      <c r="B26" s="1133"/>
      <c r="C26" s="1133"/>
      <c r="D26" s="1133"/>
      <c r="E26" s="1133"/>
      <c r="F26" s="1133"/>
      <c r="G26" s="1133"/>
      <c r="H26" s="1133"/>
      <c r="I26" s="1133"/>
      <c r="J26" s="1133"/>
      <c r="K26" s="1133"/>
      <c r="L26" s="1133"/>
      <c r="M26" s="1133"/>
      <c r="N26" s="1133"/>
      <c r="O26" s="1133" t="s">
        <v>7219</v>
      </c>
      <c r="P26" s="1133"/>
      <c r="Q26" s="1133"/>
      <c r="R26" s="1133"/>
      <c r="S26" s="1133"/>
      <c r="T26" s="1133"/>
      <c r="U26" s="1133"/>
      <c r="V26" s="1133"/>
      <c r="W26" s="1133"/>
      <c r="X26" s="1133"/>
      <c r="Y26" s="1133"/>
      <c r="Z26" s="1133"/>
      <c r="AA26" s="1133"/>
      <c r="AB26" s="1133"/>
      <c r="AC26" s="1133"/>
      <c r="AD26" s="1133"/>
      <c r="AE26" s="1133"/>
      <c r="AF26" s="1133"/>
    </row>
    <row r="27" spans="1:32" ht="30" customHeight="1" x14ac:dyDescent="0.25">
      <c r="A27" s="1133" t="s">
        <v>3539</v>
      </c>
      <c r="B27" s="1133"/>
      <c r="C27" s="1133"/>
      <c r="D27" s="1133"/>
      <c r="E27" s="1133"/>
      <c r="F27" s="1133"/>
      <c r="G27" s="1133"/>
      <c r="H27" s="1133"/>
      <c r="I27" s="1133"/>
      <c r="J27" s="1133"/>
      <c r="K27" s="1133"/>
      <c r="L27" s="1133"/>
      <c r="M27" s="1133"/>
      <c r="N27" s="1133"/>
      <c r="O27" s="1133" t="s">
        <v>7221</v>
      </c>
      <c r="P27" s="1133"/>
      <c r="Q27" s="1133"/>
      <c r="R27" s="1133"/>
      <c r="S27" s="1133"/>
      <c r="T27" s="1133"/>
      <c r="U27" s="1133"/>
      <c r="V27" s="1133"/>
      <c r="W27" s="1133"/>
      <c r="X27" s="1133"/>
      <c r="Y27" s="1133"/>
      <c r="Z27" s="1133"/>
      <c r="AA27" s="1133"/>
      <c r="AB27" s="1133"/>
      <c r="AC27" s="1133"/>
      <c r="AD27" s="1133"/>
      <c r="AE27" s="1133"/>
      <c r="AF27" s="1133"/>
    </row>
    <row r="28" spans="1:32" ht="30" customHeight="1" x14ac:dyDescent="0.25">
      <c r="A28" s="1133" t="s">
        <v>1590</v>
      </c>
      <c r="B28" s="1133"/>
      <c r="C28" s="1133"/>
      <c r="D28" s="1133"/>
      <c r="E28" s="1133"/>
      <c r="F28" s="1133"/>
      <c r="G28" s="1133"/>
      <c r="H28" s="1133"/>
      <c r="I28" s="1133"/>
      <c r="J28" s="1133"/>
      <c r="K28" s="1133"/>
      <c r="L28" s="1133"/>
      <c r="M28" s="1133"/>
      <c r="N28" s="1133"/>
      <c r="O28" s="1133" t="s">
        <v>7222</v>
      </c>
      <c r="P28" s="1133"/>
      <c r="Q28" s="1133"/>
      <c r="R28" s="1133"/>
      <c r="S28" s="1133"/>
      <c r="T28" s="1133"/>
      <c r="U28" s="1133"/>
      <c r="V28" s="1133"/>
      <c r="W28" s="1133"/>
      <c r="X28" s="1133"/>
      <c r="Y28" s="1133"/>
      <c r="Z28" s="1133"/>
      <c r="AA28" s="1133"/>
      <c r="AB28" s="1133"/>
      <c r="AC28" s="1133"/>
      <c r="AD28" s="1133"/>
      <c r="AE28" s="1133"/>
      <c r="AF28" s="1133"/>
    </row>
    <row r="29" spans="1:32" ht="30" customHeight="1" x14ac:dyDescent="0.25">
      <c r="A29" s="1133" t="s">
        <v>1610</v>
      </c>
      <c r="B29" s="1133"/>
      <c r="C29" s="1133"/>
      <c r="D29" s="1133"/>
      <c r="E29" s="1133"/>
      <c r="F29" s="1133"/>
      <c r="G29" s="1133"/>
      <c r="H29" s="1133"/>
      <c r="I29" s="1133"/>
      <c r="J29" s="1133"/>
      <c r="K29" s="1133"/>
      <c r="L29" s="1133"/>
      <c r="M29" s="1133"/>
      <c r="N29" s="1133"/>
      <c r="O29" s="1133" t="s">
        <v>5796</v>
      </c>
      <c r="P29" s="1133"/>
      <c r="Q29" s="1133"/>
      <c r="R29" s="1133"/>
      <c r="S29" s="1133"/>
      <c r="T29" s="1133"/>
      <c r="U29" s="1133"/>
      <c r="V29" s="1133"/>
      <c r="W29" s="1133"/>
      <c r="X29" s="1133"/>
      <c r="Y29" s="1133"/>
      <c r="Z29" s="1133"/>
      <c r="AA29" s="1133"/>
      <c r="AB29" s="1133"/>
      <c r="AC29" s="1133"/>
      <c r="AD29" s="1133"/>
      <c r="AE29" s="1133"/>
      <c r="AF29" s="1133"/>
    </row>
    <row r="30" spans="1:32" ht="15" customHeight="1" x14ac:dyDescent="0.25">
      <c r="O30" s="272"/>
    </row>
    <row r="31" spans="1:32" ht="15" customHeight="1" x14ac:dyDescent="0.25">
      <c r="O31" s="272"/>
    </row>
    <row r="32" spans="1:32" ht="15" customHeight="1" x14ac:dyDescent="0.25">
      <c r="O32" s="272"/>
    </row>
    <row r="33" spans="15:15" ht="15" customHeight="1" x14ac:dyDescent="0.25">
      <c r="O33" s="272"/>
    </row>
    <row r="34" spans="15:15" ht="15" customHeight="1" x14ac:dyDescent="0.25">
      <c r="O34" s="272"/>
    </row>
    <row r="35" spans="15:15" ht="15" customHeight="1" x14ac:dyDescent="0.25">
      <c r="O35" s="272"/>
    </row>
  </sheetData>
  <sheetProtection algorithmName="SHA-512" hashValue="P2qxSS9JKgxLejrLtuhsajxxH91ZP7hfA0DdqlxZoFglIaHSA8g2VPLWP4V0BsH4bV5FpjxxFU3aOdSwZibEgQ==" saltValue="Yy0JrjGR9bLRlzx8n5eY8Q==" spinCount="100000" sheet="1" objects="1" scenarios="1"/>
  <mergeCells count="53">
    <mergeCell ref="A29:N29"/>
    <mergeCell ref="O29:AF29"/>
    <mergeCell ref="A26:N26"/>
    <mergeCell ref="O26:AF26"/>
    <mergeCell ref="A27:N27"/>
    <mergeCell ref="O27:AF27"/>
    <mergeCell ref="A28:N28"/>
    <mergeCell ref="O28:AF28"/>
    <mergeCell ref="A24:N24"/>
    <mergeCell ref="O24:AF24"/>
    <mergeCell ref="A25:N25"/>
    <mergeCell ref="O25:AF25"/>
    <mergeCell ref="A21:N21"/>
    <mergeCell ref="O21:AF21"/>
    <mergeCell ref="A23:N23"/>
    <mergeCell ref="O23:AF23"/>
    <mergeCell ref="A16:N16"/>
    <mergeCell ref="O16:AF16"/>
    <mergeCell ref="A22:N22"/>
    <mergeCell ref="O22:AF22"/>
    <mergeCell ref="A20:N20"/>
    <mergeCell ref="O20:AF20"/>
    <mergeCell ref="A18:N18"/>
    <mergeCell ref="O18:AF18"/>
    <mergeCell ref="A19:N19"/>
    <mergeCell ref="O19:AF19"/>
    <mergeCell ref="A17:N17"/>
    <mergeCell ref="O17:AF17"/>
    <mergeCell ref="A9:N9"/>
    <mergeCell ref="O9:AF9"/>
    <mergeCell ref="O11:AF11"/>
    <mergeCell ref="A12:N12"/>
    <mergeCell ref="O12:AF12"/>
    <mergeCell ref="A11:N11"/>
    <mergeCell ref="A1:AF1"/>
    <mergeCell ref="O4:AF4"/>
    <mergeCell ref="A6:N6"/>
    <mergeCell ref="O6:AF6"/>
    <mergeCell ref="A4:N4"/>
    <mergeCell ref="A7:N7"/>
    <mergeCell ref="O7:AF7"/>
    <mergeCell ref="A8:N8"/>
    <mergeCell ref="O8:AF8"/>
    <mergeCell ref="A5:N5"/>
    <mergeCell ref="O5:AF5"/>
    <mergeCell ref="A14:N14"/>
    <mergeCell ref="O14:AF14"/>
    <mergeCell ref="A15:N15"/>
    <mergeCell ref="O15:AF15"/>
    <mergeCell ref="A10:N10"/>
    <mergeCell ref="O10:AF10"/>
    <mergeCell ref="A13:N13"/>
    <mergeCell ref="O13:AF13"/>
  </mergeCells>
  <hyperlinks>
    <hyperlink ref="A2" location="TOC!A1" display="Return to TOC" xr:uid="{00000000-0004-0000-0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autoPageBreaks="0"/>
  </sheetPr>
  <dimension ref="A1:AF341"/>
  <sheetViews>
    <sheetView workbookViewId="0">
      <selection sqref="A1:H1"/>
    </sheetView>
  </sheetViews>
  <sheetFormatPr defaultColWidth="8.85546875" defaultRowHeight="12.75" x14ac:dyDescent="0.2"/>
  <cols>
    <col min="1" max="1" width="11.140625" style="341" customWidth="1"/>
    <col min="2" max="2" width="8.7109375" style="341" customWidth="1"/>
    <col min="3" max="3" width="11.140625" style="341" customWidth="1"/>
    <col min="4" max="4" width="8.28515625" style="341" customWidth="1"/>
    <col min="5" max="5" width="11.140625" style="341" customWidth="1"/>
    <col min="6" max="6" width="12.85546875" style="341" bestFit="1" customWidth="1"/>
    <col min="7" max="7" width="8.7109375" style="341" bestFit="1" customWidth="1"/>
    <col min="8" max="8" width="14.5703125" style="341" bestFit="1" customWidth="1"/>
    <col min="9" max="16384" width="8.85546875" style="341"/>
  </cols>
  <sheetData>
    <row r="1" spans="1:32" s="1" customFormat="1" ht="18.75" x14ac:dyDescent="0.25">
      <c r="A1" s="1389" t="s">
        <v>2751</v>
      </c>
      <c r="B1" s="1389"/>
      <c r="C1" s="1389"/>
      <c r="D1" s="1389"/>
      <c r="E1" s="1389"/>
      <c r="F1" s="1389"/>
      <c r="G1" s="1389"/>
      <c r="H1" s="1389"/>
      <c r="I1" s="329"/>
      <c r="J1" s="329"/>
      <c r="K1" s="329"/>
      <c r="L1" s="329"/>
      <c r="M1" s="329"/>
      <c r="N1" s="329"/>
      <c r="O1" s="329"/>
      <c r="P1" s="329"/>
      <c r="Q1" s="329"/>
      <c r="R1" s="329"/>
      <c r="S1" s="329"/>
      <c r="T1" s="329"/>
      <c r="U1" s="329"/>
      <c r="V1" s="329"/>
      <c r="W1" s="329"/>
      <c r="X1" s="329"/>
      <c r="Y1" s="329"/>
      <c r="Z1" s="329"/>
      <c r="AA1" s="329"/>
      <c r="AB1" s="329"/>
      <c r="AC1" s="329"/>
      <c r="AD1" s="329"/>
      <c r="AE1" s="329"/>
      <c r="AF1" s="329"/>
    </row>
    <row r="2" spans="1:32" s="1" customFormat="1"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s="1" customFormat="1" ht="14.45" customHeight="1" x14ac:dyDescent="0.25">
      <c r="A3" s="376"/>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row>
    <row r="4" spans="1:32" s="1" customFormat="1" ht="62.25" customHeight="1" x14ac:dyDescent="0.25">
      <c r="A4" s="1704" t="s">
        <v>3114</v>
      </c>
      <c r="B4" s="1704"/>
      <c r="C4" s="1704"/>
      <c r="D4" s="1704"/>
      <c r="E4" s="1704"/>
      <c r="F4" s="1704"/>
      <c r="G4" s="1704"/>
      <c r="H4" s="1704"/>
      <c r="I4" s="284"/>
      <c r="J4" s="284"/>
      <c r="K4" s="284"/>
      <c r="L4" s="284"/>
      <c r="M4" s="284"/>
      <c r="N4" s="284"/>
      <c r="O4" s="284"/>
      <c r="P4" s="284"/>
      <c r="Q4" s="284"/>
      <c r="R4" s="284"/>
      <c r="S4" s="284"/>
      <c r="T4" s="284"/>
      <c r="U4" s="284"/>
      <c r="V4" s="284"/>
      <c r="W4" s="284"/>
      <c r="X4" s="284"/>
      <c r="Y4" s="284"/>
      <c r="Z4" s="284"/>
      <c r="AA4" s="284"/>
      <c r="AB4" s="284"/>
      <c r="AC4" s="284"/>
      <c r="AD4" s="284"/>
      <c r="AE4" s="284"/>
      <c r="AF4" s="284"/>
    </row>
    <row r="5" spans="1:32" s="1" customFormat="1" ht="14.45" customHeight="1" x14ac:dyDescent="0.25">
      <c r="A5" s="376"/>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row>
    <row r="6" spans="1:32" ht="18" x14ac:dyDescent="0.25">
      <c r="A6" s="340" t="s">
        <v>1531</v>
      </c>
    </row>
    <row r="7" spans="1:32" ht="15" x14ac:dyDescent="0.2">
      <c r="A7" s="342" t="s">
        <v>1532</v>
      </c>
    </row>
    <row r="8" spans="1:32" ht="16.5" x14ac:dyDescent="0.25">
      <c r="A8" s="343"/>
    </row>
    <row r="9" spans="1:32" x14ac:dyDescent="0.2">
      <c r="A9" s="344" t="s">
        <v>1533</v>
      </c>
    </row>
    <row r="10" spans="1:32" x14ac:dyDescent="0.2">
      <c r="A10" s="344" t="s">
        <v>1534</v>
      </c>
    </row>
    <row r="11" spans="1:32" x14ac:dyDescent="0.2">
      <c r="A11" s="344" t="s">
        <v>1535</v>
      </c>
    </row>
    <row r="12" spans="1:32" x14ac:dyDescent="0.2">
      <c r="A12" s="344" t="s">
        <v>1536</v>
      </c>
    </row>
    <row r="13" spans="1:32" x14ac:dyDescent="0.2">
      <c r="A13" s="344" t="s">
        <v>1537</v>
      </c>
    </row>
    <row r="15" spans="1:32" x14ac:dyDescent="0.2">
      <c r="A15" s="345" t="s">
        <v>1531</v>
      </c>
    </row>
    <row r="16" spans="1:32" x14ac:dyDescent="0.2">
      <c r="A16" s="346" t="s">
        <v>1538</v>
      </c>
    </row>
    <row r="18" spans="1:8" s="348" customFormat="1" x14ac:dyDescent="0.2">
      <c r="A18" s="347" t="s">
        <v>1539</v>
      </c>
      <c r="B18" s="347" t="s">
        <v>1540</v>
      </c>
      <c r="C18" s="347" t="s">
        <v>1541</v>
      </c>
      <c r="D18" s="347" t="s">
        <v>1542</v>
      </c>
      <c r="E18" s="347" t="s">
        <v>1543</v>
      </c>
      <c r="F18" s="347" t="s">
        <v>1544</v>
      </c>
      <c r="G18" s="347" t="s">
        <v>1545</v>
      </c>
      <c r="H18" s="347" t="s">
        <v>1546</v>
      </c>
    </row>
    <row r="19" spans="1:8" x14ac:dyDescent="0.2">
      <c r="A19" s="349" t="s">
        <v>1480</v>
      </c>
      <c r="B19" s="350">
        <v>3600</v>
      </c>
      <c r="C19" s="350">
        <v>1</v>
      </c>
      <c r="D19" s="350">
        <v>460</v>
      </c>
      <c r="E19" s="351"/>
      <c r="F19" s="351"/>
      <c r="G19" s="351"/>
      <c r="H19" s="352">
        <v>77</v>
      </c>
    </row>
    <row r="20" spans="1:8" x14ac:dyDescent="0.2">
      <c r="A20" s="349" t="s">
        <v>1480</v>
      </c>
      <c r="B20" s="350">
        <v>3600</v>
      </c>
      <c r="C20" s="352">
        <v>1.5</v>
      </c>
      <c r="D20" s="350">
        <v>460</v>
      </c>
      <c r="E20" s="352">
        <v>80</v>
      </c>
      <c r="F20" s="352">
        <v>82.5</v>
      </c>
      <c r="G20" s="351"/>
      <c r="H20" s="352">
        <v>84</v>
      </c>
    </row>
    <row r="21" spans="1:8" x14ac:dyDescent="0.2">
      <c r="A21" s="349" t="s">
        <v>1480</v>
      </c>
      <c r="B21" s="350">
        <v>3600</v>
      </c>
      <c r="C21" s="350">
        <v>2</v>
      </c>
      <c r="D21" s="350">
        <v>460</v>
      </c>
      <c r="E21" s="352">
        <v>82.5</v>
      </c>
      <c r="F21" s="352">
        <v>84</v>
      </c>
      <c r="G21" s="351"/>
      <c r="H21" s="352">
        <v>85.5</v>
      </c>
    </row>
    <row r="22" spans="1:8" x14ac:dyDescent="0.2">
      <c r="A22" s="349" t="s">
        <v>1480</v>
      </c>
      <c r="B22" s="350">
        <v>3600</v>
      </c>
      <c r="C22" s="350">
        <v>3</v>
      </c>
      <c r="D22" s="350">
        <v>460</v>
      </c>
      <c r="E22" s="352">
        <v>82.5</v>
      </c>
      <c r="F22" s="352">
        <v>84</v>
      </c>
      <c r="G22" s="351"/>
      <c r="H22" s="352">
        <v>85.5</v>
      </c>
    </row>
    <row r="23" spans="1:8" x14ac:dyDescent="0.2">
      <c r="A23" s="349" t="s">
        <v>1480</v>
      </c>
      <c r="B23" s="350">
        <v>3600</v>
      </c>
      <c r="C23" s="350">
        <v>5</v>
      </c>
      <c r="D23" s="350">
        <v>460</v>
      </c>
      <c r="E23" s="352">
        <v>85.5</v>
      </c>
      <c r="F23" s="352">
        <v>85.5</v>
      </c>
      <c r="G23" s="351"/>
      <c r="H23" s="352">
        <v>86.5</v>
      </c>
    </row>
    <row r="24" spans="1:8" x14ac:dyDescent="0.2">
      <c r="A24" s="349" t="s">
        <v>1480</v>
      </c>
      <c r="B24" s="350">
        <v>3600</v>
      </c>
      <c r="C24" s="352">
        <v>7.5</v>
      </c>
      <c r="D24" s="350">
        <v>460</v>
      </c>
      <c r="E24" s="352">
        <v>85.5</v>
      </c>
      <c r="F24" s="352">
        <v>87.5</v>
      </c>
      <c r="G24" s="351"/>
      <c r="H24" s="352">
        <v>88.5</v>
      </c>
    </row>
    <row r="25" spans="1:8" x14ac:dyDescent="0.2">
      <c r="A25" s="349" t="s">
        <v>1480</v>
      </c>
      <c r="B25" s="350">
        <v>3600</v>
      </c>
      <c r="C25" s="350">
        <v>10</v>
      </c>
      <c r="D25" s="350">
        <v>460</v>
      </c>
      <c r="E25" s="352">
        <v>87.5</v>
      </c>
      <c r="F25" s="352">
        <v>88.5</v>
      </c>
      <c r="G25" s="351"/>
      <c r="H25" s="352">
        <v>89.5</v>
      </c>
    </row>
    <row r="26" spans="1:8" x14ac:dyDescent="0.2">
      <c r="A26" s="349" t="s">
        <v>1480</v>
      </c>
      <c r="B26" s="350">
        <v>3600</v>
      </c>
      <c r="C26" s="350">
        <v>15</v>
      </c>
      <c r="D26" s="350">
        <v>460</v>
      </c>
      <c r="E26" s="352">
        <v>89.5</v>
      </c>
      <c r="F26" s="352">
        <v>89.5</v>
      </c>
      <c r="G26" s="351"/>
      <c r="H26" s="352">
        <v>90.2</v>
      </c>
    </row>
    <row r="27" spans="1:8" x14ac:dyDescent="0.2">
      <c r="A27" s="349" t="s">
        <v>1480</v>
      </c>
      <c r="B27" s="350">
        <v>3600</v>
      </c>
      <c r="C27" s="350">
        <v>20</v>
      </c>
      <c r="D27" s="350">
        <v>460</v>
      </c>
      <c r="E27" s="352">
        <v>90.2</v>
      </c>
      <c r="F27" s="352">
        <v>90.2</v>
      </c>
      <c r="G27" s="351"/>
      <c r="H27" s="352">
        <v>91</v>
      </c>
    </row>
    <row r="28" spans="1:8" x14ac:dyDescent="0.2">
      <c r="A28" s="349" t="s">
        <v>1480</v>
      </c>
      <c r="B28" s="350">
        <v>3600</v>
      </c>
      <c r="C28" s="350">
        <v>25</v>
      </c>
      <c r="D28" s="350">
        <v>460</v>
      </c>
      <c r="E28" s="352">
        <v>91</v>
      </c>
      <c r="F28" s="352">
        <v>91</v>
      </c>
      <c r="G28" s="351"/>
      <c r="H28" s="352">
        <v>91.7</v>
      </c>
    </row>
    <row r="29" spans="1:8" x14ac:dyDescent="0.2">
      <c r="A29" s="349" t="s">
        <v>1480</v>
      </c>
      <c r="B29" s="350">
        <v>3600</v>
      </c>
      <c r="C29" s="350">
        <v>30</v>
      </c>
      <c r="D29" s="350">
        <v>460</v>
      </c>
      <c r="E29" s="352">
        <v>91</v>
      </c>
      <c r="F29" s="352">
        <v>91</v>
      </c>
      <c r="G29" s="351"/>
      <c r="H29" s="352">
        <v>91.7</v>
      </c>
    </row>
    <row r="30" spans="1:8" x14ac:dyDescent="0.2">
      <c r="A30" s="349" t="s">
        <v>1480</v>
      </c>
      <c r="B30" s="350">
        <v>3600</v>
      </c>
      <c r="C30" s="350">
        <v>40</v>
      </c>
      <c r="D30" s="350">
        <v>460</v>
      </c>
      <c r="E30" s="352">
        <v>91.7</v>
      </c>
      <c r="F30" s="352">
        <v>91.7</v>
      </c>
      <c r="G30" s="351"/>
      <c r="H30" s="352">
        <v>92.4</v>
      </c>
    </row>
    <row r="31" spans="1:8" x14ac:dyDescent="0.2">
      <c r="A31" s="349" t="s">
        <v>1480</v>
      </c>
      <c r="B31" s="350">
        <v>3600</v>
      </c>
      <c r="C31" s="350">
        <v>50</v>
      </c>
      <c r="D31" s="350">
        <v>460</v>
      </c>
      <c r="E31" s="352">
        <v>91.7</v>
      </c>
      <c r="F31" s="352">
        <v>92.4</v>
      </c>
      <c r="G31" s="351"/>
      <c r="H31" s="352">
        <v>93</v>
      </c>
    </row>
    <row r="32" spans="1:8" x14ac:dyDescent="0.2">
      <c r="A32" s="349" t="s">
        <v>1480</v>
      </c>
      <c r="B32" s="350">
        <v>3600</v>
      </c>
      <c r="C32" s="350">
        <v>60</v>
      </c>
      <c r="D32" s="350">
        <v>460</v>
      </c>
      <c r="E32" s="352">
        <v>93</v>
      </c>
      <c r="F32" s="352">
        <v>93</v>
      </c>
      <c r="G32" s="351"/>
      <c r="H32" s="352">
        <v>93.6</v>
      </c>
    </row>
    <row r="33" spans="1:8" x14ac:dyDescent="0.2">
      <c r="A33" s="349" t="s">
        <v>1480</v>
      </c>
      <c r="B33" s="350">
        <v>3600</v>
      </c>
      <c r="C33" s="350">
        <v>75</v>
      </c>
      <c r="D33" s="350">
        <v>460</v>
      </c>
      <c r="E33" s="352">
        <v>93</v>
      </c>
      <c r="F33" s="352">
        <v>93</v>
      </c>
      <c r="G33" s="351"/>
      <c r="H33" s="352">
        <v>93.6</v>
      </c>
    </row>
    <row r="34" spans="1:8" x14ac:dyDescent="0.2">
      <c r="A34" s="349" t="s">
        <v>1480</v>
      </c>
      <c r="B34" s="350">
        <v>3600</v>
      </c>
      <c r="C34" s="350">
        <v>100</v>
      </c>
      <c r="D34" s="350">
        <v>460</v>
      </c>
      <c r="E34" s="352">
        <v>93</v>
      </c>
      <c r="F34" s="352">
        <v>93</v>
      </c>
      <c r="G34" s="351"/>
      <c r="H34" s="352">
        <v>93.6</v>
      </c>
    </row>
    <row r="35" spans="1:8" x14ac:dyDescent="0.2">
      <c r="A35" s="349" t="s">
        <v>1480</v>
      </c>
      <c r="B35" s="350">
        <v>3600</v>
      </c>
      <c r="C35" s="350">
        <v>125</v>
      </c>
      <c r="D35" s="350">
        <v>460</v>
      </c>
      <c r="E35" s="352">
        <v>93</v>
      </c>
      <c r="F35" s="352">
        <v>93.6</v>
      </c>
      <c r="G35" s="351"/>
      <c r="H35" s="352">
        <v>94.1</v>
      </c>
    </row>
    <row r="36" spans="1:8" x14ac:dyDescent="0.2">
      <c r="A36" s="349" t="s">
        <v>1480</v>
      </c>
      <c r="B36" s="350">
        <v>3600</v>
      </c>
      <c r="C36" s="350">
        <v>150</v>
      </c>
      <c r="D36" s="350">
        <v>460</v>
      </c>
      <c r="E36" s="352">
        <v>93.6</v>
      </c>
      <c r="F36" s="352">
        <v>93.6</v>
      </c>
      <c r="G36" s="351"/>
      <c r="H36" s="352">
        <v>94.1</v>
      </c>
    </row>
    <row r="37" spans="1:8" x14ac:dyDescent="0.2">
      <c r="A37" s="349" t="s">
        <v>1480</v>
      </c>
      <c r="B37" s="350">
        <v>3600</v>
      </c>
      <c r="C37" s="350">
        <v>200</v>
      </c>
      <c r="D37" s="350">
        <v>460</v>
      </c>
      <c r="E37" s="352">
        <v>93.6</v>
      </c>
      <c r="F37" s="352">
        <v>94.5</v>
      </c>
      <c r="G37" s="351"/>
      <c r="H37" s="352">
        <v>95</v>
      </c>
    </row>
    <row r="38" spans="1:8" x14ac:dyDescent="0.2">
      <c r="A38" s="349" t="s">
        <v>1480</v>
      </c>
      <c r="B38" s="350">
        <v>3600</v>
      </c>
      <c r="C38" s="350">
        <v>250</v>
      </c>
      <c r="D38" s="350">
        <v>460</v>
      </c>
      <c r="E38" s="351"/>
      <c r="F38" s="352">
        <v>94.5</v>
      </c>
      <c r="G38" s="351"/>
      <c r="H38" s="352">
        <v>95</v>
      </c>
    </row>
    <row r="39" spans="1:8" x14ac:dyDescent="0.2">
      <c r="A39" s="349" t="s">
        <v>1480</v>
      </c>
      <c r="B39" s="350">
        <v>3600</v>
      </c>
      <c r="C39" s="350">
        <v>300</v>
      </c>
      <c r="D39" s="350">
        <v>460</v>
      </c>
      <c r="E39" s="351"/>
      <c r="F39" s="352">
        <v>95</v>
      </c>
      <c r="G39" s="351"/>
      <c r="H39" s="352">
        <v>95.4</v>
      </c>
    </row>
    <row r="40" spans="1:8" x14ac:dyDescent="0.2">
      <c r="A40" s="349" t="s">
        <v>1480</v>
      </c>
      <c r="B40" s="350">
        <v>3600</v>
      </c>
      <c r="C40" s="350">
        <v>350</v>
      </c>
      <c r="D40" s="350">
        <v>460</v>
      </c>
      <c r="E40" s="351"/>
      <c r="F40" s="352">
        <v>95</v>
      </c>
      <c r="G40" s="351"/>
      <c r="H40" s="352">
        <v>95.4</v>
      </c>
    </row>
    <row r="41" spans="1:8" x14ac:dyDescent="0.2">
      <c r="A41" s="349" t="s">
        <v>1480</v>
      </c>
      <c r="B41" s="350">
        <v>3600</v>
      </c>
      <c r="C41" s="350">
        <v>400</v>
      </c>
      <c r="D41" s="350">
        <v>460</v>
      </c>
      <c r="E41" s="351"/>
      <c r="F41" s="352">
        <v>95.4</v>
      </c>
      <c r="G41" s="351"/>
      <c r="H41" s="352">
        <v>95.8</v>
      </c>
    </row>
    <row r="42" spans="1:8" x14ac:dyDescent="0.2">
      <c r="A42" s="349" t="s">
        <v>1480</v>
      </c>
      <c r="B42" s="350">
        <v>3600</v>
      </c>
      <c r="C42" s="350">
        <v>450</v>
      </c>
      <c r="D42" s="350">
        <v>460</v>
      </c>
      <c r="E42" s="351"/>
      <c r="F42" s="352">
        <v>95.8</v>
      </c>
      <c r="G42" s="351"/>
      <c r="H42" s="352">
        <v>95.8</v>
      </c>
    </row>
    <row r="43" spans="1:8" x14ac:dyDescent="0.2">
      <c r="A43" s="349" t="s">
        <v>1480</v>
      </c>
      <c r="B43" s="350">
        <v>3600</v>
      </c>
      <c r="C43" s="350">
        <v>500</v>
      </c>
      <c r="D43" s="350">
        <v>460</v>
      </c>
      <c r="E43" s="351"/>
      <c r="F43" s="352">
        <v>95.8</v>
      </c>
      <c r="G43" s="351"/>
      <c r="H43" s="352">
        <v>95.8</v>
      </c>
    </row>
    <row r="44" spans="1:8" x14ac:dyDescent="0.2">
      <c r="A44" s="349" t="s">
        <v>1480</v>
      </c>
      <c r="B44" s="350">
        <v>1800</v>
      </c>
      <c r="C44" s="350">
        <v>1</v>
      </c>
      <c r="D44" s="350">
        <v>460</v>
      </c>
      <c r="E44" s="352">
        <v>82.5</v>
      </c>
      <c r="F44" s="352">
        <v>82.5</v>
      </c>
      <c r="G44" s="351"/>
      <c r="H44" s="352">
        <v>85.5</v>
      </c>
    </row>
    <row r="45" spans="1:8" x14ac:dyDescent="0.2">
      <c r="A45" s="349" t="s">
        <v>1480</v>
      </c>
      <c r="B45" s="350">
        <v>1800</v>
      </c>
      <c r="C45" s="352">
        <v>1.5</v>
      </c>
      <c r="D45" s="350">
        <v>460</v>
      </c>
      <c r="E45" s="352">
        <v>82.5</v>
      </c>
      <c r="F45" s="352">
        <v>84</v>
      </c>
      <c r="G45" s="351"/>
      <c r="H45" s="352">
        <v>86.5</v>
      </c>
    </row>
    <row r="46" spans="1:8" x14ac:dyDescent="0.2">
      <c r="A46" s="349" t="s">
        <v>1480</v>
      </c>
      <c r="B46" s="350">
        <v>1800</v>
      </c>
      <c r="C46" s="350">
        <v>2</v>
      </c>
      <c r="D46" s="350">
        <v>460</v>
      </c>
      <c r="E46" s="352">
        <v>82.5</v>
      </c>
      <c r="F46" s="352">
        <v>84</v>
      </c>
      <c r="G46" s="351"/>
      <c r="H46" s="352">
        <v>86.5</v>
      </c>
    </row>
    <row r="47" spans="1:8" x14ac:dyDescent="0.2">
      <c r="A47" s="349" t="s">
        <v>1480</v>
      </c>
      <c r="B47" s="350">
        <v>1800</v>
      </c>
      <c r="C47" s="350">
        <v>3</v>
      </c>
      <c r="D47" s="350">
        <v>460</v>
      </c>
      <c r="E47" s="352">
        <v>86.5</v>
      </c>
      <c r="F47" s="352">
        <v>86.5</v>
      </c>
      <c r="G47" s="351"/>
      <c r="H47" s="352">
        <v>89.5</v>
      </c>
    </row>
    <row r="48" spans="1:8" x14ac:dyDescent="0.2">
      <c r="A48" s="349" t="s">
        <v>1480</v>
      </c>
      <c r="B48" s="350">
        <v>1800</v>
      </c>
      <c r="C48" s="350">
        <v>5</v>
      </c>
      <c r="D48" s="350">
        <v>460</v>
      </c>
      <c r="E48" s="352">
        <v>86.5</v>
      </c>
      <c r="F48" s="352">
        <v>87.5</v>
      </c>
      <c r="G48" s="351"/>
      <c r="H48" s="352">
        <v>89.5</v>
      </c>
    </row>
    <row r="49" spans="1:8" x14ac:dyDescent="0.2">
      <c r="A49" s="349" t="s">
        <v>1480</v>
      </c>
      <c r="B49" s="350">
        <v>1800</v>
      </c>
      <c r="C49" s="352">
        <v>7.5</v>
      </c>
      <c r="D49" s="350">
        <v>460</v>
      </c>
      <c r="E49" s="352">
        <v>88.5</v>
      </c>
      <c r="F49" s="352">
        <v>88.5</v>
      </c>
      <c r="G49" s="351"/>
      <c r="H49" s="352">
        <v>91</v>
      </c>
    </row>
    <row r="50" spans="1:8" x14ac:dyDescent="0.2">
      <c r="A50" s="349" t="s">
        <v>1480</v>
      </c>
      <c r="B50" s="350">
        <v>1800</v>
      </c>
      <c r="C50" s="350">
        <v>10</v>
      </c>
      <c r="D50" s="350">
        <v>460</v>
      </c>
      <c r="E50" s="352">
        <v>88.5</v>
      </c>
      <c r="F50" s="352">
        <v>89.5</v>
      </c>
      <c r="G50" s="351"/>
      <c r="H50" s="352">
        <v>91.7</v>
      </c>
    </row>
    <row r="51" spans="1:8" x14ac:dyDescent="0.2">
      <c r="A51" s="349" t="s">
        <v>1480</v>
      </c>
      <c r="B51" s="350">
        <v>1800</v>
      </c>
      <c r="C51" s="350">
        <v>15</v>
      </c>
      <c r="D51" s="350">
        <v>460</v>
      </c>
      <c r="E51" s="352">
        <v>90.2</v>
      </c>
      <c r="F51" s="352">
        <v>91</v>
      </c>
      <c r="G51" s="351"/>
      <c r="H51" s="352">
        <v>93</v>
      </c>
    </row>
    <row r="52" spans="1:8" x14ac:dyDescent="0.2">
      <c r="A52" s="349" t="s">
        <v>1480</v>
      </c>
      <c r="B52" s="350">
        <v>1800</v>
      </c>
      <c r="C52" s="350">
        <v>20</v>
      </c>
      <c r="D52" s="350">
        <v>460</v>
      </c>
      <c r="E52" s="352">
        <v>91</v>
      </c>
      <c r="F52" s="352">
        <v>91</v>
      </c>
      <c r="G52" s="351"/>
      <c r="H52" s="352">
        <v>93</v>
      </c>
    </row>
    <row r="54" spans="1:8" x14ac:dyDescent="0.2">
      <c r="A54" s="346" t="s">
        <v>1547</v>
      </c>
    </row>
    <row r="56" spans="1:8" x14ac:dyDescent="0.2">
      <c r="A56" s="345" t="s">
        <v>1531</v>
      </c>
    </row>
    <row r="57" spans="1:8" x14ac:dyDescent="0.2">
      <c r="A57" s="346" t="s">
        <v>1538</v>
      </c>
    </row>
    <row r="59" spans="1:8" s="348" customFormat="1" x14ac:dyDescent="0.2">
      <c r="A59" s="347" t="s">
        <v>1539</v>
      </c>
      <c r="B59" s="347" t="s">
        <v>1540</v>
      </c>
      <c r="C59" s="347" t="s">
        <v>1541</v>
      </c>
      <c r="D59" s="347" t="s">
        <v>1542</v>
      </c>
      <c r="E59" s="347" t="s">
        <v>1543</v>
      </c>
      <c r="F59" s="347" t="s">
        <v>1544</v>
      </c>
      <c r="G59" s="347" t="s">
        <v>1545</v>
      </c>
      <c r="H59" s="347" t="s">
        <v>1546</v>
      </c>
    </row>
    <row r="60" spans="1:8" x14ac:dyDescent="0.2">
      <c r="A60" s="349" t="s">
        <v>1480</v>
      </c>
      <c r="B60" s="350">
        <v>1800</v>
      </c>
      <c r="C60" s="350">
        <v>15</v>
      </c>
      <c r="D60" s="350">
        <v>460</v>
      </c>
      <c r="E60" s="352">
        <v>90.2</v>
      </c>
      <c r="F60" s="352">
        <v>91</v>
      </c>
      <c r="G60" s="351"/>
      <c r="H60" s="352">
        <v>93</v>
      </c>
    </row>
    <row r="61" spans="1:8" x14ac:dyDescent="0.2">
      <c r="A61" s="349" t="s">
        <v>1480</v>
      </c>
      <c r="B61" s="350">
        <v>1800</v>
      </c>
      <c r="C61" s="350">
        <v>20</v>
      </c>
      <c r="D61" s="350">
        <v>460</v>
      </c>
      <c r="E61" s="352">
        <v>91</v>
      </c>
      <c r="F61" s="352">
        <v>91</v>
      </c>
      <c r="G61" s="351"/>
      <c r="H61" s="352">
        <v>93</v>
      </c>
    </row>
    <row r="62" spans="1:8" x14ac:dyDescent="0.2">
      <c r="A62" s="349" t="s">
        <v>1480</v>
      </c>
      <c r="B62" s="350">
        <v>1800</v>
      </c>
      <c r="C62" s="350">
        <v>25</v>
      </c>
      <c r="D62" s="350">
        <v>460</v>
      </c>
      <c r="E62" s="352">
        <v>91.7</v>
      </c>
      <c r="F62" s="352">
        <v>91.7</v>
      </c>
      <c r="G62" s="351"/>
      <c r="H62" s="352">
        <v>93.6</v>
      </c>
    </row>
    <row r="63" spans="1:8" x14ac:dyDescent="0.2">
      <c r="A63" s="349" t="s">
        <v>1480</v>
      </c>
      <c r="B63" s="350">
        <v>1800</v>
      </c>
      <c r="C63" s="350">
        <v>30</v>
      </c>
      <c r="D63" s="350">
        <v>460</v>
      </c>
      <c r="E63" s="352">
        <v>91.7</v>
      </c>
      <c r="F63" s="352">
        <v>92.4</v>
      </c>
      <c r="G63" s="351"/>
      <c r="H63" s="352">
        <v>94.1</v>
      </c>
    </row>
    <row r="64" spans="1:8" x14ac:dyDescent="0.2">
      <c r="A64" s="349" t="s">
        <v>1480</v>
      </c>
      <c r="B64" s="350">
        <v>1800</v>
      </c>
      <c r="C64" s="350">
        <v>40</v>
      </c>
      <c r="D64" s="350">
        <v>460</v>
      </c>
      <c r="E64" s="352">
        <v>92.4</v>
      </c>
      <c r="F64" s="352">
        <v>93</v>
      </c>
      <c r="G64" s="351"/>
      <c r="H64" s="352">
        <v>94.1</v>
      </c>
    </row>
    <row r="65" spans="1:8" x14ac:dyDescent="0.2">
      <c r="A65" s="349" t="s">
        <v>1480</v>
      </c>
      <c r="B65" s="350">
        <v>1800</v>
      </c>
      <c r="C65" s="350">
        <v>50</v>
      </c>
      <c r="D65" s="350">
        <v>460</v>
      </c>
      <c r="E65" s="352">
        <v>92.4</v>
      </c>
      <c r="F65" s="352">
        <v>93</v>
      </c>
      <c r="G65" s="351"/>
      <c r="H65" s="352">
        <v>94.5</v>
      </c>
    </row>
    <row r="66" spans="1:8" x14ac:dyDescent="0.2">
      <c r="A66" s="349" t="s">
        <v>1480</v>
      </c>
      <c r="B66" s="350">
        <v>1800</v>
      </c>
      <c r="C66" s="350">
        <v>60</v>
      </c>
      <c r="D66" s="350">
        <v>460</v>
      </c>
      <c r="E66" s="352">
        <v>93</v>
      </c>
      <c r="F66" s="352">
        <v>93.6</v>
      </c>
      <c r="G66" s="351"/>
      <c r="H66" s="352">
        <v>95</v>
      </c>
    </row>
    <row r="67" spans="1:8" x14ac:dyDescent="0.2">
      <c r="A67" s="349" t="s">
        <v>1480</v>
      </c>
      <c r="B67" s="350">
        <v>1800</v>
      </c>
      <c r="C67" s="350">
        <v>75</v>
      </c>
      <c r="D67" s="350">
        <v>460</v>
      </c>
      <c r="E67" s="352">
        <v>93.6</v>
      </c>
      <c r="F67" s="352">
        <v>94.1</v>
      </c>
      <c r="G67" s="351"/>
      <c r="H67" s="352">
        <v>95</v>
      </c>
    </row>
    <row r="68" spans="1:8" x14ac:dyDescent="0.2">
      <c r="A68" s="349" t="s">
        <v>1480</v>
      </c>
      <c r="B68" s="350">
        <v>1800</v>
      </c>
      <c r="C68" s="350">
        <v>100</v>
      </c>
      <c r="D68" s="350">
        <v>460</v>
      </c>
      <c r="E68" s="352">
        <v>93.6</v>
      </c>
      <c r="F68" s="352">
        <v>94.1</v>
      </c>
      <c r="G68" s="351"/>
      <c r="H68" s="352">
        <v>95.4</v>
      </c>
    </row>
    <row r="69" spans="1:8" x14ac:dyDescent="0.2">
      <c r="A69" s="349" t="s">
        <v>1480</v>
      </c>
      <c r="B69" s="350">
        <v>1800</v>
      </c>
      <c r="C69" s="350">
        <v>125</v>
      </c>
      <c r="D69" s="350">
        <v>460</v>
      </c>
      <c r="E69" s="352">
        <v>93.6</v>
      </c>
      <c r="F69" s="352">
        <v>94.5</v>
      </c>
      <c r="G69" s="351"/>
      <c r="H69" s="352">
        <v>95.4</v>
      </c>
    </row>
    <row r="70" spans="1:8" x14ac:dyDescent="0.2">
      <c r="A70" s="349" t="s">
        <v>1480</v>
      </c>
      <c r="B70" s="350">
        <v>1800</v>
      </c>
      <c r="C70" s="350">
        <v>150</v>
      </c>
      <c r="D70" s="350">
        <v>460</v>
      </c>
      <c r="E70" s="352">
        <v>94.1</v>
      </c>
      <c r="F70" s="352">
        <v>95</v>
      </c>
      <c r="G70" s="351"/>
      <c r="H70" s="352">
        <v>95.8</v>
      </c>
    </row>
    <row r="71" spans="1:8" x14ac:dyDescent="0.2">
      <c r="A71" s="349" t="s">
        <v>1480</v>
      </c>
      <c r="B71" s="350">
        <v>1800</v>
      </c>
      <c r="C71" s="350">
        <v>200</v>
      </c>
      <c r="D71" s="350">
        <v>460</v>
      </c>
      <c r="E71" s="352">
        <v>94.1</v>
      </c>
      <c r="F71" s="352">
        <v>95</v>
      </c>
      <c r="G71" s="351"/>
      <c r="H71" s="352">
        <v>95.8</v>
      </c>
    </row>
    <row r="72" spans="1:8" x14ac:dyDescent="0.2">
      <c r="A72" s="349" t="s">
        <v>1480</v>
      </c>
      <c r="B72" s="350">
        <v>1800</v>
      </c>
      <c r="C72" s="350">
        <v>250</v>
      </c>
      <c r="D72" s="350">
        <v>460</v>
      </c>
      <c r="E72" s="351"/>
      <c r="F72" s="352">
        <v>95.4</v>
      </c>
      <c r="G72" s="351"/>
      <c r="H72" s="352">
        <v>95.8</v>
      </c>
    </row>
    <row r="73" spans="1:8" x14ac:dyDescent="0.2">
      <c r="A73" s="349" t="s">
        <v>1480</v>
      </c>
      <c r="B73" s="350">
        <v>1800</v>
      </c>
      <c r="C73" s="350">
        <v>300</v>
      </c>
      <c r="D73" s="350">
        <v>460</v>
      </c>
      <c r="E73" s="351"/>
      <c r="F73" s="352">
        <v>95.4</v>
      </c>
      <c r="G73" s="351"/>
      <c r="H73" s="352">
        <v>95.8</v>
      </c>
    </row>
    <row r="74" spans="1:8" x14ac:dyDescent="0.2">
      <c r="A74" s="349" t="s">
        <v>1480</v>
      </c>
      <c r="B74" s="350">
        <v>1800</v>
      </c>
      <c r="C74" s="350">
        <v>350</v>
      </c>
      <c r="D74" s="350">
        <v>460</v>
      </c>
      <c r="E74" s="351"/>
      <c r="F74" s="352">
        <v>95.4</v>
      </c>
      <c r="G74" s="351"/>
      <c r="H74" s="352">
        <v>95.8</v>
      </c>
    </row>
    <row r="75" spans="1:8" x14ac:dyDescent="0.2">
      <c r="A75" s="349" t="s">
        <v>1480</v>
      </c>
      <c r="B75" s="350">
        <v>1800</v>
      </c>
      <c r="C75" s="350">
        <v>400</v>
      </c>
      <c r="D75" s="350">
        <v>460</v>
      </c>
      <c r="E75" s="351"/>
      <c r="F75" s="352">
        <v>95.4</v>
      </c>
      <c r="G75" s="351"/>
      <c r="H75" s="352">
        <v>95.8</v>
      </c>
    </row>
    <row r="76" spans="1:8" x14ac:dyDescent="0.2">
      <c r="A76" s="349" t="s">
        <v>1480</v>
      </c>
      <c r="B76" s="350">
        <v>1800</v>
      </c>
      <c r="C76" s="350">
        <v>450</v>
      </c>
      <c r="D76" s="350">
        <v>460</v>
      </c>
      <c r="E76" s="351"/>
      <c r="F76" s="352">
        <v>95.8</v>
      </c>
      <c r="G76" s="351"/>
      <c r="H76" s="352">
        <v>96.2</v>
      </c>
    </row>
    <row r="77" spans="1:8" x14ac:dyDescent="0.2">
      <c r="A77" s="349" t="s">
        <v>1480</v>
      </c>
      <c r="B77" s="350">
        <v>1800</v>
      </c>
      <c r="C77" s="350">
        <v>500</v>
      </c>
      <c r="D77" s="350">
        <v>460</v>
      </c>
      <c r="E77" s="351"/>
      <c r="F77" s="352">
        <v>95.8</v>
      </c>
      <c r="G77" s="351"/>
      <c r="H77" s="352">
        <v>96.2</v>
      </c>
    </row>
    <row r="78" spans="1:8" x14ac:dyDescent="0.2">
      <c r="A78" s="349" t="s">
        <v>1480</v>
      </c>
      <c r="B78" s="350">
        <v>1200</v>
      </c>
      <c r="C78" s="350">
        <v>1</v>
      </c>
      <c r="D78" s="350">
        <v>460</v>
      </c>
      <c r="E78" s="352">
        <v>77</v>
      </c>
      <c r="F78" s="352">
        <v>80</v>
      </c>
      <c r="G78" s="351"/>
      <c r="H78" s="352">
        <v>82.5</v>
      </c>
    </row>
    <row r="79" spans="1:8" x14ac:dyDescent="0.2">
      <c r="A79" s="349" t="s">
        <v>1480</v>
      </c>
      <c r="B79" s="350">
        <v>1200</v>
      </c>
      <c r="C79" s="352">
        <v>1.5</v>
      </c>
      <c r="D79" s="350">
        <v>460</v>
      </c>
      <c r="E79" s="352">
        <v>82.5</v>
      </c>
      <c r="F79" s="352">
        <v>84</v>
      </c>
      <c r="G79" s="351"/>
      <c r="H79" s="352">
        <v>86.5</v>
      </c>
    </row>
    <row r="80" spans="1:8" x14ac:dyDescent="0.2">
      <c r="A80" s="349" t="s">
        <v>1480</v>
      </c>
      <c r="B80" s="350">
        <v>1200</v>
      </c>
      <c r="C80" s="350">
        <v>2</v>
      </c>
      <c r="D80" s="350">
        <v>460</v>
      </c>
      <c r="E80" s="352">
        <v>84</v>
      </c>
      <c r="F80" s="352">
        <v>85.5</v>
      </c>
      <c r="G80" s="351"/>
      <c r="H80" s="352">
        <v>87.5</v>
      </c>
    </row>
    <row r="81" spans="1:8" x14ac:dyDescent="0.2">
      <c r="A81" s="349" t="s">
        <v>1480</v>
      </c>
      <c r="B81" s="350">
        <v>1200</v>
      </c>
      <c r="C81" s="350">
        <v>3</v>
      </c>
      <c r="D81" s="350">
        <v>460</v>
      </c>
      <c r="E81" s="352">
        <v>85.5</v>
      </c>
      <c r="F81" s="352">
        <v>86.5</v>
      </c>
      <c r="G81" s="351"/>
      <c r="H81" s="352">
        <v>88.5</v>
      </c>
    </row>
    <row r="82" spans="1:8" x14ac:dyDescent="0.2">
      <c r="A82" s="349" t="s">
        <v>1480</v>
      </c>
      <c r="B82" s="350">
        <v>1200</v>
      </c>
      <c r="C82" s="350">
        <v>5</v>
      </c>
      <c r="D82" s="350">
        <v>460</v>
      </c>
      <c r="E82" s="352">
        <v>86.5</v>
      </c>
      <c r="F82" s="352">
        <v>87.5</v>
      </c>
      <c r="G82" s="351"/>
      <c r="H82" s="352">
        <v>89.5</v>
      </c>
    </row>
    <row r="83" spans="1:8" x14ac:dyDescent="0.2">
      <c r="A83" s="349" t="s">
        <v>1480</v>
      </c>
      <c r="B83" s="350">
        <v>1200</v>
      </c>
      <c r="C83" s="352">
        <v>7.5</v>
      </c>
      <c r="D83" s="350">
        <v>460</v>
      </c>
      <c r="E83" s="352">
        <v>88.5</v>
      </c>
      <c r="F83" s="352">
        <v>88.5</v>
      </c>
      <c r="G83" s="351"/>
      <c r="H83" s="352">
        <v>90.2</v>
      </c>
    </row>
    <row r="84" spans="1:8" x14ac:dyDescent="0.2">
      <c r="A84" s="349" t="s">
        <v>1480</v>
      </c>
      <c r="B84" s="350">
        <v>1200</v>
      </c>
      <c r="C84" s="350">
        <v>10</v>
      </c>
      <c r="D84" s="350">
        <v>460</v>
      </c>
      <c r="E84" s="352">
        <v>90.2</v>
      </c>
      <c r="F84" s="352">
        <v>90.2</v>
      </c>
      <c r="G84" s="351"/>
      <c r="H84" s="352">
        <v>91.7</v>
      </c>
    </row>
    <row r="85" spans="1:8" x14ac:dyDescent="0.2">
      <c r="A85" s="349" t="s">
        <v>1480</v>
      </c>
      <c r="B85" s="350">
        <v>1200</v>
      </c>
      <c r="C85" s="350">
        <v>15</v>
      </c>
      <c r="D85" s="350">
        <v>460</v>
      </c>
      <c r="E85" s="352">
        <v>89.5</v>
      </c>
      <c r="F85" s="352">
        <v>90.2</v>
      </c>
      <c r="G85" s="351"/>
      <c r="H85" s="352">
        <v>91.7</v>
      </c>
    </row>
    <row r="86" spans="1:8" x14ac:dyDescent="0.2">
      <c r="A86" s="349" t="s">
        <v>1480</v>
      </c>
      <c r="B86" s="350">
        <v>1200</v>
      </c>
      <c r="C86" s="350">
        <v>20</v>
      </c>
      <c r="D86" s="350">
        <v>460</v>
      </c>
      <c r="E86" s="352">
        <v>90.2</v>
      </c>
      <c r="F86" s="352">
        <v>91</v>
      </c>
      <c r="G86" s="351"/>
      <c r="H86" s="352">
        <v>92.4</v>
      </c>
    </row>
    <row r="87" spans="1:8" x14ac:dyDescent="0.2">
      <c r="A87" s="349" t="s">
        <v>1480</v>
      </c>
      <c r="B87" s="350">
        <v>1200</v>
      </c>
      <c r="C87" s="350">
        <v>25</v>
      </c>
      <c r="D87" s="350">
        <v>460</v>
      </c>
      <c r="E87" s="352">
        <v>91</v>
      </c>
      <c r="F87" s="352">
        <v>91.7</v>
      </c>
      <c r="G87" s="351"/>
      <c r="H87" s="352">
        <v>93</v>
      </c>
    </row>
    <row r="88" spans="1:8" x14ac:dyDescent="0.2">
      <c r="A88" s="349" t="s">
        <v>1480</v>
      </c>
      <c r="B88" s="350">
        <v>1200</v>
      </c>
      <c r="C88" s="350">
        <v>30</v>
      </c>
      <c r="D88" s="350">
        <v>460</v>
      </c>
      <c r="E88" s="352">
        <v>91.7</v>
      </c>
      <c r="F88" s="352">
        <v>92.4</v>
      </c>
      <c r="G88" s="351"/>
      <c r="H88" s="352">
        <v>93.6</v>
      </c>
    </row>
    <row r="89" spans="1:8" x14ac:dyDescent="0.2">
      <c r="A89" s="349" t="s">
        <v>1480</v>
      </c>
      <c r="B89" s="350">
        <v>1200</v>
      </c>
      <c r="C89" s="350">
        <v>40</v>
      </c>
      <c r="D89" s="350">
        <v>460</v>
      </c>
      <c r="E89" s="352">
        <v>91.7</v>
      </c>
      <c r="F89" s="352">
        <v>93</v>
      </c>
      <c r="G89" s="351"/>
      <c r="H89" s="352">
        <v>94.1</v>
      </c>
    </row>
    <row r="90" spans="1:8" x14ac:dyDescent="0.2">
      <c r="A90" s="349" t="s">
        <v>1480</v>
      </c>
      <c r="B90" s="350">
        <v>1200</v>
      </c>
      <c r="C90" s="350">
        <v>50</v>
      </c>
      <c r="D90" s="350">
        <v>460</v>
      </c>
      <c r="E90" s="352">
        <v>91.7</v>
      </c>
      <c r="F90" s="352">
        <v>93</v>
      </c>
      <c r="G90" s="351"/>
      <c r="H90" s="352">
        <v>94.1</v>
      </c>
    </row>
    <row r="91" spans="1:8" x14ac:dyDescent="0.2">
      <c r="A91" s="349" t="s">
        <v>1480</v>
      </c>
      <c r="B91" s="350">
        <v>1200</v>
      </c>
      <c r="C91" s="350">
        <v>60</v>
      </c>
      <c r="D91" s="350">
        <v>460</v>
      </c>
      <c r="E91" s="352">
        <v>92.4</v>
      </c>
      <c r="F91" s="352">
        <v>93.6</v>
      </c>
      <c r="G91" s="351"/>
      <c r="H91" s="352">
        <v>94.5</v>
      </c>
    </row>
    <row r="92" spans="1:8" x14ac:dyDescent="0.2">
      <c r="A92" s="349" t="s">
        <v>1480</v>
      </c>
      <c r="B92" s="350">
        <v>1200</v>
      </c>
      <c r="C92" s="350">
        <v>75</v>
      </c>
      <c r="D92" s="350">
        <v>460</v>
      </c>
      <c r="E92" s="352">
        <v>93</v>
      </c>
      <c r="F92" s="352">
        <v>93.6</v>
      </c>
      <c r="G92" s="351"/>
      <c r="H92" s="352">
        <v>94.5</v>
      </c>
    </row>
    <row r="93" spans="1:8" x14ac:dyDescent="0.2">
      <c r="A93" s="349" t="s">
        <v>1480</v>
      </c>
      <c r="B93" s="350">
        <v>1200</v>
      </c>
      <c r="C93" s="350">
        <v>100</v>
      </c>
      <c r="D93" s="350">
        <v>460</v>
      </c>
      <c r="E93" s="352">
        <v>93.6</v>
      </c>
      <c r="F93" s="352">
        <v>94.1</v>
      </c>
      <c r="G93" s="351"/>
      <c r="H93" s="352">
        <v>95</v>
      </c>
    </row>
    <row r="95" spans="1:8" x14ac:dyDescent="0.2">
      <c r="A95" s="346" t="s">
        <v>1548</v>
      </c>
    </row>
    <row r="97" spans="1:8" x14ac:dyDescent="0.2">
      <c r="A97" s="345" t="s">
        <v>1531</v>
      </c>
    </row>
    <row r="98" spans="1:8" x14ac:dyDescent="0.2">
      <c r="A98" s="346" t="s">
        <v>1538</v>
      </c>
    </row>
    <row r="100" spans="1:8" s="348" customFormat="1" x14ac:dyDescent="0.2">
      <c r="A100" s="347" t="s">
        <v>1539</v>
      </c>
      <c r="B100" s="347" t="s">
        <v>1540</v>
      </c>
      <c r="C100" s="347" t="s">
        <v>1541</v>
      </c>
      <c r="D100" s="347" t="s">
        <v>1542</v>
      </c>
      <c r="E100" s="347" t="s">
        <v>1543</v>
      </c>
      <c r="F100" s="347" t="s">
        <v>1544</v>
      </c>
      <c r="G100" s="347" t="s">
        <v>1545</v>
      </c>
      <c r="H100" s="347" t="s">
        <v>1546</v>
      </c>
    </row>
    <row r="101" spans="1:8" x14ac:dyDescent="0.2">
      <c r="A101" s="349" t="s">
        <v>1480</v>
      </c>
      <c r="B101" s="350">
        <v>1200</v>
      </c>
      <c r="C101" s="350">
        <v>125</v>
      </c>
      <c r="D101" s="350">
        <v>460</v>
      </c>
      <c r="E101" s="352">
        <v>93.6</v>
      </c>
      <c r="F101" s="352">
        <v>94.1</v>
      </c>
      <c r="G101" s="351"/>
      <c r="H101" s="352">
        <v>95</v>
      </c>
    </row>
    <row r="102" spans="1:8" x14ac:dyDescent="0.2">
      <c r="A102" s="349" t="s">
        <v>1480</v>
      </c>
      <c r="B102" s="350">
        <v>1200</v>
      </c>
      <c r="C102" s="350">
        <v>150</v>
      </c>
      <c r="D102" s="350">
        <v>460</v>
      </c>
      <c r="E102" s="352">
        <v>93.6</v>
      </c>
      <c r="F102" s="352">
        <v>94.5</v>
      </c>
      <c r="G102" s="351"/>
      <c r="H102" s="352">
        <v>95.4</v>
      </c>
    </row>
    <row r="103" spans="1:8" x14ac:dyDescent="0.2">
      <c r="A103" s="349" t="s">
        <v>1480</v>
      </c>
      <c r="B103" s="350">
        <v>1200</v>
      </c>
      <c r="C103" s="350">
        <v>200</v>
      </c>
      <c r="D103" s="350">
        <v>460</v>
      </c>
      <c r="E103" s="352">
        <v>94.1</v>
      </c>
      <c r="F103" s="352">
        <v>94.5</v>
      </c>
      <c r="G103" s="351"/>
      <c r="H103" s="352">
        <v>95.4</v>
      </c>
    </row>
    <row r="104" spans="1:8" x14ac:dyDescent="0.2">
      <c r="A104" s="349" t="s">
        <v>1480</v>
      </c>
      <c r="B104" s="350">
        <v>1200</v>
      </c>
      <c r="C104" s="350">
        <v>250</v>
      </c>
      <c r="D104" s="350">
        <v>460</v>
      </c>
      <c r="E104" s="351"/>
      <c r="F104" s="352">
        <v>95.4</v>
      </c>
      <c r="G104" s="351"/>
      <c r="H104" s="352">
        <v>95.4</v>
      </c>
    </row>
    <row r="105" spans="1:8" x14ac:dyDescent="0.2">
      <c r="A105" s="349" t="s">
        <v>1480</v>
      </c>
      <c r="B105" s="350">
        <v>1200</v>
      </c>
      <c r="C105" s="350">
        <v>300</v>
      </c>
      <c r="D105" s="350">
        <v>460</v>
      </c>
      <c r="E105" s="351"/>
      <c r="F105" s="352">
        <v>95.4</v>
      </c>
      <c r="G105" s="351"/>
      <c r="H105" s="352">
        <v>95.4</v>
      </c>
    </row>
    <row r="106" spans="1:8" x14ac:dyDescent="0.2">
      <c r="A106" s="349" t="s">
        <v>1480</v>
      </c>
      <c r="B106" s="350">
        <v>1200</v>
      </c>
      <c r="C106" s="350">
        <v>350</v>
      </c>
      <c r="D106" s="350">
        <v>460</v>
      </c>
      <c r="E106" s="351"/>
      <c r="F106" s="352">
        <v>95.4</v>
      </c>
      <c r="G106" s="351"/>
      <c r="H106" s="352">
        <v>95.4</v>
      </c>
    </row>
    <row r="107" spans="1:8" x14ac:dyDescent="0.2">
      <c r="A107" s="349" t="s">
        <v>1480</v>
      </c>
      <c r="B107" s="350">
        <v>1200</v>
      </c>
      <c r="C107" s="350">
        <v>400</v>
      </c>
      <c r="D107" s="350">
        <v>460</v>
      </c>
      <c r="E107" s="351"/>
      <c r="F107" s="351"/>
      <c r="G107" s="351"/>
      <c r="H107" s="352">
        <v>95.8</v>
      </c>
    </row>
    <row r="108" spans="1:8" x14ac:dyDescent="0.2">
      <c r="A108" s="349" t="s">
        <v>1480</v>
      </c>
      <c r="B108" s="350">
        <v>1200</v>
      </c>
      <c r="C108" s="350">
        <v>450</v>
      </c>
      <c r="D108" s="350">
        <v>460</v>
      </c>
      <c r="E108" s="351"/>
      <c r="F108" s="351"/>
      <c r="G108" s="351"/>
      <c r="H108" s="352">
        <v>96.2</v>
      </c>
    </row>
    <row r="109" spans="1:8" x14ac:dyDescent="0.2">
      <c r="A109" s="349" t="s">
        <v>1480</v>
      </c>
      <c r="B109" s="350">
        <v>1200</v>
      </c>
      <c r="C109" s="350">
        <v>500</v>
      </c>
      <c r="D109" s="350">
        <v>460</v>
      </c>
      <c r="E109" s="351"/>
      <c r="F109" s="351"/>
      <c r="G109" s="351"/>
      <c r="H109" s="352">
        <v>96.2</v>
      </c>
    </row>
    <row r="110" spans="1:8" x14ac:dyDescent="0.2">
      <c r="A110" s="349" t="s">
        <v>1480</v>
      </c>
      <c r="B110" s="350">
        <v>900</v>
      </c>
      <c r="C110" s="350">
        <v>1</v>
      </c>
      <c r="D110" s="350">
        <v>460</v>
      </c>
      <c r="E110" s="352">
        <v>72</v>
      </c>
      <c r="F110" s="352">
        <v>74</v>
      </c>
      <c r="G110" s="351"/>
      <c r="H110" s="351"/>
    </row>
    <row r="111" spans="1:8" x14ac:dyDescent="0.2">
      <c r="A111" s="349" t="s">
        <v>1480</v>
      </c>
      <c r="B111" s="350">
        <v>900</v>
      </c>
      <c r="C111" s="352">
        <v>1.5</v>
      </c>
      <c r="D111" s="350">
        <v>460</v>
      </c>
      <c r="E111" s="352">
        <v>75.5</v>
      </c>
      <c r="F111" s="352">
        <v>75.5</v>
      </c>
      <c r="G111" s="351"/>
      <c r="H111" s="351"/>
    </row>
    <row r="112" spans="1:8" x14ac:dyDescent="0.2">
      <c r="A112" s="349" t="s">
        <v>1480</v>
      </c>
      <c r="B112" s="350">
        <v>900</v>
      </c>
      <c r="C112" s="350">
        <v>2</v>
      </c>
      <c r="D112" s="350">
        <v>460</v>
      </c>
      <c r="E112" s="352">
        <v>85.5</v>
      </c>
      <c r="F112" s="352">
        <v>85.5</v>
      </c>
      <c r="G112" s="351"/>
      <c r="H112" s="351"/>
    </row>
    <row r="113" spans="1:8" x14ac:dyDescent="0.2">
      <c r="A113" s="349" t="s">
        <v>1480</v>
      </c>
      <c r="B113" s="350">
        <v>900</v>
      </c>
      <c r="C113" s="350">
        <v>3</v>
      </c>
      <c r="D113" s="350">
        <v>460</v>
      </c>
      <c r="E113" s="352">
        <v>86.5</v>
      </c>
      <c r="F113" s="352">
        <v>86.5</v>
      </c>
      <c r="G113" s="351"/>
      <c r="H113" s="351"/>
    </row>
    <row r="114" spans="1:8" x14ac:dyDescent="0.2">
      <c r="A114" s="349" t="s">
        <v>1480</v>
      </c>
      <c r="B114" s="350">
        <v>900</v>
      </c>
      <c r="C114" s="350">
        <v>5</v>
      </c>
      <c r="D114" s="350">
        <v>460</v>
      </c>
      <c r="E114" s="352">
        <v>87.5</v>
      </c>
      <c r="F114" s="352">
        <v>87.5</v>
      </c>
      <c r="G114" s="351"/>
      <c r="H114" s="351"/>
    </row>
    <row r="115" spans="1:8" x14ac:dyDescent="0.2">
      <c r="A115" s="349" t="s">
        <v>1480</v>
      </c>
      <c r="B115" s="350">
        <v>900</v>
      </c>
      <c r="C115" s="352">
        <v>7.5</v>
      </c>
      <c r="D115" s="350">
        <v>460</v>
      </c>
      <c r="E115" s="352">
        <v>88.5</v>
      </c>
      <c r="F115" s="352">
        <v>88.5</v>
      </c>
      <c r="G115" s="351"/>
      <c r="H115" s="351"/>
    </row>
    <row r="116" spans="1:8" x14ac:dyDescent="0.2">
      <c r="A116" s="349" t="s">
        <v>1480</v>
      </c>
      <c r="B116" s="350">
        <v>900</v>
      </c>
      <c r="C116" s="350">
        <v>10</v>
      </c>
      <c r="D116" s="350">
        <v>460</v>
      </c>
      <c r="E116" s="352">
        <v>89.5</v>
      </c>
      <c r="F116" s="352">
        <v>89.5</v>
      </c>
      <c r="G116" s="351"/>
      <c r="H116" s="351"/>
    </row>
    <row r="117" spans="1:8" x14ac:dyDescent="0.2">
      <c r="A117" s="349" t="s">
        <v>1480</v>
      </c>
      <c r="B117" s="350">
        <v>900</v>
      </c>
      <c r="C117" s="350">
        <v>15</v>
      </c>
      <c r="D117" s="350">
        <v>460</v>
      </c>
      <c r="E117" s="352">
        <v>89.5</v>
      </c>
      <c r="F117" s="352">
        <v>89.5</v>
      </c>
      <c r="G117" s="351"/>
      <c r="H117" s="351"/>
    </row>
    <row r="118" spans="1:8" x14ac:dyDescent="0.2">
      <c r="A118" s="349" t="s">
        <v>1480</v>
      </c>
      <c r="B118" s="350">
        <v>900</v>
      </c>
      <c r="C118" s="350">
        <v>20</v>
      </c>
      <c r="D118" s="350">
        <v>460</v>
      </c>
      <c r="E118" s="352">
        <v>90.2</v>
      </c>
      <c r="F118" s="352">
        <v>90.2</v>
      </c>
      <c r="G118" s="351"/>
      <c r="H118" s="351"/>
    </row>
    <row r="119" spans="1:8" x14ac:dyDescent="0.2">
      <c r="A119" s="349" t="s">
        <v>1480</v>
      </c>
      <c r="B119" s="350">
        <v>900</v>
      </c>
      <c r="C119" s="350">
        <v>25</v>
      </c>
      <c r="D119" s="350">
        <v>460</v>
      </c>
      <c r="E119" s="352">
        <v>90.2</v>
      </c>
      <c r="F119" s="352">
        <v>90.2</v>
      </c>
      <c r="G119" s="351"/>
      <c r="H119" s="351"/>
    </row>
    <row r="120" spans="1:8" x14ac:dyDescent="0.2">
      <c r="A120" s="349" t="s">
        <v>1480</v>
      </c>
      <c r="B120" s="350">
        <v>900</v>
      </c>
      <c r="C120" s="350">
        <v>30</v>
      </c>
      <c r="D120" s="350">
        <v>460</v>
      </c>
      <c r="E120" s="352">
        <v>91</v>
      </c>
      <c r="F120" s="352">
        <v>91</v>
      </c>
      <c r="G120" s="351"/>
      <c r="H120" s="351"/>
    </row>
    <row r="121" spans="1:8" x14ac:dyDescent="0.2">
      <c r="A121" s="349" t="s">
        <v>1480</v>
      </c>
      <c r="B121" s="350">
        <v>900</v>
      </c>
      <c r="C121" s="350">
        <v>40</v>
      </c>
      <c r="D121" s="350">
        <v>460</v>
      </c>
      <c r="E121" s="352">
        <v>90.2</v>
      </c>
      <c r="F121" s="352">
        <v>91</v>
      </c>
      <c r="G121" s="351"/>
      <c r="H121" s="351"/>
    </row>
    <row r="122" spans="1:8" x14ac:dyDescent="0.2">
      <c r="A122" s="349" t="s">
        <v>1480</v>
      </c>
      <c r="B122" s="350">
        <v>900</v>
      </c>
      <c r="C122" s="350">
        <v>50</v>
      </c>
      <c r="D122" s="350">
        <v>460</v>
      </c>
      <c r="E122" s="352">
        <v>91.7</v>
      </c>
      <c r="F122" s="352">
        <v>91.7</v>
      </c>
      <c r="G122" s="351"/>
      <c r="H122" s="351"/>
    </row>
    <row r="123" spans="1:8" x14ac:dyDescent="0.2">
      <c r="A123" s="349" t="s">
        <v>1480</v>
      </c>
      <c r="B123" s="350">
        <v>900</v>
      </c>
      <c r="C123" s="350">
        <v>60</v>
      </c>
      <c r="D123" s="350">
        <v>460</v>
      </c>
      <c r="E123" s="352">
        <v>92.4</v>
      </c>
      <c r="F123" s="352">
        <v>92.4</v>
      </c>
      <c r="G123" s="351"/>
      <c r="H123" s="351"/>
    </row>
    <row r="124" spans="1:8" x14ac:dyDescent="0.2">
      <c r="A124" s="349" t="s">
        <v>1480</v>
      </c>
      <c r="B124" s="350">
        <v>900</v>
      </c>
      <c r="C124" s="350">
        <v>75</v>
      </c>
      <c r="D124" s="350">
        <v>460</v>
      </c>
      <c r="E124" s="352">
        <v>93.6</v>
      </c>
      <c r="F124" s="352">
        <v>93.6</v>
      </c>
      <c r="G124" s="351"/>
      <c r="H124" s="351"/>
    </row>
    <row r="125" spans="1:8" x14ac:dyDescent="0.2">
      <c r="A125" s="349" t="s">
        <v>1480</v>
      </c>
      <c r="B125" s="350">
        <v>900</v>
      </c>
      <c r="C125" s="350">
        <v>100</v>
      </c>
      <c r="D125" s="350">
        <v>460</v>
      </c>
      <c r="E125" s="352">
        <v>93.6</v>
      </c>
      <c r="F125" s="352">
        <v>93.6</v>
      </c>
      <c r="G125" s="351"/>
      <c r="H125" s="351"/>
    </row>
    <row r="126" spans="1:8" x14ac:dyDescent="0.2">
      <c r="A126" s="349" t="s">
        <v>1480</v>
      </c>
      <c r="B126" s="350">
        <v>900</v>
      </c>
      <c r="C126" s="350">
        <v>125</v>
      </c>
      <c r="D126" s="350">
        <v>460</v>
      </c>
      <c r="E126" s="352">
        <v>93.6</v>
      </c>
      <c r="F126" s="352">
        <v>93.6</v>
      </c>
      <c r="G126" s="351"/>
      <c r="H126" s="351"/>
    </row>
    <row r="127" spans="1:8" x14ac:dyDescent="0.2">
      <c r="A127" s="349" t="s">
        <v>1480</v>
      </c>
      <c r="B127" s="350">
        <v>900</v>
      </c>
      <c r="C127" s="350">
        <v>150</v>
      </c>
      <c r="D127" s="350">
        <v>460</v>
      </c>
      <c r="E127" s="352">
        <v>93.6</v>
      </c>
      <c r="F127" s="352">
        <v>93.6</v>
      </c>
      <c r="G127" s="351"/>
      <c r="H127" s="351"/>
    </row>
    <row r="128" spans="1:8" x14ac:dyDescent="0.2">
      <c r="A128" s="349" t="s">
        <v>1480</v>
      </c>
      <c r="B128" s="350">
        <v>900</v>
      </c>
      <c r="C128" s="350">
        <v>200</v>
      </c>
      <c r="D128" s="350">
        <v>460</v>
      </c>
      <c r="E128" s="352">
        <v>93.6</v>
      </c>
      <c r="F128" s="352">
        <v>93.6</v>
      </c>
      <c r="G128" s="351"/>
      <c r="H128" s="351"/>
    </row>
    <row r="129" spans="1:8" x14ac:dyDescent="0.2">
      <c r="A129" s="349" t="s">
        <v>1480</v>
      </c>
      <c r="B129" s="350">
        <v>900</v>
      </c>
      <c r="C129" s="350">
        <v>250</v>
      </c>
      <c r="D129" s="350">
        <v>460</v>
      </c>
      <c r="E129" s="351"/>
      <c r="F129" s="352">
        <v>94.5</v>
      </c>
      <c r="G129" s="351"/>
      <c r="H129" s="351"/>
    </row>
    <row r="130" spans="1:8" x14ac:dyDescent="0.2">
      <c r="A130" s="349" t="s">
        <v>1480</v>
      </c>
      <c r="B130" s="350">
        <v>900</v>
      </c>
      <c r="C130" s="350">
        <v>300</v>
      </c>
      <c r="D130" s="350">
        <v>460</v>
      </c>
      <c r="E130" s="351"/>
      <c r="F130" s="351"/>
      <c r="G130" s="351"/>
      <c r="H130" s="351"/>
    </row>
    <row r="131" spans="1:8" x14ac:dyDescent="0.2">
      <c r="A131" s="349" t="s">
        <v>1480</v>
      </c>
      <c r="B131" s="350">
        <v>900</v>
      </c>
      <c r="C131" s="350">
        <v>350</v>
      </c>
      <c r="D131" s="350">
        <v>460</v>
      </c>
      <c r="E131" s="351"/>
      <c r="F131" s="351"/>
      <c r="G131" s="351"/>
      <c r="H131" s="351"/>
    </row>
    <row r="132" spans="1:8" x14ac:dyDescent="0.2">
      <c r="A132" s="349" t="s">
        <v>1480</v>
      </c>
      <c r="B132" s="350">
        <v>900</v>
      </c>
      <c r="C132" s="350">
        <v>400</v>
      </c>
      <c r="D132" s="350">
        <v>460</v>
      </c>
      <c r="E132" s="351"/>
      <c r="F132" s="351"/>
      <c r="G132" s="351"/>
      <c r="H132" s="351"/>
    </row>
    <row r="133" spans="1:8" x14ac:dyDescent="0.2">
      <c r="A133" s="349" t="s">
        <v>1480</v>
      </c>
      <c r="B133" s="350">
        <v>900</v>
      </c>
      <c r="C133" s="350">
        <v>450</v>
      </c>
      <c r="D133" s="350">
        <v>460</v>
      </c>
      <c r="E133" s="351"/>
      <c r="F133" s="351"/>
      <c r="G133" s="351"/>
      <c r="H133" s="351"/>
    </row>
    <row r="134" spans="1:8" x14ac:dyDescent="0.2">
      <c r="A134" s="349" t="s">
        <v>1480</v>
      </c>
      <c r="B134" s="350">
        <v>900</v>
      </c>
      <c r="C134" s="350">
        <v>500</v>
      </c>
      <c r="D134" s="350">
        <v>460</v>
      </c>
      <c r="E134" s="351"/>
      <c r="F134" s="351"/>
      <c r="G134" s="351"/>
      <c r="H134" s="351"/>
    </row>
    <row r="136" spans="1:8" x14ac:dyDescent="0.2">
      <c r="A136" s="346" t="s">
        <v>1549</v>
      </c>
    </row>
    <row r="138" spans="1:8" x14ac:dyDescent="0.2">
      <c r="A138" s="345" t="s">
        <v>1531</v>
      </c>
    </row>
    <row r="139" spans="1:8" x14ac:dyDescent="0.2">
      <c r="A139" s="346" t="s">
        <v>1538</v>
      </c>
    </row>
    <row r="141" spans="1:8" s="348" customFormat="1" x14ac:dyDescent="0.2">
      <c r="A141" s="347" t="s">
        <v>1539</v>
      </c>
      <c r="B141" s="347" t="s">
        <v>1540</v>
      </c>
      <c r="C141" s="347" t="s">
        <v>1541</v>
      </c>
      <c r="D141" s="347" t="s">
        <v>1542</v>
      </c>
      <c r="E141" s="347" t="s">
        <v>1543</v>
      </c>
      <c r="F141" s="347" t="s">
        <v>1544</v>
      </c>
      <c r="G141" s="347" t="s">
        <v>1545</v>
      </c>
      <c r="H141" s="347" t="s">
        <v>1546</v>
      </c>
    </row>
    <row r="142" spans="1:8" x14ac:dyDescent="0.2">
      <c r="A142" s="349" t="s">
        <v>1481</v>
      </c>
      <c r="B142" s="350">
        <v>3600</v>
      </c>
      <c r="C142" s="350">
        <v>1</v>
      </c>
      <c r="D142" s="350">
        <v>460</v>
      </c>
      <c r="E142" s="351"/>
      <c r="F142" s="352">
        <v>75.5</v>
      </c>
      <c r="G142" s="352">
        <v>77</v>
      </c>
      <c r="H142" s="352">
        <v>77</v>
      </c>
    </row>
    <row r="143" spans="1:8" x14ac:dyDescent="0.2">
      <c r="A143" s="349" t="s">
        <v>1481</v>
      </c>
      <c r="B143" s="350">
        <v>3600</v>
      </c>
      <c r="C143" s="352">
        <v>1.5</v>
      </c>
      <c r="D143" s="350">
        <v>460</v>
      </c>
      <c r="E143" s="352">
        <v>78.5</v>
      </c>
      <c r="F143" s="352">
        <v>82.5</v>
      </c>
      <c r="G143" s="352">
        <v>84</v>
      </c>
      <c r="H143" s="352">
        <v>84</v>
      </c>
    </row>
    <row r="144" spans="1:8" x14ac:dyDescent="0.2">
      <c r="A144" s="349" t="s">
        <v>1481</v>
      </c>
      <c r="B144" s="350">
        <v>3600</v>
      </c>
      <c r="C144" s="350">
        <v>2</v>
      </c>
      <c r="D144" s="350">
        <v>460</v>
      </c>
      <c r="E144" s="352">
        <v>81.5</v>
      </c>
      <c r="F144" s="352">
        <v>84</v>
      </c>
      <c r="G144" s="352">
        <v>85.5</v>
      </c>
      <c r="H144" s="352">
        <v>85.5</v>
      </c>
    </row>
    <row r="145" spans="1:8" x14ac:dyDescent="0.2">
      <c r="A145" s="349" t="s">
        <v>1481</v>
      </c>
      <c r="B145" s="350">
        <v>3600</v>
      </c>
      <c r="C145" s="350">
        <v>3</v>
      </c>
      <c r="D145" s="350">
        <v>460</v>
      </c>
      <c r="E145" s="352">
        <v>82.5</v>
      </c>
      <c r="F145" s="352">
        <v>85.5</v>
      </c>
      <c r="G145" s="352">
        <v>86.5</v>
      </c>
      <c r="H145" s="352">
        <v>86.5</v>
      </c>
    </row>
    <row r="146" spans="1:8" x14ac:dyDescent="0.2">
      <c r="A146" s="349" t="s">
        <v>1481</v>
      </c>
      <c r="B146" s="350">
        <v>3600</v>
      </c>
      <c r="C146" s="350">
        <v>5</v>
      </c>
      <c r="D146" s="350">
        <v>460</v>
      </c>
      <c r="E146" s="352">
        <v>85.5</v>
      </c>
      <c r="F146" s="352">
        <v>87.5</v>
      </c>
      <c r="G146" s="352">
        <v>88.5</v>
      </c>
      <c r="H146" s="352">
        <v>88.5</v>
      </c>
    </row>
    <row r="147" spans="1:8" x14ac:dyDescent="0.2">
      <c r="A147" s="349" t="s">
        <v>1481</v>
      </c>
      <c r="B147" s="350">
        <v>3600</v>
      </c>
      <c r="C147" s="352">
        <v>7.5</v>
      </c>
      <c r="D147" s="350">
        <v>460</v>
      </c>
      <c r="E147" s="352">
        <v>85.5</v>
      </c>
      <c r="F147" s="352">
        <v>88.5</v>
      </c>
      <c r="G147" s="352">
        <v>89.5</v>
      </c>
      <c r="H147" s="352">
        <v>89.5</v>
      </c>
    </row>
    <row r="148" spans="1:8" x14ac:dyDescent="0.2">
      <c r="A148" s="349" t="s">
        <v>1481</v>
      </c>
      <c r="B148" s="350">
        <v>3600</v>
      </c>
      <c r="C148" s="350">
        <v>10</v>
      </c>
      <c r="D148" s="350">
        <v>460</v>
      </c>
      <c r="E148" s="352">
        <v>87.5</v>
      </c>
      <c r="F148" s="352">
        <v>89.5</v>
      </c>
      <c r="G148" s="352">
        <v>90.2</v>
      </c>
      <c r="H148" s="352">
        <v>90.2</v>
      </c>
    </row>
    <row r="149" spans="1:8" x14ac:dyDescent="0.2">
      <c r="A149" s="349" t="s">
        <v>1481</v>
      </c>
      <c r="B149" s="350">
        <v>3600</v>
      </c>
      <c r="C149" s="350">
        <v>15</v>
      </c>
      <c r="D149" s="350">
        <v>460</v>
      </c>
      <c r="E149" s="352">
        <v>87.5</v>
      </c>
      <c r="F149" s="352">
        <v>90.2</v>
      </c>
      <c r="G149" s="352">
        <v>91</v>
      </c>
      <c r="H149" s="352">
        <v>91</v>
      </c>
    </row>
    <row r="150" spans="1:8" x14ac:dyDescent="0.2">
      <c r="A150" s="349" t="s">
        <v>1481</v>
      </c>
      <c r="B150" s="350">
        <v>3600</v>
      </c>
      <c r="C150" s="350">
        <v>20</v>
      </c>
      <c r="D150" s="350">
        <v>460</v>
      </c>
      <c r="E150" s="352">
        <v>88.5</v>
      </c>
      <c r="F150" s="352">
        <v>90.2</v>
      </c>
      <c r="G150" s="352">
        <v>91</v>
      </c>
      <c r="H150" s="352">
        <v>91</v>
      </c>
    </row>
    <row r="151" spans="1:8" x14ac:dyDescent="0.2">
      <c r="A151" s="349" t="s">
        <v>1481</v>
      </c>
      <c r="B151" s="350">
        <v>3600</v>
      </c>
      <c r="C151" s="350">
        <v>25</v>
      </c>
      <c r="D151" s="350">
        <v>460</v>
      </c>
      <c r="E151" s="352">
        <v>89.5</v>
      </c>
      <c r="F151" s="352">
        <v>91</v>
      </c>
      <c r="G151" s="352">
        <v>91.7</v>
      </c>
      <c r="H151" s="352">
        <v>91.7</v>
      </c>
    </row>
    <row r="152" spans="1:8" x14ac:dyDescent="0.2">
      <c r="A152" s="349" t="s">
        <v>1481</v>
      </c>
      <c r="B152" s="350">
        <v>3600</v>
      </c>
      <c r="C152" s="350">
        <v>30</v>
      </c>
      <c r="D152" s="350">
        <v>460</v>
      </c>
      <c r="E152" s="352">
        <v>89.5</v>
      </c>
      <c r="F152" s="352">
        <v>91</v>
      </c>
      <c r="G152" s="352">
        <v>91.7</v>
      </c>
      <c r="H152" s="352">
        <v>91.7</v>
      </c>
    </row>
    <row r="153" spans="1:8" x14ac:dyDescent="0.2">
      <c r="A153" s="349" t="s">
        <v>1481</v>
      </c>
      <c r="B153" s="350">
        <v>3600</v>
      </c>
      <c r="C153" s="350">
        <v>40</v>
      </c>
      <c r="D153" s="350">
        <v>460</v>
      </c>
      <c r="E153" s="352">
        <v>90.2</v>
      </c>
      <c r="F153" s="352">
        <v>91.7</v>
      </c>
      <c r="G153" s="352">
        <v>92.4</v>
      </c>
      <c r="H153" s="352">
        <v>92.4</v>
      </c>
    </row>
    <row r="154" spans="1:8" x14ac:dyDescent="0.2">
      <c r="A154" s="349" t="s">
        <v>1481</v>
      </c>
      <c r="B154" s="350">
        <v>3600</v>
      </c>
      <c r="C154" s="350">
        <v>50</v>
      </c>
      <c r="D154" s="350">
        <v>460</v>
      </c>
      <c r="E154" s="352">
        <v>90.2</v>
      </c>
      <c r="F154" s="352">
        <v>92.4</v>
      </c>
      <c r="G154" s="352">
        <v>93</v>
      </c>
      <c r="H154" s="352">
        <v>93</v>
      </c>
    </row>
    <row r="155" spans="1:8" x14ac:dyDescent="0.2">
      <c r="A155" s="349" t="s">
        <v>1481</v>
      </c>
      <c r="B155" s="350">
        <v>3600</v>
      </c>
      <c r="C155" s="350">
        <v>60</v>
      </c>
      <c r="D155" s="350">
        <v>460</v>
      </c>
      <c r="E155" s="352">
        <v>91.7</v>
      </c>
      <c r="F155" s="352">
        <v>93</v>
      </c>
      <c r="G155" s="352">
        <v>93.6</v>
      </c>
      <c r="H155" s="352">
        <v>93.6</v>
      </c>
    </row>
    <row r="156" spans="1:8" x14ac:dyDescent="0.2">
      <c r="A156" s="349" t="s">
        <v>1481</v>
      </c>
      <c r="B156" s="350">
        <v>3600</v>
      </c>
      <c r="C156" s="350">
        <v>75</v>
      </c>
      <c r="D156" s="350">
        <v>460</v>
      </c>
      <c r="E156" s="352">
        <v>92.4</v>
      </c>
      <c r="F156" s="352">
        <v>93</v>
      </c>
      <c r="G156" s="352">
        <v>93.6</v>
      </c>
      <c r="H156" s="352">
        <v>93.6</v>
      </c>
    </row>
    <row r="157" spans="1:8" x14ac:dyDescent="0.2">
      <c r="A157" s="349" t="s">
        <v>1481</v>
      </c>
      <c r="B157" s="350">
        <v>3600</v>
      </c>
      <c r="C157" s="350">
        <v>100</v>
      </c>
      <c r="D157" s="350">
        <v>460</v>
      </c>
      <c r="E157" s="352">
        <v>93</v>
      </c>
      <c r="F157" s="352">
        <v>93.6</v>
      </c>
      <c r="G157" s="352">
        <v>94.1</v>
      </c>
      <c r="H157" s="352">
        <v>94.1</v>
      </c>
    </row>
    <row r="158" spans="1:8" x14ac:dyDescent="0.2">
      <c r="A158" s="349" t="s">
        <v>1481</v>
      </c>
      <c r="B158" s="350">
        <v>3600</v>
      </c>
      <c r="C158" s="350">
        <v>125</v>
      </c>
      <c r="D158" s="350">
        <v>460</v>
      </c>
      <c r="E158" s="352">
        <v>93</v>
      </c>
      <c r="F158" s="352">
        <v>94.5</v>
      </c>
      <c r="G158" s="352">
        <v>95</v>
      </c>
      <c r="H158" s="352">
        <v>95</v>
      </c>
    </row>
    <row r="159" spans="1:8" x14ac:dyDescent="0.2">
      <c r="A159" s="349" t="s">
        <v>1481</v>
      </c>
      <c r="B159" s="350">
        <v>3600</v>
      </c>
      <c r="C159" s="350">
        <v>150</v>
      </c>
      <c r="D159" s="350">
        <v>460</v>
      </c>
      <c r="E159" s="352">
        <v>93</v>
      </c>
      <c r="F159" s="352">
        <v>94.5</v>
      </c>
      <c r="G159" s="352">
        <v>95</v>
      </c>
      <c r="H159" s="352">
        <v>95</v>
      </c>
    </row>
    <row r="160" spans="1:8" x14ac:dyDescent="0.2">
      <c r="A160" s="349" t="s">
        <v>1481</v>
      </c>
      <c r="B160" s="350">
        <v>3600</v>
      </c>
      <c r="C160" s="350">
        <v>200</v>
      </c>
      <c r="D160" s="350">
        <v>460</v>
      </c>
      <c r="E160" s="352">
        <v>94.1</v>
      </c>
      <c r="F160" s="352">
        <v>95</v>
      </c>
      <c r="G160" s="352">
        <v>95.4</v>
      </c>
      <c r="H160" s="352">
        <v>95.4</v>
      </c>
    </row>
    <row r="161" spans="1:8" x14ac:dyDescent="0.2">
      <c r="A161" s="349" t="s">
        <v>1481</v>
      </c>
      <c r="B161" s="350">
        <v>3600</v>
      </c>
      <c r="C161" s="350">
        <v>250</v>
      </c>
      <c r="D161" s="350">
        <v>460</v>
      </c>
      <c r="E161" s="351"/>
      <c r="F161" s="352">
        <v>95.4</v>
      </c>
      <c r="G161" s="352">
        <v>95.4</v>
      </c>
      <c r="H161" s="352">
        <v>95.8</v>
      </c>
    </row>
    <row r="162" spans="1:8" x14ac:dyDescent="0.2">
      <c r="A162" s="349" t="s">
        <v>1481</v>
      </c>
      <c r="B162" s="350">
        <v>3600</v>
      </c>
      <c r="C162" s="350">
        <v>300</v>
      </c>
      <c r="D162" s="350">
        <v>460</v>
      </c>
      <c r="E162" s="351"/>
      <c r="F162" s="352">
        <v>95.4</v>
      </c>
      <c r="G162" s="352">
        <v>95.4</v>
      </c>
      <c r="H162" s="352">
        <v>95.8</v>
      </c>
    </row>
    <row r="163" spans="1:8" x14ac:dyDescent="0.2">
      <c r="A163" s="349" t="s">
        <v>1481</v>
      </c>
      <c r="B163" s="350">
        <v>3600</v>
      </c>
      <c r="C163" s="350">
        <v>350</v>
      </c>
      <c r="D163" s="350">
        <v>460</v>
      </c>
      <c r="E163" s="351"/>
      <c r="F163" s="352">
        <v>95.4</v>
      </c>
      <c r="G163" s="352">
        <v>95.4</v>
      </c>
      <c r="H163" s="352">
        <v>95.8</v>
      </c>
    </row>
    <row r="164" spans="1:8" x14ac:dyDescent="0.2">
      <c r="A164" s="349" t="s">
        <v>1481</v>
      </c>
      <c r="B164" s="350">
        <v>3600</v>
      </c>
      <c r="C164" s="350">
        <v>400</v>
      </c>
      <c r="D164" s="350">
        <v>460</v>
      </c>
      <c r="E164" s="351"/>
      <c r="F164" s="352">
        <v>95.4</v>
      </c>
      <c r="G164" s="352">
        <v>95.4</v>
      </c>
      <c r="H164" s="352">
        <v>95.8</v>
      </c>
    </row>
    <row r="165" spans="1:8" x14ac:dyDescent="0.2">
      <c r="A165" s="349" t="s">
        <v>1481</v>
      </c>
      <c r="B165" s="350">
        <v>3600</v>
      </c>
      <c r="C165" s="350">
        <v>450</v>
      </c>
      <c r="D165" s="350">
        <v>460</v>
      </c>
      <c r="E165" s="351"/>
      <c r="F165" s="352">
        <v>95.4</v>
      </c>
      <c r="G165" s="352">
        <v>95.4</v>
      </c>
      <c r="H165" s="352">
        <v>95.8</v>
      </c>
    </row>
    <row r="166" spans="1:8" x14ac:dyDescent="0.2">
      <c r="A166" s="349" t="s">
        <v>1481</v>
      </c>
      <c r="B166" s="350">
        <v>3600</v>
      </c>
      <c r="C166" s="350">
        <v>500</v>
      </c>
      <c r="D166" s="350">
        <v>460</v>
      </c>
      <c r="E166" s="351"/>
      <c r="F166" s="352">
        <v>95.4</v>
      </c>
      <c r="G166" s="352">
        <v>95.4</v>
      </c>
      <c r="H166" s="352">
        <v>95.8</v>
      </c>
    </row>
    <row r="167" spans="1:8" x14ac:dyDescent="0.2">
      <c r="A167" s="349" t="s">
        <v>1481</v>
      </c>
      <c r="B167" s="350">
        <v>1800</v>
      </c>
      <c r="C167" s="350">
        <v>1</v>
      </c>
      <c r="D167" s="350">
        <v>460</v>
      </c>
      <c r="E167" s="352">
        <v>80</v>
      </c>
      <c r="F167" s="352">
        <v>82.5</v>
      </c>
      <c r="G167" s="352">
        <v>84</v>
      </c>
      <c r="H167" s="352">
        <v>85.5</v>
      </c>
    </row>
    <row r="168" spans="1:8" x14ac:dyDescent="0.2">
      <c r="A168" s="349" t="s">
        <v>1481</v>
      </c>
      <c r="B168" s="350">
        <v>1800</v>
      </c>
      <c r="C168" s="352">
        <v>1.5</v>
      </c>
      <c r="D168" s="350">
        <v>460</v>
      </c>
      <c r="E168" s="352">
        <v>81.5</v>
      </c>
      <c r="F168" s="352">
        <v>84</v>
      </c>
      <c r="G168" s="352">
        <v>85.5</v>
      </c>
      <c r="H168" s="352">
        <v>86.5</v>
      </c>
    </row>
    <row r="169" spans="1:8" x14ac:dyDescent="0.2">
      <c r="A169" s="349" t="s">
        <v>1481</v>
      </c>
      <c r="B169" s="350">
        <v>1800</v>
      </c>
      <c r="C169" s="350">
        <v>2</v>
      </c>
      <c r="D169" s="350">
        <v>460</v>
      </c>
      <c r="E169" s="352">
        <v>82.5</v>
      </c>
      <c r="F169" s="352">
        <v>84</v>
      </c>
      <c r="G169" s="352">
        <v>85.5</v>
      </c>
      <c r="H169" s="352">
        <v>86.5</v>
      </c>
    </row>
    <row r="170" spans="1:8" x14ac:dyDescent="0.2">
      <c r="A170" s="349" t="s">
        <v>1481</v>
      </c>
      <c r="B170" s="350">
        <v>1800</v>
      </c>
      <c r="C170" s="350">
        <v>3</v>
      </c>
      <c r="D170" s="350">
        <v>460</v>
      </c>
      <c r="E170" s="352">
        <v>84</v>
      </c>
      <c r="F170" s="352">
        <v>87.5</v>
      </c>
      <c r="G170" s="352">
        <v>88.5</v>
      </c>
      <c r="H170" s="352">
        <v>89.5</v>
      </c>
    </row>
    <row r="171" spans="1:8" x14ac:dyDescent="0.2">
      <c r="A171" s="349" t="s">
        <v>1481</v>
      </c>
      <c r="B171" s="350">
        <v>1800</v>
      </c>
      <c r="C171" s="350">
        <v>5</v>
      </c>
      <c r="D171" s="350">
        <v>460</v>
      </c>
      <c r="E171" s="352">
        <v>85.5</v>
      </c>
      <c r="F171" s="352">
        <v>87.5</v>
      </c>
      <c r="G171" s="352">
        <v>88.5</v>
      </c>
      <c r="H171" s="352">
        <v>89.5</v>
      </c>
    </row>
    <row r="172" spans="1:8" x14ac:dyDescent="0.2">
      <c r="A172" s="349" t="s">
        <v>1481</v>
      </c>
      <c r="B172" s="350">
        <v>1800</v>
      </c>
      <c r="C172" s="352">
        <v>7.5</v>
      </c>
      <c r="D172" s="350">
        <v>460</v>
      </c>
      <c r="E172" s="352">
        <v>87.5</v>
      </c>
      <c r="F172" s="352">
        <v>89.5</v>
      </c>
      <c r="G172" s="352">
        <v>90.2</v>
      </c>
      <c r="H172" s="352">
        <v>91.7</v>
      </c>
    </row>
    <row r="173" spans="1:8" x14ac:dyDescent="0.2">
      <c r="A173" s="349" t="s">
        <v>1481</v>
      </c>
      <c r="B173" s="350">
        <v>1800</v>
      </c>
      <c r="C173" s="350">
        <v>10</v>
      </c>
      <c r="D173" s="350">
        <v>460</v>
      </c>
      <c r="E173" s="352">
        <v>87.5</v>
      </c>
      <c r="F173" s="352">
        <v>89.5</v>
      </c>
      <c r="G173" s="352">
        <v>90.2</v>
      </c>
      <c r="H173" s="352">
        <v>91.7</v>
      </c>
    </row>
    <row r="174" spans="1:8" x14ac:dyDescent="0.2">
      <c r="A174" s="349" t="s">
        <v>1481</v>
      </c>
      <c r="B174" s="350">
        <v>1800</v>
      </c>
      <c r="C174" s="350">
        <v>15</v>
      </c>
      <c r="D174" s="350">
        <v>460</v>
      </c>
      <c r="E174" s="352">
        <v>88.5</v>
      </c>
      <c r="F174" s="352">
        <v>91</v>
      </c>
      <c r="G174" s="352">
        <v>91.7</v>
      </c>
      <c r="H174" s="352">
        <v>92.4</v>
      </c>
    </row>
    <row r="176" spans="1:8" x14ac:dyDescent="0.2">
      <c r="A176" s="346" t="s">
        <v>1550</v>
      </c>
    </row>
    <row r="178" spans="1:8" x14ac:dyDescent="0.2">
      <c r="A178" s="345" t="s">
        <v>1531</v>
      </c>
    </row>
    <row r="179" spans="1:8" x14ac:dyDescent="0.2">
      <c r="A179" s="346" t="s">
        <v>1538</v>
      </c>
    </row>
    <row r="181" spans="1:8" s="348" customFormat="1" x14ac:dyDescent="0.2">
      <c r="A181" s="347" t="s">
        <v>1539</v>
      </c>
      <c r="B181" s="347" t="s">
        <v>1540</v>
      </c>
      <c r="C181" s="347" t="s">
        <v>1541</v>
      </c>
      <c r="D181" s="347" t="s">
        <v>1542</v>
      </c>
      <c r="E181" s="347" t="s">
        <v>1543</v>
      </c>
      <c r="F181" s="347" t="s">
        <v>1544</v>
      </c>
      <c r="G181" s="347" t="s">
        <v>1545</v>
      </c>
      <c r="H181" s="347" t="s">
        <v>1546</v>
      </c>
    </row>
    <row r="182" spans="1:8" x14ac:dyDescent="0.2">
      <c r="A182" s="349" t="s">
        <v>1481</v>
      </c>
      <c r="B182" s="350">
        <v>1800</v>
      </c>
      <c r="C182" s="350">
        <v>20</v>
      </c>
      <c r="D182" s="350">
        <v>460</v>
      </c>
      <c r="E182" s="352">
        <v>90.2</v>
      </c>
      <c r="F182" s="352">
        <v>91</v>
      </c>
      <c r="G182" s="352">
        <v>91.7</v>
      </c>
      <c r="H182" s="352">
        <v>93</v>
      </c>
    </row>
    <row r="183" spans="1:8" x14ac:dyDescent="0.2">
      <c r="A183" s="349" t="s">
        <v>1481</v>
      </c>
      <c r="B183" s="350">
        <v>1800</v>
      </c>
      <c r="C183" s="350">
        <v>25</v>
      </c>
      <c r="D183" s="350">
        <v>460</v>
      </c>
      <c r="E183" s="352">
        <v>91</v>
      </c>
      <c r="F183" s="352">
        <v>92.4</v>
      </c>
      <c r="G183" s="352">
        <v>93</v>
      </c>
      <c r="H183" s="352">
        <v>93.6</v>
      </c>
    </row>
    <row r="184" spans="1:8" x14ac:dyDescent="0.2">
      <c r="A184" s="349" t="s">
        <v>1481</v>
      </c>
      <c r="B184" s="350">
        <v>1800</v>
      </c>
      <c r="C184" s="350">
        <v>30</v>
      </c>
      <c r="D184" s="350">
        <v>460</v>
      </c>
      <c r="E184" s="352">
        <v>91</v>
      </c>
      <c r="F184" s="352">
        <v>92.4</v>
      </c>
      <c r="G184" s="352">
        <v>93</v>
      </c>
      <c r="H184" s="352">
        <v>93.6</v>
      </c>
    </row>
    <row r="185" spans="1:8" x14ac:dyDescent="0.2">
      <c r="A185" s="349" t="s">
        <v>1481</v>
      </c>
      <c r="B185" s="350">
        <v>1800</v>
      </c>
      <c r="C185" s="350">
        <v>40</v>
      </c>
      <c r="D185" s="350">
        <v>460</v>
      </c>
      <c r="E185" s="352">
        <v>91.7</v>
      </c>
      <c r="F185" s="352">
        <v>93</v>
      </c>
      <c r="G185" s="352">
        <v>93.6</v>
      </c>
      <c r="H185" s="352">
        <v>94.1</v>
      </c>
    </row>
    <row r="186" spans="1:8" x14ac:dyDescent="0.2">
      <c r="A186" s="349" t="s">
        <v>1481</v>
      </c>
      <c r="B186" s="350">
        <v>1800</v>
      </c>
      <c r="C186" s="350">
        <v>50</v>
      </c>
      <c r="D186" s="350">
        <v>460</v>
      </c>
      <c r="E186" s="352">
        <v>92.4</v>
      </c>
      <c r="F186" s="352">
        <v>93</v>
      </c>
      <c r="G186" s="352">
        <v>93.6</v>
      </c>
      <c r="H186" s="352">
        <v>94.5</v>
      </c>
    </row>
    <row r="187" spans="1:8" x14ac:dyDescent="0.2">
      <c r="A187" s="349" t="s">
        <v>1481</v>
      </c>
      <c r="B187" s="350">
        <v>1800</v>
      </c>
      <c r="C187" s="350">
        <v>60</v>
      </c>
      <c r="D187" s="350">
        <v>460</v>
      </c>
      <c r="E187" s="352">
        <v>93</v>
      </c>
      <c r="F187" s="352">
        <v>93.6</v>
      </c>
      <c r="G187" s="352">
        <v>94.1</v>
      </c>
      <c r="H187" s="352">
        <v>95</v>
      </c>
    </row>
    <row r="188" spans="1:8" x14ac:dyDescent="0.2">
      <c r="A188" s="349" t="s">
        <v>1481</v>
      </c>
      <c r="B188" s="350">
        <v>1800</v>
      </c>
      <c r="C188" s="350">
        <v>75</v>
      </c>
      <c r="D188" s="350">
        <v>460</v>
      </c>
      <c r="E188" s="352">
        <v>93</v>
      </c>
      <c r="F188" s="352">
        <v>94.1</v>
      </c>
      <c r="G188" s="352">
        <v>94.5</v>
      </c>
      <c r="H188" s="352">
        <v>95.4</v>
      </c>
    </row>
    <row r="189" spans="1:8" x14ac:dyDescent="0.2">
      <c r="A189" s="349" t="s">
        <v>1481</v>
      </c>
      <c r="B189" s="350">
        <v>1800</v>
      </c>
      <c r="C189" s="350">
        <v>100</v>
      </c>
      <c r="D189" s="350">
        <v>460</v>
      </c>
      <c r="E189" s="352">
        <v>93.6</v>
      </c>
      <c r="F189" s="352">
        <v>94.5</v>
      </c>
      <c r="G189" s="352">
        <v>95</v>
      </c>
      <c r="H189" s="352">
        <v>95.4</v>
      </c>
    </row>
    <row r="190" spans="1:8" x14ac:dyDescent="0.2">
      <c r="A190" s="349" t="s">
        <v>1481</v>
      </c>
      <c r="B190" s="350">
        <v>1800</v>
      </c>
      <c r="C190" s="350">
        <v>125</v>
      </c>
      <c r="D190" s="350">
        <v>460</v>
      </c>
      <c r="E190" s="352">
        <v>93.6</v>
      </c>
      <c r="F190" s="352">
        <v>94.5</v>
      </c>
      <c r="G190" s="352">
        <v>95</v>
      </c>
      <c r="H190" s="352">
        <v>95.4</v>
      </c>
    </row>
    <row r="191" spans="1:8" x14ac:dyDescent="0.2">
      <c r="A191" s="349" t="s">
        <v>1481</v>
      </c>
      <c r="B191" s="350">
        <v>1800</v>
      </c>
      <c r="C191" s="350">
        <v>150</v>
      </c>
      <c r="D191" s="350">
        <v>460</v>
      </c>
      <c r="E191" s="352">
        <v>94.1</v>
      </c>
      <c r="F191" s="352">
        <v>95</v>
      </c>
      <c r="G191" s="352">
        <v>95.4</v>
      </c>
      <c r="H191" s="352">
        <v>95.8</v>
      </c>
    </row>
    <row r="192" spans="1:8" x14ac:dyDescent="0.2">
      <c r="A192" s="349" t="s">
        <v>1481</v>
      </c>
      <c r="B192" s="350">
        <v>1800</v>
      </c>
      <c r="C192" s="350">
        <v>200</v>
      </c>
      <c r="D192" s="350">
        <v>460</v>
      </c>
      <c r="E192" s="352">
        <v>94.5</v>
      </c>
      <c r="F192" s="352">
        <v>95</v>
      </c>
      <c r="G192" s="352">
        <v>95.4</v>
      </c>
      <c r="H192" s="352">
        <v>96.2</v>
      </c>
    </row>
    <row r="193" spans="1:8" x14ac:dyDescent="0.2">
      <c r="A193" s="349" t="s">
        <v>1481</v>
      </c>
      <c r="B193" s="350">
        <v>1800</v>
      </c>
      <c r="C193" s="350">
        <v>250</v>
      </c>
      <c r="D193" s="350">
        <v>460</v>
      </c>
      <c r="E193" s="351"/>
      <c r="F193" s="352">
        <v>95</v>
      </c>
      <c r="G193" s="352">
        <v>95</v>
      </c>
      <c r="H193" s="352">
        <v>96.2</v>
      </c>
    </row>
    <row r="194" spans="1:8" x14ac:dyDescent="0.2">
      <c r="A194" s="349" t="s">
        <v>1481</v>
      </c>
      <c r="B194" s="350">
        <v>1800</v>
      </c>
      <c r="C194" s="350">
        <v>300</v>
      </c>
      <c r="D194" s="350">
        <v>460</v>
      </c>
      <c r="E194" s="351"/>
      <c r="F194" s="352">
        <v>95.4</v>
      </c>
      <c r="G194" s="352">
        <v>95.4</v>
      </c>
      <c r="H194" s="352">
        <v>96.2</v>
      </c>
    </row>
    <row r="195" spans="1:8" x14ac:dyDescent="0.2">
      <c r="A195" s="349" t="s">
        <v>1481</v>
      </c>
      <c r="B195" s="350">
        <v>1800</v>
      </c>
      <c r="C195" s="350">
        <v>350</v>
      </c>
      <c r="D195" s="350">
        <v>460</v>
      </c>
      <c r="E195" s="351"/>
      <c r="F195" s="352">
        <v>95.4</v>
      </c>
      <c r="G195" s="352">
        <v>95.4</v>
      </c>
      <c r="H195" s="352">
        <v>96.2</v>
      </c>
    </row>
    <row r="196" spans="1:8" x14ac:dyDescent="0.2">
      <c r="A196" s="349" t="s">
        <v>1481</v>
      </c>
      <c r="B196" s="350">
        <v>1800</v>
      </c>
      <c r="C196" s="350">
        <v>400</v>
      </c>
      <c r="D196" s="350">
        <v>460</v>
      </c>
      <c r="E196" s="351"/>
      <c r="F196" s="352">
        <v>95.4</v>
      </c>
      <c r="G196" s="352">
        <v>95.4</v>
      </c>
      <c r="H196" s="352">
        <v>96.2</v>
      </c>
    </row>
    <row r="197" spans="1:8" x14ac:dyDescent="0.2">
      <c r="A197" s="349" t="s">
        <v>1481</v>
      </c>
      <c r="B197" s="350">
        <v>1800</v>
      </c>
      <c r="C197" s="350">
        <v>450</v>
      </c>
      <c r="D197" s="350">
        <v>460</v>
      </c>
      <c r="E197" s="351"/>
      <c r="F197" s="352">
        <v>95.4</v>
      </c>
      <c r="G197" s="352">
        <v>95.4</v>
      </c>
      <c r="H197" s="352">
        <v>96.2</v>
      </c>
    </row>
    <row r="198" spans="1:8" x14ac:dyDescent="0.2">
      <c r="A198" s="349" t="s">
        <v>1481</v>
      </c>
      <c r="B198" s="350">
        <v>1800</v>
      </c>
      <c r="C198" s="350">
        <v>500</v>
      </c>
      <c r="D198" s="350">
        <v>460</v>
      </c>
      <c r="E198" s="351"/>
      <c r="F198" s="352">
        <v>95.8</v>
      </c>
      <c r="G198" s="352">
        <v>95.4</v>
      </c>
      <c r="H198" s="352">
        <v>96.2</v>
      </c>
    </row>
    <row r="199" spans="1:8" x14ac:dyDescent="0.2">
      <c r="A199" s="349" t="s">
        <v>1481</v>
      </c>
      <c r="B199" s="350">
        <v>1200</v>
      </c>
      <c r="C199" s="350">
        <v>1</v>
      </c>
      <c r="D199" s="350">
        <v>460</v>
      </c>
      <c r="E199" s="352">
        <v>75.5</v>
      </c>
      <c r="F199" s="352">
        <v>80</v>
      </c>
      <c r="G199" s="352">
        <v>81.5</v>
      </c>
      <c r="H199" s="352">
        <v>82.5</v>
      </c>
    </row>
    <row r="200" spans="1:8" x14ac:dyDescent="0.2">
      <c r="A200" s="349" t="s">
        <v>1481</v>
      </c>
      <c r="B200" s="350">
        <v>1200</v>
      </c>
      <c r="C200" s="352">
        <v>1.5</v>
      </c>
      <c r="D200" s="350">
        <v>460</v>
      </c>
      <c r="E200" s="352">
        <v>82.5</v>
      </c>
      <c r="F200" s="352">
        <v>85.5</v>
      </c>
      <c r="G200" s="352">
        <v>86.5</v>
      </c>
      <c r="H200" s="352">
        <v>87.5</v>
      </c>
    </row>
    <row r="201" spans="1:8" x14ac:dyDescent="0.2">
      <c r="A201" s="349" t="s">
        <v>1481</v>
      </c>
      <c r="B201" s="350">
        <v>1200</v>
      </c>
      <c r="C201" s="350">
        <v>2</v>
      </c>
      <c r="D201" s="350">
        <v>460</v>
      </c>
      <c r="E201" s="352">
        <v>82.5</v>
      </c>
      <c r="F201" s="352">
        <v>86.5</v>
      </c>
      <c r="G201" s="352">
        <v>87.5</v>
      </c>
      <c r="H201" s="352">
        <v>88.5</v>
      </c>
    </row>
    <row r="202" spans="1:8" x14ac:dyDescent="0.2">
      <c r="A202" s="349" t="s">
        <v>1481</v>
      </c>
      <c r="B202" s="350">
        <v>1200</v>
      </c>
      <c r="C202" s="350">
        <v>3</v>
      </c>
      <c r="D202" s="350">
        <v>460</v>
      </c>
      <c r="E202" s="352">
        <v>84</v>
      </c>
      <c r="F202" s="352">
        <v>87.5</v>
      </c>
      <c r="G202" s="352">
        <v>88.5</v>
      </c>
      <c r="H202" s="352">
        <v>89.5</v>
      </c>
    </row>
    <row r="203" spans="1:8" x14ac:dyDescent="0.2">
      <c r="A203" s="349" t="s">
        <v>1481</v>
      </c>
      <c r="B203" s="350">
        <v>1200</v>
      </c>
      <c r="C203" s="350">
        <v>5</v>
      </c>
      <c r="D203" s="350">
        <v>460</v>
      </c>
      <c r="E203" s="352">
        <v>85.5</v>
      </c>
      <c r="F203" s="352">
        <v>87.5</v>
      </c>
      <c r="G203" s="352">
        <v>88.5</v>
      </c>
      <c r="H203" s="352">
        <v>89.5</v>
      </c>
    </row>
    <row r="204" spans="1:8" x14ac:dyDescent="0.2">
      <c r="A204" s="349" t="s">
        <v>1481</v>
      </c>
      <c r="B204" s="350">
        <v>1200</v>
      </c>
      <c r="C204" s="352">
        <v>7.5</v>
      </c>
      <c r="D204" s="350">
        <v>460</v>
      </c>
      <c r="E204" s="352">
        <v>87.5</v>
      </c>
      <c r="F204" s="352">
        <v>89.5</v>
      </c>
      <c r="G204" s="352">
        <v>90.2</v>
      </c>
      <c r="H204" s="352">
        <v>91</v>
      </c>
    </row>
    <row r="205" spans="1:8" x14ac:dyDescent="0.2">
      <c r="A205" s="349" t="s">
        <v>1481</v>
      </c>
      <c r="B205" s="350">
        <v>1200</v>
      </c>
      <c r="C205" s="350">
        <v>10</v>
      </c>
      <c r="D205" s="350">
        <v>460</v>
      </c>
      <c r="E205" s="352">
        <v>87.5</v>
      </c>
      <c r="F205" s="352">
        <v>89.5</v>
      </c>
      <c r="G205" s="352">
        <v>90.2</v>
      </c>
      <c r="H205" s="352">
        <v>91</v>
      </c>
    </row>
    <row r="206" spans="1:8" x14ac:dyDescent="0.2">
      <c r="A206" s="349" t="s">
        <v>1481</v>
      </c>
      <c r="B206" s="350">
        <v>1200</v>
      </c>
      <c r="C206" s="350">
        <v>15</v>
      </c>
      <c r="D206" s="350">
        <v>460</v>
      </c>
      <c r="E206" s="352">
        <v>89.5</v>
      </c>
      <c r="F206" s="352">
        <v>90.2</v>
      </c>
      <c r="G206" s="352">
        <v>91</v>
      </c>
      <c r="H206" s="352">
        <v>91.7</v>
      </c>
    </row>
    <row r="207" spans="1:8" x14ac:dyDescent="0.2">
      <c r="A207" s="349" t="s">
        <v>1481</v>
      </c>
      <c r="B207" s="350">
        <v>1200</v>
      </c>
      <c r="C207" s="350">
        <v>20</v>
      </c>
      <c r="D207" s="350">
        <v>460</v>
      </c>
      <c r="E207" s="352">
        <v>89.5</v>
      </c>
      <c r="F207" s="352">
        <v>90.2</v>
      </c>
      <c r="G207" s="352">
        <v>91</v>
      </c>
      <c r="H207" s="352">
        <v>91.7</v>
      </c>
    </row>
    <row r="208" spans="1:8" x14ac:dyDescent="0.2">
      <c r="A208" s="349" t="s">
        <v>1481</v>
      </c>
      <c r="B208" s="350">
        <v>1200</v>
      </c>
      <c r="C208" s="350">
        <v>25</v>
      </c>
      <c r="D208" s="350">
        <v>460</v>
      </c>
      <c r="E208" s="352">
        <v>90.2</v>
      </c>
      <c r="F208" s="352">
        <v>91.7</v>
      </c>
      <c r="G208" s="352">
        <v>92.4</v>
      </c>
      <c r="H208" s="352">
        <v>93</v>
      </c>
    </row>
    <row r="209" spans="1:8" x14ac:dyDescent="0.2">
      <c r="A209" s="349" t="s">
        <v>1481</v>
      </c>
      <c r="B209" s="350">
        <v>1200</v>
      </c>
      <c r="C209" s="350">
        <v>30</v>
      </c>
      <c r="D209" s="350">
        <v>460</v>
      </c>
      <c r="E209" s="352">
        <v>91</v>
      </c>
      <c r="F209" s="352">
        <v>91.7</v>
      </c>
      <c r="G209" s="352">
        <v>92.4</v>
      </c>
      <c r="H209" s="352">
        <v>93</v>
      </c>
    </row>
    <row r="210" spans="1:8" x14ac:dyDescent="0.2">
      <c r="A210" s="349" t="s">
        <v>1481</v>
      </c>
      <c r="B210" s="350">
        <v>1200</v>
      </c>
      <c r="C210" s="350">
        <v>40</v>
      </c>
      <c r="D210" s="350">
        <v>460</v>
      </c>
      <c r="E210" s="352">
        <v>91.7</v>
      </c>
      <c r="F210" s="352">
        <v>93</v>
      </c>
      <c r="G210" s="352">
        <v>93.6</v>
      </c>
      <c r="H210" s="352">
        <v>94.1</v>
      </c>
    </row>
    <row r="211" spans="1:8" x14ac:dyDescent="0.2">
      <c r="A211" s="349" t="s">
        <v>1481</v>
      </c>
      <c r="B211" s="350">
        <v>1200</v>
      </c>
      <c r="C211" s="350">
        <v>50</v>
      </c>
      <c r="D211" s="350">
        <v>460</v>
      </c>
      <c r="E211" s="352">
        <v>91.7</v>
      </c>
      <c r="F211" s="352">
        <v>93</v>
      </c>
      <c r="G211" s="352">
        <v>93.6</v>
      </c>
      <c r="H211" s="352">
        <v>94.1</v>
      </c>
    </row>
    <row r="212" spans="1:8" x14ac:dyDescent="0.2">
      <c r="A212" s="349" t="s">
        <v>1481</v>
      </c>
      <c r="B212" s="350">
        <v>1200</v>
      </c>
      <c r="C212" s="350">
        <v>60</v>
      </c>
      <c r="D212" s="350">
        <v>460</v>
      </c>
      <c r="E212" s="352">
        <v>91.7</v>
      </c>
      <c r="F212" s="352">
        <v>93.6</v>
      </c>
      <c r="G212" s="352">
        <v>94.1</v>
      </c>
      <c r="H212" s="352">
        <v>94.5</v>
      </c>
    </row>
    <row r="213" spans="1:8" x14ac:dyDescent="0.2">
      <c r="A213" s="349" t="s">
        <v>1481</v>
      </c>
      <c r="B213" s="350">
        <v>1200</v>
      </c>
      <c r="C213" s="350">
        <v>75</v>
      </c>
      <c r="D213" s="350">
        <v>460</v>
      </c>
      <c r="E213" s="352">
        <v>93</v>
      </c>
      <c r="F213" s="352">
        <v>93.6</v>
      </c>
      <c r="G213" s="352">
        <v>94.1</v>
      </c>
      <c r="H213" s="352">
        <v>94.5</v>
      </c>
    </row>
    <row r="214" spans="1:8" x14ac:dyDescent="0.2">
      <c r="A214" s="349" t="s">
        <v>1481</v>
      </c>
      <c r="B214" s="350">
        <v>1200</v>
      </c>
      <c r="C214" s="350">
        <v>100</v>
      </c>
      <c r="D214" s="350">
        <v>460</v>
      </c>
      <c r="E214" s="352">
        <v>93</v>
      </c>
      <c r="F214" s="352">
        <v>94.1</v>
      </c>
      <c r="G214" s="352">
        <v>94.5</v>
      </c>
      <c r="H214" s="352">
        <v>95</v>
      </c>
    </row>
    <row r="216" spans="1:8" x14ac:dyDescent="0.2">
      <c r="A216" s="346" t="s">
        <v>1551</v>
      </c>
    </row>
    <row r="218" spans="1:8" x14ac:dyDescent="0.2">
      <c r="A218" s="345" t="s">
        <v>1531</v>
      </c>
    </row>
    <row r="219" spans="1:8" x14ac:dyDescent="0.2">
      <c r="A219" s="346" t="s">
        <v>1538</v>
      </c>
    </row>
    <row r="221" spans="1:8" s="348" customFormat="1" x14ac:dyDescent="0.2">
      <c r="A221" s="347" t="s">
        <v>1539</v>
      </c>
      <c r="B221" s="347" t="s">
        <v>1540</v>
      </c>
      <c r="C221" s="347" t="s">
        <v>1541</v>
      </c>
      <c r="D221" s="347" t="s">
        <v>1542</v>
      </c>
      <c r="E221" s="347" t="s">
        <v>1543</v>
      </c>
      <c r="F221" s="347" t="s">
        <v>1544</v>
      </c>
      <c r="G221" s="347" t="s">
        <v>1545</v>
      </c>
      <c r="H221" s="347" t="s">
        <v>1546</v>
      </c>
    </row>
    <row r="222" spans="1:8" x14ac:dyDescent="0.2">
      <c r="A222" s="349" t="s">
        <v>1481</v>
      </c>
      <c r="B222" s="350">
        <v>1200</v>
      </c>
      <c r="C222" s="350">
        <v>125</v>
      </c>
      <c r="D222" s="350">
        <v>460</v>
      </c>
      <c r="E222" s="352">
        <v>93</v>
      </c>
      <c r="F222" s="352">
        <v>94.1</v>
      </c>
      <c r="G222" s="352">
        <v>94.5</v>
      </c>
      <c r="H222" s="352">
        <v>95</v>
      </c>
    </row>
    <row r="223" spans="1:8" x14ac:dyDescent="0.2">
      <c r="A223" s="349" t="s">
        <v>1481</v>
      </c>
      <c r="B223" s="350">
        <v>1200</v>
      </c>
      <c r="C223" s="350">
        <v>150</v>
      </c>
      <c r="D223" s="350">
        <v>460</v>
      </c>
      <c r="E223" s="352">
        <v>94.1</v>
      </c>
      <c r="F223" s="352">
        <v>95</v>
      </c>
      <c r="G223" s="352">
        <v>95.4</v>
      </c>
      <c r="H223" s="352">
        <v>95.8</v>
      </c>
    </row>
    <row r="224" spans="1:8" x14ac:dyDescent="0.2">
      <c r="A224" s="349" t="s">
        <v>1481</v>
      </c>
      <c r="B224" s="350">
        <v>1200</v>
      </c>
      <c r="C224" s="350">
        <v>200</v>
      </c>
      <c r="D224" s="350">
        <v>460</v>
      </c>
      <c r="E224" s="352">
        <v>94.1</v>
      </c>
      <c r="F224" s="352">
        <v>95</v>
      </c>
      <c r="G224" s="352">
        <v>95.4</v>
      </c>
      <c r="H224" s="352">
        <v>95.8</v>
      </c>
    </row>
    <row r="225" spans="1:8" x14ac:dyDescent="0.2">
      <c r="A225" s="349" t="s">
        <v>1481</v>
      </c>
      <c r="B225" s="350">
        <v>1200</v>
      </c>
      <c r="C225" s="350">
        <v>250</v>
      </c>
      <c r="D225" s="350">
        <v>460</v>
      </c>
      <c r="E225" s="351"/>
      <c r="F225" s="352">
        <v>95</v>
      </c>
      <c r="G225" s="352">
        <v>95</v>
      </c>
      <c r="H225" s="352">
        <v>95.8</v>
      </c>
    </row>
    <row r="226" spans="1:8" x14ac:dyDescent="0.2">
      <c r="A226" s="349" t="s">
        <v>1481</v>
      </c>
      <c r="B226" s="350">
        <v>1200</v>
      </c>
      <c r="C226" s="350">
        <v>300</v>
      </c>
      <c r="D226" s="350">
        <v>460</v>
      </c>
      <c r="E226" s="351"/>
      <c r="F226" s="352">
        <v>95</v>
      </c>
      <c r="G226" s="352">
        <v>95</v>
      </c>
      <c r="H226" s="352">
        <v>95.8</v>
      </c>
    </row>
    <row r="227" spans="1:8" x14ac:dyDescent="0.2">
      <c r="A227" s="349" t="s">
        <v>1481</v>
      </c>
      <c r="B227" s="350">
        <v>1200</v>
      </c>
      <c r="C227" s="350">
        <v>350</v>
      </c>
      <c r="D227" s="350">
        <v>460</v>
      </c>
      <c r="E227" s="351"/>
      <c r="F227" s="352">
        <v>95</v>
      </c>
      <c r="G227" s="352">
        <v>95</v>
      </c>
      <c r="H227" s="352">
        <v>95.8</v>
      </c>
    </row>
    <row r="228" spans="1:8" x14ac:dyDescent="0.2">
      <c r="A228" s="349" t="s">
        <v>1481</v>
      </c>
      <c r="B228" s="350">
        <v>1200</v>
      </c>
      <c r="C228" s="350">
        <v>400</v>
      </c>
      <c r="D228" s="350">
        <v>460</v>
      </c>
      <c r="E228" s="351"/>
      <c r="F228" s="351"/>
      <c r="G228" s="351"/>
      <c r="H228" s="352">
        <v>95.8</v>
      </c>
    </row>
    <row r="229" spans="1:8" x14ac:dyDescent="0.2">
      <c r="A229" s="349" t="s">
        <v>1481</v>
      </c>
      <c r="B229" s="350">
        <v>1200</v>
      </c>
      <c r="C229" s="350">
        <v>450</v>
      </c>
      <c r="D229" s="350">
        <v>460</v>
      </c>
      <c r="E229" s="351"/>
      <c r="F229" s="351"/>
      <c r="G229" s="351"/>
      <c r="H229" s="352">
        <v>95.8</v>
      </c>
    </row>
    <row r="230" spans="1:8" x14ac:dyDescent="0.2">
      <c r="A230" s="349" t="s">
        <v>1481</v>
      </c>
      <c r="B230" s="350">
        <v>1200</v>
      </c>
      <c r="C230" s="350">
        <v>500</v>
      </c>
      <c r="D230" s="350">
        <v>460</v>
      </c>
      <c r="E230" s="351"/>
      <c r="F230" s="351"/>
      <c r="G230" s="351"/>
      <c r="H230" s="352">
        <v>95.8</v>
      </c>
    </row>
    <row r="231" spans="1:8" x14ac:dyDescent="0.2">
      <c r="A231" s="349" t="s">
        <v>1481</v>
      </c>
      <c r="B231" s="350">
        <v>900</v>
      </c>
      <c r="C231" s="350">
        <v>1</v>
      </c>
      <c r="D231" s="350">
        <v>460</v>
      </c>
      <c r="E231" s="352">
        <v>72</v>
      </c>
      <c r="F231" s="352">
        <v>74</v>
      </c>
      <c r="G231" s="352">
        <v>75.5</v>
      </c>
      <c r="H231" s="351"/>
    </row>
    <row r="232" spans="1:8" x14ac:dyDescent="0.2">
      <c r="A232" s="349" t="s">
        <v>1481</v>
      </c>
      <c r="B232" s="350">
        <v>900</v>
      </c>
      <c r="C232" s="352">
        <v>1.5</v>
      </c>
      <c r="D232" s="350">
        <v>460</v>
      </c>
      <c r="E232" s="352">
        <v>75.5</v>
      </c>
      <c r="F232" s="352">
        <v>77</v>
      </c>
      <c r="G232" s="352">
        <v>78.5</v>
      </c>
      <c r="H232" s="351"/>
    </row>
    <row r="233" spans="1:8" x14ac:dyDescent="0.2">
      <c r="A233" s="349" t="s">
        <v>1481</v>
      </c>
      <c r="B233" s="350">
        <v>900</v>
      </c>
      <c r="C233" s="350">
        <v>2</v>
      </c>
      <c r="D233" s="350">
        <v>460</v>
      </c>
      <c r="E233" s="352">
        <v>82.5</v>
      </c>
      <c r="F233" s="352">
        <v>82.5</v>
      </c>
      <c r="G233" s="352">
        <v>84</v>
      </c>
      <c r="H233" s="351"/>
    </row>
    <row r="234" spans="1:8" x14ac:dyDescent="0.2">
      <c r="A234" s="349" t="s">
        <v>1481</v>
      </c>
      <c r="B234" s="350">
        <v>900</v>
      </c>
      <c r="C234" s="350">
        <v>3</v>
      </c>
      <c r="D234" s="350">
        <v>460</v>
      </c>
      <c r="E234" s="352">
        <v>81.5</v>
      </c>
      <c r="F234" s="352">
        <v>84</v>
      </c>
      <c r="G234" s="352">
        <v>85.5</v>
      </c>
      <c r="H234" s="351"/>
    </row>
    <row r="235" spans="1:8" x14ac:dyDescent="0.2">
      <c r="A235" s="349" t="s">
        <v>1481</v>
      </c>
      <c r="B235" s="350">
        <v>900</v>
      </c>
      <c r="C235" s="350">
        <v>5</v>
      </c>
      <c r="D235" s="350">
        <v>460</v>
      </c>
      <c r="E235" s="352">
        <v>84</v>
      </c>
      <c r="F235" s="352">
        <v>85.5</v>
      </c>
      <c r="G235" s="352">
        <v>86.5</v>
      </c>
      <c r="H235" s="351"/>
    </row>
    <row r="236" spans="1:8" x14ac:dyDescent="0.2">
      <c r="A236" s="349" t="s">
        <v>1481</v>
      </c>
      <c r="B236" s="350">
        <v>900</v>
      </c>
      <c r="C236" s="352">
        <v>7.5</v>
      </c>
      <c r="D236" s="350">
        <v>460</v>
      </c>
      <c r="E236" s="352">
        <v>85.5</v>
      </c>
      <c r="F236" s="352">
        <v>85.5</v>
      </c>
      <c r="G236" s="352">
        <v>86.5</v>
      </c>
      <c r="H236" s="351"/>
    </row>
    <row r="237" spans="1:8" x14ac:dyDescent="0.2">
      <c r="A237" s="349" t="s">
        <v>1481</v>
      </c>
      <c r="B237" s="350">
        <v>900</v>
      </c>
      <c r="C237" s="350">
        <v>10</v>
      </c>
      <c r="D237" s="350">
        <v>460</v>
      </c>
      <c r="E237" s="352">
        <v>87.5</v>
      </c>
      <c r="F237" s="352">
        <v>88.5</v>
      </c>
      <c r="G237" s="352">
        <v>89.5</v>
      </c>
      <c r="H237" s="351"/>
    </row>
    <row r="238" spans="1:8" x14ac:dyDescent="0.2">
      <c r="A238" s="349" t="s">
        <v>1481</v>
      </c>
      <c r="B238" s="350">
        <v>900</v>
      </c>
      <c r="C238" s="350">
        <v>15</v>
      </c>
      <c r="D238" s="350">
        <v>460</v>
      </c>
      <c r="E238" s="352">
        <v>88.5</v>
      </c>
      <c r="F238" s="352">
        <v>88.5</v>
      </c>
      <c r="G238" s="352">
        <v>89.5</v>
      </c>
      <c r="H238" s="351"/>
    </row>
    <row r="239" spans="1:8" x14ac:dyDescent="0.2">
      <c r="A239" s="349" t="s">
        <v>1481</v>
      </c>
      <c r="B239" s="350">
        <v>900</v>
      </c>
      <c r="C239" s="350">
        <v>20</v>
      </c>
      <c r="D239" s="350">
        <v>460</v>
      </c>
      <c r="E239" s="352">
        <v>89.5</v>
      </c>
      <c r="F239" s="352">
        <v>89.5</v>
      </c>
      <c r="G239" s="352">
        <v>90.2</v>
      </c>
      <c r="H239" s="351"/>
    </row>
    <row r="240" spans="1:8" x14ac:dyDescent="0.2">
      <c r="A240" s="349" t="s">
        <v>1481</v>
      </c>
      <c r="B240" s="350">
        <v>900</v>
      </c>
      <c r="C240" s="350">
        <v>25</v>
      </c>
      <c r="D240" s="350">
        <v>460</v>
      </c>
      <c r="E240" s="352">
        <v>89.5</v>
      </c>
      <c r="F240" s="352">
        <v>89.5</v>
      </c>
      <c r="G240" s="352">
        <v>90.2</v>
      </c>
      <c r="H240" s="351"/>
    </row>
    <row r="241" spans="1:8" x14ac:dyDescent="0.2">
      <c r="A241" s="349" t="s">
        <v>1481</v>
      </c>
      <c r="B241" s="350">
        <v>900</v>
      </c>
      <c r="C241" s="350">
        <v>30</v>
      </c>
      <c r="D241" s="350">
        <v>460</v>
      </c>
      <c r="E241" s="352">
        <v>90.2</v>
      </c>
      <c r="F241" s="352">
        <v>91</v>
      </c>
      <c r="G241" s="352">
        <v>91.7</v>
      </c>
      <c r="H241" s="351"/>
    </row>
    <row r="242" spans="1:8" x14ac:dyDescent="0.2">
      <c r="A242" s="349" t="s">
        <v>1481</v>
      </c>
      <c r="B242" s="350">
        <v>900</v>
      </c>
      <c r="C242" s="350">
        <v>40</v>
      </c>
      <c r="D242" s="350">
        <v>460</v>
      </c>
      <c r="E242" s="352">
        <v>90.2</v>
      </c>
      <c r="F242" s="352">
        <v>91</v>
      </c>
      <c r="G242" s="352">
        <v>91.7</v>
      </c>
      <c r="H242" s="351"/>
    </row>
    <row r="243" spans="1:8" x14ac:dyDescent="0.2">
      <c r="A243" s="349" t="s">
        <v>1481</v>
      </c>
      <c r="B243" s="350">
        <v>900</v>
      </c>
      <c r="C243" s="350">
        <v>50</v>
      </c>
      <c r="D243" s="350">
        <v>460</v>
      </c>
      <c r="E243" s="352">
        <v>91</v>
      </c>
      <c r="F243" s="352">
        <v>91.7</v>
      </c>
      <c r="G243" s="352">
        <v>92.4</v>
      </c>
      <c r="H243" s="351"/>
    </row>
    <row r="244" spans="1:8" x14ac:dyDescent="0.2">
      <c r="A244" s="349" t="s">
        <v>1481</v>
      </c>
      <c r="B244" s="350">
        <v>900</v>
      </c>
      <c r="C244" s="350">
        <v>60</v>
      </c>
      <c r="D244" s="350">
        <v>460</v>
      </c>
      <c r="E244" s="352">
        <v>91.7</v>
      </c>
      <c r="F244" s="352">
        <v>91.7</v>
      </c>
      <c r="G244" s="352">
        <v>92.4</v>
      </c>
      <c r="H244" s="351"/>
    </row>
    <row r="245" spans="1:8" x14ac:dyDescent="0.2">
      <c r="A245" s="349" t="s">
        <v>1481</v>
      </c>
      <c r="B245" s="350">
        <v>900</v>
      </c>
      <c r="C245" s="350">
        <v>75</v>
      </c>
      <c r="D245" s="350">
        <v>460</v>
      </c>
      <c r="E245" s="352">
        <v>93</v>
      </c>
      <c r="F245" s="352">
        <v>93</v>
      </c>
      <c r="G245" s="352">
        <v>93.6</v>
      </c>
      <c r="H245" s="351"/>
    </row>
    <row r="246" spans="1:8" x14ac:dyDescent="0.2">
      <c r="A246" s="349" t="s">
        <v>1481</v>
      </c>
      <c r="B246" s="350">
        <v>900</v>
      </c>
      <c r="C246" s="350">
        <v>100</v>
      </c>
      <c r="D246" s="350">
        <v>460</v>
      </c>
      <c r="E246" s="352">
        <v>93</v>
      </c>
      <c r="F246" s="352">
        <v>93</v>
      </c>
      <c r="G246" s="352">
        <v>93.6</v>
      </c>
      <c r="H246" s="351"/>
    </row>
    <row r="247" spans="1:8" x14ac:dyDescent="0.2">
      <c r="A247" s="349" t="s">
        <v>1481</v>
      </c>
      <c r="B247" s="350">
        <v>900</v>
      </c>
      <c r="C247" s="350">
        <v>125</v>
      </c>
      <c r="D247" s="350">
        <v>460</v>
      </c>
      <c r="E247" s="352">
        <v>93.6</v>
      </c>
      <c r="F247" s="352">
        <v>93.6</v>
      </c>
      <c r="G247" s="352">
        <v>94.1</v>
      </c>
      <c r="H247" s="351"/>
    </row>
    <row r="248" spans="1:8" x14ac:dyDescent="0.2">
      <c r="A248" s="349" t="s">
        <v>1481</v>
      </c>
      <c r="B248" s="350">
        <v>900</v>
      </c>
      <c r="C248" s="350">
        <v>150</v>
      </c>
      <c r="D248" s="350">
        <v>460</v>
      </c>
      <c r="E248" s="352">
        <v>93.6</v>
      </c>
      <c r="F248" s="352">
        <v>93.6</v>
      </c>
      <c r="G248" s="352">
        <v>94.1</v>
      </c>
      <c r="H248" s="351"/>
    </row>
    <row r="249" spans="1:8" x14ac:dyDescent="0.2">
      <c r="A249" s="349" t="s">
        <v>1481</v>
      </c>
      <c r="B249" s="350">
        <v>900</v>
      </c>
      <c r="C249" s="350">
        <v>200</v>
      </c>
      <c r="D249" s="350">
        <v>460</v>
      </c>
      <c r="E249" s="352">
        <v>94.1</v>
      </c>
      <c r="F249" s="352">
        <v>94.1</v>
      </c>
      <c r="G249" s="352">
        <v>94.5</v>
      </c>
      <c r="H249" s="351"/>
    </row>
    <row r="250" spans="1:8" x14ac:dyDescent="0.2">
      <c r="A250" s="349" t="s">
        <v>1481</v>
      </c>
      <c r="B250" s="350">
        <v>900</v>
      </c>
      <c r="C250" s="350">
        <v>250</v>
      </c>
      <c r="D250" s="350">
        <v>460</v>
      </c>
      <c r="E250" s="351"/>
      <c r="F250" s="352">
        <v>94.5</v>
      </c>
      <c r="G250" s="352">
        <v>94.5</v>
      </c>
      <c r="H250" s="351"/>
    </row>
    <row r="251" spans="1:8" x14ac:dyDescent="0.2">
      <c r="A251" s="349" t="s">
        <v>1481</v>
      </c>
      <c r="B251" s="350">
        <v>900</v>
      </c>
      <c r="C251" s="350">
        <v>300</v>
      </c>
      <c r="D251" s="350">
        <v>460</v>
      </c>
      <c r="E251" s="351"/>
      <c r="F251" s="351"/>
      <c r="G251" s="351"/>
      <c r="H251" s="351"/>
    </row>
    <row r="252" spans="1:8" x14ac:dyDescent="0.2">
      <c r="A252" s="349" t="s">
        <v>1481</v>
      </c>
      <c r="B252" s="350">
        <v>900</v>
      </c>
      <c r="C252" s="350">
        <v>350</v>
      </c>
      <c r="D252" s="350">
        <v>460</v>
      </c>
      <c r="E252" s="351"/>
      <c r="F252" s="351"/>
      <c r="G252" s="351"/>
      <c r="H252" s="351"/>
    </row>
    <row r="253" spans="1:8" x14ac:dyDescent="0.2">
      <c r="A253" s="349" t="s">
        <v>1481</v>
      </c>
      <c r="B253" s="350">
        <v>900</v>
      </c>
      <c r="C253" s="350">
        <v>400</v>
      </c>
      <c r="D253" s="350">
        <v>460</v>
      </c>
      <c r="E253" s="351"/>
      <c r="F253" s="351"/>
      <c r="G253" s="351"/>
      <c r="H253" s="351"/>
    </row>
    <row r="254" spans="1:8" x14ac:dyDescent="0.2">
      <c r="A254" s="349" t="s">
        <v>1481</v>
      </c>
      <c r="B254" s="350">
        <v>900</v>
      </c>
      <c r="C254" s="350">
        <v>450</v>
      </c>
      <c r="D254" s="350">
        <v>460</v>
      </c>
      <c r="E254" s="351"/>
      <c r="F254" s="351"/>
      <c r="G254" s="351"/>
      <c r="H254" s="351"/>
    </row>
    <row r="256" spans="1:8" x14ac:dyDescent="0.2">
      <c r="A256" s="346" t="s">
        <v>1552</v>
      </c>
    </row>
    <row r="258" spans="1:8" x14ac:dyDescent="0.2">
      <c r="A258" s="345" t="s">
        <v>1531</v>
      </c>
    </row>
    <row r="259" spans="1:8" x14ac:dyDescent="0.2">
      <c r="A259" s="346" t="s">
        <v>1538</v>
      </c>
    </row>
    <row r="261" spans="1:8" s="348" customFormat="1" x14ac:dyDescent="0.2">
      <c r="A261" s="347" t="s">
        <v>1539</v>
      </c>
      <c r="B261" s="347" t="s">
        <v>1540</v>
      </c>
      <c r="C261" s="347" t="s">
        <v>1541</v>
      </c>
      <c r="D261" s="347" t="s">
        <v>1542</v>
      </c>
      <c r="E261" s="347" t="s">
        <v>1543</v>
      </c>
      <c r="F261" s="347" t="s">
        <v>1544</v>
      </c>
      <c r="G261" s="347" t="s">
        <v>1545</v>
      </c>
      <c r="H261" s="347" t="s">
        <v>1546</v>
      </c>
    </row>
    <row r="262" spans="1:8" x14ac:dyDescent="0.2">
      <c r="A262" s="349" t="s">
        <v>1481</v>
      </c>
      <c r="B262" s="350">
        <v>900</v>
      </c>
      <c r="C262" s="350">
        <v>500</v>
      </c>
      <c r="D262" s="350">
        <v>460</v>
      </c>
      <c r="E262" s="351"/>
      <c r="F262" s="351"/>
      <c r="G262" s="351"/>
      <c r="H262" s="351"/>
    </row>
    <row r="263" spans="1:8" x14ac:dyDescent="0.2">
      <c r="A263" s="349" t="s">
        <v>1480</v>
      </c>
      <c r="B263" s="350">
        <v>3600</v>
      </c>
      <c r="C263" s="350">
        <v>250</v>
      </c>
      <c r="D263" s="350">
        <v>4000</v>
      </c>
      <c r="E263" s="351"/>
      <c r="F263" s="351"/>
      <c r="G263" s="351"/>
      <c r="H263" s="352">
        <v>94.5</v>
      </c>
    </row>
    <row r="264" spans="1:8" x14ac:dyDescent="0.2">
      <c r="A264" s="349" t="s">
        <v>1480</v>
      </c>
      <c r="B264" s="350">
        <v>3600</v>
      </c>
      <c r="C264" s="350">
        <v>300</v>
      </c>
      <c r="D264" s="350">
        <v>4000</v>
      </c>
      <c r="E264" s="351"/>
      <c r="F264" s="351"/>
      <c r="G264" s="351"/>
      <c r="H264" s="352">
        <v>94.5</v>
      </c>
    </row>
    <row r="265" spans="1:8" x14ac:dyDescent="0.2">
      <c r="A265" s="349" t="s">
        <v>1480</v>
      </c>
      <c r="B265" s="350">
        <v>3600</v>
      </c>
      <c r="C265" s="350">
        <v>350</v>
      </c>
      <c r="D265" s="350">
        <v>4000</v>
      </c>
      <c r="E265" s="351"/>
      <c r="F265" s="351"/>
      <c r="G265" s="351"/>
      <c r="H265" s="352">
        <v>94.5</v>
      </c>
    </row>
    <row r="266" spans="1:8" x14ac:dyDescent="0.2">
      <c r="A266" s="349" t="s">
        <v>1480</v>
      </c>
      <c r="B266" s="350">
        <v>3600</v>
      </c>
      <c r="C266" s="350">
        <v>400</v>
      </c>
      <c r="D266" s="350">
        <v>4000</v>
      </c>
      <c r="E266" s="351"/>
      <c r="F266" s="351"/>
      <c r="G266" s="351"/>
      <c r="H266" s="352">
        <v>94.5</v>
      </c>
    </row>
    <row r="267" spans="1:8" x14ac:dyDescent="0.2">
      <c r="A267" s="349" t="s">
        <v>1480</v>
      </c>
      <c r="B267" s="350">
        <v>3600</v>
      </c>
      <c r="C267" s="350">
        <v>450</v>
      </c>
      <c r="D267" s="350">
        <v>4000</v>
      </c>
      <c r="E267" s="351"/>
      <c r="F267" s="351"/>
      <c r="G267" s="351"/>
      <c r="H267" s="352">
        <v>94.5</v>
      </c>
    </row>
    <row r="268" spans="1:8" x14ac:dyDescent="0.2">
      <c r="A268" s="349" t="s">
        <v>1480</v>
      </c>
      <c r="B268" s="350">
        <v>3600</v>
      </c>
      <c r="C268" s="350">
        <v>500</v>
      </c>
      <c r="D268" s="350">
        <v>4000</v>
      </c>
      <c r="E268" s="351"/>
      <c r="F268" s="351"/>
      <c r="G268" s="351"/>
      <c r="H268" s="352">
        <v>94.5</v>
      </c>
    </row>
    <row r="269" spans="1:8" x14ac:dyDescent="0.2">
      <c r="A269" s="349" t="s">
        <v>1480</v>
      </c>
      <c r="B269" s="350">
        <v>1800</v>
      </c>
      <c r="C269" s="350">
        <v>250</v>
      </c>
      <c r="D269" s="350">
        <v>4000</v>
      </c>
      <c r="E269" s="351"/>
      <c r="F269" s="351"/>
      <c r="G269" s="351"/>
      <c r="H269" s="352">
        <v>95</v>
      </c>
    </row>
    <row r="270" spans="1:8" x14ac:dyDescent="0.2">
      <c r="A270" s="349" t="s">
        <v>1480</v>
      </c>
      <c r="B270" s="350">
        <v>1800</v>
      </c>
      <c r="C270" s="350">
        <v>300</v>
      </c>
      <c r="D270" s="350">
        <v>4000</v>
      </c>
      <c r="E270" s="351"/>
      <c r="F270" s="351"/>
      <c r="G270" s="351"/>
      <c r="H270" s="352">
        <v>95</v>
      </c>
    </row>
    <row r="271" spans="1:8" x14ac:dyDescent="0.2">
      <c r="A271" s="349" t="s">
        <v>1480</v>
      </c>
      <c r="B271" s="350">
        <v>1800</v>
      </c>
      <c r="C271" s="350">
        <v>350</v>
      </c>
      <c r="D271" s="350">
        <v>4000</v>
      </c>
      <c r="E271" s="351"/>
      <c r="F271" s="351"/>
      <c r="G271" s="351"/>
      <c r="H271" s="352">
        <v>95</v>
      </c>
    </row>
    <row r="272" spans="1:8" x14ac:dyDescent="0.2">
      <c r="A272" s="349" t="s">
        <v>1480</v>
      </c>
      <c r="B272" s="350">
        <v>1800</v>
      </c>
      <c r="C272" s="350">
        <v>400</v>
      </c>
      <c r="D272" s="350">
        <v>4000</v>
      </c>
      <c r="E272" s="351"/>
      <c r="F272" s="351"/>
      <c r="G272" s="351"/>
      <c r="H272" s="352">
        <v>95</v>
      </c>
    </row>
    <row r="273" spans="1:8" x14ac:dyDescent="0.2">
      <c r="A273" s="349" t="s">
        <v>1480</v>
      </c>
      <c r="B273" s="350">
        <v>1800</v>
      </c>
      <c r="C273" s="350">
        <v>450</v>
      </c>
      <c r="D273" s="350">
        <v>4000</v>
      </c>
      <c r="E273" s="351"/>
      <c r="F273" s="351"/>
      <c r="G273" s="351"/>
      <c r="H273" s="352">
        <v>95</v>
      </c>
    </row>
    <row r="274" spans="1:8" x14ac:dyDescent="0.2">
      <c r="A274" s="349" t="s">
        <v>1480</v>
      </c>
      <c r="B274" s="350">
        <v>1800</v>
      </c>
      <c r="C274" s="350">
        <v>500</v>
      </c>
      <c r="D274" s="350">
        <v>4000</v>
      </c>
      <c r="E274" s="351"/>
      <c r="F274" s="351"/>
      <c r="G274" s="351"/>
      <c r="H274" s="352">
        <v>95</v>
      </c>
    </row>
    <row r="275" spans="1:8" x14ac:dyDescent="0.2">
      <c r="A275" s="349" t="s">
        <v>1480</v>
      </c>
      <c r="B275" s="350">
        <v>1200</v>
      </c>
      <c r="C275" s="350">
        <v>250</v>
      </c>
      <c r="D275" s="350">
        <v>4000</v>
      </c>
      <c r="E275" s="351"/>
      <c r="F275" s="351"/>
      <c r="G275" s="351"/>
      <c r="H275" s="352">
        <v>95</v>
      </c>
    </row>
    <row r="276" spans="1:8" x14ac:dyDescent="0.2">
      <c r="A276" s="349" t="s">
        <v>1480</v>
      </c>
      <c r="B276" s="350">
        <v>1200</v>
      </c>
      <c r="C276" s="350">
        <v>300</v>
      </c>
      <c r="D276" s="350">
        <v>4000</v>
      </c>
      <c r="E276" s="351"/>
      <c r="F276" s="351"/>
      <c r="G276" s="351"/>
      <c r="H276" s="352">
        <v>95</v>
      </c>
    </row>
    <row r="277" spans="1:8" x14ac:dyDescent="0.2">
      <c r="A277" s="349" t="s">
        <v>1480</v>
      </c>
      <c r="B277" s="350">
        <v>1200</v>
      </c>
      <c r="C277" s="350">
        <v>350</v>
      </c>
      <c r="D277" s="350">
        <v>4000</v>
      </c>
      <c r="E277" s="351"/>
      <c r="F277" s="351"/>
      <c r="G277" s="351"/>
      <c r="H277" s="352">
        <v>95</v>
      </c>
    </row>
    <row r="278" spans="1:8" x14ac:dyDescent="0.2">
      <c r="A278" s="349" t="s">
        <v>1480</v>
      </c>
      <c r="B278" s="350">
        <v>1200</v>
      </c>
      <c r="C278" s="350">
        <v>400</v>
      </c>
      <c r="D278" s="350">
        <v>4000</v>
      </c>
      <c r="E278" s="351"/>
      <c r="F278" s="351"/>
      <c r="G278" s="351"/>
      <c r="H278" s="352">
        <v>95</v>
      </c>
    </row>
    <row r="279" spans="1:8" x14ac:dyDescent="0.2">
      <c r="A279" s="349" t="s">
        <v>1480</v>
      </c>
      <c r="B279" s="350">
        <v>1200</v>
      </c>
      <c r="C279" s="350">
        <v>450</v>
      </c>
      <c r="D279" s="350">
        <v>4000</v>
      </c>
      <c r="E279" s="351"/>
      <c r="F279" s="351"/>
      <c r="G279" s="351"/>
      <c r="H279" s="352">
        <v>95</v>
      </c>
    </row>
    <row r="280" spans="1:8" x14ac:dyDescent="0.2">
      <c r="A280" s="349" t="s">
        <v>1480</v>
      </c>
      <c r="B280" s="350">
        <v>1200</v>
      </c>
      <c r="C280" s="350">
        <v>500</v>
      </c>
      <c r="D280" s="350">
        <v>4000</v>
      </c>
      <c r="E280" s="351"/>
      <c r="F280" s="351"/>
      <c r="G280" s="351"/>
      <c r="H280" s="352">
        <v>95</v>
      </c>
    </row>
    <row r="281" spans="1:8" x14ac:dyDescent="0.2">
      <c r="A281" s="349" t="s">
        <v>1480</v>
      </c>
      <c r="B281" s="350">
        <v>3600</v>
      </c>
      <c r="C281" s="350">
        <v>300</v>
      </c>
      <c r="D281" s="350">
        <v>4000</v>
      </c>
      <c r="E281" s="351"/>
      <c r="F281" s="351"/>
      <c r="G281" s="351"/>
      <c r="H281" s="352">
        <v>94.5</v>
      </c>
    </row>
    <row r="282" spans="1:8" x14ac:dyDescent="0.2">
      <c r="A282" s="349" t="s">
        <v>1480</v>
      </c>
      <c r="B282" s="350">
        <v>3600</v>
      </c>
      <c r="C282" s="350">
        <v>350</v>
      </c>
      <c r="D282" s="350">
        <v>4000</v>
      </c>
      <c r="E282" s="351"/>
      <c r="F282" s="351"/>
      <c r="G282" s="351"/>
      <c r="H282" s="352">
        <v>94.5</v>
      </c>
    </row>
    <row r="283" spans="1:8" x14ac:dyDescent="0.2">
      <c r="A283" s="349" t="s">
        <v>1480</v>
      </c>
      <c r="B283" s="350">
        <v>3600</v>
      </c>
      <c r="C283" s="350">
        <v>400</v>
      </c>
      <c r="D283" s="350">
        <v>4000</v>
      </c>
      <c r="E283" s="351"/>
      <c r="F283" s="351"/>
      <c r="G283" s="351"/>
      <c r="H283" s="352">
        <v>94.5</v>
      </c>
    </row>
    <row r="284" spans="1:8" x14ac:dyDescent="0.2">
      <c r="A284" s="349" t="s">
        <v>1480</v>
      </c>
      <c r="B284" s="350">
        <v>3600</v>
      </c>
      <c r="C284" s="350">
        <v>450</v>
      </c>
      <c r="D284" s="350">
        <v>4000</v>
      </c>
      <c r="E284" s="351"/>
      <c r="F284" s="351"/>
      <c r="G284" s="351"/>
      <c r="H284" s="352">
        <v>94.5</v>
      </c>
    </row>
    <row r="285" spans="1:8" x14ac:dyDescent="0.2">
      <c r="A285" s="349" t="s">
        <v>1480</v>
      </c>
      <c r="B285" s="350">
        <v>3600</v>
      </c>
      <c r="C285" s="350">
        <v>500</v>
      </c>
      <c r="D285" s="350">
        <v>4000</v>
      </c>
      <c r="E285" s="351"/>
      <c r="F285" s="351"/>
      <c r="G285" s="351"/>
      <c r="H285" s="352">
        <v>94.5</v>
      </c>
    </row>
    <row r="286" spans="1:8" x14ac:dyDescent="0.2">
      <c r="A286" s="349" t="s">
        <v>1480</v>
      </c>
      <c r="B286" s="350">
        <v>900</v>
      </c>
      <c r="C286" s="350">
        <v>250</v>
      </c>
      <c r="D286" s="350">
        <v>4000</v>
      </c>
      <c r="E286" s="351"/>
      <c r="F286" s="351"/>
      <c r="G286" s="351"/>
      <c r="H286" s="351"/>
    </row>
    <row r="287" spans="1:8" x14ac:dyDescent="0.2">
      <c r="A287" s="349" t="s">
        <v>1480</v>
      </c>
      <c r="B287" s="350">
        <v>900</v>
      </c>
      <c r="C287" s="350">
        <v>300</v>
      </c>
      <c r="D287" s="350">
        <v>4000</v>
      </c>
      <c r="E287" s="351"/>
      <c r="F287" s="351"/>
      <c r="G287" s="351"/>
      <c r="H287" s="351"/>
    </row>
    <row r="288" spans="1:8" x14ac:dyDescent="0.2">
      <c r="A288" s="349" t="s">
        <v>1480</v>
      </c>
      <c r="B288" s="350">
        <v>900</v>
      </c>
      <c r="C288" s="350">
        <v>350</v>
      </c>
      <c r="D288" s="350">
        <v>4000</v>
      </c>
      <c r="E288" s="351"/>
      <c r="F288" s="351"/>
      <c r="G288" s="351"/>
      <c r="H288" s="351"/>
    </row>
    <row r="289" spans="1:8" x14ac:dyDescent="0.2">
      <c r="A289" s="349" t="s">
        <v>1480</v>
      </c>
      <c r="B289" s="350">
        <v>900</v>
      </c>
      <c r="C289" s="350">
        <v>400</v>
      </c>
      <c r="D289" s="350">
        <v>4000</v>
      </c>
      <c r="E289" s="351"/>
      <c r="F289" s="351"/>
      <c r="G289" s="351"/>
      <c r="H289" s="351"/>
    </row>
    <row r="290" spans="1:8" x14ac:dyDescent="0.2">
      <c r="A290" s="349" t="s">
        <v>1480</v>
      </c>
      <c r="B290" s="350">
        <v>900</v>
      </c>
      <c r="C290" s="350">
        <v>450</v>
      </c>
      <c r="D290" s="350">
        <v>4000</v>
      </c>
      <c r="E290" s="351"/>
      <c r="F290" s="351"/>
      <c r="G290" s="351"/>
      <c r="H290" s="351"/>
    </row>
    <row r="291" spans="1:8" x14ac:dyDescent="0.2">
      <c r="A291" s="349" t="s">
        <v>1480</v>
      </c>
      <c r="B291" s="350">
        <v>900</v>
      </c>
      <c r="C291" s="350">
        <v>500</v>
      </c>
      <c r="D291" s="350">
        <v>4000</v>
      </c>
      <c r="E291" s="351"/>
      <c r="F291" s="351"/>
      <c r="G291" s="351"/>
      <c r="H291" s="351"/>
    </row>
    <row r="292" spans="1:8" x14ac:dyDescent="0.2">
      <c r="A292" s="349" t="s">
        <v>1481</v>
      </c>
      <c r="B292" s="350">
        <v>3600</v>
      </c>
      <c r="C292" s="350">
        <v>250</v>
      </c>
      <c r="D292" s="350">
        <v>4000</v>
      </c>
      <c r="E292" s="351"/>
      <c r="F292" s="351"/>
      <c r="G292" s="352">
        <v>95</v>
      </c>
      <c r="H292" s="352">
        <v>95</v>
      </c>
    </row>
    <row r="293" spans="1:8" x14ac:dyDescent="0.2">
      <c r="A293" s="349" t="s">
        <v>1481</v>
      </c>
      <c r="B293" s="350">
        <v>3600</v>
      </c>
      <c r="C293" s="350">
        <v>300</v>
      </c>
      <c r="D293" s="350">
        <v>4000</v>
      </c>
      <c r="E293" s="351"/>
      <c r="F293" s="351"/>
      <c r="G293" s="352">
        <v>95</v>
      </c>
      <c r="H293" s="352">
        <v>95</v>
      </c>
    </row>
    <row r="294" spans="1:8" x14ac:dyDescent="0.2">
      <c r="A294" s="349" t="s">
        <v>1481</v>
      </c>
      <c r="B294" s="350">
        <v>3600</v>
      </c>
      <c r="C294" s="350">
        <v>350</v>
      </c>
      <c r="D294" s="350">
        <v>4000</v>
      </c>
      <c r="E294" s="351"/>
      <c r="F294" s="351"/>
      <c r="G294" s="352">
        <v>95</v>
      </c>
      <c r="H294" s="352">
        <v>95</v>
      </c>
    </row>
    <row r="296" spans="1:8" x14ac:dyDescent="0.2">
      <c r="A296" s="346" t="s">
        <v>1553</v>
      </c>
    </row>
    <row r="298" spans="1:8" x14ac:dyDescent="0.2">
      <c r="A298" s="345" t="s">
        <v>1531</v>
      </c>
    </row>
    <row r="299" spans="1:8" x14ac:dyDescent="0.2">
      <c r="A299" s="346" t="s">
        <v>1538</v>
      </c>
    </row>
    <row r="301" spans="1:8" s="348" customFormat="1" x14ac:dyDescent="0.2">
      <c r="A301" s="347" t="s">
        <v>1539</v>
      </c>
      <c r="B301" s="347" t="s">
        <v>1540</v>
      </c>
      <c r="C301" s="347" t="s">
        <v>1541</v>
      </c>
      <c r="D301" s="347" t="s">
        <v>1542</v>
      </c>
      <c r="E301" s="347" t="s">
        <v>1543</v>
      </c>
      <c r="F301" s="347" t="s">
        <v>1544</v>
      </c>
      <c r="G301" s="347" t="s">
        <v>1545</v>
      </c>
      <c r="H301" s="347" t="s">
        <v>1546</v>
      </c>
    </row>
    <row r="302" spans="1:8" x14ac:dyDescent="0.2">
      <c r="A302" s="349" t="s">
        <v>1481</v>
      </c>
      <c r="B302" s="350">
        <v>3600</v>
      </c>
      <c r="C302" s="350">
        <v>400</v>
      </c>
      <c r="D302" s="350">
        <v>4000</v>
      </c>
      <c r="E302" s="351"/>
      <c r="F302" s="351"/>
      <c r="G302" s="352">
        <v>95</v>
      </c>
      <c r="H302" s="352">
        <v>95</v>
      </c>
    </row>
    <row r="303" spans="1:8" x14ac:dyDescent="0.2">
      <c r="A303" s="349" t="s">
        <v>1481</v>
      </c>
      <c r="B303" s="350">
        <v>3600</v>
      </c>
      <c r="C303" s="350">
        <v>450</v>
      </c>
      <c r="D303" s="350">
        <v>4000</v>
      </c>
      <c r="E303" s="351"/>
      <c r="F303" s="351"/>
      <c r="G303" s="352">
        <v>95</v>
      </c>
      <c r="H303" s="352">
        <v>95</v>
      </c>
    </row>
    <row r="304" spans="1:8" x14ac:dyDescent="0.2">
      <c r="A304" s="349" t="s">
        <v>1481</v>
      </c>
      <c r="B304" s="350">
        <v>3600</v>
      </c>
      <c r="C304" s="350">
        <v>500</v>
      </c>
      <c r="D304" s="350">
        <v>4000</v>
      </c>
      <c r="E304" s="351"/>
      <c r="F304" s="351"/>
      <c r="G304" s="352">
        <v>95</v>
      </c>
      <c r="H304" s="352">
        <v>95</v>
      </c>
    </row>
    <row r="305" spans="1:8" x14ac:dyDescent="0.2">
      <c r="A305" s="349" t="s">
        <v>1481</v>
      </c>
      <c r="B305" s="350">
        <v>1800</v>
      </c>
      <c r="C305" s="350">
        <v>250</v>
      </c>
      <c r="D305" s="350">
        <v>4000</v>
      </c>
      <c r="E305" s="351"/>
      <c r="F305" s="351"/>
      <c r="G305" s="352">
        <v>95</v>
      </c>
      <c r="H305" s="352">
        <v>95</v>
      </c>
    </row>
    <row r="306" spans="1:8" x14ac:dyDescent="0.2">
      <c r="A306" s="349" t="s">
        <v>1481</v>
      </c>
      <c r="B306" s="350">
        <v>1800</v>
      </c>
      <c r="C306" s="350">
        <v>300</v>
      </c>
      <c r="D306" s="350">
        <v>4000</v>
      </c>
      <c r="E306" s="351"/>
      <c r="F306" s="351"/>
      <c r="G306" s="352">
        <v>95</v>
      </c>
      <c r="H306" s="352">
        <v>95</v>
      </c>
    </row>
    <row r="307" spans="1:8" x14ac:dyDescent="0.2">
      <c r="A307" s="349" t="s">
        <v>1481</v>
      </c>
      <c r="B307" s="350">
        <v>1800</v>
      </c>
      <c r="C307" s="350">
        <v>350</v>
      </c>
      <c r="D307" s="350">
        <v>4000</v>
      </c>
      <c r="E307" s="351"/>
      <c r="F307" s="351"/>
      <c r="G307" s="352">
        <v>95</v>
      </c>
      <c r="H307" s="352">
        <v>95</v>
      </c>
    </row>
    <row r="308" spans="1:8" x14ac:dyDescent="0.2">
      <c r="A308" s="349" t="s">
        <v>1481</v>
      </c>
      <c r="B308" s="350">
        <v>1800</v>
      </c>
      <c r="C308" s="350">
        <v>400</v>
      </c>
      <c r="D308" s="350">
        <v>4000</v>
      </c>
      <c r="E308" s="351"/>
      <c r="F308" s="351"/>
      <c r="G308" s="352">
        <v>95</v>
      </c>
      <c r="H308" s="352">
        <v>95</v>
      </c>
    </row>
    <row r="309" spans="1:8" x14ac:dyDescent="0.2">
      <c r="A309" s="349" t="s">
        <v>1481</v>
      </c>
      <c r="B309" s="350">
        <v>1800</v>
      </c>
      <c r="C309" s="350">
        <v>450</v>
      </c>
      <c r="D309" s="350">
        <v>4000</v>
      </c>
      <c r="E309" s="351"/>
      <c r="F309" s="351"/>
      <c r="G309" s="352">
        <v>95</v>
      </c>
      <c r="H309" s="352">
        <v>95</v>
      </c>
    </row>
    <row r="310" spans="1:8" x14ac:dyDescent="0.2">
      <c r="A310" s="349" t="s">
        <v>1481</v>
      </c>
      <c r="B310" s="350">
        <v>1800</v>
      </c>
      <c r="C310" s="350">
        <v>500</v>
      </c>
      <c r="D310" s="350">
        <v>4000</v>
      </c>
      <c r="E310" s="351"/>
      <c r="F310" s="351"/>
      <c r="G310" s="352">
        <v>95</v>
      </c>
      <c r="H310" s="352">
        <v>95</v>
      </c>
    </row>
    <row r="311" spans="1:8" x14ac:dyDescent="0.2">
      <c r="A311" s="349" t="s">
        <v>1481</v>
      </c>
      <c r="B311" s="350">
        <v>1200</v>
      </c>
      <c r="C311" s="350">
        <v>250</v>
      </c>
      <c r="D311" s="350">
        <v>4000</v>
      </c>
      <c r="E311" s="351"/>
      <c r="F311" s="351"/>
      <c r="G311" s="352">
        <v>95</v>
      </c>
      <c r="H311" s="352">
        <v>95</v>
      </c>
    </row>
    <row r="312" spans="1:8" x14ac:dyDescent="0.2">
      <c r="A312" s="349" t="s">
        <v>1481</v>
      </c>
      <c r="B312" s="350">
        <v>3600</v>
      </c>
      <c r="C312" s="350">
        <v>300</v>
      </c>
      <c r="D312" s="350">
        <v>4000</v>
      </c>
      <c r="E312" s="351"/>
      <c r="F312" s="351"/>
      <c r="G312" s="352">
        <v>95</v>
      </c>
      <c r="H312" s="352">
        <v>95</v>
      </c>
    </row>
    <row r="313" spans="1:8" x14ac:dyDescent="0.2">
      <c r="A313" s="349" t="s">
        <v>1481</v>
      </c>
      <c r="B313" s="350">
        <v>3600</v>
      </c>
      <c r="C313" s="350">
        <v>350</v>
      </c>
      <c r="D313" s="350">
        <v>4000</v>
      </c>
      <c r="E313" s="351"/>
      <c r="F313" s="351"/>
      <c r="G313" s="352">
        <v>95</v>
      </c>
      <c r="H313" s="352">
        <v>95</v>
      </c>
    </row>
    <row r="314" spans="1:8" x14ac:dyDescent="0.2">
      <c r="A314" s="349" t="s">
        <v>1481</v>
      </c>
      <c r="B314" s="350">
        <v>3600</v>
      </c>
      <c r="C314" s="350">
        <v>400</v>
      </c>
      <c r="D314" s="350">
        <v>4000</v>
      </c>
      <c r="E314" s="351"/>
      <c r="F314" s="351"/>
      <c r="G314" s="352">
        <v>95</v>
      </c>
      <c r="H314" s="352">
        <v>95</v>
      </c>
    </row>
    <row r="315" spans="1:8" x14ac:dyDescent="0.2">
      <c r="A315" s="349" t="s">
        <v>1481</v>
      </c>
      <c r="B315" s="350">
        <v>3600</v>
      </c>
      <c r="C315" s="350">
        <v>450</v>
      </c>
      <c r="D315" s="350">
        <v>4000</v>
      </c>
      <c r="E315" s="351"/>
      <c r="F315" s="351"/>
      <c r="G315" s="352">
        <v>95</v>
      </c>
      <c r="H315" s="352">
        <v>95</v>
      </c>
    </row>
    <row r="316" spans="1:8" x14ac:dyDescent="0.2">
      <c r="A316" s="349" t="s">
        <v>1481</v>
      </c>
      <c r="B316" s="350">
        <v>3600</v>
      </c>
      <c r="C316" s="350">
        <v>500</v>
      </c>
      <c r="D316" s="350">
        <v>4000</v>
      </c>
      <c r="E316" s="351"/>
      <c r="F316" s="351"/>
      <c r="G316" s="352">
        <v>95</v>
      </c>
      <c r="H316" s="352">
        <v>95</v>
      </c>
    </row>
    <row r="317" spans="1:8" x14ac:dyDescent="0.2">
      <c r="A317" s="349" t="s">
        <v>1481</v>
      </c>
      <c r="B317" s="350">
        <v>900</v>
      </c>
      <c r="C317" s="350">
        <v>250</v>
      </c>
      <c r="D317" s="350">
        <v>4000</v>
      </c>
      <c r="E317" s="351"/>
      <c r="F317" s="351"/>
      <c r="G317" s="352">
        <v>95</v>
      </c>
      <c r="H317" s="351"/>
    </row>
    <row r="318" spans="1:8" x14ac:dyDescent="0.2">
      <c r="A318" s="349" t="s">
        <v>1481</v>
      </c>
      <c r="B318" s="350">
        <v>900</v>
      </c>
      <c r="C318" s="350">
        <v>300</v>
      </c>
      <c r="D318" s="350">
        <v>4000</v>
      </c>
      <c r="E318" s="351"/>
      <c r="F318" s="351"/>
      <c r="G318" s="352">
        <v>95</v>
      </c>
      <c r="H318" s="351"/>
    </row>
    <row r="319" spans="1:8" x14ac:dyDescent="0.2">
      <c r="A319" s="349" t="s">
        <v>1481</v>
      </c>
      <c r="B319" s="350">
        <v>900</v>
      </c>
      <c r="C319" s="350">
        <v>350</v>
      </c>
      <c r="D319" s="350">
        <v>4000</v>
      </c>
      <c r="E319" s="351"/>
      <c r="F319" s="351"/>
      <c r="G319" s="352">
        <v>95</v>
      </c>
      <c r="H319" s="351"/>
    </row>
    <row r="320" spans="1:8" x14ac:dyDescent="0.2">
      <c r="A320" s="349" t="s">
        <v>1481</v>
      </c>
      <c r="B320" s="350">
        <v>900</v>
      </c>
      <c r="C320" s="350">
        <v>400</v>
      </c>
      <c r="D320" s="350">
        <v>4000</v>
      </c>
      <c r="E320" s="351"/>
      <c r="F320" s="351"/>
      <c r="G320" s="352">
        <v>95</v>
      </c>
      <c r="H320" s="351"/>
    </row>
    <row r="321" spans="1:8" x14ac:dyDescent="0.2">
      <c r="A321" s="349" t="s">
        <v>1481</v>
      </c>
      <c r="B321" s="350">
        <v>900</v>
      </c>
      <c r="C321" s="350">
        <v>450</v>
      </c>
      <c r="D321" s="350">
        <v>4000</v>
      </c>
      <c r="E321" s="351"/>
      <c r="F321" s="351"/>
      <c r="G321" s="352">
        <v>95</v>
      </c>
      <c r="H321" s="351"/>
    </row>
    <row r="322" spans="1:8" x14ac:dyDescent="0.2">
      <c r="A322" s="349" t="s">
        <v>1481</v>
      </c>
      <c r="B322" s="350">
        <v>900</v>
      </c>
      <c r="C322" s="350">
        <v>500</v>
      </c>
      <c r="D322" s="350">
        <v>4000</v>
      </c>
      <c r="E322" s="351"/>
      <c r="F322" s="351"/>
      <c r="G322" s="352">
        <v>95</v>
      </c>
      <c r="H322" s="351"/>
    </row>
    <row r="324" spans="1:8" ht="14.25" x14ac:dyDescent="0.2">
      <c r="A324" s="353" t="s">
        <v>1047</v>
      </c>
    </row>
    <row r="325" spans="1:8" x14ac:dyDescent="0.2">
      <c r="A325" s="354" t="s">
        <v>1540</v>
      </c>
      <c r="C325" s="355" t="s">
        <v>1554</v>
      </c>
      <c r="D325" s="356"/>
      <c r="E325" s="356"/>
      <c r="F325" s="356"/>
    </row>
    <row r="326" spans="1:8" x14ac:dyDescent="0.2">
      <c r="A326" s="354" t="s">
        <v>1541</v>
      </c>
      <c r="C326" s="355" t="s">
        <v>1555</v>
      </c>
      <c r="D326" s="356"/>
      <c r="E326" s="356"/>
      <c r="F326" s="356"/>
    </row>
    <row r="327" spans="1:8" x14ac:dyDescent="0.2">
      <c r="A327" s="354" t="s">
        <v>1542</v>
      </c>
      <c r="C327" s="355" t="s">
        <v>1556</v>
      </c>
      <c r="D327" s="356"/>
      <c r="E327" s="356"/>
      <c r="F327" s="356"/>
    </row>
    <row r="328" spans="1:8" x14ac:dyDescent="0.2">
      <c r="A328" s="354" t="s">
        <v>1543</v>
      </c>
      <c r="C328" s="355" t="s">
        <v>1557</v>
      </c>
      <c r="D328" s="356"/>
      <c r="E328" s="356"/>
      <c r="F328" s="356"/>
    </row>
    <row r="329" spans="1:8" x14ac:dyDescent="0.2">
      <c r="A329" s="354"/>
      <c r="C329" s="355" t="s">
        <v>1558</v>
      </c>
      <c r="D329" s="356"/>
      <c r="E329" s="356"/>
      <c r="F329" s="356"/>
    </row>
    <row r="330" spans="1:8" x14ac:dyDescent="0.2">
      <c r="A330" s="354" t="s">
        <v>1544</v>
      </c>
      <c r="C330" s="355" t="s">
        <v>1559</v>
      </c>
      <c r="D330" s="356"/>
      <c r="E330" s="356"/>
      <c r="F330" s="356"/>
    </row>
    <row r="331" spans="1:8" x14ac:dyDescent="0.2">
      <c r="A331" s="354"/>
      <c r="C331" s="355" t="s">
        <v>1560</v>
      </c>
      <c r="D331" s="356"/>
      <c r="E331" s="356"/>
      <c r="F331" s="356"/>
    </row>
    <row r="332" spans="1:8" x14ac:dyDescent="0.2">
      <c r="A332" s="354" t="s">
        <v>1545</v>
      </c>
      <c r="C332" s="355" t="s">
        <v>1561</v>
      </c>
      <c r="D332" s="356"/>
      <c r="E332" s="356"/>
      <c r="F332" s="356"/>
    </row>
    <row r="333" spans="1:8" x14ac:dyDescent="0.2">
      <c r="A333" s="354" t="s">
        <v>1546</v>
      </c>
      <c r="C333" s="355" t="s">
        <v>1562</v>
      </c>
      <c r="D333" s="356"/>
      <c r="E333" s="356"/>
      <c r="F333" s="356"/>
    </row>
    <row r="334" spans="1:8" x14ac:dyDescent="0.2">
      <c r="A334" s="357"/>
      <c r="B334" s="355"/>
    </row>
    <row r="335" spans="1:8" x14ac:dyDescent="0.2">
      <c r="A335" s="2130" t="s">
        <v>1563</v>
      </c>
      <c r="B335" s="2130"/>
      <c r="C335" s="2130"/>
      <c r="D335" s="2130"/>
      <c r="E335" s="2130"/>
      <c r="F335" s="2130"/>
      <c r="G335" s="2130"/>
      <c r="H335" s="2130"/>
    </row>
    <row r="336" spans="1:8" x14ac:dyDescent="0.2">
      <c r="A336" s="2130"/>
      <c r="B336" s="2130"/>
      <c r="C336" s="2130"/>
      <c r="D336" s="2130"/>
      <c r="E336" s="2130"/>
      <c r="F336" s="2130"/>
      <c r="G336" s="2130"/>
      <c r="H336" s="2130"/>
    </row>
    <row r="337" spans="1:8" ht="25.5" customHeight="1" x14ac:dyDescent="0.2">
      <c r="A337" s="2130"/>
      <c r="B337" s="2130"/>
      <c r="C337" s="2130"/>
      <c r="D337" s="2130"/>
      <c r="E337" s="2130"/>
      <c r="F337" s="2130"/>
      <c r="G337" s="2130"/>
      <c r="H337" s="2130"/>
    </row>
    <row r="339" spans="1:8" x14ac:dyDescent="0.2">
      <c r="A339" s="358" t="s">
        <v>1564</v>
      </c>
    </row>
    <row r="341" spans="1:8" x14ac:dyDescent="0.2">
      <c r="A341" s="346" t="s">
        <v>1565</v>
      </c>
    </row>
  </sheetData>
  <sheetProtection algorithmName="SHA-512" hashValue="d3NjIUCxwXbO84HZM5KuGlLZEelbsmFUjw5WNkov/uAf0etM4BcM9qnU2lDPmofsAab+AnwWxT6v0PGa59dsGw==" saltValue="M8xAeAOzP/Lfn4u+UYINnw==" spinCount="100000" sheet="1" objects="1" scenarios="1"/>
  <mergeCells count="3">
    <mergeCell ref="A335:H337"/>
    <mergeCell ref="A1:H1"/>
    <mergeCell ref="A4:H4"/>
  </mergeCells>
  <hyperlinks>
    <hyperlink ref="A2" location="TOC!A1" display="Return to TOC" xr:uid="{00000000-0004-0000-2600-000000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9">
    <tabColor theme="9" tint="0.79998168889431442"/>
    <pageSetUpPr autoPageBreaks="0"/>
  </sheetPr>
  <dimension ref="A1:CS442"/>
  <sheetViews>
    <sheetView zoomScaleNormal="100" workbookViewId="0">
      <selection sqref="A1:AF1"/>
    </sheetView>
  </sheetViews>
  <sheetFormatPr defaultColWidth="2.7109375" defaultRowHeight="15" x14ac:dyDescent="0.25"/>
  <cols>
    <col min="1" max="16384" width="2.7109375" style="1"/>
  </cols>
  <sheetData>
    <row r="1" spans="1:97" ht="15" customHeight="1" x14ac:dyDescent="0.25">
      <c r="A1" s="2132" t="s">
        <v>1138</v>
      </c>
      <c r="B1" s="1389"/>
      <c r="C1" s="1389"/>
      <c r="D1" s="1389"/>
      <c r="E1" s="1389"/>
      <c r="F1" s="1389"/>
      <c r="G1" s="1389"/>
      <c r="H1" s="1389"/>
      <c r="I1" s="1389"/>
      <c r="J1" s="1389"/>
      <c r="K1" s="1389"/>
      <c r="L1" s="1389"/>
      <c r="M1" s="1389"/>
      <c r="N1" s="1389"/>
      <c r="O1" s="1389"/>
      <c r="P1" s="1389"/>
      <c r="Q1" s="1389"/>
      <c r="R1" s="1389"/>
      <c r="S1" s="1389"/>
      <c r="T1" s="1389"/>
      <c r="U1" s="1389"/>
      <c r="V1" s="1389"/>
      <c r="W1" s="1389"/>
      <c r="X1" s="1389"/>
      <c r="Y1" s="1389"/>
      <c r="Z1" s="1389"/>
      <c r="AA1" s="1389"/>
      <c r="AB1" s="1389"/>
      <c r="AC1" s="1389"/>
      <c r="AD1" s="1389"/>
      <c r="AE1" s="1389"/>
      <c r="AF1" s="1389"/>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row>
    <row r="2" spans="1:97"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row>
    <row r="3" spans="1:97"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row>
    <row r="4" spans="1:97"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row>
    <row r="5" spans="1:97" customFormat="1" ht="48" customHeight="1" x14ac:dyDescent="0.25">
      <c r="A5" s="262"/>
      <c r="B5" s="1173" t="s">
        <v>6862</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row>
    <row r="6" spans="1:97" ht="15" customHeight="1" x14ac:dyDescent="0.25">
      <c r="A6" s="51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H6" s="262"/>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2"/>
      <c r="BG6" s="262"/>
      <c r="BH6" s="262"/>
      <c r="BI6" s="262"/>
      <c r="BJ6" s="262"/>
      <c r="BK6" s="262"/>
      <c r="BL6" s="262"/>
      <c r="BM6" s="262"/>
      <c r="BN6" s="262"/>
      <c r="BO6" s="262"/>
      <c r="BP6" s="262"/>
      <c r="BQ6" s="262"/>
      <c r="BR6" s="262"/>
      <c r="BS6" s="262"/>
      <c r="BT6" s="262"/>
      <c r="BU6" s="262"/>
      <c r="BV6" s="262"/>
      <c r="BW6" s="262"/>
      <c r="BX6" s="262"/>
      <c r="BY6" s="262"/>
      <c r="BZ6" s="262"/>
      <c r="CA6" s="262"/>
      <c r="CB6" s="262"/>
      <c r="CC6" s="262"/>
      <c r="CD6" s="262"/>
      <c r="CE6" s="262"/>
      <c r="CF6" s="262"/>
      <c r="CG6" s="262"/>
      <c r="CH6" s="262"/>
      <c r="CI6" s="262"/>
      <c r="CJ6" s="262"/>
      <c r="CK6" s="262"/>
      <c r="CL6" s="262"/>
      <c r="CM6" s="262"/>
      <c r="CN6" s="262"/>
      <c r="CO6" s="262"/>
      <c r="CP6" s="262"/>
      <c r="CQ6" s="262"/>
      <c r="CR6" s="262"/>
      <c r="CS6" s="262"/>
    </row>
    <row r="7" spans="1:97" ht="15" customHeight="1"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row>
    <row r="8" spans="1:97" ht="15" customHeight="1" x14ac:dyDescent="0.25">
      <c r="A8" s="19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262"/>
      <c r="AC8" s="262"/>
      <c r="AD8" s="262"/>
      <c r="AE8" s="262"/>
      <c r="AF8" s="262"/>
      <c r="AH8" s="262"/>
      <c r="AI8" s="262"/>
      <c r="AJ8" s="262"/>
      <c r="AK8" s="262"/>
      <c r="AL8" s="262"/>
      <c r="AM8" s="262"/>
      <c r="AN8" s="262"/>
      <c r="AO8" s="262"/>
      <c r="AP8" s="262"/>
      <c r="AQ8" s="262"/>
      <c r="AR8" s="262"/>
      <c r="AS8" s="262"/>
      <c r="AT8" s="262"/>
      <c r="AU8" s="262"/>
      <c r="AV8" s="262"/>
      <c r="AW8" s="262"/>
      <c r="AX8" s="262"/>
      <c r="AY8" s="262"/>
      <c r="AZ8" s="262"/>
      <c r="BA8" s="262"/>
      <c r="BB8" s="262"/>
      <c r="BC8" s="262"/>
      <c r="BD8" s="262"/>
      <c r="BE8" s="262"/>
      <c r="BF8" s="262"/>
      <c r="BG8" s="262"/>
      <c r="BH8" s="262"/>
      <c r="BI8" s="262"/>
      <c r="BJ8" s="262"/>
      <c r="BK8" s="262"/>
      <c r="BL8" s="262"/>
      <c r="BM8" s="262"/>
      <c r="BN8" s="262"/>
      <c r="BO8" s="262"/>
      <c r="BP8" s="262"/>
      <c r="BQ8" s="262"/>
      <c r="BR8" s="262"/>
      <c r="BS8" s="262"/>
      <c r="BT8" s="262"/>
      <c r="BU8" s="262"/>
      <c r="BV8" s="262"/>
      <c r="BW8" s="262"/>
      <c r="BX8" s="262"/>
      <c r="BY8" s="262"/>
      <c r="BZ8" s="262"/>
      <c r="CA8" s="262"/>
      <c r="CB8" s="262"/>
      <c r="CC8" s="262"/>
      <c r="CD8" s="262"/>
      <c r="CE8" s="262"/>
      <c r="CF8" s="262"/>
      <c r="CG8" s="262"/>
      <c r="CH8" s="262"/>
      <c r="CI8" s="262"/>
      <c r="CJ8" s="262"/>
      <c r="CK8" s="262"/>
      <c r="CL8" s="262"/>
      <c r="CM8" s="262"/>
      <c r="CN8" s="262"/>
      <c r="CO8" s="262"/>
      <c r="CP8" s="262"/>
      <c r="CQ8" s="262"/>
      <c r="CR8" s="262"/>
      <c r="CS8" s="262"/>
    </row>
    <row r="9" spans="1:97" ht="15" customHeight="1" x14ac:dyDescent="0.25">
      <c r="A9" s="262"/>
      <c r="B9" s="414" t="s">
        <v>10</v>
      </c>
      <c r="C9" s="414"/>
      <c r="D9" s="414"/>
      <c r="E9" s="414"/>
      <c r="F9" s="414"/>
      <c r="G9" s="414"/>
      <c r="H9" s="414"/>
      <c r="I9" s="414"/>
      <c r="J9" s="262"/>
      <c r="K9" s="262"/>
      <c r="L9" s="262"/>
      <c r="M9" s="262"/>
      <c r="N9" s="262"/>
      <c r="O9" s="262"/>
      <c r="P9" s="262"/>
      <c r="Q9" s="262"/>
      <c r="R9" s="262"/>
      <c r="S9" s="262"/>
      <c r="T9" s="262"/>
      <c r="U9" s="262"/>
      <c r="V9" s="262"/>
      <c r="W9" s="262"/>
      <c r="X9" s="262"/>
      <c r="Y9" s="262"/>
      <c r="Z9" s="262"/>
      <c r="AA9" s="262"/>
      <c r="AB9" s="262"/>
      <c r="AC9" s="262"/>
      <c r="AD9" s="262"/>
      <c r="AE9" s="262"/>
      <c r="AF9" s="262"/>
      <c r="AH9" s="262"/>
      <c r="AI9" s="262"/>
      <c r="AJ9" s="262"/>
      <c r="AK9" s="262"/>
      <c r="AL9" s="262"/>
      <c r="AM9" s="262"/>
      <c r="AN9" s="262"/>
      <c r="AO9" s="262"/>
      <c r="AP9" s="262"/>
      <c r="AQ9" s="262"/>
      <c r="AR9" s="262"/>
      <c r="AS9" s="262"/>
      <c r="AT9" s="262"/>
      <c r="AU9" s="262"/>
      <c r="AV9" s="262"/>
      <c r="AW9" s="262"/>
      <c r="AX9" s="262"/>
      <c r="AY9" s="262"/>
      <c r="AZ9" s="262"/>
      <c r="BA9" s="262"/>
      <c r="BB9" s="262"/>
      <c r="BC9" s="262"/>
      <c r="BD9" s="262"/>
      <c r="BE9" s="262"/>
      <c r="BF9" s="262"/>
      <c r="BG9" s="262"/>
      <c r="BH9" s="262"/>
      <c r="BI9" s="262"/>
      <c r="BJ9" s="262"/>
      <c r="BK9" s="262"/>
      <c r="BL9" s="262"/>
      <c r="BM9" s="262"/>
      <c r="BN9" s="262"/>
      <c r="BO9" s="262"/>
      <c r="BP9" s="262"/>
      <c r="BQ9" s="262"/>
      <c r="BR9" s="262"/>
      <c r="BS9" s="262"/>
      <c r="BT9" s="262"/>
      <c r="BU9" s="262"/>
      <c r="BV9" s="262"/>
      <c r="BW9" s="262"/>
      <c r="BX9" s="262"/>
      <c r="BY9" s="262"/>
      <c r="BZ9" s="262"/>
      <c r="CA9" s="262"/>
      <c r="CB9" s="262"/>
      <c r="CC9" s="262"/>
      <c r="CD9" s="262"/>
      <c r="CE9" s="262"/>
      <c r="CF9" s="262"/>
      <c r="CG9" s="262"/>
      <c r="CH9" s="262"/>
      <c r="CI9" s="262"/>
      <c r="CJ9" s="262"/>
      <c r="CK9" s="262"/>
      <c r="CL9" s="262"/>
      <c r="CM9" s="262"/>
      <c r="CN9" s="262"/>
      <c r="CO9" s="262"/>
      <c r="CP9" s="262"/>
      <c r="CQ9" s="262"/>
      <c r="CR9" s="262"/>
      <c r="CS9" s="262"/>
    </row>
    <row r="10" spans="1:97" s="4" customFormat="1" ht="123.75" customHeight="1" x14ac:dyDescent="0.25">
      <c r="A10" s="263"/>
      <c r="B10" s="1173" t="s">
        <v>6876</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H10" s="263"/>
      <c r="AI10" s="263"/>
      <c r="AJ10" s="263"/>
      <c r="AK10" s="227"/>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row>
    <row r="11" spans="1:97" ht="15" customHeight="1" x14ac:dyDescent="0.25">
      <c r="A11" s="263"/>
      <c r="B11" s="647"/>
      <c r="C11" s="647"/>
      <c r="D11" s="647"/>
      <c r="E11" s="647"/>
      <c r="F11" s="647"/>
      <c r="G11" s="647"/>
      <c r="H11" s="647"/>
      <c r="I11" s="647"/>
      <c r="J11" s="647"/>
      <c r="K11" s="647"/>
      <c r="L11" s="647"/>
      <c r="M11" s="647"/>
      <c r="N11" s="647"/>
      <c r="O11" s="647"/>
      <c r="P11" s="647"/>
      <c r="Q11" s="647"/>
      <c r="R11" s="647"/>
      <c r="S11" s="647"/>
      <c r="T11" s="647"/>
      <c r="U11" s="647"/>
      <c r="V11" s="647"/>
      <c r="W11" s="647"/>
      <c r="X11" s="647"/>
      <c r="Y11" s="647"/>
      <c r="Z11" s="647"/>
      <c r="AA11" s="647"/>
      <c r="AB11" s="647"/>
      <c r="AC11" s="647"/>
      <c r="AD11" s="647"/>
      <c r="AE11" s="647"/>
      <c r="AF11" s="647"/>
      <c r="AH11" s="262"/>
      <c r="AI11" s="262"/>
      <c r="AJ11" s="262"/>
      <c r="AK11" s="262"/>
      <c r="AL11" s="262"/>
      <c r="AM11" s="262"/>
      <c r="AN11" s="262"/>
      <c r="AO11" s="262"/>
      <c r="AP11" s="262"/>
      <c r="AQ11" s="262"/>
      <c r="AR11" s="262"/>
      <c r="AS11" s="262"/>
      <c r="AT11" s="262"/>
      <c r="AU11" s="262"/>
      <c r="AV11" s="262"/>
      <c r="AW11" s="262"/>
      <c r="AX11" s="262"/>
      <c r="AY11" s="262"/>
      <c r="AZ11" s="262"/>
      <c r="BA11" s="262"/>
      <c r="BB11" s="262"/>
      <c r="BC11" s="262"/>
      <c r="BD11" s="262"/>
      <c r="BE11" s="262"/>
      <c r="BF11" s="262"/>
      <c r="BG11" s="262"/>
      <c r="BH11" s="262"/>
      <c r="BI11" s="262"/>
      <c r="BJ11" s="262"/>
      <c r="BK11" s="262"/>
      <c r="BL11" s="262"/>
      <c r="BM11" s="262"/>
      <c r="BN11" s="262"/>
      <c r="BO11" s="262"/>
      <c r="BP11" s="262"/>
      <c r="BQ11" s="262"/>
      <c r="BR11" s="262"/>
      <c r="BS11" s="262"/>
      <c r="BT11" s="262"/>
      <c r="BU11" s="262"/>
      <c r="BV11" s="262"/>
      <c r="BW11" s="262"/>
      <c r="BX11" s="262"/>
      <c r="BY11" s="262"/>
      <c r="BZ11" s="262"/>
      <c r="CA11" s="262"/>
      <c r="CB11" s="262"/>
      <c r="CC11" s="262"/>
      <c r="CD11" s="262"/>
      <c r="CE11" s="262"/>
      <c r="CF11" s="262"/>
      <c r="CG11" s="262"/>
      <c r="CH11" s="262"/>
      <c r="CI11" s="262"/>
      <c r="CJ11" s="262"/>
      <c r="CK11" s="262"/>
      <c r="CL11" s="262"/>
      <c r="CM11" s="262"/>
      <c r="CN11" s="262"/>
      <c r="CO11" s="262"/>
      <c r="CP11" s="262"/>
      <c r="CQ11" s="262"/>
      <c r="CR11" s="262"/>
      <c r="CS11" s="262"/>
    </row>
    <row r="12" spans="1:97" ht="35.25" customHeight="1" x14ac:dyDescent="0.25">
      <c r="A12" s="263"/>
      <c r="B12" s="1173" t="s">
        <v>3777</v>
      </c>
      <c r="C12" s="1173"/>
      <c r="D12" s="1173"/>
      <c r="E12" s="1173"/>
      <c r="F12" s="1173"/>
      <c r="G12" s="1173"/>
      <c r="H12" s="1173"/>
      <c r="I12" s="1173"/>
      <c r="J12" s="1173"/>
      <c r="K12" s="1173"/>
      <c r="L12" s="1173"/>
      <c r="M12" s="1173"/>
      <c r="N12" s="1173"/>
      <c r="O12" s="1173"/>
      <c r="P12" s="1173"/>
      <c r="Q12" s="1173"/>
      <c r="R12" s="1173"/>
      <c r="S12" s="1173"/>
      <c r="T12" s="1173"/>
      <c r="U12" s="1173"/>
      <c r="V12" s="1173"/>
      <c r="W12" s="1173"/>
      <c r="X12" s="1173"/>
      <c r="Y12" s="1173"/>
      <c r="Z12" s="1173"/>
      <c r="AA12" s="1173"/>
      <c r="AB12" s="1173"/>
      <c r="AC12" s="1173"/>
      <c r="AD12" s="1173"/>
      <c r="AE12" s="1173"/>
      <c r="AF12" s="1173"/>
      <c r="AH12" s="262"/>
      <c r="AI12" s="262"/>
      <c r="AJ12" s="262"/>
      <c r="AK12" s="227"/>
      <c r="AL12" s="262"/>
      <c r="AM12" s="262"/>
      <c r="AN12" s="262"/>
      <c r="AO12" s="262"/>
      <c r="AP12" s="262"/>
      <c r="AQ12" s="262"/>
      <c r="AR12" s="262"/>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c r="BO12" s="262"/>
      <c r="BP12" s="262"/>
      <c r="BQ12" s="262"/>
      <c r="BR12" s="262"/>
      <c r="BS12" s="262"/>
      <c r="BT12" s="262"/>
      <c r="BU12" s="262"/>
      <c r="BV12" s="262"/>
      <c r="BW12" s="262"/>
      <c r="BX12" s="262"/>
      <c r="BY12" s="262"/>
      <c r="BZ12" s="262"/>
      <c r="CA12" s="262"/>
      <c r="CB12" s="262"/>
      <c r="CC12" s="262"/>
      <c r="CD12" s="262"/>
      <c r="CE12" s="262"/>
      <c r="CF12" s="262"/>
      <c r="CG12" s="262"/>
      <c r="CH12" s="262"/>
      <c r="CI12" s="262"/>
      <c r="CJ12" s="262"/>
      <c r="CK12" s="262"/>
      <c r="CL12" s="262"/>
      <c r="CM12" s="262"/>
      <c r="CN12" s="262"/>
      <c r="CO12" s="262"/>
      <c r="CP12" s="262"/>
      <c r="CQ12" s="262"/>
      <c r="CR12" s="262"/>
      <c r="CS12" s="262"/>
    </row>
    <row r="13" spans="1:97" x14ac:dyDescent="0.25">
      <c r="A13" s="262"/>
      <c r="B13" s="262"/>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2"/>
      <c r="CB13" s="262"/>
      <c r="CC13" s="262"/>
      <c r="CD13" s="262"/>
      <c r="CE13" s="262"/>
      <c r="CF13" s="262"/>
      <c r="CG13" s="262"/>
      <c r="CH13" s="262"/>
      <c r="CI13" s="262"/>
      <c r="CJ13" s="262"/>
      <c r="CK13" s="262"/>
      <c r="CL13" s="262"/>
      <c r="CM13" s="262"/>
      <c r="CN13" s="262"/>
      <c r="CO13" s="262"/>
      <c r="CP13" s="262"/>
      <c r="CQ13" s="262"/>
      <c r="CR13" s="262"/>
      <c r="CS13" s="262"/>
    </row>
    <row r="14" spans="1:97" ht="15" customHeight="1" x14ac:dyDescent="0.25">
      <c r="A14" s="262"/>
      <c r="B14" s="414" t="s">
        <v>11</v>
      </c>
      <c r="C14" s="414"/>
      <c r="D14" s="414"/>
      <c r="E14" s="414"/>
      <c r="F14" s="414"/>
      <c r="G14" s="414"/>
      <c r="H14" s="414"/>
      <c r="I14" s="414"/>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H14" s="262"/>
      <c r="AI14" s="262"/>
      <c r="AJ14" s="262"/>
      <c r="AK14" s="262"/>
      <c r="AL14" s="262"/>
      <c r="AM14" s="262"/>
      <c r="AN14" s="262"/>
      <c r="AO14" s="262"/>
      <c r="AP14" s="262"/>
      <c r="AQ14" s="262"/>
      <c r="AR14" s="262"/>
      <c r="AS14" s="262"/>
      <c r="AT14" s="262"/>
      <c r="AU14" s="262"/>
      <c r="AV14" s="262"/>
      <c r="AW14" s="262"/>
      <c r="AX14" s="262"/>
      <c r="AY14" s="262"/>
      <c r="AZ14" s="262"/>
      <c r="BA14" s="262"/>
      <c r="BB14" s="262"/>
      <c r="BC14" s="262"/>
      <c r="BD14" s="262"/>
      <c r="BE14" s="262"/>
      <c r="BF14" s="262"/>
      <c r="BG14" s="262"/>
      <c r="BH14" s="262"/>
      <c r="BI14" s="262"/>
      <c r="BJ14" s="262"/>
      <c r="BK14" s="262"/>
      <c r="BL14" s="262"/>
      <c r="BM14" s="262"/>
      <c r="BN14" s="262"/>
      <c r="BO14" s="262"/>
      <c r="BP14" s="262"/>
      <c r="BQ14" s="262"/>
      <c r="BR14" s="262"/>
      <c r="BS14" s="262"/>
      <c r="BT14" s="262"/>
      <c r="BU14" s="262"/>
      <c r="BV14" s="262"/>
      <c r="BW14" s="262"/>
      <c r="BX14" s="262"/>
      <c r="BY14" s="262"/>
      <c r="BZ14" s="262"/>
      <c r="CA14" s="262"/>
      <c r="CB14" s="262"/>
      <c r="CC14" s="262"/>
      <c r="CD14" s="262"/>
      <c r="CE14" s="262"/>
      <c r="CF14" s="262"/>
      <c r="CG14" s="262"/>
      <c r="CH14" s="262"/>
      <c r="CI14" s="262"/>
      <c r="CJ14" s="262"/>
      <c r="CK14" s="262"/>
      <c r="CL14" s="262"/>
      <c r="CM14" s="262"/>
      <c r="CN14" s="262"/>
      <c r="CO14" s="262"/>
      <c r="CP14" s="262"/>
      <c r="CQ14" s="262"/>
      <c r="CR14" s="262"/>
      <c r="CS14" s="262"/>
    </row>
    <row r="15" spans="1:97" ht="48" customHeight="1" x14ac:dyDescent="0.25">
      <c r="A15" s="263"/>
      <c r="B15" s="1168" t="s">
        <v>6863</v>
      </c>
      <c r="C15" s="1168"/>
      <c r="D15" s="1168"/>
      <c r="E15" s="1168"/>
      <c r="F15" s="1168"/>
      <c r="G15" s="1168"/>
      <c r="H15" s="1168"/>
      <c r="I15" s="1168"/>
      <c r="J15" s="1168"/>
      <c r="K15" s="1168"/>
      <c r="L15" s="1168"/>
      <c r="M15" s="1168"/>
      <c r="N15" s="1168"/>
      <c r="O15" s="1168"/>
      <c r="P15" s="1168"/>
      <c r="Q15" s="1168"/>
      <c r="R15" s="1168"/>
      <c r="S15" s="1168"/>
      <c r="T15" s="1168"/>
      <c r="U15" s="1168"/>
      <c r="V15" s="1168"/>
      <c r="W15" s="1168"/>
      <c r="X15" s="1168"/>
      <c r="Y15" s="1168"/>
      <c r="Z15" s="1168"/>
      <c r="AA15" s="1168"/>
      <c r="AB15" s="1168"/>
      <c r="AC15" s="1168"/>
      <c r="AD15" s="1168"/>
      <c r="AE15" s="1168"/>
      <c r="AF15" s="1168"/>
      <c r="AG15" s="262"/>
      <c r="AH15" s="262"/>
      <c r="AI15" s="262"/>
      <c r="AJ15" s="262"/>
      <c r="AK15" s="227"/>
      <c r="AL15" s="262"/>
      <c r="AM15" s="262"/>
      <c r="AN15" s="262"/>
      <c r="AO15" s="262"/>
      <c r="AP15" s="262"/>
      <c r="AQ15" s="262"/>
      <c r="AR15" s="262"/>
      <c r="AS15" s="262"/>
      <c r="AT15" s="262"/>
      <c r="AU15" s="262"/>
      <c r="AV15" s="262"/>
      <c r="AW15" s="262"/>
      <c r="AX15" s="262"/>
      <c r="AY15" s="262"/>
      <c r="AZ15" s="262"/>
      <c r="BA15" s="262"/>
      <c r="BB15" s="262"/>
      <c r="BC15" s="262"/>
      <c r="BD15" s="262"/>
      <c r="BE15" s="262"/>
      <c r="BF15" s="262"/>
      <c r="BG15" s="262"/>
      <c r="BH15" s="262"/>
      <c r="BI15" s="262"/>
      <c r="BJ15" s="262"/>
      <c r="BK15" s="262"/>
      <c r="BL15" s="262"/>
      <c r="BM15" s="262"/>
      <c r="BN15" s="262"/>
      <c r="BO15" s="262"/>
      <c r="BP15" s="262"/>
      <c r="BQ15" s="262"/>
      <c r="BR15" s="262"/>
      <c r="BS15" s="262"/>
      <c r="BT15" s="262"/>
      <c r="BU15" s="262"/>
      <c r="BV15" s="262"/>
      <c r="BW15" s="262"/>
      <c r="BX15" s="262"/>
      <c r="BY15" s="262"/>
      <c r="BZ15" s="262"/>
      <c r="CA15" s="262"/>
      <c r="CB15" s="262"/>
      <c r="CC15" s="262"/>
      <c r="CD15" s="262"/>
      <c r="CE15" s="262"/>
      <c r="CF15" s="262"/>
      <c r="CG15" s="262"/>
      <c r="CH15" s="262"/>
      <c r="CI15" s="262"/>
      <c r="CJ15" s="262"/>
      <c r="CK15" s="262"/>
      <c r="CL15" s="262"/>
      <c r="CM15" s="262"/>
      <c r="CN15" s="262"/>
      <c r="CO15" s="262"/>
      <c r="CP15" s="262"/>
      <c r="CQ15" s="262"/>
      <c r="CR15" s="262"/>
      <c r="CS15" s="262"/>
    </row>
    <row r="16" spans="1:97" ht="15" customHeight="1" x14ac:dyDescent="0.25">
      <c r="A16" s="263"/>
      <c r="B16" s="651"/>
      <c r="C16" s="651"/>
      <c r="D16" s="651"/>
      <c r="E16" s="651"/>
      <c r="F16" s="651"/>
      <c r="G16" s="651"/>
      <c r="H16" s="651"/>
      <c r="I16" s="651"/>
      <c r="J16" s="651"/>
      <c r="K16" s="651"/>
      <c r="L16" s="651"/>
      <c r="M16" s="651"/>
      <c r="N16" s="651"/>
      <c r="O16" s="651"/>
      <c r="P16" s="651"/>
      <c r="Q16" s="651"/>
      <c r="R16" s="651"/>
      <c r="S16" s="651"/>
      <c r="T16" s="651"/>
      <c r="U16" s="651"/>
      <c r="V16" s="651"/>
      <c r="W16" s="651"/>
      <c r="X16" s="651"/>
      <c r="Y16" s="651"/>
      <c r="Z16" s="651"/>
      <c r="AA16" s="651"/>
      <c r="AB16" s="651"/>
      <c r="AC16" s="651"/>
      <c r="AD16" s="651"/>
      <c r="AE16" s="651"/>
      <c r="AF16" s="651"/>
      <c r="AG16" s="262"/>
      <c r="AH16" s="262"/>
      <c r="AI16" s="262"/>
      <c r="AJ16" s="262"/>
      <c r="AK16" s="262"/>
      <c r="AL16" s="262"/>
      <c r="AM16" s="262"/>
      <c r="AN16" s="262"/>
      <c r="AO16" s="262"/>
      <c r="AP16" s="262"/>
      <c r="AQ16" s="262"/>
      <c r="AR16" s="262"/>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262"/>
      <c r="BT16" s="262"/>
      <c r="BU16" s="262"/>
      <c r="BV16" s="262"/>
      <c r="BW16" s="262"/>
      <c r="BX16" s="262"/>
      <c r="BY16" s="262"/>
      <c r="BZ16" s="262"/>
      <c r="CA16" s="262"/>
      <c r="CB16" s="262"/>
      <c r="CC16" s="262"/>
      <c r="CD16" s="262"/>
      <c r="CE16" s="262"/>
      <c r="CF16" s="262"/>
      <c r="CG16" s="262"/>
      <c r="CH16" s="262"/>
      <c r="CI16" s="262"/>
      <c r="CJ16" s="262"/>
      <c r="CK16" s="262"/>
      <c r="CL16" s="262"/>
      <c r="CM16" s="262"/>
      <c r="CN16" s="262"/>
      <c r="CO16" s="262"/>
      <c r="CP16" s="262"/>
      <c r="CQ16" s="262"/>
      <c r="CR16" s="262"/>
      <c r="CS16" s="262"/>
    </row>
    <row r="17" spans="1:97" ht="15" customHeight="1" x14ac:dyDescent="0.25">
      <c r="A17" s="262"/>
      <c r="B17" s="1168" t="s">
        <v>6864</v>
      </c>
      <c r="C17" s="1168"/>
      <c r="D17" s="1168"/>
      <c r="E17" s="1168"/>
      <c r="F17" s="1168"/>
      <c r="G17" s="1168"/>
      <c r="H17" s="1168"/>
      <c r="I17" s="1168"/>
      <c r="J17" s="1168"/>
      <c r="K17" s="1168"/>
      <c r="L17" s="1168"/>
      <c r="M17" s="1168"/>
      <c r="N17" s="1168"/>
      <c r="O17" s="1168"/>
      <c r="P17" s="1168"/>
      <c r="Q17" s="1168"/>
      <c r="R17" s="1168"/>
      <c r="S17" s="1168"/>
      <c r="T17" s="1168"/>
      <c r="U17" s="1168"/>
      <c r="V17" s="1168"/>
      <c r="W17" s="1168"/>
      <c r="X17" s="1168"/>
      <c r="Y17" s="1168"/>
      <c r="Z17" s="1168"/>
      <c r="AA17" s="1168"/>
      <c r="AB17" s="1168"/>
      <c r="AC17" s="1168"/>
      <c r="AD17" s="1168"/>
      <c r="AE17" s="1168"/>
      <c r="AF17" s="1168"/>
      <c r="AG17" s="262"/>
      <c r="AH17" s="262"/>
      <c r="AI17" s="262"/>
      <c r="AJ17" s="262"/>
      <c r="AK17" s="227"/>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row>
    <row r="18" spans="1:97" ht="15" customHeight="1" x14ac:dyDescent="0.25">
      <c r="A18" s="262"/>
      <c r="B18" s="517" t="s">
        <v>1013</v>
      </c>
      <c r="C18" s="1168" t="s">
        <v>3778</v>
      </c>
      <c r="D18" s="1168"/>
      <c r="E18" s="1168"/>
      <c r="F18" s="1168"/>
      <c r="G18" s="1168"/>
      <c r="H18" s="1168"/>
      <c r="I18" s="1168"/>
      <c r="J18" s="1168"/>
      <c r="K18" s="1168"/>
      <c r="L18" s="1168"/>
      <c r="M18" s="1168"/>
      <c r="N18" s="1168"/>
      <c r="O18" s="1168"/>
      <c r="P18" s="1168"/>
      <c r="Q18" s="1168"/>
      <c r="R18" s="1168"/>
      <c r="S18" s="1168"/>
      <c r="T18" s="1168"/>
      <c r="U18" s="1168"/>
      <c r="V18" s="1168"/>
      <c r="W18" s="1168"/>
      <c r="X18" s="1168"/>
      <c r="Y18" s="1168"/>
      <c r="Z18" s="1168"/>
      <c r="AA18" s="1168"/>
      <c r="AB18" s="1168"/>
      <c r="AC18" s="1168"/>
      <c r="AD18" s="1168"/>
      <c r="AE18" s="1168"/>
      <c r="AF18" s="1168"/>
      <c r="AG18" s="262"/>
      <c r="AH18" s="262"/>
      <c r="AI18" s="262"/>
      <c r="AJ18" s="262"/>
      <c r="AK18" s="227"/>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262"/>
      <c r="BT18" s="262"/>
      <c r="BU18" s="262"/>
      <c r="BV18" s="262"/>
      <c r="BW18" s="262"/>
      <c r="BX18" s="262"/>
      <c r="BY18" s="262"/>
      <c r="BZ18" s="262"/>
      <c r="CA18" s="262"/>
      <c r="CB18" s="262"/>
      <c r="CC18" s="262"/>
      <c r="CD18" s="262"/>
      <c r="CE18" s="262"/>
      <c r="CF18" s="262"/>
      <c r="CG18" s="262"/>
      <c r="CH18" s="262"/>
      <c r="CI18" s="262"/>
      <c r="CJ18" s="262"/>
      <c r="CK18" s="262"/>
      <c r="CL18" s="262"/>
      <c r="CM18" s="262"/>
      <c r="CN18" s="262"/>
      <c r="CO18" s="262"/>
      <c r="CP18" s="262"/>
      <c r="CQ18" s="262"/>
      <c r="CR18" s="262"/>
      <c r="CS18" s="262"/>
    </row>
    <row r="19" spans="1:97" x14ac:dyDescent="0.25">
      <c r="A19" s="262"/>
      <c r="B19" s="517" t="s">
        <v>1013</v>
      </c>
      <c r="C19" s="1168" t="s">
        <v>6865</v>
      </c>
      <c r="D19" s="1168"/>
      <c r="E19" s="1168"/>
      <c r="F19" s="1168"/>
      <c r="G19" s="1168"/>
      <c r="H19" s="1168"/>
      <c r="I19" s="1168"/>
      <c r="J19" s="1168"/>
      <c r="K19" s="1168"/>
      <c r="L19" s="1168"/>
      <c r="M19" s="1168"/>
      <c r="N19" s="1168"/>
      <c r="O19" s="1168"/>
      <c r="P19" s="1168"/>
      <c r="Q19" s="1168"/>
      <c r="R19" s="1168"/>
      <c r="S19" s="1168"/>
      <c r="T19" s="1168"/>
      <c r="U19" s="1168"/>
      <c r="V19" s="1168"/>
      <c r="W19" s="1168"/>
      <c r="X19" s="1168"/>
      <c r="Y19" s="1168"/>
      <c r="Z19" s="1168"/>
      <c r="AA19" s="1168"/>
      <c r="AB19" s="1168"/>
      <c r="AC19" s="1168"/>
      <c r="AD19" s="1168"/>
      <c r="AE19" s="1168"/>
      <c r="AF19" s="1168"/>
      <c r="AG19" s="262"/>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2"/>
      <c r="BG19" s="262"/>
      <c r="BH19" s="262"/>
      <c r="BI19" s="262"/>
      <c r="BJ19" s="262"/>
      <c r="BK19" s="262"/>
      <c r="BL19" s="262"/>
      <c r="BM19" s="262"/>
      <c r="BN19" s="262"/>
      <c r="BO19" s="262"/>
      <c r="BP19" s="262"/>
      <c r="BQ19" s="262"/>
      <c r="BR19" s="262"/>
      <c r="BS19" s="262"/>
      <c r="BT19" s="262"/>
      <c r="BU19" s="262"/>
      <c r="BV19" s="262"/>
      <c r="BW19" s="262"/>
      <c r="BX19" s="262"/>
      <c r="BY19" s="262"/>
      <c r="BZ19" s="262"/>
      <c r="CA19" s="262"/>
      <c r="CB19" s="262"/>
      <c r="CC19" s="262"/>
      <c r="CD19" s="262"/>
      <c r="CE19" s="262"/>
      <c r="CF19" s="262"/>
      <c r="CG19" s="262"/>
      <c r="CH19" s="262"/>
      <c r="CI19" s="262"/>
      <c r="CJ19" s="262"/>
      <c r="CK19" s="262"/>
      <c r="CL19" s="262"/>
      <c r="CM19" s="262"/>
      <c r="CN19" s="262"/>
      <c r="CO19" s="262"/>
      <c r="CP19" s="262"/>
      <c r="CQ19" s="262"/>
      <c r="CR19" s="262"/>
      <c r="CS19" s="262"/>
    </row>
    <row r="20" spans="1:97" x14ac:dyDescent="0.25">
      <c r="A20" s="262"/>
      <c r="B20" s="1008" t="s">
        <v>1013</v>
      </c>
      <c r="C20" s="1168" t="s">
        <v>6866</v>
      </c>
      <c r="D20" s="1168"/>
      <c r="E20" s="1168"/>
      <c r="F20" s="1168"/>
      <c r="G20" s="1168"/>
      <c r="H20" s="1168"/>
      <c r="I20" s="1168"/>
      <c r="J20" s="1168"/>
      <c r="K20" s="1168"/>
      <c r="L20" s="1168"/>
      <c r="M20" s="1168"/>
      <c r="N20" s="1168"/>
      <c r="O20" s="1168"/>
      <c r="P20" s="1168"/>
      <c r="Q20" s="1168"/>
      <c r="R20" s="1168"/>
      <c r="S20" s="1168"/>
      <c r="T20" s="1168"/>
      <c r="U20" s="1168"/>
      <c r="V20" s="1168"/>
      <c r="W20" s="1168"/>
      <c r="X20" s="1168"/>
      <c r="Y20" s="1168"/>
      <c r="Z20" s="1168"/>
      <c r="AA20" s="1168"/>
      <c r="AB20" s="1168"/>
      <c r="AC20" s="1168"/>
      <c r="AD20" s="1168"/>
      <c r="AE20" s="1168"/>
      <c r="AF20" s="1168"/>
      <c r="AG20" s="262"/>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262"/>
      <c r="BT20" s="262"/>
      <c r="BU20" s="262"/>
      <c r="BV20" s="262"/>
      <c r="BW20" s="262"/>
      <c r="BX20" s="262"/>
      <c r="BY20" s="262"/>
      <c r="BZ20" s="262"/>
      <c r="CA20" s="262"/>
      <c r="CB20" s="262"/>
      <c r="CC20" s="262"/>
      <c r="CD20" s="262"/>
      <c r="CE20" s="262"/>
      <c r="CF20" s="262"/>
      <c r="CG20" s="262"/>
      <c r="CH20" s="262"/>
      <c r="CI20" s="262"/>
      <c r="CJ20" s="262"/>
      <c r="CK20" s="262"/>
      <c r="CL20" s="262"/>
      <c r="CM20" s="262"/>
      <c r="CN20" s="262"/>
      <c r="CO20" s="262"/>
      <c r="CP20" s="262"/>
      <c r="CQ20" s="262"/>
      <c r="CR20" s="262"/>
      <c r="CS20" s="262"/>
    </row>
    <row r="21" spans="1:97" ht="15" customHeight="1" x14ac:dyDescent="0.25">
      <c r="A21" s="262"/>
      <c r="B21" s="517" t="s">
        <v>1013</v>
      </c>
      <c r="C21" s="1168" t="s">
        <v>6867</v>
      </c>
      <c r="D21" s="1168"/>
      <c r="E21" s="1168"/>
      <c r="F21" s="1168"/>
      <c r="G21" s="1168"/>
      <c r="H21" s="1168"/>
      <c r="I21" s="1168"/>
      <c r="J21" s="1168"/>
      <c r="K21" s="1168"/>
      <c r="L21" s="1168"/>
      <c r="M21" s="1168"/>
      <c r="N21" s="1168"/>
      <c r="O21" s="1168"/>
      <c r="P21" s="1168"/>
      <c r="Q21" s="1168"/>
      <c r="R21" s="1168"/>
      <c r="S21" s="1168"/>
      <c r="T21" s="1168"/>
      <c r="U21" s="1168"/>
      <c r="V21" s="1168"/>
      <c r="W21" s="1168"/>
      <c r="X21" s="1168"/>
      <c r="Y21" s="1168"/>
      <c r="Z21" s="1168"/>
      <c r="AA21" s="1168"/>
      <c r="AB21" s="1168"/>
      <c r="AC21" s="1168"/>
      <c r="AD21" s="1168"/>
      <c r="AE21" s="1168"/>
      <c r="AF21" s="1168"/>
      <c r="AG21" s="262"/>
      <c r="AH21" s="262"/>
      <c r="AI21" s="262"/>
      <c r="AJ21" s="262"/>
      <c r="AK21" s="262"/>
      <c r="AL21" s="262"/>
      <c r="AM21" s="262"/>
      <c r="AN21" s="262"/>
      <c r="AO21" s="262"/>
      <c r="AP21" s="262"/>
      <c r="AQ21" s="262"/>
      <c r="AR21" s="262"/>
      <c r="AS21" s="262"/>
      <c r="AT21" s="262"/>
      <c r="AU21" s="262"/>
      <c r="AV21" s="262"/>
      <c r="AW21" s="262"/>
      <c r="AX21" s="262"/>
      <c r="AY21" s="262"/>
      <c r="AZ21" s="262"/>
      <c r="BA21" s="262"/>
      <c r="BB21" s="262"/>
      <c r="BC21" s="262"/>
      <c r="BD21" s="262"/>
      <c r="BE21" s="262"/>
      <c r="BF21" s="262"/>
      <c r="BG21" s="262"/>
      <c r="BH21" s="262"/>
      <c r="BI21" s="262"/>
      <c r="BJ21" s="262"/>
      <c r="BK21" s="262"/>
      <c r="BL21" s="262"/>
      <c r="BM21" s="262"/>
      <c r="BN21" s="262"/>
      <c r="BO21" s="262"/>
      <c r="BP21" s="262"/>
      <c r="BQ21" s="262"/>
      <c r="BR21" s="262"/>
      <c r="BS21" s="262"/>
      <c r="BT21" s="262"/>
      <c r="BU21" s="262"/>
      <c r="BV21" s="262"/>
      <c r="BW21" s="262"/>
      <c r="BX21" s="262"/>
      <c r="BY21" s="262"/>
      <c r="BZ21" s="262"/>
      <c r="CA21" s="262"/>
      <c r="CB21" s="262"/>
      <c r="CC21" s="262"/>
      <c r="CD21" s="262"/>
      <c r="CE21" s="262"/>
      <c r="CF21" s="262"/>
      <c r="CG21" s="262"/>
      <c r="CH21" s="262"/>
      <c r="CI21" s="262"/>
      <c r="CJ21" s="262"/>
      <c r="CK21" s="262"/>
      <c r="CL21" s="262"/>
      <c r="CM21" s="262"/>
      <c r="CN21" s="262"/>
      <c r="CO21" s="262"/>
      <c r="CP21" s="262"/>
      <c r="CQ21" s="262"/>
      <c r="CR21" s="262"/>
      <c r="CS21" s="262"/>
    </row>
    <row r="22" spans="1:97" ht="15" customHeight="1" x14ac:dyDescent="0.25">
      <c r="A22" s="262"/>
      <c r="B22" s="517" t="s">
        <v>1013</v>
      </c>
      <c r="C22" s="1168" t="s">
        <v>3779</v>
      </c>
      <c r="D22" s="1168"/>
      <c r="E22" s="1168"/>
      <c r="F22" s="1168"/>
      <c r="G22" s="1168"/>
      <c r="H22" s="1168"/>
      <c r="I22" s="1168"/>
      <c r="J22" s="1168"/>
      <c r="K22" s="1168"/>
      <c r="L22" s="1168"/>
      <c r="M22" s="1168"/>
      <c r="N22" s="1168"/>
      <c r="O22" s="1168"/>
      <c r="P22" s="1168"/>
      <c r="Q22" s="1168"/>
      <c r="R22" s="1168"/>
      <c r="S22" s="1168"/>
      <c r="T22" s="1168"/>
      <c r="U22" s="1168"/>
      <c r="V22" s="1168"/>
      <c r="W22" s="1168"/>
      <c r="X22" s="1168"/>
      <c r="Y22" s="1168"/>
      <c r="Z22" s="1168"/>
      <c r="AA22" s="1168"/>
      <c r="AB22" s="1168"/>
      <c r="AC22" s="1168"/>
      <c r="AD22" s="1168"/>
      <c r="AE22" s="1168"/>
      <c r="AF22" s="1168"/>
      <c r="AG22" s="262"/>
      <c r="AH22" s="262"/>
      <c r="AI22" s="262"/>
      <c r="AJ22" s="262"/>
      <c r="AK22" s="262"/>
      <c r="AL22" s="262"/>
      <c r="AM22" s="262"/>
      <c r="AN22" s="262"/>
      <c r="AO22" s="262"/>
      <c r="AP22" s="262"/>
      <c r="AQ22" s="262"/>
      <c r="AR22" s="262"/>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262"/>
      <c r="BT22" s="262"/>
      <c r="BU22" s="262"/>
      <c r="BV22" s="262"/>
      <c r="BW22" s="262"/>
      <c r="BX22" s="262"/>
      <c r="BY22" s="262"/>
      <c r="BZ22" s="262"/>
      <c r="CA22" s="262"/>
      <c r="CB22" s="262"/>
      <c r="CC22" s="262"/>
      <c r="CD22" s="262"/>
      <c r="CE22" s="262"/>
      <c r="CF22" s="262"/>
      <c r="CG22" s="262"/>
      <c r="CH22" s="262"/>
      <c r="CI22" s="262"/>
      <c r="CJ22" s="262"/>
      <c r="CK22" s="262"/>
      <c r="CL22" s="262"/>
      <c r="CM22" s="262"/>
      <c r="CN22" s="262"/>
      <c r="CO22" s="262"/>
      <c r="CP22" s="262"/>
      <c r="CQ22" s="262"/>
      <c r="CR22" s="262"/>
      <c r="CS22" s="262"/>
    </row>
    <row r="23" spans="1:97" x14ac:dyDescent="0.25">
      <c r="A23" s="262"/>
      <c r="B23" s="517" t="s">
        <v>1013</v>
      </c>
      <c r="C23" s="1168" t="s">
        <v>6868</v>
      </c>
      <c r="D23" s="1168"/>
      <c r="E23" s="1168"/>
      <c r="F23" s="1168"/>
      <c r="G23" s="1168"/>
      <c r="H23" s="1168"/>
      <c r="I23" s="1168"/>
      <c r="J23" s="1168"/>
      <c r="K23" s="1168"/>
      <c r="L23" s="1168"/>
      <c r="M23" s="1168"/>
      <c r="N23" s="1168"/>
      <c r="O23" s="1168"/>
      <c r="P23" s="1168"/>
      <c r="Q23" s="1168"/>
      <c r="R23" s="1168"/>
      <c r="S23" s="1168"/>
      <c r="T23" s="1168"/>
      <c r="U23" s="1168"/>
      <c r="V23" s="1168"/>
      <c r="W23" s="1168"/>
      <c r="X23" s="1168"/>
      <c r="Y23" s="1168"/>
      <c r="Z23" s="1168"/>
      <c r="AA23" s="1168"/>
      <c r="AB23" s="1168"/>
      <c r="AC23" s="1168"/>
      <c r="AD23" s="1168"/>
      <c r="AE23" s="1168"/>
      <c r="AF23" s="1168"/>
      <c r="AG23" s="262"/>
      <c r="AH23" s="262"/>
      <c r="AI23" s="262"/>
      <c r="AJ23" s="262"/>
      <c r="AK23" s="262"/>
      <c r="AL23" s="262"/>
      <c r="AM23" s="262"/>
      <c r="AN23" s="262"/>
      <c r="AO23" s="262"/>
      <c r="AP23" s="262"/>
      <c r="AQ23" s="262"/>
      <c r="AR23" s="262"/>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262"/>
      <c r="BT23" s="262"/>
      <c r="BU23" s="262"/>
      <c r="BV23" s="262"/>
      <c r="BW23" s="262"/>
      <c r="BX23" s="262"/>
      <c r="BY23" s="262"/>
      <c r="BZ23" s="262"/>
      <c r="CA23" s="262"/>
      <c r="CB23" s="262"/>
      <c r="CC23" s="262"/>
      <c r="CD23" s="262"/>
      <c r="CE23" s="262"/>
      <c r="CF23" s="262"/>
      <c r="CG23" s="262"/>
      <c r="CH23" s="262"/>
      <c r="CI23" s="262"/>
      <c r="CJ23" s="262"/>
      <c r="CK23" s="262"/>
      <c r="CL23" s="262"/>
      <c r="CM23" s="262"/>
      <c r="CN23" s="262"/>
      <c r="CO23" s="262"/>
      <c r="CP23" s="262"/>
      <c r="CQ23" s="262"/>
      <c r="CR23" s="262"/>
      <c r="CS23" s="262"/>
    </row>
    <row r="24" spans="1:97" ht="15" customHeight="1" x14ac:dyDescent="0.25">
      <c r="A24" s="262"/>
      <c r="B24" s="651"/>
      <c r="C24" s="651"/>
      <c r="D24" s="651"/>
      <c r="E24" s="651"/>
      <c r="F24" s="651"/>
      <c r="G24" s="651"/>
      <c r="H24" s="651"/>
      <c r="I24" s="651"/>
      <c r="J24" s="651"/>
      <c r="K24" s="651"/>
      <c r="L24" s="651"/>
      <c r="M24" s="651"/>
      <c r="N24" s="651"/>
      <c r="O24" s="651"/>
      <c r="P24" s="651"/>
      <c r="Q24" s="651"/>
      <c r="R24" s="651"/>
      <c r="S24" s="651"/>
      <c r="T24" s="651"/>
      <c r="U24" s="651"/>
      <c r="V24" s="651"/>
      <c r="W24" s="651"/>
      <c r="X24" s="651"/>
      <c r="Y24" s="651"/>
      <c r="Z24" s="651"/>
      <c r="AA24" s="651"/>
      <c r="AB24" s="651"/>
      <c r="AC24" s="651"/>
      <c r="AD24" s="651"/>
      <c r="AE24" s="651"/>
      <c r="AF24" s="651"/>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262"/>
      <c r="BT24" s="262"/>
      <c r="BU24" s="262"/>
      <c r="BV24" s="262"/>
      <c r="BW24" s="262"/>
      <c r="BX24" s="262"/>
      <c r="BY24" s="262"/>
      <c r="BZ24" s="262"/>
      <c r="CA24" s="262"/>
      <c r="CB24" s="262"/>
      <c r="CC24" s="262"/>
      <c r="CD24" s="262"/>
      <c r="CE24" s="262"/>
      <c r="CF24" s="262"/>
      <c r="CG24" s="262"/>
      <c r="CH24" s="262"/>
      <c r="CI24" s="262"/>
      <c r="CJ24" s="262"/>
      <c r="CK24" s="262"/>
      <c r="CL24" s="262"/>
      <c r="CM24" s="262"/>
      <c r="CN24" s="262"/>
      <c r="CO24" s="262"/>
      <c r="CP24" s="262"/>
      <c r="CQ24" s="262"/>
      <c r="CR24" s="262"/>
      <c r="CS24" s="262"/>
    </row>
    <row r="25" spans="1:97" ht="15" customHeight="1" x14ac:dyDescent="0.25">
      <c r="A25" s="262"/>
      <c r="B25" s="414" t="s">
        <v>12</v>
      </c>
      <c r="C25" s="414"/>
      <c r="D25" s="414"/>
      <c r="E25" s="414"/>
      <c r="F25" s="414"/>
      <c r="G25" s="414"/>
      <c r="H25" s="414"/>
      <c r="I25" s="414"/>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262"/>
      <c r="BT25" s="262"/>
      <c r="BU25" s="262"/>
      <c r="BV25" s="262"/>
      <c r="BW25" s="262"/>
      <c r="BX25" s="262"/>
      <c r="BY25" s="262"/>
      <c r="BZ25" s="262"/>
      <c r="CA25" s="262"/>
      <c r="CB25" s="262"/>
      <c r="CC25" s="262"/>
      <c r="CD25" s="262"/>
      <c r="CE25" s="262"/>
      <c r="CF25" s="262"/>
      <c r="CG25" s="262"/>
      <c r="CH25" s="262"/>
      <c r="CI25" s="262"/>
      <c r="CJ25" s="262"/>
      <c r="CK25" s="262"/>
      <c r="CL25" s="262"/>
      <c r="CM25" s="262"/>
      <c r="CN25" s="262"/>
      <c r="CO25" s="262"/>
      <c r="CP25" s="262"/>
      <c r="CQ25" s="262"/>
      <c r="CR25" s="262"/>
      <c r="CS25" s="262"/>
    </row>
    <row r="26" spans="1:97" ht="15" customHeight="1" x14ac:dyDescent="0.25">
      <c r="A26" s="262"/>
      <c r="B26" s="2131" t="s">
        <v>2873</v>
      </c>
      <c r="C26" s="2131"/>
      <c r="D26" s="2131"/>
      <c r="E26" s="2131"/>
      <c r="F26" s="2131"/>
      <c r="G26" s="2131"/>
      <c r="H26" s="2131"/>
      <c r="I26" s="2131"/>
      <c r="J26" s="2131"/>
      <c r="K26" s="2131"/>
      <c r="L26" s="2131"/>
      <c r="M26" s="2131"/>
      <c r="N26" s="2131"/>
      <c r="O26" s="2131"/>
      <c r="P26" s="2131"/>
      <c r="Q26" s="2131"/>
      <c r="R26" s="2131"/>
      <c r="S26" s="2131"/>
      <c r="T26" s="2131"/>
      <c r="U26" s="2131"/>
      <c r="V26" s="2131"/>
      <c r="W26" s="2131"/>
      <c r="X26" s="2131"/>
      <c r="Y26" s="2131"/>
      <c r="Z26" s="2131"/>
      <c r="AA26" s="2131"/>
      <c r="AB26" s="2131"/>
      <c r="AC26" s="2131"/>
      <c r="AD26" s="2131"/>
      <c r="AE26" s="2131"/>
      <c r="AF26" s="2131"/>
      <c r="AH26" s="262"/>
      <c r="AI26" s="262"/>
      <c r="AJ26" s="262"/>
      <c r="AK26" s="262"/>
      <c r="AL26" s="262"/>
      <c r="AM26" s="262"/>
      <c r="AN26" s="262"/>
      <c r="AO26" s="262"/>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62"/>
      <c r="CB26" s="262"/>
      <c r="CC26" s="262"/>
      <c r="CD26" s="262"/>
      <c r="CE26" s="262"/>
      <c r="CF26" s="262"/>
      <c r="CG26" s="262"/>
      <c r="CH26" s="262"/>
      <c r="CI26" s="262"/>
      <c r="CJ26" s="262"/>
      <c r="CK26" s="262"/>
      <c r="CL26" s="262"/>
      <c r="CM26" s="262"/>
      <c r="CN26" s="262"/>
      <c r="CO26" s="262"/>
      <c r="CP26" s="262"/>
      <c r="CQ26" s="262"/>
      <c r="CR26" s="262"/>
      <c r="CS26" s="262"/>
    </row>
    <row r="27" spans="1:97" ht="15" customHeight="1" x14ac:dyDescent="0.25">
      <c r="A27" s="262"/>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262"/>
      <c r="BT27" s="262"/>
      <c r="BU27" s="262"/>
      <c r="BV27" s="262"/>
      <c r="BW27" s="262"/>
      <c r="BX27" s="262"/>
      <c r="BY27" s="262"/>
      <c r="BZ27" s="262"/>
      <c r="CA27" s="262"/>
      <c r="CB27" s="262"/>
      <c r="CC27" s="262"/>
      <c r="CD27" s="262"/>
      <c r="CE27" s="262"/>
      <c r="CF27" s="262"/>
      <c r="CG27" s="262"/>
      <c r="CH27" s="262"/>
      <c r="CI27" s="262"/>
      <c r="CJ27" s="262"/>
      <c r="CK27" s="262"/>
      <c r="CL27" s="262"/>
      <c r="CM27" s="262"/>
      <c r="CN27" s="262"/>
      <c r="CO27" s="262"/>
      <c r="CP27" s="262"/>
      <c r="CQ27" s="262"/>
      <c r="CR27" s="262"/>
      <c r="CS27" s="262"/>
    </row>
    <row r="28" spans="1:97" ht="15" customHeight="1" x14ac:dyDescent="0.25">
      <c r="A28" s="262"/>
      <c r="B28" s="414" t="s">
        <v>13</v>
      </c>
      <c r="C28" s="414"/>
      <c r="D28" s="414"/>
      <c r="E28" s="414"/>
      <c r="F28" s="414"/>
      <c r="G28" s="414"/>
      <c r="H28" s="414"/>
      <c r="I28" s="414"/>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c r="CF28" s="262"/>
      <c r="CG28" s="262"/>
      <c r="CH28" s="262"/>
      <c r="CI28" s="262"/>
      <c r="CJ28" s="262"/>
      <c r="CK28" s="262"/>
      <c r="CL28" s="262"/>
      <c r="CM28" s="262"/>
      <c r="CN28" s="262"/>
      <c r="CO28" s="262"/>
      <c r="CP28" s="262"/>
      <c r="CQ28" s="262"/>
      <c r="CR28" s="262"/>
      <c r="CS28" s="262"/>
    </row>
    <row r="29" spans="1:97" ht="48" customHeight="1" x14ac:dyDescent="0.25">
      <c r="A29" s="262"/>
      <c r="B29" s="1173" t="s">
        <v>6869</v>
      </c>
      <c r="C29" s="1173"/>
      <c r="D29" s="1173"/>
      <c r="E29" s="1173"/>
      <c r="F29" s="1173"/>
      <c r="G29" s="1173"/>
      <c r="H29" s="1173"/>
      <c r="I29" s="1173"/>
      <c r="J29" s="1173"/>
      <c r="K29" s="1173"/>
      <c r="L29" s="1173"/>
      <c r="M29" s="1173"/>
      <c r="N29" s="1173"/>
      <c r="O29" s="1173"/>
      <c r="P29" s="1173"/>
      <c r="Q29" s="1173"/>
      <c r="R29" s="1173"/>
      <c r="S29" s="1173"/>
      <c r="T29" s="1173"/>
      <c r="U29" s="1173"/>
      <c r="V29" s="1173"/>
      <c r="W29" s="1173"/>
      <c r="X29" s="1173"/>
      <c r="Y29" s="1173"/>
      <c r="Z29" s="1173"/>
      <c r="AA29" s="1173"/>
      <c r="AB29" s="1173"/>
      <c r="AC29" s="1173"/>
      <c r="AD29" s="1173"/>
      <c r="AE29" s="1173"/>
      <c r="AF29" s="1173"/>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c r="CF29" s="262"/>
      <c r="CG29" s="262"/>
      <c r="CH29" s="262"/>
      <c r="CI29" s="262"/>
      <c r="CJ29" s="262"/>
      <c r="CK29" s="262"/>
      <c r="CL29" s="262"/>
      <c r="CM29" s="262"/>
      <c r="CN29" s="262"/>
      <c r="CO29" s="262"/>
      <c r="CP29" s="262"/>
      <c r="CQ29" s="262"/>
      <c r="CR29" s="262"/>
      <c r="CS29" s="262"/>
    </row>
    <row r="30" spans="1:97" ht="15" customHeight="1" x14ac:dyDescent="0.25">
      <c r="A30" s="262"/>
      <c r="B30" s="414"/>
      <c r="C30" s="414"/>
      <c r="D30" s="414"/>
      <c r="E30" s="414"/>
      <c r="F30" s="414"/>
      <c r="G30" s="414"/>
      <c r="H30" s="414"/>
      <c r="I30" s="414"/>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c r="CF30" s="262"/>
      <c r="CG30" s="262"/>
      <c r="CH30" s="262"/>
      <c r="CI30" s="262"/>
      <c r="CJ30" s="262"/>
      <c r="CK30" s="262"/>
      <c r="CL30" s="262"/>
      <c r="CM30" s="262"/>
      <c r="CN30" s="262"/>
      <c r="CO30" s="262"/>
      <c r="CP30" s="262"/>
      <c r="CQ30" s="262"/>
      <c r="CR30" s="262"/>
      <c r="CS30" s="262"/>
    </row>
    <row r="31" spans="1:97" ht="93" customHeight="1" x14ac:dyDescent="0.25">
      <c r="A31" s="263"/>
      <c r="B31" s="1173" t="s">
        <v>6877</v>
      </c>
      <c r="C31" s="1173"/>
      <c r="D31" s="1173"/>
      <c r="E31" s="1173"/>
      <c r="F31" s="1173"/>
      <c r="G31" s="1173"/>
      <c r="H31" s="1173"/>
      <c r="I31" s="1173"/>
      <c r="J31" s="1173"/>
      <c r="K31" s="1173"/>
      <c r="L31" s="1173"/>
      <c r="M31" s="1173"/>
      <c r="N31" s="1173"/>
      <c r="O31" s="1173"/>
      <c r="P31" s="1173"/>
      <c r="Q31" s="1173"/>
      <c r="R31" s="1173"/>
      <c r="S31" s="1173"/>
      <c r="T31" s="1173"/>
      <c r="U31" s="1173"/>
      <c r="V31" s="1173"/>
      <c r="W31" s="1173"/>
      <c r="X31" s="1173"/>
      <c r="Y31" s="1173"/>
      <c r="Z31" s="1173"/>
      <c r="AA31" s="1173"/>
      <c r="AB31" s="1173"/>
      <c r="AC31" s="1173"/>
      <c r="AD31" s="1173"/>
      <c r="AE31" s="1173"/>
      <c r="AF31" s="1173"/>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262"/>
      <c r="CK31" s="262"/>
      <c r="CL31" s="262"/>
      <c r="CM31" s="262"/>
      <c r="CN31" s="262"/>
      <c r="CO31" s="262"/>
      <c r="CP31" s="262"/>
      <c r="CQ31" s="262"/>
      <c r="CR31" s="262"/>
      <c r="CS31" s="262"/>
    </row>
    <row r="32" spans="1:97" ht="18" customHeight="1" x14ac:dyDescent="0.25">
      <c r="A32" s="263"/>
      <c r="B32" s="647"/>
      <c r="C32" s="647"/>
      <c r="D32" s="647"/>
      <c r="E32" s="647"/>
      <c r="F32" s="647"/>
      <c r="G32" s="647"/>
      <c r="H32" s="647"/>
      <c r="I32" s="647"/>
      <c r="J32" s="647"/>
      <c r="K32" s="647"/>
      <c r="L32" s="647"/>
      <c r="M32" s="647"/>
      <c r="N32" s="647"/>
      <c r="O32" s="647"/>
      <c r="P32" s="647"/>
      <c r="Q32" s="647"/>
      <c r="R32" s="647"/>
      <c r="S32" s="647"/>
      <c r="T32" s="647"/>
      <c r="U32" s="647"/>
      <c r="V32" s="647"/>
      <c r="W32" s="647"/>
      <c r="X32" s="647"/>
      <c r="Y32" s="647"/>
      <c r="Z32" s="647"/>
      <c r="AA32" s="647"/>
      <c r="AB32" s="647"/>
      <c r="AC32" s="647"/>
      <c r="AD32" s="647"/>
      <c r="AE32" s="647"/>
      <c r="AF32" s="647"/>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262"/>
      <c r="BT32" s="262"/>
      <c r="BU32" s="262"/>
      <c r="BV32" s="262"/>
      <c r="BW32" s="262"/>
      <c r="BX32" s="262"/>
      <c r="BY32" s="262"/>
      <c r="BZ32" s="262"/>
      <c r="CA32" s="262"/>
      <c r="CB32" s="262"/>
      <c r="CC32" s="262"/>
      <c r="CD32" s="262"/>
      <c r="CE32" s="262"/>
      <c r="CF32" s="262"/>
      <c r="CG32" s="262"/>
      <c r="CH32" s="262"/>
      <c r="CI32" s="262"/>
      <c r="CJ32" s="262"/>
      <c r="CK32" s="262"/>
      <c r="CL32" s="262"/>
      <c r="CM32" s="262"/>
      <c r="CN32" s="262"/>
      <c r="CO32" s="262"/>
      <c r="CP32" s="262"/>
      <c r="CQ32" s="262"/>
      <c r="CR32" s="262"/>
      <c r="CS32" s="262"/>
    </row>
    <row r="33" spans="1:97" ht="83.25" customHeight="1" x14ac:dyDescent="0.25">
      <c r="A33" s="263"/>
      <c r="B33" s="1168" t="s">
        <v>6206</v>
      </c>
      <c r="C33" s="1168"/>
      <c r="D33" s="1168"/>
      <c r="E33" s="1168"/>
      <c r="F33" s="1168"/>
      <c r="G33" s="1168"/>
      <c r="H33" s="1168"/>
      <c r="I33" s="1168"/>
      <c r="J33" s="1168"/>
      <c r="K33" s="1168"/>
      <c r="L33" s="1168"/>
      <c r="M33" s="1168"/>
      <c r="N33" s="1168"/>
      <c r="O33" s="1168"/>
      <c r="P33" s="1168"/>
      <c r="Q33" s="1168"/>
      <c r="R33" s="1168"/>
      <c r="S33" s="1168"/>
      <c r="T33" s="1168"/>
      <c r="U33" s="1168"/>
      <c r="V33" s="1168"/>
      <c r="W33" s="1168"/>
      <c r="X33" s="1168"/>
      <c r="Y33" s="1168"/>
      <c r="Z33" s="1168"/>
      <c r="AA33" s="1168"/>
      <c r="AB33" s="1168"/>
      <c r="AC33" s="1168"/>
      <c r="AD33" s="1168"/>
      <c r="AE33" s="1168"/>
      <c r="AF33" s="1168"/>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262"/>
      <c r="BT33" s="262"/>
      <c r="BU33" s="262"/>
      <c r="BV33" s="262"/>
      <c r="BW33" s="262"/>
      <c r="BX33" s="262"/>
      <c r="BY33" s="262"/>
      <c r="BZ33" s="262"/>
      <c r="CA33" s="262"/>
      <c r="CB33" s="262"/>
      <c r="CC33" s="262"/>
      <c r="CD33" s="262"/>
      <c r="CE33" s="262"/>
      <c r="CF33" s="262"/>
      <c r="CG33" s="262"/>
      <c r="CH33" s="262"/>
      <c r="CI33" s="262"/>
      <c r="CJ33" s="262"/>
      <c r="CK33" s="262"/>
      <c r="CL33" s="262"/>
      <c r="CM33" s="262"/>
      <c r="CN33" s="262"/>
      <c r="CO33" s="262"/>
      <c r="CP33" s="262"/>
      <c r="CQ33" s="262"/>
      <c r="CR33" s="262"/>
      <c r="CS33" s="262"/>
    </row>
    <row r="34" spans="1:97" ht="15" customHeight="1" x14ac:dyDescent="0.25">
      <c r="A34" s="263"/>
      <c r="B34" s="647"/>
      <c r="C34" s="647"/>
      <c r="D34" s="647"/>
      <c r="E34" s="647"/>
      <c r="F34" s="647"/>
      <c r="G34" s="647"/>
      <c r="H34" s="647"/>
      <c r="I34" s="647"/>
      <c r="J34" s="647"/>
      <c r="K34" s="647"/>
      <c r="L34" s="647"/>
      <c r="M34" s="647"/>
      <c r="N34" s="647"/>
      <c r="O34" s="647"/>
      <c r="P34" s="647"/>
      <c r="Q34" s="647"/>
      <c r="R34" s="647"/>
      <c r="S34" s="647"/>
      <c r="T34" s="647"/>
      <c r="U34" s="647"/>
      <c r="V34" s="647"/>
      <c r="W34" s="647"/>
      <c r="X34" s="647"/>
      <c r="Y34" s="647"/>
      <c r="Z34" s="647"/>
      <c r="AA34" s="647"/>
      <c r="AB34" s="647"/>
      <c r="AC34" s="647"/>
      <c r="AD34" s="647"/>
      <c r="AE34" s="647"/>
      <c r="AF34" s="647"/>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262"/>
      <c r="BT34" s="262"/>
      <c r="BU34" s="262"/>
      <c r="BV34" s="262"/>
      <c r="BW34" s="262"/>
      <c r="BX34" s="262"/>
      <c r="BY34" s="262"/>
      <c r="BZ34" s="262"/>
      <c r="CA34" s="262"/>
      <c r="CB34" s="262"/>
      <c r="CC34" s="262"/>
      <c r="CD34" s="262"/>
      <c r="CE34" s="262"/>
      <c r="CF34" s="262"/>
      <c r="CG34" s="262"/>
      <c r="CH34" s="262"/>
      <c r="CI34" s="262"/>
      <c r="CJ34" s="262"/>
      <c r="CK34" s="262"/>
      <c r="CL34" s="262"/>
      <c r="CM34" s="262"/>
      <c r="CN34" s="262"/>
      <c r="CO34" s="262"/>
      <c r="CP34" s="262"/>
      <c r="CQ34" s="262"/>
      <c r="CR34" s="262"/>
      <c r="CS34" s="262"/>
    </row>
    <row r="35" spans="1:97" ht="50.25" customHeight="1" x14ac:dyDescent="0.25">
      <c r="A35" s="263"/>
      <c r="B35" s="1168" t="s">
        <v>6870</v>
      </c>
      <c r="C35" s="1168"/>
      <c r="D35" s="1168"/>
      <c r="E35" s="1168"/>
      <c r="F35" s="1168"/>
      <c r="G35" s="1168"/>
      <c r="H35" s="1168"/>
      <c r="I35" s="1168"/>
      <c r="J35" s="1168"/>
      <c r="K35" s="1168"/>
      <c r="L35" s="1168"/>
      <c r="M35" s="1168"/>
      <c r="N35" s="1168"/>
      <c r="O35" s="1168"/>
      <c r="P35" s="1168"/>
      <c r="Q35" s="1168"/>
      <c r="R35" s="1168"/>
      <c r="S35" s="1168"/>
      <c r="T35" s="1168"/>
      <c r="U35" s="1168"/>
      <c r="V35" s="1168"/>
      <c r="W35" s="1168"/>
      <c r="X35" s="1168"/>
      <c r="Y35" s="1168"/>
      <c r="Z35" s="1168"/>
      <c r="AA35" s="1168"/>
      <c r="AB35" s="1168"/>
      <c r="AC35" s="1168"/>
      <c r="AD35" s="1168"/>
      <c r="AE35" s="1168"/>
      <c r="AF35" s="1168"/>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262"/>
      <c r="BT35" s="262"/>
      <c r="BU35" s="262"/>
      <c r="BV35" s="262"/>
      <c r="BW35" s="262"/>
      <c r="BX35" s="262"/>
      <c r="BY35" s="262"/>
      <c r="BZ35" s="262"/>
      <c r="CA35" s="262"/>
      <c r="CB35" s="262"/>
      <c r="CC35" s="262"/>
      <c r="CD35" s="262"/>
      <c r="CE35" s="262"/>
      <c r="CF35" s="262"/>
      <c r="CG35" s="262"/>
      <c r="CH35" s="262"/>
      <c r="CI35" s="262"/>
      <c r="CJ35" s="262"/>
      <c r="CK35" s="262"/>
      <c r="CL35" s="262"/>
      <c r="CM35" s="262"/>
      <c r="CN35" s="262"/>
      <c r="CO35" s="262"/>
      <c r="CP35" s="262"/>
      <c r="CQ35" s="262"/>
      <c r="CR35" s="262"/>
      <c r="CS35" s="262"/>
    </row>
    <row r="36" spans="1:97" ht="15" customHeight="1" x14ac:dyDescent="0.25">
      <c r="A36" s="263"/>
      <c r="B36" s="647"/>
      <c r="C36" s="647"/>
      <c r="D36" s="647"/>
      <c r="E36" s="647"/>
      <c r="F36" s="647"/>
      <c r="G36" s="647"/>
      <c r="H36" s="647"/>
      <c r="I36" s="647"/>
      <c r="J36" s="647"/>
      <c r="K36" s="647"/>
      <c r="L36" s="647"/>
      <c r="M36" s="647"/>
      <c r="N36" s="647"/>
      <c r="O36" s="647"/>
      <c r="P36" s="647"/>
      <c r="Q36" s="647"/>
      <c r="R36" s="647"/>
      <c r="S36" s="647"/>
      <c r="T36" s="647"/>
      <c r="U36" s="647"/>
      <c r="V36" s="647"/>
      <c r="W36" s="647"/>
      <c r="X36" s="647"/>
      <c r="Y36" s="647"/>
      <c r="Z36" s="647"/>
      <c r="AA36" s="647"/>
      <c r="AB36" s="647"/>
      <c r="AC36" s="647"/>
      <c r="AD36" s="647"/>
      <c r="AE36" s="647"/>
      <c r="AF36" s="647"/>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262"/>
      <c r="BT36" s="262"/>
      <c r="BU36" s="262"/>
      <c r="BV36" s="262"/>
      <c r="BW36" s="262"/>
      <c r="BX36" s="262"/>
      <c r="BY36" s="262"/>
      <c r="BZ36" s="262"/>
      <c r="CA36" s="262"/>
      <c r="CB36" s="262"/>
      <c r="CC36" s="262"/>
      <c r="CD36" s="262"/>
      <c r="CE36" s="262"/>
      <c r="CF36" s="262"/>
      <c r="CG36" s="262"/>
      <c r="CH36" s="262"/>
      <c r="CI36" s="262"/>
      <c r="CJ36" s="262"/>
      <c r="CK36" s="262"/>
      <c r="CL36" s="262"/>
      <c r="CM36" s="262"/>
      <c r="CN36" s="262"/>
      <c r="CO36" s="262"/>
      <c r="CP36" s="262"/>
      <c r="CQ36" s="262"/>
      <c r="CR36" s="262"/>
      <c r="CS36" s="262"/>
    </row>
    <row r="37" spans="1:97" ht="92.25" customHeight="1" x14ac:dyDescent="0.25">
      <c r="A37" s="263"/>
      <c r="B37" s="1173" t="s">
        <v>6871</v>
      </c>
      <c r="C37" s="1173"/>
      <c r="D37" s="1173"/>
      <c r="E37" s="1173"/>
      <c r="F37" s="1173"/>
      <c r="G37" s="1173"/>
      <c r="H37" s="1173"/>
      <c r="I37" s="1173"/>
      <c r="J37" s="1173"/>
      <c r="K37" s="1173"/>
      <c r="L37" s="1173"/>
      <c r="M37" s="1173"/>
      <c r="N37" s="1173"/>
      <c r="O37" s="1173"/>
      <c r="P37" s="1173"/>
      <c r="Q37" s="1173"/>
      <c r="R37" s="1173"/>
      <c r="S37" s="1173"/>
      <c r="T37" s="1173"/>
      <c r="U37" s="1173"/>
      <c r="V37" s="1173"/>
      <c r="W37" s="1173"/>
      <c r="X37" s="1173"/>
      <c r="Y37" s="1173"/>
      <c r="Z37" s="1173"/>
      <c r="AA37" s="1173"/>
      <c r="AB37" s="1173"/>
      <c r="AC37" s="1173"/>
      <c r="AD37" s="1173"/>
      <c r="AE37" s="1173"/>
      <c r="AF37" s="1173"/>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262"/>
      <c r="BT37" s="262"/>
      <c r="BU37" s="262"/>
      <c r="BV37" s="262"/>
      <c r="BW37" s="262"/>
      <c r="BX37" s="262"/>
      <c r="BY37" s="262"/>
      <c r="BZ37" s="262"/>
      <c r="CA37" s="262"/>
      <c r="CB37" s="262"/>
      <c r="CC37" s="262"/>
      <c r="CD37" s="262"/>
      <c r="CE37" s="262"/>
      <c r="CF37" s="262"/>
      <c r="CG37" s="262"/>
      <c r="CH37" s="262"/>
      <c r="CI37" s="262"/>
      <c r="CJ37" s="262"/>
      <c r="CK37" s="262"/>
      <c r="CL37" s="262"/>
      <c r="CM37" s="262"/>
      <c r="CN37" s="262"/>
      <c r="CO37" s="262"/>
      <c r="CP37" s="262"/>
      <c r="CQ37" s="262"/>
      <c r="CR37" s="262"/>
      <c r="CS37" s="262"/>
    </row>
    <row r="38" spans="1:97" ht="15" customHeight="1" x14ac:dyDescent="0.25">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c r="BT38" s="262"/>
      <c r="BU38" s="262"/>
      <c r="BV38" s="262"/>
      <c r="BW38" s="262"/>
      <c r="BX38" s="262"/>
      <c r="BY38" s="262"/>
      <c r="BZ38" s="262"/>
      <c r="CA38" s="262"/>
      <c r="CB38" s="262"/>
      <c r="CC38" s="262"/>
      <c r="CD38" s="262"/>
      <c r="CE38" s="262"/>
      <c r="CF38" s="262"/>
      <c r="CG38" s="262"/>
      <c r="CH38" s="262"/>
      <c r="CI38" s="262"/>
      <c r="CJ38" s="262"/>
      <c r="CK38" s="262"/>
      <c r="CL38" s="262"/>
      <c r="CM38" s="262"/>
      <c r="CN38" s="262"/>
      <c r="CO38" s="262"/>
      <c r="CP38" s="262"/>
      <c r="CQ38" s="262"/>
      <c r="CR38" s="262"/>
      <c r="CS38" s="262"/>
    </row>
    <row r="39" spans="1:97" ht="15" customHeight="1" x14ac:dyDescent="0.25">
      <c r="A39" s="262"/>
      <c r="B39" s="414" t="s">
        <v>20</v>
      </c>
      <c r="C39" s="414"/>
      <c r="D39" s="414"/>
      <c r="E39" s="414"/>
      <c r="F39" s="414"/>
      <c r="G39" s="414"/>
      <c r="H39" s="414"/>
      <c r="I39" s="414"/>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262"/>
      <c r="BT39" s="262"/>
      <c r="BU39" s="262"/>
      <c r="BV39" s="262"/>
      <c r="BW39" s="262"/>
      <c r="BX39" s="262"/>
      <c r="BY39" s="262"/>
      <c r="BZ39" s="262"/>
      <c r="CA39" s="262"/>
      <c r="CB39" s="262"/>
      <c r="CC39" s="262"/>
      <c r="CD39" s="262"/>
      <c r="CE39" s="262"/>
      <c r="CF39" s="262"/>
      <c r="CG39" s="262"/>
      <c r="CH39" s="262"/>
      <c r="CI39" s="262"/>
      <c r="CJ39" s="262"/>
      <c r="CK39" s="262"/>
      <c r="CL39" s="262"/>
      <c r="CM39" s="262"/>
      <c r="CN39" s="262"/>
      <c r="CO39" s="262"/>
      <c r="CP39" s="262"/>
      <c r="CQ39" s="262"/>
      <c r="CR39" s="262"/>
      <c r="CS39" s="262"/>
    </row>
    <row r="40" spans="1:97" ht="77.25" customHeight="1" x14ac:dyDescent="0.25">
      <c r="A40" s="262"/>
      <c r="B40" s="1704" t="s">
        <v>6872</v>
      </c>
      <c r="C40" s="1704"/>
      <c r="D40" s="1704"/>
      <c r="E40" s="1704"/>
      <c r="F40" s="1704"/>
      <c r="G40" s="1704"/>
      <c r="H40" s="1704"/>
      <c r="I40" s="1704"/>
      <c r="J40" s="1704"/>
      <c r="K40" s="1704"/>
      <c r="L40" s="1704"/>
      <c r="M40" s="1704"/>
      <c r="N40" s="1704"/>
      <c r="O40" s="1704"/>
      <c r="P40" s="1704"/>
      <c r="Q40" s="1704"/>
      <c r="R40" s="1704"/>
      <c r="S40" s="1704"/>
      <c r="T40" s="1704"/>
      <c r="U40" s="1704"/>
      <c r="V40" s="1704"/>
      <c r="W40" s="1704"/>
      <c r="X40" s="1704"/>
      <c r="Y40" s="1704"/>
      <c r="Z40" s="1704"/>
      <c r="AA40" s="1704"/>
      <c r="AB40" s="1704"/>
      <c r="AC40" s="1704"/>
      <c r="AD40" s="1704"/>
      <c r="AE40" s="1704"/>
      <c r="AF40" s="1704"/>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c r="BT40" s="262"/>
      <c r="BU40" s="262"/>
      <c r="BV40" s="262"/>
      <c r="BW40" s="262"/>
      <c r="BX40" s="262"/>
      <c r="BY40" s="262"/>
      <c r="BZ40" s="262"/>
      <c r="CA40" s="262"/>
      <c r="CB40" s="262"/>
      <c r="CC40" s="262"/>
      <c r="CD40" s="262"/>
      <c r="CE40" s="262"/>
      <c r="CF40" s="262"/>
      <c r="CG40" s="262"/>
      <c r="CH40" s="262"/>
      <c r="CI40" s="262"/>
      <c r="CJ40" s="262"/>
      <c r="CK40" s="262"/>
      <c r="CL40" s="262"/>
      <c r="CM40" s="262"/>
      <c r="CN40" s="262"/>
      <c r="CO40" s="262"/>
      <c r="CP40" s="262"/>
      <c r="CQ40" s="262"/>
      <c r="CR40" s="262"/>
      <c r="CS40" s="262"/>
    </row>
    <row r="41" spans="1:97" ht="12" customHeight="1" x14ac:dyDescent="0.25">
      <c r="A41" s="262"/>
      <c r="B41" s="460"/>
      <c r="C41" s="460"/>
      <c r="D41" s="460"/>
      <c r="E41" s="460"/>
      <c r="F41" s="460"/>
      <c r="G41" s="460"/>
      <c r="H41" s="460"/>
      <c r="I41" s="460"/>
      <c r="J41" s="460"/>
      <c r="K41" s="460"/>
      <c r="L41" s="460"/>
      <c r="M41" s="460"/>
      <c r="N41" s="460"/>
      <c r="O41" s="460"/>
      <c r="P41" s="460"/>
      <c r="Q41" s="460"/>
      <c r="R41" s="460"/>
      <c r="S41" s="460"/>
      <c r="T41" s="460"/>
      <c r="U41" s="460"/>
      <c r="V41" s="460"/>
      <c r="W41" s="460"/>
      <c r="X41" s="460"/>
      <c r="Y41" s="460"/>
      <c r="Z41" s="460"/>
      <c r="AA41" s="460"/>
      <c r="AB41" s="460"/>
      <c r="AC41" s="460"/>
      <c r="AD41" s="460"/>
      <c r="AE41" s="460"/>
      <c r="AF41" s="460"/>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262"/>
      <c r="BT41" s="262"/>
      <c r="BU41" s="262"/>
      <c r="BV41" s="262"/>
      <c r="BW41" s="262"/>
      <c r="BX41" s="262"/>
      <c r="BY41" s="262"/>
      <c r="BZ41" s="262"/>
      <c r="CA41" s="262"/>
      <c r="CB41" s="262"/>
      <c r="CC41" s="262"/>
      <c r="CD41" s="262"/>
      <c r="CE41" s="262"/>
      <c r="CF41" s="262"/>
      <c r="CG41" s="262"/>
      <c r="CH41" s="262"/>
      <c r="CI41" s="262"/>
      <c r="CJ41" s="262"/>
      <c r="CK41" s="262"/>
      <c r="CL41" s="262"/>
      <c r="CM41" s="262"/>
      <c r="CN41" s="262"/>
      <c r="CO41" s="262"/>
      <c r="CP41" s="262"/>
      <c r="CQ41" s="262"/>
      <c r="CR41" s="262"/>
      <c r="CS41" s="262"/>
    </row>
    <row r="42" spans="1:97" ht="80.25" customHeight="1" x14ac:dyDescent="0.25">
      <c r="A42" s="262"/>
      <c r="B42" s="1168" t="s">
        <v>6878</v>
      </c>
      <c r="C42" s="1168"/>
      <c r="D42" s="1168"/>
      <c r="E42" s="1168"/>
      <c r="F42" s="1168"/>
      <c r="G42" s="1168"/>
      <c r="H42" s="1168"/>
      <c r="I42" s="1168"/>
      <c r="J42" s="1168"/>
      <c r="K42" s="1168"/>
      <c r="L42" s="1168"/>
      <c r="M42" s="1168"/>
      <c r="N42" s="1168"/>
      <c r="O42" s="1168"/>
      <c r="P42" s="1168"/>
      <c r="Q42" s="1168"/>
      <c r="R42" s="1168"/>
      <c r="S42" s="1168"/>
      <c r="T42" s="1168"/>
      <c r="U42" s="1168"/>
      <c r="V42" s="1168"/>
      <c r="W42" s="1168"/>
      <c r="X42" s="1168"/>
      <c r="Y42" s="1168"/>
      <c r="Z42" s="1168"/>
      <c r="AA42" s="1168"/>
      <c r="AB42" s="1168"/>
      <c r="AC42" s="1168"/>
      <c r="AD42" s="1168"/>
      <c r="AE42" s="1168"/>
      <c r="AF42" s="1168"/>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262"/>
      <c r="BT42" s="262"/>
      <c r="BU42" s="262"/>
      <c r="BV42" s="262"/>
      <c r="BW42" s="262"/>
      <c r="BX42" s="262"/>
      <c r="BY42" s="262"/>
      <c r="BZ42" s="262"/>
      <c r="CA42" s="262"/>
      <c r="CB42" s="262"/>
      <c r="CC42" s="262"/>
      <c r="CD42" s="262"/>
      <c r="CE42" s="262"/>
      <c r="CF42" s="262"/>
      <c r="CG42" s="262"/>
      <c r="CH42" s="262"/>
      <c r="CI42" s="262"/>
      <c r="CJ42" s="262"/>
      <c r="CK42" s="262"/>
      <c r="CL42" s="262"/>
      <c r="CM42" s="262"/>
      <c r="CN42" s="262"/>
      <c r="CO42" s="262"/>
      <c r="CP42" s="262"/>
      <c r="CQ42" s="262"/>
      <c r="CR42" s="262"/>
      <c r="CS42" s="262"/>
    </row>
    <row r="43" spans="1:97" customFormat="1" x14ac:dyDescent="0.25">
      <c r="A43" s="263"/>
      <c r="B43" s="651"/>
      <c r="C43" s="651"/>
      <c r="D43" s="651"/>
      <c r="E43" s="651"/>
      <c r="F43" s="651"/>
      <c r="G43" s="651"/>
      <c r="H43" s="651"/>
      <c r="I43" s="651"/>
      <c r="J43" s="651"/>
      <c r="K43" s="651"/>
      <c r="L43" s="651"/>
      <c r="M43" s="651"/>
      <c r="N43" s="651"/>
      <c r="O43" s="651"/>
      <c r="P43" s="651"/>
      <c r="Q43" s="651"/>
      <c r="R43" s="651"/>
      <c r="S43" s="651"/>
      <c r="T43" s="651"/>
      <c r="U43" s="651"/>
      <c r="V43" s="651"/>
      <c r="W43" s="651"/>
      <c r="X43" s="651"/>
      <c r="Y43" s="651"/>
      <c r="Z43" s="651"/>
      <c r="AA43" s="651"/>
      <c r="AB43" s="651"/>
      <c r="AC43" s="651"/>
      <c r="AD43" s="651"/>
      <c r="AE43" s="651"/>
      <c r="AF43" s="651"/>
      <c r="AH43" s="227"/>
      <c r="AI43" s="227"/>
      <c r="AJ43" s="227"/>
      <c r="AK43" s="227"/>
      <c r="AL43" s="638"/>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row>
    <row r="44" spans="1:97" customFormat="1" ht="48" customHeight="1" x14ac:dyDescent="0.25">
      <c r="A44" s="262"/>
      <c r="B44" s="1168" t="s">
        <v>6873</v>
      </c>
      <c r="C44" s="1168"/>
      <c r="D44" s="1168"/>
      <c r="E44" s="1168"/>
      <c r="F44" s="1168"/>
      <c r="G44" s="1168"/>
      <c r="H44" s="1168"/>
      <c r="I44" s="1168"/>
      <c r="J44" s="1168"/>
      <c r="K44" s="1168"/>
      <c r="L44" s="1168"/>
      <c r="M44" s="1168"/>
      <c r="N44" s="1168"/>
      <c r="O44" s="1168"/>
      <c r="P44" s="1168"/>
      <c r="Q44" s="1168"/>
      <c r="R44" s="1168"/>
      <c r="S44" s="1168"/>
      <c r="T44" s="1168"/>
      <c r="U44" s="1168"/>
      <c r="V44" s="1168"/>
      <c r="W44" s="1168"/>
      <c r="X44" s="1168"/>
      <c r="Y44" s="1168"/>
      <c r="Z44" s="1168"/>
      <c r="AA44" s="1168"/>
      <c r="AB44" s="1168"/>
      <c r="AC44" s="1168"/>
      <c r="AD44" s="1168"/>
      <c r="AE44" s="1168"/>
      <c r="AF44" s="1168"/>
      <c r="AH44" s="227"/>
      <c r="AI44" s="227"/>
      <c r="AJ44" s="227"/>
      <c r="AK44" s="262"/>
      <c r="AL44" s="638"/>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row>
    <row r="45" spans="1:97" customFormat="1" x14ac:dyDescent="0.25">
      <c r="A45" s="263"/>
      <c r="B45" s="651"/>
      <c r="C45" s="651"/>
      <c r="D45" s="651"/>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H45" s="227"/>
      <c r="AI45" s="227"/>
      <c r="AJ45" s="227"/>
      <c r="AK45" s="227"/>
      <c r="AL45" s="638"/>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row>
    <row r="46" spans="1:97" ht="15" customHeight="1" x14ac:dyDescent="0.25">
      <c r="A46" s="262"/>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262"/>
      <c r="BT46" s="262"/>
      <c r="BU46" s="262"/>
      <c r="BV46" s="262"/>
      <c r="BW46" s="262"/>
      <c r="BX46" s="262"/>
      <c r="BY46" s="262"/>
      <c r="BZ46" s="262"/>
      <c r="CA46" s="262"/>
      <c r="CB46" s="262"/>
      <c r="CC46" s="262"/>
      <c r="CD46" s="262"/>
      <c r="CE46" s="262"/>
      <c r="CF46" s="262"/>
      <c r="CG46" s="262"/>
      <c r="CH46" s="262"/>
      <c r="CI46" s="262"/>
      <c r="CJ46" s="262"/>
      <c r="CK46" s="262"/>
      <c r="CL46" s="262"/>
      <c r="CM46" s="262"/>
      <c r="CN46" s="262"/>
      <c r="CO46" s="262"/>
      <c r="CP46" s="262"/>
      <c r="CQ46" s="262"/>
      <c r="CR46" s="262"/>
      <c r="CS46" s="262"/>
    </row>
    <row r="47" spans="1:97" ht="15" customHeight="1" x14ac:dyDescent="0.25">
      <c r="A47" s="2136" t="s">
        <v>14</v>
      </c>
      <c r="B47" s="2137"/>
      <c r="C47" s="2137"/>
      <c r="D47" s="2137"/>
      <c r="E47" s="2137"/>
      <c r="F47" s="2137"/>
      <c r="G47" s="2137"/>
      <c r="H47" s="2137"/>
      <c r="I47" s="2137"/>
      <c r="J47" s="2137"/>
      <c r="K47" s="2137"/>
      <c r="L47" s="2137"/>
      <c r="M47" s="2137"/>
      <c r="N47" s="2137"/>
      <c r="O47" s="2137"/>
      <c r="P47" s="2137"/>
      <c r="Q47" s="2137"/>
      <c r="R47" s="2137"/>
      <c r="S47" s="2137"/>
      <c r="T47" s="2137"/>
      <c r="U47" s="2137"/>
      <c r="V47" s="2137"/>
      <c r="W47" s="2137"/>
      <c r="X47" s="2137"/>
      <c r="Y47" s="2137"/>
      <c r="Z47" s="2137"/>
      <c r="AA47" s="2137"/>
      <c r="AB47" s="2137"/>
      <c r="AC47" s="2137"/>
      <c r="AD47" s="2137"/>
      <c r="AE47" s="2137"/>
      <c r="AF47" s="2137"/>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262"/>
      <c r="BT47" s="262"/>
      <c r="BU47" s="262"/>
      <c r="BV47" s="262"/>
      <c r="BW47" s="262"/>
      <c r="BX47" s="262"/>
      <c r="BY47" s="262"/>
      <c r="BZ47" s="262"/>
      <c r="CA47" s="262"/>
      <c r="CB47" s="262"/>
      <c r="CC47" s="262"/>
      <c r="CD47" s="262"/>
      <c r="CE47" s="262"/>
      <c r="CF47" s="262"/>
      <c r="CG47" s="262"/>
      <c r="CH47" s="262"/>
      <c r="CI47" s="262"/>
      <c r="CJ47" s="262"/>
      <c r="CK47" s="262"/>
      <c r="CL47" s="262"/>
      <c r="CM47" s="262"/>
      <c r="CN47" s="262"/>
      <c r="CO47" s="262"/>
      <c r="CP47" s="262"/>
      <c r="CQ47" s="262"/>
      <c r="CR47" s="262"/>
      <c r="CS47" s="262"/>
    </row>
    <row r="48" spans="1:97" ht="15" customHeight="1" x14ac:dyDescent="0.25">
      <c r="A48" s="262"/>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262"/>
      <c r="BT48" s="262"/>
      <c r="BU48" s="262"/>
      <c r="BV48" s="262"/>
      <c r="BW48" s="262"/>
      <c r="BX48" s="262"/>
      <c r="BY48" s="262"/>
      <c r="BZ48" s="262"/>
      <c r="CA48" s="262"/>
      <c r="CB48" s="262"/>
      <c r="CC48" s="262"/>
      <c r="CD48" s="262"/>
      <c r="CE48" s="262"/>
      <c r="CF48" s="262"/>
      <c r="CG48" s="262"/>
      <c r="CH48" s="262"/>
      <c r="CI48" s="262"/>
      <c r="CJ48" s="262"/>
      <c r="CK48" s="262"/>
      <c r="CL48" s="262"/>
      <c r="CM48" s="262"/>
      <c r="CN48" s="262"/>
      <c r="CO48" s="262"/>
      <c r="CP48" s="262"/>
      <c r="CQ48" s="262"/>
      <c r="CR48" s="262"/>
      <c r="CS48" s="262"/>
    </row>
    <row r="49" spans="1:97" ht="15" customHeight="1" x14ac:dyDescent="0.25">
      <c r="A49" s="262"/>
      <c r="B49" s="519" t="s">
        <v>2303</v>
      </c>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2"/>
      <c r="BQ49" s="262"/>
      <c r="BR49" s="262"/>
      <c r="BS49" s="262"/>
      <c r="BT49" s="262"/>
      <c r="BU49" s="262"/>
      <c r="BV49" s="262"/>
      <c r="BW49" s="262"/>
      <c r="BX49" s="262"/>
      <c r="BY49" s="262"/>
      <c r="BZ49" s="262"/>
      <c r="CA49" s="262"/>
      <c r="CB49" s="262"/>
      <c r="CC49" s="262"/>
      <c r="CD49" s="262"/>
      <c r="CE49" s="262"/>
      <c r="CF49" s="262"/>
      <c r="CG49" s="262"/>
      <c r="CH49" s="262"/>
      <c r="CI49" s="262"/>
      <c r="CJ49" s="262"/>
      <c r="CK49" s="262"/>
      <c r="CL49" s="262"/>
      <c r="CM49" s="262"/>
      <c r="CN49" s="262"/>
      <c r="CO49" s="262"/>
      <c r="CP49" s="262"/>
      <c r="CQ49" s="262"/>
      <c r="CR49" s="262"/>
      <c r="CS49" s="262"/>
    </row>
    <row r="50" spans="1:97" ht="15" customHeight="1" x14ac:dyDescent="0.25">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2"/>
      <c r="BQ50" s="262"/>
      <c r="BR50" s="262"/>
      <c r="BS50" s="262"/>
      <c r="BT50" s="262"/>
      <c r="BU50" s="262"/>
      <c r="BV50" s="262"/>
      <c r="BW50" s="262"/>
      <c r="BX50" s="262"/>
      <c r="BY50" s="262"/>
      <c r="BZ50" s="262"/>
      <c r="CA50" s="262"/>
      <c r="CB50" s="262"/>
      <c r="CC50" s="262"/>
      <c r="CD50" s="262"/>
      <c r="CE50" s="262"/>
      <c r="CF50" s="262"/>
      <c r="CG50" s="262"/>
      <c r="CH50" s="262"/>
      <c r="CI50" s="262"/>
      <c r="CJ50" s="262"/>
      <c r="CK50" s="262"/>
      <c r="CL50" s="262"/>
      <c r="CM50" s="262"/>
      <c r="CN50" s="262"/>
      <c r="CO50" s="262"/>
      <c r="CP50" s="262"/>
      <c r="CQ50" s="262"/>
      <c r="CR50" s="262"/>
      <c r="CS50" s="262"/>
    </row>
    <row r="51" spans="1:97" x14ac:dyDescent="0.25">
      <c r="A51" s="2021"/>
      <c r="B51" s="2021"/>
      <c r="C51" s="2021"/>
      <c r="D51" s="2021"/>
      <c r="E51" s="2021"/>
      <c r="F51" s="2021"/>
      <c r="G51" s="2021"/>
      <c r="H51" s="2021"/>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t="s">
        <v>1705</v>
      </c>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262"/>
      <c r="BT51" s="262"/>
      <c r="BU51" s="262"/>
      <c r="BV51" s="262"/>
      <c r="BW51" s="262"/>
      <c r="BX51" s="262"/>
      <c r="BY51" s="262"/>
      <c r="BZ51" s="262"/>
      <c r="CA51" s="262"/>
      <c r="CB51" s="262"/>
      <c r="CC51" s="262"/>
      <c r="CD51" s="262"/>
      <c r="CE51" s="262"/>
      <c r="CF51" s="262"/>
      <c r="CG51" s="262"/>
      <c r="CH51" s="262"/>
      <c r="CI51" s="262"/>
      <c r="CJ51" s="262"/>
      <c r="CK51" s="262"/>
      <c r="CL51" s="262"/>
      <c r="CM51" s="262"/>
      <c r="CN51" s="262"/>
      <c r="CO51" s="262"/>
      <c r="CP51" s="262"/>
      <c r="CQ51" s="262"/>
      <c r="CR51" s="262"/>
      <c r="CS51" s="262"/>
    </row>
    <row r="52" spans="1:97" s="683" customFormat="1" ht="19.5" customHeight="1" x14ac:dyDescent="0.25">
      <c r="A52" s="193"/>
      <c r="B52" s="193"/>
      <c r="C52" s="193"/>
      <c r="D52" s="192" t="s">
        <v>6208</v>
      </c>
      <c r="E52" s="262"/>
      <c r="F52" s="193"/>
      <c r="G52" s="193"/>
      <c r="H52" s="193"/>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262"/>
      <c r="AH52" s="262"/>
      <c r="AI52" s="262"/>
      <c r="AJ52" s="262"/>
      <c r="AK52" s="638"/>
      <c r="AL52" s="262"/>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62"/>
      <c r="BV52" s="262"/>
      <c r="BW52" s="262"/>
      <c r="BX52" s="262"/>
      <c r="BY52" s="262"/>
      <c r="BZ52" s="262"/>
      <c r="CA52" s="262"/>
      <c r="CB52" s="262"/>
      <c r="CC52" s="262"/>
      <c r="CD52" s="262"/>
      <c r="CE52" s="262"/>
      <c r="CF52" s="262"/>
      <c r="CG52" s="262"/>
      <c r="CH52" s="262"/>
      <c r="CI52" s="262"/>
      <c r="CJ52" s="262"/>
      <c r="CK52" s="262"/>
      <c r="CL52" s="262"/>
      <c r="CM52" s="262"/>
      <c r="CN52" s="262"/>
      <c r="CO52" s="262"/>
      <c r="CP52" s="262"/>
      <c r="CQ52" s="262"/>
      <c r="CR52" s="262"/>
      <c r="CS52" s="262"/>
    </row>
    <row r="53" spans="1:97" x14ac:dyDescent="0.25">
      <c r="A53" s="193"/>
      <c r="B53" s="193"/>
      <c r="C53" s="193"/>
      <c r="D53" s="193"/>
      <c r="E53" s="193"/>
      <c r="F53" s="193"/>
      <c r="G53" s="193"/>
      <c r="H53" s="193"/>
      <c r="I53" s="520"/>
      <c r="J53" s="520"/>
      <c r="K53" s="520"/>
      <c r="L53" s="520"/>
      <c r="M53" s="520"/>
      <c r="N53" s="520"/>
      <c r="O53" s="520"/>
      <c r="P53" s="520"/>
      <c r="Q53" s="520"/>
      <c r="R53" s="520"/>
      <c r="S53" s="520"/>
      <c r="T53" s="520"/>
      <c r="U53" s="520"/>
      <c r="V53" s="520"/>
      <c r="W53" s="520"/>
      <c r="X53" s="520"/>
      <c r="Y53" s="520"/>
      <c r="Z53" s="520"/>
      <c r="AA53" s="520"/>
      <c r="AB53" s="520"/>
      <c r="AC53" s="520"/>
      <c r="AD53" s="520"/>
      <c r="AE53" s="520"/>
      <c r="AF53" s="520"/>
      <c r="AG53" s="262"/>
      <c r="AH53" s="262"/>
      <c r="AI53" s="262"/>
      <c r="AJ53" s="262"/>
      <c r="AK53" s="262"/>
      <c r="AL53" s="262"/>
      <c r="AM53" s="262"/>
      <c r="AN53" s="262"/>
      <c r="AO53" s="262"/>
      <c r="AP53" s="262"/>
      <c r="AQ53" s="262"/>
      <c r="AR53" s="262"/>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2"/>
      <c r="BR53" s="262"/>
      <c r="BS53" s="262"/>
      <c r="BT53" s="262"/>
      <c r="BU53" s="262"/>
      <c r="BV53" s="262"/>
      <c r="BW53" s="262"/>
      <c r="BX53" s="262"/>
      <c r="BY53" s="262"/>
      <c r="BZ53" s="262"/>
      <c r="CA53" s="262"/>
      <c r="CB53" s="262"/>
      <c r="CC53" s="262"/>
      <c r="CD53" s="262"/>
      <c r="CE53" s="262"/>
      <c r="CF53" s="262"/>
      <c r="CG53" s="262"/>
      <c r="CH53" s="262"/>
      <c r="CI53" s="262"/>
      <c r="CJ53" s="262"/>
      <c r="CK53" s="262"/>
      <c r="CL53" s="262"/>
      <c r="CM53" s="262"/>
      <c r="CN53" s="262"/>
      <c r="CO53" s="262"/>
      <c r="CP53" s="262"/>
      <c r="CQ53" s="262"/>
      <c r="CR53" s="262"/>
      <c r="CS53" s="262"/>
    </row>
    <row r="54" spans="1:97" x14ac:dyDescent="0.25">
      <c r="A54" s="193"/>
      <c r="B54" s="519" t="s">
        <v>2194</v>
      </c>
      <c r="C54" s="193"/>
      <c r="D54" s="193"/>
      <c r="E54" s="193"/>
      <c r="F54" s="193"/>
      <c r="G54" s="193"/>
      <c r="H54" s="193"/>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262"/>
      <c r="BT54" s="262"/>
      <c r="BU54" s="262"/>
      <c r="BV54" s="262"/>
      <c r="BW54" s="262"/>
      <c r="BX54" s="262"/>
      <c r="BY54" s="262"/>
      <c r="BZ54" s="262"/>
      <c r="CA54" s="262"/>
      <c r="CB54" s="262"/>
      <c r="CC54" s="262"/>
      <c r="CD54" s="262"/>
      <c r="CE54" s="262"/>
      <c r="CF54" s="262"/>
      <c r="CG54" s="262"/>
      <c r="CH54" s="262"/>
      <c r="CI54" s="262"/>
      <c r="CJ54" s="262"/>
      <c r="CK54" s="262"/>
      <c r="CL54" s="262"/>
      <c r="CM54" s="262"/>
      <c r="CN54" s="262"/>
      <c r="CO54" s="262"/>
      <c r="CP54" s="262"/>
      <c r="CQ54" s="262"/>
      <c r="CR54" s="262"/>
      <c r="CS54" s="262"/>
    </row>
    <row r="55" spans="1:97" x14ac:dyDescent="0.25">
      <c r="A55" s="193"/>
      <c r="B55" s="193"/>
      <c r="C55" s="193"/>
      <c r="D55" s="193"/>
      <c r="E55" s="193"/>
      <c r="F55" s="193"/>
      <c r="G55" s="193"/>
      <c r="H55" s="193"/>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c r="AF55" s="520"/>
      <c r="AG55" s="262"/>
      <c r="AH55" s="262"/>
      <c r="AI55" s="262"/>
      <c r="AJ55" s="262"/>
      <c r="AK55" s="262"/>
      <c r="AL55" s="262"/>
      <c r="AM55" s="262"/>
      <c r="AN55" s="262"/>
      <c r="AO55" s="262"/>
      <c r="AP55" s="262"/>
      <c r="AQ55" s="262"/>
      <c r="AR55" s="262"/>
      <c r="AS55" s="262"/>
      <c r="AT55" s="262"/>
      <c r="AU55" s="262"/>
      <c r="AV55" s="262"/>
      <c r="AW55" s="262"/>
      <c r="AX55" s="262"/>
      <c r="AY55" s="262"/>
      <c r="AZ55" s="262"/>
      <c r="BA55" s="262"/>
      <c r="BB55" s="262"/>
      <c r="BC55" s="262"/>
      <c r="BD55" s="262"/>
      <c r="BE55" s="262"/>
      <c r="BF55" s="262"/>
      <c r="BG55" s="262"/>
      <c r="BH55" s="262"/>
      <c r="BI55" s="262"/>
      <c r="BJ55" s="262"/>
      <c r="BK55" s="262"/>
      <c r="BL55" s="262"/>
      <c r="BM55" s="262"/>
      <c r="BN55" s="262"/>
      <c r="BO55" s="262"/>
      <c r="BP55" s="262"/>
      <c r="BQ55" s="262"/>
      <c r="BR55" s="262"/>
      <c r="BS55" s="262"/>
      <c r="BT55" s="262"/>
      <c r="BU55" s="262"/>
      <c r="BV55" s="262"/>
      <c r="BW55" s="262"/>
      <c r="BX55" s="262"/>
      <c r="BY55" s="262"/>
      <c r="BZ55" s="262"/>
      <c r="CA55" s="262"/>
      <c r="CB55" s="262"/>
      <c r="CC55" s="262"/>
      <c r="CD55" s="262"/>
      <c r="CE55" s="262"/>
      <c r="CF55" s="262"/>
      <c r="CG55" s="262"/>
      <c r="CH55" s="262"/>
      <c r="CI55" s="262"/>
      <c r="CJ55" s="262"/>
      <c r="CK55" s="262"/>
      <c r="CL55" s="262"/>
      <c r="CM55" s="262"/>
      <c r="CN55" s="262"/>
      <c r="CO55" s="262"/>
      <c r="CP55" s="262"/>
      <c r="CQ55" s="262"/>
      <c r="CR55" s="262"/>
      <c r="CS55" s="262"/>
    </row>
    <row r="56" spans="1:97" x14ac:dyDescent="0.25">
      <c r="A56" s="2021"/>
      <c r="B56" s="2021"/>
      <c r="C56" s="2021"/>
      <c r="D56" s="2021"/>
      <c r="E56" s="2021"/>
      <c r="F56" s="2021"/>
      <c r="G56" s="2021"/>
      <c r="H56" s="2021"/>
      <c r="I56" s="196"/>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t="s">
        <v>1706</v>
      </c>
      <c r="AG56" s="262"/>
      <c r="AH56" s="262"/>
      <c r="AI56" s="262"/>
      <c r="AJ56" s="262"/>
      <c r="AK56" s="262"/>
      <c r="AL56" s="262"/>
      <c r="AM56" s="262"/>
      <c r="AN56" s="262"/>
      <c r="AO56" s="262"/>
      <c r="AP56" s="262"/>
      <c r="AQ56" s="262"/>
      <c r="AR56" s="262"/>
      <c r="AS56" s="262"/>
      <c r="AT56" s="262"/>
      <c r="AU56" s="262"/>
      <c r="AV56" s="262"/>
      <c r="AW56" s="262"/>
      <c r="AX56" s="262"/>
      <c r="AY56" s="262"/>
      <c r="AZ56" s="262"/>
      <c r="BA56" s="262"/>
      <c r="BB56" s="262"/>
      <c r="BC56" s="262"/>
      <c r="BD56" s="262"/>
      <c r="BE56" s="262"/>
      <c r="BF56" s="262"/>
      <c r="BG56" s="262"/>
      <c r="BH56" s="262"/>
      <c r="BI56" s="262"/>
      <c r="BJ56" s="262"/>
      <c r="BK56" s="262"/>
      <c r="BL56" s="262"/>
      <c r="BM56" s="262"/>
      <c r="BN56" s="262"/>
      <c r="BO56" s="262"/>
      <c r="BP56" s="262"/>
      <c r="BQ56" s="262"/>
      <c r="BR56" s="262"/>
      <c r="BS56" s="262"/>
      <c r="BT56" s="262"/>
      <c r="BU56" s="262"/>
      <c r="BV56" s="262"/>
      <c r="BW56" s="262"/>
      <c r="BX56" s="262"/>
      <c r="BY56" s="262"/>
      <c r="BZ56" s="262"/>
      <c r="CA56" s="262"/>
      <c r="CB56" s="262"/>
      <c r="CC56" s="262"/>
      <c r="CD56" s="262"/>
      <c r="CE56" s="262"/>
      <c r="CF56" s="262"/>
      <c r="CG56" s="262"/>
      <c r="CH56" s="262"/>
      <c r="CI56" s="262"/>
      <c r="CJ56" s="262"/>
      <c r="CK56" s="262"/>
      <c r="CL56" s="262"/>
      <c r="CM56" s="262"/>
      <c r="CN56" s="262"/>
      <c r="CO56" s="262"/>
      <c r="CP56" s="262"/>
      <c r="CQ56" s="262"/>
      <c r="CR56" s="262"/>
      <c r="CS56" s="262"/>
    </row>
    <row r="57" spans="1:97" s="683" customFormat="1" x14ac:dyDescent="0.25">
      <c r="A57" s="193"/>
      <c r="B57" s="193"/>
      <c r="C57" s="193"/>
      <c r="D57" s="192" t="s">
        <v>6209</v>
      </c>
      <c r="E57" s="262"/>
      <c r="F57" s="262"/>
      <c r="G57" s="193"/>
      <c r="H57" s="193"/>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c r="AF57" s="520"/>
      <c r="AG57" s="262"/>
      <c r="AH57" s="262"/>
      <c r="AI57" s="262"/>
      <c r="AJ57" s="262"/>
      <c r="AK57" s="638"/>
      <c r="AL57" s="262"/>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62"/>
      <c r="BV57" s="262"/>
      <c r="BW57" s="262"/>
      <c r="BX57" s="262"/>
      <c r="BY57" s="262"/>
      <c r="BZ57" s="262"/>
      <c r="CA57" s="262"/>
      <c r="CB57" s="262"/>
      <c r="CC57" s="262"/>
      <c r="CD57" s="262"/>
      <c r="CE57" s="262"/>
      <c r="CF57" s="262"/>
      <c r="CG57" s="262"/>
      <c r="CH57" s="262"/>
      <c r="CI57" s="262"/>
      <c r="CJ57" s="262"/>
      <c r="CK57" s="262"/>
      <c r="CL57" s="262"/>
      <c r="CM57" s="262"/>
      <c r="CN57" s="262"/>
      <c r="CO57" s="262"/>
      <c r="CP57" s="262"/>
      <c r="CQ57" s="262"/>
      <c r="CR57" s="262"/>
      <c r="CS57" s="262"/>
    </row>
    <row r="58" spans="1:97" s="683" customFormat="1" x14ac:dyDescent="0.25">
      <c r="A58" s="193"/>
      <c r="B58" s="193"/>
      <c r="C58" s="193"/>
      <c r="D58" s="192" t="s">
        <v>6210</v>
      </c>
      <c r="E58" s="262"/>
      <c r="F58" s="262"/>
      <c r="G58" s="193"/>
      <c r="H58" s="193"/>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c r="AF58" s="520"/>
      <c r="AG58" s="262"/>
      <c r="AH58" s="262"/>
      <c r="AI58" s="262"/>
      <c r="AJ58" s="262"/>
      <c r="AK58" s="638"/>
      <c r="AL58" s="262"/>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62"/>
      <c r="BV58" s="262"/>
      <c r="BW58" s="262"/>
      <c r="BX58" s="262"/>
      <c r="BY58" s="262"/>
      <c r="BZ58" s="262"/>
      <c r="CA58" s="262"/>
      <c r="CB58" s="262"/>
      <c r="CC58" s="262"/>
      <c r="CD58" s="262"/>
      <c r="CE58" s="262"/>
      <c r="CF58" s="262"/>
      <c r="CG58" s="262"/>
      <c r="CH58" s="262"/>
      <c r="CI58" s="262"/>
      <c r="CJ58" s="262"/>
      <c r="CK58" s="262"/>
      <c r="CL58" s="262"/>
      <c r="CM58" s="262"/>
      <c r="CN58" s="262"/>
      <c r="CO58" s="262"/>
      <c r="CP58" s="262"/>
      <c r="CQ58" s="262"/>
      <c r="CR58" s="262"/>
      <c r="CS58" s="262"/>
    </row>
    <row r="59" spans="1:97" x14ac:dyDescent="0.25">
      <c r="A59" s="193"/>
      <c r="B59" s="193"/>
      <c r="C59" s="193"/>
      <c r="D59" s="193"/>
      <c r="E59" s="193"/>
      <c r="F59" s="192"/>
      <c r="G59" s="193"/>
      <c r="H59" s="193"/>
      <c r="I59" s="520"/>
      <c r="J59" s="520"/>
      <c r="K59" s="520"/>
      <c r="L59" s="520"/>
      <c r="M59" s="520"/>
      <c r="N59" s="520"/>
      <c r="O59" s="520"/>
      <c r="P59" s="520"/>
      <c r="Q59" s="520"/>
      <c r="R59" s="520"/>
      <c r="S59" s="520"/>
      <c r="T59" s="520"/>
      <c r="U59" s="520"/>
      <c r="V59" s="520"/>
      <c r="W59" s="520"/>
      <c r="X59" s="520"/>
      <c r="Y59" s="520"/>
      <c r="Z59" s="520"/>
      <c r="AA59" s="520"/>
      <c r="AB59" s="520"/>
      <c r="AC59" s="520"/>
      <c r="AD59" s="520"/>
      <c r="AE59" s="520"/>
      <c r="AF59" s="520"/>
      <c r="AG59" s="262"/>
      <c r="AH59" s="262"/>
      <c r="AI59" s="262"/>
      <c r="AJ59" s="262"/>
      <c r="AK59" s="262"/>
      <c r="AL59" s="262"/>
      <c r="AM59" s="502"/>
      <c r="AN59" s="502"/>
      <c r="AO59" s="502"/>
      <c r="AP59" s="502"/>
      <c r="AQ59" s="502"/>
      <c r="AR59" s="502"/>
      <c r="AS59" s="502"/>
      <c r="AT59" s="502"/>
      <c r="AU59" s="502"/>
      <c r="AV59" s="262"/>
      <c r="AW59" s="262"/>
      <c r="AX59" s="262"/>
      <c r="AY59" s="262"/>
      <c r="AZ59" s="262"/>
      <c r="BA59" s="262"/>
      <c r="BB59" s="262"/>
      <c r="BC59" s="262"/>
      <c r="BD59" s="262"/>
      <c r="BE59" s="262"/>
      <c r="BF59" s="262"/>
      <c r="BG59" s="262"/>
      <c r="BH59" s="262"/>
      <c r="BI59" s="262"/>
      <c r="BJ59" s="262"/>
      <c r="BK59" s="262"/>
      <c r="BL59" s="262"/>
      <c r="BM59" s="262"/>
      <c r="BN59" s="262"/>
      <c r="BO59" s="262"/>
      <c r="BP59" s="262"/>
      <c r="BQ59" s="262"/>
      <c r="BR59" s="262"/>
      <c r="BS59" s="262"/>
      <c r="BT59" s="262"/>
      <c r="BU59" s="262"/>
      <c r="BV59" s="262"/>
      <c r="BW59" s="262"/>
      <c r="BX59" s="262"/>
      <c r="BY59" s="262"/>
      <c r="BZ59" s="262"/>
      <c r="CA59" s="262"/>
      <c r="CB59" s="262"/>
      <c r="CC59" s="262"/>
      <c r="CD59" s="262"/>
      <c r="CE59" s="262"/>
      <c r="CF59" s="262"/>
      <c r="CG59" s="262"/>
      <c r="CH59" s="262"/>
      <c r="CI59" s="262"/>
      <c r="CJ59" s="262"/>
      <c r="CK59" s="262"/>
      <c r="CL59" s="262"/>
      <c r="CM59" s="262"/>
      <c r="CN59" s="262"/>
      <c r="CO59" s="262"/>
      <c r="CP59" s="262"/>
      <c r="CQ59" s="262"/>
      <c r="CR59" s="262"/>
      <c r="CS59" s="262"/>
    </row>
    <row r="60" spans="1:97" x14ac:dyDescent="0.25">
      <c r="A60" s="193"/>
      <c r="B60" s="519" t="s">
        <v>1998</v>
      </c>
      <c r="C60" s="193"/>
      <c r="D60" s="193"/>
      <c r="E60" s="193"/>
      <c r="F60" s="193"/>
      <c r="G60" s="193"/>
      <c r="H60" s="193"/>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c r="AF60" s="520"/>
      <c r="AG60" s="262"/>
      <c r="AH60" s="262"/>
      <c r="AI60" s="262"/>
      <c r="AJ60" s="262"/>
      <c r="AK60" s="262"/>
      <c r="AL60" s="262"/>
      <c r="AM60" s="262"/>
      <c r="AN60" s="262"/>
      <c r="AO60" s="262"/>
      <c r="AP60" s="262"/>
      <c r="AQ60" s="262"/>
      <c r="AR60" s="262"/>
      <c r="AS60" s="262"/>
      <c r="AT60" s="262"/>
      <c r="AU60" s="262"/>
      <c r="AV60" s="262"/>
      <c r="AW60" s="262"/>
      <c r="AX60" s="262"/>
      <c r="AY60" s="262"/>
      <c r="AZ60" s="262"/>
      <c r="BA60" s="262"/>
      <c r="BB60" s="262"/>
      <c r="BC60" s="262"/>
      <c r="BD60" s="262"/>
      <c r="BE60" s="262"/>
      <c r="BF60" s="262"/>
      <c r="BG60" s="262"/>
      <c r="BH60" s="262"/>
      <c r="BI60" s="262"/>
      <c r="BJ60" s="262"/>
      <c r="BK60" s="262"/>
      <c r="BL60" s="262"/>
      <c r="BM60" s="262"/>
      <c r="BN60" s="262"/>
      <c r="BO60" s="262"/>
      <c r="BP60" s="262"/>
      <c r="BQ60" s="262"/>
      <c r="BR60" s="262"/>
      <c r="BS60" s="262"/>
      <c r="BT60" s="262"/>
      <c r="BU60" s="262"/>
      <c r="BV60" s="262"/>
      <c r="BW60" s="262"/>
      <c r="BX60" s="262"/>
      <c r="BY60" s="262"/>
      <c r="BZ60" s="262"/>
      <c r="CA60" s="262"/>
      <c r="CB60" s="262"/>
      <c r="CC60" s="262"/>
      <c r="CD60" s="262"/>
      <c r="CE60" s="262"/>
      <c r="CF60" s="262"/>
      <c r="CG60" s="262"/>
      <c r="CH60" s="262"/>
      <c r="CI60" s="262"/>
      <c r="CJ60" s="262"/>
      <c r="CK60" s="262"/>
      <c r="CL60" s="262"/>
      <c r="CM60" s="262"/>
      <c r="CN60" s="262"/>
      <c r="CO60" s="262"/>
      <c r="CP60" s="262"/>
      <c r="CQ60" s="262"/>
      <c r="CR60" s="262"/>
      <c r="CS60" s="262"/>
    </row>
    <row r="61" spans="1:97" ht="15" customHeight="1" x14ac:dyDescent="0.25">
      <c r="A61" s="193"/>
      <c r="B61" s="193"/>
      <c r="C61" s="193"/>
      <c r="D61" s="193"/>
      <c r="E61" s="193"/>
      <c r="F61" s="193"/>
      <c r="G61" s="193"/>
      <c r="H61" s="193"/>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c r="AF61" s="520"/>
      <c r="AG61" s="262"/>
      <c r="AH61" s="262"/>
      <c r="AI61" s="262"/>
      <c r="AJ61" s="262"/>
      <c r="AK61" s="262"/>
      <c r="AL61" s="262"/>
      <c r="AM61" s="262"/>
      <c r="AN61" s="262"/>
      <c r="AO61" s="262"/>
      <c r="AP61" s="262"/>
      <c r="AQ61" s="262"/>
      <c r="AR61" s="262"/>
      <c r="AS61" s="262"/>
      <c r="AT61" s="262"/>
      <c r="AU61" s="262"/>
      <c r="AV61" s="262"/>
      <c r="AW61" s="262"/>
      <c r="AX61" s="262"/>
      <c r="AY61" s="262"/>
      <c r="AZ61" s="262"/>
      <c r="BA61" s="262"/>
      <c r="BB61" s="262"/>
      <c r="BC61" s="262"/>
      <c r="BD61" s="262"/>
      <c r="BE61" s="262"/>
      <c r="BF61" s="262"/>
      <c r="BG61" s="262"/>
      <c r="BH61" s="262"/>
      <c r="BI61" s="262"/>
      <c r="BJ61" s="262"/>
      <c r="BK61" s="262"/>
      <c r="BL61" s="262"/>
      <c r="BM61" s="262"/>
      <c r="BN61" s="262"/>
      <c r="BO61" s="262"/>
      <c r="BP61" s="262"/>
      <c r="BQ61" s="262"/>
      <c r="BR61" s="262"/>
      <c r="BS61" s="262"/>
      <c r="BT61" s="262"/>
      <c r="BU61" s="262"/>
      <c r="BV61" s="262"/>
      <c r="BW61" s="262"/>
      <c r="BX61" s="262"/>
      <c r="BY61" s="262"/>
      <c r="BZ61" s="262"/>
      <c r="CA61" s="262"/>
      <c r="CB61" s="262"/>
      <c r="CC61" s="262"/>
      <c r="CD61" s="262"/>
      <c r="CE61" s="262"/>
      <c r="CF61" s="262"/>
      <c r="CG61" s="262"/>
      <c r="CH61" s="262"/>
      <c r="CI61" s="262"/>
      <c r="CJ61" s="262"/>
      <c r="CK61" s="262"/>
      <c r="CL61" s="262"/>
      <c r="CM61" s="262"/>
      <c r="CN61" s="262"/>
      <c r="CO61" s="262"/>
      <c r="CP61" s="262"/>
      <c r="CQ61" s="262"/>
      <c r="CR61" s="262"/>
      <c r="CS61" s="262"/>
    </row>
    <row r="62" spans="1:97" ht="15" customHeight="1" x14ac:dyDescent="0.25">
      <c r="A62" s="2021"/>
      <c r="B62" s="2021"/>
      <c r="C62" s="2021"/>
      <c r="D62" s="2021"/>
      <c r="E62" s="2021"/>
      <c r="F62" s="2021"/>
      <c r="G62" s="2021"/>
      <c r="H62" s="2021"/>
      <c r="I62" s="419"/>
      <c r="J62" s="196"/>
      <c r="K62" s="196"/>
      <c r="L62" s="196"/>
      <c r="M62" s="196"/>
      <c r="N62" s="196"/>
      <c r="O62" s="196"/>
      <c r="P62" s="196"/>
      <c r="Q62" s="196"/>
      <c r="R62" s="196"/>
      <c r="S62" s="196"/>
      <c r="T62" s="196"/>
      <c r="U62" s="196"/>
      <c r="V62" s="196"/>
      <c r="W62" s="196"/>
      <c r="X62" s="196"/>
      <c r="Y62" s="196"/>
      <c r="Z62" s="196"/>
      <c r="AA62" s="196"/>
      <c r="AB62" s="196"/>
      <c r="AC62" s="196"/>
      <c r="AD62" s="196"/>
      <c r="AE62" s="196"/>
      <c r="AF62" s="419" t="s">
        <v>1707</v>
      </c>
      <c r="AG62" s="262"/>
      <c r="AH62" s="262"/>
      <c r="AI62" s="262"/>
      <c r="AJ62" s="262"/>
      <c r="AK62" s="262"/>
      <c r="AL62" s="262"/>
      <c r="AM62" s="262"/>
      <c r="AN62" s="262"/>
      <c r="AO62" s="262"/>
      <c r="AP62" s="262"/>
      <c r="AQ62" s="262"/>
      <c r="AR62" s="262"/>
      <c r="AS62" s="262"/>
      <c r="AT62" s="262"/>
      <c r="AU62" s="262"/>
      <c r="AV62" s="262"/>
      <c r="AW62" s="262"/>
      <c r="AX62" s="262"/>
      <c r="AY62" s="262"/>
      <c r="AZ62" s="262"/>
      <c r="BA62" s="262"/>
      <c r="BB62" s="262"/>
      <c r="BC62" s="262"/>
      <c r="BD62" s="262"/>
      <c r="BE62" s="262"/>
      <c r="BF62" s="262"/>
      <c r="BG62" s="262"/>
      <c r="BH62" s="262"/>
      <c r="BI62" s="262"/>
      <c r="BJ62" s="262"/>
      <c r="BK62" s="262"/>
      <c r="BL62" s="262"/>
      <c r="BM62" s="262"/>
      <c r="BN62" s="262"/>
      <c r="BO62" s="262"/>
      <c r="BP62" s="262"/>
      <c r="BQ62" s="262"/>
      <c r="BR62" s="262"/>
      <c r="BS62" s="262"/>
      <c r="BT62" s="262"/>
      <c r="BU62" s="262"/>
      <c r="BV62" s="262"/>
      <c r="BW62" s="262"/>
      <c r="BX62" s="262"/>
      <c r="BY62" s="262"/>
      <c r="BZ62" s="262"/>
      <c r="CA62" s="262"/>
      <c r="CB62" s="262"/>
      <c r="CC62" s="262"/>
      <c r="CD62" s="262"/>
      <c r="CE62" s="262"/>
      <c r="CF62" s="262"/>
      <c r="CG62" s="262"/>
      <c r="CH62" s="262"/>
      <c r="CI62" s="262"/>
      <c r="CJ62" s="262"/>
      <c r="CK62" s="262"/>
      <c r="CL62" s="262"/>
      <c r="CM62" s="262"/>
      <c r="CN62" s="262"/>
      <c r="CO62" s="262"/>
      <c r="CP62" s="262"/>
      <c r="CQ62" s="262"/>
      <c r="CR62" s="262"/>
      <c r="CS62" s="262"/>
    </row>
    <row r="63" spans="1:97" s="4" customFormat="1" ht="15" customHeight="1" x14ac:dyDescent="0.25">
      <c r="A63" s="718"/>
      <c r="B63" s="717"/>
      <c r="C63" s="717"/>
      <c r="D63" s="717"/>
      <c r="E63" s="717"/>
      <c r="F63" s="717"/>
      <c r="G63" s="717"/>
      <c r="H63" s="717"/>
      <c r="I63" s="262"/>
      <c r="J63" s="262"/>
      <c r="K63" s="262"/>
      <c r="L63" s="197"/>
      <c r="M63" s="262"/>
      <c r="N63" s="262"/>
      <c r="O63" s="262"/>
      <c r="P63" s="262"/>
      <c r="Q63" s="262"/>
      <c r="R63" s="262"/>
      <c r="S63" s="262"/>
      <c r="T63" s="262"/>
      <c r="U63" s="262"/>
      <c r="V63" s="262"/>
      <c r="W63" s="262"/>
      <c r="X63" s="262"/>
      <c r="Y63" s="262"/>
      <c r="Z63" s="262"/>
      <c r="AA63" s="262"/>
      <c r="AB63" s="262"/>
      <c r="AC63" s="262"/>
      <c r="AD63" s="262"/>
      <c r="AE63" s="262"/>
      <c r="AF63" s="262"/>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row>
    <row r="64" spans="1:97" ht="15" customHeight="1" x14ac:dyDescent="0.25">
      <c r="A64" s="1621" t="s">
        <v>15</v>
      </c>
      <c r="B64" s="1621"/>
      <c r="C64" s="1621"/>
      <c r="D64" s="1621"/>
      <c r="E64" s="1621"/>
      <c r="F64" s="1621"/>
      <c r="G64" s="1621"/>
      <c r="H64" s="1621"/>
      <c r="I64" s="1621"/>
      <c r="J64" s="1621"/>
      <c r="K64" s="1621"/>
      <c r="L64" s="1621"/>
      <c r="M64" s="1621"/>
      <c r="N64" s="1621"/>
      <c r="O64" s="1621"/>
      <c r="P64" s="1621"/>
      <c r="Q64" s="1621"/>
      <c r="R64" s="1621"/>
      <c r="S64" s="1621"/>
      <c r="T64" s="1621"/>
      <c r="U64" s="1621"/>
      <c r="V64" s="1621"/>
      <c r="W64" s="1621"/>
      <c r="X64" s="1621"/>
      <c r="Y64" s="1621"/>
      <c r="Z64" s="1621"/>
      <c r="AA64" s="1621"/>
      <c r="AB64" s="1621"/>
      <c r="AC64" s="1621"/>
      <c r="AD64" s="1621"/>
      <c r="AE64" s="1621"/>
      <c r="AF64" s="1621"/>
      <c r="AH64" s="262"/>
      <c r="AI64" s="262"/>
      <c r="AJ64" s="262"/>
      <c r="AK64" s="262"/>
      <c r="AL64" s="262"/>
      <c r="AM64" s="419"/>
      <c r="AN64" s="262"/>
      <c r="AO64" s="262"/>
      <c r="AP64" s="262"/>
      <c r="AQ64" s="262"/>
      <c r="AR64" s="262"/>
      <c r="AS64" s="262"/>
      <c r="AT64" s="262"/>
      <c r="AU64" s="262"/>
      <c r="AV64" s="262"/>
      <c r="AW64" s="262"/>
      <c r="AX64" s="262"/>
      <c r="AY64" s="262"/>
      <c r="AZ64" s="262"/>
      <c r="BA64" s="262"/>
      <c r="BB64" s="262"/>
      <c r="BC64" s="262"/>
      <c r="BD64" s="262"/>
      <c r="BE64" s="262"/>
      <c r="BF64" s="262"/>
      <c r="BG64" s="262"/>
      <c r="BH64" s="262"/>
      <c r="BI64" s="262"/>
      <c r="BJ64" s="262"/>
      <c r="BK64" s="262"/>
      <c r="BL64" s="262"/>
      <c r="BM64" s="262"/>
      <c r="BN64" s="262"/>
      <c r="BO64" s="262"/>
      <c r="BP64" s="262"/>
      <c r="BQ64" s="262"/>
      <c r="BR64" s="262"/>
      <c r="BS64" s="262"/>
      <c r="BT64" s="262"/>
      <c r="BU64" s="262"/>
      <c r="BV64" s="262"/>
      <c r="BW64" s="262"/>
      <c r="BX64" s="262"/>
      <c r="BY64" s="262"/>
      <c r="BZ64" s="262"/>
      <c r="CA64" s="262"/>
      <c r="CB64" s="262"/>
      <c r="CC64" s="262"/>
      <c r="CD64" s="262"/>
      <c r="CE64" s="262"/>
      <c r="CF64" s="262"/>
      <c r="CG64" s="262"/>
      <c r="CH64" s="262"/>
      <c r="CI64" s="262"/>
      <c r="CJ64" s="262"/>
      <c r="CK64" s="262"/>
      <c r="CL64" s="262"/>
      <c r="CM64" s="262"/>
      <c r="CN64" s="262"/>
      <c r="CO64" s="262"/>
      <c r="CP64" s="262"/>
      <c r="CQ64" s="262"/>
      <c r="CR64" s="262"/>
      <c r="CS64" s="262"/>
    </row>
    <row r="65" spans="1:97" ht="15" customHeight="1" x14ac:dyDescent="0.25">
      <c r="A65" s="1697" t="s">
        <v>16</v>
      </c>
      <c r="B65" s="1698"/>
      <c r="C65" s="1698"/>
      <c r="D65" s="1699"/>
      <c r="E65" s="1697" t="s">
        <v>10</v>
      </c>
      <c r="F65" s="1698"/>
      <c r="G65" s="1698"/>
      <c r="H65" s="1698"/>
      <c r="I65" s="1698"/>
      <c r="J65" s="1698"/>
      <c r="K65" s="1698"/>
      <c r="L65" s="1698"/>
      <c r="M65" s="1698"/>
      <c r="N65" s="1698"/>
      <c r="O65" s="1698"/>
      <c r="P65" s="1699"/>
      <c r="Q65" s="1697" t="s">
        <v>17</v>
      </c>
      <c r="R65" s="1698"/>
      <c r="S65" s="1698"/>
      <c r="T65" s="1699"/>
      <c r="U65" s="1697" t="s">
        <v>18</v>
      </c>
      <c r="V65" s="1698"/>
      <c r="W65" s="1699"/>
      <c r="X65" s="1697" t="s">
        <v>1708</v>
      </c>
      <c r="Y65" s="1698"/>
      <c r="Z65" s="1698"/>
      <c r="AA65" s="1698"/>
      <c r="AB65" s="1698"/>
      <c r="AC65" s="1698"/>
      <c r="AD65" s="1698"/>
      <c r="AE65" s="1698"/>
      <c r="AF65" s="1699"/>
      <c r="AH65" s="262"/>
      <c r="AI65" s="262"/>
      <c r="AJ65" s="262"/>
      <c r="AK65" s="262"/>
      <c r="AL65" s="262"/>
      <c r="AM65" s="262"/>
      <c r="AN65" s="262"/>
      <c r="AO65" s="262"/>
      <c r="AP65" s="262"/>
      <c r="AQ65" s="262"/>
      <c r="AR65" s="262"/>
      <c r="AS65" s="262"/>
      <c r="AT65" s="262"/>
      <c r="AU65" s="262"/>
      <c r="AV65" s="262"/>
      <c r="AW65" s="262"/>
      <c r="AX65" s="262"/>
      <c r="AY65" s="262"/>
      <c r="AZ65" s="262"/>
      <c r="BA65" s="262"/>
      <c r="BB65" s="262"/>
      <c r="BC65" s="262"/>
      <c r="BD65" s="262"/>
      <c r="BE65" s="262"/>
      <c r="BF65" s="262"/>
      <c r="BG65" s="262"/>
      <c r="BH65" s="262"/>
      <c r="BI65" s="262"/>
      <c r="BJ65" s="262"/>
      <c r="BK65" s="262"/>
      <c r="BL65" s="262"/>
      <c r="BM65" s="262"/>
      <c r="BN65" s="262"/>
      <c r="BO65" s="262"/>
      <c r="BP65" s="262"/>
      <c r="BQ65" s="262"/>
      <c r="BR65" s="262"/>
      <c r="BS65" s="262"/>
      <c r="BT65" s="262"/>
      <c r="BU65" s="262"/>
      <c r="BV65" s="262"/>
      <c r="BW65" s="262"/>
      <c r="BX65" s="262"/>
      <c r="BY65" s="262"/>
      <c r="BZ65" s="262"/>
      <c r="CA65" s="262"/>
      <c r="CB65" s="262"/>
      <c r="CC65" s="262"/>
      <c r="CD65" s="262"/>
      <c r="CE65" s="262"/>
      <c r="CF65" s="262"/>
      <c r="CG65" s="262"/>
      <c r="CH65" s="262"/>
      <c r="CI65" s="262"/>
      <c r="CJ65" s="262"/>
      <c r="CK65" s="262"/>
      <c r="CL65" s="262"/>
      <c r="CM65" s="262"/>
      <c r="CN65" s="262"/>
      <c r="CO65" s="262"/>
      <c r="CP65" s="262"/>
      <c r="CQ65" s="262"/>
      <c r="CR65" s="262"/>
      <c r="CS65" s="262"/>
    </row>
    <row r="66" spans="1:97" ht="44.25" customHeight="1" x14ac:dyDescent="0.25">
      <c r="A66" s="1680" t="s">
        <v>2874</v>
      </c>
      <c r="B66" s="1681"/>
      <c r="C66" s="1681"/>
      <c r="D66" s="1682"/>
      <c r="E66" s="1494" t="s">
        <v>4641</v>
      </c>
      <c r="F66" s="1495"/>
      <c r="G66" s="1495"/>
      <c r="H66" s="1495"/>
      <c r="I66" s="1495"/>
      <c r="J66" s="1495"/>
      <c r="K66" s="1495"/>
      <c r="L66" s="1495"/>
      <c r="M66" s="1495"/>
      <c r="N66" s="1495"/>
      <c r="O66" s="1495"/>
      <c r="P66" s="1496"/>
      <c r="Q66" s="1497" t="s">
        <v>2875</v>
      </c>
      <c r="R66" s="1498"/>
      <c r="S66" s="1498"/>
      <c r="T66" s="1499"/>
      <c r="U66" s="1683" t="s">
        <v>2876</v>
      </c>
      <c r="V66" s="1684"/>
      <c r="W66" s="1685"/>
      <c r="X66" s="1538" t="s">
        <v>2877</v>
      </c>
      <c r="Y66" s="1539"/>
      <c r="Z66" s="1539"/>
      <c r="AA66" s="1539"/>
      <c r="AB66" s="1539"/>
      <c r="AC66" s="1539"/>
      <c r="AD66" s="1539"/>
      <c r="AE66" s="1539"/>
      <c r="AF66" s="1540"/>
      <c r="AH66" s="262"/>
      <c r="AI66" s="262"/>
      <c r="AJ66" s="262"/>
      <c r="AK66" s="262"/>
      <c r="AL66" s="262"/>
      <c r="AM66" s="262"/>
      <c r="AN66" s="262"/>
      <c r="AO66" s="262"/>
      <c r="AP66" s="262"/>
      <c r="AQ66" s="262"/>
      <c r="AR66" s="262"/>
      <c r="AS66" s="262"/>
      <c r="AT66" s="262"/>
      <c r="AU66" s="262"/>
      <c r="AV66" s="262"/>
      <c r="AW66" s="262"/>
      <c r="AX66" s="262"/>
      <c r="AY66" s="262"/>
      <c r="AZ66" s="262"/>
      <c r="BA66" s="262"/>
      <c r="BB66" s="262"/>
      <c r="BC66" s="262"/>
      <c r="BD66" s="262"/>
      <c r="BE66" s="262"/>
      <c r="BF66" s="262"/>
      <c r="BG66" s="262"/>
      <c r="BH66" s="262"/>
      <c r="BI66" s="262"/>
      <c r="BJ66" s="262"/>
      <c r="BK66" s="262"/>
      <c r="BL66" s="262"/>
      <c r="BM66" s="262"/>
      <c r="BN66" s="262"/>
      <c r="BO66" s="262"/>
      <c r="BP66" s="262"/>
      <c r="BQ66" s="262"/>
      <c r="BR66" s="262"/>
      <c r="BS66" s="262"/>
      <c r="BT66" s="262"/>
      <c r="BU66" s="262"/>
      <c r="BV66" s="262"/>
      <c r="BW66" s="262"/>
      <c r="BX66" s="262"/>
      <c r="BY66" s="262"/>
      <c r="BZ66" s="262"/>
      <c r="CA66" s="262"/>
      <c r="CB66" s="262"/>
      <c r="CC66" s="262"/>
      <c r="CD66" s="262"/>
      <c r="CE66" s="262"/>
      <c r="CF66" s="262"/>
      <c r="CG66" s="262"/>
      <c r="CH66" s="262"/>
      <c r="CI66" s="262"/>
      <c r="CJ66" s="262"/>
      <c r="CK66" s="262"/>
      <c r="CL66" s="262"/>
      <c r="CM66" s="262"/>
      <c r="CN66" s="262"/>
      <c r="CO66" s="262"/>
      <c r="CP66" s="262"/>
      <c r="CQ66" s="262"/>
      <c r="CR66" s="262"/>
      <c r="CS66" s="262"/>
    </row>
    <row r="67" spans="1:97" ht="117.75" customHeight="1" x14ac:dyDescent="0.25">
      <c r="A67" s="1494" t="s">
        <v>6229</v>
      </c>
      <c r="B67" s="1495"/>
      <c r="C67" s="1495"/>
      <c r="D67" s="1496"/>
      <c r="E67" s="1494" t="s">
        <v>6211</v>
      </c>
      <c r="F67" s="1495"/>
      <c r="G67" s="1495"/>
      <c r="H67" s="1495"/>
      <c r="I67" s="1495"/>
      <c r="J67" s="1495"/>
      <c r="K67" s="1495"/>
      <c r="L67" s="1495"/>
      <c r="M67" s="1495"/>
      <c r="N67" s="1495"/>
      <c r="O67" s="1495"/>
      <c r="P67" s="1496"/>
      <c r="Q67" s="2133" t="s">
        <v>6874</v>
      </c>
      <c r="R67" s="2134"/>
      <c r="S67" s="2134"/>
      <c r="T67" s="2135"/>
      <c r="U67" s="1683" t="s">
        <v>2878</v>
      </c>
      <c r="V67" s="1684"/>
      <c r="W67" s="1685"/>
      <c r="X67" s="1538" t="s">
        <v>6230</v>
      </c>
      <c r="Y67" s="1539"/>
      <c r="Z67" s="1539"/>
      <c r="AA67" s="1539"/>
      <c r="AB67" s="1539"/>
      <c r="AC67" s="1539"/>
      <c r="AD67" s="1539"/>
      <c r="AE67" s="1539"/>
      <c r="AF67" s="1540"/>
      <c r="AH67" s="262"/>
      <c r="AI67" s="262"/>
      <c r="AJ67" s="262"/>
      <c r="AK67" s="262"/>
      <c r="AL67" s="262"/>
      <c r="AM67" s="262"/>
      <c r="AN67" s="262"/>
      <c r="AO67" s="262"/>
      <c r="AP67" s="262"/>
      <c r="AQ67" s="262"/>
      <c r="AR67" s="262"/>
      <c r="AS67" s="262"/>
      <c r="AT67" s="262"/>
      <c r="AU67" s="262"/>
      <c r="AV67" s="262"/>
      <c r="AW67" s="262"/>
      <c r="AX67" s="262"/>
      <c r="AY67" s="262"/>
      <c r="AZ67" s="262"/>
      <c r="BA67" s="262"/>
      <c r="BB67" s="262"/>
      <c r="BC67" s="262"/>
      <c r="BD67" s="262"/>
      <c r="BE67" s="262"/>
      <c r="BF67" s="262"/>
      <c r="BG67" s="262"/>
      <c r="BH67" s="262"/>
      <c r="BI67" s="262"/>
      <c r="BJ67" s="262"/>
      <c r="BK67" s="262"/>
      <c r="BL67" s="262"/>
      <c r="BM67" s="262"/>
      <c r="BN67" s="262"/>
      <c r="BO67" s="262"/>
      <c r="BP67" s="262"/>
      <c r="BQ67" s="262"/>
      <c r="BR67" s="262"/>
      <c r="BS67" s="262"/>
      <c r="BT67" s="262"/>
      <c r="BU67" s="262"/>
      <c r="BV67" s="262"/>
      <c r="BW67" s="262"/>
      <c r="BX67" s="262"/>
      <c r="BY67" s="262"/>
      <c r="BZ67" s="262"/>
      <c r="CA67" s="262"/>
      <c r="CB67" s="262"/>
      <c r="CC67" s="262"/>
      <c r="CD67" s="262"/>
      <c r="CE67" s="262"/>
      <c r="CF67" s="262"/>
      <c r="CG67" s="262"/>
      <c r="CH67" s="262"/>
      <c r="CI67" s="262"/>
      <c r="CJ67" s="262"/>
      <c r="CK67" s="262"/>
      <c r="CL67" s="262"/>
      <c r="CM67" s="262"/>
      <c r="CN67" s="262"/>
      <c r="CO67" s="262"/>
      <c r="CP67" s="262"/>
      <c r="CQ67" s="262"/>
      <c r="CR67" s="262"/>
      <c r="CS67" s="262"/>
    </row>
    <row r="68" spans="1:97" ht="106.5" customHeight="1" x14ac:dyDescent="0.25">
      <c r="A68" s="1494" t="s">
        <v>6231</v>
      </c>
      <c r="B68" s="1495"/>
      <c r="C68" s="1495"/>
      <c r="D68" s="1496"/>
      <c r="E68" s="1494" t="s">
        <v>6212</v>
      </c>
      <c r="F68" s="1495"/>
      <c r="G68" s="1495"/>
      <c r="H68" s="1495"/>
      <c r="I68" s="1495"/>
      <c r="J68" s="1495"/>
      <c r="K68" s="1495"/>
      <c r="L68" s="1495"/>
      <c r="M68" s="1495"/>
      <c r="N68" s="1495"/>
      <c r="O68" s="1495"/>
      <c r="P68" s="1496"/>
      <c r="Q68" s="1497" t="s">
        <v>164</v>
      </c>
      <c r="R68" s="1498"/>
      <c r="S68" s="1498"/>
      <c r="T68" s="1499"/>
      <c r="U68" s="1683" t="s">
        <v>2878</v>
      </c>
      <c r="V68" s="1684"/>
      <c r="W68" s="1685"/>
      <c r="X68" s="1538" t="s">
        <v>6232</v>
      </c>
      <c r="Y68" s="1539"/>
      <c r="Z68" s="1539"/>
      <c r="AA68" s="1539"/>
      <c r="AB68" s="1539"/>
      <c r="AC68" s="1539"/>
      <c r="AD68" s="1539"/>
      <c r="AE68" s="1539"/>
      <c r="AF68" s="1540"/>
      <c r="AH68" s="262"/>
      <c r="AI68" s="262"/>
      <c r="AJ68" s="262"/>
      <c r="AK68" s="262"/>
      <c r="AL68" s="262"/>
      <c r="AM68" s="262"/>
      <c r="AN68" s="262"/>
      <c r="AO68" s="262"/>
      <c r="AP68" s="262"/>
      <c r="AQ68" s="262"/>
      <c r="AR68" s="262"/>
      <c r="AS68" s="262"/>
      <c r="AT68" s="262"/>
      <c r="AU68" s="262"/>
      <c r="AV68" s="262"/>
      <c r="AW68" s="262"/>
      <c r="AX68" s="262"/>
      <c r="AY68" s="262"/>
      <c r="AZ68" s="262"/>
      <c r="BA68" s="262"/>
      <c r="BB68" s="262"/>
      <c r="BC68" s="262"/>
      <c r="BD68" s="262"/>
      <c r="BE68" s="262"/>
      <c r="BF68" s="262"/>
      <c r="BG68" s="262"/>
      <c r="BH68" s="262"/>
      <c r="BI68" s="262"/>
      <c r="BJ68" s="262"/>
      <c r="BK68" s="262"/>
      <c r="BL68" s="262"/>
      <c r="BM68" s="262"/>
      <c r="BN68" s="262"/>
      <c r="BO68" s="262"/>
      <c r="BP68" s="262"/>
      <c r="BQ68" s="262"/>
      <c r="BR68" s="262"/>
      <c r="BS68" s="262"/>
      <c r="BT68" s="262"/>
      <c r="BU68" s="262"/>
      <c r="BV68" s="262"/>
      <c r="BW68" s="262"/>
      <c r="BX68" s="262"/>
      <c r="BY68" s="262"/>
      <c r="BZ68" s="262"/>
      <c r="CA68" s="262"/>
      <c r="CB68" s="262"/>
      <c r="CC68" s="262"/>
      <c r="CD68" s="262"/>
      <c r="CE68" s="262"/>
      <c r="CF68" s="262"/>
      <c r="CG68" s="262"/>
      <c r="CH68" s="262"/>
      <c r="CI68" s="262"/>
      <c r="CJ68" s="262"/>
      <c r="CK68" s="262"/>
      <c r="CL68" s="262"/>
      <c r="CM68" s="262"/>
      <c r="CN68" s="262"/>
      <c r="CO68" s="262"/>
      <c r="CP68" s="262"/>
      <c r="CQ68" s="262"/>
      <c r="CR68" s="262"/>
      <c r="CS68" s="262"/>
    </row>
    <row r="69" spans="1:97" ht="120.75" customHeight="1" x14ac:dyDescent="0.25">
      <c r="A69" s="1494" t="s">
        <v>6233</v>
      </c>
      <c r="B69" s="1495"/>
      <c r="C69" s="1495"/>
      <c r="D69" s="1496"/>
      <c r="E69" s="1494" t="s">
        <v>6213</v>
      </c>
      <c r="F69" s="1495"/>
      <c r="G69" s="1495"/>
      <c r="H69" s="1495"/>
      <c r="I69" s="1495"/>
      <c r="J69" s="1495"/>
      <c r="K69" s="1495"/>
      <c r="L69" s="1495"/>
      <c r="M69" s="1495"/>
      <c r="N69" s="1495"/>
      <c r="O69" s="1495"/>
      <c r="P69" s="1496"/>
      <c r="Q69" s="2133" t="s">
        <v>6874</v>
      </c>
      <c r="R69" s="2134"/>
      <c r="S69" s="2134"/>
      <c r="T69" s="2135"/>
      <c r="U69" s="1683" t="s">
        <v>2878</v>
      </c>
      <c r="V69" s="1684"/>
      <c r="W69" s="1685"/>
      <c r="X69" s="1538" t="s">
        <v>6230</v>
      </c>
      <c r="Y69" s="1539"/>
      <c r="Z69" s="1539"/>
      <c r="AA69" s="1539"/>
      <c r="AB69" s="1539"/>
      <c r="AC69" s="1539"/>
      <c r="AD69" s="1539"/>
      <c r="AE69" s="1539"/>
      <c r="AF69" s="1540"/>
      <c r="AH69" s="262"/>
      <c r="AI69" s="262"/>
      <c r="AJ69" s="262"/>
      <c r="AK69" s="262"/>
      <c r="AL69" s="262"/>
      <c r="AM69" s="262"/>
      <c r="AN69" s="262"/>
      <c r="AO69" s="262"/>
      <c r="AP69" s="262"/>
      <c r="AQ69" s="262"/>
      <c r="AR69" s="262"/>
      <c r="AS69" s="262"/>
      <c r="AT69" s="262"/>
      <c r="AU69" s="262"/>
      <c r="AV69" s="262"/>
      <c r="AW69" s="262"/>
      <c r="AX69" s="262"/>
      <c r="AY69" s="262"/>
      <c r="AZ69" s="262"/>
      <c r="BA69" s="262"/>
      <c r="BB69" s="262"/>
      <c r="BC69" s="262"/>
      <c r="BD69" s="262"/>
      <c r="BE69" s="262"/>
      <c r="BF69" s="262"/>
      <c r="BG69" s="262"/>
      <c r="BH69" s="262"/>
      <c r="BI69" s="262"/>
      <c r="BJ69" s="262"/>
      <c r="BK69" s="262"/>
      <c r="BL69" s="262"/>
      <c r="BM69" s="262"/>
      <c r="BN69" s="262"/>
      <c r="BO69" s="262"/>
      <c r="BP69" s="262"/>
      <c r="BQ69" s="262"/>
      <c r="BR69" s="262"/>
      <c r="BS69" s="262"/>
      <c r="BT69" s="262"/>
      <c r="BU69" s="262"/>
      <c r="BV69" s="262"/>
      <c r="BW69" s="262"/>
      <c r="BX69" s="262"/>
      <c r="BY69" s="262"/>
      <c r="BZ69" s="262"/>
      <c r="CA69" s="262"/>
      <c r="CB69" s="262"/>
      <c r="CC69" s="262"/>
      <c r="CD69" s="262"/>
      <c r="CE69" s="262"/>
      <c r="CF69" s="262"/>
      <c r="CG69" s="262"/>
      <c r="CH69" s="262"/>
      <c r="CI69" s="262"/>
      <c r="CJ69" s="262"/>
      <c r="CK69" s="262"/>
      <c r="CL69" s="262"/>
      <c r="CM69" s="262"/>
      <c r="CN69" s="262"/>
      <c r="CO69" s="262"/>
      <c r="CP69" s="262"/>
      <c r="CQ69" s="262"/>
      <c r="CR69" s="262"/>
      <c r="CS69" s="262"/>
    </row>
    <row r="70" spans="1:97" ht="113.25" customHeight="1" x14ac:dyDescent="0.25">
      <c r="A70" s="1494" t="s">
        <v>6234</v>
      </c>
      <c r="B70" s="1495"/>
      <c r="C70" s="1495"/>
      <c r="D70" s="1496"/>
      <c r="E70" s="1494" t="s">
        <v>6214</v>
      </c>
      <c r="F70" s="1495"/>
      <c r="G70" s="1495"/>
      <c r="H70" s="1495"/>
      <c r="I70" s="1495"/>
      <c r="J70" s="1495"/>
      <c r="K70" s="1495"/>
      <c r="L70" s="1495"/>
      <c r="M70" s="1495"/>
      <c r="N70" s="1495"/>
      <c r="O70" s="1495"/>
      <c r="P70" s="1496"/>
      <c r="Q70" s="1497" t="s">
        <v>164</v>
      </c>
      <c r="R70" s="1498"/>
      <c r="S70" s="1498"/>
      <c r="T70" s="1499"/>
      <c r="U70" s="1683" t="s">
        <v>2878</v>
      </c>
      <c r="V70" s="1684"/>
      <c r="W70" s="1685"/>
      <c r="X70" s="1538" t="s">
        <v>6232</v>
      </c>
      <c r="Y70" s="1539"/>
      <c r="Z70" s="1539"/>
      <c r="AA70" s="1539"/>
      <c r="AB70" s="1539"/>
      <c r="AC70" s="1539"/>
      <c r="AD70" s="1539"/>
      <c r="AE70" s="1539"/>
      <c r="AF70" s="1540"/>
      <c r="AH70" s="262"/>
      <c r="AI70" s="262"/>
      <c r="AJ70" s="262"/>
      <c r="AK70" s="262"/>
      <c r="AL70" s="262"/>
      <c r="AM70" s="262"/>
      <c r="AN70" s="262"/>
      <c r="AO70" s="262"/>
      <c r="AP70" s="262"/>
      <c r="AQ70" s="262"/>
      <c r="AR70" s="262"/>
      <c r="AS70" s="262"/>
      <c r="AT70" s="262"/>
      <c r="AU70" s="262"/>
      <c r="AV70" s="262"/>
      <c r="AW70" s="262"/>
      <c r="AX70" s="262"/>
      <c r="AY70" s="262"/>
      <c r="AZ70" s="262"/>
      <c r="BA70" s="262"/>
      <c r="BB70" s="262"/>
      <c r="BC70" s="262"/>
      <c r="BD70" s="262"/>
      <c r="BE70" s="262"/>
      <c r="BF70" s="262"/>
      <c r="BG70" s="262"/>
      <c r="BH70" s="262"/>
      <c r="BI70" s="262"/>
      <c r="BJ70" s="262"/>
      <c r="BK70" s="262"/>
      <c r="BL70" s="262"/>
      <c r="BM70" s="262"/>
      <c r="BN70" s="262"/>
      <c r="BO70" s="262"/>
      <c r="BP70" s="262"/>
      <c r="BQ70" s="262"/>
      <c r="BR70" s="262"/>
      <c r="BS70" s="262"/>
      <c r="BT70" s="262"/>
      <c r="BU70" s="262"/>
      <c r="BV70" s="262"/>
      <c r="BW70" s="262"/>
      <c r="BX70" s="262"/>
      <c r="BY70" s="262"/>
      <c r="BZ70" s="262"/>
      <c r="CA70" s="262"/>
      <c r="CB70" s="262"/>
      <c r="CC70" s="262"/>
      <c r="CD70" s="262"/>
      <c r="CE70" s="262"/>
      <c r="CF70" s="262"/>
      <c r="CG70" s="262"/>
      <c r="CH70" s="262"/>
      <c r="CI70" s="262"/>
      <c r="CJ70" s="262"/>
      <c r="CK70" s="262"/>
      <c r="CL70" s="262"/>
      <c r="CM70" s="262"/>
      <c r="CN70" s="262"/>
      <c r="CO70" s="262"/>
      <c r="CP70" s="262"/>
      <c r="CQ70" s="262"/>
      <c r="CR70" s="262"/>
      <c r="CS70" s="262"/>
    </row>
    <row r="71" spans="1:97" ht="61.5" customHeight="1" x14ac:dyDescent="0.25">
      <c r="A71" s="1680" t="s">
        <v>257</v>
      </c>
      <c r="B71" s="1681"/>
      <c r="C71" s="1681"/>
      <c r="D71" s="1682"/>
      <c r="E71" s="1494" t="s">
        <v>1175</v>
      </c>
      <c r="F71" s="1495"/>
      <c r="G71" s="1495"/>
      <c r="H71" s="1495"/>
      <c r="I71" s="1495"/>
      <c r="J71" s="1495"/>
      <c r="K71" s="1495"/>
      <c r="L71" s="1495"/>
      <c r="M71" s="1495"/>
      <c r="N71" s="1495"/>
      <c r="O71" s="1495"/>
      <c r="P71" s="1496"/>
      <c r="Q71" s="2133" t="s">
        <v>6874</v>
      </c>
      <c r="R71" s="2134"/>
      <c r="S71" s="2134"/>
      <c r="T71" s="2135"/>
      <c r="U71" s="1683" t="s">
        <v>45</v>
      </c>
      <c r="V71" s="1684"/>
      <c r="W71" s="1685"/>
      <c r="X71" s="1538" t="s">
        <v>6215</v>
      </c>
      <c r="Y71" s="1539"/>
      <c r="Z71" s="1539"/>
      <c r="AA71" s="1539"/>
      <c r="AB71" s="1539"/>
      <c r="AC71" s="1539"/>
      <c r="AD71" s="1539"/>
      <c r="AE71" s="1539"/>
      <c r="AF71" s="1540"/>
      <c r="AH71" s="262"/>
      <c r="AI71" s="262"/>
      <c r="AJ71" s="262"/>
      <c r="AK71" s="262"/>
      <c r="AL71" s="262"/>
      <c r="AM71" s="262"/>
      <c r="AN71" s="262"/>
      <c r="AO71" s="262"/>
      <c r="AP71" s="262"/>
      <c r="AQ71" s="262"/>
      <c r="AR71" s="262"/>
      <c r="AS71" s="262"/>
      <c r="AT71" s="262"/>
      <c r="AU71" s="262"/>
      <c r="AV71" s="262"/>
      <c r="AW71" s="262"/>
      <c r="AX71" s="262"/>
      <c r="AY71" s="262"/>
      <c r="AZ71" s="262"/>
      <c r="BA71" s="262"/>
      <c r="BB71" s="262"/>
      <c r="BC71" s="262"/>
      <c r="BD71" s="262"/>
      <c r="BE71" s="262"/>
      <c r="BF71" s="262"/>
      <c r="BG71" s="262"/>
      <c r="BH71" s="262"/>
      <c r="BI71" s="262"/>
      <c r="BJ71" s="262"/>
      <c r="BK71" s="262"/>
      <c r="BL71" s="262"/>
      <c r="BM71" s="262"/>
      <c r="BN71" s="262"/>
      <c r="BO71" s="262"/>
      <c r="BP71" s="262"/>
      <c r="BQ71" s="262"/>
      <c r="BR71" s="262"/>
      <c r="BS71" s="262"/>
      <c r="BT71" s="262"/>
      <c r="BU71" s="262"/>
      <c r="BV71" s="262"/>
      <c r="BW71" s="262"/>
      <c r="BX71" s="262"/>
      <c r="BY71" s="262"/>
      <c r="BZ71" s="262"/>
      <c r="CA71" s="262"/>
      <c r="CB71" s="262"/>
      <c r="CC71" s="262"/>
      <c r="CD71" s="262"/>
      <c r="CE71" s="262"/>
      <c r="CF71" s="262"/>
      <c r="CG71" s="262"/>
      <c r="CH71" s="262"/>
      <c r="CI71" s="262"/>
      <c r="CJ71" s="262"/>
      <c r="CK71" s="262"/>
      <c r="CL71" s="262"/>
      <c r="CM71" s="262"/>
      <c r="CN71" s="262"/>
      <c r="CO71" s="262"/>
      <c r="CP71" s="262"/>
      <c r="CQ71" s="262"/>
      <c r="CR71" s="262"/>
      <c r="CS71" s="262"/>
    </row>
    <row r="72" spans="1:97" s="8" customFormat="1" ht="77.25" customHeight="1" x14ac:dyDescent="0.25">
      <c r="A72" s="1680" t="s">
        <v>29</v>
      </c>
      <c r="B72" s="1681"/>
      <c r="C72" s="1681"/>
      <c r="D72" s="1682"/>
      <c r="E72" s="1494" t="s">
        <v>104</v>
      </c>
      <c r="F72" s="1495"/>
      <c r="G72" s="1495"/>
      <c r="H72" s="1495"/>
      <c r="I72" s="1495"/>
      <c r="J72" s="1495"/>
      <c r="K72" s="1495"/>
      <c r="L72" s="1495"/>
      <c r="M72" s="1495"/>
      <c r="N72" s="1495"/>
      <c r="O72" s="1495"/>
      <c r="P72" s="1496"/>
      <c r="Q72" s="2133" t="s">
        <v>6874</v>
      </c>
      <c r="R72" s="2134"/>
      <c r="S72" s="2134"/>
      <c r="T72" s="2135"/>
      <c r="U72" s="1696" t="s">
        <v>28</v>
      </c>
      <c r="V72" s="1684"/>
      <c r="W72" s="1685"/>
      <c r="X72" s="1538" t="s">
        <v>2946</v>
      </c>
      <c r="Y72" s="1539"/>
      <c r="Z72" s="1539"/>
      <c r="AA72" s="1539"/>
      <c r="AB72" s="1539"/>
      <c r="AC72" s="1539"/>
      <c r="AD72" s="1539"/>
      <c r="AE72" s="1539"/>
      <c r="AF72" s="1540"/>
      <c r="AH72" s="192"/>
      <c r="AI72" s="192"/>
      <c r="AJ72" s="192"/>
      <c r="AK72" s="26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c r="CG72" s="192"/>
      <c r="CH72" s="192"/>
      <c r="CI72" s="192"/>
      <c r="CJ72" s="192"/>
      <c r="CK72" s="192"/>
      <c r="CL72" s="192"/>
      <c r="CM72" s="192"/>
      <c r="CN72" s="192"/>
      <c r="CO72" s="192"/>
      <c r="CP72" s="192"/>
      <c r="CQ72" s="192"/>
      <c r="CR72" s="192"/>
      <c r="CS72" s="192"/>
    </row>
    <row r="73" spans="1:97" s="8" customFormat="1" ht="44.25" customHeight="1" x14ac:dyDescent="0.25">
      <c r="A73" s="1680" t="s">
        <v>2724</v>
      </c>
      <c r="B73" s="1681"/>
      <c r="C73" s="1681"/>
      <c r="D73" s="1682"/>
      <c r="E73" s="1494" t="s">
        <v>2217</v>
      </c>
      <c r="F73" s="1495"/>
      <c r="G73" s="1495"/>
      <c r="H73" s="1495"/>
      <c r="I73" s="1495"/>
      <c r="J73" s="1495"/>
      <c r="K73" s="1495"/>
      <c r="L73" s="1495"/>
      <c r="M73" s="1495"/>
      <c r="N73" s="1495"/>
      <c r="O73" s="1495"/>
      <c r="P73" s="1496"/>
      <c r="Q73" s="1497">
        <f>'Master EUL'!X81</f>
        <v>20</v>
      </c>
      <c r="R73" s="1498"/>
      <c r="S73" s="1498"/>
      <c r="T73" s="1499"/>
      <c r="U73" s="1683" t="s">
        <v>36</v>
      </c>
      <c r="V73" s="1684"/>
      <c r="W73" s="1685"/>
      <c r="X73" s="1538" t="s">
        <v>1757</v>
      </c>
      <c r="Y73" s="1539"/>
      <c r="Z73" s="1539"/>
      <c r="AA73" s="1539"/>
      <c r="AB73" s="1539"/>
      <c r="AC73" s="1539"/>
      <c r="AD73" s="1539"/>
      <c r="AE73" s="1539"/>
      <c r="AF73" s="1540"/>
      <c r="AH73" s="192"/>
      <c r="AI73" s="192"/>
      <c r="AJ73" s="192"/>
      <c r="AK73" s="638"/>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c r="CG73" s="192"/>
      <c r="CH73" s="192"/>
      <c r="CI73" s="192"/>
      <c r="CJ73" s="192"/>
      <c r="CK73" s="192"/>
      <c r="CL73" s="192"/>
      <c r="CM73" s="192"/>
      <c r="CN73" s="192"/>
      <c r="CO73" s="192"/>
      <c r="CP73" s="192"/>
      <c r="CQ73" s="192"/>
      <c r="CR73" s="192"/>
      <c r="CS73" s="192"/>
    </row>
    <row r="74" spans="1:97" s="8" customFormat="1" x14ac:dyDescent="0.25">
      <c r="A74" s="262"/>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2"/>
      <c r="AE74" s="262"/>
      <c r="AF74" s="26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c r="CG74" s="192"/>
      <c r="CH74" s="192"/>
      <c r="CI74" s="192"/>
      <c r="CJ74" s="192"/>
      <c r="CK74" s="192"/>
      <c r="CL74" s="192"/>
      <c r="CM74" s="192"/>
      <c r="CN74" s="192"/>
      <c r="CO74" s="192"/>
      <c r="CP74" s="192"/>
      <c r="CQ74" s="192"/>
      <c r="CR74" s="192"/>
      <c r="CS74" s="192"/>
    </row>
    <row r="75" spans="1:97" s="8" customFormat="1" ht="15" customHeight="1" x14ac:dyDescent="0.25">
      <c r="A75" s="262"/>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62"/>
      <c r="AE75" s="262"/>
      <c r="AF75" s="26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c r="CG75" s="192"/>
      <c r="CH75" s="192"/>
      <c r="CI75" s="192"/>
      <c r="CJ75" s="192"/>
      <c r="CK75" s="192"/>
      <c r="CL75" s="192"/>
      <c r="CM75" s="192"/>
      <c r="CN75" s="192"/>
      <c r="CO75" s="192"/>
      <c r="CP75" s="192"/>
      <c r="CQ75" s="192"/>
      <c r="CR75" s="192"/>
      <c r="CS75" s="192"/>
    </row>
    <row r="76" spans="1:97" s="8" customFormat="1" ht="15" customHeight="1" x14ac:dyDescent="0.25">
      <c r="A76" s="1385" t="s">
        <v>21</v>
      </c>
      <c r="B76" s="1386"/>
      <c r="C76" s="1386"/>
      <c r="D76" s="1386"/>
      <c r="E76" s="1386"/>
      <c r="F76" s="1386"/>
      <c r="G76" s="1386"/>
      <c r="H76" s="1386"/>
      <c r="I76" s="1386"/>
      <c r="J76" s="1386"/>
      <c r="K76" s="1386"/>
      <c r="L76" s="1386"/>
      <c r="M76" s="1386"/>
      <c r="N76" s="1386"/>
      <c r="O76" s="1386"/>
      <c r="P76" s="1386"/>
      <c r="Q76" s="1386"/>
      <c r="R76" s="1386"/>
      <c r="S76" s="1386"/>
      <c r="T76" s="1386"/>
      <c r="U76" s="1386"/>
      <c r="V76" s="1386"/>
      <c r="W76" s="1386"/>
      <c r="X76" s="1386"/>
      <c r="Y76" s="1386"/>
      <c r="Z76" s="1386"/>
      <c r="AA76" s="1386"/>
      <c r="AB76" s="1386"/>
      <c r="AC76" s="1386"/>
      <c r="AD76" s="1386"/>
      <c r="AE76" s="1386"/>
      <c r="AF76" s="1387"/>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row>
    <row r="77" spans="1:97" s="8" customFormat="1" ht="15" customHeight="1" x14ac:dyDescent="0.25">
      <c r="A77" s="190"/>
      <c r="B77" s="19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262"/>
      <c r="AC77" s="262"/>
      <c r="AD77" s="262"/>
      <c r="AE77" s="262"/>
      <c r="AF77" s="26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row>
    <row r="78" spans="1:97" ht="32.25" customHeight="1" x14ac:dyDescent="0.25">
      <c r="A78" s="262"/>
      <c r="B78" s="1589" t="s">
        <v>2892</v>
      </c>
      <c r="C78" s="1589"/>
      <c r="D78" s="1589"/>
      <c r="E78" s="1589"/>
      <c r="F78" s="1589"/>
      <c r="G78" s="1589"/>
      <c r="H78" s="1589"/>
      <c r="I78" s="1589"/>
      <c r="J78" s="1589"/>
      <c r="K78" s="1589"/>
      <c r="L78" s="1589"/>
      <c r="M78" s="1589"/>
      <c r="N78" s="1589"/>
      <c r="O78" s="1589"/>
      <c r="P78" s="1589"/>
      <c r="Q78" s="1589"/>
      <c r="R78" s="1589"/>
      <c r="S78" s="1589"/>
      <c r="T78" s="2138" t="s">
        <v>2893</v>
      </c>
      <c r="U78" s="2138"/>
      <c r="V78" s="2138"/>
      <c r="W78" s="2138"/>
      <c r="X78" s="2138"/>
      <c r="Y78" s="2138"/>
      <c r="Z78" s="2138"/>
      <c r="AA78" s="2138"/>
      <c r="AB78" s="262"/>
      <c r="AC78" s="262"/>
      <c r="AD78" s="262"/>
      <c r="AE78" s="262"/>
      <c r="AF78" s="262"/>
      <c r="AH78" s="262"/>
      <c r="AI78" s="262"/>
      <c r="AJ78" s="262"/>
      <c r="AK78" s="262"/>
      <c r="AL78" s="262"/>
      <c r="AM78" s="262"/>
      <c r="AN78" s="262"/>
      <c r="AO78" s="262"/>
      <c r="AP78" s="262"/>
      <c r="AQ78" s="262"/>
      <c r="AR78" s="262"/>
      <c r="AS78" s="262"/>
      <c r="AT78" s="262"/>
      <c r="AU78" s="262"/>
      <c r="AV78" s="262"/>
      <c r="AW78" s="262"/>
      <c r="AX78" s="262"/>
      <c r="AY78" s="262"/>
      <c r="AZ78" s="262"/>
      <c r="BA78" s="262"/>
      <c r="BB78" s="262"/>
      <c r="BC78" s="262"/>
      <c r="BD78" s="262"/>
      <c r="BE78" s="262"/>
      <c r="BF78" s="262"/>
      <c r="BG78" s="262"/>
      <c r="BH78" s="262"/>
      <c r="BI78" s="262"/>
      <c r="BJ78" s="262"/>
      <c r="BK78" s="262"/>
      <c r="BL78" s="262"/>
      <c r="BM78" s="262"/>
      <c r="BN78" s="262"/>
      <c r="BO78" s="262"/>
      <c r="BP78" s="262"/>
      <c r="BQ78" s="262"/>
      <c r="BR78" s="262"/>
      <c r="BS78" s="262"/>
      <c r="BT78" s="262"/>
      <c r="BU78" s="262"/>
      <c r="BV78" s="262"/>
      <c r="BW78" s="262"/>
      <c r="BX78" s="262"/>
      <c r="BY78" s="262"/>
      <c r="BZ78" s="262"/>
      <c r="CA78" s="262"/>
      <c r="CB78" s="262"/>
      <c r="CC78" s="262"/>
      <c r="CD78" s="262"/>
      <c r="CE78" s="262"/>
      <c r="CF78" s="262"/>
      <c r="CG78" s="262"/>
      <c r="CH78" s="262"/>
      <c r="CI78" s="262"/>
      <c r="CJ78" s="262"/>
      <c r="CK78" s="262"/>
      <c r="CL78" s="262"/>
      <c r="CM78" s="262"/>
      <c r="CN78" s="262"/>
      <c r="CO78" s="262"/>
      <c r="CP78" s="262"/>
      <c r="CQ78" s="262"/>
      <c r="CR78" s="262"/>
      <c r="CS78" s="262"/>
    </row>
    <row r="79" spans="1:97" x14ac:dyDescent="0.25">
      <c r="A79" s="262"/>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262"/>
      <c r="AE79" s="262"/>
      <c r="AF79" s="262"/>
      <c r="AH79" s="262"/>
      <c r="AI79" s="262"/>
      <c r="AJ79" s="262"/>
      <c r="AK79" s="262"/>
      <c r="AL79" s="262"/>
      <c r="AM79" s="262"/>
      <c r="AN79" s="262"/>
      <c r="AO79" s="262"/>
      <c r="AP79" s="262"/>
      <c r="AQ79" s="262"/>
      <c r="AR79" s="262"/>
      <c r="AS79" s="262"/>
      <c r="AT79" s="262"/>
      <c r="AU79" s="262"/>
      <c r="AV79" s="262"/>
      <c r="AW79" s="262"/>
      <c r="AX79" s="262"/>
      <c r="AY79" s="262"/>
      <c r="AZ79" s="262"/>
      <c r="BA79" s="262"/>
      <c r="BB79" s="262"/>
      <c r="BC79" s="262"/>
      <c r="BD79" s="262"/>
      <c r="BE79" s="262"/>
      <c r="BF79" s="262"/>
      <c r="BG79" s="262"/>
      <c r="BH79" s="262"/>
      <c r="BI79" s="262"/>
      <c r="BJ79" s="262"/>
      <c r="BK79" s="262"/>
      <c r="BL79" s="262"/>
      <c r="BM79" s="262"/>
      <c r="BN79" s="262"/>
      <c r="BO79" s="262"/>
      <c r="BP79" s="262"/>
      <c r="BQ79" s="262"/>
      <c r="BR79" s="262"/>
      <c r="BS79" s="262"/>
      <c r="BT79" s="262"/>
      <c r="BU79" s="262"/>
      <c r="BV79" s="262"/>
      <c r="BW79" s="262"/>
      <c r="BX79" s="262"/>
      <c r="BY79" s="262"/>
      <c r="BZ79" s="262"/>
      <c r="CA79" s="262"/>
      <c r="CB79" s="262"/>
      <c r="CC79" s="262"/>
      <c r="CD79" s="262"/>
      <c r="CE79" s="262"/>
      <c r="CF79" s="262"/>
      <c r="CG79" s="262"/>
      <c r="CH79" s="262"/>
      <c r="CI79" s="262"/>
      <c r="CJ79" s="262"/>
      <c r="CK79" s="262"/>
      <c r="CL79" s="262"/>
      <c r="CM79" s="262"/>
      <c r="CN79" s="262"/>
      <c r="CO79" s="262"/>
      <c r="CP79" s="262"/>
      <c r="CQ79" s="262"/>
      <c r="CR79" s="262"/>
      <c r="CS79" s="262"/>
    </row>
    <row r="80" spans="1:97" ht="15" customHeight="1" x14ac:dyDescent="0.25">
      <c r="A80" s="262"/>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F80" s="262"/>
      <c r="AH80" s="262"/>
      <c r="AI80" s="262"/>
      <c r="AJ80" s="262"/>
      <c r="AK80" s="262"/>
      <c r="AL80" s="262"/>
      <c r="AM80" s="262"/>
      <c r="AN80" s="262"/>
      <c r="AO80" s="262"/>
      <c r="AP80" s="262"/>
      <c r="AQ80" s="262"/>
      <c r="AR80" s="262"/>
      <c r="AS80" s="262"/>
      <c r="AT80" s="262"/>
      <c r="AU80" s="262"/>
      <c r="AV80" s="262"/>
      <c r="AW80" s="262"/>
      <c r="AX80" s="262"/>
      <c r="AY80" s="262"/>
      <c r="AZ80" s="262"/>
      <c r="BA80" s="262"/>
      <c r="BB80" s="262"/>
      <c r="BC80" s="262"/>
      <c r="BD80" s="262"/>
      <c r="BE80" s="262"/>
      <c r="BF80" s="262"/>
      <c r="BG80" s="262"/>
      <c r="BH80" s="262"/>
      <c r="BI80" s="262"/>
      <c r="BJ80" s="262"/>
      <c r="BK80" s="262"/>
      <c r="BL80" s="262"/>
      <c r="BM80" s="262"/>
      <c r="BN80" s="262"/>
      <c r="BO80" s="262"/>
      <c r="BP80" s="262"/>
      <c r="BQ80" s="262"/>
      <c r="BR80" s="262"/>
      <c r="BS80" s="262"/>
      <c r="BT80" s="262"/>
      <c r="BU80" s="262"/>
      <c r="BV80" s="262"/>
      <c r="BW80" s="262"/>
      <c r="BX80" s="262"/>
      <c r="BY80" s="262"/>
      <c r="BZ80" s="262"/>
      <c r="CA80" s="262"/>
      <c r="CB80" s="262"/>
      <c r="CC80" s="262"/>
      <c r="CD80" s="262"/>
      <c r="CE80" s="262"/>
      <c r="CF80" s="262"/>
      <c r="CG80" s="262"/>
      <c r="CH80" s="262"/>
      <c r="CI80" s="262"/>
      <c r="CJ80" s="262"/>
      <c r="CK80" s="262"/>
      <c r="CL80" s="262"/>
      <c r="CM80" s="262"/>
      <c r="CN80" s="262"/>
      <c r="CO80" s="262"/>
      <c r="CP80" s="262"/>
      <c r="CQ80" s="262"/>
      <c r="CR80" s="262"/>
      <c r="CS80" s="262"/>
    </row>
    <row r="81" spans="1:97" ht="15" customHeight="1" x14ac:dyDescent="0.25">
      <c r="A81" s="1385" t="s">
        <v>1753</v>
      </c>
      <c r="B81" s="1386"/>
      <c r="C81" s="1386"/>
      <c r="D81" s="1386"/>
      <c r="E81" s="1386"/>
      <c r="F81" s="1386"/>
      <c r="G81" s="1386"/>
      <c r="H81" s="1386"/>
      <c r="I81" s="1386"/>
      <c r="J81" s="1386"/>
      <c r="K81" s="1386"/>
      <c r="L81" s="1386"/>
      <c r="M81" s="1386"/>
      <c r="N81" s="1386"/>
      <c r="O81" s="1386"/>
      <c r="P81" s="1386"/>
      <c r="Q81" s="1386"/>
      <c r="R81" s="1386"/>
      <c r="S81" s="1386"/>
      <c r="T81" s="1386"/>
      <c r="U81" s="1386"/>
      <c r="V81" s="1386"/>
      <c r="W81" s="1386"/>
      <c r="X81" s="1386"/>
      <c r="Y81" s="1386"/>
      <c r="Z81" s="1386"/>
      <c r="AA81" s="1386"/>
      <c r="AB81" s="1386"/>
      <c r="AC81" s="1386"/>
      <c r="AD81" s="1386"/>
      <c r="AE81" s="1386"/>
      <c r="AF81" s="1387"/>
      <c r="AH81" s="262"/>
      <c r="AI81" s="262"/>
      <c r="AJ81" s="262"/>
      <c r="AK81" s="262"/>
      <c r="AL81" s="262"/>
      <c r="AM81" s="262"/>
      <c r="AN81" s="262"/>
      <c r="AO81" s="262"/>
      <c r="AP81" s="262"/>
      <c r="AQ81" s="262"/>
      <c r="AR81" s="262"/>
      <c r="AS81" s="262"/>
      <c r="AT81" s="262"/>
      <c r="AU81" s="262"/>
      <c r="AV81" s="262"/>
      <c r="AW81" s="262"/>
      <c r="AX81" s="262"/>
      <c r="AY81" s="262"/>
      <c r="AZ81" s="262"/>
      <c r="BA81" s="262"/>
      <c r="BB81" s="262"/>
      <c r="BC81" s="262"/>
      <c r="BD81" s="262"/>
      <c r="BE81" s="262"/>
      <c r="BF81" s="262"/>
      <c r="BG81" s="262"/>
      <c r="BH81" s="262"/>
      <c r="BI81" s="262"/>
      <c r="BJ81" s="262"/>
      <c r="BK81" s="262"/>
      <c r="BL81" s="262"/>
      <c r="BM81" s="262"/>
      <c r="BN81" s="262"/>
      <c r="BO81" s="262"/>
      <c r="BP81" s="262"/>
      <c r="BQ81" s="262"/>
      <c r="BR81" s="262"/>
      <c r="BS81" s="262"/>
      <c r="BT81" s="262"/>
      <c r="BU81" s="262"/>
      <c r="BV81" s="262"/>
      <c r="BW81" s="262"/>
      <c r="BX81" s="262"/>
      <c r="BY81" s="262"/>
      <c r="BZ81" s="262"/>
      <c r="CA81" s="262"/>
      <c r="CB81" s="262"/>
      <c r="CC81" s="262"/>
      <c r="CD81" s="262"/>
      <c r="CE81" s="262"/>
      <c r="CF81" s="262"/>
      <c r="CG81" s="262"/>
      <c r="CH81" s="262"/>
      <c r="CI81" s="262"/>
      <c r="CJ81" s="262"/>
      <c r="CK81" s="262"/>
      <c r="CL81" s="262"/>
      <c r="CM81" s="262"/>
      <c r="CN81" s="262"/>
      <c r="CO81" s="262"/>
      <c r="CP81" s="262"/>
      <c r="CQ81" s="262"/>
      <c r="CR81" s="262"/>
      <c r="CS81" s="262"/>
    </row>
    <row r="82" spans="1:97" ht="15" customHeight="1" x14ac:dyDescent="0.25">
      <c r="A82" s="515" t="s">
        <v>1013</v>
      </c>
      <c r="B82" s="1168" t="s">
        <v>6875</v>
      </c>
      <c r="C82" s="1168"/>
      <c r="D82" s="1168"/>
      <c r="E82" s="1168"/>
      <c r="F82" s="1168"/>
      <c r="G82" s="1168"/>
      <c r="H82" s="1168"/>
      <c r="I82" s="1168"/>
      <c r="J82" s="1168"/>
      <c r="K82" s="1168"/>
      <c r="L82" s="1168"/>
      <c r="M82" s="1168"/>
      <c r="N82" s="1168"/>
      <c r="O82" s="1168"/>
      <c r="P82" s="1168"/>
      <c r="Q82" s="1168"/>
      <c r="R82" s="1168"/>
      <c r="S82" s="1168"/>
      <c r="T82" s="1168"/>
      <c r="U82" s="1168"/>
      <c r="V82" s="1168"/>
      <c r="W82" s="1168"/>
      <c r="X82" s="1168"/>
      <c r="Y82" s="1168"/>
      <c r="Z82" s="1168"/>
      <c r="AA82" s="1168"/>
      <c r="AB82" s="1168"/>
      <c r="AC82" s="1168"/>
      <c r="AD82" s="1168"/>
      <c r="AE82" s="1168"/>
      <c r="AF82" s="1168"/>
      <c r="AH82" s="262"/>
      <c r="AI82" s="262"/>
      <c r="AJ82" s="262"/>
      <c r="AK82" s="262"/>
      <c r="AL82" s="262"/>
      <c r="AM82" s="262"/>
      <c r="AN82" s="262"/>
      <c r="AO82" s="262"/>
      <c r="AP82" s="262"/>
      <c r="AQ82" s="262"/>
      <c r="AR82" s="262"/>
      <c r="AS82" s="262"/>
      <c r="AT82" s="262"/>
      <c r="AU82" s="262"/>
      <c r="AV82" s="262"/>
      <c r="AW82" s="262"/>
      <c r="AX82" s="262"/>
      <c r="AY82" s="262"/>
      <c r="AZ82" s="262"/>
      <c r="BA82" s="262"/>
      <c r="BB82" s="262"/>
      <c r="BC82" s="262"/>
      <c r="BD82" s="262"/>
      <c r="BE82" s="262"/>
      <c r="BF82" s="262"/>
      <c r="BG82" s="262"/>
      <c r="BH82" s="262"/>
      <c r="BI82" s="262"/>
      <c r="BJ82" s="262"/>
      <c r="BK82" s="262"/>
      <c r="BL82" s="262"/>
      <c r="BM82" s="262"/>
      <c r="BN82" s="262"/>
      <c r="BO82" s="262"/>
      <c r="BP82" s="262"/>
      <c r="BQ82" s="262"/>
      <c r="BR82" s="262"/>
      <c r="BS82" s="262"/>
      <c r="BT82" s="262"/>
      <c r="BU82" s="262"/>
      <c r="BV82" s="262"/>
      <c r="BW82" s="262"/>
      <c r="BX82" s="262"/>
      <c r="BY82" s="262"/>
      <c r="BZ82" s="262"/>
      <c r="CA82" s="262"/>
      <c r="CB82" s="262"/>
      <c r="CC82" s="262"/>
      <c r="CD82" s="262"/>
      <c r="CE82" s="262"/>
      <c r="CF82" s="262"/>
      <c r="CG82" s="262"/>
      <c r="CH82" s="262"/>
      <c r="CI82" s="262"/>
      <c r="CJ82" s="262"/>
      <c r="CK82" s="262"/>
      <c r="CL82" s="262"/>
      <c r="CM82" s="262"/>
      <c r="CN82" s="262"/>
      <c r="CO82" s="262"/>
      <c r="CP82" s="262"/>
      <c r="CQ82" s="262"/>
      <c r="CR82" s="262"/>
      <c r="CS82" s="262"/>
    </row>
    <row r="83" spans="1:97" ht="49.5" customHeight="1" x14ac:dyDescent="0.25">
      <c r="A83" s="515" t="s">
        <v>1013</v>
      </c>
      <c r="B83" s="1168" t="s">
        <v>6879</v>
      </c>
      <c r="C83" s="1168"/>
      <c r="D83" s="1168"/>
      <c r="E83" s="1168"/>
      <c r="F83" s="1168"/>
      <c r="G83" s="1168"/>
      <c r="H83" s="1168"/>
      <c r="I83" s="1168"/>
      <c r="J83" s="1168"/>
      <c r="K83" s="1168"/>
      <c r="L83" s="1168"/>
      <c r="M83" s="1168"/>
      <c r="N83" s="1168"/>
      <c r="O83" s="1168"/>
      <c r="P83" s="1168"/>
      <c r="Q83" s="1168"/>
      <c r="R83" s="1168"/>
      <c r="S83" s="1168"/>
      <c r="T83" s="1168"/>
      <c r="U83" s="1168"/>
      <c r="V83" s="1168"/>
      <c r="W83" s="1168"/>
      <c r="X83" s="1168"/>
      <c r="Y83" s="1168"/>
      <c r="Z83" s="1168"/>
      <c r="AA83" s="1168"/>
      <c r="AB83" s="1168"/>
      <c r="AC83" s="1168"/>
      <c r="AD83" s="1168"/>
      <c r="AE83" s="1168"/>
      <c r="AF83" s="1168"/>
      <c r="AH83" s="262"/>
      <c r="AI83" s="262"/>
      <c r="AJ83" s="262"/>
      <c r="AK83" s="227"/>
      <c r="AL83" s="262"/>
      <c r="AM83" s="262"/>
      <c r="AN83" s="262"/>
      <c r="AO83" s="262"/>
      <c r="AP83" s="262"/>
      <c r="AQ83" s="262"/>
      <c r="AR83" s="262"/>
      <c r="AS83" s="262"/>
      <c r="AT83" s="262"/>
      <c r="AU83" s="262"/>
      <c r="AV83" s="262"/>
      <c r="AW83" s="262"/>
      <c r="AX83" s="262"/>
      <c r="AY83" s="262"/>
      <c r="AZ83" s="262"/>
      <c r="BA83" s="262"/>
      <c r="BB83" s="262"/>
      <c r="BC83" s="262"/>
      <c r="BD83" s="262"/>
      <c r="BE83" s="262"/>
      <c r="BF83" s="262"/>
      <c r="BG83" s="262"/>
      <c r="BH83" s="262"/>
      <c r="BI83" s="262"/>
      <c r="BJ83" s="262"/>
      <c r="BK83" s="262"/>
      <c r="BL83" s="262"/>
      <c r="BM83" s="262"/>
      <c r="BN83" s="262"/>
      <c r="BO83" s="262"/>
      <c r="BP83" s="262"/>
      <c r="BQ83" s="262"/>
      <c r="BR83" s="262"/>
      <c r="BS83" s="262"/>
      <c r="BT83" s="262"/>
      <c r="BU83" s="262"/>
      <c r="BV83" s="262"/>
      <c r="BW83" s="262"/>
      <c r="BX83" s="262"/>
      <c r="BY83" s="262"/>
      <c r="BZ83" s="262"/>
      <c r="CA83" s="262"/>
      <c r="CB83" s="262"/>
      <c r="CC83" s="262"/>
      <c r="CD83" s="262"/>
      <c r="CE83" s="262"/>
      <c r="CF83" s="262"/>
      <c r="CG83" s="262"/>
      <c r="CH83" s="262"/>
      <c r="CI83" s="262"/>
      <c r="CJ83" s="262"/>
      <c r="CK83" s="262"/>
      <c r="CL83" s="262"/>
      <c r="CM83" s="262"/>
      <c r="CN83" s="262"/>
      <c r="CO83" s="262"/>
      <c r="CP83" s="262"/>
      <c r="CQ83" s="262"/>
      <c r="CR83" s="262"/>
      <c r="CS83" s="262"/>
    </row>
    <row r="84" spans="1:97" ht="50.45" customHeight="1" x14ac:dyDescent="0.25">
      <c r="A84" s="517" t="s">
        <v>1013</v>
      </c>
      <c r="B84" s="1168" t="s">
        <v>6218</v>
      </c>
      <c r="C84" s="1168"/>
      <c r="D84" s="1168"/>
      <c r="E84" s="1168"/>
      <c r="F84" s="1168"/>
      <c r="G84" s="1168"/>
      <c r="H84" s="1168"/>
      <c r="I84" s="1168"/>
      <c r="J84" s="1168"/>
      <c r="K84" s="1168"/>
      <c r="L84" s="1168"/>
      <c r="M84" s="1168"/>
      <c r="N84" s="1168"/>
      <c r="O84" s="1168"/>
      <c r="P84" s="1168"/>
      <c r="Q84" s="1168"/>
      <c r="R84" s="1168"/>
      <c r="S84" s="1168"/>
      <c r="T84" s="1168"/>
      <c r="U84" s="1168"/>
      <c r="V84" s="1168"/>
      <c r="W84" s="1168"/>
      <c r="X84" s="1168"/>
      <c r="Y84" s="1168"/>
      <c r="Z84" s="1168"/>
      <c r="AA84" s="1168"/>
      <c r="AB84" s="1168"/>
      <c r="AC84" s="1168"/>
      <c r="AD84" s="1168"/>
      <c r="AE84" s="1168"/>
      <c r="AF84" s="1168"/>
      <c r="AH84" s="262"/>
      <c r="AI84" s="262"/>
      <c r="AJ84" s="262"/>
      <c r="AK84" s="262"/>
      <c r="AL84" s="262"/>
      <c r="AM84" s="262"/>
      <c r="AN84" s="262"/>
      <c r="AO84" s="262"/>
      <c r="AP84" s="262"/>
      <c r="AQ84" s="262"/>
      <c r="AR84" s="262"/>
      <c r="AS84" s="262"/>
      <c r="AT84" s="262"/>
      <c r="AU84" s="262"/>
      <c r="AV84" s="262"/>
      <c r="AW84" s="262"/>
      <c r="AX84" s="262"/>
      <c r="AY84" s="262"/>
      <c r="AZ84" s="262"/>
      <c r="BA84" s="262"/>
      <c r="BB84" s="262"/>
      <c r="BC84" s="262"/>
      <c r="BD84" s="262"/>
      <c r="BE84" s="262"/>
      <c r="BF84" s="262"/>
      <c r="BG84" s="262"/>
      <c r="BH84" s="262"/>
      <c r="BI84" s="262"/>
      <c r="BJ84" s="262"/>
      <c r="BK84" s="262"/>
      <c r="BL84" s="262"/>
      <c r="BM84" s="262"/>
      <c r="BN84" s="262"/>
      <c r="BO84" s="262"/>
      <c r="BP84" s="262"/>
      <c r="BQ84" s="262"/>
      <c r="BR84" s="262"/>
      <c r="BS84" s="262"/>
      <c r="BT84" s="262"/>
      <c r="BU84" s="262"/>
      <c r="BV84" s="262"/>
      <c r="BW84" s="262"/>
      <c r="BX84" s="262"/>
      <c r="BY84" s="262"/>
      <c r="BZ84" s="262"/>
      <c r="CA84" s="262"/>
      <c r="CB84" s="262"/>
      <c r="CC84" s="262"/>
      <c r="CD84" s="262"/>
      <c r="CE84" s="262"/>
      <c r="CF84" s="262"/>
      <c r="CG84" s="262"/>
      <c r="CH84" s="262"/>
      <c r="CI84" s="262"/>
      <c r="CJ84" s="262"/>
      <c r="CK84" s="262"/>
      <c r="CL84" s="262"/>
      <c r="CM84" s="262"/>
      <c r="CN84" s="262"/>
      <c r="CO84" s="262"/>
      <c r="CP84" s="262"/>
      <c r="CQ84" s="262"/>
      <c r="CR84" s="262"/>
      <c r="CS84" s="262"/>
    </row>
    <row r="85" spans="1:97" s="692" customFormat="1" ht="49.5" customHeight="1" x14ac:dyDescent="0.25">
      <c r="A85" s="986" t="s">
        <v>1013</v>
      </c>
      <c r="B85" s="1173" t="s">
        <v>6219</v>
      </c>
      <c r="C85" s="1173"/>
      <c r="D85" s="1173"/>
      <c r="E85" s="1173"/>
      <c r="F85" s="1173"/>
      <c r="G85" s="1173"/>
      <c r="H85" s="1173"/>
      <c r="I85" s="1173"/>
      <c r="J85" s="1173"/>
      <c r="K85" s="1173"/>
      <c r="L85" s="1173"/>
      <c r="M85" s="1173"/>
      <c r="N85" s="1173"/>
      <c r="O85" s="1173"/>
      <c r="P85" s="1173"/>
      <c r="Q85" s="1173"/>
      <c r="R85" s="1173"/>
      <c r="S85" s="1173"/>
      <c r="T85" s="1173"/>
      <c r="U85" s="1173"/>
      <c r="V85" s="1173"/>
      <c r="W85" s="1173"/>
      <c r="X85" s="1173"/>
      <c r="Y85" s="1173"/>
      <c r="Z85" s="1173"/>
      <c r="AA85" s="1173"/>
      <c r="AB85" s="1173"/>
      <c r="AC85" s="1173"/>
      <c r="AD85" s="1173"/>
      <c r="AE85" s="1173"/>
      <c r="AF85" s="1173"/>
      <c r="AG85" s="683"/>
      <c r="AH85" s="262"/>
      <c r="AI85" s="262"/>
      <c r="AJ85" s="262"/>
      <c r="AK85" s="262"/>
      <c r="AL85" s="638"/>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c r="BR85" s="227"/>
      <c r="BS85" s="227"/>
      <c r="BT85" s="227"/>
      <c r="BU85" s="227"/>
      <c r="BV85" s="227"/>
      <c r="BW85" s="227"/>
      <c r="BX85" s="227"/>
      <c r="BY85" s="227"/>
      <c r="BZ85" s="227"/>
      <c r="CA85" s="227"/>
      <c r="CB85" s="227"/>
      <c r="CC85" s="227"/>
      <c r="CD85" s="227"/>
      <c r="CE85" s="227"/>
      <c r="CF85" s="227"/>
      <c r="CG85" s="227"/>
      <c r="CH85" s="227"/>
      <c r="CI85" s="227"/>
      <c r="CJ85" s="227"/>
      <c r="CK85" s="227"/>
      <c r="CL85" s="227"/>
      <c r="CM85" s="227"/>
      <c r="CN85" s="227"/>
      <c r="CO85" s="227"/>
      <c r="CP85" s="227"/>
      <c r="CQ85" s="227"/>
      <c r="CR85" s="227"/>
      <c r="CS85" s="227"/>
    </row>
    <row r="86" spans="1:97" s="692" customFormat="1" ht="67.5" customHeight="1" x14ac:dyDescent="0.25">
      <c r="A86" s="986" t="s">
        <v>1013</v>
      </c>
      <c r="B86" s="1173" t="s">
        <v>6220</v>
      </c>
      <c r="C86" s="1173"/>
      <c r="D86" s="1173"/>
      <c r="E86" s="1173"/>
      <c r="F86" s="1173"/>
      <c r="G86" s="1173"/>
      <c r="H86" s="1173"/>
      <c r="I86" s="1173"/>
      <c r="J86" s="1173"/>
      <c r="K86" s="1173"/>
      <c r="L86" s="1173"/>
      <c r="M86" s="1173"/>
      <c r="N86" s="1173"/>
      <c r="O86" s="1173"/>
      <c r="P86" s="1173"/>
      <c r="Q86" s="1173"/>
      <c r="R86" s="1173"/>
      <c r="S86" s="1173"/>
      <c r="T86" s="1173"/>
      <c r="U86" s="1173"/>
      <c r="V86" s="1173"/>
      <c r="W86" s="1173"/>
      <c r="X86" s="1173"/>
      <c r="Y86" s="1173"/>
      <c r="Z86" s="1173"/>
      <c r="AA86" s="1173"/>
      <c r="AB86" s="1173"/>
      <c r="AC86" s="1173"/>
      <c r="AD86" s="1173"/>
      <c r="AE86" s="1173"/>
      <c r="AF86" s="1173"/>
      <c r="AG86" s="683"/>
      <c r="AH86" s="262"/>
      <c r="AI86" s="262"/>
      <c r="AJ86" s="262"/>
      <c r="AK86" s="262"/>
      <c r="AL86" s="638"/>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7"/>
      <c r="BN86" s="227"/>
      <c r="BO86" s="227"/>
      <c r="BP86" s="227"/>
      <c r="BQ86" s="227"/>
      <c r="BR86" s="227"/>
      <c r="BS86" s="227"/>
      <c r="BT86" s="227"/>
      <c r="BU86" s="227"/>
      <c r="BV86" s="227"/>
      <c r="BW86" s="227"/>
      <c r="BX86" s="227"/>
      <c r="BY86" s="227"/>
      <c r="BZ86" s="227"/>
      <c r="CA86" s="227"/>
      <c r="CB86" s="227"/>
      <c r="CC86" s="227"/>
      <c r="CD86" s="227"/>
      <c r="CE86" s="227"/>
      <c r="CF86" s="227"/>
      <c r="CG86" s="227"/>
      <c r="CH86" s="227"/>
      <c r="CI86" s="227"/>
      <c r="CJ86" s="227"/>
      <c r="CK86" s="227"/>
      <c r="CL86" s="227"/>
      <c r="CM86" s="227"/>
      <c r="CN86" s="227"/>
      <c r="CO86" s="227"/>
      <c r="CP86" s="227"/>
      <c r="CQ86" s="227"/>
      <c r="CR86" s="227"/>
      <c r="CS86" s="227"/>
    </row>
    <row r="87" spans="1:97" s="692" customFormat="1" ht="66.75" customHeight="1" x14ac:dyDescent="0.25">
      <c r="A87" s="986" t="s">
        <v>1013</v>
      </c>
      <c r="B87" s="1173" t="s">
        <v>6221</v>
      </c>
      <c r="C87" s="1173"/>
      <c r="D87" s="1173"/>
      <c r="E87" s="1173"/>
      <c r="F87" s="1173"/>
      <c r="G87" s="1173"/>
      <c r="H87" s="1173"/>
      <c r="I87" s="1173"/>
      <c r="J87" s="1173"/>
      <c r="K87" s="1173"/>
      <c r="L87" s="1173"/>
      <c r="M87" s="1173"/>
      <c r="N87" s="1173"/>
      <c r="O87" s="1173"/>
      <c r="P87" s="1173"/>
      <c r="Q87" s="1173"/>
      <c r="R87" s="1173"/>
      <c r="S87" s="1173"/>
      <c r="T87" s="1173"/>
      <c r="U87" s="1173"/>
      <c r="V87" s="1173"/>
      <c r="W87" s="1173"/>
      <c r="X87" s="1173"/>
      <c r="Y87" s="1173"/>
      <c r="Z87" s="1173"/>
      <c r="AA87" s="1173"/>
      <c r="AB87" s="1173"/>
      <c r="AC87" s="1173"/>
      <c r="AD87" s="1173"/>
      <c r="AE87" s="1173"/>
      <c r="AF87" s="1173"/>
      <c r="AG87" s="683"/>
      <c r="AH87" s="262"/>
      <c r="AI87" s="262"/>
      <c r="AJ87" s="262"/>
      <c r="AK87" s="262"/>
      <c r="AL87" s="638"/>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7"/>
      <c r="BN87" s="227"/>
      <c r="BO87" s="227"/>
      <c r="BP87" s="227"/>
      <c r="BQ87" s="227"/>
      <c r="BR87" s="227"/>
      <c r="BS87" s="227"/>
      <c r="BT87" s="227"/>
      <c r="BU87" s="227"/>
      <c r="BV87" s="227"/>
      <c r="BW87" s="227"/>
      <c r="BX87" s="227"/>
      <c r="BY87" s="227"/>
      <c r="BZ87" s="227"/>
      <c r="CA87" s="227"/>
      <c r="CB87" s="227"/>
      <c r="CC87" s="227"/>
      <c r="CD87" s="227"/>
      <c r="CE87" s="227"/>
      <c r="CF87" s="227"/>
      <c r="CG87" s="227"/>
      <c r="CH87" s="227"/>
      <c r="CI87" s="227"/>
      <c r="CJ87" s="227"/>
      <c r="CK87" s="227"/>
      <c r="CL87" s="227"/>
      <c r="CM87" s="227"/>
      <c r="CN87" s="227"/>
      <c r="CO87" s="227"/>
      <c r="CP87" s="227"/>
      <c r="CQ87" s="227"/>
      <c r="CR87" s="227"/>
      <c r="CS87" s="227"/>
    </row>
    <row r="88" spans="1:97" ht="66" customHeight="1" x14ac:dyDescent="0.25">
      <c r="A88" s="515" t="s">
        <v>1013</v>
      </c>
      <c r="B88" s="1168" t="s">
        <v>2664</v>
      </c>
      <c r="C88" s="1168"/>
      <c r="D88" s="1168"/>
      <c r="E88" s="1168"/>
      <c r="F88" s="1168"/>
      <c r="G88" s="1168"/>
      <c r="H88" s="1168"/>
      <c r="I88" s="1168"/>
      <c r="J88" s="1168"/>
      <c r="K88" s="1168"/>
      <c r="L88" s="1168"/>
      <c r="M88" s="1168"/>
      <c r="N88" s="1168"/>
      <c r="O88" s="1168"/>
      <c r="P88" s="1168"/>
      <c r="Q88" s="1168"/>
      <c r="R88" s="1168"/>
      <c r="S88" s="1168"/>
      <c r="T88" s="1168"/>
      <c r="U88" s="1168"/>
      <c r="V88" s="1168"/>
      <c r="W88" s="1168"/>
      <c r="X88" s="1168"/>
      <c r="Y88" s="1168"/>
      <c r="Z88" s="1168"/>
      <c r="AA88" s="1168"/>
      <c r="AB88" s="1168"/>
      <c r="AC88" s="1168"/>
      <c r="AD88" s="1168"/>
      <c r="AE88" s="1168"/>
      <c r="AF88" s="1168"/>
      <c r="AH88" s="262"/>
      <c r="AI88" s="262"/>
      <c r="AJ88" s="262"/>
      <c r="AK88" s="262"/>
      <c r="AL88" s="262"/>
      <c r="AM88" s="262"/>
      <c r="AN88" s="262"/>
      <c r="AO88" s="262"/>
      <c r="AP88" s="262"/>
      <c r="AQ88" s="262"/>
      <c r="AR88" s="262"/>
      <c r="AS88" s="262"/>
      <c r="AT88" s="262"/>
      <c r="AU88" s="262"/>
      <c r="AV88" s="262"/>
      <c r="AW88" s="262"/>
      <c r="AX88" s="262"/>
      <c r="AY88" s="262"/>
      <c r="AZ88" s="262"/>
      <c r="BA88" s="262"/>
      <c r="BB88" s="262"/>
      <c r="BC88" s="262"/>
      <c r="BD88" s="262"/>
      <c r="BE88" s="262"/>
      <c r="BF88" s="262"/>
      <c r="BG88" s="262"/>
      <c r="BH88" s="262"/>
      <c r="BI88" s="262"/>
      <c r="BJ88" s="262"/>
      <c r="BK88" s="262"/>
      <c r="BL88" s="262"/>
      <c r="BM88" s="262"/>
      <c r="BN88" s="262"/>
      <c r="BO88" s="262"/>
      <c r="BP88" s="262"/>
      <c r="BQ88" s="262"/>
      <c r="BR88" s="262"/>
      <c r="BS88" s="262"/>
      <c r="BT88" s="262"/>
      <c r="BU88" s="262"/>
      <c r="BV88" s="262"/>
      <c r="BW88" s="262"/>
      <c r="BX88" s="262"/>
      <c r="BY88" s="262"/>
      <c r="BZ88" s="262"/>
      <c r="CA88" s="262"/>
      <c r="CB88" s="262"/>
      <c r="CC88" s="262"/>
      <c r="CD88" s="262"/>
      <c r="CE88" s="262"/>
      <c r="CF88" s="262"/>
      <c r="CG88" s="262"/>
      <c r="CH88" s="262"/>
      <c r="CI88" s="262"/>
      <c r="CJ88" s="262"/>
      <c r="CK88" s="262"/>
      <c r="CL88" s="262"/>
      <c r="CM88" s="262"/>
      <c r="CN88" s="262"/>
      <c r="CO88" s="262"/>
      <c r="CP88" s="262"/>
      <c r="CQ88" s="262"/>
      <c r="CR88" s="262"/>
      <c r="CS88" s="262"/>
    </row>
    <row r="89" spans="1:97" ht="67.5" customHeight="1" x14ac:dyDescent="0.25">
      <c r="A89" s="517" t="s">
        <v>1013</v>
      </c>
      <c r="B89" s="1168" t="s">
        <v>2872</v>
      </c>
      <c r="C89" s="1168"/>
      <c r="D89" s="1168"/>
      <c r="E89" s="1168"/>
      <c r="F89" s="1168"/>
      <c r="G89" s="1168"/>
      <c r="H89" s="1168"/>
      <c r="I89" s="1168"/>
      <c r="J89" s="1168"/>
      <c r="K89" s="1168"/>
      <c r="L89" s="1168"/>
      <c r="M89" s="1168"/>
      <c r="N89" s="1168"/>
      <c r="O89" s="1168"/>
      <c r="P89" s="1168"/>
      <c r="Q89" s="1168"/>
      <c r="R89" s="1168"/>
      <c r="S89" s="1168"/>
      <c r="T89" s="1168"/>
      <c r="U89" s="1168"/>
      <c r="V89" s="1168"/>
      <c r="W89" s="1168"/>
      <c r="X89" s="1168"/>
      <c r="Y89" s="1168"/>
      <c r="Z89" s="1168"/>
      <c r="AA89" s="1168"/>
      <c r="AB89" s="1168"/>
      <c r="AC89" s="1168"/>
      <c r="AD89" s="1168"/>
      <c r="AE89" s="1168"/>
      <c r="AF89" s="1168"/>
      <c r="AH89" s="262"/>
      <c r="AI89" s="262"/>
      <c r="AJ89" s="262"/>
      <c r="AK89" s="262"/>
      <c r="AL89" s="262"/>
      <c r="AM89" s="262"/>
      <c r="AN89" s="262"/>
      <c r="AO89" s="262"/>
      <c r="AP89" s="262"/>
      <c r="AQ89" s="262"/>
      <c r="AR89" s="262"/>
      <c r="AS89" s="262"/>
      <c r="AT89" s="262"/>
      <c r="AU89" s="262"/>
      <c r="AV89" s="262"/>
      <c r="AW89" s="262"/>
      <c r="AX89" s="262"/>
      <c r="AY89" s="262"/>
      <c r="AZ89" s="262"/>
      <c r="BA89" s="262"/>
      <c r="BB89" s="262"/>
      <c r="BC89" s="262"/>
      <c r="BD89" s="262"/>
      <c r="BE89" s="262"/>
      <c r="BF89" s="262"/>
      <c r="BG89" s="262"/>
      <c r="BH89" s="262"/>
      <c r="BI89" s="262"/>
      <c r="BJ89" s="262"/>
      <c r="BK89" s="262"/>
      <c r="BL89" s="262"/>
      <c r="BM89" s="262"/>
      <c r="BN89" s="262"/>
      <c r="BO89" s="262"/>
      <c r="BP89" s="262"/>
      <c r="BQ89" s="262"/>
      <c r="BR89" s="262"/>
      <c r="BS89" s="262"/>
      <c r="BT89" s="262"/>
      <c r="BU89" s="262"/>
      <c r="BV89" s="262"/>
      <c r="BW89" s="262"/>
      <c r="BX89" s="262"/>
      <c r="BY89" s="262"/>
      <c r="BZ89" s="262"/>
      <c r="CA89" s="262"/>
      <c r="CB89" s="262"/>
      <c r="CC89" s="262"/>
      <c r="CD89" s="262"/>
      <c r="CE89" s="262"/>
      <c r="CF89" s="262"/>
      <c r="CG89" s="262"/>
      <c r="CH89" s="262"/>
      <c r="CI89" s="262"/>
      <c r="CJ89" s="262"/>
      <c r="CK89" s="262"/>
      <c r="CL89" s="262"/>
      <c r="CM89" s="262"/>
      <c r="CN89" s="262"/>
      <c r="CO89" s="262"/>
      <c r="CP89" s="262"/>
      <c r="CQ89" s="262"/>
      <c r="CR89" s="262"/>
      <c r="CS89" s="262"/>
    </row>
    <row r="90" spans="1:97" ht="15" customHeight="1" x14ac:dyDescent="0.25">
      <c r="A90" s="262"/>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262"/>
      <c r="AF90" s="262"/>
    </row>
    <row r="91" spans="1:97" ht="15" customHeight="1" x14ac:dyDescent="0.25">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262"/>
    </row>
    <row r="92" spans="1:97" ht="15" customHeight="1" x14ac:dyDescent="0.25">
      <c r="A92" s="262"/>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62"/>
      <c r="AE92" s="262"/>
      <c r="AF92" s="262"/>
    </row>
    <row r="93" spans="1:97" ht="15" customHeight="1" x14ac:dyDescent="0.25">
      <c r="A93" s="262"/>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c r="AE93" s="262"/>
      <c r="AF93" s="262"/>
    </row>
    <row r="94" spans="1:97" ht="15" customHeight="1" x14ac:dyDescent="0.25">
      <c r="A94" s="262"/>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62"/>
      <c r="AE94" s="262"/>
      <c r="AF94" s="262"/>
    </row>
    <row r="95" spans="1:97" ht="15" customHeight="1" x14ac:dyDescent="0.25">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262"/>
      <c r="AF95" s="262"/>
    </row>
    <row r="96" spans="1:97" ht="15" customHeight="1" x14ac:dyDescent="0.25">
      <c r="A96" s="262"/>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62"/>
      <c r="AE96" s="262"/>
      <c r="AF96" s="262"/>
    </row>
    <row r="97" spans="1:32" ht="15" customHeight="1" x14ac:dyDescent="0.25">
      <c r="A97" s="262"/>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2"/>
      <c r="AE97" s="262"/>
      <c r="AF97" s="262"/>
    </row>
    <row r="98" spans="1:32" ht="15" customHeight="1" x14ac:dyDescent="0.25">
      <c r="A98" s="262"/>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262"/>
      <c r="AE98" s="262"/>
      <c r="AF98" s="262"/>
    </row>
    <row r="99" spans="1:32" ht="15" customHeight="1" x14ac:dyDescent="0.25">
      <c r="A99" s="262"/>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2"/>
      <c r="AE99" s="262"/>
      <c r="AF99" s="262"/>
    </row>
    <row r="100" spans="1:32" ht="15" customHeight="1" x14ac:dyDescent="0.25">
      <c r="A100" s="262"/>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262"/>
      <c r="AE100" s="262"/>
      <c r="AF100" s="262"/>
    </row>
    <row r="101" spans="1:32" ht="15" customHeight="1" x14ac:dyDescent="0.25">
      <c r="A101" s="262"/>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F101" s="262"/>
    </row>
    <row r="102" spans="1:32" ht="15" customHeight="1" x14ac:dyDescent="0.25">
      <c r="A102" s="262"/>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62"/>
      <c r="AE102" s="262"/>
      <c r="AF102" s="262"/>
    </row>
    <row r="103" spans="1:32" ht="15" customHeight="1" x14ac:dyDescent="0.25">
      <c r="A103" s="262"/>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2"/>
      <c r="AE103" s="262"/>
      <c r="AF103" s="262"/>
    </row>
    <row r="104" spans="1:32" ht="15" customHeight="1" x14ac:dyDescent="0.25">
      <c r="A104" s="262"/>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62"/>
      <c r="AE104" s="262"/>
      <c r="AF104" s="262"/>
    </row>
    <row r="105" spans="1:32" ht="15" customHeight="1" x14ac:dyDescent="0.25">
      <c r="A105" s="262"/>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62"/>
      <c r="AE105" s="262"/>
      <c r="AF105" s="262"/>
    </row>
    <row r="106" spans="1:32" ht="15" customHeight="1" x14ac:dyDescent="0.25">
      <c r="A106" s="262"/>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62"/>
      <c r="AE106" s="262"/>
      <c r="AF106" s="262"/>
    </row>
    <row r="107" spans="1:32" ht="15" customHeight="1" x14ac:dyDescent="0.25">
      <c r="A107" s="262"/>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62"/>
      <c r="AE107" s="262"/>
      <c r="AF107" s="262"/>
    </row>
    <row r="108" spans="1:32" ht="15" customHeight="1" x14ac:dyDescent="0.25">
      <c r="A108" s="262"/>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62"/>
      <c r="AE108" s="262"/>
      <c r="AF108" s="262"/>
    </row>
    <row r="109" spans="1:32" ht="15" customHeight="1" x14ac:dyDescent="0.25">
      <c r="A109" s="262"/>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62"/>
      <c r="AE109" s="262"/>
      <c r="AF109" s="262"/>
    </row>
    <row r="110" spans="1:32" ht="15" customHeight="1" x14ac:dyDescent="0.25">
      <c r="A110" s="262"/>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62"/>
      <c r="AE110" s="262"/>
      <c r="AF110" s="262"/>
    </row>
    <row r="111" spans="1:32" ht="15" customHeight="1" x14ac:dyDescent="0.25">
      <c r="A111" s="262"/>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262"/>
      <c r="AF111" s="262"/>
    </row>
    <row r="112" spans="1:32" ht="15" customHeight="1" x14ac:dyDescent="0.25">
      <c r="A112" s="262"/>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62"/>
      <c r="AE112" s="262"/>
      <c r="AF112" s="262"/>
    </row>
    <row r="113" spans="1:32" ht="15" customHeight="1" x14ac:dyDescent="0.25">
      <c r="A113" s="262"/>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62"/>
    </row>
    <row r="114" spans="1:32" ht="15" customHeight="1" x14ac:dyDescent="0.25">
      <c r="A114" s="262"/>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62"/>
      <c r="AE114" s="262"/>
      <c r="AF114" s="262"/>
    </row>
    <row r="115" spans="1:32" ht="15" customHeight="1" x14ac:dyDescent="0.25">
      <c r="A115" s="262"/>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62"/>
      <c r="AE115" s="262"/>
      <c r="AF115" s="262"/>
    </row>
    <row r="116" spans="1:32" ht="15" customHeight="1" x14ac:dyDescent="0.25">
      <c r="A116" s="262"/>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62"/>
      <c r="AE116" s="262"/>
      <c r="AF116" s="262"/>
    </row>
    <row r="117" spans="1:32" ht="15" customHeight="1" x14ac:dyDescent="0.25">
      <c r="A117" s="262"/>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62"/>
      <c r="AE117" s="262"/>
      <c r="AF117" s="262"/>
    </row>
    <row r="118" spans="1:32" ht="15" customHeight="1" x14ac:dyDescent="0.25">
      <c r="A118" s="262"/>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62"/>
      <c r="AE118" s="262"/>
      <c r="AF118" s="262"/>
    </row>
    <row r="119" spans="1:32" ht="15" customHeight="1" x14ac:dyDescent="0.25">
      <c r="A119" s="262"/>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62"/>
      <c r="AE119" s="262"/>
      <c r="AF119" s="262"/>
    </row>
    <row r="120" spans="1:32" ht="15" customHeight="1" x14ac:dyDescent="0.25">
      <c r="A120" s="262"/>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262"/>
      <c r="AF120" s="262"/>
    </row>
    <row r="121" spans="1:32" ht="15" customHeight="1" x14ac:dyDescent="0.25">
      <c r="A121" s="262"/>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62"/>
      <c r="AE121" s="262"/>
      <c r="AF121" s="262"/>
    </row>
    <row r="122" spans="1:32" ht="15" customHeight="1" x14ac:dyDescent="0.25">
      <c r="A122" s="262"/>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c r="AA122" s="262"/>
      <c r="AB122" s="262"/>
      <c r="AC122" s="262"/>
      <c r="AD122" s="262"/>
      <c r="AE122" s="262"/>
      <c r="AF122" s="262"/>
    </row>
    <row r="123" spans="1:32" ht="15" customHeight="1" x14ac:dyDescent="0.25">
      <c r="A123" s="262"/>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62"/>
      <c r="AE123" s="262"/>
      <c r="AF123" s="262"/>
    </row>
    <row r="124" spans="1:32" ht="15" customHeight="1" x14ac:dyDescent="0.25">
      <c r="A124" s="262"/>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F124" s="262"/>
    </row>
    <row r="125" spans="1:32" ht="15" customHeight="1" x14ac:dyDescent="0.25">
      <c r="A125" s="262"/>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62"/>
      <c r="AE125" s="262"/>
      <c r="AF125" s="262"/>
    </row>
    <row r="126" spans="1:32" ht="15" customHeight="1" x14ac:dyDescent="0.25">
      <c r="A126" s="262"/>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c r="AA126" s="262"/>
      <c r="AB126" s="262"/>
      <c r="AC126" s="262"/>
      <c r="AD126" s="262"/>
      <c r="AE126" s="262"/>
      <c r="AF126" s="262"/>
    </row>
    <row r="127" spans="1:32" ht="15" customHeight="1" x14ac:dyDescent="0.25">
      <c r="A127" s="262"/>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c r="AA127" s="262"/>
      <c r="AB127" s="262"/>
      <c r="AC127" s="262"/>
      <c r="AD127" s="262"/>
      <c r="AE127" s="262"/>
      <c r="AF127" s="262"/>
    </row>
    <row r="128" spans="1:32" ht="15" customHeight="1" x14ac:dyDescent="0.25">
      <c r="A128" s="262"/>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row>
    <row r="129" spans="1:32" ht="15" customHeight="1" x14ac:dyDescent="0.25">
      <c r="A129" s="262"/>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62"/>
      <c r="AE129" s="262"/>
      <c r="AF129" s="262"/>
    </row>
    <row r="130" spans="1:32" ht="15" customHeight="1" x14ac:dyDescent="0.25">
      <c r="A130" s="262"/>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262"/>
      <c r="AE130" s="262"/>
      <c r="AF130" s="262"/>
    </row>
    <row r="131" spans="1:32" ht="15" customHeight="1" x14ac:dyDescent="0.25">
      <c r="A131" s="262"/>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62"/>
      <c r="AE131" s="262"/>
      <c r="AF131" s="262"/>
    </row>
    <row r="132" spans="1:32" ht="15" customHeight="1" x14ac:dyDescent="0.25">
      <c r="A132" s="262"/>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262"/>
      <c r="AE132" s="262"/>
      <c r="AF132" s="262"/>
    </row>
    <row r="133" spans="1:32" ht="15" customHeight="1" x14ac:dyDescent="0.25">
      <c r="A133" s="262"/>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62"/>
      <c r="AE133" s="262"/>
      <c r="AF133" s="262"/>
    </row>
    <row r="134" spans="1:32" ht="15" customHeight="1" x14ac:dyDescent="0.25">
      <c r="A134" s="262"/>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62"/>
      <c r="AE134" s="262"/>
      <c r="AF134" s="262"/>
    </row>
    <row r="135" spans="1:32" ht="15" customHeight="1" x14ac:dyDescent="0.25">
      <c r="A135" s="262"/>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62"/>
      <c r="AE135" s="262"/>
      <c r="AF135" s="262"/>
    </row>
    <row r="136" spans="1:32" ht="15" customHeight="1" x14ac:dyDescent="0.25">
      <c r="A136" s="262"/>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F136" s="262"/>
    </row>
    <row r="137" spans="1:32" ht="15" customHeight="1" x14ac:dyDescent="0.25">
      <c r="A137" s="262"/>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62"/>
      <c r="AE137" s="262"/>
      <c r="AF137" s="262"/>
    </row>
    <row r="138" spans="1:32" ht="15" customHeight="1" x14ac:dyDescent="0.25">
      <c r="A138" s="262"/>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62"/>
      <c r="AE138" s="262"/>
      <c r="AF138" s="262"/>
    </row>
    <row r="139" spans="1:32" ht="15" customHeight="1" x14ac:dyDescent="0.25">
      <c r="A139" s="262"/>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62"/>
      <c r="AE139" s="262"/>
      <c r="AF139" s="262"/>
    </row>
    <row r="140" spans="1:32" ht="15" customHeight="1" x14ac:dyDescent="0.25">
      <c r="A140" s="262"/>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62"/>
      <c r="AE140" s="262"/>
      <c r="AF140" s="262"/>
    </row>
    <row r="141" spans="1:32" ht="15" customHeight="1" x14ac:dyDescent="0.25">
      <c r="A141" s="262"/>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62"/>
      <c r="AE141" s="262"/>
      <c r="AF141" s="262"/>
    </row>
    <row r="142" spans="1:32" ht="15" customHeight="1" x14ac:dyDescent="0.25">
      <c r="A142" s="262"/>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62"/>
      <c r="AE142" s="262"/>
      <c r="AF142" s="262"/>
    </row>
    <row r="143" spans="1:32" ht="15" customHeight="1" x14ac:dyDescent="0.25">
      <c r="A143" s="262"/>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62"/>
      <c r="AE143" s="262"/>
      <c r="AF143" s="262"/>
    </row>
    <row r="144" spans="1:32" ht="15" customHeight="1" x14ac:dyDescent="0.25">
      <c r="A144" s="262"/>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62"/>
      <c r="AE144" s="262"/>
      <c r="AF144" s="262"/>
    </row>
    <row r="145" spans="1:32" ht="15" customHeight="1" x14ac:dyDescent="0.25">
      <c r="A145" s="262"/>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c r="AA145" s="262"/>
      <c r="AB145" s="262"/>
      <c r="AC145" s="262"/>
      <c r="AD145" s="262"/>
      <c r="AE145" s="262"/>
      <c r="AF145" s="262"/>
    </row>
    <row r="146" spans="1:32" ht="15" customHeight="1" x14ac:dyDescent="0.25">
      <c r="A146" s="262"/>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262"/>
      <c r="AE146" s="262"/>
      <c r="AF146" s="262"/>
    </row>
    <row r="147" spans="1:32" ht="15" customHeight="1" x14ac:dyDescent="0.25">
      <c r="A147" s="262"/>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62"/>
      <c r="AE147" s="262"/>
      <c r="AF147" s="262"/>
    </row>
    <row r="148" spans="1:32" ht="15" customHeight="1" x14ac:dyDescent="0.25">
      <c r="A148" s="262"/>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62"/>
      <c r="AE148" s="262"/>
      <c r="AF148" s="262"/>
    </row>
    <row r="149" spans="1:32" ht="15" customHeight="1" x14ac:dyDescent="0.25">
      <c r="A149" s="262"/>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262"/>
      <c r="AE149" s="262"/>
      <c r="AF149" s="262"/>
    </row>
    <row r="150" spans="1:32" ht="15" customHeight="1" x14ac:dyDescent="0.25">
      <c r="A150" s="262"/>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262"/>
      <c r="AE150" s="262"/>
      <c r="AF150" s="262"/>
    </row>
    <row r="151" spans="1:32" ht="15" customHeight="1" x14ac:dyDescent="0.25">
      <c r="A151" s="262"/>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262"/>
      <c r="AE151" s="262"/>
      <c r="AF151" s="262"/>
    </row>
    <row r="152" spans="1:32" ht="15" customHeight="1" x14ac:dyDescent="0.25">
      <c r="A152" s="262"/>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262"/>
      <c r="AF152" s="262"/>
    </row>
    <row r="153" spans="1:32" ht="15" customHeight="1" x14ac:dyDescent="0.25">
      <c r="A153" s="262"/>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262"/>
      <c r="AF153" s="262"/>
    </row>
    <row r="154" spans="1:32" ht="15" customHeight="1" x14ac:dyDescent="0.25">
      <c r="A154" s="262"/>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F154" s="262"/>
    </row>
    <row r="155" spans="1:32" ht="15" customHeight="1" x14ac:dyDescent="0.25">
      <c r="A155" s="262"/>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row>
    <row r="156" spans="1:32" ht="15" customHeight="1" x14ac:dyDescent="0.25">
      <c r="A156" s="262"/>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62"/>
      <c r="AE156" s="262"/>
      <c r="AF156" s="262"/>
    </row>
    <row r="157" spans="1:32" ht="15" customHeight="1" x14ac:dyDescent="0.25">
      <c r="A157" s="262"/>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262"/>
      <c r="AF157" s="262"/>
    </row>
    <row r="158" spans="1:32" ht="15" customHeight="1" x14ac:dyDescent="0.25">
      <c r="A158" s="262"/>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c r="AA158" s="262"/>
      <c r="AB158" s="262"/>
      <c r="AC158" s="262"/>
      <c r="AD158" s="262"/>
      <c r="AE158" s="262"/>
      <c r="AF158" s="262"/>
    </row>
    <row r="159" spans="1:32" ht="15" customHeight="1" x14ac:dyDescent="0.25">
      <c r="A159" s="262"/>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c r="Z159" s="262"/>
      <c r="AA159" s="262"/>
      <c r="AB159" s="262"/>
      <c r="AC159" s="262"/>
      <c r="AD159" s="262"/>
      <c r="AE159" s="262"/>
      <c r="AF159" s="262"/>
    </row>
    <row r="160" spans="1:32" ht="15" customHeight="1" x14ac:dyDescent="0.25">
      <c r="A160" s="262"/>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row>
    <row r="161" spans="1:32" ht="15" customHeight="1" x14ac:dyDescent="0.25">
      <c r="A161" s="262"/>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row>
    <row r="162" spans="1:32" ht="15" customHeight="1" x14ac:dyDescent="0.25">
      <c r="A162" s="262"/>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s="262"/>
    </row>
    <row r="163" spans="1:32" ht="15" customHeight="1" x14ac:dyDescent="0.25">
      <c r="A163" s="262"/>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62"/>
      <c r="AE163" s="262"/>
      <c r="AF163" s="262"/>
    </row>
    <row r="164" spans="1:32" ht="15" customHeight="1" x14ac:dyDescent="0.25">
      <c r="A164" s="262"/>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62"/>
      <c r="AE164" s="262"/>
      <c r="AF164" s="262"/>
    </row>
    <row r="165" spans="1:32" ht="15" customHeight="1" x14ac:dyDescent="0.25">
      <c r="A165" s="262"/>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262"/>
      <c r="AE165" s="262"/>
      <c r="AF165" s="262"/>
    </row>
    <row r="166" spans="1:32" ht="15" customHeight="1" x14ac:dyDescent="0.25">
      <c r="A166" s="262"/>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row>
    <row r="167" spans="1:32" ht="15" customHeight="1" x14ac:dyDescent="0.25">
      <c r="A167" s="262"/>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row>
    <row r="168" spans="1:32" ht="15" customHeight="1" x14ac:dyDescent="0.25">
      <c r="A168" s="262"/>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row>
    <row r="169" spans="1:32" ht="15" customHeight="1" x14ac:dyDescent="0.25">
      <c r="A169" s="262"/>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row>
    <row r="170" spans="1:32" ht="15" customHeight="1" x14ac:dyDescent="0.25">
      <c r="A170" s="262"/>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62"/>
      <c r="AE170" s="262"/>
      <c r="AF170" s="262"/>
    </row>
    <row r="171" spans="1:32" ht="15" customHeight="1" x14ac:dyDescent="0.25">
      <c r="A171" s="262"/>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62"/>
      <c r="AE171" s="262"/>
      <c r="AF171" s="262"/>
    </row>
    <row r="172" spans="1:32" ht="15" customHeight="1" x14ac:dyDescent="0.25">
      <c r="A172" s="262"/>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62"/>
      <c r="AE172" s="262"/>
      <c r="AF172" s="262"/>
    </row>
    <row r="173" spans="1:32" ht="15" customHeight="1" x14ac:dyDescent="0.25">
      <c r="A173" s="262"/>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62"/>
      <c r="AE173" s="262"/>
      <c r="AF173" s="262"/>
    </row>
    <row r="174" spans="1:32" ht="15" customHeight="1" x14ac:dyDescent="0.25">
      <c r="A174" s="262"/>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62"/>
      <c r="AE174" s="262"/>
      <c r="AF174" s="262"/>
    </row>
    <row r="175" spans="1:32" ht="15" customHeight="1" x14ac:dyDescent="0.25">
      <c r="A175" s="262"/>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62"/>
      <c r="AE175" s="262"/>
      <c r="AF175" s="262"/>
    </row>
    <row r="176" spans="1:32" ht="15" customHeight="1" x14ac:dyDescent="0.25">
      <c r="A176" s="262"/>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262"/>
      <c r="AF176" s="262"/>
    </row>
    <row r="177" spans="1:32" ht="15" customHeight="1" x14ac:dyDescent="0.25">
      <c r="A177" s="262"/>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262"/>
      <c r="AE177" s="262"/>
      <c r="AF177" s="262"/>
    </row>
    <row r="178" spans="1:32" ht="15" customHeight="1" x14ac:dyDescent="0.25">
      <c r="A178" s="262"/>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c r="AD178" s="262"/>
      <c r="AE178" s="262"/>
      <c r="AF178" s="262"/>
    </row>
    <row r="179" spans="1:32" ht="15" customHeight="1" x14ac:dyDescent="0.25">
      <c r="A179" s="262"/>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262"/>
      <c r="AE179" s="262"/>
      <c r="AF179" s="262"/>
    </row>
    <row r="180" spans="1:32" ht="15" customHeight="1" x14ac:dyDescent="0.25">
      <c r="A180" s="262"/>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62"/>
      <c r="AE180" s="262"/>
      <c r="AF180" s="262"/>
    </row>
    <row r="181" spans="1:32" ht="15" customHeight="1" x14ac:dyDescent="0.25">
      <c r="A181" s="262"/>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262"/>
      <c r="AF181" s="262"/>
    </row>
    <row r="182" spans="1:32" ht="15" customHeight="1" x14ac:dyDescent="0.25">
      <c r="A182" s="262"/>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62"/>
      <c r="AE182" s="262"/>
      <c r="AF182" s="262"/>
    </row>
    <row r="183" spans="1:32" ht="15" customHeight="1" x14ac:dyDescent="0.25">
      <c r="A183" s="262"/>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62"/>
      <c r="AE183" s="262"/>
      <c r="AF183" s="262"/>
    </row>
    <row r="184" spans="1:32" ht="15" customHeight="1" x14ac:dyDescent="0.25">
      <c r="A184" s="262"/>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62"/>
      <c r="AE184" s="262"/>
      <c r="AF184" s="262"/>
    </row>
    <row r="185" spans="1:32" ht="15" customHeight="1" x14ac:dyDescent="0.25">
      <c r="A185" s="262"/>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F185" s="262"/>
    </row>
    <row r="186" spans="1:32" ht="15" customHeight="1" x14ac:dyDescent="0.25">
      <c r="A186" s="262"/>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62"/>
      <c r="AE186" s="262"/>
      <c r="AF186" s="262"/>
    </row>
    <row r="187" spans="1:32" ht="15" customHeight="1" x14ac:dyDescent="0.25">
      <c r="A187" s="262"/>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c r="AA187" s="262"/>
      <c r="AB187" s="262"/>
      <c r="AC187" s="262"/>
      <c r="AD187" s="262"/>
      <c r="AE187" s="262"/>
      <c r="AF187" s="262"/>
    </row>
    <row r="188" spans="1:32" ht="15" customHeight="1" x14ac:dyDescent="0.25">
      <c r="A188" s="262"/>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c r="AA188" s="262"/>
      <c r="AB188" s="262"/>
      <c r="AC188" s="262"/>
      <c r="AD188" s="262"/>
      <c r="AE188" s="262"/>
      <c r="AF188" s="262"/>
    </row>
    <row r="189" spans="1:32" ht="15" customHeight="1" x14ac:dyDescent="0.25">
      <c r="A189" s="262"/>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262"/>
      <c r="AE189" s="262"/>
      <c r="AF189" s="262"/>
    </row>
    <row r="190" spans="1:32" ht="15" customHeight="1" x14ac:dyDescent="0.25">
      <c r="A190" s="262"/>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62"/>
      <c r="AE190" s="262"/>
      <c r="AF190" s="262"/>
    </row>
    <row r="191" spans="1:32" ht="15" customHeight="1" x14ac:dyDescent="0.25">
      <c r="A191" s="262"/>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c r="AA191" s="262"/>
      <c r="AB191" s="262"/>
      <c r="AC191" s="262"/>
      <c r="AD191" s="262"/>
      <c r="AE191" s="262"/>
      <c r="AF191" s="262"/>
    </row>
    <row r="192" spans="1:32" ht="15" customHeight="1" x14ac:dyDescent="0.25">
      <c r="A192" s="262"/>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c r="AA192" s="262"/>
      <c r="AB192" s="262"/>
      <c r="AC192" s="262"/>
      <c r="AD192" s="262"/>
      <c r="AE192" s="262"/>
      <c r="AF192" s="262"/>
    </row>
    <row r="193" spans="1:32" ht="15" customHeight="1" x14ac:dyDescent="0.25">
      <c r="A193" s="262"/>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62"/>
      <c r="AE193" s="262"/>
      <c r="AF193" s="262"/>
    </row>
    <row r="194" spans="1:32" ht="15" customHeight="1" x14ac:dyDescent="0.25">
      <c r="A194" s="262"/>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62"/>
      <c r="AE194" s="262"/>
      <c r="AF194" s="262"/>
    </row>
    <row r="195" spans="1:32" ht="15" customHeight="1" x14ac:dyDescent="0.25">
      <c r="A195" s="262"/>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62"/>
      <c r="AE195" s="262"/>
      <c r="AF195" s="262"/>
    </row>
    <row r="196" spans="1:32" ht="15" customHeight="1" x14ac:dyDescent="0.25">
      <c r="A196" s="262"/>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62"/>
      <c r="AE196" s="262"/>
      <c r="AF196" s="262"/>
    </row>
    <row r="197" spans="1:32" ht="15" customHeight="1" x14ac:dyDescent="0.25">
      <c r="A197" s="262"/>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62"/>
      <c r="AE197" s="262"/>
      <c r="AF197" s="262"/>
    </row>
    <row r="198" spans="1:32" ht="15" customHeight="1" x14ac:dyDescent="0.25">
      <c r="A198" s="262"/>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62"/>
      <c r="AE198" s="262"/>
      <c r="AF198" s="262"/>
    </row>
    <row r="199" spans="1:32" ht="15" customHeight="1" x14ac:dyDescent="0.25">
      <c r="A199" s="262"/>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62"/>
      <c r="AE199" s="262"/>
      <c r="AF199" s="262"/>
    </row>
    <row r="200" spans="1:32" ht="15" customHeight="1" x14ac:dyDescent="0.25">
      <c r="A200" s="262"/>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62"/>
      <c r="AE200" s="262"/>
      <c r="AF200" s="262"/>
    </row>
    <row r="201" spans="1:32" ht="15" customHeight="1" x14ac:dyDescent="0.25">
      <c r="A201" s="262"/>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62"/>
      <c r="AE201" s="262"/>
      <c r="AF201" s="262"/>
    </row>
    <row r="202" spans="1:32" ht="15" customHeight="1" x14ac:dyDescent="0.25">
      <c r="A202" s="262"/>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62"/>
      <c r="AE202" s="262"/>
      <c r="AF202" s="262"/>
    </row>
    <row r="203" spans="1:32" ht="15" customHeight="1" x14ac:dyDescent="0.25">
      <c r="A203" s="262"/>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62"/>
      <c r="AE203" s="262"/>
      <c r="AF203" s="262"/>
    </row>
    <row r="204" spans="1:32" ht="15" customHeight="1" x14ac:dyDescent="0.25">
      <c r="A204" s="262"/>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62"/>
      <c r="AE204" s="262"/>
      <c r="AF204" s="262"/>
    </row>
    <row r="205" spans="1:32" ht="15" customHeight="1" x14ac:dyDescent="0.25">
      <c r="A205" s="262"/>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62"/>
      <c r="AE205" s="262"/>
      <c r="AF205" s="262"/>
    </row>
    <row r="206" spans="1:32" ht="15" customHeight="1" x14ac:dyDescent="0.25">
      <c r="A206" s="262"/>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62"/>
      <c r="AE206" s="262"/>
      <c r="AF206" s="262"/>
    </row>
    <row r="207" spans="1:32" ht="15" customHeight="1" x14ac:dyDescent="0.25">
      <c r="A207" s="262"/>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62"/>
      <c r="AE207" s="262"/>
      <c r="AF207" s="262"/>
    </row>
    <row r="208" spans="1:32" ht="15" customHeight="1" x14ac:dyDescent="0.25">
      <c r="A208" s="262"/>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62"/>
      <c r="AE208" s="262"/>
      <c r="AF208" s="262"/>
    </row>
    <row r="209" spans="1:32" ht="15" customHeight="1" x14ac:dyDescent="0.25">
      <c r="A209" s="262"/>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62"/>
      <c r="AE209" s="262"/>
      <c r="AF209" s="262"/>
    </row>
    <row r="210" spans="1:32" ht="15" customHeight="1" x14ac:dyDescent="0.25">
      <c r="A210" s="262"/>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62"/>
      <c r="AE210" s="262"/>
      <c r="AF210" s="262"/>
    </row>
    <row r="211" spans="1:32" ht="15" customHeight="1" x14ac:dyDescent="0.25">
      <c r="A211" s="262"/>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62"/>
      <c r="AE211" s="262"/>
      <c r="AF211" s="262"/>
    </row>
    <row r="212" spans="1:32" ht="15" customHeight="1" x14ac:dyDescent="0.25">
      <c r="A212" s="262"/>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62"/>
      <c r="AE212" s="262"/>
      <c r="AF212" s="262"/>
    </row>
    <row r="213" spans="1:32" ht="15" customHeight="1" x14ac:dyDescent="0.25">
      <c r="A213" s="262"/>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62"/>
      <c r="AE213" s="262"/>
      <c r="AF213" s="262"/>
    </row>
    <row r="214" spans="1:32" ht="15" customHeight="1" x14ac:dyDescent="0.25">
      <c r="A214" s="262"/>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62"/>
      <c r="AE214" s="262"/>
      <c r="AF214" s="262"/>
    </row>
    <row r="215" spans="1:32" ht="15" customHeight="1" x14ac:dyDescent="0.25">
      <c r="A215" s="262"/>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262"/>
      <c r="AF215" s="262"/>
    </row>
    <row r="216" spans="1:32" ht="15" customHeight="1" x14ac:dyDescent="0.25">
      <c r="A216" s="262"/>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62"/>
      <c r="AE216" s="262"/>
      <c r="AF216" s="262"/>
    </row>
    <row r="217" spans="1:32" ht="15" customHeight="1" x14ac:dyDescent="0.25">
      <c r="A217" s="262"/>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262"/>
      <c r="AE217" s="262"/>
      <c r="AF217" s="262"/>
    </row>
    <row r="218" spans="1:32" ht="15" customHeight="1" x14ac:dyDescent="0.25"/>
    <row r="219" spans="1:32" ht="15" customHeight="1" x14ac:dyDescent="0.25"/>
    <row r="220" spans="1:32" ht="15" customHeight="1" x14ac:dyDescent="0.25"/>
    <row r="221" spans="1:32" ht="15" customHeight="1" x14ac:dyDescent="0.25"/>
    <row r="222" spans="1:32" ht="15" customHeight="1" x14ac:dyDescent="0.25"/>
    <row r="223" spans="1:32" ht="15" customHeight="1" x14ac:dyDescent="0.25"/>
    <row r="224" spans="1:32"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sheetData>
  <sheetProtection algorithmName="SHA-512" hashValue="6XXHR4FBwnRFzIgtYrNli4NUEzy+qTC+QTGVnVcYKJiaNdpqieRAzqy14dFb5AaJOyj5USyqfk2yd5rvCiC1VQ==" saltValue="nxkiZKaVGrfB4UI8uyiTQg==" spinCount="100000" sheet="1" objects="1" scenarios="1"/>
  <mergeCells count="85">
    <mergeCell ref="B87:AF87"/>
    <mergeCell ref="B88:AF88"/>
    <mergeCell ref="B89:AF89"/>
    <mergeCell ref="A81:AF81"/>
    <mergeCell ref="B82:AF82"/>
    <mergeCell ref="B83:AF83"/>
    <mergeCell ref="B84:AF84"/>
    <mergeCell ref="B85:AF85"/>
    <mergeCell ref="B86:AF86"/>
    <mergeCell ref="Q68:T68"/>
    <mergeCell ref="U68:W68"/>
    <mergeCell ref="X68:AF68"/>
    <mergeCell ref="A69:D69"/>
    <mergeCell ref="E69:P69"/>
    <mergeCell ref="Q69:T69"/>
    <mergeCell ref="U69:W69"/>
    <mergeCell ref="X69:AF69"/>
    <mergeCell ref="A68:D68"/>
    <mergeCell ref="E68:P68"/>
    <mergeCell ref="A70:D70"/>
    <mergeCell ref="E70:P70"/>
    <mergeCell ref="Q70:T70"/>
    <mergeCell ref="U70:W70"/>
    <mergeCell ref="X70:AF70"/>
    <mergeCell ref="A62:H62"/>
    <mergeCell ref="A64:AF64"/>
    <mergeCell ref="A65:D65"/>
    <mergeCell ref="E65:P65"/>
    <mergeCell ref="Q65:T65"/>
    <mergeCell ref="U65:W65"/>
    <mergeCell ref="A71:D71"/>
    <mergeCell ref="E71:P71"/>
    <mergeCell ref="Q71:T71"/>
    <mergeCell ref="U71:W71"/>
    <mergeCell ref="X71:AF71"/>
    <mergeCell ref="B78:S78"/>
    <mergeCell ref="T78:AA78"/>
    <mergeCell ref="A72:D72"/>
    <mergeCell ref="E72:P72"/>
    <mergeCell ref="Q72:T72"/>
    <mergeCell ref="U72:W72"/>
    <mergeCell ref="X72:AF72"/>
    <mergeCell ref="A73:D73"/>
    <mergeCell ref="E73:P73"/>
    <mergeCell ref="Q73:T73"/>
    <mergeCell ref="U73:W73"/>
    <mergeCell ref="X73:AF73"/>
    <mergeCell ref="A76:AF76"/>
    <mergeCell ref="C20:AF20"/>
    <mergeCell ref="C21:AF21"/>
    <mergeCell ref="A67:D67"/>
    <mergeCell ref="E67:P67"/>
    <mergeCell ref="Q67:T67"/>
    <mergeCell ref="U67:W67"/>
    <mergeCell ref="X67:AF67"/>
    <mergeCell ref="X65:AF65"/>
    <mergeCell ref="A66:D66"/>
    <mergeCell ref="E66:P66"/>
    <mergeCell ref="Q66:T66"/>
    <mergeCell ref="U66:W66"/>
    <mergeCell ref="X66:AF66"/>
    <mergeCell ref="B42:AF42"/>
    <mergeCell ref="B44:AF44"/>
    <mergeCell ref="A47:AF47"/>
    <mergeCell ref="B12:AF12"/>
    <mergeCell ref="B15:AF15"/>
    <mergeCell ref="B17:AF17"/>
    <mergeCell ref="C18:AF18"/>
    <mergeCell ref="C19:AF19"/>
    <mergeCell ref="A1:AF1"/>
    <mergeCell ref="A7:AF7"/>
    <mergeCell ref="B10:AF10"/>
    <mergeCell ref="A3:AF3"/>
    <mergeCell ref="B5:AF5"/>
    <mergeCell ref="C22:AF22"/>
    <mergeCell ref="A51:H51"/>
    <mergeCell ref="A56:H56"/>
    <mergeCell ref="B29:AF29"/>
    <mergeCell ref="B31:AF31"/>
    <mergeCell ref="B40:AF40"/>
    <mergeCell ref="C23:AF23"/>
    <mergeCell ref="B26:AF26"/>
    <mergeCell ref="B33:AF33"/>
    <mergeCell ref="B35:AF35"/>
    <mergeCell ref="B37:AF37"/>
  </mergeCells>
  <hyperlinks>
    <hyperlink ref="A2" location="TOC!A1" display="Return to TOC" xr:uid="{BBD3CE40-AA1A-433E-82E7-A619EF315879}"/>
    <hyperlink ref="Q67:T67" location="C_HVAC_VRF_WKST!A1" display="See Table 1 in C_HVAC_VRF_WKST" xr:uid="{7CE6DBEB-22D6-4401-B73B-D785D2475507}"/>
    <hyperlink ref="Q69:T69" location="C_HVAC_VRF_WKST!A1" display="See Table 1 in C_HVAC_VRF_WKST" xr:uid="{400EB11F-7477-4BA0-AF38-8E24E1A13649}"/>
    <hyperlink ref="Q71:T71" location="C_HVAC_VRF_WKST!A1" display="See Table 1 in C_HVAC_VRF_WKST" xr:uid="{2B37E6A1-2663-4092-A5F4-12C72957C8AA}"/>
    <hyperlink ref="Q72:T72" location="C_HVAC_VRF_WKST!A1" display="See Table 1 in C_HVAC_VRF_WKST" xr:uid="{8BEE056F-C6C7-4BBD-A4A6-B7823ED0E317}"/>
    <hyperlink ref="T78:AA78" location="C_HVAC_VRF_WKST!A1" display=" (C_HVAC_VRF_WKST)" xr:uid="{EE693A5D-9DE9-4C5A-B761-3F2D07CB5C7B}"/>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51:AF62" numberStoredAsText="1"/>
  </ignoredErrors>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79998168889431442"/>
    <pageSetUpPr autoPageBreaks="0" fitToPage="1"/>
  </sheetPr>
  <dimension ref="A1:CS173"/>
  <sheetViews>
    <sheetView showGridLines="0" zoomScaleNormal="100" workbookViewId="0"/>
  </sheetViews>
  <sheetFormatPr defaultRowHeight="15" x14ac:dyDescent="0.25"/>
  <cols>
    <col min="1" max="1" width="2.7109375" customWidth="1"/>
    <col min="2" max="2" width="39.140625" customWidth="1"/>
    <col min="3" max="3" width="38" customWidth="1"/>
    <col min="4" max="4" width="13.5703125" customWidth="1"/>
    <col min="5" max="5" width="15.7109375" customWidth="1"/>
    <col min="6" max="6" width="30.28515625" customWidth="1"/>
    <col min="7" max="8" width="15.7109375" customWidth="1"/>
    <col min="9" max="9" width="15.5703125" customWidth="1"/>
    <col min="10" max="12" width="15.7109375" customWidth="1"/>
    <col min="13" max="13" width="14" hidden="1" customWidth="1"/>
    <col min="14" max="14" width="14" style="584" hidden="1" customWidth="1"/>
    <col min="15" max="15" width="14" hidden="1" customWidth="1"/>
    <col min="16" max="19" width="14" style="227" hidden="1" customWidth="1"/>
    <col min="20" max="20" width="14" hidden="1" customWidth="1"/>
    <col min="21" max="21" width="14" style="227" customWidth="1"/>
    <col min="22" max="66" width="9.140625" style="227"/>
  </cols>
  <sheetData>
    <row r="1" spans="1:97" ht="23.25" x14ac:dyDescent="0.35">
      <c r="A1" s="666" t="s">
        <v>2894</v>
      </c>
      <c r="B1" s="667"/>
      <c r="C1" s="667"/>
      <c r="D1" s="667"/>
      <c r="E1" s="667"/>
      <c r="F1" s="667"/>
      <c r="G1" s="667"/>
      <c r="H1" s="667"/>
      <c r="I1" s="667"/>
      <c r="J1" s="667"/>
      <c r="K1" s="667"/>
      <c r="L1" s="667"/>
      <c r="M1" s="667"/>
      <c r="N1" s="667"/>
      <c r="O1" s="667"/>
      <c r="P1" s="667"/>
      <c r="Q1" s="667"/>
      <c r="R1" s="667"/>
      <c r="S1" s="667"/>
      <c r="T1" s="667"/>
      <c r="V1" s="423"/>
    </row>
    <row r="2" spans="1:97" s="1" customFormat="1"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3"/>
      <c r="V2" s="283"/>
      <c r="W2" s="283"/>
      <c r="X2" s="283"/>
      <c r="Y2" s="283"/>
      <c r="Z2" s="283"/>
      <c r="AA2" s="283"/>
      <c r="AB2" s="283"/>
      <c r="AC2" s="283"/>
      <c r="AD2" s="283"/>
      <c r="AE2" s="283"/>
      <c r="AF2" s="283"/>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row>
    <row r="3" spans="1:97" x14ac:dyDescent="0.25">
      <c r="B3" s="227"/>
      <c r="C3" s="227"/>
      <c r="D3" s="227"/>
      <c r="E3" s="227"/>
      <c r="F3" s="227"/>
      <c r="G3" s="227"/>
      <c r="H3" s="227"/>
      <c r="I3" s="227"/>
      <c r="J3" s="227"/>
      <c r="K3" s="227"/>
      <c r="L3" s="227"/>
      <c r="Q3" s="262"/>
      <c r="V3" s="638"/>
    </row>
    <row r="4" spans="1:97" x14ac:dyDescent="0.25">
      <c r="B4" s="737" t="s">
        <v>4574</v>
      </c>
      <c r="C4" s="227"/>
      <c r="D4" s="227"/>
      <c r="E4" s="227"/>
      <c r="F4" s="2139" t="s">
        <v>1284</v>
      </c>
      <c r="G4" s="2139"/>
      <c r="H4" s="227"/>
      <c r="I4" s="227"/>
      <c r="J4" s="2139" t="s">
        <v>1424</v>
      </c>
      <c r="K4" s="2139"/>
      <c r="L4" s="227"/>
      <c r="Q4" s="522" t="s">
        <v>6238</v>
      </c>
    </row>
    <row r="5" spans="1:97" x14ac:dyDescent="0.25">
      <c r="B5" s="227"/>
      <c r="C5" s="227"/>
      <c r="D5" s="227"/>
      <c r="E5" s="227"/>
      <c r="F5" s="227"/>
      <c r="G5" s="194" t="s">
        <v>2882</v>
      </c>
      <c r="H5" s="194" t="s">
        <v>2896</v>
      </c>
      <c r="I5" s="227"/>
      <c r="J5" s="227"/>
      <c r="K5" s="227"/>
      <c r="L5" s="227"/>
      <c r="Q5" s="522" t="s">
        <v>6239</v>
      </c>
    </row>
    <row r="6" spans="1:97" x14ac:dyDescent="0.25">
      <c r="B6" s="657" t="s">
        <v>3802</v>
      </c>
      <c r="C6" s="1070" t="s">
        <v>6238</v>
      </c>
      <c r="D6" s="227"/>
      <c r="E6" s="227"/>
      <c r="F6" s="753" t="s">
        <v>381</v>
      </c>
      <c r="G6" s="652" t="str">
        <f>IF(VLOOKUP($C$6,$B$56:$F$73,5,FALSE)="NA","NA",IF($C$9&gt;=INDEX($F$56:$F$73,MATCH($C$6&amp;" - "&amp;$G$9,$G$19:$G$36,0),1),"Pass","Fail"))</f>
        <v>NA</v>
      </c>
      <c r="H6" s="652" t="str">
        <f>IF($C$10&gt;=INDEX($D$56:$E$73,MATCH($C$6&amp;" - "&amp;$G$9,$G$19:$G$36,0),MATCH($D$10,$D$18:$E$18,0)),"Pass", "Fail")</f>
        <v>Pass</v>
      </c>
      <c r="I6" s="227"/>
      <c r="J6" s="657" t="s">
        <v>1283</v>
      </c>
      <c r="K6" s="2022">
        <f>INDEX($C$131:$D$141,MATCH($C$8,$B$131:$B$141,0),2)</f>
        <v>0.43</v>
      </c>
      <c r="L6" s="2022"/>
      <c r="Q6" s="522" t="s">
        <v>6240</v>
      </c>
    </row>
    <row r="7" spans="1:97" x14ac:dyDescent="0.25">
      <c r="B7" s="657" t="s">
        <v>4648</v>
      </c>
      <c r="C7" s="1076">
        <v>64000</v>
      </c>
      <c r="D7" s="227"/>
      <c r="E7" s="227"/>
      <c r="F7" s="753" t="s">
        <v>388</v>
      </c>
      <c r="G7" s="652" t="str">
        <f>IF(VLOOKUP($C$6,$B$93:$F$110,5,FALSE)="NA","NA",IF($C$9&gt;=INDEX($F$93:$F$110,MATCH($C$6&amp;" - "&amp;$G$9,$G$19:$G$36,0),1),"Pass","Fail"))</f>
        <v>NA</v>
      </c>
      <c r="H7" s="652" t="str">
        <f>IF($C$10&gt;=INDEX($D$93:$E$110,MATCH($C$6&amp;" - "&amp;$G$9,$G$19:$G$36,0),MATCH($D$10,$D$18:$E$18,0)),"Pass", "Fail")</f>
        <v>Fail</v>
      </c>
      <c r="I7" s="227"/>
      <c r="J7" s="657" t="s">
        <v>1282</v>
      </c>
      <c r="K7" s="2030">
        <f>INDEX($C$131:$D$141,MATCH($C$8,$B$131:$B$141,0),1)</f>
        <v>2549</v>
      </c>
      <c r="L7" s="2030"/>
      <c r="N7" s="692"/>
      <c r="Q7" s="522" t="s">
        <v>6241</v>
      </c>
    </row>
    <row r="8" spans="1:97" x14ac:dyDescent="0.25">
      <c r="B8" s="657" t="s">
        <v>3586</v>
      </c>
      <c r="C8" s="1070" t="s">
        <v>222</v>
      </c>
      <c r="D8" s="227"/>
      <c r="E8" s="227"/>
      <c r="F8" s="227"/>
      <c r="G8" s="227"/>
      <c r="H8" s="227"/>
      <c r="I8" s="227"/>
      <c r="J8" s="1013" t="s">
        <v>1423</v>
      </c>
      <c r="K8" s="2031">
        <f>ROUND(IF(OR($K$11=$F$6,$K$11=$F$7),$C$7/1000*(1/$G10-1/$C9)*$K6,0),3)</f>
        <v>0.622</v>
      </c>
      <c r="L8" s="2031"/>
      <c r="Q8" s="522" t="s">
        <v>6242</v>
      </c>
    </row>
    <row r="9" spans="1:97" ht="15" customHeight="1" x14ac:dyDescent="0.25">
      <c r="B9" s="625" t="s">
        <v>2898</v>
      </c>
      <c r="C9" s="1077">
        <v>15</v>
      </c>
      <c r="D9" s="460" t="s">
        <v>5709</v>
      </c>
      <c r="E9" s="227"/>
      <c r="F9" s="625" t="s">
        <v>2899</v>
      </c>
      <c r="G9" s="1874" t="str">
        <f>IF(C6=Q14,INDEX($R$31:$R$34,MATCH($C$7,$Q$31:$Q$34,1),1),IF(C6=Q4,INDEX($R$36:$R$38,MATCH($C$7,$Q$36:$Q$38,1),1),IF(OR(C6=Q15,C6=Q16,C6=Q17,C6=Q18),INDEX($R$40:$R$43,MATCH($C$7,$Q$40:$Q$43,1),1),IF(C6=Q19,INDEX($R$45:$R$47,MATCH($C$7,$Q$45:$Q$47,1),1),INDEX($R$26:$R$29,MATCH($C$7,$Q$26:$Q$29,1),1)))))</f>
        <v>≥ 45,000 and &lt; 65,000 Btu/h</v>
      </c>
      <c r="H9" s="1874"/>
      <c r="I9" s="227"/>
      <c r="J9" s="1013" t="s">
        <v>1281</v>
      </c>
      <c r="K9" s="2022">
        <f>ROUND(IF(OR($K$11=$F$6,$K$11=$F$7),$C$7/1000*(1/$G11-1/$C10)*$K7,0),2)</f>
        <v>1625.45</v>
      </c>
      <c r="L9" s="2022"/>
      <c r="Q9" s="522" t="s">
        <v>6243</v>
      </c>
    </row>
    <row r="10" spans="1:97" x14ac:dyDescent="0.25">
      <c r="B10" s="625" t="s">
        <v>2900</v>
      </c>
      <c r="C10" s="1077">
        <v>16</v>
      </c>
      <c r="D10" s="460" t="str">
        <f>IF($C$7&lt;65000, "SEER or SEER2","IEER")</f>
        <v>SEER or SEER2</v>
      </c>
      <c r="E10" s="227"/>
      <c r="F10" s="625" t="s">
        <v>2901</v>
      </c>
      <c r="G10" s="652">
        <f>INDEX($F$19:$F$36,MATCH($C$6&amp;" - "&amp;$G$9,$G$19:$G$36,0),1)</f>
        <v>11.2</v>
      </c>
      <c r="H10" s="652" t="s">
        <v>5709</v>
      </c>
      <c r="I10" s="227"/>
      <c r="J10" s="657" t="s">
        <v>2256</v>
      </c>
      <c r="K10" s="1285">
        <f>ROUND(K9*C_HVAC_VRF!$Q$73,2)</f>
        <v>32509</v>
      </c>
      <c r="L10" s="1285"/>
      <c r="M10" s="386" t="s">
        <v>6880</v>
      </c>
      <c r="Q10" s="522" t="s">
        <v>6244</v>
      </c>
    </row>
    <row r="11" spans="1:97" ht="15" customHeight="1" x14ac:dyDescent="0.25">
      <c r="B11" s="2028" t="s">
        <v>6245</v>
      </c>
      <c r="C11" s="227" t="str">
        <f>IF(AND(C6=Q14,C7&gt;134999),"Check Water-Source HP capacity","")</f>
        <v/>
      </c>
      <c r="D11" s="227"/>
      <c r="E11" s="227"/>
      <c r="F11" s="625" t="s">
        <v>2902</v>
      </c>
      <c r="G11" s="652">
        <f>INDEX($D$19:$E$36,MATCH($C$6&amp;" - "&amp;$G$9,$G$19:$G$36,0),MATCH($D$10,$D$18:$E$18,0))</f>
        <v>13.8</v>
      </c>
      <c r="H11" s="652" t="str">
        <f>IF($C$7&lt;65000, "SEER or SEER2","IEER")</f>
        <v>SEER or SEER2</v>
      </c>
      <c r="I11" s="227"/>
      <c r="J11" s="1013" t="s">
        <v>2258</v>
      </c>
      <c r="K11" s="2023" t="str">
        <f>IF(AND(OR(G7="Pass",G7="NA"),H7="Pass"),F7,IF(AND(OR(G6="Pass",G6="NA"),H6="Pass"),F6,"Does Not Qualify"))</f>
        <v>Tier 1</v>
      </c>
      <c r="L11" s="2023"/>
      <c r="Q11" s="522" t="s">
        <v>6246</v>
      </c>
    </row>
    <row r="12" spans="1:97" x14ac:dyDescent="0.25">
      <c r="B12" s="2028"/>
      <c r="C12" s="227" t="str">
        <f>IF(C7&gt;239999,"Use custom approach for capacities ≥ 240,000 Btu/h","")</f>
        <v/>
      </c>
      <c r="D12" s="227"/>
      <c r="E12" s="227"/>
      <c r="F12" s="227"/>
      <c r="G12" s="227"/>
      <c r="H12" s="227"/>
      <c r="I12" s="227"/>
      <c r="J12" s="227"/>
      <c r="K12" s="227"/>
      <c r="L12" s="227"/>
      <c r="Q12" s="522" t="s">
        <v>6247</v>
      </c>
    </row>
    <row r="13" spans="1:97" x14ac:dyDescent="0.25">
      <c r="B13" s="2028"/>
      <c r="C13" s="227" t="str">
        <f>IF(AND(C7&gt;64999,OR(C6=Q4,C6=Q5,C6=Q6,C6=Q7,C6=Q9,C6=Q10,C6=Q11,C6=Q12,C6=Q15,C6=Q16,C6=Q17,C6=Q18)),"Check capacity","")</f>
        <v/>
      </c>
      <c r="D13" s="227"/>
      <c r="E13" s="227"/>
      <c r="F13" s="227"/>
      <c r="G13" s="227"/>
      <c r="H13" s="227"/>
      <c r="I13" s="227"/>
      <c r="J13" s="227"/>
      <c r="K13" s="227"/>
      <c r="L13" s="227"/>
      <c r="Q13" s="522" t="s">
        <v>2886</v>
      </c>
    </row>
    <row r="14" spans="1:97" s="227" customFormat="1" x14ac:dyDescent="0.25">
      <c r="C14" s="227" t="str">
        <f>IF(AND(OR(C6=Q15,C6=Q16,C6=Q17,C6=Q18),F37&lt;0),"Check PTAC or PTHP capacity","")</f>
        <v/>
      </c>
      <c r="H14" s="423"/>
      <c r="O14"/>
      <c r="Q14" s="522" t="s">
        <v>3780</v>
      </c>
      <c r="T14"/>
    </row>
    <row r="15" spans="1:97" s="227" customFormat="1" x14ac:dyDescent="0.25">
      <c r="Q15" s="1009" t="s">
        <v>3804</v>
      </c>
      <c r="R15" s="227" t="s">
        <v>6881</v>
      </c>
      <c r="T15"/>
    </row>
    <row r="16" spans="1:97" s="227" customFormat="1" ht="18.75" x14ac:dyDescent="0.25">
      <c r="B16" s="283" t="s">
        <v>6882</v>
      </c>
      <c r="Q16" s="1009" t="s">
        <v>3805</v>
      </c>
      <c r="R16" s="227" t="s">
        <v>6881</v>
      </c>
      <c r="T16"/>
    </row>
    <row r="17" spans="2:40" s="227" customFormat="1" x14ac:dyDescent="0.25">
      <c r="B17" s="2024" t="s">
        <v>2879</v>
      </c>
      <c r="C17" s="2024" t="s">
        <v>2880</v>
      </c>
      <c r="D17" s="2026" t="s">
        <v>2881</v>
      </c>
      <c r="E17" s="2027"/>
      <c r="F17" s="653" t="s">
        <v>2903</v>
      </c>
      <c r="G17" s="194"/>
      <c r="H17" s="194"/>
      <c r="N17" s="584"/>
      <c r="Q17" s="1009" t="s">
        <v>3806</v>
      </c>
      <c r="R17" s="227" t="s">
        <v>6881</v>
      </c>
      <c r="T17"/>
    </row>
    <row r="18" spans="2:40" s="227" customFormat="1" x14ac:dyDescent="0.25">
      <c r="B18" s="2025"/>
      <c r="C18" s="2025"/>
      <c r="D18" s="524" t="s">
        <v>6249</v>
      </c>
      <c r="E18" s="524" t="s">
        <v>2883</v>
      </c>
      <c r="F18" s="524" t="s">
        <v>5709</v>
      </c>
      <c r="G18" s="194" t="s">
        <v>2904</v>
      </c>
      <c r="N18" s="584"/>
      <c r="Q18" s="1009" t="s">
        <v>3803</v>
      </c>
      <c r="R18" s="227" t="s">
        <v>6881</v>
      </c>
      <c r="T18"/>
    </row>
    <row r="19" spans="2:40" s="227" customFormat="1" x14ac:dyDescent="0.25">
      <c r="B19" s="653" t="s">
        <v>6238</v>
      </c>
      <c r="C19" s="653" t="s">
        <v>6250</v>
      </c>
      <c r="D19" s="918">
        <v>14.3</v>
      </c>
      <c r="E19" s="658" t="s">
        <v>2885</v>
      </c>
      <c r="F19" s="919">
        <v>11.7</v>
      </c>
      <c r="G19" s="227" t="str">
        <f t="shared" ref="G19:G50" si="0">B19&amp;" - "&amp;C19</f>
        <v>Single-Phase Split System AC - &lt; 45,000 Btu/h</v>
      </c>
      <c r="N19" s="584"/>
      <c r="Q19" s="1009" t="s">
        <v>3807</v>
      </c>
      <c r="R19" s="227" t="s">
        <v>6881</v>
      </c>
      <c r="T19"/>
    </row>
    <row r="20" spans="2:40" s="227" customFormat="1" x14ac:dyDescent="0.25">
      <c r="B20" s="653" t="s">
        <v>6238</v>
      </c>
      <c r="C20" s="653" t="s">
        <v>6251</v>
      </c>
      <c r="D20" s="918">
        <v>13.8</v>
      </c>
      <c r="E20" s="658" t="s">
        <v>2885</v>
      </c>
      <c r="F20" s="920">
        <v>11.2</v>
      </c>
      <c r="G20" s="227" t="str">
        <f t="shared" si="0"/>
        <v>Single-Phase Split System AC - ≥ 45,000 and &lt; 65,000 Btu/h</v>
      </c>
      <c r="N20" s="584"/>
      <c r="Q20" s="584"/>
      <c r="T20"/>
    </row>
    <row r="21" spans="2:40" s="227" customFormat="1" ht="15" customHeight="1" x14ac:dyDescent="0.25">
      <c r="B21" s="653" t="s">
        <v>6239</v>
      </c>
      <c r="C21" s="653" t="s">
        <v>2884</v>
      </c>
      <c r="D21" s="918">
        <v>13.4</v>
      </c>
      <c r="E21" s="658" t="s">
        <v>2885</v>
      </c>
      <c r="F21" s="920">
        <v>10.6</v>
      </c>
      <c r="G21" s="227" t="str">
        <f t="shared" si="0"/>
        <v>Single-Phase Single Package AC - &lt; 65,000 Btu/h</v>
      </c>
      <c r="N21" s="584"/>
      <c r="Q21" s="192" t="s">
        <v>2897</v>
      </c>
      <c r="T21"/>
      <c r="AI21" s="722"/>
      <c r="AJ21" s="722"/>
      <c r="AK21" s="722"/>
      <c r="AL21" s="722"/>
      <c r="AM21" s="722"/>
      <c r="AN21" s="722"/>
    </row>
    <row r="22" spans="2:40" s="227" customFormat="1" ht="14.45" customHeight="1" x14ac:dyDescent="0.25">
      <c r="B22" s="653" t="s">
        <v>6240</v>
      </c>
      <c r="C22" s="653" t="s">
        <v>2884</v>
      </c>
      <c r="D22" s="918">
        <v>13.4</v>
      </c>
      <c r="E22" s="658" t="s">
        <v>2885</v>
      </c>
      <c r="F22" s="920">
        <v>10.6</v>
      </c>
      <c r="G22" s="227" t="str">
        <f t="shared" si="0"/>
        <v>Three-Phase Split System AC - &lt; 65,000 Btu/h</v>
      </c>
      <c r="N22" s="584"/>
      <c r="Q22" s="192" t="s">
        <v>6249</v>
      </c>
      <c r="T22"/>
      <c r="AI22" s="722"/>
      <c r="AJ22" s="722"/>
      <c r="AK22" s="722"/>
      <c r="AL22" s="722"/>
      <c r="AM22" s="722"/>
      <c r="AN22" s="722"/>
    </row>
    <row r="23" spans="2:40" s="227" customFormat="1" x14ac:dyDescent="0.25">
      <c r="B23" s="653" t="s">
        <v>6241</v>
      </c>
      <c r="C23" s="653" t="s">
        <v>2884</v>
      </c>
      <c r="D23" s="918">
        <v>13.4</v>
      </c>
      <c r="E23" s="658" t="s">
        <v>2885</v>
      </c>
      <c r="F23" s="920">
        <v>10.6</v>
      </c>
      <c r="G23" s="227" t="str">
        <f t="shared" si="0"/>
        <v>Three-Phase Single Package AC - &lt; 65,000 Btu/h</v>
      </c>
      <c r="N23" s="584"/>
      <c r="Q23" s="192" t="s">
        <v>2883</v>
      </c>
      <c r="T23"/>
      <c r="AI23" s="626"/>
      <c r="AJ23" s="626"/>
      <c r="AK23" s="723"/>
      <c r="AL23" s="724"/>
      <c r="AM23" s="724"/>
      <c r="AN23" s="724"/>
    </row>
    <row r="24" spans="2:40" s="227" customFormat="1" ht="14.45" customHeight="1" x14ac:dyDescent="0.25">
      <c r="B24" s="653" t="s">
        <v>6242</v>
      </c>
      <c r="C24" s="653" t="s">
        <v>2889</v>
      </c>
      <c r="D24" s="658" t="s">
        <v>2885</v>
      </c>
      <c r="E24" s="921">
        <v>14.8</v>
      </c>
      <c r="F24" s="922">
        <v>11.2</v>
      </c>
      <c r="G24" s="227" t="str">
        <f t="shared" si="0"/>
        <v>Split System &amp; Single Package AC - ≥ 65,000 and &lt; 135,000 Btu/h</v>
      </c>
      <c r="N24" s="584"/>
      <c r="T24"/>
      <c r="AI24" s="626"/>
      <c r="AJ24" s="626"/>
      <c r="AK24" s="724"/>
      <c r="AL24" s="724"/>
      <c r="AM24" s="724"/>
      <c r="AN24" s="724"/>
    </row>
    <row r="25" spans="2:40" s="227" customFormat="1" ht="14.45" customHeight="1" x14ac:dyDescent="0.25">
      <c r="B25" s="653" t="s">
        <v>6242</v>
      </c>
      <c r="C25" s="653" t="s">
        <v>2890</v>
      </c>
      <c r="D25" s="658" t="s">
        <v>2885</v>
      </c>
      <c r="E25" s="921">
        <v>14.2</v>
      </c>
      <c r="F25" s="922">
        <v>11</v>
      </c>
      <c r="G25" s="227" t="str">
        <f t="shared" si="0"/>
        <v>Split System &amp; Single Package AC - ≥ 135,000 and &lt; 240,000 Btu/h</v>
      </c>
      <c r="N25" s="584"/>
      <c r="T25"/>
      <c r="AI25" s="626"/>
      <c r="AJ25" s="626"/>
      <c r="AK25" s="626"/>
      <c r="AL25" s="626"/>
      <c r="AM25" s="626"/>
      <c r="AN25" s="626"/>
    </row>
    <row r="26" spans="2:40" s="227" customFormat="1" ht="14.45" customHeight="1" x14ac:dyDescent="0.25">
      <c r="B26" s="653" t="s">
        <v>6242</v>
      </c>
      <c r="C26" s="653" t="s">
        <v>2891</v>
      </c>
      <c r="D26" s="658" t="s">
        <v>2885</v>
      </c>
      <c r="E26" s="921">
        <v>13.2</v>
      </c>
      <c r="F26" s="922">
        <v>10</v>
      </c>
      <c r="G26" s="227" t="str">
        <f t="shared" si="0"/>
        <v>Split System &amp; Single Package AC - ≥ 240,000 Btu/h</v>
      </c>
      <c r="N26" s="584"/>
      <c r="Q26" s="227">
        <v>1000</v>
      </c>
      <c r="R26" s="522" t="s">
        <v>2884</v>
      </c>
      <c r="T26"/>
      <c r="AI26" s="626"/>
      <c r="AJ26" s="626"/>
      <c r="AK26" s="626"/>
      <c r="AL26" s="626"/>
      <c r="AM26" s="626"/>
      <c r="AN26" s="626"/>
    </row>
    <row r="27" spans="2:40" s="227" customFormat="1" ht="14.45" customHeight="1" x14ac:dyDescent="0.25">
      <c r="B27" s="653" t="s">
        <v>6243</v>
      </c>
      <c r="C27" s="653" t="s">
        <v>2884</v>
      </c>
      <c r="D27" s="918">
        <v>14.3</v>
      </c>
      <c r="E27" s="658" t="s">
        <v>2885</v>
      </c>
      <c r="F27" s="920">
        <v>11.7</v>
      </c>
      <c r="G27" s="227" t="str">
        <f t="shared" si="0"/>
        <v>Single-Phase Split System HP - &lt; 65,000 Btu/h</v>
      </c>
      <c r="N27" s="584"/>
      <c r="Q27" s="227">
        <v>65000</v>
      </c>
      <c r="R27" s="522" t="s">
        <v>2889</v>
      </c>
      <c r="AI27" s="626"/>
      <c r="AJ27" s="626"/>
      <c r="AK27" s="626"/>
      <c r="AL27" s="626"/>
      <c r="AM27" s="626"/>
      <c r="AN27" s="626"/>
    </row>
    <row r="28" spans="2:40" s="227" customFormat="1" ht="14.45" customHeight="1" x14ac:dyDescent="0.25">
      <c r="B28" s="653" t="s">
        <v>6244</v>
      </c>
      <c r="C28" s="653" t="s">
        <v>2884</v>
      </c>
      <c r="D28" s="918">
        <v>13.4</v>
      </c>
      <c r="E28" s="658" t="s">
        <v>2885</v>
      </c>
      <c r="F28" s="920">
        <v>10.6</v>
      </c>
      <c r="G28" s="227" t="str">
        <f t="shared" si="0"/>
        <v>Single-Phase Single Package HP - &lt; 65,000 Btu/h</v>
      </c>
      <c r="N28" s="584"/>
      <c r="Q28" s="227">
        <v>135000</v>
      </c>
      <c r="R28" s="522" t="s">
        <v>2890</v>
      </c>
      <c r="AI28" s="626"/>
      <c r="AJ28" s="626"/>
      <c r="AK28" s="724"/>
      <c r="AL28" s="724"/>
      <c r="AM28" s="724"/>
      <c r="AN28" s="724"/>
    </row>
    <row r="29" spans="2:40" s="227" customFormat="1" ht="14.45" customHeight="1" x14ac:dyDescent="0.25">
      <c r="B29" s="653" t="s">
        <v>6246</v>
      </c>
      <c r="C29" s="653" t="s">
        <v>2884</v>
      </c>
      <c r="D29" s="918">
        <v>14.3</v>
      </c>
      <c r="E29" s="658" t="s">
        <v>2885</v>
      </c>
      <c r="F29" s="920">
        <v>11.7</v>
      </c>
      <c r="G29" s="227" t="str">
        <f t="shared" si="0"/>
        <v>Three-Phase Split System Air-Source HP - &lt; 65,000 Btu/h</v>
      </c>
      <c r="N29" s="584"/>
      <c r="Q29" s="227">
        <v>240000</v>
      </c>
      <c r="R29" s="522" t="s">
        <v>2891</v>
      </c>
      <c r="AI29" s="626"/>
      <c r="AJ29" s="626"/>
      <c r="AK29" s="626"/>
      <c r="AL29" s="626"/>
      <c r="AM29" s="626"/>
      <c r="AN29" s="626"/>
    </row>
    <row r="30" spans="2:40" s="227" customFormat="1" ht="14.45" customHeight="1" x14ac:dyDescent="0.25">
      <c r="B30" s="653" t="s">
        <v>6247</v>
      </c>
      <c r="C30" s="653" t="s">
        <v>2884</v>
      </c>
      <c r="D30" s="918">
        <v>13.4</v>
      </c>
      <c r="E30" s="658" t="s">
        <v>2885</v>
      </c>
      <c r="F30" s="920">
        <v>10.6</v>
      </c>
      <c r="G30" s="227" t="str">
        <f t="shared" si="0"/>
        <v>Three-Phase Single Package Air-Source HP - &lt; 65,000 Btu/h</v>
      </c>
      <c r="N30" s="584"/>
      <c r="AI30" s="626"/>
      <c r="AJ30" s="626"/>
      <c r="AK30" s="626"/>
      <c r="AL30" s="626"/>
      <c r="AM30" s="626"/>
      <c r="AN30" s="626"/>
    </row>
    <row r="31" spans="2:40" s="227" customFormat="1" ht="14.45" customHeight="1" x14ac:dyDescent="0.25">
      <c r="B31" s="653" t="s">
        <v>2886</v>
      </c>
      <c r="C31" s="653" t="s">
        <v>2889</v>
      </c>
      <c r="D31" s="658" t="s">
        <v>2885</v>
      </c>
      <c r="E31" s="921">
        <v>14.1</v>
      </c>
      <c r="F31" s="922">
        <v>11</v>
      </c>
      <c r="G31" s="227" t="str">
        <f t="shared" si="0"/>
        <v>Air-Source HP - ≥ 65,000 and &lt; 135,000 Btu/h</v>
      </c>
      <c r="N31" s="584"/>
      <c r="Q31" s="227">
        <v>1000</v>
      </c>
      <c r="R31" s="522" t="s">
        <v>3781</v>
      </c>
      <c r="AI31" s="626"/>
      <c r="AJ31" s="626"/>
      <c r="AK31" s="626"/>
      <c r="AL31" s="626"/>
      <c r="AM31" s="626"/>
      <c r="AN31" s="626"/>
    </row>
    <row r="32" spans="2:40" s="227" customFormat="1" ht="14.45" customHeight="1" x14ac:dyDescent="0.25">
      <c r="B32" s="653" t="s">
        <v>2886</v>
      </c>
      <c r="C32" s="653" t="s">
        <v>2890</v>
      </c>
      <c r="D32" s="658" t="s">
        <v>2885</v>
      </c>
      <c r="E32" s="921">
        <v>13.5</v>
      </c>
      <c r="F32" s="922">
        <v>10.6</v>
      </c>
      <c r="G32" s="227" t="str">
        <f t="shared" si="0"/>
        <v>Air-Source HP - ≥ 135,000 and &lt; 240,000 Btu/h</v>
      </c>
      <c r="N32" s="584"/>
      <c r="Q32" s="227">
        <v>17000</v>
      </c>
      <c r="R32" s="522" t="s">
        <v>3782</v>
      </c>
      <c r="AI32" s="626"/>
      <c r="AJ32" s="626"/>
      <c r="AK32" s="626"/>
      <c r="AL32" s="626"/>
      <c r="AM32" s="626"/>
      <c r="AN32" s="626"/>
    </row>
    <row r="33" spans="2:40" s="227" customFormat="1" ht="14.45" customHeight="1" x14ac:dyDescent="0.25">
      <c r="B33" s="653" t="s">
        <v>2886</v>
      </c>
      <c r="C33" s="653" t="s">
        <v>2891</v>
      </c>
      <c r="D33" s="658" t="s">
        <v>2885</v>
      </c>
      <c r="E33" s="921">
        <v>12.5</v>
      </c>
      <c r="F33" s="922">
        <v>9.5</v>
      </c>
      <c r="G33" s="227" t="str">
        <f t="shared" si="0"/>
        <v>Air-Source HP - ≥ 240,000 Btu/h</v>
      </c>
      <c r="N33" s="584"/>
      <c r="Q33" s="227">
        <v>65000</v>
      </c>
      <c r="R33" s="522" t="s">
        <v>3783</v>
      </c>
      <c r="AI33" s="626"/>
      <c r="AJ33" s="626"/>
      <c r="AK33" s="626"/>
      <c r="AL33" s="626"/>
      <c r="AM33" s="626"/>
      <c r="AN33" s="626"/>
    </row>
    <row r="34" spans="2:40" s="227" customFormat="1" ht="14.45" customHeight="1" x14ac:dyDescent="0.25">
      <c r="B34" s="653" t="s">
        <v>3780</v>
      </c>
      <c r="C34" s="653" t="s">
        <v>3781</v>
      </c>
      <c r="D34" s="923">
        <f>F34</f>
        <v>12.2</v>
      </c>
      <c r="E34" s="658" t="s">
        <v>2885</v>
      </c>
      <c r="F34" s="922">
        <v>12.2</v>
      </c>
      <c r="G34" s="227" t="str">
        <f t="shared" si="0"/>
        <v>Water-Source HP - &lt; 17,000 Btu/h</v>
      </c>
      <c r="N34" s="584"/>
      <c r="Q34" s="227">
        <v>135000</v>
      </c>
      <c r="R34" s="522" t="s">
        <v>3784</v>
      </c>
      <c r="AG34" s="2140"/>
      <c r="AH34" s="2141"/>
      <c r="AI34" s="2141"/>
      <c r="AJ34" s="2141"/>
      <c r="AK34" s="2142"/>
      <c r="AL34" s="2142"/>
      <c r="AM34" s="2142"/>
      <c r="AN34" s="2142"/>
    </row>
    <row r="35" spans="2:40" s="227" customFormat="1" x14ac:dyDescent="0.25">
      <c r="B35" s="653" t="s">
        <v>3780</v>
      </c>
      <c r="C35" s="653" t="s">
        <v>3782</v>
      </c>
      <c r="D35" s="923">
        <f>F35</f>
        <v>13</v>
      </c>
      <c r="E35" s="658" t="s">
        <v>2885</v>
      </c>
      <c r="F35" s="922">
        <v>13</v>
      </c>
      <c r="G35" s="227" t="str">
        <f t="shared" si="0"/>
        <v>Water-Source HP - ≥ 17,000 and &lt; 65,000 Btu/h</v>
      </c>
      <c r="N35" s="584"/>
      <c r="T35" s="584"/>
    </row>
    <row r="36" spans="2:40" s="227" customFormat="1" x14ac:dyDescent="0.25">
      <c r="B36" s="653" t="s">
        <v>3780</v>
      </c>
      <c r="C36" s="653" t="s">
        <v>3783</v>
      </c>
      <c r="D36" s="658" t="s">
        <v>2885</v>
      </c>
      <c r="E36" s="921">
        <f>F36</f>
        <v>13</v>
      </c>
      <c r="F36" s="922">
        <v>13</v>
      </c>
      <c r="G36" s="227" t="str">
        <f t="shared" si="0"/>
        <v>Water-Source HP - ≥ 65,000 and &lt; 135,000 Btu/h</v>
      </c>
      <c r="N36" s="584"/>
      <c r="Q36" s="227">
        <v>1000</v>
      </c>
      <c r="R36" s="522" t="s">
        <v>6250</v>
      </c>
      <c r="T36" s="692"/>
    </row>
    <row r="37" spans="2:40" s="227" customFormat="1" hidden="1" x14ac:dyDescent="0.25">
      <c r="B37" s="1011" t="s">
        <v>3804</v>
      </c>
      <c r="C37" s="1011" t="s">
        <v>6252</v>
      </c>
      <c r="D37" s="1014">
        <f t="shared" ref="D37:D49" si="1">F37</f>
        <v>11.9</v>
      </c>
      <c r="E37" s="1015" t="s">
        <v>2885</v>
      </c>
      <c r="F37" s="1016">
        <v>11.9</v>
      </c>
      <c r="G37" s="1010" t="str">
        <f t="shared" si="0"/>
        <v>PTAC (Std) - &lt; 7,000 Btu/h</v>
      </c>
      <c r="H37" s="1010"/>
      <c r="I37" s="1010"/>
      <c r="J37" s="1010"/>
      <c r="K37" s="1010"/>
      <c r="L37" s="227" t="s">
        <v>6883</v>
      </c>
      <c r="N37" s="584"/>
      <c r="Q37" s="227">
        <v>45000</v>
      </c>
      <c r="R37" s="522" t="s">
        <v>6251</v>
      </c>
      <c r="T37" s="692"/>
    </row>
    <row r="38" spans="2:40" s="227" customFormat="1" hidden="1" x14ac:dyDescent="0.25">
      <c r="B38" s="1011" t="s">
        <v>3804</v>
      </c>
      <c r="C38" s="1011" t="s">
        <v>6887</v>
      </c>
      <c r="D38" s="1014">
        <f t="shared" si="1"/>
        <v>-5.2</v>
      </c>
      <c r="E38" s="1015" t="s">
        <v>2885</v>
      </c>
      <c r="F38" s="1016">
        <f>IF(ISBLANK($C$7), "Size Dependent", ROUND(14-(0.3*$C$7/1000), 1))</f>
        <v>-5.2</v>
      </c>
      <c r="G38" s="1010" t="str">
        <f t="shared" si="0"/>
        <v>PTAC (Std) - ≥ 7,000 and ≤ 15,000 Btu/h</v>
      </c>
      <c r="H38" s="1010"/>
      <c r="I38" s="1010"/>
      <c r="J38" s="1010"/>
      <c r="K38" s="1010"/>
      <c r="N38" s="584"/>
      <c r="Q38" s="227">
        <v>65000</v>
      </c>
      <c r="R38" s="522" t="s">
        <v>6253</v>
      </c>
    </row>
    <row r="39" spans="2:40" s="227" customFormat="1" hidden="1" x14ac:dyDescent="0.25">
      <c r="B39" s="1011" t="s">
        <v>3804</v>
      </c>
      <c r="C39" s="1011" t="s">
        <v>6254</v>
      </c>
      <c r="D39" s="1014">
        <f t="shared" si="1"/>
        <v>9.5</v>
      </c>
      <c r="E39" s="1015" t="s">
        <v>2885</v>
      </c>
      <c r="F39" s="1016">
        <v>9.5</v>
      </c>
      <c r="G39" s="1010" t="str">
        <f t="shared" si="0"/>
        <v>PTAC (Std) - &gt; 15,000 and &lt; 65,000 Btu/h</v>
      </c>
      <c r="H39" s="1010"/>
      <c r="I39" s="1010"/>
      <c r="J39" s="1010"/>
      <c r="K39" s="1010"/>
      <c r="N39" s="584"/>
    </row>
    <row r="40" spans="2:40" s="227" customFormat="1" hidden="1" x14ac:dyDescent="0.25">
      <c r="B40" s="1011" t="s">
        <v>3805</v>
      </c>
      <c r="C40" s="1011" t="s">
        <v>6252</v>
      </c>
      <c r="D40" s="1014">
        <f t="shared" si="1"/>
        <v>9.4</v>
      </c>
      <c r="E40" s="1015" t="s">
        <v>2885</v>
      </c>
      <c r="F40" s="1016">
        <v>9.4</v>
      </c>
      <c r="G40" s="1010" t="str">
        <f t="shared" si="0"/>
        <v>PTAC (Non-Std) - &lt; 7,000 Btu/h</v>
      </c>
      <c r="H40" s="1010"/>
      <c r="I40" s="1010"/>
      <c r="J40" s="1010"/>
      <c r="K40" s="1010"/>
      <c r="N40" s="584"/>
      <c r="Q40" s="227">
        <v>1000</v>
      </c>
      <c r="R40" s="522" t="s">
        <v>6252</v>
      </c>
    </row>
    <row r="41" spans="2:40" s="227" customFormat="1" hidden="1" x14ac:dyDescent="0.25">
      <c r="B41" s="1011" t="s">
        <v>3805</v>
      </c>
      <c r="C41" s="1011" t="s">
        <v>6887</v>
      </c>
      <c r="D41" s="1014">
        <f t="shared" si="1"/>
        <v>-2.7</v>
      </c>
      <c r="E41" s="1015" t="s">
        <v>2885</v>
      </c>
      <c r="F41" s="1016">
        <f>IF(ISBLANK($C$7), "Size Dependent", ROUND(10.9-(0.213*$C$7/1000), 1))</f>
        <v>-2.7</v>
      </c>
      <c r="G41" s="1010" t="str">
        <f t="shared" si="0"/>
        <v>PTAC (Non-Std) - ≥ 7,000 and ≤ 15,000 Btu/h</v>
      </c>
      <c r="H41" s="1010"/>
      <c r="I41" s="1010"/>
      <c r="J41" s="1010"/>
      <c r="K41" s="1010"/>
      <c r="N41" s="584"/>
      <c r="Q41" s="227">
        <v>7000</v>
      </c>
      <c r="R41" s="522" t="s">
        <v>6257</v>
      </c>
    </row>
    <row r="42" spans="2:40" s="227" customFormat="1" ht="15" hidden="1" customHeight="1" x14ac:dyDescent="0.25">
      <c r="B42" s="1011" t="s">
        <v>3805</v>
      </c>
      <c r="C42" s="1011" t="s">
        <v>6254</v>
      </c>
      <c r="D42" s="1014">
        <f t="shared" si="1"/>
        <v>7.7</v>
      </c>
      <c r="E42" s="1015" t="s">
        <v>2885</v>
      </c>
      <c r="F42" s="1016">
        <v>7.7</v>
      </c>
      <c r="G42" s="1010" t="str">
        <f t="shared" si="0"/>
        <v>PTAC (Non-Std) - &gt; 15,000 and &lt; 65,000 Btu/h</v>
      </c>
      <c r="H42" s="1010"/>
      <c r="I42" s="1010"/>
      <c r="J42" s="1010"/>
      <c r="K42" s="1010"/>
      <c r="N42" s="584"/>
      <c r="Q42" s="227">
        <v>15001</v>
      </c>
      <c r="R42" s="522" t="s">
        <v>6254</v>
      </c>
    </row>
    <row r="43" spans="2:40" s="227" customFormat="1" hidden="1" x14ac:dyDescent="0.25">
      <c r="B43" s="1011" t="s">
        <v>3806</v>
      </c>
      <c r="C43" s="1011" t="s">
        <v>6252</v>
      </c>
      <c r="D43" s="1014">
        <f t="shared" si="1"/>
        <v>11.9</v>
      </c>
      <c r="E43" s="1015" t="s">
        <v>2885</v>
      </c>
      <c r="F43" s="1016">
        <v>11.9</v>
      </c>
      <c r="G43" s="1010" t="str">
        <f t="shared" si="0"/>
        <v>PTHP (Std) - &lt; 7,000 Btu/h</v>
      </c>
      <c r="H43" s="1010"/>
      <c r="I43" s="1010"/>
      <c r="J43" s="1010"/>
      <c r="K43" s="1010"/>
      <c r="N43" s="584"/>
      <c r="Q43" s="227">
        <v>65000</v>
      </c>
      <c r="R43" s="522" t="s">
        <v>6253</v>
      </c>
    </row>
    <row r="44" spans="2:40" s="227" customFormat="1" hidden="1" x14ac:dyDescent="0.25">
      <c r="B44" s="1011" t="s">
        <v>3806</v>
      </c>
      <c r="C44" s="1011" t="s">
        <v>6887</v>
      </c>
      <c r="D44" s="1014">
        <f t="shared" si="1"/>
        <v>-5.2</v>
      </c>
      <c r="E44" s="1015" t="s">
        <v>2885</v>
      </c>
      <c r="F44" s="1016">
        <f>IF(ISBLANK($C$7), "Size Dependent", ROUND(14-(0.3*$C$7/1000), 1))</f>
        <v>-5.2</v>
      </c>
      <c r="G44" s="1010" t="str">
        <f t="shared" si="0"/>
        <v>PTHP (Std) - ≥ 7,000 and ≤ 15,000 Btu/h</v>
      </c>
      <c r="H44" s="1010"/>
      <c r="I44" s="1010"/>
      <c r="J44" s="1010"/>
      <c r="K44" s="1010"/>
      <c r="N44" s="584"/>
    </row>
    <row r="45" spans="2:40" s="227" customFormat="1" hidden="1" x14ac:dyDescent="0.25">
      <c r="B45" s="1011" t="s">
        <v>3806</v>
      </c>
      <c r="C45" s="1011" t="s">
        <v>6254</v>
      </c>
      <c r="D45" s="1014">
        <f t="shared" si="1"/>
        <v>9.5</v>
      </c>
      <c r="E45" s="1015" t="s">
        <v>2885</v>
      </c>
      <c r="F45" s="1016">
        <v>9.5</v>
      </c>
      <c r="G45" s="1010" t="str">
        <f t="shared" si="0"/>
        <v>PTHP (Std) - &gt; 15,000 and &lt; 65,000 Btu/h</v>
      </c>
      <c r="H45" s="1010"/>
      <c r="I45" s="1010"/>
      <c r="J45" s="1010"/>
      <c r="K45" s="1010"/>
      <c r="N45" s="584"/>
      <c r="Q45" s="227">
        <v>1000</v>
      </c>
      <c r="R45" s="522" t="s">
        <v>2884</v>
      </c>
    </row>
    <row r="46" spans="2:40" s="227" customFormat="1" hidden="1" x14ac:dyDescent="0.25">
      <c r="B46" s="1011" t="s">
        <v>3803</v>
      </c>
      <c r="C46" s="1011" t="s">
        <v>6252</v>
      </c>
      <c r="D46" s="1014">
        <f t="shared" si="1"/>
        <v>9.3000000000000007</v>
      </c>
      <c r="E46" s="1015" t="s">
        <v>2885</v>
      </c>
      <c r="F46" s="1016">
        <v>9.3000000000000007</v>
      </c>
      <c r="G46" s="1010" t="str">
        <f t="shared" si="0"/>
        <v>PTHP (Non-Std) - &lt; 7,000 Btu/h</v>
      </c>
      <c r="H46" s="1010"/>
      <c r="I46" s="1010"/>
      <c r="J46" s="1010"/>
      <c r="K46" s="1010"/>
      <c r="N46" s="584"/>
      <c r="Q46" s="227">
        <v>65000</v>
      </c>
      <c r="R46" s="522" t="s">
        <v>6258</v>
      </c>
    </row>
    <row r="47" spans="2:40" s="227" customFormat="1" hidden="1" x14ac:dyDescent="0.25">
      <c r="B47" s="1011" t="s">
        <v>3803</v>
      </c>
      <c r="C47" s="1011" t="s">
        <v>6887</v>
      </c>
      <c r="D47" s="1014">
        <f t="shared" si="1"/>
        <v>-2.8</v>
      </c>
      <c r="E47" s="1015" t="s">
        <v>2885</v>
      </c>
      <c r="F47" s="1016">
        <f>IF(ISBLANK($C$7), "Size Dependent", ROUND(10.8-(0.213*$C$7/1000), 1))</f>
        <v>-2.8</v>
      </c>
      <c r="G47" s="1010" t="str">
        <f t="shared" si="0"/>
        <v>PTHP (Non-Std) - ≥ 7,000 and ≤ 15,000 Btu/h</v>
      </c>
      <c r="H47" s="1010"/>
      <c r="I47" s="1010"/>
      <c r="J47" s="1010"/>
      <c r="K47" s="1010"/>
      <c r="N47" s="584"/>
      <c r="Q47" s="227">
        <v>240000</v>
      </c>
      <c r="R47" s="522" t="s">
        <v>2891</v>
      </c>
    </row>
    <row r="48" spans="2:40" s="227" customFormat="1" hidden="1" x14ac:dyDescent="0.25">
      <c r="B48" s="1011" t="s">
        <v>3803</v>
      </c>
      <c r="C48" s="1011" t="s">
        <v>6254</v>
      </c>
      <c r="D48" s="1014">
        <f t="shared" si="1"/>
        <v>7.6</v>
      </c>
      <c r="E48" s="1015" t="s">
        <v>2885</v>
      </c>
      <c r="F48" s="1016">
        <v>7.6</v>
      </c>
      <c r="G48" s="1010" t="str">
        <f t="shared" si="0"/>
        <v>PTHP (Non-Std) - &gt; 15,000 and &lt; 65,000 Btu/h</v>
      </c>
      <c r="H48" s="1010"/>
      <c r="I48" s="1010"/>
      <c r="J48" s="1010"/>
      <c r="K48" s="1010"/>
      <c r="N48" s="584"/>
    </row>
    <row r="49" spans="2:14" s="227" customFormat="1" hidden="1" x14ac:dyDescent="0.25">
      <c r="B49" s="1011" t="s">
        <v>3807</v>
      </c>
      <c r="C49" s="1011" t="s">
        <v>2884</v>
      </c>
      <c r="D49" s="1014">
        <f t="shared" si="1"/>
        <v>11</v>
      </c>
      <c r="E49" s="1017" t="s">
        <v>2885</v>
      </c>
      <c r="F49" s="1016">
        <v>11</v>
      </c>
      <c r="G49" s="1010" t="str">
        <f t="shared" si="0"/>
        <v>Vertical AC or HP - &lt; 65,000 Btu/h</v>
      </c>
      <c r="H49" s="1010"/>
      <c r="I49" s="1010"/>
      <c r="J49" s="1010"/>
      <c r="K49" s="1010"/>
      <c r="N49" s="584"/>
    </row>
    <row r="50" spans="2:14" s="227" customFormat="1" hidden="1" x14ac:dyDescent="0.25">
      <c r="B50" s="1011" t="s">
        <v>3807</v>
      </c>
      <c r="C50" s="1011" t="s">
        <v>6888</v>
      </c>
      <c r="D50" s="1015" t="s">
        <v>2885</v>
      </c>
      <c r="E50" s="1018">
        <f>F50</f>
        <v>10</v>
      </c>
      <c r="F50" s="1016">
        <v>10</v>
      </c>
      <c r="G50" s="1010" t="str">
        <f t="shared" si="0"/>
        <v>Vertical AC or HP - ≥ 65,000 and &lt; 240,000 Btu/h</v>
      </c>
      <c r="H50" s="1010"/>
      <c r="I50" s="1010"/>
      <c r="J50" s="1010"/>
      <c r="K50" s="1010"/>
      <c r="N50" s="584"/>
    </row>
    <row r="51" spans="2:14" s="227" customFormat="1" hidden="1" x14ac:dyDescent="0.25">
      <c r="D51" s="659"/>
      <c r="E51" s="659"/>
      <c r="F51" s="659"/>
      <c r="N51" s="584"/>
    </row>
    <row r="52" spans="2:14" s="227" customFormat="1" ht="18.75" x14ac:dyDescent="0.25">
      <c r="B52" s="283" t="s">
        <v>6884</v>
      </c>
      <c r="D52" s="659"/>
      <c r="E52" s="659"/>
      <c r="F52" s="659"/>
      <c r="N52" s="584"/>
    </row>
    <row r="53" spans="2:14" s="227" customFormat="1" x14ac:dyDescent="0.25">
      <c r="D53" s="659"/>
      <c r="E53" s="659"/>
      <c r="F53" s="659"/>
      <c r="N53" s="584"/>
    </row>
    <row r="54" spans="2:14" s="227" customFormat="1" x14ac:dyDescent="0.25">
      <c r="B54" s="2024" t="s">
        <v>2879</v>
      </c>
      <c r="C54" s="2024" t="s">
        <v>2880</v>
      </c>
      <c r="D54" s="2032" t="s">
        <v>2881</v>
      </c>
      <c r="E54" s="2033"/>
      <c r="F54" s="525" t="s">
        <v>2903</v>
      </c>
      <c r="N54" s="584"/>
    </row>
    <row r="55" spans="2:14" s="227" customFormat="1" x14ac:dyDescent="0.25">
      <c r="B55" s="2025"/>
      <c r="C55" s="2025"/>
      <c r="D55" s="660" t="s">
        <v>1008</v>
      </c>
      <c r="E55" s="660" t="s">
        <v>2883</v>
      </c>
      <c r="F55" s="660" t="s">
        <v>308</v>
      </c>
      <c r="N55" s="584"/>
    </row>
    <row r="56" spans="2:14" s="227" customFormat="1" x14ac:dyDescent="0.25">
      <c r="B56" s="653" t="s">
        <v>6238</v>
      </c>
      <c r="C56" s="653" t="s">
        <v>6250</v>
      </c>
      <c r="D56" s="918">
        <v>15.2</v>
      </c>
      <c r="E56" s="658" t="s">
        <v>2885</v>
      </c>
      <c r="F56" s="919" t="s">
        <v>3577</v>
      </c>
      <c r="G56" s="423"/>
      <c r="N56" s="584"/>
    </row>
    <row r="57" spans="2:14" s="227" customFormat="1" x14ac:dyDescent="0.25">
      <c r="B57" s="653" t="s">
        <v>6238</v>
      </c>
      <c r="C57" s="653" t="s">
        <v>6251</v>
      </c>
      <c r="D57" s="918">
        <v>15.2</v>
      </c>
      <c r="E57" s="658" t="s">
        <v>2885</v>
      </c>
      <c r="F57" s="920" t="s">
        <v>3577</v>
      </c>
      <c r="N57" s="584"/>
    </row>
    <row r="58" spans="2:14" s="227" customFormat="1" x14ac:dyDescent="0.25">
      <c r="B58" s="653" t="s">
        <v>6239</v>
      </c>
      <c r="C58" s="653" t="s">
        <v>2884</v>
      </c>
      <c r="D58" s="918">
        <v>15.2</v>
      </c>
      <c r="E58" s="658" t="s">
        <v>2885</v>
      </c>
      <c r="F58" s="920" t="s">
        <v>3577</v>
      </c>
      <c r="N58" s="584"/>
    </row>
    <row r="59" spans="2:14" s="227" customFormat="1" x14ac:dyDescent="0.25">
      <c r="B59" s="653" t="s">
        <v>6240</v>
      </c>
      <c r="C59" s="653" t="s">
        <v>2884</v>
      </c>
      <c r="D59" s="918">
        <f>ROUND(D22*1.1,1)</f>
        <v>14.7</v>
      </c>
      <c r="E59" s="658" t="s">
        <v>2885</v>
      </c>
      <c r="F59" s="920" t="s">
        <v>3577</v>
      </c>
      <c r="N59" s="584"/>
    </row>
    <row r="60" spans="2:14" s="227" customFormat="1" x14ac:dyDescent="0.25">
      <c r="B60" s="653" t="s">
        <v>6241</v>
      </c>
      <c r="C60" s="653" t="s">
        <v>2884</v>
      </c>
      <c r="D60" s="918">
        <f>ROUND(D23*1.1,1)</f>
        <v>14.7</v>
      </c>
      <c r="E60" s="658" t="s">
        <v>2885</v>
      </c>
      <c r="F60" s="920" t="s">
        <v>3577</v>
      </c>
      <c r="N60" s="584"/>
    </row>
    <row r="61" spans="2:14" s="227" customFormat="1" x14ac:dyDescent="0.25">
      <c r="B61" s="653" t="s">
        <v>6242</v>
      </c>
      <c r="C61" s="653" t="s">
        <v>2889</v>
      </c>
      <c r="D61" s="658" t="s">
        <v>2885</v>
      </c>
      <c r="E61" s="921">
        <f>IF(15.5&gt;1.1*$E$24,15.5,(1.1*$E$24))</f>
        <v>16.28</v>
      </c>
      <c r="F61" s="920" t="s">
        <v>3577</v>
      </c>
      <c r="L61" s="1012"/>
      <c r="N61" s="584"/>
    </row>
    <row r="62" spans="2:14" s="227" customFormat="1" x14ac:dyDescent="0.25">
      <c r="B62" s="653" t="s">
        <v>6242</v>
      </c>
      <c r="C62" s="653" t="s">
        <v>2890</v>
      </c>
      <c r="D62" s="658" t="s">
        <v>2885</v>
      </c>
      <c r="E62" s="921">
        <f>IF(14.9&gt;1.1*$E$25,14.9,(1.1*$E$25))</f>
        <v>15.620000000000001</v>
      </c>
      <c r="F62" s="920" t="s">
        <v>3577</v>
      </c>
      <c r="L62" s="1012"/>
      <c r="N62" s="584"/>
    </row>
    <row r="63" spans="2:14" s="227" customFormat="1" ht="15" customHeight="1" x14ac:dyDescent="0.25">
      <c r="B63" s="653" t="s">
        <v>6242</v>
      </c>
      <c r="C63" s="653" t="s">
        <v>2891</v>
      </c>
      <c r="D63" s="658" t="s">
        <v>2885</v>
      </c>
      <c r="E63" s="921">
        <f>IF(13.9&gt;1.1*$E$26,14.9,(1.1*$E$26))</f>
        <v>14.52</v>
      </c>
      <c r="F63" s="920" t="s">
        <v>3577</v>
      </c>
      <c r="L63" s="1012"/>
      <c r="N63" s="584"/>
    </row>
    <row r="64" spans="2:14" s="227" customFormat="1" x14ac:dyDescent="0.25">
      <c r="B64" s="653" t="s">
        <v>6243</v>
      </c>
      <c r="C64" s="653" t="s">
        <v>2884</v>
      </c>
      <c r="D64" s="918">
        <v>15.2</v>
      </c>
      <c r="E64" s="658"/>
      <c r="F64" s="920" t="s">
        <v>3577</v>
      </c>
      <c r="N64" s="584"/>
    </row>
    <row r="65" spans="2:14" s="227" customFormat="1" x14ac:dyDescent="0.25">
      <c r="B65" s="653" t="s">
        <v>6244</v>
      </c>
      <c r="C65" s="653" t="s">
        <v>2884</v>
      </c>
      <c r="D65" s="918">
        <v>15.2</v>
      </c>
      <c r="E65" s="658"/>
      <c r="F65" s="920" t="s">
        <v>3577</v>
      </c>
      <c r="N65" s="584"/>
    </row>
    <row r="66" spans="2:14" s="227" customFormat="1" x14ac:dyDescent="0.25">
      <c r="B66" s="653" t="s">
        <v>6246</v>
      </c>
      <c r="C66" s="653" t="s">
        <v>2884</v>
      </c>
      <c r="D66" s="918">
        <f>ROUND(D29*1.1,1)</f>
        <v>15.7</v>
      </c>
      <c r="E66" s="658"/>
      <c r="F66" s="920" t="s">
        <v>3577</v>
      </c>
      <c r="N66" s="584"/>
    </row>
    <row r="67" spans="2:14" s="227" customFormat="1" x14ac:dyDescent="0.25">
      <c r="B67" s="653" t="s">
        <v>6247</v>
      </c>
      <c r="C67" s="653" t="s">
        <v>2884</v>
      </c>
      <c r="D67" s="918">
        <f>ROUND(D30*1.1,1)</f>
        <v>14.7</v>
      </c>
      <c r="E67" s="658"/>
      <c r="F67" s="920" t="s">
        <v>3577</v>
      </c>
      <c r="N67" s="584"/>
    </row>
    <row r="68" spans="2:14" s="227" customFormat="1" x14ac:dyDescent="0.25">
      <c r="B68" s="653" t="s">
        <v>2886</v>
      </c>
      <c r="C68" s="653" t="s">
        <v>2889</v>
      </c>
      <c r="D68" s="658" t="s">
        <v>2885</v>
      </c>
      <c r="E68" s="921">
        <f>IF(14.6&gt;1.1*$E$31,14.6,(1.1*$E$31))</f>
        <v>15.510000000000002</v>
      </c>
      <c r="F68" s="920" t="s">
        <v>3577</v>
      </c>
      <c r="L68" s="1012"/>
      <c r="N68" s="584"/>
    </row>
    <row r="69" spans="2:14" s="227" customFormat="1" x14ac:dyDescent="0.25">
      <c r="B69" s="653" t="s">
        <v>2886</v>
      </c>
      <c r="C69" s="653" t="s">
        <v>2890</v>
      </c>
      <c r="D69" s="658" t="s">
        <v>2885</v>
      </c>
      <c r="E69" s="921">
        <f>IF(13.9&gt;1.1*$E$32,13.9,(1.1*$E$32))</f>
        <v>14.850000000000001</v>
      </c>
      <c r="F69" s="920" t="s">
        <v>3577</v>
      </c>
      <c r="L69" s="1012"/>
      <c r="N69" s="584"/>
    </row>
    <row r="70" spans="2:14" s="227" customFormat="1" x14ac:dyDescent="0.25">
      <c r="B70" s="653" t="s">
        <v>2886</v>
      </c>
      <c r="C70" s="653" t="s">
        <v>2891</v>
      </c>
      <c r="D70" s="658" t="s">
        <v>2885</v>
      </c>
      <c r="E70" s="921">
        <f>IF(12.7&gt;1.1*$E$33,12.7,(1.1*$E$33))</f>
        <v>13.750000000000002</v>
      </c>
      <c r="F70" s="920" t="s">
        <v>3577</v>
      </c>
      <c r="L70" s="1012"/>
      <c r="N70" s="584"/>
    </row>
    <row r="71" spans="2:14" s="227" customFormat="1" x14ac:dyDescent="0.25">
      <c r="B71" s="653" t="s">
        <v>3780</v>
      </c>
      <c r="C71" s="653" t="s">
        <v>3781</v>
      </c>
      <c r="D71" s="923">
        <v>16</v>
      </c>
      <c r="E71" s="1019">
        <v>16</v>
      </c>
      <c r="F71" s="922" t="s">
        <v>3577</v>
      </c>
      <c r="L71" s="1012"/>
      <c r="N71" s="584"/>
    </row>
    <row r="72" spans="2:14" s="227" customFormat="1" x14ac:dyDescent="0.25">
      <c r="B72" s="653" t="s">
        <v>3780</v>
      </c>
      <c r="C72" s="653" t="s">
        <v>3782</v>
      </c>
      <c r="D72" s="923">
        <v>16</v>
      </c>
      <c r="E72" s="1019">
        <v>16</v>
      </c>
      <c r="F72" s="922" t="s">
        <v>3577</v>
      </c>
      <c r="L72" s="1012"/>
      <c r="N72" s="584"/>
    </row>
    <row r="73" spans="2:14" s="227" customFormat="1" x14ac:dyDescent="0.25">
      <c r="B73" s="653" t="s">
        <v>3780</v>
      </c>
      <c r="C73" s="653" t="s">
        <v>3783</v>
      </c>
      <c r="D73" s="658" t="s">
        <v>2885</v>
      </c>
      <c r="E73" s="921">
        <f>IF(16&gt;1.1*$E$36,16,(1.1*$E$36))</f>
        <v>16</v>
      </c>
      <c r="F73" s="922" t="s">
        <v>3577</v>
      </c>
      <c r="L73" s="1012"/>
      <c r="N73" s="584"/>
    </row>
    <row r="74" spans="2:14" s="227" customFormat="1" hidden="1" x14ac:dyDescent="0.25">
      <c r="B74" s="1011" t="s">
        <v>3804</v>
      </c>
      <c r="C74" s="1011" t="s">
        <v>6252</v>
      </c>
      <c r="D74" s="1015" t="s">
        <v>2885</v>
      </c>
      <c r="E74" s="1018">
        <f>F74</f>
        <v>13.1</v>
      </c>
      <c r="F74" s="1016">
        <f t="shared" ref="F74:F87" si="2">ROUND(F37*1.1,1)</f>
        <v>13.1</v>
      </c>
      <c r="G74" s="227" t="s">
        <v>6885</v>
      </c>
      <c r="N74" s="584"/>
    </row>
    <row r="75" spans="2:14" s="227" customFormat="1" hidden="1" x14ac:dyDescent="0.25">
      <c r="B75" s="1011" t="s">
        <v>3804</v>
      </c>
      <c r="C75" s="1011" t="s">
        <v>6887</v>
      </c>
      <c r="D75" s="1014">
        <f t="shared" ref="D75:D86" si="3">F75</f>
        <v>-5.7</v>
      </c>
      <c r="E75" s="1015" t="s">
        <v>2885</v>
      </c>
      <c r="F75" s="1016">
        <f t="shared" si="2"/>
        <v>-5.7</v>
      </c>
      <c r="N75" s="584"/>
    </row>
    <row r="76" spans="2:14" s="227" customFormat="1" hidden="1" x14ac:dyDescent="0.25">
      <c r="B76" s="1011" t="s">
        <v>3804</v>
      </c>
      <c r="C76" s="1011" t="s">
        <v>6254</v>
      </c>
      <c r="D76" s="1014">
        <f t="shared" si="3"/>
        <v>10.5</v>
      </c>
      <c r="E76" s="1015" t="s">
        <v>2885</v>
      </c>
      <c r="F76" s="1016">
        <f t="shared" si="2"/>
        <v>10.5</v>
      </c>
      <c r="N76" s="584"/>
    </row>
    <row r="77" spans="2:14" s="227" customFormat="1" hidden="1" x14ac:dyDescent="0.25">
      <c r="B77" s="1011" t="s">
        <v>3805</v>
      </c>
      <c r="C77" s="1011" t="s">
        <v>6252</v>
      </c>
      <c r="D77" s="1014">
        <f t="shared" si="3"/>
        <v>10.3</v>
      </c>
      <c r="E77" s="1015" t="s">
        <v>2885</v>
      </c>
      <c r="F77" s="1016">
        <f t="shared" si="2"/>
        <v>10.3</v>
      </c>
      <c r="N77" s="584"/>
    </row>
    <row r="78" spans="2:14" s="227" customFormat="1" hidden="1" x14ac:dyDescent="0.25">
      <c r="B78" s="1011" t="s">
        <v>3805</v>
      </c>
      <c r="C78" s="1011" t="s">
        <v>6887</v>
      </c>
      <c r="D78" s="1014">
        <f t="shared" si="3"/>
        <v>-3</v>
      </c>
      <c r="E78" s="1015" t="s">
        <v>2885</v>
      </c>
      <c r="F78" s="1016">
        <f t="shared" si="2"/>
        <v>-3</v>
      </c>
      <c r="N78" s="584"/>
    </row>
    <row r="79" spans="2:14" s="227" customFormat="1" hidden="1" x14ac:dyDescent="0.25">
      <c r="B79" s="1011" t="s">
        <v>3805</v>
      </c>
      <c r="C79" s="1011" t="s">
        <v>6254</v>
      </c>
      <c r="D79" s="1014">
        <f t="shared" si="3"/>
        <v>8.5</v>
      </c>
      <c r="E79" s="1015" t="s">
        <v>2885</v>
      </c>
      <c r="F79" s="1016">
        <f t="shared" si="2"/>
        <v>8.5</v>
      </c>
      <c r="N79" s="584"/>
    </row>
    <row r="80" spans="2:14" s="227" customFormat="1" hidden="1" x14ac:dyDescent="0.25">
      <c r="B80" s="1011" t="s">
        <v>3806</v>
      </c>
      <c r="C80" s="1011" t="s">
        <v>6252</v>
      </c>
      <c r="D80" s="1014">
        <f t="shared" si="3"/>
        <v>13.1</v>
      </c>
      <c r="E80" s="1015" t="s">
        <v>2885</v>
      </c>
      <c r="F80" s="1016">
        <f t="shared" si="2"/>
        <v>13.1</v>
      </c>
      <c r="N80" s="584"/>
    </row>
    <row r="81" spans="2:14" s="227" customFormat="1" hidden="1" x14ac:dyDescent="0.25">
      <c r="B81" s="1011" t="s">
        <v>3806</v>
      </c>
      <c r="C81" s="1011" t="s">
        <v>6887</v>
      </c>
      <c r="D81" s="1014">
        <f t="shared" si="3"/>
        <v>-5.7</v>
      </c>
      <c r="E81" s="1015" t="s">
        <v>2885</v>
      </c>
      <c r="F81" s="1016">
        <f t="shared" si="2"/>
        <v>-5.7</v>
      </c>
      <c r="N81" s="584"/>
    </row>
    <row r="82" spans="2:14" s="227" customFormat="1" hidden="1" x14ac:dyDescent="0.25">
      <c r="B82" s="1011" t="s">
        <v>3806</v>
      </c>
      <c r="C82" s="1011" t="s">
        <v>6254</v>
      </c>
      <c r="D82" s="1014">
        <f t="shared" si="3"/>
        <v>10.5</v>
      </c>
      <c r="E82" s="1015" t="s">
        <v>2885</v>
      </c>
      <c r="F82" s="1016">
        <f t="shared" si="2"/>
        <v>10.5</v>
      </c>
      <c r="N82" s="584"/>
    </row>
    <row r="83" spans="2:14" s="227" customFormat="1" hidden="1" x14ac:dyDescent="0.25">
      <c r="B83" s="1011" t="s">
        <v>3803</v>
      </c>
      <c r="C83" s="1011" t="s">
        <v>6252</v>
      </c>
      <c r="D83" s="1014">
        <f t="shared" si="3"/>
        <v>10.199999999999999</v>
      </c>
      <c r="E83" s="1015" t="s">
        <v>2885</v>
      </c>
      <c r="F83" s="1016">
        <f t="shared" si="2"/>
        <v>10.199999999999999</v>
      </c>
      <c r="N83" s="584"/>
    </row>
    <row r="84" spans="2:14" s="227" customFormat="1" hidden="1" x14ac:dyDescent="0.25">
      <c r="B84" s="1011" t="s">
        <v>3803</v>
      </c>
      <c r="C84" s="1011" t="s">
        <v>6887</v>
      </c>
      <c r="D84" s="1014">
        <f t="shared" si="3"/>
        <v>-3.1</v>
      </c>
      <c r="E84" s="1015" t="s">
        <v>2885</v>
      </c>
      <c r="F84" s="1016">
        <f t="shared" si="2"/>
        <v>-3.1</v>
      </c>
      <c r="N84" s="584"/>
    </row>
    <row r="85" spans="2:14" s="227" customFormat="1" hidden="1" x14ac:dyDescent="0.25">
      <c r="B85" s="1011" t="s">
        <v>3803</v>
      </c>
      <c r="C85" s="1011" t="s">
        <v>6254</v>
      </c>
      <c r="D85" s="1014">
        <f t="shared" si="3"/>
        <v>8.4</v>
      </c>
      <c r="E85" s="1015" t="s">
        <v>2885</v>
      </c>
      <c r="F85" s="1016">
        <f t="shared" si="2"/>
        <v>8.4</v>
      </c>
      <c r="N85" s="584"/>
    </row>
    <row r="86" spans="2:14" s="227" customFormat="1" hidden="1" x14ac:dyDescent="0.25">
      <c r="B86" s="1011" t="s">
        <v>3807</v>
      </c>
      <c r="C86" s="1011" t="s">
        <v>2884</v>
      </c>
      <c r="D86" s="1014">
        <f t="shared" si="3"/>
        <v>12.1</v>
      </c>
      <c r="E86" s="1017" t="s">
        <v>2885</v>
      </c>
      <c r="F86" s="1016">
        <f t="shared" si="2"/>
        <v>12.1</v>
      </c>
      <c r="N86" s="584"/>
    </row>
    <row r="87" spans="2:14" s="227" customFormat="1" hidden="1" x14ac:dyDescent="0.25">
      <c r="B87" s="1011" t="s">
        <v>3807</v>
      </c>
      <c r="C87" s="1011" t="s">
        <v>6888</v>
      </c>
      <c r="D87" s="1015" t="s">
        <v>2885</v>
      </c>
      <c r="E87" s="1018">
        <f>F87</f>
        <v>11</v>
      </c>
      <c r="F87" s="1016">
        <f t="shared" si="2"/>
        <v>11</v>
      </c>
      <c r="N87" s="584"/>
    </row>
    <row r="88" spans="2:14" s="227" customFormat="1" x14ac:dyDescent="0.25">
      <c r="D88" s="659"/>
      <c r="E88" s="659"/>
      <c r="F88" s="659"/>
      <c r="N88" s="584"/>
    </row>
    <row r="89" spans="2:14" s="227" customFormat="1" ht="18.75" x14ac:dyDescent="0.25">
      <c r="B89" s="283" t="s">
        <v>6886</v>
      </c>
      <c r="D89" s="659"/>
      <c r="E89" s="659"/>
      <c r="F89" s="659"/>
      <c r="G89" s="423"/>
      <c r="N89" s="584"/>
    </row>
    <row r="90" spans="2:14" s="227" customFormat="1" x14ac:dyDescent="0.25">
      <c r="D90" s="659"/>
      <c r="E90" s="659"/>
      <c r="F90" s="659"/>
      <c r="G90" s="423"/>
      <c r="N90" s="584"/>
    </row>
    <row r="91" spans="2:14" s="227" customFormat="1" x14ac:dyDescent="0.25">
      <c r="B91" s="2024" t="s">
        <v>2879</v>
      </c>
      <c r="C91" s="2024" t="s">
        <v>2880</v>
      </c>
      <c r="D91" s="2032" t="s">
        <v>2881</v>
      </c>
      <c r="E91" s="2033"/>
      <c r="F91" s="525" t="s">
        <v>2903</v>
      </c>
      <c r="N91" s="584"/>
    </row>
    <row r="92" spans="2:14" s="227" customFormat="1" x14ac:dyDescent="0.25">
      <c r="B92" s="2025"/>
      <c r="C92" s="2025"/>
      <c r="D92" s="660" t="s">
        <v>1008</v>
      </c>
      <c r="E92" s="660" t="s">
        <v>2883</v>
      </c>
      <c r="F92" s="660" t="s">
        <v>308</v>
      </c>
      <c r="N92" s="584"/>
    </row>
    <row r="93" spans="2:14" s="227" customFormat="1" x14ac:dyDescent="0.25">
      <c r="B93" s="653" t="s">
        <v>6238</v>
      </c>
      <c r="C93" s="653" t="s">
        <v>6250</v>
      </c>
      <c r="D93" s="918">
        <f>ROUND(D56*1.1,1)</f>
        <v>16.7</v>
      </c>
      <c r="E93" s="658" t="s">
        <v>2885</v>
      </c>
      <c r="F93" s="919" t="s">
        <v>3577</v>
      </c>
      <c r="N93" s="584"/>
    </row>
    <row r="94" spans="2:14" s="227" customFormat="1" x14ac:dyDescent="0.25">
      <c r="B94" s="653" t="s">
        <v>6238</v>
      </c>
      <c r="C94" s="653" t="s">
        <v>6251</v>
      </c>
      <c r="D94" s="918">
        <f>ROUND(D57*1.1,1)</f>
        <v>16.7</v>
      </c>
      <c r="E94" s="658" t="s">
        <v>2885</v>
      </c>
      <c r="F94" s="920" t="s">
        <v>3577</v>
      </c>
      <c r="N94" s="584"/>
    </row>
    <row r="95" spans="2:14" s="227" customFormat="1" x14ac:dyDescent="0.25">
      <c r="B95" s="653" t="s">
        <v>6239</v>
      </c>
      <c r="C95" s="653" t="s">
        <v>2884</v>
      </c>
      <c r="D95" s="918">
        <f>ROUND(D58*1.1,1)</f>
        <v>16.7</v>
      </c>
      <c r="E95" s="658" t="s">
        <v>2885</v>
      </c>
      <c r="F95" s="920" t="s">
        <v>3577</v>
      </c>
      <c r="N95" s="584"/>
    </row>
    <row r="96" spans="2:14" s="227" customFormat="1" x14ac:dyDescent="0.25">
      <c r="B96" s="653" t="s">
        <v>6240</v>
      </c>
      <c r="C96" s="653" t="s">
        <v>2884</v>
      </c>
      <c r="D96" s="918">
        <f>ROUND(D22*1.2,1)</f>
        <v>16.100000000000001</v>
      </c>
      <c r="E96" s="658" t="s">
        <v>2885</v>
      </c>
      <c r="F96" s="920" t="s">
        <v>3577</v>
      </c>
      <c r="N96" s="584"/>
    </row>
    <row r="97" spans="1:20" s="227" customFormat="1" x14ac:dyDescent="0.25">
      <c r="B97" s="653" t="s">
        <v>6241</v>
      </c>
      <c r="C97" s="653" t="s">
        <v>2884</v>
      </c>
      <c r="D97" s="918">
        <f>ROUND(D23*1.2,1)</f>
        <v>16.100000000000001</v>
      </c>
      <c r="E97" s="658" t="s">
        <v>2885</v>
      </c>
      <c r="F97" s="920" t="s">
        <v>3577</v>
      </c>
      <c r="N97" s="584"/>
    </row>
    <row r="98" spans="1:20" s="227" customFormat="1" x14ac:dyDescent="0.25">
      <c r="B98" s="653" t="s">
        <v>6242</v>
      </c>
      <c r="C98" s="653" t="s">
        <v>2889</v>
      </c>
      <c r="D98" s="658" t="s">
        <v>2885</v>
      </c>
      <c r="E98" s="921">
        <f>ROUND(E61*1.1,1)</f>
        <v>17.899999999999999</v>
      </c>
      <c r="F98" s="920" t="s">
        <v>3577</v>
      </c>
      <c r="L98" s="1012"/>
      <c r="N98" s="584"/>
    </row>
    <row r="99" spans="1:20" s="227" customFormat="1" x14ac:dyDescent="0.25">
      <c r="B99" s="653" t="s">
        <v>6242</v>
      </c>
      <c r="C99" s="653" t="s">
        <v>2890</v>
      </c>
      <c r="D99" s="658" t="s">
        <v>2885</v>
      </c>
      <c r="E99" s="921">
        <f t="shared" ref="E99:E100" si="4">ROUND(E62*1.1,1)</f>
        <v>17.2</v>
      </c>
      <c r="F99" s="920" t="s">
        <v>3577</v>
      </c>
      <c r="L99" s="1012"/>
      <c r="N99" s="584"/>
    </row>
    <row r="100" spans="1:20" s="227" customFormat="1" x14ac:dyDescent="0.25">
      <c r="B100" s="653" t="s">
        <v>6242</v>
      </c>
      <c r="C100" s="653" t="s">
        <v>2891</v>
      </c>
      <c r="D100" s="658" t="s">
        <v>2885</v>
      </c>
      <c r="E100" s="921">
        <f t="shared" si="4"/>
        <v>16</v>
      </c>
      <c r="F100" s="920" t="s">
        <v>3577</v>
      </c>
      <c r="L100" s="1012"/>
      <c r="N100" s="584"/>
    </row>
    <row r="101" spans="1:20" s="227" customFormat="1" x14ac:dyDescent="0.25">
      <c r="B101" s="653" t="s">
        <v>6243</v>
      </c>
      <c r="C101" s="653" t="s">
        <v>2884</v>
      </c>
      <c r="D101" s="918">
        <f>ROUND(D64*1.1,1)</f>
        <v>16.7</v>
      </c>
      <c r="E101" s="658"/>
      <c r="F101" s="920" t="s">
        <v>3577</v>
      </c>
      <c r="N101" s="584"/>
    </row>
    <row r="102" spans="1:20" s="227" customFormat="1" x14ac:dyDescent="0.25">
      <c r="B102" s="653" t="s">
        <v>6244</v>
      </c>
      <c r="C102" s="653" t="s">
        <v>2884</v>
      </c>
      <c r="D102" s="918">
        <f>ROUND(D65*1.1,1)</f>
        <v>16.7</v>
      </c>
      <c r="E102" s="658"/>
      <c r="F102" s="920" t="s">
        <v>3577</v>
      </c>
      <c r="N102" s="584"/>
    </row>
    <row r="103" spans="1:20" s="227" customFormat="1" x14ac:dyDescent="0.25">
      <c r="B103" s="653" t="s">
        <v>6246</v>
      </c>
      <c r="C103" s="653" t="s">
        <v>2884</v>
      </c>
      <c r="D103" s="918">
        <f>ROUND(D29*1.2,1)</f>
        <v>17.2</v>
      </c>
      <c r="E103" s="658"/>
      <c r="F103" s="920" t="s">
        <v>3577</v>
      </c>
      <c r="N103" s="584"/>
    </row>
    <row r="104" spans="1:20" s="227" customFormat="1" x14ac:dyDescent="0.25">
      <c r="B104" s="653" t="s">
        <v>6247</v>
      </c>
      <c r="C104" s="653" t="s">
        <v>2884</v>
      </c>
      <c r="D104" s="918">
        <f>ROUND(D30*1.2,1)</f>
        <v>16.100000000000001</v>
      </c>
      <c r="E104" s="658"/>
      <c r="F104" s="920" t="s">
        <v>3577</v>
      </c>
      <c r="N104" s="584"/>
    </row>
    <row r="105" spans="1:20" s="227" customFormat="1" x14ac:dyDescent="0.25">
      <c r="B105" s="653" t="s">
        <v>2886</v>
      </c>
      <c r="C105" s="653" t="s">
        <v>2889</v>
      </c>
      <c r="D105" s="658" t="s">
        <v>2885</v>
      </c>
      <c r="E105" s="921">
        <f>ROUND(E68*1.1,1)</f>
        <v>17.100000000000001</v>
      </c>
      <c r="F105" s="920" t="s">
        <v>3577</v>
      </c>
      <c r="L105" s="1012"/>
      <c r="N105" s="584"/>
    </row>
    <row r="106" spans="1:20" s="227" customFormat="1" x14ac:dyDescent="0.25">
      <c r="B106" s="653" t="s">
        <v>2886</v>
      </c>
      <c r="C106" s="653" t="s">
        <v>2890</v>
      </c>
      <c r="D106" s="658" t="s">
        <v>2885</v>
      </c>
      <c r="E106" s="921">
        <f t="shared" ref="E106:E110" si="5">ROUND(E69*1.1,1)</f>
        <v>16.3</v>
      </c>
      <c r="F106" s="920" t="s">
        <v>3577</v>
      </c>
      <c r="L106" s="1012"/>
      <c r="N106" s="584"/>
    </row>
    <row r="107" spans="1:20" x14ac:dyDescent="0.25">
      <c r="A107" s="227"/>
      <c r="B107" s="653" t="s">
        <v>2886</v>
      </c>
      <c r="C107" s="653" t="s">
        <v>2891</v>
      </c>
      <c r="D107" s="658" t="s">
        <v>2885</v>
      </c>
      <c r="E107" s="921">
        <f t="shared" si="5"/>
        <v>15.1</v>
      </c>
      <c r="F107" s="920" t="s">
        <v>3577</v>
      </c>
      <c r="G107" s="227"/>
      <c r="H107" s="227"/>
      <c r="I107" s="227"/>
      <c r="J107" s="227"/>
      <c r="K107" s="227"/>
      <c r="L107" s="1012"/>
      <c r="M107" s="227"/>
      <c r="O107" s="227"/>
      <c r="T107" s="227"/>
    </row>
    <row r="108" spans="1:20" x14ac:dyDescent="0.25">
      <c r="A108" s="227"/>
      <c r="B108" s="653" t="s">
        <v>3780</v>
      </c>
      <c r="C108" s="653" t="s">
        <v>3781</v>
      </c>
      <c r="D108" s="923">
        <v>17.600000000000001</v>
      </c>
      <c r="E108" s="921">
        <f t="shared" si="5"/>
        <v>17.600000000000001</v>
      </c>
      <c r="F108" s="922" t="s">
        <v>3577</v>
      </c>
      <c r="G108" s="227"/>
      <c r="H108" s="227"/>
      <c r="I108" s="227"/>
      <c r="J108" s="227"/>
      <c r="K108" s="227"/>
      <c r="L108" s="1012"/>
      <c r="M108" s="227"/>
      <c r="O108" s="227"/>
      <c r="T108" s="227"/>
    </row>
    <row r="109" spans="1:20" x14ac:dyDescent="0.25">
      <c r="A109" s="227"/>
      <c r="B109" s="653" t="s">
        <v>3780</v>
      </c>
      <c r="C109" s="653" t="s">
        <v>3782</v>
      </c>
      <c r="D109" s="923">
        <v>17.600000000000001</v>
      </c>
      <c r="E109" s="921">
        <f t="shared" si="5"/>
        <v>17.600000000000001</v>
      </c>
      <c r="F109" s="922" t="s">
        <v>3577</v>
      </c>
      <c r="G109" s="227"/>
      <c r="H109" s="227"/>
      <c r="I109" s="227"/>
      <c r="J109" s="227"/>
      <c r="K109" s="227"/>
      <c r="L109" s="1012"/>
      <c r="M109" s="227"/>
      <c r="O109" s="227"/>
      <c r="T109" s="227"/>
    </row>
    <row r="110" spans="1:20" x14ac:dyDescent="0.25">
      <c r="A110" s="227"/>
      <c r="B110" s="653" t="s">
        <v>3780</v>
      </c>
      <c r="C110" s="653" t="s">
        <v>3783</v>
      </c>
      <c r="D110" s="658" t="s">
        <v>2885</v>
      </c>
      <c r="E110" s="921">
        <f t="shared" si="5"/>
        <v>17.600000000000001</v>
      </c>
      <c r="F110" s="922" t="s">
        <v>3577</v>
      </c>
      <c r="G110" s="227"/>
      <c r="H110" s="227"/>
      <c r="I110" s="227"/>
      <c r="J110" s="227"/>
      <c r="K110" s="227"/>
      <c r="L110" s="1012"/>
      <c r="M110" s="227"/>
      <c r="O110" s="227"/>
      <c r="T110" s="227"/>
    </row>
    <row r="111" spans="1:20" hidden="1" x14ac:dyDescent="0.25">
      <c r="A111" s="227"/>
      <c r="B111" s="1011" t="s">
        <v>3804</v>
      </c>
      <c r="C111" s="1011" t="s">
        <v>6252</v>
      </c>
      <c r="D111" s="1014">
        <f>F111</f>
        <v>15.6</v>
      </c>
      <c r="E111" s="1015" t="s">
        <v>2885</v>
      </c>
      <c r="F111" s="1016">
        <f t="shared" ref="F111:F124" si="6">ROUND(F35*1.2,1)</f>
        <v>15.6</v>
      </c>
      <c r="G111" s="227" t="s">
        <v>6885</v>
      </c>
      <c r="H111" s="227"/>
      <c r="I111" s="227"/>
      <c r="J111" s="227"/>
      <c r="K111" s="227"/>
      <c r="L111" s="227"/>
      <c r="M111" s="227"/>
      <c r="O111" s="227"/>
      <c r="T111" s="227"/>
    </row>
    <row r="112" spans="1:20" hidden="1" x14ac:dyDescent="0.25">
      <c r="A112" s="227"/>
      <c r="B112" s="1011" t="s">
        <v>3804</v>
      </c>
      <c r="C112" s="1011" t="s">
        <v>6887</v>
      </c>
      <c r="D112" s="1014">
        <f>F112</f>
        <v>15.6</v>
      </c>
      <c r="E112" s="1015" t="s">
        <v>2885</v>
      </c>
      <c r="F112" s="1016">
        <f t="shared" si="6"/>
        <v>15.6</v>
      </c>
      <c r="G112" s="227"/>
      <c r="H112" s="227"/>
      <c r="I112" s="227"/>
      <c r="J112" s="227"/>
      <c r="K112" s="227"/>
      <c r="L112" s="227"/>
      <c r="M112" s="227"/>
      <c r="O112" s="227"/>
      <c r="T112" s="227"/>
    </row>
    <row r="113" spans="1:20" hidden="1" x14ac:dyDescent="0.25">
      <c r="A113" s="227"/>
      <c r="B113" s="1011" t="s">
        <v>3804</v>
      </c>
      <c r="C113" s="1011" t="s">
        <v>6254</v>
      </c>
      <c r="D113" s="1014">
        <f>F113</f>
        <v>14.3</v>
      </c>
      <c r="E113" s="1015" t="s">
        <v>2885</v>
      </c>
      <c r="F113" s="1016">
        <f t="shared" si="6"/>
        <v>14.3</v>
      </c>
      <c r="G113" s="227"/>
      <c r="H113" s="227"/>
      <c r="I113" s="227"/>
      <c r="J113" s="227"/>
      <c r="K113" s="227"/>
      <c r="L113" s="227"/>
      <c r="M113" s="227"/>
      <c r="O113" s="227"/>
      <c r="T113" s="227"/>
    </row>
    <row r="114" spans="1:20" hidden="1" x14ac:dyDescent="0.25">
      <c r="A114" s="227"/>
      <c r="B114" s="1011" t="s">
        <v>3805</v>
      </c>
      <c r="C114" s="1011" t="s">
        <v>6252</v>
      </c>
      <c r="D114" s="1014">
        <f>F114</f>
        <v>-6.2</v>
      </c>
      <c r="E114" s="1015" t="s">
        <v>2885</v>
      </c>
      <c r="F114" s="1016">
        <f t="shared" si="6"/>
        <v>-6.2</v>
      </c>
      <c r="G114" s="227"/>
      <c r="H114" s="227"/>
      <c r="I114" s="227"/>
      <c r="J114" s="227"/>
      <c r="K114" s="227"/>
      <c r="L114" s="227"/>
      <c r="M114" s="227"/>
      <c r="O114" s="227"/>
      <c r="T114" s="227"/>
    </row>
    <row r="115" spans="1:20" hidden="1" x14ac:dyDescent="0.25">
      <c r="A115" s="227"/>
      <c r="B115" s="1011" t="s">
        <v>3805</v>
      </c>
      <c r="C115" s="1011" t="s">
        <v>6887</v>
      </c>
      <c r="D115" s="1014">
        <f t="shared" ref="D115:D120" si="7">F115</f>
        <v>11.4</v>
      </c>
      <c r="E115" s="1015" t="s">
        <v>2885</v>
      </c>
      <c r="F115" s="1016">
        <f t="shared" si="6"/>
        <v>11.4</v>
      </c>
      <c r="G115" s="227"/>
      <c r="H115" s="227"/>
      <c r="I115" s="227"/>
      <c r="J115" s="227"/>
      <c r="K115" s="227"/>
      <c r="L115" s="227"/>
      <c r="M115" s="227"/>
      <c r="O115" s="227"/>
      <c r="T115" s="227"/>
    </row>
    <row r="116" spans="1:20" hidden="1" x14ac:dyDescent="0.25">
      <c r="A116" s="227"/>
      <c r="B116" s="1011" t="s">
        <v>3805</v>
      </c>
      <c r="C116" s="1011" t="s">
        <v>6254</v>
      </c>
      <c r="D116" s="1014">
        <f t="shared" si="7"/>
        <v>11.3</v>
      </c>
      <c r="E116" s="1015" t="s">
        <v>2885</v>
      </c>
      <c r="F116" s="1016">
        <f t="shared" si="6"/>
        <v>11.3</v>
      </c>
      <c r="G116" s="227"/>
      <c r="H116" s="227"/>
      <c r="I116" s="227"/>
      <c r="J116" s="227"/>
      <c r="K116" s="227"/>
      <c r="L116" s="227"/>
      <c r="M116" s="227"/>
      <c r="O116" s="227"/>
      <c r="T116" s="227"/>
    </row>
    <row r="117" spans="1:20" hidden="1" x14ac:dyDescent="0.25">
      <c r="A117" s="227"/>
      <c r="B117" s="1011" t="s">
        <v>3806</v>
      </c>
      <c r="C117" s="1011" t="s">
        <v>6252</v>
      </c>
      <c r="D117" s="1014">
        <f t="shared" si="7"/>
        <v>-3.2</v>
      </c>
      <c r="E117" s="1015" t="s">
        <v>2885</v>
      </c>
      <c r="F117" s="1016">
        <f t="shared" si="6"/>
        <v>-3.2</v>
      </c>
      <c r="G117" s="227"/>
      <c r="H117" s="227"/>
      <c r="I117" s="227"/>
      <c r="J117" s="227"/>
      <c r="K117" s="227"/>
      <c r="L117" s="227"/>
      <c r="M117" s="227"/>
      <c r="O117" s="227"/>
      <c r="T117" s="227"/>
    </row>
    <row r="118" spans="1:20" hidden="1" x14ac:dyDescent="0.25">
      <c r="A118" s="227"/>
      <c r="B118" s="1011" t="s">
        <v>3806</v>
      </c>
      <c r="C118" s="1011" t="s">
        <v>6887</v>
      </c>
      <c r="D118" s="1014">
        <f t="shared" si="7"/>
        <v>9.1999999999999993</v>
      </c>
      <c r="E118" s="1015" t="s">
        <v>2885</v>
      </c>
      <c r="F118" s="1016">
        <f t="shared" si="6"/>
        <v>9.1999999999999993</v>
      </c>
      <c r="G118" s="227"/>
      <c r="H118" s="227"/>
      <c r="I118" s="227"/>
      <c r="J118" s="227"/>
      <c r="K118" s="227"/>
      <c r="L118" s="227"/>
      <c r="M118" s="227"/>
      <c r="O118" s="227"/>
      <c r="T118" s="227"/>
    </row>
    <row r="119" spans="1:20" hidden="1" x14ac:dyDescent="0.25">
      <c r="A119" s="227"/>
      <c r="B119" s="1011" t="s">
        <v>3806</v>
      </c>
      <c r="C119" s="1011" t="s">
        <v>6254</v>
      </c>
      <c r="D119" s="1014">
        <f t="shared" si="7"/>
        <v>14.3</v>
      </c>
      <c r="E119" s="1015" t="s">
        <v>2885</v>
      </c>
      <c r="F119" s="1016">
        <f t="shared" si="6"/>
        <v>14.3</v>
      </c>
      <c r="G119" s="227"/>
      <c r="H119" s="227"/>
      <c r="I119" s="227"/>
      <c r="J119" s="227"/>
      <c r="K119" s="227"/>
      <c r="L119" s="227"/>
      <c r="M119" s="227"/>
      <c r="O119" s="227"/>
      <c r="T119" s="227"/>
    </row>
    <row r="120" spans="1:20" hidden="1" x14ac:dyDescent="0.25">
      <c r="A120" s="227"/>
      <c r="B120" s="1011" t="s">
        <v>3803</v>
      </c>
      <c r="C120" s="1011" t="s">
        <v>6252</v>
      </c>
      <c r="D120" s="1014">
        <f t="shared" si="7"/>
        <v>-6.2</v>
      </c>
      <c r="E120" s="1015" t="s">
        <v>2885</v>
      </c>
      <c r="F120" s="1016">
        <f t="shared" si="6"/>
        <v>-6.2</v>
      </c>
      <c r="G120" s="227"/>
      <c r="H120" s="227"/>
      <c r="I120" s="227"/>
      <c r="J120" s="227"/>
      <c r="K120" s="227"/>
      <c r="L120" s="227"/>
      <c r="M120" s="227"/>
      <c r="O120" s="227"/>
      <c r="T120" s="227"/>
    </row>
    <row r="121" spans="1:20" hidden="1" x14ac:dyDescent="0.25">
      <c r="A121" s="227"/>
      <c r="B121" s="1011" t="s">
        <v>3803</v>
      </c>
      <c r="C121" s="1011" t="s">
        <v>6887</v>
      </c>
      <c r="D121" s="1014">
        <f>F121</f>
        <v>11.4</v>
      </c>
      <c r="E121" s="1015" t="s">
        <v>2885</v>
      </c>
      <c r="F121" s="1016">
        <f t="shared" si="6"/>
        <v>11.4</v>
      </c>
      <c r="G121" s="227"/>
      <c r="H121" s="227"/>
      <c r="I121" s="227"/>
      <c r="J121" s="227"/>
      <c r="K121" s="227"/>
      <c r="L121" s="227"/>
      <c r="M121" s="227"/>
      <c r="O121" s="227"/>
      <c r="T121" s="227"/>
    </row>
    <row r="122" spans="1:20" hidden="1" x14ac:dyDescent="0.25">
      <c r="A122" s="227"/>
      <c r="B122" s="1011" t="s">
        <v>3803</v>
      </c>
      <c r="C122" s="1011" t="s">
        <v>6254</v>
      </c>
      <c r="D122" s="1014">
        <f t="shared" ref="D122" si="8">F122</f>
        <v>11.2</v>
      </c>
      <c r="E122" s="1015" t="s">
        <v>2885</v>
      </c>
      <c r="F122" s="1016">
        <f t="shared" si="6"/>
        <v>11.2</v>
      </c>
      <c r="G122" s="227"/>
      <c r="H122" s="227"/>
      <c r="I122" s="227"/>
      <c r="J122" s="227"/>
      <c r="K122" s="227"/>
      <c r="L122" s="227"/>
      <c r="M122" s="227"/>
      <c r="O122" s="227"/>
      <c r="T122" s="227"/>
    </row>
    <row r="123" spans="1:20" hidden="1" x14ac:dyDescent="0.25">
      <c r="A123" s="227"/>
      <c r="B123" s="1011" t="s">
        <v>3807</v>
      </c>
      <c r="C123" s="1011" t="s">
        <v>2884</v>
      </c>
      <c r="D123" s="1014">
        <f>F123</f>
        <v>-3.4</v>
      </c>
      <c r="E123" s="1017" t="s">
        <v>2885</v>
      </c>
      <c r="F123" s="1016">
        <f t="shared" si="6"/>
        <v>-3.4</v>
      </c>
      <c r="G123" s="227"/>
      <c r="H123" s="227"/>
      <c r="I123" s="227"/>
      <c r="J123" s="227"/>
      <c r="K123" s="227"/>
      <c r="L123" s="227"/>
      <c r="M123" s="227"/>
      <c r="O123" s="227"/>
      <c r="T123" s="227"/>
    </row>
    <row r="124" spans="1:20" hidden="1" x14ac:dyDescent="0.25">
      <c r="A124" s="227"/>
      <c r="B124" s="1011" t="s">
        <v>3807</v>
      </c>
      <c r="C124" s="1011" t="s">
        <v>6888</v>
      </c>
      <c r="D124" s="1015" t="s">
        <v>2885</v>
      </c>
      <c r="E124" s="1018">
        <f>F124</f>
        <v>9.1</v>
      </c>
      <c r="F124" s="1016">
        <f t="shared" si="6"/>
        <v>9.1</v>
      </c>
      <c r="G124" s="227"/>
      <c r="H124" s="227"/>
      <c r="I124" s="227"/>
      <c r="J124" s="227"/>
      <c r="K124" s="227"/>
      <c r="L124" s="227"/>
      <c r="M124" s="227"/>
      <c r="O124" s="227"/>
      <c r="T124" s="227"/>
    </row>
    <row r="125" spans="1:20" x14ac:dyDescent="0.25">
      <c r="A125" s="227"/>
      <c r="B125" s="227"/>
      <c r="C125" s="227"/>
      <c r="D125" s="227"/>
      <c r="E125" s="227"/>
      <c r="F125" s="227"/>
      <c r="G125" s="227"/>
      <c r="H125" s="227"/>
      <c r="I125" s="227"/>
      <c r="J125" s="227"/>
      <c r="K125" s="227"/>
      <c r="L125" s="227"/>
      <c r="M125" s="227"/>
      <c r="O125" s="227"/>
      <c r="T125" s="227"/>
    </row>
    <row r="126" spans="1:20" x14ac:dyDescent="0.25">
      <c r="A126" s="227"/>
      <c r="B126" s="227"/>
      <c r="C126" s="227"/>
      <c r="D126" s="227"/>
      <c r="E126" s="227"/>
      <c r="F126" s="227"/>
      <c r="G126" s="227"/>
      <c r="H126" s="227"/>
      <c r="I126" s="227"/>
      <c r="J126" s="227"/>
      <c r="K126" s="227"/>
      <c r="L126" s="227"/>
      <c r="M126" s="227"/>
      <c r="O126" s="227"/>
      <c r="T126" s="227"/>
    </row>
    <row r="127" spans="1:20" x14ac:dyDescent="0.25">
      <c r="A127" s="227"/>
      <c r="B127" s="227"/>
      <c r="C127" s="227"/>
      <c r="D127" s="227"/>
      <c r="E127" s="227"/>
      <c r="F127" s="227"/>
      <c r="G127" s="227"/>
      <c r="H127" s="227"/>
      <c r="I127" s="227"/>
      <c r="J127" s="262"/>
      <c r="K127" s="262"/>
      <c r="L127" s="262"/>
      <c r="M127" s="227"/>
      <c r="O127" s="227"/>
      <c r="T127" s="227"/>
    </row>
    <row r="128" spans="1:20" ht="18.75" x14ac:dyDescent="0.25">
      <c r="A128" s="227"/>
      <c r="B128" s="283" t="s">
        <v>3785</v>
      </c>
      <c r="C128" s="262"/>
      <c r="D128" s="262"/>
      <c r="E128" s="262"/>
      <c r="F128" s="262"/>
      <c r="G128" s="262"/>
      <c r="H128" s="262"/>
      <c r="I128" s="262"/>
      <c r="J128" s="262"/>
      <c r="K128" s="262"/>
      <c r="L128" s="262"/>
      <c r="M128" s="262"/>
      <c r="N128" s="656"/>
      <c r="O128" s="227"/>
      <c r="T128" s="227"/>
    </row>
    <row r="129" spans="1:22" x14ac:dyDescent="0.25">
      <c r="A129" s="227"/>
      <c r="B129" s="190"/>
      <c r="C129" s="262"/>
      <c r="D129" s="262"/>
      <c r="E129" s="262"/>
      <c r="F129" s="262"/>
      <c r="G129" s="262"/>
      <c r="H129" s="262"/>
      <c r="I129" s="262"/>
      <c r="J129" s="526"/>
      <c r="K129" s="227"/>
      <c r="L129" s="227"/>
      <c r="M129" s="262"/>
      <c r="N129" s="656"/>
      <c r="O129" s="262"/>
      <c r="T129" s="227"/>
    </row>
    <row r="130" spans="1:22" x14ac:dyDescent="0.25">
      <c r="A130" s="227"/>
      <c r="B130" s="527" t="s">
        <v>54</v>
      </c>
      <c r="C130" s="527" t="s">
        <v>257</v>
      </c>
      <c r="D130" s="527" t="s">
        <v>29</v>
      </c>
      <c r="E130" s="526"/>
      <c r="F130" s="262"/>
      <c r="G130" s="262"/>
      <c r="H130" s="262"/>
      <c r="I130" s="526"/>
      <c r="J130" s="191"/>
      <c r="K130" s="227"/>
      <c r="L130" s="227"/>
      <c r="M130" s="227"/>
      <c r="O130" s="262"/>
      <c r="T130" s="227"/>
      <c r="V130" s="638"/>
    </row>
    <row r="131" spans="1:22" x14ac:dyDescent="0.25">
      <c r="A131" s="227"/>
      <c r="B131" s="653" t="s">
        <v>1984</v>
      </c>
      <c r="C131" s="664">
        <f>'EFLH &amp; CF'!I53</f>
        <v>2594</v>
      </c>
      <c r="D131" s="665">
        <f>'EFLH &amp; CF'!M53</f>
        <v>0.38</v>
      </c>
      <c r="E131" s="191"/>
      <c r="F131" s="262"/>
      <c r="G131" s="262"/>
      <c r="H131" s="262"/>
      <c r="I131" s="191"/>
      <c r="J131" s="191"/>
      <c r="K131" s="227"/>
      <c r="L131" s="227"/>
      <c r="M131" s="227"/>
      <c r="O131" s="227"/>
      <c r="T131" s="227"/>
    </row>
    <row r="132" spans="1:22" x14ac:dyDescent="0.25">
      <c r="A132" s="227"/>
      <c r="B132" s="653" t="s">
        <v>221</v>
      </c>
      <c r="C132" s="664" t="str">
        <f>'EFLH &amp; CF'!I54</f>
        <v>Varies</v>
      </c>
      <c r="D132" s="665" t="str">
        <f>'EFLH &amp; CF'!M54</f>
        <v>Varies</v>
      </c>
      <c r="E132" s="191"/>
      <c r="F132" s="262"/>
      <c r="G132" s="262"/>
      <c r="H132" s="262"/>
      <c r="I132" s="191"/>
      <c r="J132" s="191"/>
      <c r="K132" s="227"/>
      <c r="L132" s="227"/>
      <c r="M132" s="227"/>
      <c r="O132" s="227"/>
      <c r="T132" s="227"/>
    </row>
    <row r="133" spans="1:22" x14ac:dyDescent="0.25">
      <c r="A133" s="227"/>
      <c r="B133" s="653" t="s">
        <v>222</v>
      </c>
      <c r="C133" s="664">
        <f>'EFLH &amp; CF'!I55</f>
        <v>2549</v>
      </c>
      <c r="D133" s="665">
        <f>'EFLH &amp; CF'!M55</f>
        <v>0.43</v>
      </c>
      <c r="E133" s="191"/>
      <c r="F133" s="262"/>
      <c r="G133" s="262"/>
      <c r="H133" s="262"/>
      <c r="I133" s="191"/>
      <c r="J133" s="191"/>
      <c r="K133" s="227"/>
      <c r="L133" s="227"/>
      <c r="M133" s="227"/>
      <c r="O133" s="227"/>
      <c r="T133" s="227"/>
    </row>
    <row r="134" spans="1:22" x14ac:dyDescent="0.25">
      <c r="A134" s="227"/>
      <c r="B134" s="653" t="s">
        <v>223</v>
      </c>
      <c r="C134" s="664">
        <f>'EFLH &amp; CF'!I56</f>
        <v>1531</v>
      </c>
      <c r="D134" s="665">
        <f>'EFLH &amp; CF'!M56</f>
        <v>0.27</v>
      </c>
      <c r="E134" s="191"/>
      <c r="F134" s="262"/>
      <c r="G134" s="262"/>
      <c r="H134" s="262"/>
      <c r="I134" s="191"/>
      <c r="J134" s="191"/>
      <c r="K134" s="227"/>
      <c r="L134" s="227"/>
      <c r="M134" s="227"/>
      <c r="O134" s="227"/>
      <c r="T134" s="227"/>
    </row>
    <row r="135" spans="1:22" x14ac:dyDescent="0.25">
      <c r="A135" s="227"/>
      <c r="B135" s="653" t="s">
        <v>224</v>
      </c>
      <c r="C135" s="664">
        <f>'EFLH &amp; CF'!I57</f>
        <v>4891</v>
      </c>
      <c r="D135" s="665">
        <f>'EFLH &amp; CF'!M57</f>
        <v>0.55000000000000004</v>
      </c>
      <c r="E135" s="191"/>
      <c r="F135" s="262"/>
      <c r="G135" s="262"/>
      <c r="H135" s="262"/>
      <c r="I135" s="191"/>
      <c r="J135" s="191"/>
      <c r="K135" s="227"/>
      <c r="L135" s="227"/>
      <c r="M135" s="227"/>
      <c r="O135" s="227"/>
      <c r="T135" s="227"/>
    </row>
    <row r="136" spans="1:22" x14ac:dyDescent="0.25">
      <c r="A136" s="227"/>
      <c r="B136" s="653" t="s">
        <v>225</v>
      </c>
      <c r="C136" s="664">
        <f>'EFLH &amp; CF'!I58</f>
        <v>4910</v>
      </c>
      <c r="D136" s="665">
        <f>'EFLH &amp; CF'!M58</f>
        <v>0.6</v>
      </c>
      <c r="E136" s="191"/>
      <c r="F136" s="262"/>
      <c r="G136" s="262"/>
      <c r="H136" s="262"/>
      <c r="I136" s="191"/>
      <c r="J136" s="191"/>
      <c r="K136" s="227"/>
      <c r="L136" s="227"/>
      <c r="M136" s="227"/>
      <c r="O136" s="227"/>
      <c r="T136" s="227"/>
    </row>
    <row r="137" spans="1:22" x14ac:dyDescent="0.25">
      <c r="A137" s="227"/>
      <c r="B137" s="653" t="s">
        <v>226</v>
      </c>
      <c r="C137" s="664" t="str">
        <f>'EFLH &amp; CF'!I59</f>
        <v>Varies</v>
      </c>
      <c r="D137" s="665" t="str">
        <f>'EFLH &amp; CF'!M59</f>
        <v>Varies</v>
      </c>
      <c r="E137" s="191"/>
      <c r="F137" s="262"/>
      <c r="G137" s="262"/>
      <c r="H137" s="262"/>
      <c r="I137" s="191"/>
      <c r="J137" s="191"/>
      <c r="K137" s="227"/>
      <c r="L137" s="227"/>
      <c r="M137" s="227"/>
      <c r="O137" s="227"/>
      <c r="T137" s="227"/>
    </row>
    <row r="138" spans="1:22" x14ac:dyDescent="0.25">
      <c r="A138" s="227"/>
      <c r="B138" s="653" t="s">
        <v>55</v>
      </c>
      <c r="C138" s="664">
        <f>'EFLH &amp; CF'!I60</f>
        <v>2754</v>
      </c>
      <c r="D138" s="665">
        <f>'EFLH &amp; CF'!M60</f>
        <v>0.48</v>
      </c>
      <c r="E138" s="191"/>
      <c r="F138" s="262"/>
      <c r="G138" s="262"/>
      <c r="H138" s="262"/>
      <c r="I138" s="191"/>
      <c r="J138" s="191"/>
      <c r="K138" s="227"/>
      <c r="L138" s="227"/>
      <c r="M138" s="227"/>
      <c r="O138" s="227"/>
      <c r="T138" s="227"/>
    </row>
    <row r="139" spans="1:22" x14ac:dyDescent="0.25">
      <c r="A139" s="227"/>
      <c r="B139" s="653" t="s">
        <v>227</v>
      </c>
      <c r="C139" s="664">
        <f>'EFLH &amp; CF'!I61</f>
        <v>2451</v>
      </c>
      <c r="D139" s="665">
        <f>'EFLH &amp; CF'!M61</f>
        <v>0.4</v>
      </c>
      <c r="E139" s="191"/>
      <c r="F139" s="262"/>
      <c r="G139" s="262"/>
      <c r="H139" s="262"/>
      <c r="I139" s="191"/>
      <c r="J139" s="191"/>
      <c r="K139" s="227"/>
      <c r="L139" s="227"/>
      <c r="M139" s="227"/>
      <c r="O139" s="227"/>
      <c r="T139" s="227"/>
    </row>
    <row r="140" spans="1:22" x14ac:dyDescent="0.25">
      <c r="A140" s="227"/>
      <c r="B140" s="653" t="s">
        <v>228</v>
      </c>
      <c r="C140" s="664">
        <f>'EFLH &amp; CF'!I62</f>
        <v>1913</v>
      </c>
      <c r="D140" s="665">
        <f>'EFLH &amp; CF'!M62</f>
        <v>0.28999999999999998</v>
      </c>
      <c r="E140" s="191"/>
      <c r="F140" s="262"/>
      <c r="G140" s="262"/>
      <c r="H140" s="262"/>
      <c r="I140" s="191"/>
      <c r="J140" s="191"/>
      <c r="K140" s="227"/>
      <c r="L140" s="227"/>
      <c r="M140" s="227"/>
      <c r="O140" s="227"/>
      <c r="T140" s="227"/>
    </row>
    <row r="141" spans="1:22" x14ac:dyDescent="0.25">
      <c r="A141" s="227"/>
      <c r="B141" s="653" t="s">
        <v>229</v>
      </c>
      <c r="C141" s="664">
        <f>'EFLH &amp; CF'!I63</f>
        <v>1033</v>
      </c>
      <c r="D141" s="665">
        <f>'EFLH &amp; CF'!M63</f>
        <v>0.01</v>
      </c>
      <c r="E141" s="191"/>
      <c r="F141" s="262"/>
      <c r="G141" s="262"/>
      <c r="H141" s="262"/>
      <c r="I141" s="191"/>
      <c r="J141" s="227"/>
      <c r="K141" s="227"/>
      <c r="L141" s="227"/>
      <c r="M141" s="227"/>
      <c r="O141" s="227"/>
      <c r="T141" s="227"/>
    </row>
    <row r="142" spans="1:22" x14ac:dyDescent="0.25">
      <c r="A142" s="227"/>
      <c r="B142" s="227"/>
      <c r="C142" s="227"/>
      <c r="D142" s="227"/>
      <c r="E142" s="227"/>
      <c r="F142" s="262"/>
      <c r="G142" s="262"/>
      <c r="H142" s="262"/>
      <c r="I142" s="227"/>
      <c r="J142" s="227"/>
      <c r="K142" s="227"/>
      <c r="L142" s="227"/>
      <c r="M142" s="227"/>
      <c r="O142" s="227"/>
      <c r="S142" s="262"/>
      <c r="T142" s="262"/>
    </row>
    <row r="143" spans="1:22" x14ac:dyDescent="0.25">
      <c r="A143" s="227"/>
      <c r="B143" s="227"/>
      <c r="C143" s="227"/>
      <c r="D143" s="227"/>
      <c r="E143" s="227"/>
      <c r="F143" s="262"/>
      <c r="G143" s="262"/>
      <c r="H143" s="262"/>
      <c r="I143" s="227"/>
      <c r="J143" s="227"/>
      <c r="K143" s="227"/>
      <c r="L143" s="227"/>
      <c r="M143" s="227"/>
      <c r="O143" s="227"/>
      <c r="Q143" s="262"/>
      <c r="R143" s="262"/>
      <c r="S143" s="262"/>
      <c r="T143" s="262"/>
    </row>
    <row r="144" spans="1:22" x14ac:dyDescent="0.25">
      <c r="A144" s="227"/>
      <c r="B144" s="227"/>
      <c r="C144" s="227"/>
      <c r="D144" s="227"/>
      <c r="E144" s="227"/>
      <c r="F144" s="227"/>
      <c r="G144" s="227"/>
      <c r="H144" s="227"/>
      <c r="I144" s="227"/>
      <c r="J144" s="227"/>
      <c r="K144" s="227"/>
      <c r="L144" s="227"/>
      <c r="M144" s="227"/>
      <c r="O144" s="227"/>
      <c r="Q144" s="262"/>
      <c r="R144" s="262"/>
      <c r="T144" s="227"/>
    </row>
    <row r="145" spans="1:20" x14ac:dyDescent="0.25">
      <c r="A145" s="227"/>
      <c r="B145" s="227"/>
      <c r="C145" s="227"/>
      <c r="D145" s="227"/>
      <c r="E145" s="227"/>
      <c r="F145" s="227"/>
      <c r="G145" s="227"/>
      <c r="H145" s="227"/>
      <c r="I145" s="227"/>
      <c r="J145" s="227"/>
      <c r="K145" s="227"/>
      <c r="L145" s="227"/>
      <c r="M145" s="227"/>
      <c r="O145" s="227"/>
      <c r="T145" s="227"/>
    </row>
    <row r="146" spans="1:20" x14ac:dyDescent="0.25">
      <c r="A146" s="227"/>
      <c r="B146" s="227"/>
      <c r="C146" s="477"/>
      <c r="D146" s="477"/>
      <c r="E146" s="477"/>
      <c r="F146" s="477"/>
      <c r="G146" s="477"/>
      <c r="H146" s="477"/>
      <c r="I146" s="477"/>
      <c r="J146" s="477"/>
      <c r="K146" s="477"/>
      <c r="L146" s="477"/>
      <c r="M146" s="477"/>
      <c r="N146" s="662"/>
      <c r="O146" s="227"/>
      <c r="T146" s="227"/>
    </row>
    <row r="147" spans="1:20" x14ac:dyDescent="0.25">
      <c r="A147" s="227"/>
      <c r="B147" s="227"/>
      <c r="C147" s="263"/>
      <c r="D147" s="263"/>
      <c r="E147" s="263"/>
      <c r="F147" s="263"/>
      <c r="G147" s="263"/>
      <c r="H147" s="263"/>
      <c r="I147" s="263"/>
      <c r="J147" s="263"/>
      <c r="K147" s="263"/>
      <c r="L147" s="263"/>
      <c r="M147" s="478"/>
      <c r="N147" s="663"/>
      <c r="O147" s="477"/>
      <c r="T147" s="227"/>
    </row>
    <row r="148" spans="1:20" x14ac:dyDescent="0.25">
      <c r="A148" s="227"/>
      <c r="B148" s="227"/>
      <c r="C148" s="263"/>
      <c r="D148" s="263"/>
      <c r="E148" s="263"/>
      <c r="F148" s="263"/>
      <c r="G148" s="263"/>
      <c r="H148" s="263"/>
      <c r="I148" s="263"/>
      <c r="J148" s="263"/>
      <c r="K148" s="263"/>
      <c r="L148" s="263"/>
      <c r="M148" s="478"/>
      <c r="N148" s="663"/>
      <c r="O148" s="478"/>
      <c r="T148" s="227"/>
    </row>
    <row r="149" spans="1:20" x14ac:dyDescent="0.25">
      <c r="A149" s="227"/>
      <c r="B149" s="227"/>
      <c r="C149" s="263"/>
      <c r="D149" s="263"/>
      <c r="E149" s="263"/>
      <c r="F149" s="263"/>
      <c r="G149" s="263"/>
      <c r="H149" s="263"/>
      <c r="I149" s="263"/>
      <c r="J149" s="263"/>
      <c r="K149" s="263"/>
      <c r="L149" s="263"/>
      <c r="M149" s="478"/>
      <c r="N149" s="663"/>
      <c r="O149" s="478"/>
      <c r="T149" s="227"/>
    </row>
    <row r="150" spans="1:20" x14ac:dyDescent="0.25">
      <c r="A150" s="227"/>
      <c r="B150" s="227"/>
      <c r="C150" s="263"/>
      <c r="D150" s="263"/>
      <c r="E150" s="263"/>
      <c r="F150" s="263"/>
      <c r="G150" s="263"/>
      <c r="H150" s="263"/>
      <c r="I150" s="263"/>
      <c r="J150" s="263"/>
      <c r="K150" s="263"/>
      <c r="L150" s="263"/>
      <c r="M150" s="478"/>
      <c r="N150" s="663"/>
      <c r="O150" s="478"/>
      <c r="T150" s="227"/>
    </row>
    <row r="151" spans="1:20" x14ac:dyDescent="0.25">
      <c r="A151" s="227"/>
      <c r="B151" s="227"/>
      <c r="C151" s="263"/>
      <c r="D151" s="263"/>
      <c r="E151" s="263"/>
      <c r="F151" s="263"/>
      <c r="G151" s="263"/>
      <c r="H151" s="263"/>
      <c r="I151" s="263"/>
      <c r="J151" s="263"/>
      <c r="K151" s="263"/>
      <c r="L151" s="263"/>
      <c r="M151" s="478"/>
      <c r="N151" s="663"/>
      <c r="O151" s="478"/>
      <c r="P151" s="477"/>
      <c r="T151" s="227"/>
    </row>
    <row r="152" spans="1:20" x14ac:dyDescent="0.25">
      <c r="A152" s="227"/>
      <c r="B152" s="227"/>
      <c r="C152" s="263"/>
      <c r="D152" s="263"/>
      <c r="E152" s="263"/>
      <c r="F152" s="263"/>
      <c r="G152" s="263"/>
      <c r="H152" s="263"/>
      <c r="I152" s="263"/>
      <c r="J152" s="263"/>
      <c r="K152" s="263"/>
      <c r="L152" s="263"/>
      <c r="M152" s="478"/>
      <c r="N152" s="663"/>
      <c r="O152" s="478"/>
      <c r="P152" s="478"/>
      <c r="T152" s="227"/>
    </row>
    <row r="153" spans="1:20" x14ac:dyDescent="0.25">
      <c r="A153" s="227"/>
      <c r="B153" s="227"/>
      <c r="C153" s="263"/>
      <c r="D153" s="263"/>
      <c r="E153" s="263"/>
      <c r="F153" s="263"/>
      <c r="G153" s="263"/>
      <c r="H153" s="263"/>
      <c r="I153" s="263"/>
      <c r="J153" s="263"/>
      <c r="K153" s="263"/>
      <c r="L153" s="263"/>
      <c r="M153" s="478"/>
      <c r="N153" s="663"/>
      <c r="O153" s="478"/>
      <c r="P153" s="478"/>
      <c r="T153" s="227"/>
    </row>
    <row r="154" spans="1:20" x14ac:dyDescent="0.25">
      <c r="A154" s="227"/>
      <c r="B154" s="227"/>
      <c r="C154" s="263"/>
      <c r="D154" s="263"/>
      <c r="E154" s="263"/>
      <c r="F154" s="263"/>
      <c r="G154" s="263"/>
      <c r="H154" s="263"/>
      <c r="I154" s="263"/>
      <c r="J154" s="263"/>
      <c r="K154" s="263"/>
      <c r="L154" s="263"/>
      <c r="M154" s="478"/>
      <c r="N154" s="663"/>
      <c r="O154" s="478"/>
      <c r="P154" s="478"/>
      <c r="T154" s="227"/>
    </row>
    <row r="155" spans="1:20" x14ac:dyDescent="0.25">
      <c r="A155" s="227"/>
      <c r="B155" s="227"/>
      <c r="C155" s="263"/>
      <c r="D155" s="263"/>
      <c r="E155" s="263"/>
      <c r="F155" s="263"/>
      <c r="G155" s="263"/>
      <c r="H155" s="263"/>
      <c r="I155" s="263"/>
      <c r="J155" s="263"/>
      <c r="K155" s="263"/>
      <c r="L155" s="263"/>
      <c r="M155" s="478"/>
      <c r="N155" s="663"/>
      <c r="O155" s="478"/>
      <c r="P155" s="478"/>
      <c r="T155" s="227"/>
    </row>
    <row r="156" spans="1:20" x14ac:dyDescent="0.25">
      <c r="A156" s="227"/>
      <c r="B156" s="227"/>
      <c r="C156" s="263"/>
      <c r="D156" s="263"/>
      <c r="E156" s="263"/>
      <c r="F156" s="263"/>
      <c r="G156" s="263"/>
      <c r="H156" s="263"/>
      <c r="I156" s="263"/>
      <c r="J156" s="263"/>
      <c r="K156" s="263"/>
      <c r="L156" s="263"/>
      <c r="M156" s="478"/>
      <c r="N156" s="663"/>
      <c r="O156" s="478"/>
      <c r="P156" s="478"/>
      <c r="T156" s="227"/>
    </row>
    <row r="157" spans="1:20" x14ac:dyDescent="0.25">
      <c r="A157" s="227"/>
      <c r="B157" s="227"/>
      <c r="C157" s="263"/>
      <c r="D157" s="263"/>
      <c r="E157" s="263"/>
      <c r="F157" s="263"/>
      <c r="G157" s="263"/>
      <c r="H157" s="263"/>
      <c r="I157" s="263"/>
      <c r="J157" s="263"/>
      <c r="K157" s="263"/>
      <c r="L157" s="263"/>
      <c r="M157" s="478"/>
      <c r="N157" s="663"/>
      <c r="O157" s="478"/>
      <c r="P157" s="478"/>
      <c r="T157" s="227"/>
    </row>
    <row r="158" spans="1:20" x14ac:dyDescent="0.25">
      <c r="A158" s="227"/>
      <c r="B158" s="227"/>
      <c r="C158" s="227"/>
      <c r="D158" s="227"/>
      <c r="E158" s="227"/>
      <c r="F158" s="227"/>
      <c r="G158" s="227"/>
      <c r="H158" s="227"/>
      <c r="I158" s="227"/>
      <c r="J158" s="227"/>
      <c r="K158" s="227"/>
      <c r="L158" s="227"/>
      <c r="M158" s="227"/>
      <c r="O158" s="478"/>
      <c r="P158" s="478"/>
      <c r="T158" s="227"/>
    </row>
    <row r="159" spans="1:20" x14ac:dyDescent="0.25">
      <c r="A159" s="227"/>
      <c r="B159" s="227"/>
      <c r="C159" s="227"/>
      <c r="D159" s="227"/>
      <c r="E159" s="227"/>
      <c r="F159" s="227"/>
      <c r="G159" s="227"/>
      <c r="H159" s="227"/>
      <c r="I159" s="227"/>
      <c r="J159" s="227"/>
      <c r="K159" s="227"/>
      <c r="L159" s="227"/>
      <c r="M159" s="227"/>
      <c r="O159" s="227"/>
      <c r="P159" s="478"/>
      <c r="T159" s="227"/>
    </row>
    <row r="160" spans="1:20" x14ac:dyDescent="0.25">
      <c r="O160" s="227"/>
      <c r="P160" s="478"/>
      <c r="Q160" s="477"/>
      <c r="R160" s="477"/>
      <c r="S160" s="477"/>
      <c r="T160" s="477"/>
    </row>
    <row r="161" spans="16:20" x14ac:dyDescent="0.25">
      <c r="P161" s="478"/>
      <c r="Q161" s="478"/>
      <c r="R161" s="478"/>
      <c r="S161" s="478"/>
      <c r="T161" s="478"/>
    </row>
    <row r="162" spans="16:20" x14ac:dyDescent="0.25">
      <c r="P162" s="478"/>
      <c r="Q162" s="478"/>
      <c r="R162" s="478"/>
      <c r="S162" s="478"/>
      <c r="T162" s="478"/>
    </row>
    <row r="163" spans="16:20" x14ac:dyDescent="0.25">
      <c r="Q163" s="478"/>
      <c r="R163" s="478"/>
      <c r="S163" s="478"/>
      <c r="T163" s="478"/>
    </row>
    <row r="164" spans="16:20" x14ac:dyDescent="0.25">
      <c r="Q164" s="478"/>
      <c r="R164" s="478"/>
      <c r="S164" s="478"/>
      <c r="T164" s="478"/>
    </row>
    <row r="165" spans="16:20" x14ac:dyDescent="0.25">
      <c r="Q165" s="478"/>
      <c r="R165" s="478"/>
      <c r="S165" s="478"/>
      <c r="T165" s="478"/>
    </row>
    <row r="166" spans="16:20" x14ac:dyDescent="0.25">
      <c r="Q166" s="478"/>
      <c r="R166" s="478"/>
      <c r="S166" s="478"/>
      <c r="T166" s="478"/>
    </row>
    <row r="167" spans="16:20" x14ac:dyDescent="0.25">
      <c r="Q167" s="478"/>
      <c r="R167" s="478"/>
      <c r="S167" s="478"/>
      <c r="T167" s="478"/>
    </row>
    <row r="168" spans="16:20" x14ac:dyDescent="0.25">
      <c r="Q168" s="478"/>
      <c r="R168" s="478"/>
      <c r="S168" s="478"/>
      <c r="T168" s="478"/>
    </row>
    <row r="169" spans="16:20" x14ac:dyDescent="0.25">
      <c r="Q169" s="478"/>
      <c r="R169" s="478"/>
      <c r="S169" s="478"/>
      <c r="T169" s="478"/>
    </row>
    <row r="170" spans="16:20" x14ac:dyDescent="0.25">
      <c r="Q170" s="478"/>
      <c r="R170" s="478"/>
      <c r="S170" s="478"/>
      <c r="T170" s="478"/>
    </row>
    <row r="171" spans="16:20" x14ac:dyDescent="0.25">
      <c r="Q171" s="478"/>
      <c r="R171" s="478"/>
      <c r="S171" s="478"/>
      <c r="T171" s="478"/>
    </row>
    <row r="172" spans="16:20" x14ac:dyDescent="0.25">
      <c r="T172" s="227"/>
    </row>
    <row r="173" spans="16:20" x14ac:dyDescent="0.25">
      <c r="T173" s="227"/>
    </row>
  </sheetData>
  <sheetProtection algorithmName="SHA-512" hashValue="bGhwFCvwXdhXzbHDOocbCYiZSnoD3epiguv0UBsDLejR074kyF+IjT5sJ/+5i9p+EQCTW/e1nZLtUCiv/a4P5w==" saltValue="62kRjBrEvR2zjFhn3eTTUw==" spinCount="100000" sheet="1" objects="1" scenarios="1"/>
  <mergeCells count="21">
    <mergeCell ref="B91:B92"/>
    <mergeCell ref="C91:C92"/>
    <mergeCell ref="D91:E91"/>
    <mergeCell ref="AG34:AJ34"/>
    <mergeCell ref="AK34:AN34"/>
    <mergeCell ref="B54:B55"/>
    <mergeCell ref="C54:C55"/>
    <mergeCell ref="D54:E54"/>
    <mergeCell ref="B17:B18"/>
    <mergeCell ref="C17:C18"/>
    <mergeCell ref="D17:E17"/>
    <mergeCell ref="K8:L8"/>
    <mergeCell ref="F4:G4"/>
    <mergeCell ref="J4:K4"/>
    <mergeCell ref="K6:L6"/>
    <mergeCell ref="K7:L7"/>
    <mergeCell ref="G9:H9"/>
    <mergeCell ref="K9:L9"/>
    <mergeCell ref="K10:L10"/>
    <mergeCell ref="K11:L11"/>
    <mergeCell ref="B11:B13"/>
  </mergeCells>
  <conditionalFormatting sqref="G6:H7">
    <cfRule type="containsText" dxfId="7" priority="1" operator="containsText" text="Fail">
      <formula>NOT(ISERROR(SEARCH("Fail",G6)))</formula>
    </cfRule>
    <cfRule type="containsText" dxfId="6" priority="2" operator="containsText" text="Pass">
      <formula>NOT(ISERROR(SEARCH("Pass",G6)))</formula>
    </cfRule>
  </conditionalFormatting>
  <dataValidations count="2">
    <dataValidation type="list" allowBlank="1" showInputMessage="1" showErrorMessage="1" sqref="C8" xr:uid="{896F1730-CBEB-4655-BD65-C583B2BECE4D}">
      <formula1>$B$131:$B$141</formula1>
    </dataValidation>
    <dataValidation type="list" allowBlank="1" showInputMessage="1" showErrorMessage="1" sqref="C6" xr:uid="{C10A0F67-97FF-4592-B90A-D0818554DC2A}">
      <formula1>$Q$4:$Q$14</formula1>
    </dataValidation>
  </dataValidations>
  <hyperlinks>
    <hyperlink ref="A2" location="TOC!A1" display="Return to TOC" xr:uid="{2B990DE2-DDBD-4A3B-9935-F67E072FE0FA}"/>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0">
    <tabColor theme="9" tint="0.79998168889431442"/>
    <pageSetUpPr autoPageBreaks="0"/>
  </sheetPr>
  <dimension ref="A1:AF1085"/>
  <sheetViews>
    <sheetView workbookViewId="0">
      <selection sqref="A1:AF1"/>
    </sheetView>
  </sheetViews>
  <sheetFormatPr defaultColWidth="2.7109375" defaultRowHeight="15" x14ac:dyDescent="0.25"/>
  <cols>
    <col min="1" max="32" width="2.7109375" style="262"/>
    <col min="33" max="16384" width="2.7109375" style="1"/>
  </cols>
  <sheetData>
    <row r="1" spans="1:32" ht="18.75" customHeight="1" x14ac:dyDescent="0.25">
      <c r="A1" s="1464" t="s">
        <v>3013</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x14ac:dyDescent="0.25">
      <c r="A5" s="262"/>
      <c r="B5" s="1151" t="s">
        <v>3620</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ht="15" customHeight="1" x14ac:dyDescent="0.25">
      <c r="A6" s="529"/>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row>
    <row r="7" spans="1:32" ht="15" customHeight="1"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row>
    <row r="8" spans="1:32" ht="15" customHeight="1" x14ac:dyDescent="0.25">
      <c r="A8" s="19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row>
    <row r="9" spans="1:32" ht="15" customHeight="1" x14ac:dyDescent="0.25">
      <c r="B9" s="414" t="s">
        <v>10</v>
      </c>
      <c r="C9" s="414"/>
      <c r="D9" s="414"/>
      <c r="E9" s="414"/>
      <c r="F9" s="414"/>
      <c r="G9" s="414"/>
      <c r="H9" s="414"/>
      <c r="I9" s="414"/>
    </row>
    <row r="10" spans="1:32" ht="81.75" customHeight="1" x14ac:dyDescent="0.25">
      <c r="B10" s="1168" t="s">
        <v>3014</v>
      </c>
      <c r="C10" s="1168"/>
      <c r="D10" s="1168"/>
      <c r="E10" s="1168"/>
      <c r="F10" s="1168"/>
      <c r="G10" s="1168"/>
      <c r="H10" s="1168"/>
      <c r="I10" s="1168"/>
      <c r="J10" s="1168"/>
      <c r="K10" s="1168"/>
      <c r="L10" s="1168"/>
      <c r="M10" s="1168"/>
      <c r="N10" s="1168"/>
      <c r="O10" s="1168"/>
      <c r="P10" s="1168"/>
      <c r="Q10" s="1168"/>
      <c r="R10" s="1168"/>
      <c r="S10" s="1168"/>
      <c r="T10" s="1168"/>
      <c r="U10" s="1168"/>
      <c r="V10" s="1168"/>
      <c r="W10" s="1168"/>
      <c r="X10" s="1168"/>
      <c r="Y10" s="1168"/>
      <c r="Z10" s="1168"/>
      <c r="AA10" s="1168"/>
      <c r="AB10" s="1168"/>
      <c r="AC10" s="1168"/>
      <c r="AD10" s="1168"/>
      <c r="AE10" s="1168"/>
      <c r="AF10" s="1168"/>
    </row>
    <row r="11" spans="1:32" ht="15" customHeight="1" x14ac:dyDescent="0.25"/>
    <row r="12" spans="1:32" ht="15" customHeight="1" x14ac:dyDescent="0.25">
      <c r="B12" s="414" t="s">
        <v>11</v>
      </c>
      <c r="C12" s="414"/>
      <c r="D12" s="414"/>
      <c r="E12" s="414"/>
      <c r="F12" s="414"/>
      <c r="G12" s="414"/>
      <c r="H12" s="414"/>
      <c r="I12" s="414"/>
    </row>
    <row r="13" spans="1:32" ht="99" customHeight="1" x14ac:dyDescent="0.25">
      <c r="B13" s="1173" t="s">
        <v>253</v>
      </c>
      <c r="C13" s="1287"/>
      <c r="D13" s="1287"/>
      <c r="E13" s="1287"/>
      <c r="F13" s="1287"/>
      <c r="G13" s="1287"/>
      <c r="H13" s="1287"/>
      <c r="I13" s="1287"/>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row>
    <row r="14" spans="1:32" ht="15" customHeight="1" x14ac:dyDescent="0.25"/>
    <row r="15" spans="1:32" ht="15" customHeight="1" x14ac:dyDescent="0.25">
      <c r="B15" s="414" t="s">
        <v>12</v>
      </c>
      <c r="C15" s="414"/>
      <c r="D15" s="414"/>
      <c r="E15" s="414"/>
      <c r="F15" s="414"/>
      <c r="G15" s="414"/>
      <c r="H15" s="414"/>
      <c r="I15" s="414"/>
    </row>
    <row r="16" spans="1:32" ht="15" customHeight="1" x14ac:dyDescent="0.25">
      <c r="B16" s="1703" t="s">
        <v>3399</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row>
    <row r="17" spans="1:32" ht="15" customHeight="1" x14ac:dyDescent="0.25"/>
    <row r="18" spans="1:32" ht="15" customHeight="1" x14ac:dyDescent="0.25">
      <c r="B18" s="414" t="s">
        <v>13</v>
      </c>
      <c r="C18" s="414"/>
      <c r="D18" s="414"/>
      <c r="E18" s="414"/>
      <c r="F18" s="414"/>
      <c r="G18" s="414"/>
      <c r="H18" s="414"/>
      <c r="I18" s="414"/>
    </row>
    <row r="19" spans="1:32" ht="15" customHeight="1" x14ac:dyDescent="0.25">
      <c r="B19" s="1703" t="s">
        <v>3400</v>
      </c>
      <c r="C19" s="1703"/>
      <c r="D19" s="1703"/>
      <c r="E19" s="1703"/>
      <c r="F19" s="1703"/>
      <c r="G19" s="1703"/>
      <c r="H19" s="1703"/>
      <c r="I19" s="1703"/>
      <c r="J19" s="1703"/>
      <c r="K19" s="1703"/>
      <c r="L19" s="1703"/>
      <c r="M19" s="1703"/>
      <c r="N19" s="1703"/>
      <c r="O19" s="1703"/>
      <c r="P19" s="1703"/>
      <c r="Q19" s="1703"/>
      <c r="R19" s="1703"/>
      <c r="S19" s="1703"/>
      <c r="T19" s="1703"/>
      <c r="U19" s="1703"/>
      <c r="V19" s="1703"/>
      <c r="W19" s="1703"/>
      <c r="X19" s="1703"/>
      <c r="Y19" s="1703"/>
      <c r="Z19" s="1703"/>
      <c r="AA19" s="1703"/>
      <c r="AB19" s="1703"/>
      <c r="AC19" s="1703"/>
      <c r="AD19" s="1703"/>
      <c r="AE19" s="1703"/>
      <c r="AF19" s="1703"/>
    </row>
    <row r="20" spans="1:32" ht="15" customHeight="1" x14ac:dyDescent="0.25"/>
    <row r="21" spans="1:32" ht="15" customHeight="1" x14ac:dyDescent="0.25">
      <c r="B21" s="414" t="s">
        <v>20</v>
      </c>
      <c r="C21" s="414"/>
      <c r="D21" s="414"/>
      <c r="E21" s="414"/>
      <c r="F21" s="414"/>
      <c r="G21" s="414"/>
      <c r="H21" s="414"/>
      <c r="I21" s="414"/>
    </row>
    <row r="22" spans="1:32" ht="15" customHeight="1" x14ac:dyDescent="0.25">
      <c r="B22" s="1703" t="s">
        <v>3401</v>
      </c>
      <c r="C22" s="1703"/>
      <c r="D22" s="1703"/>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1703"/>
      <c r="AB22" s="1703"/>
      <c r="AC22" s="1703"/>
      <c r="AD22" s="1703"/>
      <c r="AE22" s="1703"/>
      <c r="AF22" s="1703"/>
    </row>
    <row r="23" spans="1:32" ht="15" customHeight="1" x14ac:dyDescent="0.25"/>
    <row r="24" spans="1:32" ht="15" customHeight="1" x14ac:dyDescent="0.25">
      <c r="A24" s="1621" t="s">
        <v>14</v>
      </c>
      <c r="B24" s="1621"/>
      <c r="C24" s="1621"/>
      <c r="D24" s="1621"/>
      <c r="E24" s="1621"/>
      <c r="F24" s="1621"/>
      <c r="G24" s="1621"/>
      <c r="H24" s="1621"/>
      <c r="I24" s="1621"/>
      <c r="J24" s="1621"/>
      <c r="K24" s="1621"/>
      <c r="L24" s="1621"/>
      <c r="M24" s="1621"/>
      <c r="N24" s="1621"/>
      <c r="O24" s="1621"/>
      <c r="P24" s="1621"/>
      <c r="Q24" s="1621"/>
      <c r="R24" s="1621"/>
      <c r="S24" s="1621"/>
      <c r="T24" s="1621"/>
      <c r="U24" s="1621"/>
      <c r="V24" s="1621"/>
      <c r="W24" s="1621"/>
      <c r="X24" s="1621"/>
      <c r="Y24" s="1621"/>
      <c r="Z24" s="1621"/>
      <c r="AA24" s="1621"/>
      <c r="AB24" s="1621"/>
      <c r="AC24" s="1621"/>
      <c r="AD24" s="1621"/>
      <c r="AE24" s="1621"/>
      <c r="AF24" s="1621"/>
    </row>
    <row r="25" spans="1:32" ht="15" customHeight="1" x14ac:dyDescent="0.25">
      <c r="A25" s="227"/>
      <c r="B25" s="227"/>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c r="AF25" s="227"/>
    </row>
    <row r="26" spans="1:32" ht="15" customHeight="1" x14ac:dyDescent="0.25">
      <c r="A26" s="227"/>
      <c r="B26" s="519" t="s">
        <v>3015</v>
      </c>
      <c r="Y26" s="227"/>
      <c r="Z26" s="227"/>
      <c r="AA26" s="227"/>
      <c r="AB26" s="227"/>
      <c r="AC26" s="227"/>
      <c r="AD26" s="227"/>
      <c r="AE26" s="227"/>
      <c r="AF26" s="227"/>
    </row>
    <row r="27" spans="1:32" ht="15" customHeight="1" x14ac:dyDescent="0.25">
      <c r="A27" s="227"/>
      <c r="B27" s="227"/>
      <c r="Y27" s="227"/>
      <c r="Z27" s="227"/>
      <c r="AA27" s="227"/>
      <c r="AB27" s="227"/>
      <c r="AC27" s="227"/>
      <c r="AD27" s="227"/>
      <c r="AE27" s="227"/>
      <c r="AF27" s="227"/>
    </row>
    <row r="28" spans="1:32" ht="15" customHeight="1" x14ac:dyDescent="0.25">
      <c r="A28" s="227"/>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535" t="s">
        <v>1705</v>
      </c>
    </row>
    <row r="29" spans="1:32" ht="15" customHeight="1" x14ac:dyDescent="0.25">
      <c r="A29" s="227"/>
      <c r="B29" s="227"/>
      <c r="C29" s="227"/>
      <c r="D29" s="227"/>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27"/>
    </row>
    <row r="30" spans="1:32" ht="15" customHeight="1" x14ac:dyDescent="0.25">
      <c r="A30" s="227"/>
      <c r="B30" s="519" t="s">
        <v>3016</v>
      </c>
      <c r="C30" s="227"/>
      <c r="D30" s="227"/>
      <c r="E30" s="227"/>
      <c r="F30" s="227"/>
      <c r="G30" s="227"/>
      <c r="H30" s="227"/>
      <c r="I30" s="227"/>
      <c r="J30" s="227"/>
      <c r="K30" s="227"/>
      <c r="L30" s="227"/>
      <c r="M30" s="227"/>
      <c r="N30" s="227"/>
      <c r="O30" s="227"/>
      <c r="P30" s="227"/>
      <c r="Q30" s="227"/>
      <c r="R30" s="227"/>
      <c r="S30" s="227"/>
      <c r="T30" s="227"/>
      <c r="U30" s="227"/>
      <c r="V30" s="227"/>
      <c r="W30" s="227"/>
      <c r="X30" s="227"/>
      <c r="Y30" s="227"/>
      <c r="Z30" s="227"/>
      <c r="AA30" s="227"/>
      <c r="AB30" s="227"/>
      <c r="AC30" s="227"/>
      <c r="AD30" s="227"/>
      <c r="AE30" s="227"/>
      <c r="AF30" s="227"/>
    </row>
    <row r="31" spans="1:32" ht="15" customHeight="1" x14ac:dyDescent="0.25">
      <c r="A31" s="227"/>
      <c r="Y31" s="227"/>
      <c r="Z31" s="227"/>
      <c r="AA31" s="227"/>
      <c r="AB31" s="227"/>
      <c r="AC31" s="227"/>
      <c r="AD31" s="227"/>
      <c r="AE31" s="227"/>
      <c r="AF31" s="227"/>
    </row>
    <row r="32" spans="1:32" ht="15" customHeight="1" x14ac:dyDescent="0.25">
      <c r="A32" s="227"/>
      <c r="B32" s="227"/>
      <c r="Y32" s="227"/>
      <c r="Z32" s="227"/>
      <c r="AA32" s="227"/>
      <c r="AB32" s="227"/>
      <c r="AC32" s="227"/>
      <c r="AD32" s="227"/>
      <c r="AE32" s="227"/>
      <c r="AF32" s="535" t="s">
        <v>1706</v>
      </c>
    </row>
    <row r="33" spans="1:32" ht="15" customHeight="1" x14ac:dyDescent="0.25">
      <c r="A33" s="227"/>
      <c r="B33" s="227"/>
      <c r="Y33" s="227"/>
      <c r="Z33" s="227"/>
      <c r="AA33" s="227"/>
      <c r="AB33" s="227"/>
      <c r="AC33" s="227"/>
      <c r="AD33" s="227"/>
      <c r="AE33" s="227"/>
      <c r="AF33" s="227"/>
    </row>
    <row r="34" spans="1:32" ht="15" customHeight="1" x14ac:dyDescent="0.25">
      <c r="A34" s="227"/>
      <c r="B34" s="519" t="s">
        <v>3017</v>
      </c>
      <c r="C34" s="227"/>
      <c r="D34" s="227"/>
      <c r="E34" s="227"/>
      <c r="F34" s="227"/>
      <c r="G34" s="227"/>
      <c r="H34" s="227"/>
      <c r="I34" s="227"/>
      <c r="J34" s="227"/>
      <c r="K34" s="227"/>
      <c r="L34" s="227"/>
      <c r="M34" s="227"/>
      <c r="N34" s="227"/>
      <c r="O34" s="227"/>
      <c r="P34" s="227"/>
      <c r="Q34" s="227"/>
      <c r="R34" s="227"/>
      <c r="S34" s="227"/>
      <c r="T34" s="227"/>
      <c r="U34" s="227"/>
      <c r="V34" s="227"/>
      <c r="W34" s="227"/>
      <c r="X34" s="227"/>
      <c r="Y34" s="227"/>
      <c r="Z34" s="227"/>
      <c r="AA34" s="227"/>
      <c r="AB34" s="227"/>
      <c r="AC34" s="227"/>
      <c r="AD34" s="227"/>
      <c r="AE34" s="227"/>
      <c r="AF34" s="227"/>
    </row>
    <row r="35" spans="1:32" ht="15" customHeight="1" x14ac:dyDescent="0.25">
      <c r="A35" s="227"/>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row>
    <row r="36" spans="1:32" ht="15" customHeight="1" x14ac:dyDescent="0.25">
      <c r="A36" s="227"/>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535" t="s">
        <v>1707</v>
      </c>
    </row>
    <row r="37" spans="1:32" ht="15" customHeight="1" x14ac:dyDescent="0.25"/>
    <row r="38" spans="1:32" customFormat="1" ht="15" customHeight="1" x14ac:dyDescent="0.25">
      <c r="A38" s="1621" t="s">
        <v>15</v>
      </c>
      <c r="B38" s="1621"/>
      <c r="C38" s="1621"/>
      <c r="D38" s="1621"/>
      <c r="E38" s="1621"/>
      <c r="F38" s="1621"/>
      <c r="G38" s="1621"/>
      <c r="H38" s="1621"/>
      <c r="I38" s="1621"/>
      <c r="J38" s="1621"/>
      <c r="K38" s="1621"/>
      <c r="L38" s="1621"/>
      <c r="M38" s="1621"/>
      <c r="N38" s="1621"/>
      <c r="O38" s="1621"/>
      <c r="P38" s="1621"/>
      <c r="Q38" s="1621"/>
      <c r="R38" s="1621"/>
      <c r="S38" s="1621"/>
      <c r="T38" s="1621"/>
      <c r="U38" s="1621"/>
      <c r="V38" s="1621"/>
      <c r="W38" s="1621"/>
      <c r="X38" s="1621"/>
      <c r="Y38" s="1621"/>
      <c r="Z38" s="1621"/>
      <c r="AA38" s="1621"/>
      <c r="AB38" s="1621"/>
      <c r="AC38" s="1621"/>
      <c r="AD38" s="1621"/>
      <c r="AE38" s="1621"/>
      <c r="AF38" s="1621"/>
    </row>
    <row r="39" spans="1:32" ht="15" customHeight="1" x14ac:dyDescent="0.25">
      <c r="A39" s="1697" t="s">
        <v>16</v>
      </c>
      <c r="B39" s="1698"/>
      <c r="C39" s="1698"/>
      <c r="D39" s="1699"/>
      <c r="E39" s="1697" t="s">
        <v>10</v>
      </c>
      <c r="F39" s="1698"/>
      <c r="G39" s="1698"/>
      <c r="H39" s="1698"/>
      <c r="I39" s="1698"/>
      <c r="J39" s="1698"/>
      <c r="K39" s="1698"/>
      <c r="L39" s="1698"/>
      <c r="M39" s="1698"/>
      <c r="N39" s="1698"/>
      <c r="O39" s="1698"/>
      <c r="P39" s="1699"/>
      <c r="Q39" s="1697" t="s">
        <v>17</v>
      </c>
      <c r="R39" s="1698"/>
      <c r="S39" s="1698"/>
      <c r="T39" s="1699"/>
      <c r="U39" s="1697" t="s">
        <v>18</v>
      </c>
      <c r="V39" s="1698"/>
      <c r="W39" s="1699"/>
      <c r="X39" s="1697" t="s">
        <v>1708</v>
      </c>
      <c r="Y39" s="1698"/>
      <c r="Z39" s="1698"/>
      <c r="AA39" s="1698"/>
      <c r="AB39" s="1698"/>
      <c r="AC39" s="1698"/>
      <c r="AD39" s="1698"/>
      <c r="AE39" s="1698"/>
      <c r="AF39" s="1699"/>
    </row>
    <row r="40" spans="1:32" ht="39" customHeight="1" x14ac:dyDescent="0.25">
      <c r="A40" s="2143" t="s">
        <v>3022</v>
      </c>
      <c r="B40" s="2144"/>
      <c r="C40" s="2144"/>
      <c r="D40" s="2145"/>
      <c r="E40" s="1494" t="s">
        <v>3018</v>
      </c>
      <c r="F40" s="1495"/>
      <c r="G40" s="1495"/>
      <c r="H40" s="1495"/>
      <c r="I40" s="1495"/>
      <c r="J40" s="1495"/>
      <c r="K40" s="1495"/>
      <c r="L40" s="1495"/>
      <c r="M40" s="1495"/>
      <c r="N40" s="1495"/>
      <c r="O40" s="1495"/>
      <c r="P40" s="1496"/>
      <c r="Q40" s="1497" t="s">
        <v>626</v>
      </c>
      <c r="R40" s="1498"/>
      <c r="S40" s="1498"/>
      <c r="T40" s="1499"/>
      <c r="U40" s="1683" t="s">
        <v>49</v>
      </c>
      <c r="V40" s="1684"/>
      <c r="W40" s="1685"/>
      <c r="X40" s="1538" t="s">
        <v>3024</v>
      </c>
      <c r="Y40" s="1539"/>
      <c r="Z40" s="1539"/>
      <c r="AA40" s="1539"/>
      <c r="AB40" s="1539"/>
      <c r="AC40" s="1539"/>
      <c r="AD40" s="1539"/>
      <c r="AE40" s="1539"/>
      <c r="AF40" s="1540"/>
    </row>
    <row r="41" spans="1:32" ht="32.25" customHeight="1" x14ac:dyDescent="0.25">
      <c r="A41" s="2143" t="s">
        <v>3023</v>
      </c>
      <c r="B41" s="2144"/>
      <c r="C41" s="2144"/>
      <c r="D41" s="2145"/>
      <c r="E41" s="1494" t="s">
        <v>3019</v>
      </c>
      <c r="F41" s="1495"/>
      <c r="G41" s="1495"/>
      <c r="H41" s="1495"/>
      <c r="I41" s="1495"/>
      <c r="J41" s="1495"/>
      <c r="K41" s="1495"/>
      <c r="L41" s="1495"/>
      <c r="M41" s="1495"/>
      <c r="N41" s="1495"/>
      <c r="O41" s="1495"/>
      <c r="P41" s="1496"/>
      <c r="Q41" s="1497" t="s">
        <v>626</v>
      </c>
      <c r="R41" s="1498"/>
      <c r="S41" s="1498"/>
      <c r="T41" s="1499"/>
      <c r="U41" s="1683" t="s">
        <v>26</v>
      </c>
      <c r="V41" s="1684"/>
      <c r="W41" s="1685"/>
      <c r="X41" s="1538" t="s">
        <v>3024</v>
      </c>
      <c r="Y41" s="1539"/>
      <c r="Z41" s="1539"/>
      <c r="AA41" s="1539"/>
      <c r="AB41" s="1539"/>
      <c r="AC41" s="1539"/>
      <c r="AD41" s="1539"/>
      <c r="AE41" s="1539"/>
      <c r="AF41" s="1540"/>
    </row>
    <row r="42" spans="1:32" ht="50.25" customHeight="1" x14ac:dyDescent="0.25">
      <c r="A42" s="1494" t="s">
        <v>2724</v>
      </c>
      <c r="B42" s="1495"/>
      <c r="C42" s="1495"/>
      <c r="D42" s="1496"/>
      <c r="E42" s="1494" t="s">
        <v>2217</v>
      </c>
      <c r="F42" s="1495"/>
      <c r="G42" s="1495"/>
      <c r="H42" s="1495"/>
      <c r="I42" s="1495"/>
      <c r="J42" s="1495"/>
      <c r="K42" s="1495"/>
      <c r="L42" s="1495"/>
      <c r="M42" s="1495"/>
      <c r="N42" s="1495"/>
      <c r="O42" s="1495"/>
      <c r="P42" s="1496"/>
      <c r="Q42" s="1497">
        <f>'Master EUL'!X101</f>
        <v>15</v>
      </c>
      <c r="R42" s="1498"/>
      <c r="S42" s="1498"/>
      <c r="T42" s="1499"/>
      <c r="U42" s="1683" t="s">
        <v>36</v>
      </c>
      <c r="V42" s="1684"/>
      <c r="W42" s="1685"/>
      <c r="X42" s="1494" t="s">
        <v>2811</v>
      </c>
      <c r="Y42" s="1495"/>
      <c r="Z42" s="1495"/>
      <c r="AA42" s="1495"/>
      <c r="AB42" s="1495"/>
      <c r="AC42" s="1495"/>
      <c r="AD42" s="1495"/>
      <c r="AE42" s="1495"/>
      <c r="AF42" s="1496"/>
    </row>
    <row r="43" spans="1:32" ht="66.75" customHeight="1" x14ac:dyDescent="0.25">
      <c r="A43" s="1686" t="s">
        <v>3046</v>
      </c>
      <c r="B43" s="1686"/>
      <c r="C43" s="1686"/>
      <c r="D43" s="1686"/>
      <c r="E43" s="1686"/>
      <c r="F43" s="1686"/>
      <c r="G43" s="1686"/>
      <c r="H43" s="1686"/>
      <c r="I43" s="1686"/>
      <c r="J43" s="1686"/>
      <c r="K43" s="1686"/>
      <c r="L43" s="1686"/>
      <c r="M43" s="1686"/>
      <c r="N43" s="1686"/>
      <c r="O43" s="1686"/>
      <c r="P43" s="1686"/>
      <c r="Q43" s="1686"/>
      <c r="R43" s="1686"/>
      <c r="S43" s="1686"/>
      <c r="T43" s="1686"/>
      <c r="U43" s="1686"/>
      <c r="V43" s="1686"/>
      <c r="W43" s="1686"/>
      <c r="X43" s="1686"/>
      <c r="Y43" s="1686"/>
      <c r="Z43" s="1686"/>
      <c r="AA43" s="1686"/>
      <c r="AB43" s="1686"/>
      <c r="AC43" s="1686"/>
      <c r="AD43" s="1686"/>
      <c r="AE43" s="1686"/>
      <c r="AF43" s="1686"/>
    </row>
    <row r="44" spans="1:32" ht="15" customHeight="1" x14ac:dyDescent="0.25">
      <c r="A44" s="227"/>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27"/>
      <c r="AC44" s="227"/>
      <c r="AD44" s="227"/>
      <c r="AE44" s="227"/>
      <c r="AF44" s="227"/>
    </row>
    <row r="45" spans="1:32" ht="15" customHeight="1" x14ac:dyDescent="0.25">
      <c r="A45" s="1621" t="s">
        <v>21</v>
      </c>
      <c r="B45" s="1621"/>
      <c r="C45" s="1621"/>
      <c r="D45" s="1621"/>
      <c r="E45" s="1621"/>
      <c r="F45" s="1621"/>
      <c r="G45" s="1621"/>
      <c r="H45" s="1621"/>
      <c r="I45" s="1621"/>
      <c r="J45" s="1621"/>
      <c r="K45" s="1621"/>
      <c r="L45" s="1621"/>
      <c r="M45" s="1621"/>
      <c r="N45" s="1621"/>
      <c r="O45" s="1621"/>
      <c r="P45" s="1621"/>
      <c r="Q45" s="1621"/>
      <c r="R45" s="1621"/>
      <c r="S45" s="1621"/>
      <c r="T45" s="1621"/>
      <c r="U45" s="1621"/>
      <c r="V45" s="1621"/>
      <c r="W45" s="1621"/>
      <c r="X45" s="1621"/>
      <c r="Y45" s="1621"/>
      <c r="Z45" s="1621"/>
      <c r="AA45" s="1621"/>
      <c r="AB45" s="1621"/>
      <c r="AC45" s="1621"/>
      <c r="AD45" s="1621"/>
      <c r="AE45" s="1621"/>
      <c r="AF45" s="1621"/>
    </row>
    <row r="46" spans="1:32" ht="15"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c r="AF46" s="227"/>
    </row>
    <row r="47" spans="1:32" ht="15" customHeight="1" x14ac:dyDescent="0.25">
      <c r="A47" s="338" t="s">
        <v>3020</v>
      </c>
    </row>
    <row r="48" spans="1:32" ht="15" customHeight="1" x14ac:dyDescent="0.25">
      <c r="A48" s="2146" t="s">
        <v>54</v>
      </c>
      <c r="B48" s="2147"/>
      <c r="C48" s="2147"/>
      <c r="D48" s="2147"/>
      <c r="E48" s="2147"/>
      <c r="F48" s="2148"/>
      <c r="G48" s="1319" t="s">
        <v>23</v>
      </c>
      <c r="H48" s="1319"/>
      <c r="I48" s="1319"/>
      <c r="J48" s="1319"/>
      <c r="K48" s="1319"/>
      <c r="L48" s="1319"/>
      <c r="M48" s="1319"/>
      <c r="N48" s="1319"/>
      <c r="O48" s="1439" t="s">
        <v>24</v>
      </c>
      <c r="P48" s="1440"/>
      <c r="Q48" s="1440"/>
      <c r="R48" s="1440"/>
      <c r="S48" s="1440"/>
      <c r="T48" s="1440"/>
      <c r="U48" s="1440"/>
      <c r="V48" s="1440"/>
      <c r="W48" s="1441"/>
      <c r="X48" s="1319" t="s">
        <v>2012</v>
      </c>
      <c r="Y48" s="1319"/>
      <c r="Z48" s="1319"/>
      <c r="AA48" s="1319"/>
      <c r="AB48" s="1319"/>
      <c r="AC48" s="1319"/>
      <c r="AD48" s="1319"/>
      <c r="AE48" s="1319"/>
      <c r="AF48" s="1319"/>
    </row>
    <row r="49" spans="1:32" ht="33" customHeight="1" x14ac:dyDescent="0.25">
      <c r="A49" s="2004" t="s">
        <v>3740</v>
      </c>
      <c r="B49" s="1670"/>
      <c r="C49" s="1670"/>
      <c r="D49" s="1670"/>
      <c r="E49" s="1670"/>
      <c r="F49" s="1671"/>
      <c r="G49" s="2149">
        <v>0.36799999999999999</v>
      </c>
      <c r="H49" s="2149"/>
      <c r="I49" s="2149"/>
      <c r="J49" s="2149"/>
      <c r="K49" s="2149"/>
      <c r="L49" s="2149"/>
      <c r="M49" s="2149"/>
      <c r="N49" s="2149"/>
      <c r="O49" s="2150">
        <v>1214.0999999999999</v>
      </c>
      <c r="P49" s="2151"/>
      <c r="Q49" s="2151"/>
      <c r="R49" s="2151"/>
      <c r="S49" s="2151"/>
      <c r="T49" s="2151"/>
      <c r="U49" s="2151"/>
      <c r="V49" s="2151"/>
      <c r="W49" s="2152"/>
      <c r="X49" s="2153">
        <f>ROUND(O49*$Q$42,2)</f>
        <v>18211.5</v>
      </c>
      <c r="Y49" s="2153"/>
      <c r="Z49" s="2153"/>
      <c r="AA49" s="2153"/>
      <c r="AB49" s="2153"/>
      <c r="AC49" s="2153"/>
      <c r="AD49" s="2153"/>
      <c r="AE49" s="2153"/>
      <c r="AF49" s="2153"/>
    </row>
    <row r="50" spans="1:32" ht="45" customHeight="1" x14ac:dyDescent="0.25">
      <c r="A50" s="2004" t="s">
        <v>3741</v>
      </c>
      <c r="B50" s="1670"/>
      <c r="C50" s="1670"/>
      <c r="D50" s="1670"/>
      <c r="E50" s="1670"/>
      <c r="F50" s="1671"/>
      <c r="G50" s="2149">
        <v>0.27400000000000002</v>
      </c>
      <c r="H50" s="2149"/>
      <c r="I50" s="2149"/>
      <c r="J50" s="2149"/>
      <c r="K50" s="2149"/>
      <c r="L50" s="2149"/>
      <c r="M50" s="2149"/>
      <c r="N50" s="2149"/>
      <c r="O50" s="2150">
        <v>872.29</v>
      </c>
      <c r="P50" s="2151"/>
      <c r="Q50" s="2151"/>
      <c r="R50" s="2151"/>
      <c r="S50" s="2151"/>
      <c r="T50" s="2151"/>
      <c r="U50" s="2151"/>
      <c r="V50" s="2151"/>
      <c r="W50" s="2152"/>
      <c r="X50" s="2153">
        <f>ROUND(O50*$Q$42,2)</f>
        <v>13084.35</v>
      </c>
      <c r="Y50" s="2153"/>
      <c r="Z50" s="2153"/>
      <c r="AA50" s="2153"/>
      <c r="AB50" s="2153"/>
      <c r="AC50" s="2153"/>
      <c r="AD50" s="2153"/>
      <c r="AE50" s="2153"/>
      <c r="AF50" s="2153"/>
    </row>
    <row r="51" spans="1:32" ht="15" customHeight="1" x14ac:dyDescent="0.25"/>
    <row r="52" spans="1:32" ht="15" customHeight="1" x14ac:dyDescent="0.25">
      <c r="A52" s="1621" t="s">
        <v>1753</v>
      </c>
      <c r="B52" s="1621"/>
      <c r="C52" s="1621"/>
      <c r="D52" s="1621"/>
      <c r="E52" s="1621"/>
      <c r="F52" s="1621"/>
      <c r="G52" s="1621"/>
      <c r="H52" s="1621"/>
      <c r="I52" s="1621"/>
      <c r="J52" s="1621"/>
      <c r="K52" s="1621"/>
      <c r="L52" s="1621"/>
      <c r="M52" s="1621"/>
      <c r="N52" s="1621"/>
      <c r="O52" s="1621"/>
      <c r="P52" s="1621"/>
      <c r="Q52" s="1621"/>
      <c r="R52" s="1621"/>
      <c r="S52" s="1621"/>
      <c r="T52" s="1621"/>
      <c r="U52" s="1621"/>
      <c r="V52" s="1621"/>
      <c r="W52" s="1621"/>
      <c r="X52" s="1621"/>
      <c r="Y52" s="1621"/>
      <c r="Z52" s="1621"/>
      <c r="AA52" s="1621"/>
      <c r="AB52" s="1621"/>
      <c r="AC52" s="1621"/>
      <c r="AD52" s="1621"/>
      <c r="AE52" s="1621"/>
      <c r="AF52" s="1621"/>
    </row>
    <row r="53" spans="1:32" ht="15" customHeight="1" x14ac:dyDescent="0.25"/>
    <row r="54" spans="1:32" ht="33.75" customHeight="1" x14ac:dyDescent="0.25">
      <c r="A54" s="536" t="s">
        <v>1013</v>
      </c>
      <c r="B54" s="1704" t="s">
        <v>3621</v>
      </c>
      <c r="C54" s="1704"/>
      <c r="D54" s="1704"/>
      <c r="E54" s="1704"/>
      <c r="F54" s="1704"/>
      <c r="G54" s="1704"/>
      <c r="H54" s="1704"/>
      <c r="I54" s="1704"/>
      <c r="J54" s="1704"/>
      <c r="K54" s="1704"/>
      <c r="L54" s="1704"/>
      <c r="M54" s="1704"/>
      <c r="N54" s="1704"/>
      <c r="O54" s="1704"/>
      <c r="P54" s="1704"/>
      <c r="Q54" s="1704"/>
      <c r="R54" s="1704"/>
      <c r="S54" s="1704"/>
      <c r="T54" s="1704"/>
      <c r="U54" s="1704"/>
      <c r="V54" s="1704"/>
      <c r="W54" s="1704"/>
      <c r="X54" s="1704"/>
      <c r="Y54" s="1704"/>
      <c r="Z54" s="1704"/>
      <c r="AA54" s="1704"/>
      <c r="AB54" s="1704"/>
      <c r="AC54" s="1704"/>
      <c r="AD54" s="1704"/>
      <c r="AE54" s="1704"/>
      <c r="AF54" s="1704"/>
    </row>
    <row r="55" spans="1:32" ht="32.25" customHeight="1" x14ac:dyDescent="0.25">
      <c r="A55" s="536" t="s">
        <v>1013</v>
      </c>
      <c r="B55" s="1168" t="s">
        <v>3049</v>
      </c>
      <c r="C55" s="1168"/>
      <c r="D55" s="1168"/>
      <c r="E55" s="1168"/>
      <c r="F55" s="1168"/>
      <c r="G55" s="1168"/>
      <c r="H55" s="1168"/>
      <c r="I55" s="1168"/>
      <c r="J55" s="1168"/>
      <c r="K55" s="1168"/>
      <c r="L55" s="1168"/>
      <c r="M55" s="1168"/>
      <c r="N55" s="1168"/>
      <c r="O55" s="1168"/>
      <c r="P55" s="1168"/>
      <c r="Q55" s="1168"/>
      <c r="R55" s="1168"/>
      <c r="S55" s="1168"/>
      <c r="T55" s="1168"/>
      <c r="U55" s="1168"/>
      <c r="V55" s="1168"/>
      <c r="W55" s="1168"/>
      <c r="X55" s="1168"/>
      <c r="Y55" s="1168"/>
      <c r="Z55" s="1168"/>
      <c r="AA55" s="1168"/>
      <c r="AB55" s="1168"/>
      <c r="AC55" s="1168"/>
      <c r="AD55" s="1168"/>
      <c r="AE55" s="1168"/>
      <c r="AF55" s="1168"/>
    </row>
    <row r="56" spans="1:32" ht="52.5" customHeight="1" x14ac:dyDescent="0.25">
      <c r="A56" s="536" t="s">
        <v>1013</v>
      </c>
      <c r="B56" s="1168" t="s">
        <v>3026</v>
      </c>
      <c r="C56" s="1168"/>
      <c r="D56" s="1168"/>
      <c r="E56" s="1168"/>
      <c r="F56" s="1168"/>
      <c r="G56" s="1168"/>
      <c r="H56" s="1168"/>
      <c r="I56" s="1168"/>
      <c r="J56" s="1168"/>
      <c r="K56" s="1168"/>
      <c r="L56" s="1168"/>
      <c r="M56" s="1168"/>
      <c r="N56" s="1168"/>
      <c r="O56" s="1168"/>
      <c r="P56" s="1168"/>
      <c r="Q56" s="1168"/>
      <c r="R56" s="1168"/>
      <c r="S56" s="1168"/>
      <c r="T56" s="1168"/>
      <c r="U56" s="1168"/>
      <c r="V56" s="1168"/>
      <c r="W56" s="1168"/>
      <c r="X56" s="1168"/>
      <c r="Y56" s="1168"/>
      <c r="Z56" s="1168"/>
      <c r="AA56" s="1168"/>
      <c r="AB56" s="1168"/>
      <c r="AC56" s="1168"/>
      <c r="AD56" s="1168"/>
      <c r="AE56" s="1168"/>
      <c r="AF56" s="1168"/>
    </row>
    <row r="57" spans="1:32" ht="32.25" customHeight="1" x14ac:dyDescent="0.25">
      <c r="A57" s="536" t="s">
        <v>1013</v>
      </c>
      <c r="B57" s="1168" t="s">
        <v>3047</v>
      </c>
      <c r="C57" s="1168"/>
      <c r="D57" s="1168"/>
      <c r="E57" s="1168"/>
      <c r="F57" s="1168"/>
      <c r="G57" s="1168"/>
      <c r="H57" s="1168"/>
      <c r="I57" s="1168"/>
      <c r="J57" s="1168"/>
      <c r="K57" s="1168"/>
      <c r="L57" s="1168"/>
      <c r="M57" s="1168"/>
      <c r="N57" s="1168"/>
      <c r="O57" s="1168"/>
      <c r="P57" s="1168"/>
      <c r="Q57" s="1168"/>
      <c r="R57" s="1168"/>
      <c r="S57" s="1168"/>
      <c r="T57" s="1168"/>
      <c r="U57" s="1168"/>
      <c r="V57" s="1168"/>
      <c r="W57" s="1168"/>
      <c r="X57" s="1168"/>
      <c r="Y57" s="1168"/>
      <c r="Z57" s="1168"/>
      <c r="AA57" s="1168"/>
      <c r="AB57" s="1168"/>
      <c r="AC57" s="1168"/>
      <c r="AD57" s="1168"/>
      <c r="AE57" s="1168"/>
      <c r="AF57" s="1168"/>
    </row>
    <row r="58" spans="1:32" ht="32.25" customHeight="1" x14ac:dyDescent="0.25">
      <c r="A58" s="536" t="s">
        <v>1013</v>
      </c>
      <c r="B58" s="1168" t="s">
        <v>3050</v>
      </c>
      <c r="C58" s="1168"/>
      <c r="D58" s="1168"/>
      <c r="E58" s="1168"/>
      <c r="F58" s="1168"/>
      <c r="G58" s="1168"/>
      <c r="H58" s="1168"/>
      <c r="I58" s="1168"/>
      <c r="J58" s="1168"/>
      <c r="K58" s="1168"/>
      <c r="L58" s="1168"/>
      <c r="M58" s="1168"/>
      <c r="N58" s="1168"/>
      <c r="O58" s="1168"/>
      <c r="P58" s="1168"/>
      <c r="Q58" s="1168"/>
      <c r="R58" s="1168"/>
      <c r="S58" s="1168"/>
      <c r="T58" s="1168"/>
      <c r="U58" s="1168"/>
      <c r="V58" s="1168"/>
      <c r="W58" s="1168"/>
      <c r="X58" s="1168"/>
      <c r="Y58" s="1168"/>
      <c r="Z58" s="1168"/>
      <c r="AA58" s="1168"/>
      <c r="AB58" s="1168"/>
      <c r="AC58" s="1168"/>
      <c r="AD58" s="1168"/>
      <c r="AE58" s="1168"/>
      <c r="AF58" s="1168"/>
    </row>
    <row r="59" spans="1:32" ht="67.5" customHeight="1" x14ac:dyDescent="0.25">
      <c r="A59" s="536" t="s">
        <v>1013</v>
      </c>
      <c r="B59" s="1168" t="s">
        <v>3021</v>
      </c>
      <c r="C59" s="1168"/>
      <c r="D59" s="1168"/>
      <c r="E59" s="1168"/>
      <c r="F59" s="1168"/>
      <c r="G59" s="1168"/>
      <c r="H59" s="1168"/>
      <c r="I59" s="1168"/>
      <c r="J59" s="1168"/>
      <c r="K59" s="1168"/>
      <c r="L59" s="1168"/>
      <c r="M59" s="1168"/>
      <c r="N59" s="1168"/>
      <c r="O59" s="1168"/>
      <c r="P59" s="1168"/>
      <c r="Q59" s="1168"/>
      <c r="R59" s="1168"/>
      <c r="S59" s="1168"/>
      <c r="T59" s="1168"/>
      <c r="U59" s="1168"/>
      <c r="V59" s="1168"/>
      <c r="W59" s="1168"/>
      <c r="X59" s="1168"/>
      <c r="Y59" s="1168"/>
      <c r="Z59" s="1168"/>
      <c r="AA59" s="1168"/>
      <c r="AB59" s="1168"/>
      <c r="AC59" s="1168"/>
      <c r="AD59" s="1168"/>
      <c r="AE59" s="1168"/>
      <c r="AF59" s="1168"/>
    </row>
    <row r="60" spans="1:32" ht="50.25" customHeight="1" x14ac:dyDescent="0.25">
      <c r="A60" s="536" t="s">
        <v>1013</v>
      </c>
      <c r="B60" s="1168" t="s">
        <v>3025</v>
      </c>
      <c r="C60" s="1168"/>
      <c r="D60" s="1168"/>
      <c r="E60" s="1168"/>
      <c r="F60" s="1168"/>
      <c r="G60" s="1168"/>
      <c r="H60" s="1168"/>
      <c r="I60" s="1168"/>
      <c r="J60" s="1168"/>
      <c r="K60" s="1168"/>
      <c r="L60" s="1168"/>
      <c r="M60" s="1168"/>
      <c r="N60" s="1168"/>
      <c r="O60" s="1168"/>
      <c r="P60" s="1168"/>
      <c r="Q60" s="1168"/>
      <c r="R60" s="1168"/>
      <c r="S60" s="1168"/>
      <c r="T60" s="1168"/>
      <c r="U60" s="1168"/>
      <c r="V60" s="1168"/>
      <c r="W60" s="1168"/>
      <c r="X60" s="1168"/>
      <c r="Y60" s="1168"/>
      <c r="Z60" s="1168"/>
      <c r="AA60" s="1168"/>
      <c r="AB60" s="1168"/>
      <c r="AC60" s="1168"/>
      <c r="AD60" s="1168"/>
      <c r="AE60" s="1168"/>
      <c r="AF60" s="1168"/>
    </row>
    <row r="61" spans="1:32" ht="30.75" customHeight="1" x14ac:dyDescent="0.25">
      <c r="A61" s="536" t="s">
        <v>1013</v>
      </c>
      <c r="B61" s="1168" t="s">
        <v>3048</v>
      </c>
      <c r="C61" s="1168"/>
      <c r="D61" s="1168"/>
      <c r="E61" s="1168"/>
      <c r="F61" s="1168"/>
      <c r="G61" s="1168"/>
      <c r="H61" s="1168"/>
      <c r="I61" s="1168"/>
      <c r="J61" s="1168"/>
      <c r="K61" s="1168"/>
      <c r="L61" s="1168"/>
      <c r="M61" s="1168"/>
      <c r="N61" s="1168"/>
      <c r="O61" s="1168"/>
      <c r="P61" s="1168"/>
      <c r="Q61" s="1168"/>
      <c r="R61" s="1168"/>
      <c r="S61" s="1168"/>
      <c r="T61" s="1168"/>
      <c r="U61" s="1168"/>
      <c r="V61" s="1168"/>
      <c r="W61" s="1168"/>
      <c r="X61" s="1168"/>
      <c r="Y61" s="1168"/>
      <c r="Z61" s="1168"/>
      <c r="AA61" s="1168"/>
      <c r="AB61" s="1168"/>
      <c r="AC61" s="1168"/>
      <c r="AD61" s="1168"/>
      <c r="AE61" s="1168"/>
      <c r="AF61" s="1168"/>
    </row>
    <row r="62" spans="1:32" ht="15" customHeight="1" x14ac:dyDescent="0.25"/>
    <row r="63" spans="1:32" ht="15" customHeight="1" x14ac:dyDescent="0.25"/>
    <row r="64" spans="1:32"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sheetData>
  <sheetProtection algorithmName="SHA-512" hashValue="Pmu1vw6uclDCCMxUU+LDbkg/oMepNj4+I36F/NBonQXoy+Z+BQMzd6xMChpKyMMpkSn+QARCoT62X8oOSa5Viw==" saltValue="FXgATo4ibB3RJFO3AkSYYg==" spinCount="100000" sheet="1" objects="1" scenarios="1"/>
  <mergeCells count="54">
    <mergeCell ref="B57:AF57"/>
    <mergeCell ref="B61:AF61"/>
    <mergeCell ref="B55:AF55"/>
    <mergeCell ref="B58:AF58"/>
    <mergeCell ref="B56:AF56"/>
    <mergeCell ref="B60:AF60"/>
    <mergeCell ref="B59:AF59"/>
    <mergeCell ref="A52:AF52"/>
    <mergeCell ref="B54:AF54"/>
    <mergeCell ref="A49:F49"/>
    <mergeCell ref="G49:N49"/>
    <mergeCell ref="O49:W49"/>
    <mergeCell ref="X49:AF49"/>
    <mergeCell ref="A50:F50"/>
    <mergeCell ref="G50:N50"/>
    <mergeCell ref="O50:W50"/>
    <mergeCell ref="X50:AF50"/>
    <mergeCell ref="O48:W48"/>
    <mergeCell ref="X48:AF48"/>
    <mergeCell ref="X41:AF41"/>
    <mergeCell ref="A42:D42"/>
    <mergeCell ref="E42:P42"/>
    <mergeCell ref="Q42:T42"/>
    <mergeCell ref="U42:W42"/>
    <mergeCell ref="X42:AF42"/>
    <mergeCell ref="A41:D41"/>
    <mergeCell ref="E41:P41"/>
    <mergeCell ref="Q41:T41"/>
    <mergeCell ref="U41:W41"/>
    <mergeCell ref="A43:AF43"/>
    <mergeCell ref="A45:AF45"/>
    <mergeCell ref="A48:F48"/>
    <mergeCell ref="G48:N48"/>
    <mergeCell ref="A38:AF38"/>
    <mergeCell ref="A39:D39"/>
    <mergeCell ref="E39:P39"/>
    <mergeCell ref="Q39:T39"/>
    <mergeCell ref="U39:W39"/>
    <mergeCell ref="X39:AF39"/>
    <mergeCell ref="A40:D40"/>
    <mergeCell ref="E40:P40"/>
    <mergeCell ref="Q40:T40"/>
    <mergeCell ref="U40:W40"/>
    <mergeCell ref="X40:AF40"/>
    <mergeCell ref="A1:AF1"/>
    <mergeCell ref="B13:AF13"/>
    <mergeCell ref="A7:AF7"/>
    <mergeCell ref="B16:AF16"/>
    <mergeCell ref="A24:AF24"/>
    <mergeCell ref="B22:AF22"/>
    <mergeCell ref="B19:AF19"/>
    <mergeCell ref="B10:AF10"/>
    <mergeCell ref="A3:AF3"/>
    <mergeCell ref="B5:AF5"/>
  </mergeCells>
  <hyperlinks>
    <hyperlink ref="A2" location="TOC!A1" display="Return to TOC" xr:uid="{00000000-0004-0000-29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7" numberStoredAsText="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1">
    <tabColor theme="4" tint="0.59999389629810485"/>
    <pageSetUpPr autoPageBreaks="0" fitToPage="1"/>
  </sheetPr>
  <dimension ref="A1:CB637"/>
  <sheetViews>
    <sheetView zoomScaleNormal="100" workbookViewId="0">
      <selection sqref="A1:AF1"/>
    </sheetView>
  </sheetViews>
  <sheetFormatPr defaultColWidth="2.7109375" defaultRowHeight="15" x14ac:dyDescent="0.25"/>
  <cols>
    <col min="1" max="8" width="2.7109375" style="8"/>
    <col min="9" max="9" width="2.85546875" style="8" customWidth="1"/>
    <col min="10" max="25" width="2.7109375" style="8"/>
    <col min="26" max="26" width="4" style="8" bestFit="1" customWidth="1"/>
    <col min="27" max="28" width="2.7109375" style="8"/>
    <col min="29" max="29" width="4" style="8" bestFit="1" customWidth="1"/>
    <col min="30" max="16384" width="2.7109375" style="8"/>
  </cols>
  <sheetData>
    <row r="1" spans="1:46" s="1" customFormat="1" ht="18.75" x14ac:dyDescent="0.25">
      <c r="A1" s="1464" t="s">
        <v>1995</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K1" s="338"/>
      <c r="AL1" s="262"/>
    </row>
    <row r="2" spans="1:46" s="1" customFormat="1"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K2" s="262"/>
      <c r="AL2" s="262"/>
    </row>
    <row r="3" spans="1:46" s="1"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c r="AK3" s="262"/>
      <c r="AL3" s="262"/>
    </row>
    <row r="4" spans="1:46" s="1" customFormat="1" ht="14.45" customHeight="1"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K4" s="262"/>
      <c r="AL4" s="262"/>
    </row>
    <row r="5" spans="1:46" s="1" customFormat="1" ht="93" customHeight="1" x14ac:dyDescent="0.25">
      <c r="A5" s="262"/>
      <c r="B5" s="1589" t="s">
        <v>6733</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K5" s="262"/>
      <c r="AL5" s="262"/>
      <c r="AO5" s="656"/>
      <c r="AR5" s="683"/>
      <c r="AT5" s="10"/>
    </row>
    <row r="6" spans="1:46" s="1" customFormat="1" ht="14.45" customHeight="1" x14ac:dyDescent="0.25">
      <c r="A6" s="529"/>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K6" s="262"/>
      <c r="AL6" s="262"/>
    </row>
    <row r="7" spans="1:46" s="1" customFormat="1" ht="14.45" customHeight="1"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c r="AK7" s="262"/>
      <c r="AL7" s="262"/>
    </row>
    <row r="8" spans="1:46" s="1" customFormat="1" ht="14.45" customHeight="1" x14ac:dyDescent="0.25">
      <c r="A8" s="19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K8" s="262"/>
      <c r="AL8" s="262"/>
    </row>
    <row r="9" spans="1:46" s="1" customFormat="1" ht="14.45" customHeight="1"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c r="AK9" s="262"/>
      <c r="AL9" s="262"/>
    </row>
    <row r="10" spans="1:46" s="1" customFormat="1" ht="48.75" customHeight="1" x14ac:dyDescent="0.25">
      <c r="A10" s="263"/>
      <c r="B10" s="1173" t="s">
        <v>3055</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K10" s="262"/>
      <c r="AL10" s="262"/>
    </row>
    <row r="11" spans="1:46" s="1" customFormat="1" ht="14.45" customHeight="1"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K11" s="262"/>
      <c r="AL11" s="262"/>
    </row>
    <row r="12" spans="1:46" s="1" customFormat="1" ht="14.45" customHeight="1"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K12" s="262"/>
      <c r="AL12" s="262"/>
    </row>
    <row r="13" spans="1:46" s="1" customFormat="1" ht="14.45" customHeight="1" x14ac:dyDescent="0.25">
      <c r="A13" s="262"/>
      <c r="B13" s="1173" t="s">
        <v>1807</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K13" s="262"/>
      <c r="AL13" s="262"/>
    </row>
    <row r="14" spans="1:46" s="1" customFormat="1" ht="14.45" customHeight="1" x14ac:dyDescent="0.25">
      <c r="A14" s="262"/>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K14" s="262"/>
      <c r="AL14" s="262"/>
    </row>
    <row r="15" spans="1:46" s="1" customFormat="1" ht="67.5" customHeight="1" x14ac:dyDescent="0.25">
      <c r="A15" s="262"/>
      <c r="B15" s="1173" t="s">
        <v>6734</v>
      </c>
      <c r="C15" s="1173"/>
      <c r="D15" s="1173"/>
      <c r="E15" s="1173"/>
      <c r="F15" s="1173"/>
      <c r="G15" s="1173"/>
      <c r="H15" s="1173"/>
      <c r="I15" s="1173"/>
      <c r="J15" s="1173"/>
      <c r="K15" s="1173"/>
      <c r="L15" s="1173"/>
      <c r="M15" s="1173"/>
      <c r="N15" s="1173"/>
      <c r="O15" s="1173"/>
      <c r="P15" s="1173"/>
      <c r="Q15" s="1173"/>
      <c r="R15" s="1173"/>
      <c r="S15" s="1173"/>
      <c r="T15" s="1173"/>
      <c r="U15" s="1173"/>
      <c r="V15" s="1173"/>
      <c r="W15" s="1173"/>
      <c r="X15" s="1173"/>
      <c r="Y15" s="1173"/>
      <c r="Z15" s="1173"/>
      <c r="AA15" s="1173"/>
      <c r="AB15" s="1173"/>
      <c r="AC15" s="1173"/>
      <c r="AD15" s="1173"/>
      <c r="AE15" s="1173"/>
      <c r="AF15" s="1173"/>
      <c r="AK15" s="262"/>
      <c r="AL15" s="262"/>
    </row>
    <row r="16" spans="1:46" s="1" customFormat="1" x14ac:dyDescent="0.25">
      <c r="A16" s="262"/>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K16" s="262"/>
      <c r="AL16" s="262"/>
    </row>
    <row r="17" spans="1:38" s="1" customFormat="1" ht="78" customHeight="1" x14ac:dyDescent="0.25">
      <c r="A17" s="262"/>
      <c r="B17" s="1173" t="s">
        <v>2039</v>
      </c>
      <c r="C17" s="1173"/>
      <c r="D17" s="1173"/>
      <c r="E17" s="1173"/>
      <c r="F17" s="1173"/>
      <c r="G17" s="1173"/>
      <c r="H17" s="1173"/>
      <c r="I17" s="1173"/>
      <c r="J17" s="1173"/>
      <c r="K17" s="1173"/>
      <c r="L17" s="1173"/>
      <c r="M17" s="1173"/>
      <c r="N17" s="1173"/>
      <c r="O17" s="1173"/>
      <c r="P17" s="1173"/>
      <c r="Q17" s="1173"/>
      <c r="R17" s="1173"/>
      <c r="S17" s="1173"/>
      <c r="T17" s="1173"/>
      <c r="U17" s="1173"/>
      <c r="V17" s="1173"/>
      <c r="W17" s="1173"/>
      <c r="X17" s="1173"/>
      <c r="Y17" s="1173"/>
      <c r="Z17" s="1173"/>
      <c r="AA17" s="1173"/>
      <c r="AB17" s="1173"/>
      <c r="AC17" s="1173"/>
      <c r="AD17" s="1173"/>
      <c r="AE17" s="1173"/>
      <c r="AF17" s="1173"/>
      <c r="AK17" s="262"/>
      <c r="AL17" s="262"/>
    </row>
    <row r="18" spans="1:38" s="1" customFormat="1" ht="14.45" customHeight="1" x14ac:dyDescent="0.25">
      <c r="A18" s="262"/>
      <c r="B18" s="262"/>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K18" s="262"/>
      <c r="AL18" s="262"/>
    </row>
    <row r="19" spans="1:38" s="1" customFormat="1" ht="14.45" customHeight="1" x14ac:dyDescent="0.25">
      <c r="A19" s="262"/>
      <c r="B19" s="1845" t="s">
        <v>12</v>
      </c>
      <c r="C19" s="1845"/>
      <c r="D19" s="1845"/>
      <c r="E19" s="1845"/>
      <c r="F19" s="1845"/>
      <c r="G19" s="1845"/>
      <c r="H19" s="1845"/>
      <c r="I19" s="1845"/>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K19" s="262"/>
      <c r="AL19" s="262"/>
    </row>
    <row r="20" spans="1:38" s="1" customFormat="1" ht="14.45" customHeight="1" x14ac:dyDescent="0.25">
      <c r="A20" s="262"/>
      <c r="B20" s="1703" t="s">
        <v>3172</v>
      </c>
      <c r="C20" s="1703"/>
      <c r="D20" s="1703"/>
      <c r="E20" s="1703"/>
      <c r="F20" s="1703"/>
      <c r="G20" s="1703"/>
      <c r="H20" s="1703"/>
      <c r="I20" s="1703"/>
      <c r="J20" s="1703"/>
      <c r="K20" s="1703"/>
      <c r="L20" s="1703"/>
      <c r="M20" s="1703"/>
      <c r="N20" s="1703"/>
      <c r="O20" s="1703"/>
      <c r="P20" s="1703"/>
      <c r="Q20" s="1703"/>
      <c r="R20" s="1703"/>
      <c r="S20" s="1703"/>
      <c r="T20" s="1703"/>
      <c r="U20" s="1703"/>
      <c r="V20" s="1703"/>
      <c r="W20" s="1703"/>
      <c r="X20" s="1703"/>
      <c r="Y20" s="1703"/>
      <c r="Z20" s="1703"/>
      <c r="AA20" s="1703"/>
      <c r="AB20" s="1703"/>
      <c r="AC20" s="1703"/>
      <c r="AD20" s="1703"/>
      <c r="AE20" s="1703"/>
      <c r="AF20" s="1703"/>
      <c r="AK20" s="262"/>
      <c r="AL20" s="262"/>
    </row>
    <row r="21" spans="1:38" s="1" customFormat="1" ht="14.45" customHeight="1" x14ac:dyDescent="0.25">
      <c r="A21" s="262"/>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K21" s="262"/>
      <c r="AL21" s="262"/>
    </row>
    <row r="22" spans="1:38" s="1" customFormat="1" ht="14.45" customHeight="1" x14ac:dyDescent="0.25">
      <c r="A22" s="262"/>
      <c r="B22" s="1845" t="s">
        <v>13</v>
      </c>
      <c r="C22" s="1845"/>
      <c r="D22" s="1845"/>
      <c r="E22" s="1845"/>
      <c r="F22" s="1845"/>
      <c r="G22" s="1845"/>
      <c r="H22" s="1845"/>
      <c r="I22" s="1845"/>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c r="AK22" s="262"/>
      <c r="AL22" s="262"/>
    </row>
    <row r="23" spans="1:38" s="1" customFormat="1" ht="48" customHeight="1" x14ac:dyDescent="0.25">
      <c r="A23" s="262"/>
      <c r="B23" s="1173" t="s">
        <v>6708</v>
      </c>
      <c r="C23" s="1173"/>
      <c r="D23" s="1173"/>
      <c r="E23" s="1173"/>
      <c r="F23" s="1173"/>
      <c r="G23" s="1173"/>
      <c r="H23" s="1173"/>
      <c r="I23" s="1173"/>
      <c r="J23" s="1173"/>
      <c r="K23" s="1173"/>
      <c r="L23" s="1173"/>
      <c r="M23" s="1173"/>
      <c r="N23" s="1173"/>
      <c r="O23" s="1173"/>
      <c r="P23" s="1173"/>
      <c r="Q23" s="1173"/>
      <c r="R23" s="1173"/>
      <c r="S23" s="1173"/>
      <c r="T23" s="1173"/>
      <c r="U23" s="1173"/>
      <c r="V23" s="1173"/>
      <c r="W23" s="1173"/>
      <c r="X23" s="1173"/>
      <c r="Y23" s="1173"/>
      <c r="Z23" s="1173"/>
      <c r="AA23" s="1173"/>
      <c r="AB23" s="1173"/>
      <c r="AC23" s="1173"/>
      <c r="AD23" s="1173"/>
      <c r="AE23" s="1173"/>
      <c r="AF23" s="1173"/>
      <c r="AK23" s="262"/>
      <c r="AL23" s="262"/>
    </row>
    <row r="24" spans="1:38" s="1" customFormat="1" x14ac:dyDescent="0.25">
      <c r="A24" s="262"/>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K24" s="262"/>
      <c r="AL24" s="262"/>
    </row>
    <row r="25" spans="1:38" s="1" customFormat="1" ht="65.25" customHeight="1" x14ac:dyDescent="0.25">
      <c r="A25" s="262"/>
      <c r="B25" s="1173" t="s">
        <v>1808</v>
      </c>
      <c r="C25" s="1173"/>
      <c r="D25" s="1173"/>
      <c r="E25" s="1173"/>
      <c r="F25" s="1173"/>
      <c r="G25" s="1173"/>
      <c r="H25" s="1173"/>
      <c r="I25" s="1173"/>
      <c r="J25" s="1173"/>
      <c r="K25" s="1173"/>
      <c r="L25" s="1173"/>
      <c r="M25" s="1173"/>
      <c r="N25" s="1173"/>
      <c r="O25" s="1173"/>
      <c r="P25" s="1173"/>
      <c r="Q25" s="1173"/>
      <c r="R25" s="1173"/>
      <c r="S25" s="1173"/>
      <c r="T25" s="1173"/>
      <c r="U25" s="1173"/>
      <c r="V25" s="1173"/>
      <c r="W25" s="1173"/>
      <c r="X25" s="1173"/>
      <c r="Y25" s="1173"/>
      <c r="Z25" s="1173"/>
      <c r="AA25" s="1173"/>
      <c r="AB25" s="1173"/>
      <c r="AC25" s="1173"/>
      <c r="AD25" s="1173"/>
      <c r="AE25" s="1173"/>
      <c r="AF25" s="1173"/>
      <c r="AK25" s="262"/>
      <c r="AL25" s="262"/>
    </row>
    <row r="26" spans="1:38" s="1" customFormat="1" x14ac:dyDescent="0.25">
      <c r="A26" s="262"/>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K26" s="262"/>
      <c r="AL26" s="262"/>
    </row>
    <row r="27" spans="1:38" s="1" customFormat="1" ht="123.75" customHeight="1" x14ac:dyDescent="0.25">
      <c r="A27" s="262"/>
      <c r="B27" s="1622" t="s">
        <v>5688</v>
      </c>
      <c r="C27" s="1173"/>
      <c r="D27" s="1173"/>
      <c r="E27" s="1173"/>
      <c r="F27" s="1173"/>
      <c r="G27" s="1173"/>
      <c r="H27" s="1173"/>
      <c r="I27" s="1173"/>
      <c r="J27" s="1173"/>
      <c r="K27" s="1173"/>
      <c r="L27" s="1173"/>
      <c r="M27" s="1173"/>
      <c r="N27" s="1173"/>
      <c r="O27" s="1173"/>
      <c r="P27" s="1173"/>
      <c r="Q27" s="1173"/>
      <c r="R27" s="1173"/>
      <c r="S27" s="1173"/>
      <c r="T27" s="1173"/>
      <c r="U27" s="1173"/>
      <c r="V27" s="1173"/>
      <c r="W27" s="1173"/>
      <c r="X27" s="1173"/>
      <c r="Y27" s="1173"/>
      <c r="Z27" s="1173"/>
      <c r="AA27" s="1173"/>
      <c r="AB27" s="1173"/>
      <c r="AC27" s="1173"/>
      <c r="AD27" s="1173"/>
      <c r="AE27" s="1173"/>
      <c r="AF27" s="1173"/>
      <c r="AK27" s="262"/>
      <c r="AL27" s="262"/>
    </row>
    <row r="28" spans="1:38" s="1" customFormat="1" x14ac:dyDescent="0.25">
      <c r="A28" s="262"/>
      <c r="B28" s="263"/>
      <c r="C28" s="263"/>
      <c r="D28" s="263"/>
      <c r="E28" s="263"/>
      <c r="F28" s="263"/>
      <c r="G28" s="263"/>
      <c r="H28" s="263"/>
      <c r="I28" s="263"/>
      <c r="J28" s="263"/>
      <c r="K28" s="263"/>
      <c r="L28" s="263"/>
      <c r="M28" s="263"/>
      <c r="N28" s="263"/>
      <c r="O28" s="263"/>
      <c r="P28" s="263"/>
      <c r="Q28" s="263"/>
      <c r="R28" s="263"/>
      <c r="S28" s="263"/>
      <c r="T28" s="263"/>
      <c r="U28" s="263"/>
      <c r="V28" s="263"/>
      <c r="W28" s="263"/>
      <c r="X28" s="263"/>
      <c r="Y28" s="263"/>
      <c r="Z28" s="263"/>
      <c r="AA28" s="263"/>
      <c r="AB28" s="263"/>
      <c r="AC28" s="263"/>
      <c r="AD28" s="263"/>
      <c r="AE28" s="263"/>
      <c r="AF28" s="263"/>
      <c r="AK28" s="262"/>
      <c r="AL28" s="262"/>
    </row>
    <row r="29" spans="1:38" s="1" customFormat="1" ht="141.75" customHeight="1" x14ac:dyDescent="0.25">
      <c r="A29" s="262"/>
      <c r="B29" s="1173" t="s">
        <v>6735</v>
      </c>
      <c r="C29" s="1173"/>
      <c r="D29" s="1173"/>
      <c r="E29" s="1173"/>
      <c r="F29" s="1173"/>
      <c r="G29" s="1173"/>
      <c r="H29" s="1173"/>
      <c r="I29" s="1173"/>
      <c r="J29" s="1173"/>
      <c r="K29" s="1173"/>
      <c r="L29" s="1173"/>
      <c r="M29" s="1173"/>
      <c r="N29" s="1173"/>
      <c r="O29" s="1173"/>
      <c r="P29" s="1173"/>
      <c r="Q29" s="1173"/>
      <c r="R29" s="1173"/>
      <c r="S29" s="1173"/>
      <c r="T29" s="1173"/>
      <c r="U29" s="1173"/>
      <c r="V29" s="1173"/>
      <c r="W29" s="1173"/>
      <c r="X29" s="1173"/>
      <c r="Y29" s="1173"/>
      <c r="Z29" s="1173"/>
      <c r="AA29" s="1173"/>
      <c r="AB29" s="1173"/>
      <c r="AC29" s="1173"/>
      <c r="AD29" s="1173"/>
      <c r="AE29" s="1173"/>
      <c r="AF29" s="1173"/>
      <c r="AK29" s="262"/>
      <c r="AL29" s="262"/>
    </row>
    <row r="30" spans="1:38" s="1" customFormat="1" ht="14.45" customHeight="1" x14ac:dyDescent="0.25">
      <c r="A30" s="262"/>
      <c r="B30" s="414"/>
      <c r="C30" s="414"/>
      <c r="D30" s="414"/>
      <c r="E30" s="414"/>
      <c r="F30" s="414"/>
      <c r="G30" s="414"/>
      <c r="H30" s="414"/>
      <c r="I30" s="414"/>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K30" s="262"/>
      <c r="AL30" s="262"/>
    </row>
    <row r="31" spans="1:38" s="1" customFormat="1" ht="14.45" customHeight="1" x14ac:dyDescent="0.25">
      <c r="A31" s="262"/>
      <c r="B31" s="414" t="s">
        <v>20</v>
      </c>
      <c r="C31" s="414"/>
      <c r="D31" s="414"/>
      <c r="E31" s="414"/>
      <c r="F31" s="414"/>
      <c r="G31" s="414"/>
      <c r="H31" s="414"/>
      <c r="I31" s="414"/>
      <c r="J31" s="414"/>
      <c r="K31" s="262"/>
      <c r="L31" s="262"/>
      <c r="M31" s="262"/>
      <c r="N31" s="262"/>
      <c r="O31" s="262"/>
      <c r="P31" s="262"/>
      <c r="Q31" s="262"/>
      <c r="R31" s="262"/>
      <c r="S31" s="262"/>
      <c r="T31" s="262"/>
      <c r="U31" s="262"/>
      <c r="V31" s="262"/>
      <c r="W31" s="262"/>
      <c r="X31" s="262"/>
      <c r="Y31" s="262"/>
      <c r="Z31" s="262"/>
      <c r="AA31" s="262"/>
      <c r="AB31" s="262"/>
      <c r="AC31" s="262"/>
      <c r="AD31" s="262"/>
      <c r="AE31" s="262"/>
      <c r="AF31" s="262"/>
      <c r="AK31" s="262"/>
      <c r="AL31" s="262"/>
    </row>
    <row r="32" spans="1:38" s="1" customFormat="1" ht="90" customHeight="1" x14ac:dyDescent="0.25">
      <c r="A32" s="262"/>
      <c r="B32" s="1622" t="s">
        <v>6736</v>
      </c>
      <c r="C32" s="1287"/>
      <c r="D32" s="1287"/>
      <c r="E32" s="1287"/>
      <c r="F32" s="1287"/>
      <c r="G32" s="1287"/>
      <c r="H32" s="1287"/>
      <c r="I32" s="1287"/>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K32" s="262"/>
      <c r="AL32" s="262"/>
    </row>
    <row r="33" spans="1:32" s="1" customFormat="1" ht="14.45" customHeight="1" x14ac:dyDescent="0.25">
      <c r="A33" s="376"/>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row>
    <row r="34" spans="1:32" s="1" customFormat="1" x14ac:dyDescent="0.25">
      <c r="A34" s="1472" t="s">
        <v>14</v>
      </c>
      <c r="B34" s="1472"/>
      <c r="C34" s="1472"/>
      <c r="D34" s="1472"/>
      <c r="E34" s="1472"/>
      <c r="F34" s="1472"/>
      <c r="G34" s="1472"/>
      <c r="H34" s="1472"/>
      <c r="I34" s="1472"/>
      <c r="J34" s="1472"/>
      <c r="K34" s="1472"/>
      <c r="L34" s="1472"/>
      <c r="M34" s="1472"/>
      <c r="N34" s="1472"/>
      <c r="O34" s="1472"/>
      <c r="P34" s="1472"/>
      <c r="Q34" s="1472"/>
      <c r="R34" s="1472"/>
      <c r="S34" s="1472"/>
      <c r="T34" s="1472"/>
      <c r="U34" s="1472"/>
      <c r="V34" s="1472"/>
      <c r="W34" s="1472"/>
      <c r="X34" s="1472"/>
      <c r="Y34" s="1472"/>
      <c r="Z34" s="1472"/>
      <c r="AA34" s="1472"/>
      <c r="AB34" s="1472"/>
      <c r="AC34" s="1472"/>
      <c r="AD34" s="1472"/>
      <c r="AE34" s="1472"/>
      <c r="AF34" s="1472"/>
    </row>
    <row r="35" spans="1:32" s="1" customForma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32" s="1" customFormat="1" x14ac:dyDescent="0.25">
      <c r="A36" s="3"/>
      <c r="B36" s="379" t="s">
        <v>2301</v>
      </c>
    </row>
    <row r="37" spans="1:32" s="1" customFormat="1" x14ac:dyDescent="0.25">
      <c r="A37" s="3"/>
    </row>
    <row r="38" spans="1:32" s="1" customFormat="1" x14ac:dyDescent="0.25">
      <c r="A38" s="3"/>
      <c r="AF38" s="204" t="s">
        <v>1705</v>
      </c>
    </row>
    <row r="39" spans="1:32" s="1" customFormat="1" x14ac:dyDescent="0.25">
      <c r="A39" s="3"/>
      <c r="AF39" s="204"/>
    </row>
    <row r="40" spans="1:32" s="1" customFormat="1" x14ac:dyDescent="0.25">
      <c r="A40" s="3"/>
      <c r="B40" s="379" t="s">
        <v>2302</v>
      </c>
    </row>
    <row r="41" spans="1:32" s="1" customFormat="1" x14ac:dyDescent="0.25">
      <c r="A41" s="3"/>
    </row>
    <row r="42" spans="1:32" s="1" customFormat="1" x14ac:dyDescent="0.25">
      <c r="A42" s="3"/>
      <c r="AF42" s="204" t="s">
        <v>1706</v>
      </c>
    </row>
    <row r="43" spans="1:32" s="1" customFormat="1" x14ac:dyDescent="0.25">
      <c r="A43" s="3"/>
      <c r="AF43" s="204"/>
    </row>
    <row r="44" spans="1:32" s="1" customFormat="1" x14ac:dyDescent="0.25">
      <c r="A44" s="3"/>
      <c r="B44" s="171" t="s">
        <v>2192</v>
      </c>
    </row>
    <row r="45" spans="1:32" s="1" customFormat="1" x14ac:dyDescent="0.25">
      <c r="A45" s="3"/>
    </row>
    <row r="46" spans="1:32" s="1" customFormat="1" x14ac:dyDescent="0.25">
      <c r="A46" s="3"/>
      <c r="AF46" s="204" t="s">
        <v>1707</v>
      </c>
    </row>
    <row r="47" spans="1:32" s="1" customFormat="1" x14ac:dyDescent="0.25">
      <c r="A47" s="3"/>
    </row>
    <row r="48" spans="1:32" s="1" customFormat="1" x14ac:dyDescent="0.25">
      <c r="A48" s="3"/>
      <c r="B48" s="171" t="s">
        <v>2193</v>
      </c>
    </row>
    <row r="49" spans="1:37" s="1" customFormat="1" x14ac:dyDescent="0.25">
      <c r="A49" s="3"/>
    </row>
    <row r="50" spans="1:37" s="1" customFormat="1" x14ac:dyDescent="0.25">
      <c r="A50" s="3"/>
      <c r="AF50" s="204" t="s">
        <v>1756</v>
      </c>
    </row>
    <row r="51" spans="1:37" s="1" customFormat="1" x14ac:dyDescent="0.25">
      <c r="A51" s="3"/>
      <c r="AF51" s="204"/>
    </row>
    <row r="52" spans="1:37" s="1" customFormat="1" x14ac:dyDescent="0.25">
      <c r="A52" s="3"/>
      <c r="B52" s="171" t="s">
        <v>1824</v>
      </c>
      <c r="AF52" s="204"/>
    </row>
    <row r="53" spans="1:37" s="1" customFormat="1" x14ac:dyDescent="0.25">
      <c r="A53" s="3"/>
      <c r="AF53" s="204"/>
    </row>
    <row r="54" spans="1:37" s="1" customFormat="1" x14ac:dyDescent="0.25">
      <c r="A54" s="3"/>
      <c r="AF54" s="204" t="s">
        <v>1788</v>
      </c>
    </row>
    <row r="55" spans="1:37" s="1" customFormat="1" x14ac:dyDescent="0.25">
      <c r="A55" s="3"/>
      <c r="AF55" s="204"/>
    </row>
    <row r="56" spans="1:37" s="1" customFormat="1" x14ac:dyDescent="0.25">
      <c r="A56" s="3"/>
      <c r="B56" s="171" t="s">
        <v>1825</v>
      </c>
      <c r="AF56" s="204"/>
    </row>
    <row r="57" spans="1:37" s="1" customFormat="1" x14ac:dyDescent="0.25">
      <c r="A57" s="3"/>
      <c r="AF57" s="204"/>
    </row>
    <row r="58" spans="1:37" s="1" customFormat="1" x14ac:dyDescent="0.25">
      <c r="A58" s="3"/>
      <c r="AF58" s="204" t="s">
        <v>1789</v>
      </c>
    </row>
    <row r="59" spans="1:37" s="1" customFormat="1" x14ac:dyDescent="0.25">
      <c r="A59" s="3"/>
      <c r="AF59" s="204"/>
    </row>
    <row r="60" spans="1:37" s="1" customFormat="1" x14ac:dyDescent="0.25">
      <c r="A60" s="3"/>
      <c r="B60" s="171" t="s">
        <v>1809</v>
      </c>
      <c r="AF60" s="204"/>
    </row>
    <row r="61" spans="1:37" s="1" customFormat="1" x14ac:dyDescent="0.25">
      <c r="A61" s="3"/>
      <c r="AF61" s="204"/>
    </row>
    <row r="62" spans="1:37" s="1" customFormat="1" x14ac:dyDescent="0.25">
      <c r="A62" s="3"/>
      <c r="AF62" s="204" t="s">
        <v>1826</v>
      </c>
    </row>
    <row r="63" spans="1:37" s="1" customFormat="1" x14ac:dyDescent="0.25">
      <c r="A63" s="3"/>
      <c r="AF63" s="204"/>
    </row>
    <row r="64" spans="1:37" s="1" customFormat="1" x14ac:dyDescent="0.25">
      <c r="A64" s="3"/>
      <c r="B64" s="414" t="s">
        <v>3871</v>
      </c>
      <c r="AF64" s="204"/>
      <c r="AK64" s="683"/>
    </row>
    <row r="65" spans="1:37" s="1" customFormat="1" x14ac:dyDescent="0.25">
      <c r="A65" s="3"/>
      <c r="AF65" s="204"/>
    </row>
    <row r="66" spans="1:37" s="1" customFormat="1" x14ac:dyDescent="0.25">
      <c r="A66" s="3"/>
      <c r="AF66" s="204" t="s">
        <v>1827</v>
      </c>
      <c r="AK66" s="262"/>
    </row>
    <row r="67" spans="1:37" s="1" customFormat="1" x14ac:dyDescent="0.25">
      <c r="A67" s="10"/>
      <c r="B67" s="204"/>
    </row>
    <row r="68" spans="1:37" s="1" customFormat="1" x14ac:dyDescent="0.25">
      <c r="A68" s="1621" t="s">
        <v>15</v>
      </c>
      <c r="B68" s="1621"/>
      <c r="C68" s="1621"/>
      <c r="D68" s="1621"/>
      <c r="E68" s="1621"/>
      <c r="F68" s="1621"/>
      <c r="G68" s="1621"/>
      <c r="H68" s="1621"/>
      <c r="I68" s="1621"/>
      <c r="J68" s="1621"/>
      <c r="K68" s="1621"/>
      <c r="L68" s="1621"/>
      <c r="M68" s="1621"/>
      <c r="N68" s="1621"/>
      <c r="O68" s="1621"/>
      <c r="P68" s="1621"/>
      <c r="Q68" s="1621"/>
      <c r="R68" s="1621"/>
      <c r="S68" s="1621"/>
      <c r="T68" s="1621"/>
      <c r="U68" s="1621"/>
      <c r="V68" s="1621"/>
      <c r="W68" s="1621"/>
      <c r="X68" s="1621"/>
      <c r="Y68" s="1621"/>
      <c r="Z68" s="1621"/>
      <c r="AA68" s="1621"/>
      <c r="AB68" s="1621"/>
      <c r="AC68" s="1621"/>
      <c r="AD68" s="1621"/>
      <c r="AE68" s="1621"/>
      <c r="AF68" s="1621"/>
    </row>
    <row r="69" spans="1:37" s="1" customFormat="1" x14ac:dyDescent="0.25">
      <c r="A69" s="2287" t="s">
        <v>16</v>
      </c>
      <c r="B69" s="2287"/>
      <c r="C69" s="2287"/>
      <c r="D69" s="2287"/>
      <c r="E69" s="2287" t="s">
        <v>10</v>
      </c>
      <c r="F69" s="2287"/>
      <c r="G69" s="2287"/>
      <c r="H69" s="2287"/>
      <c r="I69" s="2287"/>
      <c r="J69" s="2287"/>
      <c r="K69" s="2287"/>
      <c r="L69" s="2287"/>
      <c r="M69" s="2287"/>
      <c r="N69" s="2287"/>
      <c r="O69" s="2287"/>
      <c r="P69" s="2287"/>
      <c r="Q69" s="2287" t="s">
        <v>17</v>
      </c>
      <c r="R69" s="2287"/>
      <c r="S69" s="2287"/>
      <c r="T69" s="2287"/>
      <c r="U69" s="2287" t="s">
        <v>18</v>
      </c>
      <c r="V69" s="2287"/>
      <c r="W69" s="2287" t="s">
        <v>1708</v>
      </c>
      <c r="X69" s="2287"/>
      <c r="Y69" s="2287"/>
      <c r="Z69" s="2287"/>
      <c r="AA69" s="2287"/>
      <c r="AB69" s="2287"/>
      <c r="AC69" s="2287"/>
      <c r="AD69" s="2287"/>
      <c r="AE69" s="2287"/>
      <c r="AF69" s="2287"/>
    </row>
    <row r="70" spans="1:37" s="1" customFormat="1" ht="28.9" customHeight="1" x14ac:dyDescent="0.25">
      <c r="A70" s="2267" t="s">
        <v>6737</v>
      </c>
      <c r="B70" s="2268" t="s">
        <v>294</v>
      </c>
      <c r="C70" s="2268" t="s">
        <v>294</v>
      </c>
      <c r="D70" s="2269" t="s">
        <v>294</v>
      </c>
      <c r="E70" s="2270" t="s">
        <v>1810</v>
      </c>
      <c r="F70" s="2270" t="s">
        <v>254</v>
      </c>
      <c r="G70" s="2270" t="s">
        <v>254</v>
      </c>
      <c r="H70" s="2270" t="s">
        <v>254</v>
      </c>
      <c r="I70" s="2270" t="s">
        <v>254</v>
      </c>
      <c r="J70" s="2270" t="s">
        <v>254</v>
      </c>
      <c r="K70" s="2270" t="s">
        <v>254</v>
      </c>
      <c r="L70" s="2270" t="s">
        <v>254</v>
      </c>
      <c r="M70" s="2270" t="s">
        <v>254</v>
      </c>
      <c r="N70" s="2270" t="s">
        <v>254</v>
      </c>
      <c r="O70" s="2270" t="s">
        <v>254</v>
      </c>
      <c r="P70" s="2270" t="s">
        <v>254</v>
      </c>
      <c r="Q70" s="2275" t="s">
        <v>626</v>
      </c>
      <c r="R70" s="2276" t="s">
        <v>251</v>
      </c>
      <c r="S70" s="2276" t="s">
        <v>251</v>
      </c>
      <c r="T70" s="2277" t="s">
        <v>251</v>
      </c>
      <c r="U70" s="1833" t="s">
        <v>26</v>
      </c>
      <c r="V70" s="1833"/>
      <c r="W70" s="2279" t="s">
        <v>1812</v>
      </c>
      <c r="X70" s="2280"/>
      <c r="Y70" s="2280"/>
      <c r="Z70" s="2280"/>
      <c r="AA70" s="2280"/>
      <c r="AB70" s="2280"/>
      <c r="AC70" s="2280"/>
      <c r="AD70" s="2280"/>
      <c r="AE70" s="2280"/>
      <c r="AF70" s="2281"/>
    </row>
    <row r="71" spans="1:37" s="1" customFormat="1" ht="41.1" customHeight="1" x14ac:dyDescent="0.25">
      <c r="A71" s="2267" t="s">
        <v>6738</v>
      </c>
      <c r="B71" s="2268" t="s">
        <v>294</v>
      </c>
      <c r="C71" s="2268" t="s">
        <v>294</v>
      </c>
      <c r="D71" s="2269" t="s">
        <v>294</v>
      </c>
      <c r="E71" s="2270" t="s">
        <v>1811</v>
      </c>
      <c r="F71" s="2270" t="s">
        <v>255</v>
      </c>
      <c r="G71" s="2270" t="s">
        <v>255</v>
      </c>
      <c r="H71" s="2270" t="s">
        <v>255</v>
      </c>
      <c r="I71" s="2270" t="s">
        <v>255</v>
      </c>
      <c r="J71" s="2270" t="s">
        <v>255</v>
      </c>
      <c r="K71" s="2270" t="s">
        <v>255</v>
      </c>
      <c r="L71" s="2270" t="s">
        <v>255</v>
      </c>
      <c r="M71" s="2270" t="s">
        <v>255</v>
      </c>
      <c r="N71" s="2270" t="s">
        <v>255</v>
      </c>
      <c r="O71" s="2270" t="s">
        <v>255</v>
      </c>
      <c r="P71" s="2270" t="s">
        <v>255</v>
      </c>
      <c r="Q71" s="2275" t="s">
        <v>626</v>
      </c>
      <c r="R71" s="2276" t="s">
        <v>251</v>
      </c>
      <c r="S71" s="2276" t="s">
        <v>251</v>
      </c>
      <c r="T71" s="2277" t="s">
        <v>251</v>
      </c>
      <c r="U71" s="1833" t="s">
        <v>26</v>
      </c>
      <c r="V71" s="1833"/>
      <c r="W71" s="2279" t="s">
        <v>1813</v>
      </c>
      <c r="X71" s="2280"/>
      <c r="Y71" s="2280"/>
      <c r="Z71" s="2280"/>
      <c r="AA71" s="2280"/>
      <c r="AB71" s="2280"/>
      <c r="AC71" s="2280"/>
      <c r="AD71" s="2280"/>
      <c r="AE71" s="2280"/>
      <c r="AF71" s="2281"/>
    </row>
    <row r="72" spans="1:37" s="1" customFormat="1" ht="31.5" customHeight="1" x14ac:dyDescent="0.25">
      <c r="A72" s="2267" t="s">
        <v>6739</v>
      </c>
      <c r="B72" s="2268" t="s">
        <v>638</v>
      </c>
      <c r="C72" s="2268" t="s">
        <v>638</v>
      </c>
      <c r="D72" s="2269" t="s">
        <v>638</v>
      </c>
      <c r="E72" s="2270" t="s">
        <v>1050</v>
      </c>
      <c r="F72" s="2270" t="s">
        <v>255</v>
      </c>
      <c r="G72" s="2270" t="s">
        <v>255</v>
      </c>
      <c r="H72" s="2270" t="s">
        <v>255</v>
      </c>
      <c r="I72" s="2270" t="s">
        <v>255</v>
      </c>
      <c r="J72" s="2270" t="s">
        <v>255</v>
      </c>
      <c r="K72" s="2270" t="s">
        <v>255</v>
      </c>
      <c r="L72" s="2270" t="s">
        <v>255</v>
      </c>
      <c r="M72" s="2270" t="s">
        <v>255</v>
      </c>
      <c r="N72" s="2270" t="s">
        <v>255</v>
      </c>
      <c r="O72" s="2270" t="s">
        <v>255</v>
      </c>
      <c r="P72" s="2270" t="s">
        <v>255</v>
      </c>
      <c r="Q72" s="2275" t="s">
        <v>1106</v>
      </c>
      <c r="R72" s="2276"/>
      <c r="S72" s="2276"/>
      <c r="T72" s="2277"/>
      <c r="U72" s="1833" t="s">
        <v>26</v>
      </c>
      <c r="V72" s="1833"/>
      <c r="W72" s="2279" t="s">
        <v>1814</v>
      </c>
      <c r="X72" s="2280"/>
      <c r="Y72" s="2280"/>
      <c r="Z72" s="2280"/>
      <c r="AA72" s="2280"/>
      <c r="AB72" s="2280"/>
      <c r="AC72" s="2280"/>
      <c r="AD72" s="2280"/>
      <c r="AE72" s="2280"/>
      <c r="AF72" s="2281"/>
    </row>
    <row r="73" spans="1:37" s="1" customFormat="1" ht="46.5" customHeight="1" x14ac:dyDescent="0.25">
      <c r="A73" s="2267" t="s">
        <v>1760</v>
      </c>
      <c r="B73" s="2268"/>
      <c r="C73" s="2268"/>
      <c r="D73" s="2269"/>
      <c r="E73" s="2270" t="s">
        <v>2031</v>
      </c>
      <c r="F73" s="2270"/>
      <c r="G73" s="2270"/>
      <c r="H73" s="2270"/>
      <c r="I73" s="2270"/>
      <c r="J73" s="2270"/>
      <c r="K73" s="2270"/>
      <c r="L73" s="2270"/>
      <c r="M73" s="2270"/>
      <c r="N73" s="2270"/>
      <c r="O73" s="2270"/>
      <c r="P73" s="2270"/>
      <c r="Q73" s="2284">
        <v>0.98</v>
      </c>
      <c r="R73" s="2285"/>
      <c r="S73" s="2285"/>
      <c r="T73" s="2286"/>
      <c r="U73" s="2278" t="s">
        <v>28</v>
      </c>
      <c r="V73" s="1833"/>
      <c r="W73" s="2279" t="s">
        <v>2416</v>
      </c>
      <c r="X73" s="2280"/>
      <c r="Y73" s="2280"/>
      <c r="Z73" s="2280"/>
      <c r="AA73" s="2280"/>
      <c r="AB73" s="2280"/>
      <c r="AC73" s="2280"/>
      <c r="AD73" s="2280"/>
      <c r="AE73" s="2280"/>
      <c r="AF73" s="2281"/>
    </row>
    <row r="74" spans="1:37" s="1" customFormat="1" ht="68.099999999999994" customHeight="1" x14ac:dyDescent="0.25">
      <c r="A74" s="2267" t="s">
        <v>29</v>
      </c>
      <c r="B74" s="2268"/>
      <c r="C74" s="2268"/>
      <c r="D74" s="2269"/>
      <c r="E74" s="2270" t="s">
        <v>1703</v>
      </c>
      <c r="F74" s="2270"/>
      <c r="G74" s="2270"/>
      <c r="H74" s="2270"/>
      <c r="I74" s="2270"/>
      <c r="J74" s="2270"/>
      <c r="K74" s="2270"/>
      <c r="L74" s="2270"/>
      <c r="M74" s="2270"/>
      <c r="N74" s="2270"/>
      <c r="O74" s="2270"/>
      <c r="P74" s="2270"/>
      <c r="Q74" s="2275" t="s">
        <v>1815</v>
      </c>
      <c r="R74" s="2276"/>
      <c r="S74" s="2276"/>
      <c r="T74" s="2277"/>
      <c r="U74" s="2278" t="s">
        <v>28</v>
      </c>
      <c r="V74" s="1833"/>
      <c r="W74" s="2279" t="s">
        <v>2951</v>
      </c>
      <c r="X74" s="2280"/>
      <c r="Y74" s="2280"/>
      <c r="Z74" s="2280"/>
      <c r="AA74" s="2280"/>
      <c r="AB74" s="2280"/>
      <c r="AC74" s="2280"/>
      <c r="AD74" s="2280"/>
      <c r="AE74" s="2280"/>
      <c r="AF74" s="2281"/>
    </row>
    <row r="75" spans="1:37" s="1" customFormat="1" ht="57" customHeight="1" x14ac:dyDescent="0.25">
      <c r="A75" s="2267" t="s">
        <v>6740</v>
      </c>
      <c r="B75" s="2268"/>
      <c r="C75" s="2268"/>
      <c r="D75" s="2269"/>
      <c r="E75" s="2270" t="s">
        <v>1769</v>
      </c>
      <c r="F75" s="2270"/>
      <c r="G75" s="2270"/>
      <c r="H75" s="2270"/>
      <c r="I75" s="2270"/>
      <c r="J75" s="2270"/>
      <c r="K75" s="2270"/>
      <c r="L75" s="2270"/>
      <c r="M75" s="2270"/>
      <c r="N75" s="2270"/>
      <c r="O75" s="2270"/>
      <c r="P75" s="2270"/>
      <c r="Q75" s="2275" t="s">
        <v>1816</v>
      </c>
      <c r="R75" s="2276"/>
      <c r="S75" s="2276"/>
      <c r="T75" s="2277"/>
      <c r="U75" s="2278" t="s">
        <v>28</v>
      </c>
      <c r="V75" s="1833"/>
      <c r="W75" s="2279" t="s">
        <v>4611</v>
      </c>
      <c r="X75" s="2280"/>
      <c r="Y75" s="2280"/>
      <c r="Z75" s="2280"/>
      <c r="AA75" s="2280"/>
      <c r="AB75" s="2280"/>
      <c r="AC75" s="2280"/>
      <c r="AD75" s="2280"/>
      <c r="AE75" s="2280"/>
      <c r="AF75" s="2281"/>
    </row>
    <row r="76" spans="1:37" s="1" customFormat="1" ht="57.95" customHeight="1" x14ac:dyDescent="0.25">
      <c r="A76" s="2267" t="s">
        <v>6741</v>
      </c>
      <c r="B76" s="2268"/>
      <c r="C76" s="2268"/>
      <c r="D76" s="2269"/>
      <c r="E76" s="2270" t="s">
        <v>1768</v>
      </c>
      <c r="F76" s="2270"/>
      <c r="G76" s="2270"/>
      <c r="H76" s="2270"/>
      <c r="I76" s="2270"/>
      <c r="J76" s="2270"/>
      <c r="K76" s="2270"/>
      <c r="L76" s="2270"/>
      <c r="M76" s="2270"/>
      <c r="N76" s="2270"/>
      <c r="O76" s="2270"/>
      <c r="P76" s="2270"/>
      <c r="Q76" s="2275" t="s">
        <v>1816</v>
      </c>
      <c r="R76" s="2276"/>
      <c r="S76" s="2276"/>
      <c r="T76" s="2277"/>
      <c r="U76" s="2278" t="s">
        <v>28</v>
      </c>
      <c r="V76" s="1833"/>
      <c r="W76" s="2279" t="s">
        <v>4611</v>
      </c>
      <c r="X76" s="2280"/>
      <c r="Y76" s="2280"/>
      <c r="Z76" s="2280"/>
      <c r="AA76" s="2280"/>
      <c r="AB76" s="2280"/>
      <c r="AC76" s="2280"/>
      <c r="AD76" s="2280"/>
      <c r="AE76" s="2280"/>
      <c r="AF76" s="2281"/>
    </row>
    <row r="77" spans="1:37" s="1" customFormat="1" ht="69.75" customHeight="1" x14ac:dyDescent="0.25">
      <c r="A77" s="2267" t="s">
        <v>6742</v>
      </c>
      <c r="B77" s="2268"/>
      <c r="C77" s="2268"/>
      <c r="D77" s="2269"/>
      <c r="E77" s="2270" t="s">
        <v>1817</v>
      </c>
      <c r="F77" s="2270"/>
      <c r="G77" s="2270"/>
      <c r="H77" s="2270"/>
      <c r="I77" s="2270"/>
      <c r="J77" s="2270"/>
      <c r="K77" s="2270"/>
      <c r="L77" s="2270"/>
      <c r="M77" s="2270"/>
      <c r="N77" s="2270"/>
      <c r="O77" s="2270"/>
      <c r="P77" s="2270"/>
      <c r="Q77" s="2275" t="s">
        <v>1820</v>
      </c>
      <c r="R77" s="2276"/>
      <c r="S77" s="2276"/>
      <c r="T77" s="2277"/>
      <c r="U77" s="1833" t="s">
        <v>1818</v>
      </c>
      <c r="V77" s="1833"/>
      <c r="W77" s="2279" t="s">
        <v>1836</v>
      </c>
      <c r="X77" s="2280"/>
      <c r="Y77" s="2280"/>
      <c r="Z77" s="2280"/>
      <c r="AA77" s="2280"/>
      <c r="AB77" s="2280"/>
      <c r="AC77" s="2280"/>
      <c r="AD77" s="2280"/>
      <c r="AE77" s="2280"/>
      <c r="AF77" s="2281"/>
    </row>
    <row r="78" spans="1:37" s="1" customFormat="1" ht="28.9" customHeight="1" x14ac:dyDescent="0.25">
      <c r="A78" s="2283" t="s">
        <v>42</v>
      </c>
      <c r="B78" s="2283" t="s">
        <v>42</v>
      </c>
      <c r="C78" s="2283" t="s">
        <v>42</v>
      </c>
      <c r="D78" s="2283" t="s">
        <v>42</v>
      </c>
      <c r="E78" s="2270" t="s">
        <v>865</v>
      </c>
      <c r="F78" s="2270" t="s">
        <v>256</v>
      </c>
      <c r="G78" s="2270" t="s">
        <v>256</v>
      </c>
      <c r="H78" s="2270" t="s">
        <v>256</v>
      </c>
      <c r="I78" s="2270" t="s">
        <v>256</v>
      </c>
      <c r="J78" s="2270" t="s">
        <v>256</v>
      </c>
      <c r="K78" s="2270" t="s">
        <v>256</v>
      </c>
      <c r="L78" s="2270" t="s">
        <v>256</v>
      </c>
      <c r="M78" s="2270" t="s">
        <v>256</v>
      </c>
      <c r="N78" s="2270" t="s">
        <v>256</v>
      </c>
      <c r="O78" s="2270" t="s">
        <v>256</v>
      </c>
      <c r="P78" s="2270" t="s">
        <v>256</v>
      </c>
      <c r="Q78" s="2282">
        <v>1</v>
      </c>
      <c r="R78" s="2282">
        <v>1</v>
      </c>
      <c r="S78" s="2282">
        <v>1</v>
      </c>
      <c r="T78" s="2282">
        <v>1</v>
      </c>
      <c r="U78" s="1833" t="s">
        <v>28</v>
      </c>
      <c r="V78" s="1833"/>
      <c r="W78" s="2283" t="s">
        <v>1821</v>
      </c>
      <c r="X78" s="2283"/>
      <c r="Y78" s="2283"/>
      <c r="Z78" s="2283"/>
      <c r="AA78" s="2283"/>
      <c r="AB78" s="2283"/>
      <c r="AC78" s="2283"/>
      <c r="AD78" s="2283"/>
      <c r="AE78" s="2283"/>
      <c r="AF78" s="2283"/>
    </row>
    <row r="79" spans="1:37" s="1" customFormat="1" ht="58.5" customHeight="1" x14ac:dyDescent="0.25">
      <c r="A79" s="2267" t="s">
        <v>6743</v>
      </c>
      <c r="B79" s="2268" t="s">
        <v>34</v>
      </c>
      <c r="C79" s="2268" t="s">
        <v>34</v>
      </c>
      <c r="D79" s="2269" t="s">
        <v>34</v>
      </c>
      <c r="E79" s="2270" t="s">
        <v>1830</v>
      </c>
      <c r="F79" s="2270"/>
      <c r="G79" s="2270"/>
      <c r="H79" s="2270"/>
      <c r="I79" s="2270"/>
      <c r="J79" s="2270"/>
      <c r="K79" s="2270"/>
      <c r="L79" s="2270"/>
      <c r="M79" s="2270"/>
      <c r="N79" s="2270"/>
      <c r="O79" s="2270"/>
      <c r="P79" s="2270"/>
      <c r="Q79" s="1834" t="s">
        <v>1833</v>
      </c>
      <c r="R79" s="1834"/>
      <c r="S79" s="1834"/>
      <c r="T79" s="1834"/>
      <c r="U79" s="1833" t="s">
        <v>46</v>
      </c>
      <c r="V79" s="1833"/>
      <c r="W79" s="2271" t="s">
        <v>6744</v>
      </c>
      <c r="X79" s="2271"/>
      <c r="Y79" s="2271"/>
      <c r="Z79" s="2271"/>
      <c r="AA79" s="2271"/>
      <c r="AB79" s="2271"/>
      <c r="AC79" s="2271"/>
      <c r="AD79" s="2271"/>
      <c r="AE79" s="2271"/>
      <c r="AF79" s="2271"/>
      <c r="AK79" s="656"/>
    </row>
    <row r="80" spans="1:37" s="1" customFormat="1" ht="60" customHeight="1" x14ac:dyDescent="0.25">
      <c r="A80" s="2267" t="s">
        <v>6745</v>
      </c>
      <c r="B80" s="2268" t="s">
        <v>34</v>
      </c>
      <c r="C80" s="2268" t="s">
        <v>34</v>
      </c>
      <c r="D80" s="2269" t="s">
        <v>34</v>
      </c>
      <c r="E80" s="2270" t="s">
        <v>1829</v>
      </c>
      <c r="F80" s="2270"/>
      <c r="G80" s="2270"/>
      <c r="H80" s="2270"/>
      <c r="I80" s="2270"/>
      <c r="J80" s="2270"/>
      <c r="K80" s="2270"/>
      <c r="L80" s="2270"/>
      <c r="M80" s="2270"/>
      <c r="N80" s="2270"/>
      <c r="O80" s="2270"/>
      <c r="P80" s="2270"/>
      <c r="Q80" s="1834" t="s">
        <v>1834</v>
      </c>
      <c r="R80" s="1834"/>
      <c r="S80" s="1834"/>
      <c r="T80" s="1834"/>
      <c r="U80" s="1833" t="s">
        <v>46</v>
      </c>
      <c r="V80" s="1833"/>
      <c r="W80" s="2271" t="s">
        <v>6744</v>
      </c>
      <c r="X80" s="2271"/>
      <c r="Y80" s="2271"/>
      <c r="Z80" s="2271"/>
      <c r="AA80" s="2271"/>
      <c r="AB80" s="2271"/>
      <c r="AC80" s="2271"/>
      <c r="AD80" s="2271"/>
      <c r="AE80" s="2271"/>
      <c r="AF80" s="2271"/>
    </row>
    <row r="81" spans="1:78" s="1" customFormat="1" ht="43.5" customHeight="1" x14ac:dyDescent="0.25">
      <c r="A81" s="2267" t="s">
        <v>1828</v>
      </c>
      <c r="B81" s="2268" t="s">
        <v>34</v>
      </c>
      <c r="C81" s="2268" t="s">
        <v>34</v>
      </c>
      <c r="D81" s="2269" t="s">
        <v>34</v>
      </c>
      <c r="E81" s="2270" t="s">
        <v>1831</v>
      </c>
      <c r="F81" s="2270"/>
      <c r="G81" s="2270"/>
      <c r="H81" s="2270"/>
      <c r="I81" s="2270"/>
      <c r="J81" s="2270"/>
      <c r="K81" s="2270"/>
      <c r="L81" s="2270"/>
      <c r="M81" s="2270"/>
      <c r="N81" s="2270"/>
      <c r="O81" s="2270"/>
      <c r="P81" s="2270"/>
      <c r="Q81" s="1834" t="s">
        <v>1835</v>
      </c>
      <c r="R81" s="1834"/>
      <c r="S81" s="1834"/>
      <c r="T81" s="1834"/>
      <c r="U81" s="1833" t="s">
        <v>46</v>
      </c>
      <c r="V81" s="1833"/>
      <c r="W81" s="2270" t="s">
        <v>6709</v>
      </c>
      <c r="X81" s="2271"/>
      <c r="Y81" s="2271"/>
      <c r="Z81" s="2271"/>
      <c r="AA81" s="2271"/>
      <c r="AB81" s="2271"/>
      <c r="AC81" s="2271"/>
      <c r="AD81" s="2271"/>
      <c r="AE81" s="2271"/>
      <c r="AF81" s="2271"/>
      <c r="AK81" s="683"/>
    </row>
    <row r="82" spans="1:78" s="1" customFormat="1" ht="56.25" customHeight="1" x14ac:dyDescent="0.25">
      <c r="A82" s="2267" t="s">
        <v>6746</v>
      </c>
      <c r="B82" s="2268" t="s">
        <v>34</v>
      </c>
      <c r="C82" s="2268" t="s">
        <v>34</v>
      </c>
      <c r="D82" s="2269" t="s">
        <v>34</v>
      </c>
      <c r="E82" s="2270" t="s">
        <v>1832</v>
      </c>
      <c r="F82" s="2270"/>
      <c r="G82" s="2270"/>
      <c r="H82" s="2270"/>
      <c r="I82" s="2270"/>
      <c r="J82" s="2270"/>
      <c r="K82" s="2270"/>
      <c r="L82" s="2270"/>
      <c r="M82" s="2270"/>
      <c r="N82" s="2270"/>
      <c r="O82" s="2270"/>
      <c r="P82" s="2270"/>
      <c r="Q82" s="1834" t="s">
        <v>1833</v>
      </c>
      <c r="R82" s="1834"/>
      <c r="S82" s="1834"/>
      <c r="T82" s="1834"/>
      <c r="U82" s="1833" t="s">
        <v>46</v>
      </c>
      <c r="V82" s="1833"/>
      <c r="W82" s="2271" t="s">
        <v>1837</v>
      </c>
      <c r="X82" s="2271"/>
      <c r="Y82" s="2271"/>
      <c r="Z82" s="2271"/>
      <c r="AA82" s="2271"/>
      <c r="AB82" s="2271"/>
      <c r="AC82" s="2271"/>
      <c r="AD82" s="2271"/>
      <c r="AE82" s="2271"/>
      <c r="AF82" s="2271"/>
    </row>
    <row r="83" spans="1:78" s="1" customFormat="1" ht="30" customHeight="1" x14ac:dyDescent="0.25">
      <c r="A83" s="2288" t="s">
        <v>6747</v>
      </c>
      <c r="B83" s="2288"/>
      <c r="C83" s="2288"/>
      <c r="D83" s="2288"/>
      <c r="E83" s="2288"/>
      <c r="F83" s="2288"/>
      <c r="G83" s="2288"/>
      <c r="H83" s="2288"/>
      <c r="I83" s="2288"/>
      <c r="J83" s="2288"/>
      <c r="K83" s="2288"/>
      <c r="L83" s="2288"/>
      <c r="M83" s="2288"/>
      <c r="N83" s="2288"/>
      <c r="O83" s="2288"/>
      <c r="P83" s="2288"/>
      <c r="Q83" s="2288"/>
      <c r="R83" s="2288"/>
      <c r="S83" s="2288"/>
      <c r="T83" s="2288"/>
      <c r="U83" s="2288"/>
      <c r="V83" s="2288"/>
      <c r="W83" s="2288"/>
      <c r="X83" s="2288"/>
      <c r="Y83" s="2288"/>
      <c r="Z83" s="2288"/>
      <c r="AA83" s="2288"/>
      <c r="AB83" s="2288"/>
      <c r="AC83" s="2288"/>
      <c r="AD83" s="2288"/>
      <c r="AE83" s="2288"/>
      <c r="AF83" s="2288"/>
    </row>
    <row r="84" spans="1:78" s="1" customFormat="1" ht="31.5" customHeight="1" x14ac:dyDescent="0.25">
      <c r="A84" s="1686" t="s">
        <v>6748</v>
      </c>
      <c r="B84" s="1686"/>
      <c r="C84" s="1686"/>
      <c r="D84" s="1686"/>
      <c r="E84" s="1686"/>
      <c r="F84" s="1686"/>
      <c r="G84" s="1686"/>
      <c r="H84" s="1686"/>
      <c r="I84" s="1686"/>
      <c r="J84" s="1686"/>
      <c r="K84" s="1686"/>
      <c r="L84" s="1686"/>
      <c r="M84" s="1686"/>
      <c r="N84" s="1686"/>
      <c r="O84" s="1686"/>
      <c r="P84" s="1686"/>
      <c r="Q84" s="1686"/>
      <c r="R84" s="1686"/>
      <c r="S84" s="1686"/>
      <c r="T84" s="1686"/>
      <c r="U84" s="1686"/>
      <c r="V84" s="1686"/>
      <c r="W84" s="1686"/>
      <c r="X84" s="1686"/>
      <c r="Y84" s="1686"/>
      <c r="Z84" s="1686"/>
      <c r="AA84" s="1686"/>
      <c r="AB84" s="1686"/>
      <c r="AC84" s="1686"/>
      <c r="AD84" s="1686"/>
      <c r="AE84" s="1686"/>
      <c r="AF84" s="1686"/>
    </row>
    <row r="85" spans="1:78" s="1" customFormat="1" x14ac:dyDescent="0.25">
      <c r="A85" s="1686" t="s">
        <v>6749</v>
      </c>
      <c r="B85" s="1686"/>
      <c r="C85" s="1686"/>
      <c r="D85" s="1686"/>
      <c r="E85" s="1686"/>
      <c r="F85" s="1686"/>
      <c r="G85" s="1686"/>
      <c r="H85" s="1686"/>
      <c r="I85" s="1686"/>
      <c r="J85" s="1686"/>
      <c r="K85" s="1686"/>
      <c r="L85" s="1686"/>
      <c r="M85" s="1686"/>
      <c r="N85" s="1686"/>
      <c r="O85" s="1686"/>
      <c r="P85" s="1686"/>
      <c r="Q85" s="1686"/>
      <c r="R85" s="1686"/>
      <c r="S85" s="1686"/>
      <c r="T85" s="1686"/>
      <c r="U85" s="1686"/>
      <c r="V85" s="1686"/>
      <c r="W85" s="1686"/>
      <c r="X85" s="1686"/>
      <c r="Y85" s="1686"/>
      <c r="Z85" s="1686"/>
      <c r="AA85" s="1686"/>
      <c r="AB85" s="1686"/>
      <c r="AC85" s="1686"/>
      <c r="AD85" s="1686"/>
      <c r="AE85" s="1686"/>
      <c r="AF85" s="1686"/>
    </row>
    <row r="86" spans="1:78" s="1" customFormat="1" x14ac:dyDescent="0.25">
      <c r="A86" s="1686" t="s">
        <v>6750</v>
      </c>
      <c r="B86" s="1686"/>
      <c r="C86" s="1686"/>
      <c r="D86" s="1686"/>
      <c r="E86" s="1686"/>
      <c r="F86" s="1686"/>
      <c r="G86" s="1686"/>
      <c r="H86" s="1686"/>
      <c r="I86" s="1686"/>
      <c r="J86" s="1686"/>
      <c r="K86" s="1686"/>
      <c r="L86" s="1686"/>
      <c r="M86" s="1686"/>
      <c r="N86" s="1686"/>
      <c r="O86" s="1686"/>
      <c r="P86" s="1686"/>
      <c r="Q86" s="1686"/>
      <c r="R86" s="1686"/>
      <c r="S86" s="1686"/>
      <c r="T86" s="1686"/>
      <c r="U86" s="1686"/>
      <c r="V86" s="1686"/>
      <c r="W86" s="1686"/>
      <c r="X86" s="1686"/>
      <c r="Y86" s="1686"/>
      <c r="Z86" s="1686"/>
      <c r="AA86" s="1686"/>
      <c r="AB86" s="1686"/>
      <c r="AC86" s="1686"/>
      <c r="AD86" s="1686"/>
      <c r="AE86" s="1686"/>
      <c r="AF86" s="1686"/>
    </row>
    <row r="87" spans="1:78" x14ac:dyDescent="0.25">
      <c r="A87" s="3"/>
    </row>
    <row r="88" spans="1:78" ht="18.95" customHeight="1" x14ac:dyDescent="0.25">
      <c r="A88" s="190" t="s">
        <v>1916</v>
      </c>
      <c r="AH88" s="293"/>
    </row>
    <row r="89" spans="1:78" ht="14.45" customHeight="1" x14ac:dyDescent="0.25">
      <c r="A89" s="2252" t="s">
        <v>259</v>
      </c>
      <c r="B89" s="2253"/>
      <c r="C89" s="2253"/>
      <c r="D89" s="2253"/>
      <c r="E89" s="2253"/>
      <c r="F89" s="2254"/>
      <c r="G89" s="2249" t="s">
        <v>1884</v>
      </c>
      <c r="H89" s="2250"/>
      <c r="I89" s="2250"/>
      <c r="J89" s="2250"/>
      <c r="K89" s="2250"/>
      <c r="L89" s="2250"/>
      <c r="M89" s="2250"/>
      <c r="N89" s="2250"/>
      <c r="O89" s="2250"/>
      <c r="P89" s="2250"/>
      <c r="Q89" s="2250"/>
      <c r="R89" s="2250"/>
      <c r="S89" s="2250"/>
      <c r="T89" s="2250"/>
      <c r="U89" s="2250"/>
      <c r="V89" s="2251"/>
      <c r="W89" s="2249" t="s">
        <v>1885</v>
      </c>
      <c r="X89" s="1670"/>
      <c r="Y89" s="1670"/>
      <c r="Z89" s="1670"/>
      <c r="AA89" s="1670"/>
      <c r="AB89" s="1670"/>
      <c r="AC89" s="1671"/>
      <c r="AD89" s="2385" t="s">
        <v>1887</v>
      </c>
      <c r="AE89" s="2386"/>
      <c r="AF89" s="2252" t="s">
        <v>1888</v>
      </c>
      <c r="AG89" s="2253"/>
      <c r="AH89" s="2253"/>
      <c r="AI89" s="2253"/>
      <c r="AJ89" s="2254"/>
      <c r="AN89" s="192"/>
    </row>
    <row r="90" spans="1:78" ht="48" customHeight="1" x14ac:dyDescent="0.25">
      <c r="A90" s="2255"/>
      <c r="B90" s="2256"/>
      <c r="C90" s="2256"/>
      <c r="D90" s="2256"/>
      <c r="E90" s="2256"/>
      <c r="F90" s="2257"/>
      <c r="G90" s="2249" t="s">
        <v>1886</v>
      </c>
      <c r="H90" s="2250"/>
      <c r="I90" s="2250"/>
      <c r="J90" s="2250"/>
      <c r="K90" s="2250"/>
      <c r="L90" s="2250"/>
      <c r="M90" s="2250"/>
      <c r="N90" s="2251"/>
      <c r="O90" s="2249" t="s">
        <v>6710</v>
      </c>
      <c r="P90" s="2250"/>
      <c r="Q90" s="2250"/>
      <c r="R90" s="2250"/>
      <c r="S90" s="2250"/>
      <c r="T90" s="2250"/>
      <c r="U90" s="2250"/>
      <c r="V90" s="2251"/>
      <c r="W90" s="2249" t="s">
        <v>6710</v>
      </c>
      <c r="X90" s="2250"/>
      <c r="Y90" s="2250"/>
      <c r="Z90" s="2250"/>
      <c r="AA90" s="2250"/>
      <c r="AB90" s="2250"/>
      <c r="AC90" s="2251"/>
      <c r="AD90" s="2387"/>
      <c r="AE90" s="2388"/>
      <c r="AF90" s="2255"/>
      <c r="AG90" s="2256"/>
      <c r="AH90" s="2256"/>
      <c r="AI90" s="2256"/>
      <c r="AJ90" s="2257"/>
      <c r="AN90" s="910"/>
      <c r="AO90" s="910"/>
      <c r="AP90" s="910"/>
      <c r="AQ90" s="910"/>
      <c r="AR90" s="910"/>
      <c r="AS90" s="910"/>
      <c r="AT90" s="910"/>
      <c r="AU90" s="910"/>
      <c r="AV90" s="910"/>
      <c r="AW90" s="910"/>
      <c r="AX90" s="910"/>
      <c r="AY90" s="910"/>
      <c r="AZ90" s="910"/>
      <c r="BA90" s="910"/>
      <c r="BB90" s="910"/>
      <c r="BC90" s="910"/>
      <c r="BD90" s="910"/>
      <c r="BE90" s="910"/>
      <c r="BF90" s="910"/>
      <c r="BG90" s="910"/>
      <c r="BH90" s="910"/>
      <c r="BI90" s="910"/>
      <c r="BJ90" s="910"/>
      <c r="BK90" s="910"/>
      <c r="BL90" s="910"/>
      <c r="BM90" s="910"/>
      <c r="BN90" s="910"/>
      <c r="BO90" s="910"/>
      <c r="BP90" s="910"/>
      <c r="BQ90" s="910"/>
      <c r="BR90" s="910"/>
      <c r="BS90" s="910"/>
      <c r="BT90" s="910"/>
      <c r="BU90" s="910"/>
      <c r="BV90" s="910"/>
      <c r="BW90" s="910"/>
      <c r="BX90" s="910"/>
      <c r="BY90" s="910"/>
      <c r="BZ90" s="910"/>
    </row>
    <row r="91" spans="1:78" ht="69" customHeight="1" x14ac:dyDescent="0.25">
      <c r="A91" s="2263" t="s">
        <v>263</v>
      </c>
      <c r="B91" s="2263"/>
      <c r="C91" s="2263"/>
      <c r="D91" s="2263"/>
      <c r="E91" s="2263"/>
      <c r="F91" s="2263"/>
      <c r="G91" s="2261" t="s">
        <v>28</v>
      </c>
      <c r="H91" s="2262"/>
      <c r="I91" s="2262"/>
      <c r="J91" s="2262"/>
      <c r="K91" s="2262"/>
      <c r="L91" s="2262"/>
      <c r="M91" s="2259" t="s">
        <v>28</v>
      </c>
      <c r="N91" s="2260"/>
      <c r="O91" s="2263" t="s">
        <v>3053</v>
      </c>
      <c r="P91" s="2263"/>
      <c r="Q91" s="2263"/>
      <c r="R91" s="2263"/>
      <c r="S91" s="2263"/>
      <c r="T91" s="2263"/>
      <c r="U91" s="2260">
        <v>3.7999999999999999E-2</v>
      </c>
      <c r="V91" s="2260"/>
      <c r="W91" s="2261" t="s">
        <v>28</v>
      </c>
      <c r="X91" s="2262"/>
      <c r="Y91" s="2262"/>
      <c r="Z91" s="2262"/>
      <c r="AA91" s="2262"/>
      <c r="AB91" s="2259" t="s">
        <v>28</v>
      </c>
      <c r="AC91" s="2260"/>
      <c r="AD91" s="2389" t="s">
        <v>1883</v>
      </c>
      <c r="AE91" s="2389"/>
      <c r="AF91" s="2266" t="s">
        <v>2032</v>
      </c>
      <c r="AG91" s="2266"/>
      <c r="AH91" s="2266"/>
      <c r="AI91" s="2266"/>
      <c r="AJ91" s="2266"/>
      <c r="AN91" s="910"/>
      <c r="AO91" s="910"/>
      <c r="AP91" s="910"/>
      <c r="AQ91" s="910"/>
      <c r="AR91" s="910"/>
      <c r="AS91" s="910"/>
      <c r="AT91" s="910"/>
      <c r="AU91" s="910"/>
      <c r="AV91" s="910"/>
      <c r="AW91" s="910"/>
      <c r="AX91" s="910"/>
      <c r="AY91" s="910"/>
      <c r="AZ91" s="910"/>
      <c r="BA91" s="910"/>
      <c r="BB91" s="910"/>
      <c r="BC91" s="910"/>
      <c r="BD91" s="910"/>
      <c r="BE91" s="910"/>
      <c r="BF91" s="910"/>
      <c r="BG91" s="910"/>
      <c r="BH91" s="910"/>
      <c r="BI91" s="910"/>
      <c r="BJ91" s="910"/>
      <c r="BK91" s="910"/>
      <c r="BL91" s="910"/>
      <c r="BM91" s="910"/>
      <c r="BN91" s="910"/>
      <c r="BO91" s="910"/>
      <c r="BP91" s="910"/>
      <c r="BQ91" s="910"/>
      <c r="BR91" s="910"/>
      <c r="BS91" s="910"/>
      <c r="BT91" s="910"/>
      <c r="BU91" s="910"/>
      <c r="BV91" s="910"/>
      <c r="BW91" s="910"/>
      <c r="BX91" s="910"/>
      <c r="BY91" s="910"/>
      <c r="BZ91" s="910"/>
    </row>
    <row r="92" spans="1:78" ht="54.75" customHeight="1" x14ac:dyDescent="0.25">
      <c r="A92" s="2263" t="s">
        <v>1838</v>
      </c>
      <c r="B92" s="2263"/>
      <c r="C92" s="2263"/>
      <c r="D92" s="2263"/>
      <c r="E92" s="2263"/>
      <c r="F92" s="2263"/>
      <c r="G92" s="2266" t="s">
        <v>1863</v>
      </c>
      <c r="H92" s="2266"/>
      <c r="I92" s="2266"/>
      <c r="J92" s="2266"/>
      <c r="K92" s="2266"/>
      <c r="L92" s="2266"/>
      <c r="M92" s="2260">
        <v>5.8999999999999997E-2</v>
      </c>
      <c r="N92" s="2260"/>
      <c r="O92" s="2261" t="s">
        <v>28</v>
      </c>
      <c r="P92" s="2262"/>
      <c r="Q92" s="2262"/>
      <c r="R92" s="2262"/>
      <c r="S92" s="2262"/>
      <c r="T92" s="2262"/>
      <c r="U92" s="2259" t="s">
        <v>28</v>
      </c>
      <c r="V92" s="2260"/>
      <c r="W92" s="2266" t="s">
        <v>1877</v>
      </c>
      <c r="X92" s="2266"/>
      <c r="Y92" s="2266"/>
      <c r="Z92" s="2266"/>
      <c r="AA92" s="2266"/>
      <c r="AB92" s="2260">
        <v>5.7000000000000002E-2</v>
      </c>
      <c r="AC92" s="2260"/>
      <c r="AD92" s="2389" t="s">
        <v>2298</v>
      </c>
      <c r="AE92" s="2389"/>
      <c r="AF92" s="2266" t="s">
        <v>2033</v>
      </c>
      <c r="AG92" s="2266"/>
      <c r="AH92" s="2266"/>
      <c r="AI92" s="2266"/>
      <c r="AJ92" s="2266"/>
      <c r="AN92" s="843"/>
    </row>
    <row r="93" spans="1:78" ht="56.25" customHeight="1" x14ac:dyDescent="0.25">
      <c r="A93" s="2263" t="s">
        <v>1839</v>
      </c>
      <c r="B93" s="2263"/>
      <c r="C93" s="2263"/>
      <c r="D93" s="2263"/>
      <c r="E93" s="2263"/>
      <c r="F93" s="2263"/>
      <c r="G93" s="2266" t="s">
        <v>1864</v>
      </c>
      <c r="H93" s="2266"/>
      <c r="I93" s="2266"/>
      <c r="J93" s="2266"/>
      <c r="K93" s="2266"/>
      <c r="L93" s="2266"/>
      <c r="M93" s="2260">
        <v>3.5999999999999997E-2</v>
      </c>
      <c r="N93" s="2260"/>
      <c r="O93" s="2261" t="s">
        <v>28</v>
      </c>
      <c r="P93" s="2262"/>
      <c r="Q93" s="2262"/>
      <c r="R93" s="2262"/>
      <c r="S93" s="2262"/>
      <c r="T93" s="2262"/>
      <c r="U93" s="2259" t="s">
        <v>28</v>
      </c>
      <c r="V93" s="2260"/>
      <c r="W93" s="2266" t="s">
        <v>1878</v>
      </c>
      <c r="X93" s="2266"/>
      <c r="Y93" s="2266"/>
      <c r="Z93" s="2266"/>
      <c r="AA93" s="2266"/>
      <c r="AB93" s="2260">
        <v>3.1E-2</v>
      </c>
      <c r="AC93" s="2260"/>
      <c r="AD93" s="2389" t="s">
        <v>2298</v>
      </c>
      <c r="AE93" s="2389"/>
      <c r="AF93" s="2266" t="s">
        <v>2033</v>
      </c>
      <c r="AG93" s="2266"/>
      <c r="AH93" s="2266"/>
      <c r="AI93" s="2266"/>
      <c r="AJ93" s="2266"/>
    </row>
    <row r="94" spans="1:78" ht="53.25" customHeight="1" x14ac:dyDescent="0.25">
      <c r="A94" s="2263" t="s">
        <v>1840</v>
      </c>
      <c r="B94" s="2263"/>
      <c r="C94" s="2263"/>
      <c r="D94" s="2263"/>
      <c r="E94" s="2263"/>
      <c r="F94" s="2263"/>
      <c r="G94" s="2266" t="s">
        <v>1865</v>
      </c>
      <c r="H94" s="2266"/>
      <c r="I94" s="2266"/>
      <c r="J94" s="2266"/>
      <c r="K94" s="2266"/>
      <c r="L94" s="2266"/>
      <c r="M94" s="2260">
        <v>2.7E-2</v>
      </c>
      <c r="N94" s="2260"/>
      <c r="O94" s="2261" t="s">
        <v>28</v>
      </c>
      <c r="P94" s="2262"/>
      <c r="Q94" s="2262"/>
      <c r="R94" s="2262"/>
      <c r="S94" s="2262"/>
      <c r="T94" s="2262"/>
      <c r="U94" s="2259" t="s">
        <v>28</v>
      </c>
      <c r="V94" s="2260"/>
      <c r="W94" s="2266" t="s">
        <v>1879</v>
      </c>
      <c r="X94" s="2266"/>
      <c r="Y94" s="2266"/>
      <c r="Z94" s="2266"/>
      <c r="AA94" s="2266"/>
      <c r="AB94" s="2260">
        <v>2.3E-2</v>
      </c>
      <c r="AC94" s="2260"/>
      <c r="AD94" s="2389" t="s">
        <v>2298</v>
      </c>
      <c r="AE94" s="2389"/>
      <c r="AF94" s="2266" t="s">
        <v>2033</v>
      </c>
      <c r="AG94" s="2266"/>
      <c r="AH94" s="2266"/>
      <c r="AI94" s="2266"/>
      <c r="AJ94" s="2266"/>
    </row>
    <row r="95" spans="1:78" ht="57.75" customHeight="1" x14ac:dyDescent="0.25">
      <c r="A95" s="2263" t="s">
        <v>1841</v>
      </c>
      <c r="B95" s="2263"/>
      <c r="C95" s="2263"/>
      <c r="D95" s="2263"/>
      <c r="E95" s="2263"/>
      <c r="F95" s="2263"/>
      <c r="G95" s="2266" t="s">
        <v>1866</v>
      </c>
      <c r="H95" s="2266"/>
      <c r="I95" s="2266"/>
      <c r="J95" s="2266"/>
      <c r="K95" s="2266"/>
      <c r="L95" s="2266"/>
      <c r="M95" s="2260">
        <v>1.9E-2</v>
      </c>
      <c r="N95" s="2260"/>
      <c r="O95" s="2261" t="s">
        <v>28</v>
      </c>
      <c r="P95" s="2262"/>
      <c r="Q95" s="2262"/>
      <c r="R95" s="2262"/>
      <c r="S95" s="2262"/>
      <c r="T95" s="2262"/>
      <c r="U95" s="2259" t="s">
        <v>28</v>
      </c>
      <c r="V95" s="2260"/>
      <c r="W95" s="2266" t="s">
        <v>1880</v>
      </c>
      <c r="X95" s="2266"/>
      <c r="Y95" s="2266"/>
      <c r="Z95" s="2266"/>
      <c r="AA95" s="2266"/>
      <c r="AB95" s="2260">
        <v>1.6E-2</v>
      </c>
      <c r="AC95" s="2260"/>
      <c r="AD95" s="2389" t="s">
        <v>2298</v>
      </c>
      <c r="AE95" s="2389"/>
      <c r="AF95" s="2266" t="s">
        <v>2033</v>
      </c>
      <c r="AG95" s="2266"/>
      <c r="AH95" s="2266"/>
      <c r="AI95" s="2266"/>
      <c r="AJ95" s="2266"/>
    </row>
    <row r="96" spans="1:78" ht="53.25" customHeight="1" x14ac:dyDescent="0.25">
      <c r="A96" s="2263" t="s">
        <v>1842</v>
      </c>
      <c r="B96" s="2263"/>
      <c r="C96" s="2263"/>
      <c r="D96" s="2263"/>
      <c r="E96" s="2263"/>
      <c r="F96" s="2263"/>
      <c r="G96" s="2261" t="s">
        <v>28</v>
      </c>
      <c r="H96" s="2262"/>
      <c r="I96" s="2262"/>
      <c r="J96" s="2262"/>
      <c r="K96" s="2262"/>
      <c r="L96" s="2262"/>
      <c r="M96" s="2259" t="s">
        <v>28</v>
      </c>
      <c r="N96" s="2260"/>
      <c r="O96" s="2263" t="s">
        <v>1867</v>
      </c>
      <c r="P96" s="2263"/>
      <c r="Q96" s="2263"/>
      <c r="R96" s="2263"/>
      <c r="S96" s="2263"/>
      <c r="T96" s="2263"/>
      <c r="U96" s="2260">
        <v>3.2000000000000001E-2</v>
      </c>
      <c r="V96" s="2260"/>
      <c r="W96" s="2261" t="s">
        <v>28</v>
      </c>
      <c r="X96" s="2262"/>
      <c r="Y96" s="2262"/>
      <c r="Z96" s="2262"/>
      <c r="AA96" s="2262"/>
      <c r="AB96" s="2259" t="s">
        <v>28</v>
      </c>
      <c r="AC96" s="2260"/>
      <c r="AD96" s="2389" t="s">
        <v>1883</v>
      </c>
      <c r="AE96" s="2389"/>
      <c r="AF96" s="2266" t="s">
        <v>2033</v>
      </c>
      <c r="AG96" s="2266"/>
      <c r="AH96" s="2266"/>
      <c r="AI96" s="2266"/>
      <c r="AJ96" s="2266"/>
    </row>
    <row r="97" spans="1:40" ht="57" customHeight="1" x14ac:dyDescent="0.25">
      <c r="A97" s="2263" t="s">
        <v>1843</v>
      </c>
      <c r="B97" s="2263"/>
      <c r="C97" s="2263"/>
      <c r="D97" s="2263"/>
      <c r="E97" s="2263"/>
      <c r="F97" s="2263"/>
      <c r="G97" s="2261" t="s">
        <v>28</v>
      </c>
      <c r="H97" s="2262"/>
      <c r="I97" s="2262"/>
      <c r="J97" s="2262"/>
      <c r="K97" s="2262"/>
      <c r="L97" s="2262"/>
      <c r="M97" s="2259" t="s">
        <v>28</v>
      </c>
      <c r="N97" s="2260"/>
      <c r="O97" s="2263" t="s">
        <v>1868</v>
      </c>
      <c r="P97" s="2263"/>
      <c r="Q97" s="2263"/>
      <c r="R97" s="2263"/>
      <c r="S97" s="2263"/>
      <c r="T97" s="2263"/>
      <c r="U97" s="2260">
        <v>5.8999999999999997E-2</v>
      </c>
      <c r="V97" s="2260"/>
      <c r="W97" s="2261" t="s">
        <v>28</v>
      </c>
      <c r="X97" s="2262"/>
      <c r="Y97" s="2262"/>
      <c r="Z97" s="2262"/>
      <c r="AA97" s="2262"/>
      <c r="AB97" s="2259" t="s">
        <v>28</v>
      </c>
      <c r="AC97" s="2260"/>
      <c r="AD97" s="2389" t="s">
        <v>1883</v>
      </c>
      <c r="AE97" s="2389"/>
      <c r="AF97" s="2266" t="s">
        <v>2033</v>
      </c>
      <c r="AG97" s="2266"/>
      <c r="AH97" s="2266"/>
      <c r="AI97" s="2266"/>
      <c r="AJ97" s="2266"/>
    </row>
    <row r="98" spans="1:40" ht="67.5" customHeight="1" x14ac:dyDescent="0.25">
      <c r="A98" s="2263" t="s">
        <v>1844</v>
      </c>
      <c r="B98" s="2263"/>
      <c r="C98" s="2263"/>
      <c r="D98" s="2263"/>
      <c r="E98" s="2263"/>
      <c r="F98" s="2263"/>
      <c r="G98" s="2261" t="s">
        <v>28</v>
      </c>
      <c r="H98" s="2262"/>
      <c r="I98" s="2262"/>
      <c r="J98" s="2262"/>
      <c r="K98" s="2262"/>
      <c r="L98" s="2262"/>
      <c r="M98" s="2259" t="s">
        <v>28</v>
      </c>
      <c r="N98" s="2260"/>
      <c r="O98" s="2272" t="s">
        <v>1881</v>
      </c>
      <c r="P98" s="2273"/>
      <c r="Q98" s="2273"/>
      <c r="R98" s="2273"/>
      <c r="S98" s="2273"/>
      <c r="T98" s="2274"/>
      <c r="U98" s="2264">
        <v>2.3839999999999997E-2</v>
      </c>
      <c r="V98" s="2265"/>
      <c r="W98" s="2261" t="s">
        <v>28</v>
      </c>
      <c r="X98" s="2262"/>
      <c r="Y98" s="2262"/>
      <c r="Z98" s="2262"/>
      <c r="AA98" s="2262"/>
      <c r="AB98" s="2259" t="s">
        <v>28</v>
      </c>
      <c r="AC98" s="2260"/>
      <c r="AD98" s="2389" t="s">
        <v>1883</v>
      </c>
      <c r="AE98" s="2389"/>
      <c r="AF98" s="2266" t="s">
        <v>6751</v>
      </c>
      <c r="AG98" s="2266"/>
      <c r="AH98" s="2266"/>
      <c r="AI98" s="2266"/>
      <c r="AJ98" s="2266"/>
      <c r="AN98" s="843"/>
    </row>
    <row r="99" spans="1:40" ht="39.950000000000003" customHeight="1" x14ac:dyDescent="0.25">
      <c r="A99" s="2263" t="s">
        <v>1845</v>
      </c>
      <c r="B99" s="2263"/>
      <c r="C99" s="2263"/>
      <c r="D99" s="2263"/>
      <c r="E99" s="2263"/>
      <c r="F99" s="2263"/>
      <c r="G99" s="2261" t="s">
        <v>28</v>
      </c>
      <c r="H99" s="2262"/>
      <c r="I99" s="2262"/>
      <c r="J99" s="2262"/>
      <c r="K99" s="2262"/>
      <c r="L99" s="2262"/>
      <c r="M99" s="2259" t="s">
        <v>28</v>
      </c>
      <c r="N99" s="2260"/>
      <c r="O99" s="2263" t="s">
        <v>3052</v>
      </c>
      <c r="P99" s="2263"/>
      <c r="Q99" s="2263"/>
      <c r="R99" s="2263"/>
      <c r="S99" s="2263"/>
      <c r="T99" s="2263"/>
      <c r="U99" s="2260">
        <v>2.5999999999999999E-2</v>
      </c>
      <c r="V99" s="2260"/>
      <c r="W99" s="2261" t="s">
        <v>28</v>
      </c>
      <c r="X99" s="2262"/>
      <c r="Y99" s="2262"/>
      <c r="Z99" s="2262"/>
      <c r="AA99" s="2262"/>
      <c r="AB99" s="2259" t="s">
        <v>28</v>
      </c>
      <c r="AC99" s="2260"/>
      <c r="AD99" s="2389" t="s">
        <v>1883</v>
      </c>
      <c r="AE99" s="2389"/>
      <c r="AF99" s="2266" t="s">
        <v>2041</v>
      </c>
      <c r="AG99" s="2266"/>
      <c r="AH99" s="2266"/>
      <c r="AI99" s="2266"/>
      <c r="AJ99" s="2266"/>
    </row>
    <row r="100" spans="1:40" ht="39.950000000000003" customHeight="1" x14ac:dyDescent="0.25">
      <c r="A100" s="2263" t="s">
        <v>1846</v>
      </c>
      <c r="B100" s="2263"/>
      <c r="C100" s="2263"/>
      <c r="D100" s="2263"/>
      <c r="E100" s="2263"/>
      <c r="F100" s="2263"/>
      <c r="G100" s="2261" t="s">
        <v>28</v>
      </c>
      <c r="H100" s="2262"/>
      <c r="I100" s="2262"/>
      <c r="J100" s="2262"/>
      <c r="K100" s="2262"/>
      <c r="L100" s="2262"/>
      <c r="M100" s="2259" t="s">
        <v>28</v>
      </c>
      <c r="N100" s="2260"/>
      <c r="O100" s="2263" t="s">
        <v>1882</v>
      </c>
      <c r="P100" s="2263"/>
      <c r="Q100" s="2263"/>
      <c r="R100" s="2263"/>
      <c r="S100" s="2263"/>
      <c r="T100" s="2263"/>
      <c r="U100" s="2264">
        <v>1.0999999999999999E-2</v>
      </c>
      <c r="V100" s="2265"/>
      <c r="W100" s="2261" t="s">
        <v>28</v>
      </c>
      <c r="X100" s="2262"/>
      <c r="Y100" s="2262"/>
      <c r="Z100" s="2262"/>
      <c r="AA100" s="2262"/>
      <c r="AB100" s="2259" t="s">
        <v>28</v>
      </c>
      <c r="AC100" s="2260"/>
      <c r="AD100" s="2389" t="s">
        <v>1883</v>
      </c>
      <c r="AE100" s="2389"/>
      <c r="AF100" s="2266" t="s">
        <v>6711</v>
      </c>
      <c r="AG100" s="2266"/>
      <c r="AH100" s="2266"/>
      <c r="AI100" s="2266"/>
      <c r="AJ100" s="2266"/>
    </row>
    <row r="101" spans="1:40" ht="57" customHeight="1" x14ac:dyDescent="0.25">
      <c r="A101" s="2263" t="s">
        <v>1847</v>
      </c>
      <c r="B101" s="2263"/>
      <c r="C101" s="2263"/>
      <c r="D101" s="2263"/>
      <c r="E101" s="2263"/>
      <c r="F101" s="2263"/>
      <c r="G101" s="2261" t="s">
        <v>28</v>
      </c>
      <c r="H101" s="2262"/>
      <c r="I101" s="2262"/>
      <c r="J101" s="2262"/>
      <c r="K101" s="2262"/>
      <c r="L101" s="2262"/>
      <c r="M101" s="2259" t="s">
        <v>28</v>
      </c>
      <c r="N101" s="2260"/>
      <c r="O101" s="2263" t="s">
        <v>1882</v>
      </c>
      <c r="P101" s="2263"/>
      <c r="Q101" s="2263"/>
      <c r="R101" s="2263"/>
      <c r="S101" s="2263"/>
      <c r="T101" s="2263"/>
      <c r="U101" s="2264">
        <v>1.2E-2</v>
      </c>
      <c r="V101" s="2265"/>
      <c r="W101" s="2261" t="s">
        <v>28</v>
      </c>
      <c r="X101" s="2262"/>
      <c r="Y101" s="2262"/>
      <c r="Z101" s="2262"/>
      <c r="AA101" s="2262"/>
      <c r="AB101" s="2259" t="s">
        <v>28</v>
      </c>
      <c r="AC101" s="2260"/>
      <c r="AD101" s="2389" t="s">
        <v>1883</v>
      </c>
      <c r="AE101" s="2389"/>
      <c r="AF101" s="2266" t="s">
        <v>6711</v>
      </c>
      <c r="AG101" s="2266"/>
      <c r="AH101" s="2266"/>
      <c r="AI101" s="2266"/>
      <c r="AJ101" s="2266"/>
    </row>
    <row r="102" spans="1:40" ht="54.75" customHeight="1" x14ac:dyDescent="0.25">
      <c r="A102" s="2263" t="s">
        <v>1848</v>
      </c>
      <c r="B102" s="2263"/>
      <c r="C102" s="2263"/>
      <c r="D102" s="2263"/>
      <c r="E102" s="2263"/>
      <c r="F102" s="2263"/>
      <c r="G102" s="2261" t="s">
        <v>28</v>
      </c>
      <c r="H102" s="2262"/>
      <c r="I102" s="2262"/>
      <c r="J102" s="2262"/>
      <c r="K102" s="2262"/>
      <c r="L102" s="2262"/>
      <c r="M102" s="2259" t="s">
        <v>28</v>
      </c>
      <c r="N102" s="2260"/>
      <c r="O102" s="2263" t="s">
        <v>1882</v>
      </c>
      <c r="P102" s="2263"/>
      <c r="Q102" s="2263"/>
      <c r="R102" s="2263"/>
      <c r="S102" s="2263"/>
      <c r="T102" s="2263"/>
      <c r="U102" s="2264">
        <v>0.02</v>
      </c>
      <c r="V102" s="2265"/>
      <c r="W102" s="2261" t="s">
        <v>28</v>
      </c>
      <c r="X102" s="2262"/>
      <c r="Y102" s="2262"/>
      <c r="Z102" s="2262"/>
      <c r="AA102" s="2262"/>
      <c r="AB102" s="2259" t="s">
        <v>28</v>
      </c>
      <c r="AC102" s="2260"/>
      <c r="AD102" s="2389" t="s">
        <v>1883</v>
      </c>
      <c r="AE102" s="2389"/>
      <c r="AF102" s="2266" t="s">
        <v>6711</v>
      </c>
      <c r="AG102" s="2266"/>
      <c r="AH102" s="2266"/>
      <c r="AI102" s="2266"/>
      <c r="AJ102" s="2266"/>
    </row>
    <row r="103" spans="1:40" ht="54" customHeight="1" x14ac:dyDescent="0.25">
      <c r="A103" s="2263" t="s">
        <v>1849</v>
      </c>
      <c r="B103" s="2263"/>
      <c r="C103" s="2263"/>
      <c r="D103" s="2263"/>
      <c r="E103" s="2263"/>
      <c r="F103" s="2263"/>
      <c r="G103" s="2261" t="s">
        <v>28</v>
      </c>
      <c r="H103" s="2262"/>
      <c r="I103" s="2262"/>
      <c r="J103" s="2262"/>
      <c r="K103" s="2262"/>
      <c r="L103" s="2262"/>
      <c r="M103" s="2259" t="s">
        <v>28</v>
      </c>
      <c r="N103" s="2260"/>
      <c r="O103" s="2263" t="s">
        <v>1882</v>
      </c>
      <c r="P103" s="2263"/>
      <c r="Q103" s="2263"/>
      <c r="R103" s="2263"/>
      <c r="S103" s="2263"/>
      <c r="T103" s="2263"/>
      <c r="U103" s="2264">
        <v>2.4E-2</v>
      </c>
      <c r="V103" s="2265"/>
      <c r="W103" s="2261" t="s">
        <v>28</v>
      </c>
      <c r="X103" s="2262"/>
      <c r="Y103" s="2262"/>
      <c r="Z103" s="2262"/>
      <c r="AA103" s="2262"/>
      <c r="AB103" s="2259" t="s">
        <v>28</v>
      </c>
      <c r="AC103" s="2260"/>
      <c r="AD103" s="2389" t="s">
        <v>1883</v>
      </c>
      <c r="AE103" s="2389"/>
      <c r="AF103" s="2266" t="s">
        <v>6711</v>
      </c>
      <c r="AG103" s="2266"/>
      <c r="AH103" s="2266"/>
      <c r="AI103" s="2266"/>
      <c r="AJ103" s="2266"/>
    </row>
    <row r="104" spans="1:40" ht="47.25" customHeight="1" x14ac:dyDescent="0.25">
      <c r="A104" s="2263" t="s">
        <v>1850</v>
      </c>
      <c r="B104" s="2263"/>
      <c r="C104" s="2263"/>
      <c r="D104" s="2263"/>
      <c r="E104" s="2263"/>
      <c r="F104" s="2263"/>
      <c r="G104" s="2261" t="s">
        <v>28</v>
      </c>
      <c r="H104" s="2262"/>
      <c r="I104" s="2262"/>
      <c r="J104" s="2262"/>
      <c r="K104" s="2262"/>
      <c r="L104" s="2262"/>
      <c r="M104" s="2259" t="s">
        <v>28</v>
      </c>
      <c r="N104" s="2260"/>
      <c r="O104" s="2263" t="s">
        <v>1882</v>
      </c>
      <c r="P104" s="2263"/>
      <c r="Q104" s="2263"/>
      <c r="R104" s="2263"/>
      <c r="S104" s="2263"/>
      <c r="T104" s="2263"/>
      <c r="U104" s="2260">
        <v>6.0000000000000001E-3</v>
      </c>
      <c r="V104" s="2260"/>
      <c r="W104" s="2261" t="s">
        <v>28</v>
      </c>
      <c r="X104" s="2262"/>
      <c r="Y104" s="2262"/>
      <c r="Z104" s="2262"/>
      <c r="AA104" s="2262"/>
      <c r="AB104" s="2259" t="s">
        <v>28</v>
      </c>
      <c r="AC104" s="2260"/>
      <c r="AD104" s="2389" t="s">
        <v>1883</v>
      </c>
      <c r="AE104" s="2389"/>
      <c r="AF104" s="2266" t="s">
        <v>6711</v>
      </c>
      <c r="AG104" s="2266"/>
      <c r="AH104" s="2266"/>
      <c r="AI104" s="2266"/>
      <c r="AJ104" s="2266"/>
    </row>
    <row r="105" spans="1:40" ht="44.25" customHeight="1" x14ac:dyDescent="0.25">
      <c r="A105" s="2263" t="s">
        <v>1851</v>
      </c>
      <c r="B105" s="2263"/>
      <c r="C105" s="2263"/>
      <c r="D105" s="2263"/>
      <c r="E105" s="2263"/>
      <c r="F105" s="2263"/>
      <c r="G105" s="2261" t="s">
        <v>28</v>
      </c>
      <c r="H105" s="2262"/>
      <c r="I105" s="2262"/>
      <c r="J105" s="2262"/>
      <c r="K105" s="2262"/>
      <c r="L105" s="2262"/>
      <c r="M105" s="2259" t="s">
        <v>28</v>
      </c>
      <c r="N105" s="2260"/>
      <c r="O105" s="2263" t="s">
        <v>1882</v>
      </c>
      <c r="P105" s="2263"/>
      <c r="Q105" s="2263"/>
      <c r="R105" s="2263"/>
      <c r="S105" s="2263"/>
      <c r="T105" s="2263"/>
      <c r="U105" s="2260">
        <v>1.2E-2</v>
      </c>
      <c r="V105" s="2260"/>
      <c r="W105" s="2261" t="s">
        <v>28</v>
      </c>
      <c r="X105" s="2262"/>
      <c r="Y105" s="2262"/>
      <c r="Z105" s="2262"/>
      <c r="AA105" s="2262"/>
      <c r="AB105" s="2259" t="s">
        <v>28</v>
      </c>
      <c r="AC105" s="2260"/>
      <c r="AD105" s="2389" t="s">
        <v>1883</v>
      </c>
      <c r="AE105" s="2389"/>
      <c r="AF105" s="2266" t="s">
        <v>6711</v>
      </c>
      <c r="AG105" s="2266"/>
      <c r="AH105" s="2266"/>
      <c r="AI105" s="2266"/>
      <c r="AJ105" s="2266"/>
    </row>
    <row r="106" spans="1:40" ht="45" customHeight="1" x14ac:dyDescent="0.25">
      <c r="A106" s="2263" t="s">
        <v>1852</v>
      </c>
      <c r="B106" s="2263"/>
      <c r="C106" s="2263"/>
      <c r="D106" s="2263"/>
      <c r="E106" s="2263"/>
      <c r="F106" s="2263"/>
      <c r="G106" s="2261" t="s">
        <v>28</v>
      </c>
      <c r="H106" s="2262"/>
      <c r="I106" s="2262"/>
      <c r="J106" s="2262"/>
      <c r="K106" s="2262"/>
      <c r="L106" s="2262"/>
      <c r="M106" s="2259" t="s">
        <v>28</v>
      </c>
      <c r="N106" s="2260"/>
      <c r="O106" s="2263" t="s">
        <v>1882</v>
      </c>
      <c r="P106" s="2263"/>
      <c r="Q106" s="2263"/>
      <c r="R106" s="2263"/>
      <c r="S106" s="2263"/>
      <c r="T106" s="2263"/>
      <c r="U106" s="2260">
        <v>1.2E-2</v>
      </c>
      <c r="V106" s="2260"/>
      <c r="W106" s="2261" t="s">
        <v>28</v>
      </c>
      <c r="X106" s="2262"/>
      <c r="Y106" s="2262"/>
      <c r="Z106" s="2262"/>
      <c r="AA106" s="2262"/>
      <c r="AB106" s="2259" t="s">
        <v>28</v>
      </c>
      <c r="AC106" s="2260"/>
      <c r="AD106" s="2389" t="s">
        <v>1883</v>
      </c>
      <c r="AE106" s="2389"/>
      <c r="AF106" s="2266" t="s">
        <v>6711</v>
      </c>
      <c r="AG106" s="2266"/>
      <c r="AH106" s="2266"/>
      <c r="AI106" s="2266"/>
      <c r="AJ106" s="2266"/>
    </row>
    <row r="107" spans="1:40" ht="42.75" customHeight="1" x14ac:dyDescent="0.25">
      <c r="A107" s="2263" t="s">
        <v>1853</v>
      </c>
      <c r="B107" s="2263"/>
      <c r="C107" s="2263"/>
      <c r="D107" s="2263"/>
      <c r="E107" s="2263"/>
      <c r="F107" s="2263"/>
      <c r="G107" s="2261" t="s">
        <v>28</v>
      </c>
      <c r="H107" s="2262"/>
      <c r="I107" s="2262"/>
      <c r="J107" s="2262"/>
      <c r="K107" s="2262"/>
      <c r="L107" s="2262"/>
      <c r="M107" s="2259" t="s">
        <v>28</v>
      </c>
      <c r="N107" s="2260"/>
      <c r="O107" s="2263" t="s">
        <v>1882</v>
      </c>
      <c r="P107" s="2263"/>
      <c r="Q107" s="2263"/>
      <c r="R107" s="2263"/>
      <c r="S107" s="2263"/>
      <c r="T107" s="2263"/>
      <c r="U107" s="2260">
        <v>0.02</v>
      </c>
      <c r="V107" s="2260"/>
      <c r="W107" s="2261" t="s">
        <v>28</v>
      </c>
      <c r="X107" s="2262"/>
      <c r="Y107" s="2262"/>
      <c r="Z107" s="2262"/>
      <c r="AA107" s="2262"/>
      <c r="AB107" s="2259" t="s">
        <v>28</v>
      </c>
      <c r="AC107" s="2260"/>
      <c r="AD107" s="2389" t="s">
        <v>1883</v>
      </c>
      <c r="AE107" s="2389"/>
      <c r="AF107" s="2266" t="s">
        <v>6711</v>
      </c>
      <c r="AG107" s="2266"/>
      <c r="AH107" s="2266"/>
      <c r="AI107" s="2266"/>
      <c r="AJ107" s="2266"/>
    </row>
    <row r="108" spans="1:40" ht="39.950000000000003" customHeight="1" x14ac:dyDescent="0.25">
      <c r="A108" s="2263" t="s">
        <v>1854</v>
      </c>
      <c r="B108" s="2263"/>
      <c r="C108" s="2263"/>
      <c r="D108" s="2263"/>
      <c r="E108" s="2263"/>
      <c r="F108" s="2263"/>
      <c r="G108" s="2261" t="s">
        <v>28</v>
      </c>
      <c r="H108" s="2262"/>
      <c r="I108" s="2262"/>
      <c r="J108" s="2262"/>
      <c r="K108" s="2262"/>
      <c r="L108" s="2262"/>
      <c r="M108" s="2259" t="s">
        <v>28</v>
      </c>
      <c r="N108" s="2260"/>
      <c r="O108" s="2263" t="s">
        <v>1869</v>
      </c>
      <c r="P108" s="2263"/>
      <c r="Q108" s="2263"/>
      <c r="R108" s="2263"/>
      <c r="S108" s="2263"/>
      <c r="T108" s="2263"/>
      <c r="U108" s="2260">
        <v>6.1600000000000002E-2</v>
      </c>
      <c r="V108" s="2260"/>
      <c r="W108" s="2261" t="s">
        <v>28</v>
      </c>
      <c r="X108" s="2262"/>
      <c r="Y108" s="2262"/>
      <c r="Z108" s="2262"/>
      <c r="AA108" s="2262"/>
      <c r="AB108" s="2259" t="s">
        <v>28</v>
      </c>
      <c r="AC108" s="2260"/>
      <c r="AD108" s="2389" t="s">
        <v>1883</v>
      </c>
      <c r="AE108" s="2389"/>
      <c r="AF108" s="2266" t="s">
        <v>1889</v>
      </c>
      <c r="AG108" s="2266"/>
      <c r="AH108" s="2266"/>
      <c r="AI108" s="2266"/>
      <c r="AJ108" s="2266"/>
    </row>
    <row r="109" spans="1:40" ht="39.950000000000003" customHeight="1" x14ac:dyDescent="0.25">
      <c r="A109" s="2263" t="s">
        <v>1855</v>
      </c>
      <c r="B109" s="2263"/>
      <c r="C109" s="2263"/>
      <c r="D109" s="2263"/>
      <c r="E109" s="2263"/>
      <c r="F109" s="2263"/>
      <c r="G109" s="2261" t="s">
        <v>28</v>
      </c>
      <c r="H109" s="2262"/>
      <c r="I109" s="2262"/>
      <c r="J109" s="2262"/>
      <c r="K109" s="2262"/>
      <c r="L109" s="2262"/>
      <c r="M109" s="2259" t="s">
        <v>28</v>
      </c>
      <c r="N109" s="2260"/>
      <c r="O109" s="2263" t="s">
        <v>1870</v>
      </c>
      <c r="P109" s="2263"/>
      <c r="Q109" s="2263"/>
      <c r="R109" s="2263"/>
      <c r="S109" s="2263"/>
      <c r="T109" s="2263"/>
      <c r="U109" s="2260">
        <v>6.3600000000000004E-2</v>
      </c>
      <c r="V109" s="2260"/>
      <c r="W109" s="2261" t="s">
        <v>28</v>
      </c>
      <c r="X109" s="2262"/>
      <c r="Y109" s="2262"/>
      <c r="Z109" s="2262"/>
      <c r="AA109" s="2262"/>
      <c r="AB109" s="2259" t="s">
        <v>28</v>
      </c>
      <c r="AC109" s="2260"/>
      <c r="AD109" s="2389" t="s">
        <v>1883</v>
      </c>
      <c r="AE109" s="2389"/>
      <c r="AF109" s="2266" t="s">
        <v>1889</v>
      </c>
      <c r="AG109" s="2266"/>
      <c r="AH109" s="2266"/>
      <c r="AI109" s="2266"/>
      <c r="AJ109" s="2266"/>
    </row>
    <row r="110" spans="1:40" ht="39.950000000000003" customHeight="1" x14ac:dyDescent="0.25">
      <c r="A110" s="2263" t="s">
        <v>1856</v>
      </c>
      <c r="B110" s="2263"/>
      <c r="C110" s="2263"/>
      <c r="D110" s="2263"/>
      <c r="E110" s="2263"/>
      <c r="F110" s="2263"/>
      <c r="G110" s="2261" t="s">
        <v>28</v>
      </c>
      <c r="H110" s="2262"/>
      <c r="I110" s="2262"/>
      <c r="J110" s="2262"/>
      <c r="K110" s="2262"/>
      <c r="L110" s="2262"/>
      <c r="M110" s="2259" t="s">
        <v>28</v>
      </c>
      <c r="N110" s="2260"/>
      <c r="O110" s="2263" t="s">
        <v>1724</v>
      </c>
      <c r="P110" s="2263"/>
      <c r="Q110" s="2263"/>
      <c r="R110" s="2263"/>
      <c r="S110" s="2263"/>
      <c r="T110" s="2263"/>
      <c r="U110" s="2260">
        <v>0.10920000000000001</v>
      </c>
      <c r="V110" s="2260"/>
      <c r="W110" s="2261" t="s">
        <v>28</v>
      </c>
      <c r="X110" s="2262"/>
      <c r="Y110" s="2262"/>
      <c r="Z110" s="2262"/>
      <c r="AA110" s="2262"/>
      <c r="AB110" s="2259" t="s">
        <v>28</v>
      </c>
      <c r="AC110" s="2260"/>
      <c r="AD110" s="2389" t="s">
        <v>1883</v>
      </c>
      <c r="AE110" s="2389"/>
      <c r="AF110" s="2266" t="s">
        <v>1889</v>
      </c>
      <c r="AG110" s="2266"/>
      <c r="AH110" s="2266"/>
      <c r="AI110" s="2266"/>
      <c r="AJ110" s="2266"/>
    </row>
    <row r="111" spans="1:40" ht="51" customHeight="1" x14ac:dyDescent="0.25">
      <c r="A111" s="2263" t="s">
        <v>1857</v>
      </c>
      <c r="B111" s="2263"/>
      <c r="C111" s="2263"/>
      <c r="D111" s="2263"/>
      <c r="E111" s="2263"/>
      <c r="F111" s="2263"/>
      <c r="G111" s="2261" t="s">
        <v>28</v>
      </c>
      <c r="H111" s="2262"/>
      <c r="I111" s="2262"/>
      <c r="J111" s="2262"/>
      <c r="K111" s="2262"/>
      <c r="L111" s="2262"/>
      <c r="M111" s="2259" t="s">
        <v>28</v>
      </c>
      <c r="N111" s="2260"/>
      <c r="O111" s="2263" t="s">
        <v>1871</v>
      </c>
      <c r="P111" s="2263"/>
      <c r="Q111" s="2263"/>
      <c r="R111" s="2263"/>
      <c r="S111" s="2263"/>
      <c r="T111" s="2263"/>
      <c r="U111" s="2260">
        <v>5.8000000000000003E-2</v>
      </c>
      <c r="V111" s="2260"/>
      <c r="W111" s="2261" t="s">
        <v>28</v>
      </c>
      <c r="X111" s="2262"/>
      <c r="Y111" s="2262"/>
      <c r="Z111" s="2262"/>
      <c r="AA111" s="2262"/>
      <c r="AB111" s="2259" t="s">
        <v>28</v>
      </c>
      <c r="AC111" s="2260"/>
      <c r="AD111" s="2389" t="s">
        <v>1883</v>
      </c>
      <c r="AE111" s="2389"/>
      <c r="AF111" s="2266" t="s">
        <v>2033</v>
      </c>
      <c r="AG111" s="2266"/>
      <c r="AH111" s="2266"/>
      <c r="AI111" s="2266"/>
      <c r="AJ111" s="2266"/>
    </row>
    <row r="112" spans="1:40" ht="51" customHeight="1" x14ac:dyDescent="0.25">
      <c r="A112" s="2263" t="s">
        <v>6494</v>
      </c>
      <c r="B112" s="2263"/>
      <c r="C112" s="2263"/>
      <c r="D112" s="2263"/>
      <c r="E112" s="2263"/>
      <c r="F112" s="2263"/>
      <c r="G112" s="2261" t="s">
        <v>28</v>
      </c>
      <c r="H112" s="2262"/>
      <c r="I112" s="2262"/>
      <c r="J112" s="2262"/>
      <c r="K112" s="2262"/>
      <c r="L112" s="2262"/>
      <c r="M112" s="2259" t="s">
        <v>28</v>
      </c>
      <c r="N112" s="2260"/>
      <c r="O112" s="2263" t="s">
        <v>6495</v>
      </c>
      <c r="P112" s="2263"/>
      <c r="Q112" s="2263"/>
      <c r="R112" s="2263"/>
      <c r="S112" s="2263"/>
      <c r="T112" s="2263"/>
      <c r="U112" s="2260">
        <v>2.9000000000000001E-2</v>
      </c>
      <c r="V112" s="2260"/>
      <c r="W112" s="2261" t="s">
        <v>28</v>
      </c>
      <c r="X112" s="2262"/>
      <c r="Y112" s="2262"/>
      <c r="Z112" s="2262"/>
      <c r="AA112" s="2262"/>
      <c r="AB112" s="2259" t="s">
        <v>28</v>
      </c>
      <c r="AC112" s="2260"/>
      <c r="AD112" s="2389" t="s">
        <v>1883</v>
      </c>
      <c r="AE112" s="2389"/>
      <c r="AF112" s="2266" t="s">
        <v>2033</v>
      </c>
      <c r="AG112" s="2266"/>
      <c r="AH112" s="2266"/>
      <c r="AI112" s="2266"/>
      <c r="AJ112" s="2266"/>
    </row>
    <row r="113" spans="1:59" ht="51" customHeight="1" x14ac:dyDescent="0.25">
      <c r="A113" s="2263" t="s">
        <v>1858</v>
      </c>
      <c r="B113" s="2263"/>
      <c r="C113" s="2263"/>
      <c r="D113" s="2263"/>
      <c r="E113" s="2263"/>
      <c r="F113" s="2263"/>
      <c r="G113" s="2261" t="s">
        <v>28</v>
      </c>
      <c r="H113" s="2262"/>
      <c r="I113" s="2262"/>
      <c r="J113" s="2262"/>
      <c r="K113" s="2262"/>
      <c r="L113" s="2262"/>
      <c r="M113" s="2259" t="s">
        <v>28</v>
      </c>
      <c r="N113" s="2260"/>
      <c r="O113" s="2263" t="s">
        <v>1872</v>
      </c>
      <c r="P113" s="2263"/>
      <c r="Q113" s="2263"/>
      <c r="R113" s="2263"/>
      <c r="S113" s="2263"/>
      <c r="T113" s="2263"/>
      <c r="U113" s="2260">
        <v>5.8000000000000003E-2</v>
      </c>
      <c r="V113" s="2260"/>
      <c r="W113" s="2261" t="s">
        <v>28</v>
      </c>
      <c r="X113" s="2262"/>
      <c r="Y113" s="2262"/>
      <c r="Z113" s="2262"/>
      <c r="AA113" s="2262"/>
      <c r="AB113" s="2259" t="s">
        <v>28</v>
      </c>
      <c r="AC113" s="2260"/>
      <c r="AD113" s="2389" t="s">
        <v>1883</v>
      </c>
      <c r="AE113" s="2389"/>
      <c r="AF113" s="2266" t="s">
        <v>2033</v>
      </c>
      <c r="AG113" s="2266"/>
      <c r="AH113" s="2266"/>
      <c r="AI113" s="2266"/>
      <c r="AJ113" s="2266"/>
    </row>
    <row r="114" spans="1:59" ht="70.5" customHeight="1" x14ac:dyDescent="0.25">
      <c r="A114" s="2263" t="s">
        <v>1859</v>
      </c>
      <c r="B114" s="2263"/>
      <c r="C114" s="2263"/>
      <c r="D114" s="2263"/>
      <c r="E114" s="2263"/>
      <c r="F114" s="2263"/>
      <c r="G114" s="2261" t="s">
        <v>28</v>
      </c>
      <c r="H114" s="2262"/>
      <c r="I114" s="2262"/>
      <c r="J114" s="2262"/>
      <c r="K114" s="2262"/>
      <c r="L114" s="2262"/>
      <c r="M114" s="2259" t="s">
        <v>28</v>
      </c>
      <c r="N114" s="2260"/>
      <c r="O114" s="2263" t="s">
        <v>1873</v>
      </c>
      <c r="P114" s="2263"/>
      <c r="Q114" s="2263"/>
      <c r="R114" s="2263"/>
      <c r="S114" s="2263"/>
      <c r="T114" s="2263"/>
      <c r="U114" s="2260">
        <v>9.2999999999999999E-2</v>
      </c>
      <c r="V114" s="2260"/>
      <c r="W114" s="2261" t="s">
        <v>28</v>
      </c>
      <c r="X114" s="2262"/>
      <c r="Y114" s="2262"/>
      <c r="Z114" s="2262"/>
      <c r="AA114" s="2262"/>
      <c r="AB114" s="2259" t="s">
        <v>28</v>
      </c>
      <c r="AC114" s="2260"/>
      <c r="AD114" s="2389" t="s">
        <v>1883</v>
      </c>
      <c r="AE114" s="2389"/>
      <c r="AF114" s="2266" t="s">
        <v>3054</v>
      </c>
      <c r="AG114" s="2266"/>
      <c r="AH114" s="2266"/>
      <c r="AI114" s="2266"/>
      <c r="AJ114" s="2266"/>
    </row>
    <row r="115" spans="1:59" ht="68.25" customHeight="1" x14ac:dyDescent="0.25">
      <c r="A115" s="2263" t="s">
        <v>1860</v>
      </c>
      <c r="B115" s="2263"/>
      <c r="C115" s="2263"/>
      <c r="D115" s="2263"/>
      <c r="E115" s="2263"/>
      <c r="F115" s="2263"/>
      <c r="G115" s="2261" t="s">
        <v>28</v>
      </c>
      <c r="H115" s="2262"/>
      <c r="I115" s="2262"/>
      <c r="J115" s="2262"/>
      <c r="K115" s="2262"/>
      <c r="L115" s="2262"/>
      <c r="M115" s="2259" t="s">
        <v>28</v>
      </c>
      <c r="N115" s="2260"/>
      <c r="O115" s="2263" t="s">
        <v>1874</v>
      </c>
      <c r="P115" s="2263"/>
      <c r="Q115" s="2263"/>
      <c r="R115" s="2263"/>
      <c r="S115" s="2263"/>
      <c r="T115" s="2263"/>
      <c r="U115" s="2260">
        <v>0.24099999999999999</v>
      </c>
      <c r="V115" s="2260"/>
      <c r="W115" s="2261" t="s">
        <v>28</v>
      </c>
      <c r="X115" s="2262"/>
      <c r="Y115" s="2262"/>
      <c r="Z115" s="2262"/>
      <c r="AA115" s="2262"/>
      <c r="AB115" s="2259" t="s">
        <v>28</v>
      </c>
      <c r="AC115" s="2260"/>
      <c r="AD115" s="2389" t="s">
        <v>1883</v>
      </c>
      <c r="AE115" s="2389"/>
      <c r="AF115" s="2266" t="s">
        <v>3054</v>
      </c>
      <c r="AG115" s="2266"/>
      <c r="AH115" s="2266"/>
      <c r="AI115" s="2266"/>
      <c r="AJ115" s="2266"/>
    </row>
    <row r="116" spans="1:59" ht="67.5" customHeight="1" x14ac:dyDescent="0.25">
      <c r="A116" s="2263" t="s">
        <v>1861</v>
      </c>
      <c r="B116" s="2263"/>
      <c r="C116" s="2263"/>
      <c r="D116" s="2263"/>
      <c r="E116" s="2263"/>
      <c r="F116" s="2263"/>
      <c r="G116" s="2261" t="s">
        <v>28</v>
      </c>
      <c r="H116" s="2262"/>
      <c r="I116" s="2262"/>
      <c r="J116" s="2262"/>
      <c r="K116" s="2262"/>
      <c r="L116" s="2262"/>
      <c r="M116" s="2259" t="s">
        <v>28</v>
      </c>
      <c r="N116" s="2260"/>
      <c r="O116" s="2263" t="s">
        <v>1875</v>
      </c>
      <c r="P116" s="2263"/>
      <c r="Q116" s="2263"/>
      <c r="R116" s="2263"/>
      <c r="S116" s="2263"/>
      <c r="T116" s="2263"/>
      <c r="U116" s="2260">
        <v>0.496</v>
      </c>
      <c r="V116" s="2260"/>
      <c r="W116" s="2261" t="s">
        <v>28</v>
      </c>
      <c r="X116" s="2262"/>
      <c r="Y116" s="2262"/>
      <c r="Z116" s="2262"/>
      <c r="AA116" s="2262"/>
      <c r="AB116" s="2259" t="s">
        <v>28</v>
      </c>
      <c r="AC116" s="2260"/>
      <c r="AD116" s="2389" t="s">
        <v>1883</v>
      </c>
      <c r="AE116" s="2389"/>
      <c r="AF116" s="2266" t="s">
        <v>3054</v>
      </c>
      <c r="AG116" s="2266"/>
      <c r="AH116" s="2266"/>
      <c r="AI116" s="2266"/>
      <c r="AJ116" s="2266"/>
    </row>
    <row r="117" spans="1:59" ht="68.25" customHeight="1" x14ac:dyDescent="0.25">
      <c r="A117" s="2263" t="s">
        <v>1862</v>
      </c>
      <c r="B117" s="2263"/>
      <c r="C117" s="2263"/>
      <c r="D117" s="2263"/>
      <c r="E117" s="2263"/>
      <c r="F117" s="2263"/>
      <c r="G117" s="2261" t="s">
        <v>28</v>
      </c>
      <c r="H117" s="2262"/>
      <c r="I117" s="2262"/>
      <c r="J117" s="2262"/>
      <c r="K117" s="2262"/>
      <c r="L117" s="2262"/>
      <c r="M117" s="2259" t="s">
        <v>28</v>
      </c>
      <c r="N117" s="2260"/>
      <c r="O117" s="2263" t="s">
        <v>1876</v>
      </c>
      <c r="P117" s="2263"/>
      <c r="Q117" s="2263"/>
      <c r="R117" s="2263"/>
      <c r="S117" s="2263"/>
      <c r="T117" s="2263"/>
      <c r="U117" s="2260">
        <v>0.97</v>
      </c>
      <c r="V117" s="2260"/>
      <c r="W117" s="2261" t="s">
        <v>28</v>
      </c>
      <c r="X117" s="2262"/>
      <c r="Y117" s="2262"/>
      <c r="Z117" s="2262"/>
      <c r="AA117" s="2262"/>
      <c r="AB117" s="2259" t="s">
        <v>28</v>
      </c>
      <c r="AC117" s="2260"/>
      <c r="AD117" s="2389" t="s">
        <v>1883</v>
      </c>
      <c r="AE117" s="2389"/>
      <c r="AF117" s="2266" t="s">
        <v>3054</v>
      </c>
      <c r="AG117" s="2266"/>
      <c r="AH117" s="2266"/>
      <c r="AI117" s="2266"/>
      <c r="AJ117" s="2266"/>
    </row>
    <row r="118" spans="1:59" x14ac:dyDescent="0.25">
      <c r="A118" s="248" t="s">
        <v>3051</v>
      </c>
      <c r="AH118" s="293"/>
    </row>
    <row r="119" spans="1:59" x14ac:dyDescent="0.25">
      <c r="A119" s="3"/>
      <c r="N119" s="401">
        <v>1</v>
      </c>
      <c r="O119" s="401">
        <v>2</v>
      </c>
      <c r="P119" s="401">
        <v>3</v>
      </c>
      <c r="Q119" s="401">
        <v>4</v>
      </c>
      <c r="R119" s="401">
        <v>5</v>
      </c>
      <c r="S119" s="401">
        <v>6</v>
      </c>
      <c r="T119" s="401">
        <v>7</v>
      </c>
      <c r="U119" s="401">
        <v>8</v>
      </c>
      <c r="V119" s="401">
        <v>9</v>
      </c>
      <c r="W119" s="401">
        <v>10</v>
      </c>
      <c r="X119" s="401">
        <v>11</v>
      </c>
      <c r="Y119" s="401">
        <v>12</v>
      </c>
      <c r="Z119" s="401">
        <v>13</v>
      </c>
      <c r="AA119" s="401">
        <v>14</v>
      </c>
      <c r="AB119" s="401">
        <v>15</v>
      </c>
      <c r="AC119" s="401">
        <v>16</v>
      </c>
      <c r="AD119" s="401">
        <v>17</v>
      </c>
      <c r="AE119" s="401">
        <v>18</v>
      </c>
      <c r="AF119" s="401">
        <v>19</v>
      </c>
      <c r="AG119" s="401">
        <v>20</v>
      </c>
      <c r="AH119" s="293"/>
    </row>
    <row r="120" spans="1:59" ht="18" x14ac:dyDescent="0.25">
      <c r="A120" s="190" t="s">
        <v>1915</v>
      </c>
      <c r="N120" s="1687" t="s">
        <v>2952</v>
      </c>
      <c r="O120" s="1687"/>
      <c r="P120" s="1687"/>
      <c r="Q120" s="1687"/>
      <c r="R120" s="1687"/>
      <c r="S120" s="1687"/>
      <c r="T120" s="1687"/>
      <c r="U120" s="1687"/>
      <c r="V120" s="1687"/>
      <c r="W120" s="1687"/>
      <c r="X120" s="1687"/>
      <c r="Y120" s="1687"/>
      <c r="Z120" s="1687"/>
      <c r="AA120" s="1687"/>
      <c r="AB120" s="1687"/>
      <c r="AC120" s="1687"/>
      <c r="AD120" s="1687"/>
      <c r="AE120" s="1687"/>
      <c r="AF120" s="1687"/>
      <c r="AG120" s="1687"/>
      <c r="AH120" s="293"/>
    </row>
    <row r="121" spans="1:59" ht="27" customHeight="1" x14ac:dyDescent="0.25">
      <c r="A121" s="2258" t="s">
        <v>259</v>
      </c>
      <c r="B121" s="2258"/>
      <c r="C121" s="2258"/>
      <c r="D121" s="2258"/>
      <c r="E121" s="2258"/>
      <c r="F121" s="2258"/>
      <c r="G121" s="2243" t="s">
        <v>1890</v>
      </c>
      <c r="H121" s="2243"/>
      <c r="I121" s="2243"/>
      <c r="J121" s="2243"/>
      <c r="K121" s="2220" t="s">
        <v>1914</v>
      </c>
      <c r="L121" s="2222"/>
      <c r="N121" s="2240"/>
      <c r="O121" s="2240"/>
      <c r="P121" s="2240"/>
      <c r="Q121" s="2240"/>
      <c r="R121" s="2240"/>
      <c r="S121" s="2240"/>
      <c r="T121" s="2240"/>
      <c r="U121" s="2240"/>
      <c r="V121" s="2240"/>
      <c r="W121" s="2240"/>
      <c r="X121" s="2240"/>
      <c r="Y121" s="2240"/>
      <c r="Z121" s="2240"/>
      <c r="AA121" s="2240"/>
      <c r="AB121" s="2240"/>
      <c r="AC121" s="2240"/>
      <c r="AD121" s="2240"/>
      <c r="AE121" s="2240"/>
      <c r="AF121" s="2240"/>
      <c r="AG121" s="2240"/>
      <c r="AH121" s="293"/>
    </row>
    <row r="122" spans="1:59" ht="75" customHeight="1" x14ac:dyDescent="0.25">
      <c r="A122" s="2236"/>
      <c r="B122" s="2236"/>
      <c r="C122" s="2236"/>
      <c r="D122" s="2236"/>
      <c r="E122" s="2236"/>
      <c r="F122" s="2236"/>
      <c r="G122" s="2243" t="s">
        <v>1894</v>
      </c>
      <c r="H122" s="2248"/>
      <c r="I122" s="2243" t="s">
        <v>1895</v>
      </c>
      <c r="J122" s="2243"/>
      <c r="K122" s="2226"/>
      <c r="L122" s="2228"/>
      <c r="N122" s="2243" t="s">
        <v>54</v>
      </c>
      <c r="O122" s="2243"/>
      <c r="P122" s="2243"/>
      <c r="Q122" s="2243"/>
      <c r="R122" s="2243" t="s">
        <v>1900</v>
      </c>
      <c r="S122" s="2243"/>
      <c r="T122" s="2243"/>
      <c r="U122" s="2243"/>
      <c r="V122" s="2243" t="s">
        <v>1901</v>
      </c>
      <c r="W122" s="2243"/>
      <c r="X122" s="2243"/>
      <c r="Y122" s="2243"/>
      <c r="Z122" s="2243" t="s">
        <v>1902</v>
      </c>
      <c r="AA122" s="2243"/>
      <c r="AB122" s="2243"/>
      <c r="AC122" s="2243"/>
      <c r="AD122" s="2243" t="s">
        <v>1925</v>
      </c>
      <c r="AE122" s="2243"/>
      <c r="AF122" s="2243"/>
      <c r="AG122" s="2243"/>
      <c r="AH122" s="390"/>
      <c r="AI122" s="388"/>
    </row>
    <row r="123" spans="1:59" ht="30.95" customHeight="1" x14ac:dyDescent="0.25">
      <c r="A123" s="2236" t="s">
        <v>263</v>
      </c>
      <c r="B123" s="2236"/>
      <c r="C123" s="2236"/>
      <c r="D123" s="2236"/>
      <c r="E123" s="2236"/>
      <c r="F123" s="2236"/>
      <c r="G123" s="2244" t="s">
        <v>28</v>
      </c>
      <c r="H123" s="2245"/>
      <c r="I123" s="2244" t="s">
        <v>28</v>
      </c>
      <c r="J123" s="2245"/>
      <c r="K123" s="2245">
        <v>5.0000000000000001E-3</v>
      </c>
      <c r="L123" s="2245"/>
      <c r="N123" s="2238" t="s">
        <v>1984</v>
      </c>
      <c r="O123" s="2238"/>
      <c r="P123" s="2238"/>
      <c r="Q123" s="2238"/>
      <c r="R123" s="2237">
        <f>'EFLH &amp; CF'!I28</f>
        <v>1</v>
      </c>
      <c r="S123" s="2237"/>
      <c r="T123" s="2237"/>
      <c r="U123" s="2237"/>
      <c r="V123" s="2204">
        <f>'EFLH &amp; CF'!N28</f>
        <v>0.31</v>
      </c>
      <c r="W123" s="2205"/>
      <c r="X123" s="2205"/>
      <c r="Y123" s="2206"/>
      <c r="Z123" s="2204">
        <f>'EFLH &amp; CF'!S28</f>
        <v>0.53</v>
      </c>
      <c r="AA123" s="2205"/>
      <c r="AB123" s="2205"/>
      <c r="AC123" s="2206"/>
      <c r="AD123" s="2204">
        <f>'EFLH &amp; CF'!X28</f>
        <v>0.34</v>
      </c>
      <c r="AE123" s="2205"/>
      <c r="AF123" s="2205"/>
      <c r="AG123" s="2206"/>
      <c r="AH123" s="389"/>
      <c r="AI123" s="387"/>
      <c r="AJ123" s="387"/>
      <c r="AK123" s="387"/>
      <c r="AL123" s="387"/>
      <c r="AR123" s="491"/>
      <c r="AS123" s="491"/>
      <c r="AT123" s="491"/>
      <c r="AU123" s="491"/>
      <c r="AV123" s="491"/>
      <c r="AW123" s="491"/>
      <c r="AX123" s="491"/>
      <c r="AY123" s="491"/>
      <c r="AZ123" s="491"/>
      <c r="BA123" s="491"/>
      <c r="BB123" s="491"/>
      <c r="BC123" s="491"/>
      <c r="BD123" s="491"/>
      <c r="BE123" s="491"/>
      <c r="BF123" s="491"/>
      <c r="BG123" s="491"/>
    </row>
    <row r="124" spans="1:59" ht="14.45" customHeight="1" x14ac:dyDescent="0.25">
      <c r="A124" s="2236" t="s">
        <v>1838</v>
      </c>
      <c r="B124" s="2236"/>
      <c r="C124" s="2236"/>
      <c r="D124" s="2236"/>
      <c r="E124" s="2236"/>
      <c r="F124" s="2236"/>
      <c r="G124" s="2245">
        <v>4.1500000000000002E-2</v>
      </c>
      <c r="H124" s="2245"/>
      <c r="I124" s="2245">
        <v>3.9E-2</v>
      </c>
      <c r="J124" s="2245"/>
      <c r="K124" s="2246" t="s">
        <v>28</v>
      </c>
      <c r="L124" s="2247"/>
      <c r="N124" s="2238" t="s">
        <v>221</v>
      </c>
      <c r="O124" s="2238"/>
      <c r="P124" s="2238"/>
      <c r="Q124" s="2238"/>
      <c r="R124" s="2237">
        <f>'EFLH &amp; CF'!I29</f>
        <v>1</v>
      </c>
      <c r="S124" s="2237"/>
      <c r="T124" s="2237"/>
      <c r="U124" s="2237"/>
      <c r="V124" s="2204">
        <f>'EFLH &amp; CF'!N29</f>
        <v>0.2</v>
      </c>
      <c r="W124" s="2205"/>
      <c r="X124" s="2205"/>
      <c r="Y124" s="2206"/>
      <c r="Z124" s="2204">
        <f>'EFLH &amp; CF'!S29</f>
        <v>0.2</v>
      </c>
      <c r="AA124" s="2205"/>
      <c r="AB124" s="2205"/>
      <c r="AC124" s="2206"/>
      <c r="AD124" s="2204">
        <f>'EFLH &amp; CF'!X29</f>
        <v>0.2</v>
      </c>
      <c r="AE124" s="2205"/>
      <c r="AF124" s="2205"/>
      <c r="AG124" s="2206"/>
      <c r="AH124" s="389"/>
      <c r="AI124" s="387"/>
      <c r="AJ124" s="387"/>
      <c r="AK124" s="387"/>
      <c r="AL124" s="387"/>
      <c r="AR124" s="491"/>
      <c r="AS124" s="491"/>
      <c r="AT124" s="491"/>
      <c r="AU124" s="491"/>
      <c r="AV124" s="491"/>
      <c r="AW124" s="491"/>
      <c r="AX124" s="491"/>
      <c r="AY124" s="491"/>
      <c r="AZ124" s="491"/>
      <c r="BA124" s="491"/>
      <c r="BB124" s="491"/>
      <c r="BC124" s="491"/>
      <c r="BD124" s="491"/>
      <c r="BE124" s="491"/>
      <c r="BF124" s="491"/>
      <c r="BG124" s="491"/>
    </row>
    <row r="125" spans="1:59" ht="14.45" customHeight="1" x14ac:dyDescent="0.25">
      <c r="A125" s="2236" t="s">
        <v>1839</v>
      </c>
      <c r="B125" s="2236"/>
      <c r="C125" s="2236"/>
      <c r="D125" s="2236"/>
      <c r="E125" s="2236"/>
      <c r="F125" s="2236"/>
      <c r="G125" s="2245">
        <v>1.84E-2</v>
      </c>
      <c r="H125" s="2245"/>
      <c r="I125" s="2245">
        <v>1.5900000000000001E-2</v>
      </c>
      <c r="J125" s="2245"/>
      <c r="K125" s="2246" t="s">
        <v>28</v>
      </c>
      <c r="L125" s="2247"/>
      <c r="N125" s="2238" t="s">
        <v>222</v>
      </c>
      <c r="O125" s="2238"/>
      <c r="P125" s="2238"/>
      <c r="Q125" s="2238"/>
      <c r="R125" s="2237">
        <f>'EFLH &amp; CF'!I30</f>
        <v>1</v>
      </c>
      <c r="S125" s="2237"/>
      <c r="T125" s="2237"/>
      <c r="U125" s="2237"/>
      <c r="V125" s="2204">
        <f>'EFLH &amp; CF'!N30</f>
        <v>0.28000000000000003</v>
      </c>
      <c r="W125" s="2205"/>
      <c r="X125" s="2205"/>
      <c r="Y125" s="2206"/>
      <c r="Z125" s="2204">
        <f>'EFLH &amp; CF'!S30</f>
        <v>0.4</v>
      </c>
      <c r="AA125" s="2205"/>
      <c r="AB125" s="2205"/>
      <c r="AC125" s="2206"/>
      <c r="AD125" s="2204">
        <f>'EFLH &amp; CF'!X30</f>
        <v>0.32</v>
      </c>
      <c r="AE125" s="2205"/>
      <c r="AF125" s="2205"/>
      <c r="AG125" s="2206"/>
      <c r="AH125" s="389"/>
      <c r="AI125" s="387"/>
      <c r="AJ125" s="387"/>
      <c r="AK125" s="387"/>
      <c r="AL125" s="387"/>
      <c r="AR125" s="491"/>
      <c r="AS125" s="491"/>
      <c r="AT125" s="491"/>
      <c r="AU125" s="491"/>
      <c r="AV125" s="491"/>
      <c r="AW125" s="491"/>
      <c r="AX125" s="491"/>
      <c r="AY125" s="491"/>
      <c r="AZ125" s="491"/>
      <c r="BA125" s="491"/>
      <c r="BB125" s="491"/>
      <c r="BC125" s="491"/>
      <c r="BD125" s="491"/>
      <c r="BE125" s="491"/>
      <c r="BF125" s="491"/>
      <c r="BG125" s="491"/>
    </row>
    <row r="126" spans="1:59" ht="14.45" customHeight="1" x14ac:dyDescent="0.25">
      <c r="A126" s="2236" t="s">
        <v>1840</v>
      </c>
      <c r="B126" s="2236"/>
      <c r="C126" s="2236"/>
      <c r="D126" s="2236"/>
      <c r="E126" s="2236"/>
      <c r="F126" s="2236"/>
      <c r="G126" s="2245">
        <v>1.6E-2</v>
      </c>
      <c r="H126" s="2245"/>
      <c r="I126" s="2245">
        <v>1.35E-2</v>
      </c>
      <c r="J126" s="2245"/>
      <c r="K126" s="2246" t="s">
        <v>28</v>
      </c>
      <c r="L126" s="2247"/>
      <c r="N126" s="2238" t="s">
        <v>223</v>
      </c>
      <c r="O126" s="2238"/>
      <c r="P126" s="2238"/>
      <c r="Q126" s="2238"/>
      <c r="R126" s="2237">
        <f>'EFLH &amp; CF'!I31</f>
        <v>1</v>
      </c>
      <c r="S126" s="2237"/>
      <c r="T126" s="2237"/>
      <c r="U126" s="2237"/>
      <c r="V126" s="2204">
        <f>'EFLH &amp; CF'!N31</f>
        <v>0.7</v>
      </c>
      <c r="W126" s="2205"/>
      <c r="X126" s="2205"/>
      <c r="Y126" s="2206"/>
      <c r="Z126" s="2204">
        <f>'EFLH &amp; CF'!S31</f>
        <v>0.78</v>
      </c>
      <c r="AA126" s="2205"/>
      <c r="AB126" s="2205"/>
      <c r="AC126" s="2206"/>
      <c r="AD126" s="2204">
        <f>'EFLH &amp; CF'!X31</f>
        <v>0.68</v>
      </c>
      <c r="AE126" s="2205"/>
      <c r="AF126" s="2205"/>
      <c r="AG126" s="2206"/>
      <c r="AH126" s="389"/>
      <c r="AI126" s="387"/>
      <c r="AJ126" s="387"/>
      <c r="AK126" s="387"/>
      <c r="AL126" s="387"/>
      <c r="AR126" s="491"/>
      <c r="AS126" s="491"/>
      <c r="AT126" s="491"/>
      <c r="AU126" s="491"/>
      <c r="AV126" s="491"/>
      <c r="AW126" s="491"/>
      <c r="AX126" s="491"/>
      <c r="AY126" s="491"/>
      <c r="AZ126" s="491"/>
      <c r="BA126" s="491"/>
      <c r="BB126" s="491"/>
      <c r="BC126" s="491"/>
      <c r="BD126" s="491"/>
      <c r="BE126" s="491"/>
      <c r="BF126" s="491"/>
      <c r="BG126" s="491"/>
    </row>
    <row r="127" spans="1:59" ht="14.45" customHeight="1" x14ac:dyDescent="0.25">
      <c r="A127" s="2236" t="s">
        <v>1841</v>
      </c>
      <c r="B127" s="2236"/>
      <c r="C127" s="2236"/>
      <c r="D127" s="2236"/>
      <c r="E127" s="2236"/>
      <c r="F127" s="2236"/>
      <c r="G127" s="2245">
        <v>1.2800000000000001E-2</v>
      </c>
      <c r="H127" s="2245"/>
      <c r="I127" s="2245">
        <v>1.03E-2</v>
      </c>
      <c r="J127" s="2245"/>
      <c r="K127" s="2246" t="s">
        <v>28</v>
      </c>
      <c r="L127" s="2247"/>
      <c r="N127" s="2238" t="s">
        <v>224</v>
      </c>
      <c r="O127" s="2238"/>
      <c r="P127" s="2238"/>
      <c r="Q127" s="2238"/>
      <c r="R127" s="2237">
        <f>'EFLH &amp; CF'!I32</f>
        <v>1</v>
      </c>
      <c r="S127" s="2237"/>
      <c r="T127" s="2237"/>
      <c r="U127" s="2237"/>
      <c r="V127" s="2204">
        <f>'EFLH &amp; CF'!N32</f>
        <v>0.66</v>
      </c>
      <c r="W127" s="2205"/>
      <c r="X127" s="2205"/>
      <c r="Y127" s="2206"/>
      <c r="Z127" s="2204">
        <f>'EFLH &amp; CF'!S32</f>
        <v>0.72</v>
      </c>
      <c r="AA127" s="2205"/>
      <c r="AB127" s="2205"/>
      <c r="AC127" s="2206"/>
      <c r="AD127" s="2204">
        <f>'EFLH &amp; CF'!X32</f>
        <v>0.63</v>
      </c>
      <c r="AE127" s="2205"/>
      <c r="AF127" s="2205"/>
      <c r="AG127" s="2206"/>
      <c r="AH127" s="389"/>
      <c r="AI127" s="387"/>
      <c r="AJ127" s="387"/>
      <c r="AK127" s="387"/>
      <c r="AL127" s="387"/>
      <c r="AR127" s="491"/>
      <c r="AS127" s="491"/>
      <c r="AT127" s="491"/>
      <c r="AU127" s="491"/>
      <c r="AV127" s="491"/>
      <c r="AW127" s="491"/>
      <c r="AX127" s="491"/>
      <c r="AY127" s="491"/>
      <c r="AZ127" s="491"/>
      <c r="BA127" s="491"/>
      <c r="BB127" s="491"/>
      <c r="BC127" s="491"/>
      <c r="BD127" s="491"/>
      <c r="BE127" s="491"/>
      <c r="BF127" s="491"/>
      <c r="BG127" s="491"/>
    </row>
    <row r="128" spans="1:59" ht="14.45" customHeight="1" x14ac:dyDescent="0.25">
      <c r="A128" s="2236" t="s">
        <v>1842</v>
      </c>
      <c r="B128" s="2236"/>
      <c r="C128" s="2236"/>
      <c r="D128" s="2236"/>
      <c r="E128" s="2236"/>
      <c r="F128" s="2236"/>
      <c r="G128" s="2245">
        <v>2.3199999999999998E-2</v>
      </c>
      <c r="H128" s="2245"/>
      <c r="I128" s="2245">
        <v>2.07E-2</v>
      </c>
      <c r="J128" s="2245"/>
      <c r="K128" s="2246" t="s">
        <v>28</v>
      </c>
      <c r="L128" s="2247"/>
      <c r="N128" s="2238" t="s">
        <v>225</v>
      </c>
      <c r="O128" s="2238"/>
      <c r="P128" s="2238"/>
      <c r="Q128" s="2238"/>
      <c r="R128" s="2237">
        <f>'EFLH &amp; CF'!I33</f>
        <v>1</v>
      </c>
      <c r="S128" s="2237"/>
      <c r="T128" s="2237"/>
      <c r="U128" s="2237"/>
      <c r="V128" s="2204">
        <f>'EFLH &amp; CF'!N33</f>
        <v>0.26</v>
      </c>
      <c r="W128" s="2205"/>
      <c r="X128" s="2205"/>
      <c r="Y128" s="2206"/>
      <c r="Z128" s="2204">
        <f>'EFLH &amp; CF'!S33</f>
        <v>0.96</v>
      </c>
      <c r="AA128" s="2205"/>
      <c r="AB128" s="2205"/>
      <c r="AC128" s="2206"/>
      <c r="AD128" s="2204">
        <f>'EFLH &amp; CF'!X33</f>
        <v>0.23</v>
      </c>
      <c r="AE128" s="2205"/>
      <c r="AF128" s="2205"/>
      <c r="AG128" s="2206"/>
      <c r="AH128" s="389"/>
      <c r="AI128" s="387"/>
      <c r="AJ128" s="387"/>
      <c r="AK128" s="387"/>
      <c r="AL128" s="387"/>
      <c r="AR128" s="491"/>
      <c r="AS128" s="491"/>
      <c r="AT128" s="491"/>
      <c r="AU128" s="491"/>
      <c r="AV128" s="491"/>
      <c r="AW128" s="491"/>
      <c r="AX128" s="491"/>
      <c r="AY128" s="491"/>
      <c r="AZ128" s="491"/>
      <c r="BA128" s="491"/>
      <c r="BB128" s="491"/>
      <c r="BC128" s="491"/>
      <c r="BD128" s="491"/>
      <c r="BE128" s="491"/>
      <c r="BF128" s="491"/>
      <c r="BG128" s="491"/>
    </row>
    <row r="129" spans="1:59" ht="27.75" customHeight="1" x14ac:dyDescent="0.25">
      <c r="A129" s="2236" t="s">
        <v>1843</v>
      </c>
      <c r="B129" s="2236"/>
      <c r="C129" s="2236"/>
      <c r="D129" s="2236"/>
      <c r="E129" s="2236"/>
      <c r="F129" s="2236"/>
      <c r="G129" s="2245">
        <v>0.03</v>
      </c>
      <c r="H129" s="2245"/>
      <c r="I129" s="2245">
        <v>2.75E-2</v>
      </c>
      <c r="J129" s="2245"/>
      <c r="K129" s="2246" t="s">
        <v>28</v>
      </c>
      <c r="L129" s="2247"/>
      <c r="N129" s="2238" t="s">
        <v>226</v>
      </c>
      <c r="O129" s="2238"/>
      <c r="P129" s="2238"/>
      <c r="Q129" s="2238"/>
      <c r="R129" s="2237">
        <f>'EFLH &amp; CF'!I34</f>
        <v>1</v>
      </c>
      <c r="S129" s="2237"/>
      <c r="T129" s="2237"/>
      <c r="U129" s="2237"/>
      <c r="V129" s="2204">
        <f>'EFLH &amp; CF'!N34</f>
        <v>0.53</v>
      </c>
      <c r="W129" s="2205"/>
      <c r="X129" s="2205"/>
      <c r="Y129" s="2206"/>
      <c r="Z129" s="2204">
        <f>'EFLH &amp; CF'!S34</f>
        <v>0.57999999999999996</v>
      </c>
      <c r="AA129" s="2205"/>
      <c r="AB129" s="2205"/>
      <c r="AC129" s="2206"/>
      <c r="AD129" s="2204">
        <f>'EFLH &amp; CF'!X34</f>
        <v>0.59</v>
      </c>
      <c r="AE129" s="2205"/>
      <c r="AF129" s="2205"/>
      <c r="AG129" s="2206"/>
      <c r="AH129" s="389"/>
      <c r="AI129" s="387"/>
      <c r="AJ129" s="387"/>
      <c r="AK129" s="387"/>
      <c r="AL129" s="387"/>
      <c r="AR129" s="491"/>
      <c r="AS129" s="491"/>
      <c r="AT129" s="491"/>
      <c r="AU129" s="491"/>
      <c r="AV129" s="491"/>
      <c r="AW129" s="491"/>
      <c r="AX129" s="491"/>
      <c r="AY129" s="491"/>
      <c r="AZ129" s="491"/>
      <c r="BA129" s="491"/>
      <c r="BB129" s="491"/>
      <c r="BC129" s="491"/>
      <c r="BD129" s="491"/>
      <c r="BE129" s="491"/>
      <c r="BF129" s="491"/>
      <c r="BG129" s="491"/>
    </row>
    <row r="130" spans="1:59" ht="30.95" customHeight="1" x14ac:dyDescent="0.25">
      <c r="A130" s="2236" t="s">
        <v>1985</v>
      </c>
      <c r="B130" s="2236"/>
      <c r="C130" s="2236"/>
      <c r="D130" s="2236"/>
      <c r="E130" s="2236"/>
      <c r="F130" s="2236"/>
      <c r="G130" s="2244" t="s">
        <v>28</v>
      </c>
      <c r="H130" s="2245"/>
      <c r="I130" s="2244" t="s">
        <v>28</v>
      </c>
      <c r="J130" s="2245"/>
      <c r="K130" s="2245">
        <f>'[2]C_Light_Dimmable(Nonlinear LED)'!V86</f>
        <v>9.6399599999999995E-3</v>
      </c>
      <c r="L130" s="2245"/>
      <c r="N130" s="2238" t="s">
        <v>55</v>
      </c>
      <c r="O130" s="2238"/>
      <c r="P130" s="2238"/>
      <c r="Q130" s="2238"/>
      <c r="R130" s="2237">
        <f>'EFLH &amp; CF'!I35</f>
        <v>1</v>
      </c>
      <c r="S130" s="2237"/>
      <c r="T130" s="2237"/>
      <c r="U130" s="2237"/>
      <c r="V130" s="2204">
        <f>'EFLH &amp; CF'!N35</f>
        <v>0.22</v>
      </c>
      <c r="W130" s="2205"/>
      <c r="X130" s="2205"/>
      <c r="Y130" s="2206"/>
      <c r="Z130" s="2204">
        <f>'EFLH &amp; CF'!S35</f>
        <v>0.31</v>
      </c>
      <c r="AA130" s="2205"/>
      <c r="AB130" s="2205"/>
      <c r="AC130" s="2206"/>
      <c r="AD130" s="2204">
        <f>'EFLH &amp; CF'!X35</f>
        <v>0.25</v>
      </c>
      <c r="AE130" s="2205"/>
      <c r="AF130" s="2205"/>
      <c r="AG130" s="2206"/>
      <c r="AH130" s="389"/>
      <c r="AI130" s="387"/>
      <c r="AJ130" s="387"/>
      <c r="AK130" s="387"/>
      <c r="AL130" s="387"/>
      <c r="AR130" s="491"/>
      <c r="AS130" s="491"/>
      <c r="AT130" s="491"/>
      <c r="AU130" s="491"/>
      <c r="AV130" s="491"/>
      <c r="AW130" s="491"/>
      <c r="AX130" s="491"/>
      <c r="AY130" s="491"/>
      <c r="AZ130" s="491"/>
      <c r="BA130" s="491"/>
      <c r="BB130" s="491"/>
      <c r="BC130" s="491"/>
      <c r="BD130" s="491"/>
      <c r="BE130" s="491"/>
      <c r="BF130" s="491"/>
      <c r="BG130" s="491"/>
    </row>
    <row r="131" spans="1:59" ht="30.6" customHeight="1" x14ac:dyDescent="0.25">
      <c r="A131" s="2236" t="s">
        <v>1986</v>
      </c>
      <c r="B131" s="2236"/>
      <c r="C131" s="2236"/>
      <c r="D131" s="2236"/>
      <c r="E131" s="2236"/>
      <c r="F131" s="2236"/>
      <c r="G131" s="2244" t="s">
        <v>28</v>
      </c>
      <c r="H131" s="2245"/>
      <c r="I131" s="2244" t="s">
        <v>28</v>
      </c>
      <c r="J131" s="2245"/>
      <c r="K131" s="2245">
        <f>'[2]C_Light_Dimmable(Nonlinear LED)'!V87</f>
        <v>8.6327999999999995E-3</v>
      </c>
      <c r="L131" s="2245"/>
      <c r="N131" s="2238" t="s">
        <v>227</v>
      </c>
      <c r="O131" s="2238"/>
      <c r="P131" s="2238"/>
      <c r="Q131" s="2238"/>
      <c r="R131" s="2237">
        <f>'EFLH &amp; CF'!I36</f>
        <v>1</v>
      </c>
      <c r="S131" s="2237"/>
      <c r="T131" s="2237"/>
      <c r="U131" s="2237"/>
      <c r="V131" s="2204">
        <f>'EFLH &amp; CF'!N36</f>
        <v>0.52</v>
      </c>
      <c r="W131" s="2205"/>
      <c r="X131" s="2205"/>
      <c r="Y131" s="2206"/>
      <c r="Z131" s="2204">
        <f>'EFLH &amp; CF'!S36</f>
        <v>0.5</v>
      </c>
      <c r="AA131" s="2205"/>
      <c r="AB131" s="2205"/>
      <c r="AC131" s="2206"/>
      <c r="AD131" s="2204">
        <f>'EFLH &amp; CF'!X36</f>
        <v>0.49</v>
      </c>
      <c r="AE131" s="2205"/>
      <c r="AF131" s="2205"/>
      <c r="AG131" s="2206"/>
      <c r="AH131" s="389"/>
      <c r="AI131" s="387"/>
      <c r="AJ131" s="387"/>
      <c r="AK131" s="387"/>
      <c r="AL131" s="387"/>
      <c r="AR131" s="491"/>
      <c r="AS131" s="491"/>
      <c r="AT131" s="491"/>
      <c r="AU131" s="491"/>
      <c r="AV131" s="491"/>
      <c r="AW131" s="491"/>
      <c r="AX131" s="491"/>
      <c r="AY131" s="491"/>
      <c r="AZ131" s="491"/>
      <c r="BA131" s="491"/>
      <c r="BB131" s="491"/>
      <c r="BC131" s="491"/>
      <c r="BD131" s="491"/>
      <c r="BE131" s="491"/>
      <c r="BF131" s="491"/>
      <c r="BG131" s="491"/>
    </row>
    <row r="132" spans="1:59" ht="14.45" customHeight="1" x14ac:dyDescent="0.25">
      <c r="A132" s="2236" t="s">
        <v>1905</v>
      </c>
      <c r="B132" s="2236"/>
      <c r="C132" s="2236"/>
      <c r="D132" s="2236"/>
      <c r="E132" s="2236"/>
      <c r="F132" s="2236"/>
      <c r="G132" s="2244" t="s">
        <v>28</v>
      </c>
      <c r="H132" s="2245"/>
      <c r="I132" s="2244" t="s">
        <v>28</v>
      </c>
      <c r="J132" s="2245"/>
      <c r="K132" s="2245">
        <f>'[2]C_Light_Dimmable(Nonlinear LED)'!V88</f>
        <v>5.0413999999999997E-3</v>
      </c>
      <c r="L132" s="2245"/>
      <c r="N132" s="2238" t="s">
        <v>228</v>
      </c>
      <c r="O132" s="2238"/>
      <c r="P132" s="2238"/>
      <c r="Q132" s="2238"/>
      <c r="R132" s="2237">
        <f>'EFLH &amp; CF'!I37</f>
        <v>1</v>
      </c>
      <c r="S132" s="2237"/>
      <c r="T132" s="2237"/>
      <c r="U132" s="2237"/>
      <c r="V132" s="2204">
        <f>'EFLH &amp; CF'!N37</f>
        <v>0.32</v>
      </c>
      <c r="W132" s="2205"/>
      <c r="X132" s="2205"/>
      <c r="Y132" s="2206"/>
      <c r="Z132" s="2204">
        <f>'EFLH &amp; CF'!S37</f>
        <v>0.54</v>
      </c>
      <c r="AA132" s="2205"/>
      <c r="AB132" s="2205"/>
      <c r="AC132" s="2206"/>
      <c r="AD132" s="2204">
        <f>'EFLH &amp; CF'!X37</f>
        <v>0.5</v>
      </c>
      <c r="AE132" s="2205"/>
      <c r="AF132" s="2205"/>
      <c r="AG132" s="2206"/>
      <c r="AH132" s="389"/>
      <c r="AI132" s="387"/>
      <c r="AJ132" s="387"/>
      <c r="AK132" s="387"/>
      <c r="AL132" s="387"/>
      <c r="AR132" s="491"/>
      <c r="AS132" s="491"/>
      <c r="AT132" s="491"/>
      <c r="AU132" s="491"/>
      <c r="AV132" s="491"/>
      <c r="AW132" s="491"/>
      <c r="AX132" s="491"/>
      <c r="AY132" s="491"/>
      <c r="AZ132" s="491"/>
      <c r="BA132" s="491"/>
      <c r="BB132" s="491"/>
      <c r="BC132" s="491"/>
      <c r="BD132" s="491"/>
      <c r="BE132" s="491"/>
      <c r="BF132" s="491"/>
      <c r="BG132" s="491"/>
    </row>
    <row r="133" spans="1:59" x14ac:dyDescent="0.25">
      <c r="A133" s="2236" t="s">
        <v>1906</v>
      </c>
      <c r="B133" s="2236"/>
      <c r="C133" s="2236"/>
      <c r="D133" s="2236"/>
      <c r="E133" s="2236"/>
      <c r="F133" s="2236"/>
      <c r="G133" s="2244" t="s">
        <v>28</v>
      </c>
      <c r="H133" s="2245"/>
      <c r="I133" s="2244" t="s">
        <v>28</v>
      </c>
      <c r="J133" s="2245"/>
      <c r="K133" s="2245">
        <f>'[2]C_Light_Dimmable(Nonlinear LED)'!V89</f>
        <v>6.8096000000000007E-3</v>
      </c>
      <c r="L133" s="2245"/>
      <c r="N133" s="2238" t="s">
        <v>229</v>
      </c>
      <c r="O133" s="2238"/>
      <c r="P133" s="2238"/>
      <c r="Q133" s="2238"/>
      <c r="R133" s="2237">
        <f>'EFLH &amp; CF'!I38</f>
        <v>1</v>
      </c>
      <c r="S133" s="2237"/>
      <c r="T133" s="2237"/>
      <c r="U133" s="2237"/>
      <c r="V133" s="2204">
        <f>'EFLH &amp; CF'!N38</f>
        <v>7.0000000000000007E-2</v>
      </c>
      <c r="W133" s="2205"/>
      <c r="X133" s="2205"/>
      <c r="Y133" s="2206"/>
      <c r="Z133" s="2204">
        <f>'EFLH &amp; CF'!S38</f>
        <v>0.1</v>
      </c>
      <c r="AA133" s="2205"/>
      <c r="AB133" s="2205"/>
      <c r="AC133" s="2206"/>
      <c r="AD133" s="2204">
        <f>'EFLH &amp; CF'!X38</f>
        <v>0.08</v>
      </c>
      <c r="AE133" s="2205"/>
      <c r="AF133" s="2205"/>
      <c r="AG133" s="2206"/>
      <c r="AH133" s="389"/>
      <c r="AI133" s="387"/>
      <c r="AJ133" s="387"/>
      <c r="AK133" s="387"/>
      <c r="AL133" s="387"/>
      <c r="AR133" s="491"/>
      <c r="AS133" s="491"/>
      <c r="AT133" s="491"/>
      <c r="AU133" s="491"/>
      <c r="AV133" s="491"/>
      <c r="AW133" s="491"/>
      <c r="AX133" s="491"/>
      <c r="AY133" s="491"/>
      <c r="AZ133" s="491"/>
      <c r="BA133" s="491"/>
      <c r="BB133" s="491"/>
      <c r="BC133" s="491"/>
      <c r="BD133" s="491"/>
      <c r="BE133" s="491"/>
      <c r="BF133" s="491"/>
      <c r="BG133" s="491"/>
    </row>
    <row r="134" spans="1:59" x14ac:dyDescent="0.25">
      <c r="A134" s="2236" t="s">
        <v>1907</v>
      </c>
      <c r="B134" s="2236"/>
      <c r="C134" s="2236"/>
      <c r="D134" s="2236"/>
      <c r="E134" s="2236"/>
      <c r="F134" s="2236"/>
      <c r="G134" s="2244" t="s">
        <v>28</v>
      </c>
      <c r="H134" s="2245"/>
      <c r="I134" s="2244" t="s">
        <v>28</v>
      </c>
      <c r="J134" s="2245"/>
      <c r="K134" s="2245">
        <f>'[2]C_Light_Dimmable(Nonlinear LED)'!V90</f>
        <v>1.18066E-2</v>
      </c>
      <c r="L134" s="2245"/>
      <c r="N134" s="2239" t="s">
        <v>1047</v>
      </c>
      <c r="O134" s="2239"/>
      <c r="P134" s="2239"/>
      <c r="Q134" s="2239"/>
      <c r="R134" s="2239"/>
      <c r="S134" s="2239"/>
      <c r="T134" s="2239"/>
      <c r="U134" s="2239"/>
      <c r="V134" s="2239"/>
      <c r="W134" s="2239"/>
      <c r="X134" s="2239"/>
      <c r="Y134" s="2239"/>
      <c r="Z134" s="2239"/>
      <c r="AA134" s="2239"/>
      <c r="AB134" s="2239"/>
      <c r="AC134" s="2239"/>
      <c r="AD134" s="2239"/>
      <c r="AE134" s="2239"/>
      <c r="AF134" s="2239"/>
      <c r="AG134" s="2239"/>
      <c r="AH134" s="389"/>
      <c r="AI134" s="387"/>
      <c r="AJ134" s="387"/>
      <c r="AK134" s="387"/>
      <c r="AL134" s="387"/>
    </row>
    <row r="135" spans="1:59" x14ac:dyDescent="0.25">
      <c r="A135" s="2236" t="s">
        <v>1908</v>
      </c>
      <c r="B135" s="2236"/>
      <c r="C135" s="2236"/>
      <c r="D135" s="2236"/>
      <c r="E135" s="2236"/>
      <c r="F135" s="2236"/>
      <c r="G135" s="2244" t="s">
        <v>28</v>
      </c>
      <c r="H135" s="2245"/>
      <c r="I135" s="2244" t="s">
        <v>28</v>
      </c>
      <c r="J135" s="2245"/>
      <c r="K135" s="2245">
        <f>'[2]C_Light_Dimmable(Nonlinear LED)'!V91</f>
        <v>1.3011E-2</v>
      </c>
      <c r="L135" s="2245"/>
      <c r="N135" s="2241" t="s">
        <v>1903</v>
      </c>
      <c r="O135" s="2241"/>
      <c r="P135" s="2241"/>
      <c r="Q135" s="2241"/>
      <c r="R135" s="2241"/>
      <c r="S135" s="2241"/>
      <c r="T135" s="2241"/>
      <c r="U135" s="2241"/>
      <c r="V135" s="2241"/>
      <c r="W135" s="2241"/>
      <c r="X135" s="2241"/>
      <c r="Y135" s="2241"/>
      <c r="Z135" s="2241"/>
      <c r="AA135" s="2241"/>
      <c r="AB135" s="2241"/>
      <c r="AC135" s="2241"/>
      <c r="AD135" s="2241"/>
      <c r="AE135" s="2241"/>
      <c r="AF135" s="2241"/>
      <c r="AG135" s="2241"/>
      <c r="AH135" s="389"/>
      <c r="AI135" s="387"/>
      <c r="AJ135" s="387"/>
      <c r="AK135" s="387"/>
      <c r="AL135" s="387"/>
    </row>
    <row r="136" spans="1:59" ht="90" customHeight="1" x14ac:dyDescent="0.25">
      <c r="A136" s="2236" t="s">
        <v>1891</v>
      </c>
      <c r="B136" s="2236"/>
      <c r="C136" s="2236"/>
      <c r="D136" s="2236"/>
      <c r="E136" s="2236"/>
      <c r="F136" s="2236"/>
      <c r="G136" s="2244" t="s">
        <v>28</v>
      </c>
      <c r="H136" s="2245"/>
      <c r="I136" s="2244" t="s">
        <v>28</v>
      </c>
      <c r="J136" s="2245"/>
      <c r="K136" s="2245">
        <v>4.0000000000000001E-3</v>
      </c>
      <c r="L136" s="2245"/>
      <c r="O136" s="2242" t="s">
        <v>2941</v>
      </c>
      <c r="P136" s="2242"/>
      <c r="Q136" s="2242"/>
      <c r="R136" s="2242"/>
      <c r="S136" s="2242"/>
      <c r="T136" s="2242"/>
      <c r="U136" s="2242"/>
      <c r="V136" s="2242"/>
      <c r="W136" s="2242"/>
      <c r="X136" s="2242"/>
      <c r="Y136" s="2242"/>
      <c r="Z136" s="2242"/>
      <c r="AA136" s="2242"/>
      <c r="AB136" s="2242"/>
      <c r="AC136" s="2242"/>
      <c r="AD136" s="2242"/>
      <c r="AE136" s="2242"/>
      <c r="AF136" s="2242"/>
      <c r="AG136" s="2242"/>
      <c r="AH136" s="389"/>
      <c r="AI136" s="387"/>
      <c r="AJ136" s="387"/>
      <c r="AK136" s="387"/>
      <c r="AL136" s="387"/>
    </row>
    <row r="137" spans="1:59" ht="44.25" customHeight="1" x14ac:dyDescent="0.25">
      <c r="A137" s="2236" t="s">
        <v>3041</v>
      </c>
      <c r="B137" s="2236"/>
      <c r="C137" s="2236"/>
      <c r="D137" s="2236"/>
      <c r="E137" s="2236"/>
      <c r="F137" s="2236"/>
      <c r="G137" s="2244" t="s">
        <v>28</v>
      </c>
      <c r="H137" s="2245"/>
      <c r="I137" s="2244" t="s">
        <v>28</v>
      </c>
      <c r="J137" s="2245"/>
      <c r="K137" s="2245">
        <v>4.0000000000000001E-3</v>
      </c>
      <c r="L137" s="2245"/>
      <c r="O137" s="2242" t="s">
        <v>2939</v>
      </c>
      <c r="P137" s="2242"/>
      <c r="Q137" s="2242"/>
      <c r="R137" s="2242"/>
      <c r="S137" s="2242"/>
      <c r="T137" s="2242"/>
      <c r="U137" s="2242"/>
      <c r="V137" s="2242"/>
      <c r="W137" s="2242"/>
      <c r="X137" s="2242"/>
      <c r="Y137" s="2242"/>
      <c r="Z137" s="2242"/>
      <c r="AA137" s="2242"/>
      <c r="AB137" s="2242"/>
      <c r="AC137" s="2242"/>
      <c r="AD137" s="2242"/>
      <c r="AE137" s="2242"/>
      <c r="AF137" s="2242"/>
      <c r="AG137" s="2242"/>
      <c r="AH137" s="389"/>
      <c r="AI137" s="387"/>
      <c r="AJ137" s="387"/>
      <c r="AK137" s="387"/>
      <c r="AL137" s="387"/>
    </row>
    <row r="138" spans="1:59" ht="41.1" customHeight="1" x14ac:dyDescent="0.25">
      <c r="A138" s="2236" t="s">
        <v>1892</v>
      </c>
      <c r="B138" s="2236"/>
      <c r="C138" s="2236"/>
      <c r="D138" s="2236"/>
      <c r="E138" s="2236"/>
      <c r="F138" s="2236"/>
      <c r="G138" s="2244" t="s">
        <v>28</v>
      </c>
      <c r="H138" s="2245"/>
      <c r="I138" s="2244" t="s">
        <v>28</v>
      </c>
      <c r="J138" s="2245"/>
      <c r="K138" s="2245">
        <v>5.0000000000000001E-3</v>
      </c>
      <c r="L138" s="2245"/>
      <c r="O138" s="2242" t="s">
        <v>1904</v>
      </c>
      <c r="P138" s="2242"/>
      <c r="Q138" s="2242"/>
      <c r="R138" s="2242"/>
      <c r="S138" s="2242"/>
      <c r="T138" s="2242"/>
      <c r="U138" s="2242"/>
      <c r="V138" s="2242"/>
      <c r="W138" s="2242"/>
      <c r="X138" s="2242"/>
      <c r="Y138" s="2242"/>
      <c r="Z138" s="2242"/>
      <c r="AA138" s="2242"/>
      <c r="AB138" s="2242"/>
      <c r="AC138" s="2242"/>
      <c r="AD138" s="2242"/>
      <c r="AE138" s="2242"/>
      <c r="AF138" s="2242"/>
      <c r="AG138" s="2242"/>
      <c r="AH138" s="389"/>
      <c r="AI138" s="387"/>
      <c r="AJ138" s="387"/>
      <c r="AK138" s="387"/>
      <c r="AL138" s="387"/>
    </row>
    <row r="139" spans="1:59" ht="66.75" customHeight="1" x14ac:dyDescent="0.25">
      <c r="A139" s="2236" t="s">
        <v>1893</v>
      </c>
      <c r="B139" s="2236"/>
      <c r="C139" s="2236"/>
      <c r="D139" s="2236"/>
      <c r="E139" s="2236"/>
      <c r="F139" s="2236"/>
      <c r="G139" s="2244" t="s">
        <v>28</v>
      </c>
      <c r="H139" s="2245"/>
      <c r="I139" s="2244" t="s">
        <v>28</v>
      </c>
      <c r="J139" s="2245"/>
      <c r="K139" s="2245">
        <v>6.0000000000000001E-3</v>
      </c>
      <c r="L139" s="2245"/>
      <c r="N139" s="2241" t="s">
        <v>2989</v>
      </c>
      <c r="O139" s="2241"/>
      <c r="P139" s="2241"/>
      <c r="Q139" s="2241"/>
      <c r="R139" s="2241"/>
      <c r="S139" s="2241"/>
      <c r="T139" s="2241"/>
      <c r="U139" s="2241"/>
      <c r="V139" s="2241"/>
      <c r="W139" s="2241"/>
      <c r="X139" s="2241"/>
      <c r="Y139" s="2241"/>
      <c r="Z139" s="2241"/>
      <c r="AA139" s="2241"/>
      <c r="AB139" s="2241"/>
      <c r="AC139" s="2241"/>
      <c r="AD139" s="2241"/>
      <c r="AE139" s="2241"/>
      <c r="AF139" s="2241"/>
      <c r="AG139" s="2241"/>
      <c r="AH139" s="389"/>
      <c r="AI139" s="387"/>
      <c r="AJ139" s="387"/>
      <c r="AK139" s="387"/>
      <c r="AL139" s="387"/>
    </row>
    <row r="140" spans="1:59" ht="24.75" customHeight="1" x14ac:dyDescent="0.25">
      <c r="A140" s="2236" t="s">
        <v>1991</v>
      </c>
      <c r="B140" s="2236"/>
      <c r="C140" s="2236"/>
      <c r="D140" s="2236"/>
      <c r="E140" s="2236"/>
      <c r="F140" s="2236"/>
      <c r="G140" s="2244" t="s">
        <v>28</v>
      </c>
      <c r="H140" s="2245"/>
      <c r="I140" s="2244" t="s">
        <v>28</v>
      </c>
      <c r="J140" s="2245"/>
      <c r="K140" s="2245">
        <v>3.5000000000000003E-2</v>
      </c>
      <c r="L140" s="2245"/>
      <c r="N140" s="401">
        <v>1</v>
      </c>
      <c r="O140" s="401">
        <v>2</v>
      </c>
      <c r="P140" s="401">
        <v>3</v>
      </c>
      <c r="Q140" s="401">
        <v>4</v>
      </c>
      <c r="R140" s="401">
        <v>5</v>
      </c>
      <c r="S140" s="401">
        <v>6</v>
      </c>
      <c r="T140" s="401">
        <v>7</v>
      </c>
      <c r="U140" s="401">
        <v>8</v>
      </c>
      <c r="V140" s="401">
        <v>9</v>
      </c>
      <c r="W140" s="401">
        <v>10</v>
      </c>
      <c r="X140" s="401">
        <v>11</v>
      </c>
      <c r="Y140" s="401">
        <v>12</v>
      </c>
      <c r="Z140" s="401">
        <v>13</v>
      </c>
      <c r="AA140" s="401">
        <v>14</v>
      </c>
      <c r="AB140" s="401">
        <v>15</v>
      </c>
      <c r="AC140" s="401">
        <v>16</v>
      </c>
      <c r="AD140" s="401">
        <v>17</v>
      </c>
      <c r="AE140" s="401">
        <v>18</v>
      </c>
      <c r="AF140" s="401">
        <v>19</v>
      </c>
      <c r="AG140" s="401">
        <v>20</v>
      </c>
      <c r="AH140" s="389"/>
      <c r="AI140" s="387"/>
      <c r="AJ140" s="387"/>
      <c r="AK140" s="387"/>
      <c r="AL140" s="387"/>
    </row>
    <row r="141" spans="1:59" ht="24.75" customHeight="1" x14ac:dyDescent="0.25">
      <c r="A141" s="2236" t="s">
        <v>1992</v>
      </c>
      <c r="B141" s="2236"/>
      <c r="C141" s="2236"/>
      <c r="D141" s="2236"/>
      <c r="E141" s="2236"/>
      <c r="F141" s="2236"/>
      <c r="G141" s="2244" t="s">
        <v>28</v>
      </c>
      <c r="H141" s="2245"/>
      <c r="I141" s="2244" t="s">
        <v>28</v>
      </c>
      <c r="J141" s="2245"/>
      <c r="K141" s="2245">
        <v>0.03</v>
      </c>
      <c r="L141" s="2245"/>
      <c r="N141" s="1687" t="s">
        <v>2953</v>
      </c>
      <c r="O141" s="1687"/>
      <c r="P141" s="1687"/>
      <c r="Q141" s="1687"/>
      <c r="R141" s="1687"/>
      <c r="S141" s="1687"/>
      <c r="T141" s="1687"/>
      <c r="U141" s="1687"/>
      <c r="V141" s="1687"/>
      <c r="W141" s="1687"/>
      <c r="X141" s="1687"/>
      <c r="Y141" s="1687"/>
      <c r="Z141" s="1687"/>
      <c r="AA141" s="1687"/>
      <c r="AB141" s="1687"/>
      <c r="AC141" s="1687"/>
      <c r="AD141" s="1687"/>
      <c r="AE141" s="1687"/>
      <c r="AF141" s="1687"/>
      <c r="AG141" s="1687"/>
      <c r="AH141" s="389"/>
      <c r="AI141" s="387"/>
      <c r="AJ141" s="387"/>
      <c r="AK141" s="387"/>
      <c r="AL141" s="387"/>
    </row>
    <row r="142" spans="1:59" ht="25.5" customHeight="1" x14ac:dyDescent="0.25">
      <c r="A142" s="2236" t="s">
        <v>1993</v>
      </c>
      <c r="B142" s="2236"/>
      <c r="C142" s="2236"/>
      <c r="D142" s="2236"/>
      <c r="E142" s="2236"/>
      <c r="F142" s="2236"/>
      <c r="G142" s="2244" t="s">
        <v>28</v>
      </c>
      <c r="H142" s="2245"/>
      <c r="I142" s="2244" t="s">
        <v>28</v>
      </c>
      <c r="J142" s="2245"/>
      <c r="K142" s="2245">
        <v>0.04</v>
      </c>
      <c r="L142" s="2245"/>
      <c r="N142" s="2240"/>
      <c r="O142" s="2240"/>
      <c r="P142" s="2240"/>
      <c r="Q142" s="2240"/>
      <c r="R142" s="2240"/>
      <c r="S142" s="2240"/>
      <c r="T142" s="2240"/>
      <c r="U142" s="2240"/>
      <c r="V142" s="2240"/>
      <c r="W142" s="2240"/>
      <c r="X142" s="2240"/>
      <c r="Y142" s="2240"/>
      <c r="Z142" s="2240"/>
      <c r="AA142" s="2240"/>
      <c r="AB142" s="2240"/>
      <c r="AC142" s="2240"/>
      <c r="AD142" s="2240"/>
      <c r="AE142" s="2240"/>
      <c r="AF142" s="2240"/>
      <c r="AG142" s="2240"/>
      <c r="AH142" s="389"/>
      <c r="AI142" s="387"/>
      <c r="AJ142" s="387"/>
      <c r="AK142" s="387"/>
      <c r="AL142" s="387"/>
    </row>
    <row r="143" spans="1:59" ht="38.25" customHeight="1" x14ac:dyDescent="0.25">
      <c r="A143" s="2236" t="s">
        <v>1857</v>
      </c>
      <c r="B143" s="2236"/>
      <c r="C143" s="2236"/>
      <c r="D143" s="2236"/>
      <c r="E143" s="2236"/>
      <c r="F143" s="2236"/>
      <c r="G143" s="2245">
        <v>2.5600000000000001E-2</v>
      </c>
      <c r="H143" s="2245"/>
      <c r="I143" s="2245">
        <v>2.06E-2</v>
      </c>
      <c r="J143" s="2245"/>
      <c r="K143" s="2246" t="s">
        <v>28</v>
      </c>
      <c r="L143" s="2247"/>
      <c r="N143" s="2220" t="s">
        <v>54</v>
      </c>
      <c r="O143" s="2221"/>
      <c r="P143" s="2221"/>
      <c r="Q143" s="2222"/>
      <c r="R143" s="2220" t="s">
        <v>1901</v>
      </c>
      <c r="S143" s="2221"/>
      <c r="T143" s="2221"/>
      <c r="U143" s="2221"/>
      <c r="V143" s="2221"/>
      <c r="W143" s="2221"/>
      <c r="X143" s="2221"/>
      <c r="Y143" s="2222"/>
      <c r="Z143" s="2220" t="s">
        <v>1924</v>
      </c>
      <c r="AA143" s="2221"/>
      <c r="AB143" s="2221"/>
      <c r="AC143" s="2221"/>
      <c r="AD143" s="2221"/>
      <c r="AE143" s="2221"/>
      <c r="AF143" s="2221"/>
      <c r="AG143" s="2222"/>
      <c r="AH143" s="389"/>
      <c r="AI143" s="387"/>
      <c r="AJ143" s="387"/>
      <c r="AK143" s="387"/>
      <c r="AL143" s="387"/>
    </row>
    <row r="144" spans="1:59" ht="38.25" customHeight="1" x14ac:dyDescent="0.25">
      <c r="A144" s="2263" t="s">
        <v>6494</v>
      </c>
      <c r="B144" s="2263"/>
      <c r="C144" s="2263"/>
      <c r="D144" s="2263"/>
      <c r="E144" s="2263"/>
      <c r="F144" s="2263"/>
      <c r="G144" s="2380">
        <v>1.7500000000000002E-2</v>
      </c>
      <c r="H144" s="2380"/>
      <c r="I144" s="2380">
        <v>1.4999999999999999E-2</v>
      </c>
      <c r="J144" s="2380"/>
      <c r="K144" s="2381" t="s">
        <v>28</v>
      </c>
      <c r="L144" s="2351"/>
      <c r="N144" s="2223"/>
      <c r="O144" s="2224"/>
      <c r="P144" s="2224"/>
      <c r="Q144" s="2225"/>
      <c r="R144" s="2226"/>
      <c r="S144" s="2227"/>
      <c r="T144" s="2227"/>
      <c r="U144" s="2227"/>
      <c r="V144" s="2227"/>
      <c r="W144" s="2227"/>
      <c r="X144" s="2227"/>
      <c r="Y144" s="2228"/>
      <c r="Z144" s="2226"/>
      <c r="AA144" s="2227"/>
      <c r="AB144" s="2227"/>
      <c r="AC144" s="2227"/>
      <c r="AD144" s="2227"/>
      <c r="AE144" s="2227"/>
      <c r="AF144" s="2227"/>
      <c r="AG144" s="2228"/>
      <c r="AH144" s="389"/>
      <c r="AI144" s="387"/>
      <c r="AJ144" s="387"/>
      <c r="AK144" s="387"/>
      <c r="AL144" s="387"/>
    </row>
    <row r="145" spans="1:55" ht="40.5" customHeight="1" x14ac:dyDescent="0.25">
      <c r="A145" s="2236" t="s">
        <v>1994</v>
      </c>
      <c r="B145" s="2236"/>
      <c r="C145" s="2236"/>
      <c r="D145" s="2236"/>
      <c r="E145" s="2236"/>
      <c r="F145" s="2236"/>
      <c r="G145" s="2245">
        <v>3.5000000000000003E-2</v>
      </c>
      <c r="H145" s="2245"/>
      <c r="I145" s="2245">
        <v>0.03</v>
      </c>
      <c r="J145" s="2245"/>
      <c r="K145" s="2246" t="s">
        <v>28</v>
      </c>
      <c r="L145" s="2247"/>
      <c r="N145" s="2226"/>
      <c r="O145" s="2227"/>
      <c r="P145" s="2227"/>
      <c r="Q145" s="2228"/>
      <c r="R145" s="2233" t="s">
        <v>1909</v>
      </c>
      <c r="S145" s="2234"/>
      <c r="T145" s="2234"/>
      <c r="U145" s="2235"/>
      <c r="V145" s="2233" t="s">
        <v>1910</v>
      </c>
      <c r="W145" s="2234"/>
      <c r="X145" s="2234"/>
      <c r="Y145" s="2235"/>
      <c r="Z145" s="2233" t="s">
        <v>1909</v>
      </c>
      <c r="AA145" s="2234"/>
      <c r="AB145" s="2234"/>
      <c r="AC145" s="2235"/>
      <c r="AD145" s="2233" t="s">
        <v>1910</v>
      </c>
      <c r="AE145" s="2234"/>
      <c r="AF145" s="2234"/>
      <c r="AG145" s="2235"/>
      <c r="AH145" s="389"/>
      <c r="AI145" s="387"/>
      <c r="AJ145" s="387"/>
      <c r="AK145" s="387"/>
      <c r="AL145" s="387"/>
    </row>
    <row r="146" spans="1:55" ht="29.45" customHeight="1" x14ac:dyDescent="0.25">
      <c r="A146" s="2236" t="s">
        <v>1989</v>
      </c>
      <c r="B146" s="2236"/>
      <c r="C146" s="2236"/>
      <c r="D146" s="2236"/>
      <c r="E146" s="2236"/>
      <c r="F146" s="2236"/>
      <c r="G146" s="2244" t="s">
        <v>28</v>
      </c>
      <c r="H146" s="2245"/>
      <c r="I146" s="2244" t="s">
        <v>28</v>
      </c>
      <c r="J146" s="2245"/>
      <c r="K146" s="2245">
        <v>2.8000000000000001E-2</v>
      </c>
      <c r="L146" s="2245"/>
      <c r="N146" s="2217" t="s">
        <v>1984</v>
      </c>
      <c r="O146" s="2218"/>
      <c r="P146" s="2218"/>
      <c r="Q146" s="2219"/>
      <c r="R146" s="2204">
        <f>'Savings Factors'!I21</f>
        <v>1.25</v>
      </c>
      <c r="S146" s="2205"/>
      <c r="T146" s="2205"/>
      <c r="U146" s="2206"/>
      <c r="V146" s="2204">
        <f>'Savings Factors'!M21</f>
        <v>1.1299999999999999</v>
      </c>
      <c r="W146" s="2205"/>
      <c r="X146" s="2205"/>
      <c r="Y146" s="2206"/>
      <c r="Z146" s="2204">
        <f>'Savings Factors'!Q21</f>
        <v>1.26</v>
      </c>
      <c r="AA146" s="2205"/>
      <c r="AB146" s="2205"/>
      <c r="AC146" s="2206"/>
      <c r="AD146" s="2204">
        <f>'Savings Factors'!U21</f>
        <v>1.1299999999999999</v>
      </c>
      <c r="AE146" s="2205"/>
      <c r="AF146" s="2205"/>
      <c r="AG146" s="2206"/>
      <c r="AH146" s="389"/>
      <c r="AI146" s="387"/>
      <c r="AJ146" s="387"/>
      <c r="AK146" s="387"/>
      <c r="AL146" s="387"/>
      <c r="AN146" s="491"/>
      <c r="AO146" s="491"/>
      <c r="AP146" s="491"/>
      <c r="AQ146" s="491"/>
      <c r="AR146" s="491"/>
      <c r="AS146" s="491"/>
      <c r="AT146" s="491"/>
      <c r="AU146" s="491"/>
      <c r="AV146" s="491"/>
      <c r="AW146" s="491"/>
      <c r="AX146" s="491"/>
      <c r="AY146" s="491"/>
      <c r="AZ146" s="491"/>
      <c r="BA146" s="491"/>
      <c r="BB146" s="491"/>
      <c r="BC146" s="491"/>
    </row>
    <row r="147" spans="1:55" ht="30.95" customHeight="1" x14ac:dyDescent="0.25">
      <c r="A147" s="2236" t="s">
        <v>1987</v>
      </c>
      <c r="B147" s="2236"/>
      <c r="C147" s="2236"/>
      <c r="D147" s="2236"/>
      <c r="E147" s="2236"/>
      <c r="F147" s="2236"/>
      <c r="G147" s="2244" t="s">
        <v>28</v>
      </c>
      <c r="H147" s="2245"/>
      <c r="I147" s="2244" t="s">
        <v>28</v>
      </c>
      <c r="J147" s="2245"/>
      <c r="K147" s="2245">
        <v>7.8E-2</v>
      </c>
      <c r="L147" s="2245"/>
      <c r="N147" s="2217" t="s">
        <v>221</v>
      </c>
      <c r="O147" s="2218"/>
      <c r="P147" s="2218"/>
      <c r="Q147" s="2219"/>
      <c r="R147" s="2204">
        <f>'Savings Factors'!I22</f>
        <v>1.26</v>
      </c>
      <c r="S147" s="2205"/>
      <c r="T147" s="2205"/>
      <c r="U147" s="2206"/>
      <c r="V147" s="2204">
        <f>'Savings Factors'!M22</f>
        <v>1.56</v>
      </c>
      <c r="W147" s="2205"/>
      <c r="X147" s="2205"/>
      <c r="Y147" s="2206"/>
      <c r="Z147" s="2204">
        <f>'Savings Factors'!Q22</f>
        <v>1.25</v>
      </c>
      <c r="AA147" s="2205"/>
      <c r="AB147" s="2205"/>
      <c r="AC147" s="2206"/>
      <c r="AD147" s="2204">
        <f>'Savings Factors'!U22</f>
        <v>1.62</v>
      </c>
      <c r="AE147" s="2205"/>
      <c r="AF147" s="2205"/>
      <c r="AG147" s="2206"/>
      <c r="AH147" s="389"/>
      <c r="AI147" s="387"/>
      <c r="AJ147" s="387"/>
      <c r="AK147" s="387"/>
      <c r="AL147" s="387"/>
      <c r="AN147" s="491"/>
      <c r="AO147" s="491"/>
      <c r="AP147" s="491"/>
      <c r="AQ147" s="491"/>
      <c r="AR147" s="491"/>
      <c r="AS147" s="491"/>
      <c r="AT147" s="491"/>
      <c r="AU147" s="491"/>
      <c r="AV147" s="491"/>
      <c r="AW147" s="491"/>
      <c r="AX147" s="491"/>
      <c r="AY147" s="491"/>
      <c r="AZ147" s="491"/>
      <c r="BA147" s="491"/>
      <c r="BB147" s="491"/>
      <c r="BC147" s="491"/>
    </row>
    <row r="148" spans="1:55" ht="30.95" customHeight="1" x14ac:dyDescent="0.25">
      <c r="A148" s="2236" t="s">
        <v>1988</v>
      </c>
      <c r="B148" s="2236"/>
      <c r="C148" s="2236"/>
      <c r="D148" s="2236"/>
      <c r="E148" s="2236"/>
      <c r="F148" s="2236"/>
      <c r="G148" s="2244" t="s">
        <v>28</v>
      </c>
      <c r="H148" s="2245"/>
      <c r="I148" s="2244" t="s">
        <v>28</v>
      </c>
      <c r="J148" s="2245"/>
      <c r="K148" s="2245">
        <v>0.17</v>
      </c>
      <c r="L148" s="2245"/>
      <c r="N148" s="2217" t="s">
        <v>222</v>
      </c>
      <c r="O148" s="2218"/>
      <c r="P148" s="2218"/>
      <c r="Q148" s="2219"/>
      <c r="R148" s="2204">
        <f>'Savings Factors'!I23</f>
        <v>1.3</v>
      </c>
      <c r="S148" s="2205"/>
      <c r="T148" s="2205"/>
      <c r="U148" s="2206"/>
      <c r="V148" s="2204">
        <f>'Savings Factors'!M23</f>
        <v>1.25</v>
      </c>
      <c r="W148" s="2205"/>
      <c r="X148" s="2205"/>
      <c r="Y148" s="2206"/>
      <c r="Z148" s="2204">
        <f>'Savings Factors'!Q23</f>
        <v>1.31</v>
      </c>
      <c r="AA148" s="2205"/>
      <c r="AB148" s="2205"/>
      <c r="AC148" s="2206"/>
      <c r="AD148" s="2204">
        <f>'Savings Factors'!U23</f>
        <v>1.25</v>
      </c>
      <c r="AE148" s="2205"/>
      <c r="AF148" s="2205"/>
      <c r="AG148" s="2206"/>
      <c r="AH148" s="389"/>
      <c r="AI148" s="387"/>
      <c r="AJ148" s="387"/>
      <c r="AK148" s="387"/>
      <c r="AL148" s="387"/>
      <c r="AN148" s="491"/>
      <c r="AO148" s="491"/>
      <c r="AP148" s="491"/>
      <c r="AQ148" s="491"/>
      <c r="AR148" s="491"/>
      <c r="AS148" s="491"/>
      <c r="AT148" s="491"/>
      <c r="AU148" s="491"/>
      <c r="AV148" s="491"/>
      <c r="AW148" s="491"/>
      <c r="AX148" s="491"/>
      <c r="AY148" s="491"/>
      <c r="AZ148" s="491"/>
      <c r="BA148" s="491"/>
      <c r="BB148" s="491"/>
      <c r="BC148" s="491"/>
    </row>
    <row r="149" spans="1:55" ht="30.95" customHeight="1" x14ac:dyDescent="0.25">
      <c r="A149" s="2236" t="s">
        <v>1990</v>
      </c>
      <c r="B149" s="2236"/>
      <c r="C149" s="2236"/>
      <c r="D149" s="2236"/>
      <c r="E149" s="2236"/>
      <c r="F149" s="2236"/>
      <c r="G149" s="2244" t="s">
        <v>28</v>
      </c>
      <c r="H149" s="2245"/>
      <c r="I149" s="2244" t="s">
        <v>28</v>
      </c>
      <c r="J149" s="2245"/>
      <c r="K149" s="2245">
        <v>0.27</v>
      </c>
      <c r="L149" s="2245"/>
      <c r="N149" s="2217" t="s">
        <v>223</v>
      </c>
      <c r="O149" s="2218"/>
      <c r="P149" s="2218"/>
      <c r="Q149" s="2219"/>
      <c r="R149" s="2204">
        <f>'Savings Factors'!I24</f>
        <v>1.1100000000000001</v>
      </c>
      <c r="S149" s="2205"/>
      <c r="T149" s="2205"/>
      <c r="U149" s="2206"/>
      <c r="V149" s="2204">
        <f>'Savings Factors'!M24</f>
        <v>1.1399999999999999</v>
      </c>
      <c r="W149" s="2205"/>
      <c r="X149" s="2205"/>
      <c r="Y149" s="2206"/>
      <c r="Z149" s="2204">
        <f>'Savings Factors'!Q24</f>
        <v>1.0900000000000001</v>
      </c>
      <c r="AA149" s="2205"/>
      <c r="AB149" s="2205"/>
      <c r="AC149" s="2206"/>
      <c r="AD149" s="2204">
        <f>'Savings Factors'!U24</f>
        <v>1.1399999999999999</v>
      </c>
      <c r="AE149" s="2205"/>
      <c r="AF149" s="2205"/>
      <c r="AG149" s="2206"/>
      <c r="AH149" s="389"/>
      <c r="AI149" s="387"/>
      <c r="AJ149" s="387"/>
      <c r="AK149" s="387"/>
      <c r="AL149" s="387"/>
      <c r="AN149" s="491"/>
      <c r="AO149" s="491"/>
      <c r="AP149" s="491"/>
      <c r="AQ149" s="491"/>
      <c r="AR149" s="491"/>
      <c r="AS149" s="491"/>
      <c r="AT149" s="491"/>
      <c r="AU149" s="491"/>
      <c r="AV149" s="491"/>
      <c r="AW149" s="491"/>
      <c r="AX149" s="491"/>
      <c r="AY149" s="491"/>
      <c r="AZ149" s="491"/>
      <c r="BA149" s="491"/>
      <c r="BB149" s="491"/>
      <c r="BC149" s="491"/>
    </row>
    <row r="150" spans="1:55" ht="30.6" customHeight="1" x14ac:dyDescent="0.25">
      <c r="A150" s="2299" t="s">
        <v>1896</v>
      </c>
      <c r="B150" s="2299"/>
      <c r="C150" s="2299"/>
      <c r="D150" s="2299"/>
      <c r="E150" s="2299"/>
      <c r="F150" s="2299"/>
      <c r="G150" s="2299"/>
      <c r="H150" s="2299"/>
      <c r="I150" s="2299"/>
      <c r="J150" s="2299"/>
      <c r="K150" s="2299"/>
      <c r="L150" s="2299"/>
      <c r="N150" s="2217" t="s">
        <v>224</v>
      </c>
      <c r="O150" s="2218"/>
      <c r="P150" s="2218"/>
      <c r="Q150" s="2219"/>
      <c r="R150" s="2204">
        <f>'Savings Factors'!I25</f>
        <v>1.23</v>
      </c>
      <c r="S150" s="2205"/>
      <c r="T150" s="2205"/>
      <c r="U150" s="2206"/>
      <c r="V150" s="2204">
        <f>'Savings Factors'!M25</f>
        <v>1.1399999999999999</v>
      </c>
      <c r="W150" s="2205"/>
      <c r="X150" s="2205"/>
      <c r="Y150" s="2206"/>
      <c r="Z150" s="2204">
        <f>'Savings Factors'!Q25</f>
        <v>1.24</v>
      </c>
      <c r="AA150" s="2205"/>
      <c r="AB150" s="2205"/>
      <c r="AC150" s="2206"/>
      <c r="AD150" s="2204">
        <f>'Savings Factors'!U25</f>
        <v>1.1499999999999999</v>
      </c>
      <c r="AE150" s="2205"/>
      <c r="AF150" s="2205"/>
      <c r="AG150" s="2206"/>
      <c r="AH150" s="293"/>
      <c r="AN150" s="491"/>
      <c r="AO150" s="491"/>
      <c r="AP150" s="491"/>
      <c r="AQ150" s="491"/>
      <c r="AR150" s="491"/>
      <c r="AS150" s="491"/>
      <c r="AT150" s="491"/>
      <c r="AU150" s="491"/>
      <c r="AV150" s="491"/>
      <c r="AW150" s="491"/>
      <c r="AX150" s="491"/>
      <c r="AY150" s="491"/>
      <c r="AZ150" s="491"/>
      <c r="BA150" s="491"/>
      <c r="BB150" s="491"/>
      <c r="BC150" s="491"/>
    </row>
    <row r="151" spans="1:55" ht="40.5" customHeight="1" x14ac:dyDescent="0.25">
      <c r="A151" s="2232" t="s">
        <v>1897</v>
      </c>
      <c r="B151" s="2232"/>
      <c r="C151" s="2232"/>
      <c r="D151" s="2232"/>
      <c r="E151" s="2232"/>
      <c r="F151" s="2232"/>
      <c r="G151" s="2232"/>
      <c r="H151" s="2232"/>
      <c r="I151" s="2232"/>
      <c r="J151" s="2232"/>
      <c r="K151" s="2232"/>
      <c r="L151" s="2232"/>
      <c r="N151" s="2217" t="s">
        <v>225</v>
      </c>
      <c r="O151" s="2218"/>
      <c r="P151" s="2218"/>
      <c r="Q151" s="2219"/>
      <c r="R151" s="2204">
        <f>'Savings Factors'!I26</f>
        <v>1.27</v>
      </c>
      <c r="S151" s="2205"/>
      <c r="T151" s="2205"/>
      <c r="U151" s="2206"/>
      <c r="V151" s="2204">
        <f>'Savings Factors'!M26</f>
        <v>1.38</v>
      </c>
      <c r="W151" s="2205"/>
      <c r="X151" s="2205"/>
      <c r="Y151" s="2206"/>
      <c r="Z151" s="2204">
        <f>'Savings Factors'!Q26</f>
        <v>1.27</v>
      </c>
      <c r="AA151" s="2205"/>
      <c r="AB151" s="2205"/>
      <c r="AC151" s="2206"/>
      <c r="AD151" s="2204">
        <f>'Savings Factors'!U26</f>
        <v>1.36</v>
      </c>
      <c r="AE151" s="2205"/>
      <c r="AF151" s="2205"/>
      <c r="AG151" s="2206"/>
      <c r="AH151" s="293"/>
      <c r="AN151" s="491"/>
      <c r="AO151" s="491"/>
      <c r="AP151" s="491"/>
      <c r="AQ151" s="491"/>
      <c r="AR151" s="491"/>
      <c r="AS151" s="491"/>
      <c r="AT151" s="491"/>
      <c r="AU151" s="491"/>
      <c r="AV151" s="491"/>
      <c r="AW151" s="491"/>
      <c r="AX151" s="491"/>
      <c r="AY151" s="491"/>
      <c r="AZ151" s="491"/>
      <c r="BA151" s="491"/>
      <c r="BB151" s="491"/>
      <c r="BC151" s="491"/>
    </row>
    <row r="152" spans="1:55" ht="69.75" customHeight="1" x14ac:dyDescent="0.25">
      <c r="A152" s="2232" t="s">
        <v>1898</v>
      </c>
      <c r="B152" s="2232"/>
      <c r="C152" s="2232"/>
      <c r="D152" s="2232"/>
      <c r="E152" s="2232"/>
      <c r="F152" s="2232"/>
      <c r="G152" s="2232"/>
      <c r="H152" s="2232"/>
      <c r="I152" s="2232"/>
      <c r="J152" s="2232"/>
      <c r="K152" s="2232"/>
      <c r="L152" s="2232"/>
      <c r="N152" s="2217" t="s">
        <v>226</v>
      </c>
      <c r="O152" s="2218"/>
      <c r="P152" s="2218"/>
      <c r="Q152" s="2219"/>
      <c r="R152" s="2204">
        <f>'Savings Factors'!I27</f>
        <v>1.19</v>
      </c>
      <c r="S152" s="2205"/>
      <c r="T152" s="2205"/>
      <c r="U152" s="2206"/>
      <c r="V152" s="2204">
        <f>'Savings Factors'!M27</f>
        <v>1.1200000000000001</v>
      </c>
      <c r="W152" s="2205"/>
      <c r="X152" s="2205"/>
      <c r="Y152" s="2206"/>
      <c r="Z152" s="2204">
        <f>'Savings Factors'!Q27</f>
        <v>1.2</v>
      </c>
      <c r="AA152" s="2205"/>
      <c r="AB152" s="2205"/>
      <c r="AC152" s="2206"/>
      <c r="AD152" s="2204">
        <f>'Savings Factors'!U27</f>
        <v>1.1299999999999999</v>
      </c>
      <c r="AE152" s="2205"/>
      <c r="AF152" s="2205"/>
      <c r="AG152" s="2206"/>
      <c r="AH152" s="293"/>
      <c r="AN152" s="491"/>
      <c r="AO152" s="491"/>
      <c r="AP152" s="491"/>
      <c r="AQ152" s="491"/>
      <c r="AR152" s="491"/>
      <c r="AS152" s="491"/>
      <c r="AT152" s="491"/>
      <c r="AU152" s="491"/>
      <c r="AV152" s="491"/>
      <c r="AW152" s="491"/>
      <c r="AX152" s="491"/>
      <c r="AY152" s="491"/>
      <c r="AZ152" s="491"/>
      <c r="BA152" s="491"/>
      <c r="BB152" s="491"/>
      <c r="BC152" s="491"/>
    </row>
    <row r="153" spans="1:55" ht="88.5" customHeight="1" x14ac:dyDescent="0.25">
      <c r="A153" s="2232" t="s">
        <v>1899</v>
      </c>
      <c r="B153" s="2232"/>
      <c r="C153" s="2232"/>
      <c r="D153" s="2232"/>
      <c r="E153" s="2232"/>
      <c r="F153" s="2232"/>
      <c r="G153" s="2232"/>
      <c r="H153" s="2232"/>
      <c r="I153" s="2232"/>
      <c r="J153" s="2232"/>
      <c r="K153" s="2232"/>
      <c r="L153" s="2232"/>
      <c r="N153" s="2217" t="s">
        <v>55</v>
      </c>
      <c r="O153" s="2218"/>
      <c r="P153" s="2218"/>
      <c r="Q153" s="2219"/>
      <c r="R153" s="2204">
        <f>'Savings Factors'!I28</f>
        <v>1.08</v>
      </c>
      <c r="S153" s="2205"/>
      <c r="T153" s="2205"/>
      <c r="U153" s="2206"/>
      <c r="V153" s="2204">
        <f>'Savings Factors'!M28</f>
        <v>1.25</v>
      </c>
      <c r="W153" s="2205"/>
      <c r="X153" s="2205"/>
      <c r="Y153" s="2206"/>
      <c r="Z153" s="2204">
        <f>'Savings Factors'!Q28</f>
        <v>1.07</v>
      </c>
      <c r="AA153" s="2205"/>
      <c r="AB153" s="2205"/>
      <c r="AC153" s="2206"/>
      <c r="AD153" s="2204">
        <f>'Savings Factors'!U28</f>
        <v>1.26</v>
      </c>
      <c r="AE153" s="2205"/>
      <c r="AF153" s="2205"/>
      <c r="AG153" s="2206"/>
      <c r="AH153" s="293"/>
      <c r="AN153" s="491"/>
      <c r="AO153" s="491"/>
      <c r="AP153" s="491"/>
      <c r="AQ153" s="491"/>
      <c r="AR153" s="491"/>
      <c r="AS153" s="491"/>
      <c r="AT153" s="491"/>
      <c r="AU153" s="491"/>
      <c r="AV153" s="491"/>
      <c r="AW153" s="491"/>
      <c r="AX153" s="491"/>
      <c r="AY153" s="491"/>
      <c r="AZ153" s="491"/>
      <c r="BA153" s="491"/>
      <c r="BB153" s="491"/>
      <c r="BC153" s="491"/>
    </row>
    <row r="154" spans="1:55" ht="68.25" customHeight="1" x14ac:dyDescent="0.25">
      <c r="A154" s="2232" t="s">
        <v>2034</v>
      </c>
      <c r="B154" s="2232"/>
      <c r="C154" s="2232"/>
      <c r="D154" s="2232"/>
      <c r="E154" s="2232"/>
      <c r="F154" s="2232"/>
      <c r="G154" s="2232"/>
      <c r="H154" s="2232"/>
      <c r="I154" s="2232"/>
      <c r="J154" s="2232"/>
      <c r="K154" s="2232"/>
      <c r="L154" s="2232"/>
      <c r="N154" s="2217" t="s">
        <v>227</v>
      </c>
      <c r="O154" s="2218"/>
      <c r="P154" s="2218"/>
      <c r="Q154" s="2219"/>
      <c r="R154" s="2204">
        <f>'Savings Factors'!I29</f>
        <v>1.22</v>
      </c>
      <c r="S154" s="2205"/>
      <c r="T154" s="2205"/>
      <c r="U154" s="2206"/>
      <c r="V154" s="2204">
        <f>'Savings Factors'!M29</f>
        <v>1.28</v>
      </c>
      <c r="W154" s="2205"/>
      <c r="X154" s="2205"/>
      <c r="Y154" s="2206"/>
      <c r="Z154" s="2204">
        <f>'Savings Factors'!Q29</f>
        <v>1.24</v>
      </c>
      <c r="AA154" s="2205"/>
      <c r="AB154" s="2205"/>
      <c r="AC154" s="2206"/>
      <c r="AD154" s="2204">
        <f>'Savings Factors'!U29</f>
        <v>1.28</v>
      </c>
      <c r="AE154" s="2205"/>
      <c r="AF154" s="2205"/>
      <c r="AG154" s="2206"/>
      <c r="AH154" s="293"/>
      <c r="AN154" s="491"/>
      <c r="AO154" s="491"/>
      <c r="AP154" s="491"/>
      <c r="AQ154" s="491"/>
      <c r="AR154" s="491"/>
      <c r="AS154" s="491"/>
      <c r="AT154" s="491"/>
      <c r="AU154" s="491"/>
      <c r="AV154" s="491"/>
      <c r="AW154" s="491"/>
      <c r="AX154" s="491"/>
      <c r="AY154" s="491"/>
      <c r="AZ154" s="491"/>
      <c r="BA154" s="491"/>
      <c r="BB154" s="491"/>
      <c r="BC154" s="491"/>
    </row>
    <row r="155" spans="1:55" ht="32.25" customHeight="1" x14ac:dyDescent="0.25">
      <c r="A155" s="2232" t="s">
        <v>1913</v>
      </c>
      <c r="B155" s="2232"/>
      <c r="C155" s="2232"/>
      <c r="D155" s="2232"/>
      <c r="E155" s="2232"/>
      <c r="F155" s="2232"/>
      <c r="G155" s="2232"/>
      <c r="H155" s="2232"/>
      <c r="I155" s="2232"/>
      <c r="J155" s="2232"/>
      <c r="K155" s="2232"/>
      <c r="L155" s="2232"/>
      <c r="N155" s="2217" t="s">
        <v>228</v>
      </c>
      <c r="O155" s="2218"/>
      <c r="P155" s="2218"/>
      <c r="Q155" s="2219"/>
      <c r="R155" s="2204">
        <f>'Savings Factors'!I30</f>
        <v>1.39</v>
      </c>
      <c r="S155" s="2205"/>
      <c r="T155" s="2205"/>
      <c r="U155" s="2206"/>
      <c r="V155" s="2204">
        <f>'Savings Factors'!M30</f>
        <v>1.1399999999999999</v>
      </c>
      <c r="W155" s="2205"/>
      <c r="X155" s="2205"/>
      <c r="Y155" s="2206"/>
      <c r="Z155" s="2204">
        <f>'Savings Factors'!Q30</f>
        <v>1.36</v>
      </c>
      <c r="AA155" s="2205"/>
      <c r="AB155" s="2205"/>
      <c r="AC155" s="2206"/>
      <c r="AD155" s="2204">
        <f>'Savings Factors'!U30</f>
        <v>1.1499999999999999</v>
      </c>
      <c r="AE155" s="2205"/>
      <c r="AF155" s="2205"/>
      <c r="AG155" s="2206"/>
      <c r="AH155" s="293"/>
      <c r="AN155" s="491"/>
      <c r="AO155" s="491"/>
      <c r="AP155" s="491"/>
      <c r="AQ155" s="491"/>
      <c r="AR155" s="491"/>
      <c r="AS155" s="491"/>
      <c r="AT155" s="491"/>
      <c r="AU155" s="491"/>
      <c r="AV155" s="491"/>
      <c r="AW155" s="491"/>
      <c r="AX155" s="491"/>
      <c r="AY155" s="491"/>
      <c r="AZ155" s="491"/>
      <c r="BA155" s="491"/>
      <c r="BB155" s="491"/>
      <c r="BC155" s="491"/>
    </row>
    <row r="156" spans="1:55" x14ac:dyDescent="0.25">
      <c r="A156" s="3"/>
      <c r="N156" s="2217" t="s">
        <v>229</v>
      </c>
      <c r="O156" s="2218"/>
      <c r="P156" s="2218"/>
      <c r="Q156" s="2219"/>
      <c r="R156" s="2204">
        <f>'Savings Factors'!I31</f>
        <v>1.1499999999999999</v>
      </c>
      <c r="S156" s="2205"/>
      <c r="T156" s="2205"/>
      <c r="U156" s="2206"/>
      <c r="V156" s="2204">
        <f>'Savings Factors'!M31</f>
        <v>1.01</v>
      </c>
      <c r="W156" s="2205"/>
      <c r="X156" s="2205"/>
      <c r="Y156" s="2206"/>
      <c r="Z156" s="2204">
        <f>'Savings Factors'!Q31</f>
        <v>1.1599999999999999</v>
      </c>
      <c r="AA156" s="2205"/>
      <c r="AB156" s="2205"/>
      <c r="AC156" s="2206"/>
      <c r="AD156" s="2204">
        <f>'Savings Factors'!U31</f>
        <v>1.01</v>
      </c>
      <c r="AE156" s="2205"/>
      <c r="AF156" s="2205"/>
      <c r="AG156" s="2206"/>
      <c r="AH156" s="293"/>
      <c r="AN156" s="491"/>
      <c r="AO156" s="491"/>
      <c r="AP156" s="491"/>
      <c r="AQ156" s="491"/>
      <c r="AR156" s="491"/>
      <c r="AS156" s="491"/>
      <c r="AT156" s="491"/>
      <c r="AU156" s="491"/>
      <c r="AV156" s="491"/>
      <c r="AW156" s="491"/>
      <c r="AX156" s="491"/>
      <c r="AY156" s="491"/>
      <c r="AZ156" s="491"/>
      <c r="BA156" s="491"/>
      <c r="BB156" s="491"/>
      <c r="BC156" s="491"/>
    </row>
    <row r="157" spans="1:55" x14ac:dyDescent="0.25">
      <c r="A157" s="3"/>
      <c r="N157" s="2230" t="s">
        <v>1047</v>
      </c>
      <c r="O157" s="2230"/>
      <c r="P157" s="2230"/>
      <c r="Q157" s="2230"/>
      <c r="R157" s="2230"/>
      <c r="S157" s="2230"/>
      <c r="T157" s="2230"/>
      <c r="U157" s="2230"/>
      <c r="V157" s="2230"/>
      <c r="W157" s="2230"/>
      <c r="X157" s="2230"/>
      <c r="Y157" s="2230"/>
      <c r="Z157" s="2230"/>
      <c r="AA157" s="2230"/>
      <c r="AB157" s="2230"/>
      <c r="AC157" s="2230"/>
      <c r="AD157" s="2230"/>
      <c r="AE157" s="2230"/>
      <c r="AF157" s="2230"/>
      <c r="AG157" s="2230"/>
      <c r="AH157" s="293"/>
    </row>
    <row r="158" spans="1:55" x14ac:dyDescent="0.25">
      <c r="A158" s="3"/>
      <c r="N158" s="2231" t="s">
        <v>1912</v>
      </c>
      <c r="O158" s="2231"/>
      <c r="P158" s="2231"/>
      <c r="Q158" s="2231"/>
      <c r="R158" s="2231"/>
      <c r="S158" s="2231"/>
      <c r="T158" s="2231"/>
      <c r="U158" s="2231"/>
      <c r="V158" s="2231"/>
      <c r="W158" s="2231"/>
      <c r="X158" s="2231"/>
      <c r="Y158" s="2231"/>
      <c r="Z158" s="2231"/>
      <c r="AA158" s="2231"/>
      <c r="AB158" s="2231"/>
      <c r="AC158" s="2231"/>
      <c r="AD158" s="2231"/>
      <c r="AE158" s="2231"/>
      <c r="AF158" s="2231"/>
      <c r="AG158" s="2231"/>
      <c r="AH158" s="293"/>
    </row>
    <row r="159" spans="1:55" x14ac:dyDescent="0.25">
      <c r="A159" s="3"/>
      <c r="N159" s="248"/>
      <c r="O159" s="2229" t="s">
        <v>1911</v>
      </c>
      <c r="P159" s="2229"/>
      <c r="Q159" s="2229"/>
      <c r="R159" s="2229"/>
      <c r="S159" s="2229"/>
      <c r="T159" s="2229"/>
      <c r="U159" s="2229"/>
      <c r="V159" s="2229"/>
      <c r="W159" s="2229"/>
      <c r="X159" s="2229"/>
      <c r="Y159" s="2229"/>
      <c r="Z159" s="2229"/>
      <c r="AA159" s="2229"/>
      <c r="AB159" s="2229"/>
      <c r="AC159" s="2229"/>
      <c r="AD159" s="2229"/>
      <c r="AE159" s="2229"/>
      <c r="AF159" s="2229"/>
      <c r="AG159" s="2229"/>
      <c r="AH159" s="293"/>
    </row>
    <row r="160" spans="1:55" ht="22.5" customHeight="1" x14ac:dyDescent="0.25">
      <c r="A160" s="3"/>
      <c r="N160" s="248"/>
      <c r="O160" s="2229" t="s">
        <v>2415</v>
      </c>
      <c r="P160" s="2229"/>
      <c r="Q160" s="2229"/>
      <c r="R160" s="2229"/>
      <c r="S160" s="2229"/>
      <c r="T160" s="2229"/>
      <c r="U160" s="2229"/>
      <c r="V160" s="2229"/>
      <c r="W160" s="2229"/>
      <c r="X160" s="2229"/>
      <c r="Y160" s="2229"/>
      <c r="Z160" s="2229"/>
      <c r="AA160" s="2229"/>
      <c r="AB160" s="2229"/>
      <c r="AC160" s="2229"/>
      <c r="AD160" s="2229"/>
      <c r="AE160" s="2229"/>
      <c r="AF160" s="2229"/>
      <c r="AG160" s="2229"/>
      <c r="AH160" s="293"/>
    </row>
    <row r="161" spans="1:45" ht="26.1" customHeight="1" x14ac:dyDescent="0.25">
      <c r="A161" s="3"/>
      <c r="N161" s="248"/>
      <c r="O161" s="2229" t="s">
        <v>2937</v>
      </c>
      <c r="P161" s="2229"/>
      <c r="Q161" s="2229"/>
      <c r="R161" s="2229"/>
      <c r="S161" s="2229"/>
      <c r="T161" s="2229"/>
      <c r="U161" s="2229"/>
      <c r="V161" s="2229"/>
      <c r="W161" s="2229"/>
      <c r="X161" s="2229"/>
      <c r="Y161" s="2229"/>
      <c r="Z161" s="2229"/>
      <c r="AA161" s="2229"/>
      <c r="AB161" s="2229"/>
      <c r="AC161" s="2229"/>
      <c r="AD161" s="2229"/>
      <c r="AE161" s="2229"/>
      <c r="AF161" s="2229"/>
      <c r="AG161" s="2229"/>
      <c r="AH161" s="293"/>
    </row>
    <row r="162" spans="1:45" ht="51" customHeight="1" x14ac:dyDescent="0.25">
      <c r="A162" s="3"/>
      <c r="N162" s="248"/>
      <c r="O162" s="2229" t="s">
        <v>2938</v>
      </c>
      <c r="P162" s="2229"/>
      <c r="Q162" s="2229"/>
      <c r="R162" s="2229"/>
      <c r="S162" s="2229"/>
      <c r="T162" s="2229"/>
      <c r="U162" s="2229"/>
      <c r="V162" s="2229"/>
      <c r="W162" s="2229"/>
      <c r="X162" s="2229"/>
      <c r="Y162" s="2229"/>
      <c r="Z162" s="2229"/>
      <c r="AA162" s="2229"/>
      <c r="AB162" s="2229"/>
      <c r="AC162" s="2229"/>
      <c r="AD162" s="2229"/>
      <c r="AE162" s="2229"/>
      <c r="AF162" s="2229"/>
      <c r="AG162" s="2229"/>
      <c r="AH162" s="293"/>
    </row>
    <row r="163" spans="1:45" ht="24.75" customHeight="1" x14ac:dyDescent="0.25">
      <c r="A163" s="3"/>
      <c r="N163" s="2229" t="s">
        <v>2698</v>
      </c>
      <c r="O163" s="2229"/>
      <c r="P163" s="2229"/>
      <c r="Q163" s="2229"/>
      <c r="R163" s="2229"/>
      <c r="S163" s="2229"/>
      <c r="T163" s="2229"/>
      <c r="U163" s="2229"/>
      <c r="V163" s="2229"/>
      <c r="W163" s="2229"/>
      <c r="X163" s="2229"/>
      <c r="Y163" s="2229"/>
      <c r="Z163" s="2229"/>
      <c r="AA163" s="2229"/>
      <c r="AB163" s="2229"/>
      <c r="AC163" s="2229"/>
      <c r="AD163" s="2229"/>
      <c r="AE163" s="2229"/>
      <c r="AF163" s="2229"/>
      <c r="AG163" s="2229"/>
      <c r="AH163" s="293"/>
    </row>
    <row r="164" spans="1:45" x14ac:dyDescent="0.25">
      <c r="A164" s="401">
        <v>1</v>
      </c>
      <c r="B164" s="401">
        <v>2</v>
      </c>
      <c r="C164" s="401">
        <v>3</v>
      </c>
      <c r="D164" s="401">
        <v>4</v>
      </c>
      <c r="E164" s="401">
        <v>5</v>
      </c>
      <c r="F164" s="401">
        <v>6</v>
      </c>
      <c r="G164" s="401">
        <v>7</v>
      </c>
      <c r="H164" s="401">
        <v>8</v>
      </c>
      <c r="I164" s="401">
        <v>9</v>
      </c>
      <c r="J164" s="401">
        <v>10</v>
      </c>
      <c r="K164" s="401">
        <v>11</v>
      </c>
      <c r="L164" s="401">
        <v>12</v>
      </c>
      <c r="M164" s="401">
        <v>13</v>
      </c>
      <c r="N164" s="401">
        <v>14</v>
      </c>
      <c r="O164" s="401">
        <v>15</v>
      </c>
      <c r="P164" s="401">
        <v>16</v>
      </c>
      <c r="Q164" s="401">
        <v>17</v>
      </c>
      <c r="U164" s="3"/>
      <c r="V164" s="3"/>
      <c r="W164" s="3"/>
      <c r="X164" s="3"/>
      <c r="Y164" s="3"/>
      <c r="Z164" s="3"/>
      <c r="AA164" s="3"/>
      <c r="AB164" s="3"/>
      <c r="AC164" s="3"/>
      <c r="AD164" s="3"/>
      <c r="AE164" s="3"/>
      <c r="AF164" s="3"/>
      <c r="AG164" s="3"/>
      <c r="AH164" s="3"/>
      <c r="AI164" s="3"/>
      <c r="AJ164" s="3"/>
      <c r="AK164" s="3"/>
      <c r="AL164" s="3"/>
    </row>
    <row r="165" spans="1:45" ht="18" x14ac:dyDescent="0.25">
      <c r="A165" s="190" t="s">
        <v>1917</v>
      </c>
      <c r="AH165" s="293"/>
    </row>
    <row r="166" spans="1:45" ht="64.5" customHeight="1" x14ac:dyDescent="0.25">
      <c r="A166" s="2349" t="s">
        <v>54</v>
      </c>
      <c r="B166" s="2349"/>
      <c r="C166" s="2349"/>
      <c r="D166" s="2349"/>
      <c r="E166" s="2249" t="s">
        <v>1900</v>
      </c>
      <c r="F166" s="2250"/>
      <c r="G166" s="2251"/>
      <c r="H166" s="2249" t="s">
        <v>1901</v>
      </c>
      <c r="I166" s="2250"/>
      <c r="J166" s="2250"/>
      <c r="K166" s="2250"/>
      <c r="L166" s="2249" t="s">
        <v>1902</v>
      </c>
      <c r="M166" s="2250"/>
      <c r="N166" s="2251"/>
      <c r="O166" s="2249" t="s">
        <v>1923</v>
      </c>
      <c r="P166" s="2250"/>
      <c r="Q166" s="2251"/>
      <c r="AS166" s="293"/>
    </row>
    <row r="167" spans="1:45" ht="30.6" customHeight="1" x14ac:dyDescent="0.25">
      <c r="A167" s="2350" t="s">
        <v>1984</v>
      </c>
      <c r="B167" s="2350"/>
      <c r="C167" s="2350"/>
      <c r="D167" s="2350"/>
      <c r="E167" s="2345">
        <f>'EFLH &amp; CF'!I13</f>
        <v>8760</v>
      </c>
      <c r="F167" s="2345"/>
      <c r="G167" s="2345"/>
      <c r="H167" s="2341">
        <f>'EFLH &amp; CF'!N13</f>
        <v>1831</v>
      </c>
      <c r="I167" s="2342"/>
      <c r="J167" s="2342"/>
      <c r="K167" s="2343"/>
      <c r="L167" s="2345">
        <f>'EFLH &amp; CF'!S13</f>
        <v>3047</v>
      </c>
      <c r="M167" s="2345"/>
      <c r="N167" s="2345"/>
      <c r="O167" s="2345">
        <f>'EFLH &amp; CF'!X13</f>
        <v>1963</v>
      </c>
      <c r="P167" s="2345"/>
      <c r="Q167" s="2345"/>
      <c r="Y167" s="483"/>
      <c r="Z167" s="483"/>
      <c r="AA167" s="483"/>
      <c r="AB167" s="483"/>
      <c r="AC167" s="483"/>
      <c r="AD167" s="483"/>
      <c r="AE167" s="483"/>
      <c r="AF167" s="483"/>
      <c r="AG167" s="483"/>
      <c r="AH167" s="483"/>
      <c r="AI167" s="483"/>
      <c r="AJ167" s="483"/>
      <c r="AK167" s="483"/>
      <c r="AS167" s="293"/>
    </row>
    <row r="168" spans="1:45" x14ac:dyDescent="0.25">
      <c r="A168" s="2344" t="s">
        <v>221</v>
      </c>
      <c r="B168" s="2344"/>
      <c r="C168" s="2344"/>
      <c r="D168" s="2344"/>
      <c r="E168" s="2345">
        <f>'EFLH &amp; CF'!I14</f>
        <v>8760</v>
      </c>
      <c r="F168" s="2345"/>
      <c r="G168" s="2345"/>
      <c r="H168" s="2341">
        <f>'EFLH &amp; CF'!N14</f>
        <v>4710</v>
      </c>
      <c r="I168" s="2342"/>
      <c r="J168" s="2342"/>
      <c r="K168" s="2343"/>
      <c r="L168" s="2345">
        <f>'EFLH &amp; CF'!S14</f>
        <v>4820</v>
      </c>
      <c r="M168" s="2345"/>
      <c r="N168" s="2345"/>
      <c r="O168" s="2345">
        <f>'EFLH &amp; CF'!X14</f>
        <v>4700</v>
      </c>
      <c r="P168" s="2345"/>
      <c r="Q168" s="2345"/>
      <c r="Y168" s="483"/>
      <c r="Z168" s="483"/>
      <c r="AA168" s="483"/>
      <c r="AB168" s="483"/>
      <c r="AC168" s="483"/>
      <c r="AD168" s="483"/>
      <c r="AE168" s="483"/>
      <c r="AF168" s="483"/>
      <c r="AG168" s="483"/>
      <c r="AH168" s="483"/>
      <c r="AI168" s="483"/>
      <c r="AJ168" s="483"/>
      <c r="AK168" s="483"/>
      <c r="AS168" s="293"/>
    </row>
    <row r="169" spans="1:45" x14ac:dyDescent="0.25">
      <c r="A169" s="2344" t="s">
        <v>222</v>
      </c>
      <c r="B169" s="2344"/>
      <c r="C169" s="2344"/>
      <c r="D169" s="2344"/>
      <c r="E169" s="2345">
        <f>'EFLH &amp; CF'!I15</f>
        <v>8760</v>
      </c>
      <c r="F169" s="2345"/>
      <c r="G169" s="2345"/>
      <c r="H169" s="2341">
        <f>'EFLH &amp; CF'!N15</f>
        <v>1498</v>
      </c>
      <c r="I169" s="2342"/>
      <c r="J169" s="2342"/>
      <c r="K169" s="2343"/>
      <c r="L169" s="2345">
        <f>'EFLH &amp; CF'!S15</f>
        <v>2176</v>
      </c>
      <c r="M169" s="2345"/>
      <c r="N169" s="2345"/>
      <c r="O169" s="2345">
        <f>'EFLH &amp; CF'!X15</f>
        <v>1702</v>
      </c>
      <c r="P169" s="2345"/>
      <c r="Q169" s="2345"/>
      <c r="Y169" s="483"/>
      <c r="Z169" s="483"/>
      <c r="AA169" s="483"/>
      <c r="AB169" s="483"/>
      <c r="AC169" s="483"/>
      <c r="AD169" s="483"/>
      <c r="AE169" s="483"/>
      <c r="AF169" s="483"/>
      <c r="AG169" s="483"/>
      <c r="AH169" s="483"/>
      <c r="AI169" s="483"/>
      <c r="AJ169" s="483"/>
      <c r="AK169" s="483"/>
      <c r="AS169" s="293"/>
    </row>
    <row r="170" spans="1:45" x14ac:dyDescent="0.25">
      <c r="A170" s="2344" t="s">
        <v>223</v>
      </c>
      <c r="B170" s="2344"/>
      <c r="C170" s="2344"/>
      <c r="D170" s="2344"/>
      <c r="E170" s="2345">
        <f>'EFLH &amp; CF'!I16</f>
        <v>8760</v>
      </c>
      <c r="F170" s="2345"/>
      <c r="G170" s="2345"/>
      <c r="H170" s="2341">
        <f>'EFLH &amp; CF'!N16</f>
        <v>4900</v>
      </c>
      <c r="I170" s="2342"/>
      <c r="J170" s="2342"/>
      <c r="K170" s="2343"/>
      <c r="L170" s="2345">
        <f>'EFLH &amp; CF'!S16</f>
        <v>5450</v>
      </c>
      <c r="M170" s="2345"/>
      <c r="N170" s="2345"/>
      <c r="O170" s="2345">
        <f>'EFLH &amp; CF'!X16</f>
        <v>4770</v>
      </c>
      <c r="P170" s="2345"/>
      <c r="Q170" s="2345"/>
      <c r="Y170" s="483"/>
      <c r="Z170" s="483"/>
      <c r="AA170" s="483"/>
      <c r="AB170" s="483"/>
      <c r="AC170" s="483"/>
      <c r="AD170" s="483"/>
      <c r="AE170" s="483"/>
      <c r="AF170" s="483"/>
      <c r="AG170" s="483"/>
      <c r="AH170" s="483"/>
      <c r="AI170" s="483"/>
      <c r="AJ170" s="483"/>
      <c r="AK170" s="483"/>
      <c r="AS170" s="293"/>
    </row>
    <row r="171" spans="1:45" x14ac:dyDescent="0.25">
      <c r="A171" s="2344" t="s">
        <v>224</v>
      </c>
      <c r="B171" s="2344"/>
      <c r="C171" s="2344"/>
      <c r="D171" s="2344"/>
      <c r="E171" s="2345">
        <f>'EFLH &amp; CF'!I17</f>
        <v>8760</v>
      </c>
      <c r="F171" s="2345"/>
      <c r="G171" s="2345"/>
      <c r="H171" s="2341">
        <f>'EFLH &amp; CF'!N17</f>
        <v>5370</v>
      </c>
      <c r="I171" s="2342"/>
      <c r="J171" s="2342"/>
      <c r="K171" s="2343"/>
      <c r="L171" s="2345">
        <f>'EFLH &amp; CF'!S17</f>
        <v>5870</v>
      </c>
      <c r="M171" s="2345"/>
      <c r="N171" s="2345"/>
      <c r="O171" s="2345">
        <f>'EFLH &amp; CF'!X17</f>
        <v>5100</v>
      </c>
      <c r="P171" s="2345"/>
      <c r="Q171" s="2345"/>
      <c r="Y171" s="483"/>
      <c r="Z171" s="483"/>
      <c r="AA171" s="483"/>
      <c r="AB171" s="483"/>
      <c r="AC171" s="483"/>
      <c r="AD171" s="483"/>
      <c r="AE171" s="483"/>
      <c r="AF171" s="483"/>
      <c r="AG171" s="483"/>
      <c r="AH171" s="483"/>
      <c r="AI171" s="483"/>
      <c r="AJ171" s="483"/>
      <c r="AK171" s="483"/>
      <c r="AS171" s="293"/>
    </row>
    <row r="172" spans="1:45" x14ac:dyDescent="0.25">
      <c r="A172" s="2344" t="s">
        <v>225</v>
      </c>
      <c r="B172" s="2344"/>
      <c r="C172" s="2344"/>
      <c r="D172" s="2344"/>
      <c r="E172" s="2345">
        <f>'EFLH &amp; CF'!I18</f>
        <v>8760</v>
      </c>
      <c r="F172" s="2345"/>
      <c r="G172" s="2345"/>
      <c r="H172" s="2341">
        <f>'EFLH &amp; CF'!N18</f>
        <v>1284</v>
      </c>
      <c r="I172" s="2342"/>
      <c r="J172" s="2342"/>
      <c r="K172" s="2343"/>
      <c r="L172" s="2345">
        <f>'EFLH &amp; CF'!S18</f>
        <v>4775</v>
      </c>
      <c r="M172" s="2345"/>
      <c r="N172" s="2345"/>
      <c r="O172" s="2345">
        <f>'EFLH &amp; CF'!X18</f>
        <v>1130</v>
      </c>
      <c r="P172" s="2345"/>
      <c r="Q172" s="2345"/>
      <c r="Y172" s="483"/>
      <c r="Z172" s="483"/>
      <c r="AA172" s="483"/>
      <c r="AB172" s="483"/>
      <c r="AC172" s="483"/>
      <c r="AD172" s="483"/>
      <c r="AE172" s="483"/>
      <c r="AF172" s="483"/>
      <c r="AG172" s="483"/>
      <c r="AH172" s="483"/>
      <c r="AI172" s="483"/>
      <c r="AJ172" s="483"/>
      <c r="AK172" s="483"/>
      <c r="AS172" s="293"/>
    </row>
    <row r="173" spans="1:45" x14ac:dyDescent="0.25">
      <c r="A173" s="2344" t="s">
        <v>226</v>
      </c>
      <c r="B173" s="2344"/>
      <c r="C173" s="2344"/>
      <c r="D173" s="2344"/>
      <c r="E173" s="2345">
        <f>'EFLH &amp; CF'!I19</f>
        <v>8760</v>
      </c>
      <c r="F173" s="2345"/>
      <c r="G173" s="2345"/>
      <c r="H173" s="2341">
        <f>'EFLH &amp; CF'!N19</f>
        <v>2145</v>
      </c>
      <c r="I173" s="2342"/>
      <c r="J173" s="2342"/>
      <c r="K173" s="2343"/>
      <c r="L173" s="2345">
        <f>'EFLH &amp; CF'!S19</f>
        <v>2860</v>
      </c>
      <c r="M173" s="2345"/>
      <c r="N173" s="2345"/>
      <c r="O173" s="2345">
        <f>'EFLH &amp; CF'!X19</f>
        <v>2305</v>
      </c>
      <c r="P173" s="2345"/>
      <c r="Q173" s="2345"/>
      <c r="Y173" s="483"/>
      <c r="Z173" s="483"/>
      <c r="AA173" s="483"/>
      <c r="AB173" s="483"/>
      <c r="AC173" s="483"/>
      <c r="AD173" s="483"/>
      <c r="AE173" s="483"/>
      <c r="AF173" s="483"/>
      <c r="AG173" s="483"/>
      <c r="AH173" s="483"/>
      <c r="AI173" s="483"/>
      <c r="AJ173" s="483"/>
      <c r="AK173" s="483"/>
      <c r="AS173" s="293"/>
    </row>
    <row r="174" spans="1:45" x14ac:dyDescent="0.25">
      <c r="A174" s="2344" t="s">
        <v>55</v>
      </c>
      <c r="B174" s="2344"/>
      <c r="C174" s="2344"/>
      <c r="D174" s="2344"/>
      <c r="E174" s="2345">
        <f>'EFLH &amp; CF'!I20</f>
        <v>8760</v>
      </c>
      <c r="F174" s="2345"/>
      <c r="G174" s="2345"/>
      <c r="H174" s="2341">
        <f>'EFLH &amp; CF'!N20</f>
        <v>1780</v>
      </c>
      <c r="I174" s="2342"/>
      <c r="J174" s="2342"/>
      <c r="K174" s="2343"/>
      <c r="L174" s="2345">
        <f>'EFLH &amp; CF'!S20</f>
        <v>2480</v>
      </c>
      <c r="M174" s="2345"/>
      <c r="N174" s="2345"/>
      <c r="O174" s="2345">
        <f>'EFLH &amp; CF'!X20</f>
        <v>1980</v>
      </c>
      <c r="P174" s="2345"/>
      <c r="Q174" s="2345"/>
      <c r="Y174" s="483"/>
      <c r="Z174" s="483"/>
      <c r="AA174" s="483"/>
      <c r="AB174" s="483"/>
      <c r="AC174" s="483"/>
      <c r="AD174" s="483"/>
      <c r="AE174" s="483"/>
      <c r="AF174" s="483"/>
      <c r="AG174" s="483"/>
      <c r="AH174" s="483"/>
      <c r="AI174" s="483"/>
      <c r="AJ174" s="483"/>
      <c r="AK174" s="483"/>
      <c r="AS174" s="293"/>
    </row>
    <row r="175" spans="1:45" x14ac:dyDescent="0.25">
      <c r="A175" s="2344" t="s">
        <v>227</v>
      </c>
      <c r="B175" s="2344"/>
      <c r="C175" s="2344"/>
      <c r="D175" s="2344"/>
      <c r="E175" s="2345">
        <f>'EFLH &amp; CF'!I21</f>
        <v>8760</v>
      </c>
      <c r="F175" s="2345"/>
      <c r="G175" s="2345"/>
      <c r="H175" s="2341">
        <f>'EFLH &amp; CF'!N21</f>
        <v>3700</v>
      </c>
      <c r="I175" s="2342"/>
      <c r="J175" s="2342"/>
      <c r="K175" s="2343"/>
      <c r="L175" s="2345">
        <f>'EFLH &amp; CF'!S21</f>
        <v>3610</v>
      </c>
      <c r="M175" s="2345"/>
      <c r="N175" s="2345"/>
      <c r="O175" s="2345">
        <f>'EFLH &amp; CF'!X21</f>
        <v>3500</v>
      </c>
      <c r="P175" s="2345"/>
      <c r="Q175" s="2345"/>
      <c r="Y175" s="483"/>
      <c r="Z175" s="483"/>
      <c r="AA175" s="483"/>
      <c r="AB175" s="483"/>
      <c r="AC175" s="483"/>
      <c r="AD175" s="483"/>
      <c r="AE175" s="483"/>
      <c r="AF175" s="483"/>
      <c r="AG175" s="483"/>
      <c r="AH175" s="483"/>
      <c r="AI175" s="483"/>
      <c r="AJ175" s="483"/>
      <c r="AK175" s="483"/>
      <c r="AS175" s="293"/>
    </row>
    <row r="176" spans="1:45" x14ac:dyDescent="0.25">
      <c r="A176" s="2344" t="s">
        <v>228</v>
      </c>
      <c r="B176" s="2344"/>
      <c r="C176" s="2344"/>
      <c r="D176" s="2344"/>
      <c r="E176" s="2345">
        <f>'EFLH &amp; CF'!I22</f>
        <v>8760</v>
      </c>
      <c r="F176" s="2345"/>
      <c r="G176" s="2345"/>
      <c r="H176" s="2341">
        <f>'EFLH &amp; CF'!N22</f>
        <v>2363</v>
      </c>
      <c r="I176" s="2342"/>
      <c r="J176" s="2342"/>
      <c r="K176" s="2343"/>
      <c r="L176" s="2345">
        <f>'EFLH &amp; CF'!S22</f>
        <v>3983</v>
      </c>
      <c r="M176" s="2345"/>
      <c r="N176" s="2345"/>
      <c r="O176" s="2345">
        <f>'EFLH &amp; CF'!X22</f>
        <v>3690</v>
      </c>
      <c r="P176" s="2345"/>
      <c r="Q176" s="2345"/>
      <c r="Y176" s="483"/>
      <c r="Z176" s="483"/>
      <c r="AA176" s="483"/>
      <c r="AB176" s="483"/>
      <c r="AC176" s="483"/>
      <c r="AD176" s="483"/>
      <c r="AE176" s="483"/>
      <c r="AF176" s="483"/>
      <c r="AG176" s="483"/>
      <c r="AH176" s="483"/>
      <c r="AI176" s="483"/>
      <c r="AJ176" s="483"/>
      <c r="AK176" s="483"/>
      <c r="AS176" s="293"/>
    </row>
    <row r="177" spans="1:63" x14ac:dyDescent="0.25">
      <c r="A177" s="2344" t="s">
        <v>229</v>
      </c>
      <c r="B177" s="2344"/>
      <c r="C177" s="2344"/>
      <c r="D177" s="2344"/>
      <c r="E177" s="2345">
        <f>'EFLH &amp; CF'!I23</f>
        <v>8760</v>
      </c>
      <c r="F177" s="2345"/>
      <c r="G177" s="2345"/>
      <c r="H177" s="2341">
        <f>'EFLH &amp; CF'!N23</f>
        <v>1690</v>
      </c>
      <c r="I177" s="2342"/>
      <c r="J177" s="2342"/>
      <c r="K177" s="2343"/>
      <c r="L177" s="2345">
        <f>'EFLH &amp; CF'!S23</f>
        <v>2245</v>
      </c>
      <c r="M177" s="2345"/>
      <c r="N177" s="2345"/>
      <c r="O177" s="2345">
        <f>'EFLH &amp; CF'!X23</f>
        <v>1970</v>
      </c>
      <c r="P177" s="2345"/>
      <c r="Q177" s="2345"/>
      <c r="Y177" s="483"/>
      <c r="Z177" s="483"/>
      <c r="AA177" s="483"/>
      <c r="AB177" s="483"/>
      <c r="AC177" s="483"/>
      <c r="AD177" s="483"/>
      <c r="AE177" s="483"/>
      <c r="AF177" s="483"/>
      <c r="AG177" s="483"/>
      <c r="AH177" s="483"/>
      <c r="AI177" s="483"/>
      <c r="AJ177" s="483"/>
      <c r="AK177" s="483"/>
      <c r="AS177" s="293"/>
    </row>
    <row r="178" spans="1:63" ht="36.75" customHeight="1" x14ac:dyDescent="0.25">
      <c r="A178" s="2358" t="s">
        <v>1921</v>
      </c>
      <c r="B178" s="2358"/>
      <c r="C178" s="2358"/>
      <c r="D178" s="2358"/>
      <c r="E178" s="2358"/>
      <c r="F178" s="2358"/>
      <c r="G178" s="2358"/>
      <c r="H178" s="2358"/>
      <c r="I178" s="2358"/>
      <c r="J178" s="2358"/>
      <c r="K178" s="2358"/>
      <c r="L178" s="2358"/>
      <c r="M178" s="2358"/>
      <c r="N178" s="2358"/>
      <c r="O178" s="2358"/>
      <c r="P178" s="2358"/>
      <c r="Q178" s="2358"/>
      <c r="AR178" s="293"/>
    </row>
    <row r="179" spans="1:63" x14ac:dyDescent="0.25">
      <c r="A179" s="190"/>
      <c r="AH179" s="293"/>
    </row>
    <row r="180" spans="1:63" ht="18" x14ac:dyDescent="0.25">
      <c r="A180" s="190" t="s">
        <v>1928</v>
      </c>
      <c r="AH180" s="293"/>
    </row>
    <row r="181" spans="1:63" ht="53.45" customHeight="1" x14ac:dyDescent="0.25">
      <c r="A181" s="2252" t="s">
        <v>54</v>
      </c>
      <c r="B181" s="2253"/>
      <c r="C181" s="2253"/>
      <c r="D181" s="2254"/>
      <c r="E181" s="2352" t="s">
        <v>1920</v>
      </c>
      <c r="F181" s="2353"/>
      <c r="G181" s="2353"/>
      <c r="H181" s="2354"/>
      <c r="I181" s="2352" t="s">
        <v>1918</v>
      </c>
      <c r="J181" s="2353"/>
      <c r="K181" s="2353"/>
      <c r="L181" s="2354"/>
      <c r="M181" s="2352" t="s">
        <v>273</v>
      </c>
      <c r="N181" s="2353"/>
      <c r="O181" s="2353"/>
      <c r="P181" s="2354"/>
      <c r="Q181" s="2352" t="s">
        <v>1919</v>
      </c>
      <c r="R181" s="2353"/>
      <c r="S181" s="2353"/>
      <c r="T181" s="2354"/>
      <c r="Y181" s="192"/>
      <c r="AN181" s="293"/>
      <c r="AT181" s="843"/>
      <c r="AU181" s="843"/>
      <c r="AV181" s="843"/>
      <c r="AW181" s="843"/>
      <c r="AX181" s="843"/>
      <c r="AY181" s="843"/>
      <c r="AZ181" s="843"/>
      <c r="BA181" s="843"/>
      <c r="BB181" s="843"/>
      <c r="BC181" s="843"/>
      <c r="BD181" s="843"/>
      <c r="BE181" s="843"/>
      <c r="BF181" s="843"/>
      <c r="BG181" s="843"/>
      <c r="BH181" s="843"/>
      <c r="BI181" s="843"/>
      <c r="BJ181" s="843"/>
      <c r="BK181" s="843"/>
    </row>
    <row r="182" spans="1:63" x14ac:dyDescent="0.25">
      <c r="A182" s="2255"/>
      <c r="B182" s="2256"/>
      <c r="C182" s="2256"/>
      <c r="D182" s="2257"/>
      <c r="E182" s="2355"/>
      <c r="F182" s="2356"/>
      <c r="G182" s="2356"/>
      <c r="H182" s="2357"/>
      <c r="I182" s="2355"/>
      <c r="J182" s="2356"/>
      <c r="K182" s="2356"/>
      <c r="L182" s="2357"/>
      <c r="M182" s="2355"/>
      <c r="N182" s="2356"/>
      <c r="O182" s="2356"/>
      <c r="P182" s="2357"/>
      <c r="Q182" s="2355"/>
      <c r="R182" s="2356"/>
      <c r="S182" s="2356"/>
      <c r="T182" s="2357"/>
      <c r="Y182" s="982"/>
      <c r="AN182" s="293"/>
      <c r="AT182" s="843"/>
      <c r="AU182" s="843"/>
      <c r="AV182" s="843"/>
      <c r="AW182" s="843"/>
      <c r="AX182" s="843"/>
      <c r="AY182" s="843"/>
      <c r="AZ182" s="843"/>
      <c r="BA182" s="843"/>
      <c r="BB182" s="843"/>
      <c r="BC182" s="843"/>
      <c r="BD182" s="843"/>
      <c r="BE182" s="843"/>
      <c r="BF182" s="843"/>
      <c r="BG182" s="843"/>
      <c r="BH182" s="843"/>
      <c r="BI182" s="843"/>
      <c r="BJ182" s="843"/>
      <c r="BK182" s="843"/>
    </row>
    <row r="183" spans="1:63" ht="30.95" customHeight="1" x14ac:dyDescent="0.25">
      <c r="A183" s="2350" t="s">
        <v>1984</v>
      </c>
      <c r="B183" s="2350"/>
      <c r="C183" s="2350"/>
      <c r="D183" s="2350"/>
      <c r="E183" s="2351">
        <v>1</v>
      </c>
      <c r="F183" s="2351"/>
      <c r="G183" s="2351"/>
      <c r="H183" s="2351"/>
      <c r="I183" s="2351">
        <v>12</v>
      </c>
      <c r="J183" s="2351"/>
      <c r="K183" s="2351"/>
      <c r="L183" s="2351"/>
      <c r="M183" s="2351">
        <v>5</v>
      </c>
      <c r="N183" s="2351"/>
      <c r="O183" s="2351"/>
      <c r="P183" s="2351"/>
      <c r="Q183" s="2351">
        <v>23</v>
      </c>
      <c r="R183" s="2351"/>
      <c r="S183" s="2351"/>
      <c r="T183" s="2351"/>
      <c r="AN183" s="293"/>
      <c r="AT183" s="843"/>
      <c r="AU183" s="843"/>
      <c r="AV183" s="843"/>
      <c r="AW183" s="843"/>
      <c r="AX183" s="843"/>
      <c r="AY183" s="843"/>
      <c r="AZ183" s="843"/>
      <c r="BA183" s="843"/>
      <c r="BB183" s="843"/>
      <c r="BC183" s="843"/>
      <c r="BD183" s="843"/>
      <c r="BE183" s="843"/>
      <c r="BF183" s="843"/>
      <c r="BG183" s="843"/>
      <c r="BH183" s="843"/>
      <c r="BI183" s="843"/>
      <c r="BJ183" s="843"/>
      <c r="BK183" s="843"/>
    </row>
    <row r="184" spans="1:63" ht="14.45" customHeight="1" x14ac:dyDescent="0.25">
      <c r="A184" s="2350" t="s">
        <v>221</v>
      </c>
      <c r="B184" s="2350"/>
      <c r="C184" s="2350"/>
      <c r="D184" s="2350"/>
      <c r="E184" s="2351">
        <v>1</v>
      </c>
      <c r="F184" s="2351"/>
      <c r="G184" s="2351"/>
      <c r="H184" s="2351"/>
      <c r="I184" s="2351">
        <v>5</v>
      </c>
      <c r="J184" s="2351"/>
      <c r="K184" s="2351"/>
      <c r="L184" s="2351"/>
      <c r="M184" s="2351">
        <v>2</v>
      </c>
      <c r="N184" s="2351"/>
      <c r="O184" s="2351"/>
      <c r="P184" s="2351"/>
      <c r="Q184" s="2351">
        <v>15</v>
      </c>
      <c r="R184" s="2351"/>
      <c r="S184" s="2351"/>
      <c r="T184" s="2351"/>
      <c r="AN184" s="293"/>
      <c r="AT184" s="843"/>
      <c r="AU184" s="843"/>
      <c r="AV184" s="843"/>
      <c r="AW184" s="843"/>
      <c r="AX184" s="843"/>
      <c r="AY184" s="843"/>
      <c r="AZ184" s="843"/>
      <c r="BA184" s="843"/>
      <c r="BB184" s="843"/>
      <c r="BC184" s="843"/>
      <c r="BD184" s="843"/>
      <c r="BE184" s="843"/>
      <c r="BF184" s="843"/>
      <c r="BG184" s="843"/>
      <c r="BH184" s="843"/>
      <c r="BI184" s="843"/>
      <c r="BJ184" s="843"/>
      <c r="BK184" s="843"/>
    </row>
    <row r="185" spans="1:63" x14ac:dyDescent="0.25">
      <c r="A185" s="2350" t="s">
        <v>222</v>
      </c>
      <c r="B185" s="2350"/>
      <c r="C185" s="2350"/>
      <c r="D185" s="2350"/>
      <c r="E185" s="2351">
        <v>1</v>
      </c>
      <c r="F185" s="2351"/>
      <c r="G185" s="2351"/>
      <c r="H185" s="2351"/>
      <c r="I185" s="2351">
        <v>14</v>
      </c>
      <c r="J185" s="2351"/>
      <c r="K185" s="2351"/>
      <c r="L185" s="2351"/>
      <c r="M185" s="2351">
        <v>6</v>
      </c>
      <c r="N185" s="2351"/>
      <c r="O185" s="2351"/>
      <c r="P185" s="2351"/>
      <c r="Q185" s="2351">
        <v>25</v>
      </c>
      <c r="R185" s="2351"/>
      <c r="S185" s="2351"/>
      <c r="T185" s="2351"/>
      <c r="AN185" s="293"/>
      <c r="AT185" s="843"/>
      <c r="AU185" s="843"/>
      <c r="AV185" s="843"/>
      <c r="AW185" s="843"/>
      <c r="AX185" s="843"/>
      <c r="AY185" s="843"/>
      <c r="AZ185" s="843"/>
      <c r="BA185" s="843"/>
      <c r="BB185" s="843"/>
      <c r="BC185" s="843"/>
      <c r="BD185" s="843"/>
      <c r="BE185" s="843"/>
      <c r="BF185" s="843"/>
      <c r="BG185" s="843"/>
      <c r="BH185" s="843"/>
      <c r="BI185" s="843"/>
      <c r="BJ185" s="843"/>
      <c r="BK185" s="843"/>
    </row>
    <row r="186" spans="1:63" x14ac:dyDescent="0.25">
      <c r="A186" s="2350" t="s">
        <v>223</v>
      </c>
      <c r="B186" s="2350"/>
      <c r="C186" s="2350"/>
      <c r="D186" s="2350"/>
      <c r="E186" s="2351">
        <v>1</v>
      </c>
      <c r="F186" s="2351"/>
      <c r="G186" s="2351"/>
      <c r="H186" s="2351"/>
      <c r="I186" s="2351">
        <v>5</v>
      </c>
      <c r="J186" s="2351"/>
      <c r="K186" s="2351"/>
      <c r="L186" s="2351"/>
      <c r="M186" s="2351">
        <v>2</v>
      </c>
      <c r="N186" s="2351"/>
      <c r="O186" s="2351"/>
      <c r="P186" s="2351"/>
      <c r="Q186" s="2351">
        <v>13</v>
      </c>
      <c r="R186" s="2351"/>
      <c r="S186" s="2351"/>
      <c r="T186" s="2351"/>
      <c r="AN186" s="293"/>
      <c r="AT186" s="843"/>
      <c r="AU186" s="843"/>
      <c r="AV186" s="843"/>
      <c r="AW186" s="843"/>
      <c r="AX186" s="843"/>
      <c r="AY186" s="843"/>
      <c r="AZ186" s="843"/>
      <c r="BA186" s="843"/>
      <c r="BB186" s="843"/>
      <c r="BC186" s="843"/>
      <c r="BD186" s="843"/>
      <c r="BE186" s="843"/>
      <c r="BF186" s="843"/>
      <c r="BG186" s="843"/>
      <c r="BH186" s="843"/>
      <c r="BI186" s="843"/>
      <c r="BJ186" s="843"/>
      <c r="BK186" s="843"/>
    </row>
    <row r="187" spans="1:63" x14ac:dyDescent="0.25">
      <c r="A187" s="2350" t="s">
        <v>224</v>
      </c>
      <c r="B187" s="2350"/>
      <c r="C187" s="2350"/>
      <c r="D187" s="2350"/>
      <c r="E187" s="2351">
        <v>1</v>
      </c>
      <c r="F187" s="2351"/>
      <c r="G187" s="2351"/>
      <c r="H187" s="2351"/>
      <c r="I187" s="2351">
        <v>5</v>
      </c>
      <c r="J187" s="2351"/>
      <c r="K187" s="2351"/>
      <c r="L187" s="2351"/>
      <c r="M187" s="2351">
        <v>2</v>
      </c>
      <c r="N187" s="2351"/>
      <c r="O187" s="2351"/>
      <c r="P187" s="2351"/>
      <c r="Q187" s="2351">
        <v>12</v>
      </c>
      <c r="R187" s="2351"/>
      <c r="S187" s="2351"/>
      <c r="T187" s="2351"/>
      <c r="AN187" s="293"/>
      <c r="AT187" s="843"/>
      <c r="AU187" s="843"/>
      <c r="AV187" s="843"/>
      <c r="AW187" s="843"/>
      <c r="AX187" s="843"/>
      <c r="AY187" s="843"/>
      <c r="AZ187" s="843"/>
      <c r="BA187" s="843"/>
      <c r="BB187" s="843"/>
      <c r="BC187" s="843"/>
      <c r="BD187" s="843"/>
      <c r="BE187" s="843"/>
      <c r="BF187" s="843"/>
      <c r="BG187" s="843"/>
      <c r="BH187" s="843"/>
      <c r="BI187" s="843"/>
      <c r="BJ187" s="843"/>
      <c r="BK187" s="843"/>
    </row>
    <row r="188" spans="1:63" x14ac:dyDescent="0.25">
      <c r="A188" s="2350" t="s">
        <v>225</v>
      </c>
      <c r="B188" s="2350"/>
      <c r="C188" s="2350"/>
      <c r="D188" s="2350"/>
      <c r="E188" s="2351">
        <v>1</v>
      </c>
      <c r="F188" s="2351"/>
      <c r="G188" s="2351"/>
      <c r="H188" s="2351"/>
      <c r="I188" s="2351">
        <v>21</v>
      </c>
      <c r="J188" s="2351"/>
      <c r="K188" s="2351"/>
      <c r="L188" s="2351"/>
      <c r="M188" s="2351">
        <v>7</v>
      </c>
      <c r="N188" s="2351"/>
      <c r="O188" s="2351"/>
      <c r="P188" s="2351"/>
      <c r="Q188" s="2351">
        <v>15</v>
      </c>
      <c r="R188" s="2351"/>
      <c r="S188" s="2351"/>
      <c r="T188" s="2351"/>
      <c r="AN188" s="293"/>
      <c r="AT188" s="843"/>
      <c r="AU188" s="843"/>
      <c r="AV188" s="843"/>
      <c r="AW188" s="843"/>
      <c r="AX188" s="843"/>
      <c r="AY188" s="843"/>
      <c r="AZ188" s="843"/>
      <c r="BA188" s="843"/>
      <c r="BB188" s="843"/>
      <c r="BC188" s="843"/>
      <c r="BD188" s="843"/>
      <c r="BE188" s="843"/>
      <c r="BF188" s="843"/>
      <c r="BG188" s="843"/>
      <c r="BH188" s="843"/>
      <c r="BI188" s="843"/>
      <c r="BJ188" s="843"/>
      <c r="BK188" s="843"/>
    </row>
    <row r="189" spans="1:63" x14ac:dyDescent="0.25">
      <c r="A189" s="2350" t="s">
        <v>226</v>
      </c>
      <c r="B189" s="2350"/>
      <c r="C189" s="2350"/>
      <c r="D189" s="2350"/>
      <c r="E189" s="2351">
        <v>1</v>
      </c>
      <c r="F189" s="2351"/>
      <c r="G189" s="2351"/>
      <c r="H189" s="2351"/>
      <c r="I189" s="2351">
        <v>10</v>
      </c>
      <c r="J189" s="2351"/>
      <c r="K189" s="2351"/>
      <c r="L189" s="2351"/>
      <c r="M189" s="2351">
        <v>4</v>
      </c>
      <c r="N189" s="2351"/>
      <c r="O189" s="2351"/>
      <c r="P189" s="2351"/>
      <c r="Q189" s="2351">
        <v>24</v>
      </c>
      <c r="R189" s="2351"/>
      <c r="S189" s="2351"/>
      <c r="T189" s="2351"/>
      <c r="AN189" s="293"/>
      <c r="AT189" s="843"/>
      <c r="AU189" s="843"/>
      <c r="AV189" s="843"/>
      <c r="AW189" s="843"/>
      <c r="AX189" s="843"/>
      <c r="AY189" s="843"/>
      <c r="AZ189" s="843"/>
      <c r="BA189" s="843"/>
      <c r="BB189" s="843"/>
      <c r="BC189" s="843"/>
      <c r="BD189" s="843"/>
      <c r="BE189" s="843"/>
      <c r="BF189" s="843"/>
      <c r="BG189" s="843"/>
      <c r="BH189" s="843"/>
      <c r="BI189" s="843"/>
      <c r="BJ189" s="843"/>
      <c r="BK189" s="843"/>
    </row>
    <row r="190" spans="1:63" x14ac:dyDescent="0.25">
      <c r="A190" s="2350" t="s">
        <v>55</v>
      </c>
      <c r="B190" s="2350"/>
      <c r="C190" s="2350"/>
      <c r="D190" s="2350"/>
      <c r="E190" s="2351">
        <v>1</v>
      </c>
      <c r="F190" s="2351"/>
      <c r="G190" s="2351"/>
      <c r="H190" s="2351"/>
      <c r="I190" s="2351">
        <v>12</v>
      </c>
      <c r="J190" s="2351"/>
      <c r="K190" s="2351"/>
      <c r="L190" s="2351"/>
      <c r="M190" s="2351">
        <v>5</v>
      </c>
      <c r="N190" s="2351"/>
      <c r="O190" s="2351"/>
      <c r="P190" s="2351"/>
      <c r="Q190" s="2351">
        <v>25</v>
      </c>
      <c r="R190" s="2351"/>
      <c r="S190" s="2351"/>
      <c r="T190" s="2351"/>
      <c r="AN190" s="293"/>
    </row>
    <row r="191" spans="1:63" x14ac:dyDescent="0.25">
      <c r="A191" s="2350" t="s">
        <v>227</v>
      </c>
      <c r="B191" s="2350"/>
      <c r="C191" s="2350"/>
      <c r="D191" s="2350"/>
      <c r="E191" s="2351">
        <v>1</v>
      </c>
      <c r="F191" s="2351"/>
      <c r="G191" s="2351"/>
      <c r="H191" s="2351"/>
      <c r="I191" s="2351">
        <v>7</v>
      </c>
      <c r="J191" s="2351"/>
      <c r="K191" s="2351"/>
      <c r="L191" s="2351"/>
      <c r="M191" s="2351">
        <v>2</v>
      </c>
      <c r="N191" s="2351"/>
      <c r="O191" s="2351"/>
      <c r="P191" s="2351"/>
      <c r="Q191" s="2351">
        <v>19</v>
      </c>
      <c r="R191" s="2351"/>
      <c r="S191" s="2351"/>
      <c r="T191" s="2351"/>
      <c r="AN191" s="293"/>
    </row>
    <row r="192" spans="1:63" x14ac:dyDescent="0.25">
      <c r="A192" s="2350" t="s">
        <v>228</v>
      </c>
      <c r="B192" s="2350"/>
      <c r="C192" s="2350"/>
      <c r="D192" s="2350"/>
      <c r="E192" s="2351">
        <v>1</v>
      </c>
      <c r="F192" s="2351"/>
      <c r="G192" s="2351"/>
      <c r="H192" s="2351"/>
      <c r="I192" s="2351">
        <v>7</v>
      </c>
      <c r="J192" s="2351"/>
      <c r="K192" s="2351"/>
      <c r="L192" s="2351"/>
      <c r="M192" s="2351">
        <v>4</v>
      </c>
      <c r="N192" s="2351"/>
      <c r="O192" s="2351"/>
      <c r="P192" s="2351"/>
      <c r="Q192" s="2351">
        <v>18</v>
      </c>
      <c r="R192" s="2351"/>
      <c r="S192" s="2351"/>
      <c r="T192" s="2351"/>
      <c r="AN192" s="293"/>
    </row>
    <row r="193" spans="1:34" x14ac:dyDescent="0.25">
      <c r="A193" s="2350" t="s">
        <v>229</v>
      </c>
      <c r="B193" s="2350"/>
      <c r="C193" s="2350"/>
      <c r="D193" s="2350"/>
      <c r="E193" s="2351">
        <v>1</v>
      </c>
      <c r="F193" s="2351"/>
      <c r="G193" s="2351"/>
      <c r="H193" s="2351"/>
      <c r="I193" s="2351">
        <v>12</v>
      </c>
      <c r="J193" s="2351"/>
      <c r="K193" s="2351"/>
      <c r="L193" s="2351"/>
      <c r="M193" s="2351">
        <v>5</v>
      </c>
      <c r="N193" s="2351"/>
      <c r="O193" s="2351"/>
      <c r="P193" s="2351"/>
      <c r="Q193" s="2351">
        <v>25</v>
      </c>
      <c r="R193" s="2351"/>
      <c r="S193" s="2351"/>
      <c r="T193" s="2351"/>
    </row>
    <row r="194" spans="1:34" ht="30.95" customHeight="1" x14ac:dyDescent="0.25">
      <c r="A194" s="2358" t="s">
        <v>2028</v>
      </c>
      <c r="B194" s="2358"/>
      <c r="C194" s="2358"/>
      <c r="D194" s="2358"/>
      <c r="E194" s="2358"/>
      <c r="F194" s="2358"/>
      <c r="G194" s="2358"/>
      <c r="H194" s="2358"/>
      <c r="I194" s="2358"/>
      <c r="J194" s="2358"/>
      <c r="K194" s="2358"/>
      <c r="L194" s="2358"/>
      <c r="M194" s="2358"/>
      <c r="N194" s="2358"/>
      <c r="O194" s="2358"/>
      <c r="P194" s="2358"/>
      <c r="Q194" s="2358"/>
      <c r="R194" s="2358"/>
      <c r="S194" s="2358"/>
      <c r="T194" s="2358"/>
      <c r="U194" s="2358"/>
      <c r="V194" s="2358"/>
      <c r="W194" s="2358"/>
      <c r="X194" s="2358"/>
      <c r="Y194" s="2358"/>
      <c r="Z194" s="2358"/>
      <c r="AA194" s="2358"/>
      <c r="AB194" s="2358"/>
      <c r="AC194" s="2358"/>
      <c r="AD194" s="2358"/>
      <c r="AE194" s="2358"/>
      <c r="AF194" s="2358"/>
    </row>
    <row r="195" spans="1:34" ht="15.75" customHeight="1" x14ac:dyDescent="0.25">
      <c r="A195" s="1290"/>
      <c r="B195" s="1290"/>
      <c r="C195" s="1290"/>
      <c r="D195" s="1290"/>
      <c r="E195" s="1290"/>
      <c r="F195" s="1290"/>
      <c r="G195" s="1290"/>
      <c r="H195" s="1290"/>
      <c r="I195" s="1290"/>
      <c r="J195" s="1290"/>
      <c r="K195" s="1290"/>
      <c r="L195" s="1290"/>
      <c r="M195" s="1290"/>
      <c r="N195" s="1290"/>
      <c r="O195" s="1290"/>
      <c r="P195" s="1290"/>
      <c r="Q195" s="1290"/>
      <c r="R195" s="1290"/>
      <c r="S195" s="1290"/>
      <c r="T195" s="1290"/>
      <c r="U195" s="1290"/>
      <c r="V195" s="1290"/>
      <c r="W195" s="1290"/>
      <c r="X195" s="1290"/>
      <c r="Y195" s="1290"/>
      <c r="Z195" s="1290"/>
      <c r="AA195" s="1290"/>
      <c r="AB195" s="1290"/>
      <c r="AC195" s="1290"/>
      <c r="AD195" s="1290"/>
      <c r="AE195" s="1290"/>
      <c r="AF195" s="1290"/>
    </row>
    <row r="196" spans="1:34" x14ac:dyDescent="0.25">
      <c r="A196" s="401">
        <v>1</v>
      </c>
      <c r="B196" s="401">
        <v>2</v>
      </c>
      <c r="C196" s="401">
        <v>3</v>
      </c>
      <c r="D196" s="401">
        <v>4</v>
      </c>
      <c r="E196" s="401">
        <v>5</v>
      </c>
      <c r="F196" s="401">
        <v>6</v>
      </c>
      <c r="G196" s="401">
        <v>7</v>
      </c>
      <c r="H196" s="401">
        <v>8</v>
      </c>
      <c r="I196" s="401">
        <v>9</v>
      </c>
      <c r="J196" s="401">
        <v>10</v>
      </c>
      <c r="K196" s="401">
        <v>11</v>
      </c>
      <c r="L196" s="401">
        <v>12</v>
      </c>
      <c r="M196" s="401">
        <v>13</v>
      </c>
      <c r="N196" s="401">
        <v>14</v>
      </c>
      <c r="O196" s="401">
        <v>15</v>
      </c>
      <c r="P196" s="401">
        <v>16</v>
      </c>
      <c r="Q196" s="401">
        <v>17</v>
      </c>
      <c r="R196" s="401">
        <v>18</v>
      </c>
      <c r="S196" s="401">
        <v>19</v>
      </c>
      <c r="T196" s="401">
        <v>20</v>
      </c>
      <c r="U196" s="401">
        <v>21</v>
      </c>
      <c r="V196" s="401">
        <v>22</v>
      </c>
      <c r="W196" s="401">
        <v>23</v>
      </c>
      <c r="X196" s="401">
        <v>24</v>
      </c>
      <c r="Y196" s="401">
        <v>25</v>
      </c>
      <c r="Z196" s="401">
        <v>26</v>
      </c>
      <c r="AA196" s="401">
        <v>27</v>
      </c>
      <c r="AB196" s="401">
        <v>28</v>
      </c>
      <c r="AC196" s="401">
        <v>29</v>
      </c>
      <c r="AD196" s="401">
        <v>30</v>
      </c>
      <c r="AE196" s="401">
        <v>31</v>
      </c>
      <c r="AF196" s="401">
        <v>32</v>
      </c>
      <c r="AH196" s="293"/>
    </row>
    <row r="197" spans="1:34" ht="18.95" customHeight="1" x14ac:dyDescent="0.25">
      <c r="A197" s="190" t="s">
        <v>1929</v>
      </c>
      <c r="S197" s="190" t="s">
        <v>1931</v>
      </c>
      <c r="AH197" s="293"/>
    </row>
    <row r="198" spans="1:34" ht="64.5" customHeight="1" x14ac:dyDescent="0.25">
      <c r="A198" s="2349" t="s">
        <v>54</v>
      </c>
      <c r="B198" s="2349"/>
      <c r="C198" s="2349"/>
      <c r="D198" s="2349"/>
      <c r="E198" s="2249" t="s">
        <v>263</v>
      </c>
      <c r="F198" s="2250"/>
      <c r="G198" s="2251"/>
      <c r="H198" s="2249" t="s">
        <v>1926</v>
      </c>
      <c r="I198" s="2250"/>
      <c r="J198" s="2250"/>
      <c r="K198" s="2250"/>
      <c r="L198" s="2249" t="s">
        <v>1927</v>
      </c>
      <c r="M198" s="2250"/>
      <c r="N198" s="2251"/>
      <c r="O198" s="2249" t="s">
        <v>1922</v>
      </c>
      <c r="P198" s="2250"/>
      <c r="Q198" s="2251"/>
      <c r="S198" s="2349" t="s">
        <v>54</v>
      </c>
      <c r="T198" s="2349"/>
      <c r="U198" s="2349"/>
      <c r="V198" s="2349"/>
      <c r="W198" s="2359" t="s">
        <v>1918</v>
      </c>
      <c r="X198" s="2359"/>
      <c r="Y198" s="2359"/>
      <c r="Z198" s="2359"/>
      <c r="AC198" s="192"/>
      <c r="AH198" s="293"/>
    </row>
    <row r="199" spans="1:34" ht="30.95" customHeight="1" x14ac:dyDescent="0.25">
      <c r="A199" s="2350" t="s">
        <v>1984</v>
      </c>
      <c r="B199" s="2350"/>
      <c r="C199" s="2350"/>
      <c r="D199" s="2350"/>
      <c r="E199" s="2345">
        <v>18</v>
      </c>
      <c r="F199" s="2345"/>
      <c r="G199" s="2345"/>
      <c r="H199" s="2341">
        <v>8</v>
      </c>
      <c r="I199" s="2342"/>
      <c r="J199" s="2342"/>
      <c r="K199" s="2343"/>
      <c r="L199" s="2341">
        <v>16</v>
      </c>
      <c r="M199" s="2342"/>
      <c r="N199" s="2343"/>
      <c r="O199" s="2341">
        <v>25</v>
      </c>
      <c r="P199" s="2342"/>
      <c r="Q199" s="2343"/>
      <c r="S199" s="2350" t="s">
        <v>1984</v>
      </c>
      <c r="T199" s="2350"/>
      <c r="U199" s="2350"/>
      <c r="V199" s="2350"/>
      <c r="W199" s="2351">
        <f>ROUND(I183/3,0)</f>
        <v>4</v>
      </c>
      <c r="X199" s="2351"/>
      <c r="Y199" s="2351"/>
      <c r="Z199" s="2351"/>
      <c r="AH199" s="293"/>
    </row>
    <row r="200" spans="1:34" x14ac:dyDescent="0.25">
      <c r="A200" s="2344" t="s">
        <v>221</v>
      </c>
      <c r="B200" s="2344"/>
      <c r="C200" s="2344"/>
      <c r="D200" s="2344"/>
      <c r="E200" s="2345">
        <v>18</v>
      </c>
      <c r="F200" s="2345"/>
      <c r="G200" s="2345"/>
      <c r="H200" s="2341">
        <v>3</v>
      </c>
      <c r="I200" s="2342"/>
      <c r="J200" s="2342"/>
      <c r="K200" s="2343"/>
      <c r="L200" s="2341">
        <v>10</v>
      </c>
      <c r="M200" s="2342"/>
      <c r="N200" s="2343"/>
      <c r="O200" s="2341">
        <v>11</v>
      </c>
      <c r="P200" s="2342"/>
      <c r="Q200" s="2343"/>
      <c r="S200" s="2344" t="s">
        <v>221</v>
      </c>
      <c r="T200" s="2344"/>
      <c r="U200" s="2344"/>
      <c r="V200" s="2344"/>
      <c r="W200" s="2351">
        <f t="shared" ref="W200:W209" si="0">ROUND(I184/3,0)</f>
        <v>2</v>
      </c>
      <c r="X200" s="2351"/>
      <c r="Y200" s="2351"/>
      <c r="Z200" s="2351"/>
      <c r="AH200" s="293"/>
    </row>
    <row r="201" spans="1:34" x14ac:dyDescent="0.25">
      <c r="A201" s="2344" t="s">
        <v>222</v>
      </c>
      <c r="B201" s="2344"/>
      <c r="C201" s="2344"/>
      <c r="D201" s="2344"/>
      <c r="E201" s="2345">
        <v>18</v>
      </c>
      <c r="F201" s="2345"/>
      <c r="G201" s="2345"/>
      <c r="H201" s="2341">
        <v>10</v>
      </c>
      <c r="I201" s="2342"/>
      <c r="J201" s="2342"/>
      <c r="K201" s="2343"/>
      <c r="L201" s="2341">
        <v>23</v>
      </c>
      <c r="M201" s="2342"/>
      <c r="N201" s="2343"/>
      <c r="O201" s="2341">
        <v>25</v>
      </c>
      <c r="P201" s="2342"/>
      <c r="Q201" s="2343"/>
      <c r="S201" s="2344" t="s">
        <v>222</v>
      </c>
      <c r="T201" s="2344"/>
      <c r="U201" s="2344"/>
      <c r="V201" s="2344"/>
      <c r="W201" s="2351">
        <f t="shared" si="0"/>
        <v>5</v>
      </c>
      <c r="X201" s="2351"/>
      <c r="Y201" s="2351"/>
      <c r="Z201" s="2351"/>
      <c r="AH201" s="293"/>
    </row>
    <row r="202" spans="1:34" x14ac:dyDescent="0.25">
      <c r="A202" s="2344" t="s">
        <v>223</v>
      </c>
      <c r="B202" s="2344"/>
      <c r="C202" s="2344"/>
      <c r="D202" s="2344"/>
      <c r="E202" s="2345">
        <v>18</v>
      </c>
      <c r="F202" s="2345"/>
      <c r="G202" s="2345"/>
      <c r="H202" s="2341">
        <v>3</v>
      </c>
      <c r="I202" s="2342"/>
      <c r="J202" s="2342"/>
      <c r="K202" s="2343"/>
      <c r="L202" s="2341">
        <v>9</v>
      </c>
      <c r="M202" s="2342"/>
      <c r="N202" s="2343"/>
      <c r="O202" s="2341">
        <v>10</v>
      </c>
      <c r="P202" s="2342"/>
      <c r="Q202" s="2343"/>
      <c r="S202" s="2344" t="s">
        <v>223</v>
      </c>
      <c r="T202" s="2344"/>
      <c r="U202" s="2344"/>
      <c r="V202" s="2344"/>
      <c r="W202" s="2351">
        <f t="shared" si="0"/>
        <v>2</v>
      </c>
      <c r="X202" s="2351"/>
      <c r="Y202" s="2351"/>
      <c r="Z202" s="2351"/>
      <c r="AH202" s="293"/>
    </row>
    <row r="203" spans="1:34" x14ac:dyDescent="0.25">
      <c r="A203" s="2344" t="s">
        <v>224</v>
      </c>
      <c r="B203" s="2344"/>
      <c r="C203" s="2344"/>
      <c r="D203" s="2344"/>
      <c r="E203" s="2345">
        <v>18</v>
      </c>
      <c r="F203" s="2345"/>
      <c r="G203" s="2345"/>
      <c r="H203" s="2341">
        <v>3</v>
      </c>
      <c r="I203" s="2342"/>
      <c r="J203" s="2342"/>
      <c r="K203" s="2343"/>
      <c r="L203" s="2341">
        <v>9</v>
      </c>
      <c r="M203" s="2342"/>
      <c r="N203" s="2343"/>
      <c r="O203" s="2341">
        <v>10</v>
      </c>
      <c r="P203" s="2342"/>
      <c r="Q203" s="2343"/>
      <c r="S203" s="2344" t="s">
        <v>224</v>
      </c>
      <c r="T203" s="2344"/>
      <c r="U203" s="2344"/>
      <c r="V203" s="2344"/>
      <c r="W203" s="2351">
        <f t="shared" si="0"/>
        <v>2</v>
      </c>
      <c r="X203" s="2351"/>
      <c r="Y203" s="2351"/>
      <c r="Z203" s="2351"/>
      <c r="AH203" s="293"/>
    </row>
    <row r="204" spans="1:34" x14ac:dyDescent="0.25">
      <c r="A204" s="2344" t="s">
        <v>225</v>
      </c>
      <c r="B204" s="2344"/>
      <c r="C204" s="2344"/>
      <c r="D204" s="2344"/>
      <c r="E204" s="2345">
        <v>18</v>
      </c>
      <c r="F204" s="2345"/>
      <c r="G204" s="2345"/>
      <c r="H204" s="2341">
        <v>12</v>
      </c>
      <c r="I204" s="2342"/>
      <c r="J204" s="2342"/>
      <c r="K204" s="2343"/>
      <c r="L204" s="2341">
        <v>10</v>
      </c>
      <c r="M204" s="2342"/>
      <c r="N204" s="2343"/>
      <c r="O204" s="2341">
        <v>25</v>
      </c>
      <c r="P204" s="2342"/>
      <c r="Q204" s="2343"/>
      <c r="S204" s="2344" t="s">
        <v>225</v>
      </c>
      <c r="T204" s="2344"/>
      <c r="U204" s="2344"/>
      <c r="V204" s="2344"/>
      <c r="W204" s="2351">
        <f t="shared" si="0"/>
        <v>7</v>
      </c>
      <c r="X204" s="2351"/>
      <c r="Y204" s="2351"/>
      <c r="Z204" s="2351"/>
      <c r="AH204" s="293"/>
    </row>
    <row r="205" spans="1:34" x14ac:dyDescent="0.25">
      <c r="A205" s="2344" t="s">
        <v>226</v>
      </c>
      <c r="B205" s="2344"/>
      <c r="C205" s="2344"/>
      <c r="D205" s="2344"/>
      <c r="E205" s="2345">
        <v>18</v>
      </c>
      <c r="F205" s="2345"/>
      <c r="G205" s="2345"/>
      <c r="H205" s="2341">
        <v>7</v>
      </c>
      <c r="I205" s="2342"/>
      <c r="J205" s="2342"/>
      <c r="K205" s="2343"/>
      <c r="L205" s="2341">
        <v>17</v>
      </c>
      <c r="M205" s="2342"/>
      <c r="N205" s="2343"/>
      <c r="O205" s="2341">
        <v>22</v>
      </c>
      <c r="P205" s="2342"/>
      <c r="Q205" s="2343"/>
      <c r="S205" s="2344" t="s">
        <v>226</v>
      </c>
      <c r="T205" s="2344"/>
      <c r="U205" s="2344"/>
      <c r="V205" s="2344"/>
      <c r="W205" s="2351">
        <f t="shared" si="0"/>
        <v>3</v>
      </c>
      <c r="X205" s="2351"/>
      <c r="Y205" s="2351"/>
      <c r="Z205" s="2351"/>
      <c r="AH205" s="293"/>
    </row>
    <row r="206" spans="1:34" x14ac:dyDescent="0.25">
      <c r="A206" s="2344" t="s">
        <v>55</v>
      </c>
      <c r="B206" s="2344"/>
      <c r="C206" s="2344"/>
      <c r="D206" s="2344"/>
      <c r="E206" s="2345">
        <v>18</v>
      </c>
      <c r="F206" s="2345"/>
      <c r="G206" s="2345"/>
      <c r="H206" s="2341">
        <v>8</v>
      </c>
      <c r="I206" s="2342"/>
      <c r="J206" s="2342"/>
      <c r="K206" s="2343"/>
      <c r="L206" s="2341">
        <v>20</v>
      </c>
      <c r="M206" s="2342"/>
      <c r="N206" s="2343"/>
      <c r="O206" s="2341">
        <v>25</v>
      </c>
      <c r="P206" s="2342"/>
      <c r="Q206" s="2343"/>
      <c r="S206" s="2344" t="s">
        <v>55</v>
      </c>
      <c r="T206" s="2344"/>
      <c r="U206" s="2344"/>
      <c r="V206" s="2344"/>
      <c r="W206" s="2351">
        <f t="shared" si="0"/>
        <v>4</v>
      </c>
      <c r="X206" s="2351"/>
      <c r="Y206" s="2351"/>
      <c r="Z206" s="2351"/>
      <c r="AH206" s="293"/>
    </row>
    <row r="207" spans="1:34" x14ac:dyDescent="0.25">
      <c r="A207" s="2344" t="s">
        <v>227</v>
      </c>
      <c r="B207" s="2344"/>
      <c r="C207" s="2344"/>
      <c r="D207" s="2344"/>
      <c r="E207" s="2345">
        <v>18</v>
      </c>
      <c r="F207" s="2345"/>
      <c r="G207" s="2345"/>
      <c r="H207" s="2341">
        <v>4</v>
      </c>
      <c r="I207" s="2342"/>
      <c r="J207" s="2342"/>
      <c r="K207" s="2343"/>
      <c r="L207" s="2341">
        <v>14</v>
      </c>
      <c r="M207" s="2342"/>
      <c r="N207" s="2343"/>
      <c r="O207" s="2341">
        <v>14</v>
      </c>
      <c r="P207" s="2342"/>
      <c r="Q207" s="2343"/>
      <c r="S207" s="2344" t="s">
        <v>227</v>
      </c>
      <c r="T207" s="2344"/>
      <c r="U207" s="2344"/>
      <c r="V207" s="2344"/>
      <c r="W207" s="2351">
        <f t="shared" si="0"/>
        <v>2</v>
      </c>
      <c r="X207" s="2351"/>
      <c r="Y207" s="2351"/>
      <c r="Z207" s="2351"/>
      <c r="AH207" s="293"/>
    </row>
    <row r="208" spans="1:34" x14ac:dyDescent="0.25">
      <c r="A208" s="2344" t="s">
        <v>228</v>
      </c>
      <c r="B208" s="2344"/>
      <c r="C208" s="2344"/>
      <c r="D208" s="2344"/>
      <c r="E208" s="2345">
        <v>18</v>
      </c>
      <c r="F208" s="2345"/>
      <c r="G208" s="2345"/>
      <c r="H208" s="2341">
        <v>6</v>
      </c>
      <c r="I208" s="2342"/>
      <c r="J208" s="2342"/>
      <c r="K208" s="2343"/>
      <c r="L208" s="2341">
        <v>13</v>
      </c>
      <c r="M208" s="2342"/>
      <c r="N208" s="2343"/>
      <c r="O208" s="2341">
        <v>14</v>
      </c>
      <c r="P208" s="2342"/>
      <c r="Q208" s="2343"/>
      <c r="S208" s="2344" t="s">
        <v>228</v>
      </c>
      <c r="T208" s="2344"/>
      <c r="U208" s="2344"/>
      <c r="V208" s="2344"/>
      <c r="W208" s="2351">
        <f t="shared" si="0"/>
        <v>2</v>
      </c>
      <c r="X208" s="2351"/>
      <c r="Y208" s="2351"/>
      <c r="Z208" s="2351"/>
      <c r="AH208" s="293"/>
    </row>
    <row r="209" spans="1:80" x14ac:dyDescent="0.25">
      <c r="A209" s="2344" t="s">
        <v>229</v>
      </c>
      <c r="B209" s="2344"/>
      <c r="C209" s="2344"/>
      <c r="D209" s="2344"/>
      <c r="E209" s="2345">
        <v>18</v>
      </c>
      <c r="F209" s="2345"/>
      <c r="G209" s="2345"/>
      <c r="H209" s="2341">
        <v>9</v>
      </c>
      <c r="I209" s="2342"/>
      <c r="J209" s="2342"/>
      <c r="K209" s="2343"/>
      <c r="L209" s="2341">
        <v>22</v>
      </c>
      <c r="M209" s="2342"/>
      <c r="N209" s="2343"/>
      <c r="O209" s="2341">
        <v>25</v>
      </c>
      <c r="P209" s="2342"/>
      <c r="Q209" s="2343"/>
      <c r="S209" s="2344" t="s">
        <v>229</v>
      </c>
      <c r="T209" s="2344"/>
      <c r="U209" s="2344"/>
      <c r="V209" s="2344"/>
      <c r="W209" s="2351">
        <f t="shared" si="0"/>
        <v>4</v>
      </c>
      <c r="X209" s="2351"/>
      <c r="Y209" s="2351"/>
      <c r="Z209" s="2351"/>
      <c r="AH209" s="293"/>
    </row>
    <row r="210" spans="1:80" ht="65.25" customHeight="1" x14ac:dyDescent="0.25">
      <c r="A210" s="1460" t="s">
        <v>1930</v>
      </c>
      <c r="B210" s="1460"/>
      <c r="C210" s="1460"/>
      <c r="D210" s="1460"/>
      <c r="E210" s="1460"/>
      <c r="F210" s="1460"/>
      <c r="G210" s="1460"/>
      <c r="H210" s="1460"/>
      <c r="I210" s="1460"/>
      <c r="J210" s="1460"/>
      <c r="K210" s="1460"/>
      <c r="L210" s="1460"/>
      <c r="M210" s="1460"/>
      <c r="N210" s="1460"/>
      <c r="O210" s="1460"/>
      <c r="P210" s="1460"/>
      <c r="Q210" s="1460"/>
      <c r="R210" s="272"/>
      <c r="S210" s="2288" t="s">
        <v>6712</v>
      </c>
      <c r="T210" s="2288"/>
      <c r="U210" s="2288"/>
      <c r="V210" s="2288"/>
      <c r="W210" s="2288"/>
      <c r="X210" s="2288"/>
      <c r="Y210" s="2288"/>
      <c r="Z210" s="2288"/>
      <c r="AH210" s="293"/>
    </row>
    <row r="211" spans="1:80" x14ac:dyDescent="0.25">
      <c r="A211" s="190"/>
      <c r="AH211" s="293"/>
    </row>
    <row r="212" spans="1:80" x14ac:dyDescent="0.25">
      <c r="A212" s="1472" t="s">
        <v>21</v>
      </c>
      <c r="B212" s="1472"/>
      <c r="C212" s="1472"/>
      <c r="D212" s="1472"/>
      <c r="E212" s="1472"/>
      <c r="F212" s="1472"/>
      <c r="G212" s="1472"/>
      <c r="H212" s="1472"/>
      <c r="I212" s="1472"/>
      <c r="J212" s="1472"/>
      <c r="K212" s="1472"/>
      <c r="L212" s="1472"/>
      <c r="M212" s="1472"/>
      <c r="N212" s="1472"/>
      <c r="O212" s="1472"/>
      <c r="P212" s="1472"/>
      <c r="Q212" s="1472"/>
      <c r="R212" s="1472"/>
      <c r="S212" s="1472"/>
      <c r="T212" s="1472"/>
      <c r="U212" s="1472"/>
      <c r="V212" s="1472"/>
      <c r="W212" s="1472"/>
      <c r="X212" s="1472"/>
      <c r="Y212" s="1472"/>
      <c r="Z212" s="1472"/>
      <c r="AA212" s="1472"/>
      <c r="AB212" s="1472"/>
      <c r="AC212" s="1472"/>
      <c r="AD212" s="1472"/>
      <c r="AE212" s="1472"/>
      <c r="AF212" s="1472"/>
      <c r="AI212" s="192"/>
      <c r="AJ212" s="192"/>
      <c r="AQ212" s="983"/>
    </row>
    <row r="214" spans="1:80" x14ac:dyDescent="0.25">
      <c r="C214" s="379" t="s">
        <v>1979</v>
      </c>
      <c r="AS214" s="379"/>
    </row>
    <row r="215" spans="1:80" x14ac:dyDescent="0.25">
      <c r="B215" s="2454" t="s">
        <v>259</v>
      </c>
      <c r="C215" s="2455"/>
      <c r="D215" s="2455"/>
      <c r="E215" s="2455"/>
      <c r="F215" s="2455"/>
      <c r="G215" s="2455"/>
      <c r="H215" s="2455"/>
      <c r="I215" s="2455"/>
      <c r="J215" s="2455"/>
      <c r="K215" s="2456"/>
      <c r="L215" s="2457" t="s">
        <v>1968</v>
      </c>
      <c r="M215" s="2458"/>
      <c r="N215" s="2458"/>
      <c r="O215" s="2458"/>
      <c r="P215" s="2458"/>
      <c r="Q215" s="2458"/>
      <c r="R215" s="2458"/>
      <c r="S215" s="2458"/>
      <c r="T215" s="2458"/>
      <c r="U215" s="2458"/>
      <c r="V215" s="2458"/>
      <c r="W215" s="2459"/>
      <c r="X215" s="400"/>
      <c r="Y215" s="400"/>
      <c r="Z215" s="400"/>
      <c r="AA215" s="400"/>
      <c r="AB215" s="400"/>
      <c r="AC215" s="400"/>
      <c r="AD215" s="400"/>
      <c r="AE215" s="400"/>
      <c r="AF215" s="400"/>
      <c r="AG215" s="400"/>
      <c r="AH215" s="387"/>
      <c r="AI215" s="387"/>
      <c r="AJ215" s="984"/>
      <c r="AK215" s="387"/>
      <c r="AL215" s="387"/>
      <c r="AM215" s="387"/>
      <c r="AN215" s="387"/>
      <c r="AO215" s="387"/>
      <c r="AP215" s="387"/>
      <c r="AR215" s="992"/>
      <c r="AS215" s="992"/>
      <c r="AT215" s="992"/>
      <c r="AU215" s="992"/>
      <c r="AV215" s="992"/>
      <c r="AW215" s="992"/>
      <c r="AX215" s="992"/>
      <c r="AY215" s="992"/>
      <c r="AZ215" s="992"/>
      <c r="BA215" s="992"/>
      <c r="BB215" s="400"/>
      <c r="BC215" s="400"/>
      <c r="BD215" s="400"/>
      <c r="BE215" s="400"/>
      <c r="BF215" s="400"/>
      <c r="BG215" s="400"/>
      <c r="BH215" s="400"/>
      <c r="BI215" s="400"/>
      <c r="BJ215" s="400"/>
      <c r="BK215" s="400"/>
      <c r="BL215" s="400"/>
      <c r="BM215" s="400"/>
      <c r="BN215" s="400"/>
      <c r="BO215" s="400"/>
      <c r="BP215" s="400"/>
      <c r="BQ215" s="400"/>
      <c r="BR215" s="400"/>
      <c r="BS215" s="400"/>
      <c r="BT215" s="400"/>
      <c r="BU215" s="400"/>
      <c r="BV215" s="400"/>
      <c r="BW215" s="400"/>
      <c r="BX215" s="387"/>
      <c r="BY215" s="387"/>
      <c r="BZ215" s="984"/>
      <c r="CA215" s="387"/>
      <c r="CB215" s="387"/>
    </row>
    <row r="216" spans="1:80" x14ac:dyDescent="0.25">
      <c r="B216" s="2460" t="s">
        <v>1963</v>
      </c>
      <c r="C216" s="2461"/>
      <c r="D216" s="2461"/>
      <c r="E216" s="2461"/>
      <c r="F216" s="2461"/>
      <c r="G216" s="2461"/>
      <c r="H216" s="2461"/>
      <c r="I216" s="2461"/>
      <c r="J216" s="2461"/>
      <c r="K216" s="2462"/>
      <c r="L216" s="2166" t="s">
        <v>1964</v>
      </c>
      <c r="M216" s="2166"/>
      <c r="N216" s="2166"/>
      <c r="O216" s="2166"/>
      <c r="P216" s="2166"/>
      <c r="Q216" s="2166"/>
      <c r="R216" s="2166" t="s">
        <v>1965</v>
      </c>
      <c r="S216" s="2166"/>
      <c r="T216" s="2166"/>
      <c r="U216" s="2166"/>
      <c r="V216" s="2166"/>
      <c r="W216" s="2166"/>
      <c r="X216" s="951"/>
      <c r="Y216" s="952"/>
      <c r="Z216" s="952"/>
      <c r="AA216" s="952"/>
      <c r="AB216" s="952"/>
      <c r="AC216" s="952"/>
      <c r="AD216" s="952"/>
      <c r="AE216" s="952"/>
      <c r="AF216" s="952"/>
      <c r="AG216" s="952"/>
      <c r="AH216" s="985"/>
      <c r="AI216" s="985"/>
      <c r="AJ216" s="985"/>
      <c r="AK216" s="985"/>
      <c r="AL216" s="387"/>
      <c r="AM216" s="387"/>
      <c r="AN216" s="387"/>
      <c r="AP216" s="387"/>
      <c r="AR216" s="993"/>
      <c r="AS216" s="993"/>
      <c r="AT216" s="993"/>
      <c r="AU216" s="993"/>
      <c r="AV216" s="993"/>
      <c r="AW216" s="993"/>
      <c r="AX216" s="993"/>
      <c r="AY216" s="993"/>
      <c r="AZ216" s="993"/>
      <c r="BA216" s="993"/>
      <c r="BB216"/>
      <c r="BC216"/>
      <c r="BD216"/>
      <c r="BE216"/>
      <c r="BF216"/>
      <c r="BG216"/>
      <c r="BH216"/>
      <c r="BI216"/>
      <c r="BJ216"/>
      <c r="BK216"/>
      <c r="BL216"/>
      <c r="BM216"/>
      <c r="BN216" s="988"/>
      <c r="BO216" s="988"/>
      <c r="BP216" s="988"/>
      <c r="BQ216" s="988"/>
      <c r="BR216" s="988"/>
      <c r="BS216" s="988"/>
      <c r="BT216" s="988"/>
      <c r="BU216" s="988"/>
      <c r="BV216" s="988"/>
      <c r="BW216" s="988"/>
      <c r="BX216" s="387"/>
      <c r="BY216" s="387"/>
      <c r="BZ216" s="387"/>
      <c r="CA216" s="387"/>
      <c r="CB216" s="387"/>
    </row>
    <row r="217" spans="1:80" x14ac:dyDescent="0.25">
      <c r="B217" s="2167" t="s">
        <v>1966</v>
      </c>
      <c r="C217" s="2168"/>
      <c r="D217" s="2168"/>
      <c r="E217" s="2168"/>
      <c r="F217" s="2168"/>
      <c r="G217" s="2168"/>
      <c r="H217" s="2168"/>
      <c r="I217" s="2168"/>
      <c r="J217" s="2168"/>
      <c r="K217" s="2169"/>
      <c r="L217" s="2166" t="s">
        <v>1964</v>
      </c>
      <c r="M217" s="2166"/>
      <c r="N217" s="2166"/>
      <c r="O217" s="2166"/>
      <c r="P217" s="2166"/>
      <c r="Q217" s="2166"/>
      <c r="R217" s="2166" t="s">
        <v>1965</v>
      </c>
      <c r="S217" s="2166"/>
      <c r="T217" s="2166"/>
      <c r="U217" s="2166"/>
      <c r="V217" s="2166"/>
      <c r="W217" s="2166"/>
      <c r="X217" s="951"/>
      <c r="Y217" s="952"/>
      <c r="Z217" s="952"/>
      <c r="AA217" s="952"/>
      <c r="AB217" s="952"/>
      <c r="AC217" s="952"/>
      <c r="AD217" s="952"/>
      <c r="AE217" s="952"/>
      <c r="AF217" s="952"/>
      <c r="AG217" s="952"/>
      <c r="AH217" s="985"/>
      <c r="AI217" s="985"/>
      <c r="AJ217" s="985"/>
      <c r="AK217" s="985"/>
      <c r="AL217" s="387"/>
      <c r="AM217" s="387"/>
      <c r="AN217" s="387"/>
      <c r="AO217" s="387"/>
      <c r="AP217" s="387"/>
      <c r="AR217" s="987"/>
      <c r="AS217" s="987"/>
      <c r="AT217" s="987"/>
      <c r="AU217" s="987"/>
      <c r="AV217" s="987"/>
      <c r="AW217" s="987"/>
      <c r="AX217" s="987"/>
      <c r="AY217" s="987"/>
      <c r="AZ217" s="987"/>
      <c r="BA217" s="987"/>
      <c r="BB217"/>
      <c r="BC217"/>
      <c r="BD217"/>
      <c r="BE217"/>
      <c r="BF217"/>
      <c r="BG217"/>
      <c r="BH217"/>
      <c r="BI217"/>
      <c r="BJ217"/>
      <c r="BK217"/>
      <c r="BL217"/>
      <c r="BM217"/>
      <c r="BN217" s="988"/>
      <c r="BO217" s="988"/>
      <c r="BP217" s="988"/>
      <c r="BQ217" s="988"/>
      <c r="BR217" s="988"/>
      <c r="BS217" s="988"/>
      <c r="BT217" s="988"/>
      <c r="BU217" s="988"/>
      <c r="BV217" s="988"/>
      <c r="BW217" s="988"/>
      <c r="BX217" s="387"/>
      <c r="BY217" s="387"/>
      <c r="BZ217" s="387"/>
      <c r="CA217" s="387"/>
      <c r="CB217" s="387"/>
    </row>
    <row r="218" spans="1:80" x14ac:dyDescent="0.25">
      <c r="B218" s="2167" t="s">
        <v>1970</v>
      </c>
      <c r="C218" s="2168"/>
      <c r="D218" s="2168"/>
      <c r="E218" s="2168"/>
      <c r="F218" s="2168"/>
      <c r="G218" s="2168"/>
      <c r="H218" s="2168"/>
      <c r="I218" s="2168"/>
      <c r="J218" s="2168"/>
      <c r="K218" s="2169"/>
      <c r="L218" s="2166" t="s">
        <v>1964</v>
      </c>
      <c r="M218" s="2166"/>
      <c r="N218" s="2166"/>
      <c r="O218" s="2166"/>
      <c r="P218" s="2166"/>
      <c r="Q218" s="2166"/>
      <c r="R218" s="2166" t="s">
        <v>1965</v>
      </c>
      <c r="S218" s="2166"/>
      <c r="T218" s="2166"/>
      <c r="U218" s="2166"/>
      <c r="V218" s="2166"/>
      <c r="W218" s="2166"/>
      <c r="X218" s="951"/>
      <c r="Y218" s="952"/>
      <c r="Z218" s="952"/>
      <c r="AA218" s="952"/>
      <c r="AB218" s="952"/>
      <c r="AC218" s="952"/>
      <c r="AD218" s="952"/>
      <c r="AE218" s="952"/>
      <c r="AF218" s="952"/>
      <c r="AG218" s="952"/>
      <c r="AH218" s="985"/>
      <c r="AI218" s="985"/>
      <c r="AJ218" s="985"/>
      <c r="AK218" s="985"/>
      <c r="AL218" s="387"/>
      <c r="AM218" s="387"/>
      <c r="AN218" s="387"/>
      <c r="AO218" s="387"/>
      <c r="AP218" s="387"/>
      <c r="AR218" s="987"/>
      <c r="AS218" s="987"/>
      <c r="AT218" s="987"/>
      <c r="AU218" s="987"/>
      <c r="AV218" s="987"/>
      <c r="AW218" s="987"/>
      <c r="AX218" s="987"/>
      <c r="AY218" s="987"/>
      <c r="AZ218" s="987"/>
      <c r="BA218" s="987"/>
      <c r="BB218"/>
      <c r="BC218"/>
      <c r="BD218"/>
      <c r="BE218"/>
      <c r="BF218"/>
      <c r="BG218"/>
      <c r="BH218"/>
      <c r="BI218"/>
      <c r="BJ218"/>
      <c r="BK218"/>
      <c r="BL218"/>
      <c r="BM218"/>
      <c r="BN218" s="988"/>
      <c r="BO218" s="988"/>
      <c r="BP218" s="988"/>
      <c r="BQ218" s="988"/>
      <c r="BR218" s="988"/>
      <c r="BS218" s="988"/>
      <c r="BT218" s="988"/>
      <c r="BU218" s="988"/>
      <c r="BV218" s="988"/>
      <c r="BW218" s="988"/>
      <c r="BX218" s="387"/>
      <c r="BY218" s="387"/>
      <c r="BZ218" s="387"/>
      <c r="CA218" s="387"/>
      <c r="CB218" s="387"/>
    </row>
    <row r="219" spans="1:80" x14ac:dyDescent="0.25">
      <c r="B219" s="2167" t="s">
        <v>1971</v>
      </c>
      <c r="C219" s="2168"/>
      <c r="D219" s="2168"/>
      <c r="E219" s="2168"/>
      <c r="F219" s="2168"/>
      <c r="G219" s="2168"/>
      <c r="H219" s="2168"/>
      <c r="I219" s="2168"/>
      <c r="J219" s="2168"/>
      <c r="K219" s="2169"/>
      <c r="L219" s="2166" t="s">
        <v>1964</v>
      </c>
      <c r="M219" s="2166"/>
      <c r="N219" s="2166"/>
      <c r="O219" s="2166"/>
      <c r="P219" s="2166"/>
      <c r="Q219" s="2166"/>
      <c r="R219" s="2166" t="s">
        <v>1965</v>
      </c>
      <c r="S219" s="2166"/>
      <c r="T219" s="2166"/>
      <c r="U219" s="2166"/>
      <c r="V219" s="2166"/>
      <c r="W219" s="2166"/>
      <c r="X219" s="951"/>
      <c r="Y219" s="952"/>
      <c r="Z219" s="952"/>
      <c r="AA219" s="952"/>
      <c r="AB219" s="952"/>
      <c r="AC219" s="952"/>
      <c r="AD219" s="952"/>
      <c r="AE219" s="952"/>
      <c r="AF219" s="952"/>
      <c r="AG219" s="952"/>
      <c r="AH219" s="985"/>
      <c r="AI219" s="985"/>
      <c r="AJ219" s="985"/>
      <c r="AK219" s="985"/>
      <c r="AL219" s="387"/>
      <c r="AM219" s="387"/>
      <c r="AN219" s="387"/>
      <c r="AO219" s="387"/>
      <c r="AP219" s="387"/>
      <c r="AR219" s="987"/>
      <c r="AS219" s="987"/>
      <c r="AT219" s="987"/>
      <c r="AU219" s="987"/>
      <c r="AV219" s="987"/>
      <c r="AW219" s="987"/>
      <c r="AX219" s="987"/>
      <c r="AY219" s="987"/>
      <c r="AZ219" s="987"/>
      <c r="BA219" s="987"/>
      <c r="BB219"/>
      <c r="BC219"/>
      <c r="BD219"/>
      <c r="BE219"/>
      <c r="BF219"/>
      <c r="BG219"/>
      <c r="BH219"/>
      <c r="BI219"/>
      <c r="BJ219"/>
      <c r="BK219"/>
      <c r="BL219"/>
      <c r="BM219"/>
      <c r="BN219" s="988"/>
      <c r="BO219" s="988"/>
      <c r="BP219" s="988"/>
      <c r="BQ219" s="988"/>
      <c r="BR219" s="988"/>
      <c r="BS219" s="988"/>
      <c r="BT219" s="988"/>
      <c r="BU219" s="988"/>
      <c r="BV219" s="988"/>
      <c r="BW219" s="988"/>
      <c r="BX219" s="387"/>
      <c r="BY219" s="387"/>
      <c r="BZ219" s="387"/>
      <c r="CA219" s="387"/>
      <c r="CB219" s="387"/>
    </row>
    <row r="220" spans="1:80" x14ac:dyDescent="0.25">
      <c r="B220" s="2167" t="s">
        <v>1972</v>
      </c>
      <c r="C220" s="2168"/>
      <c r="D220" s="2168"/>
      <c r="E220" s="2168"/>
      <c r="F220" s="2168"/>
      <c r="G220" s="2168"/>
      <c r="H220" s="2168"/>
      <c r="I220" s="2168"/>
      <c r="J220" s="2168"/>
      <c r="K220" s="2169"/>
      <c r="L220" s="2166" t="s">
        <v>1964</v>
      </c>
      <c r="M220" s="2166"/>
      <c r="N220" s="2166"/>
      <c r="O220" s="2166"/>
      <c r="P220" s="2166"/>
      <c r="Q220" s="2166"/>
      <c r="R220" s="2166" t="s">
        <v>1965</v>
      </c>
      <c r="S220" s="2166"/>
      <c r="T220" s="2166"/>
      <c r="U220" s="2166"/>
      <c r="V220" s="2166"/>
      <c r="W220" s="2166"/>
      <c r="X220" s="951"/>
      <c r="Y220" s="952"/>
      <c r="Z220" s="952"/>
      <c r="AA220" s="952"/>
      <c r="AB220" s="952"/>
      <c r="AC220" s="952"/>
      <c r="AD220" s="952"/>
      <c r="AE220" s="952"/>
      <c r="AF220" s="952"/>
      <c r="AG220" s="952"/>
      <c r="AH220" s="985"/>
      <c r="AI220" s="985"/>
      <c r="AJ220" s="985"/>
      <c r="AK220" s="985"/>
      <c r="AL220" s="397"/>
      <c r="AM220" s="397"/>
      <c r="AN220" s="397"/>
      <c r="AO220" s="397"/>
      <c r="AP220" s="397"/>
      <c r="AR220" s="987"/>
      <c r="AS220" s="987"/>
      <c r="AT220" s="987"/>
      <c r="AU220" s="987"/>
      <c r="AV220" s="987"/>
      <c r="AW220" s="987"/>
      <c r="AX220" s="987"/>
      <c r="AY220" s="987"/>
      <c r="AZ220" s="987"/>
      <c r="BA220" s="987"/>
      <c r="BB220"/>
      <c r="BC220"/>
      <c r="BD220"/>
      <c r="BE220"/>
      <c r="BF220"/>
      <c r="BG220"/>
      <c r="BH220"/>
      <c r="BI220"/>
      <c r="BJ220"/>
      <c r="BK220"/>
      <c r="BL220"/>
      <c r="BM220"/>
      <c r="BN220" s="988"/>
      <c r="BO220" s="988"/>
      <c r="BP220" s="988"/>
      <c r="BQ220" s="988"/>
      <c r="BR220" s="988"/>
      <c r="BS220" s="988"/>
      <c r="BT220" s="988"/>
      <c r="BU220" s="988"/>
      <c r="BV220" s="988"/>
      <c r="BW220" s="988"/>
      <c r="BX220" s="387"/>
      <c r="BY220" s="387"/>
      <c r="BZ220" s="387"/>
      <c r="CA220" s="387"/>
      <c r="CB220" s="397"/>
    </row>
    <row r="221" spans="1:80" x14ac:dyDescent="0.25">
      <c r="B221" s="2167" t="s">
        <v>1973</v>
      </c>
      <c r="C221" s="2168"/>
      <c r="D221" s="2168"/>
      <c r="E221" s="2168"/>
      <c r="F221" s="2168"/>
      <c r="G221" s="2168"/>
      <c r="H221" s="2168"/>
      <c r="I221" s="2168"/>
      <c r="J221" s="2168"/>
      <c r="K221" s="2169"/>
      <c r="L221" s="2166" t="s">
        <v>1964</v>
      </c>
      <c r="M221" s="2166"/>
      <c r="N221" s="2166"/>
      <c r="O221" s="2166"/>
      <c r="P221" s="2166"/>
      <c r="Q221" s="2166"/>
      <c r="R221" s="2166" t="s">
        <v>1965</v>
      </c>
      <c r="S221" s="2166"/>
      <c r="T221" s="2166"/>
      <c r="U221" s="2166"/>
      <c r="V221" s="2166"/>
      <c r="W221" s="2166"/>
      <c r="X221" s="951"/>
      <c r="Y221" s="952"/>
      <c r="Z221" s="952"/>
      <c r="AA221" s="952"/>
      <c r="AB221" s="952"/>
      <c r="AC221" s="952"/>
      <c r="AD221" s="952"/>
      <c r="AE221" s="952"/>
      <c r="AF221" s="952"/>
      <c r="AG221" s="952"/>
      <c r="AH221" s="985"/>
      <c r="AI221" s="985"/>
      <c r="AJ221" s="985"/>
      <c r="AK221" s="985"/>
      <c r="AL221" s="397"/>
      <c r="AM221" s="397"/>
      <c r="AN221" s="397"/>
      <c r="AO221" s="397"/>
      <c r="AP221" s="397"/>
      <c r="AR221" s="987"/>
      <c r="AS221" s="987"/>
      <c r="AT221" s="987"/>
      <c r="AU221" s="987"/>
      <c r="AV221" s="987"/>
      <c r="AW221" s="987"/>
      <c r="AX221" s="987"/>
      <c r="AY221" s="987"/>
      <c r="AZ221" s="987"/>
      <c r="BA221" s="987"/>
      <c r="BB221"/>
      <c r="BC221"/>
      <c r="BD221"/>
      <c r="BE221"/>
      <c r="BF221"/>
      <c r="BG221"/>
      <c r="BH221"/>
      <c r="BI221"/>
      <c r="BJ221"/>
      <c r="BK221"/>
      <c r="BL221"/>
      <c r="BM221"/>
      <c r="BN221" s="988"/>
      <c r="BO221" s="988"/>
      <c r="BP221" s="988"/>
      <c r="BQ221" s="988"/>
      <c r="BR221" s="988"/>
      <c r="BS221" s="988"/>
      <c r="BT221" s="988"/>
      <c r="BU221" s="988"/>
      <c r="BV221" s="988"/>
      <c r="BW221" s="988"/>
      <c r="BX221" s="387"/>
      <c r="BY221" s="387"/>
      <c r="BZ221" s="387"/>
      <c r="CA221" s="387"/>
      <c r="CB221" s="397"/>
    </row>
    <row r="222" spans="1:80" x14ac:dyDescent="0.25">
      <c r="B222" s="2163" t="s">
        <v>5689</v>
      </c>
      <c r="C222" s="2164"/>
      <c r="D222" s="2164"/>
      <c r="E222" s="2164"/>
      <c r="F222" s="2164"/>
      <c r="G222" s="2164"/>
      <c r="H222" s="2164"/>
      <c r="I222" s="2164"/>
      <c r="J222" s="2164"/>
      <c r="K222" s="2165"/>
      <c r="L222" s="2166" t="s">
        <v>1964</v>
      </c>
      <c r="M222" s="2166"/>
      <c r="N222" s="2166"/>
      <c r="O222" s="2166"/>
      <c r="P222" s="2166"/>
      <c r="Q222" s="2166"/>
      <c r="R222" s="2166" t="s">
        <v>1965</v>
      </c>
      <c r="S222" s="2166"/>
      <c r="T222" s="2166"/>
      <c r="U222" s="2166"/>
      <c r="V222" s="2166"/>
      <c r="W222" s="2166"/>
      <c r="X222" s="951"/>
      <c r="Y222" s="952"/>
      <c r="Z222" s="952"/>
      <c r="AA222" s="952"/>
      <c r="AB222" s="952"/>
      <c r="AC222" s="952"/>
      <c r="AD222" s="952"/>
      <c r="AE222" s="952"/>
      <c r="AF222" s="952"/>
      <c r="AG222" s="952"/>
      <c r="AH222" s="985"/>
      <c r="AI222" s="985"/>
      <c r="AJ222" s="985"/>
      <c r="AK222" s="985"/>
      <c r="AL222" s="397"/>
      <c r="AM222" s="397"/>
      <c r="AN222" s="397"/>
      <c r="AO222" s="397"/>
      <c r="AP222" s="397"/>
      <c r="AR222" s="952"/>
      <c r="AS222" s="952"/>
      <c r="AT222" s="952"/>
      <c r="AU222" s="952"/>
      <c r="AV222" s="952"/>
      <c r="AW222" s="952"/>
      <c r="AX222" s="952"/>
      <c r="AY222" s="952"/>
      <c r="AZ222" s="952"/>
      <c r="BA222" s="952"/>
      <c r="BB222"/>
      <c r="BC222"/>
      <c r="BD222"/>
      <c r="BE222"/>
      <c r="BF222"/>
      <c r="BG222"/>
      <c r="BH222"/>
      <c r="BI222"/>
      <c r="BJ222"/>
      <c r="BK222"/>
      <c r="BL222"/>
      <c r="BM222"/>
      <c r="BN222" s="988"/>
      <c r="BO222" s="988"/>
      <c r="BP222" s="988"/>
      <c r="BQ222" s="988"/>
      <c r="BR222" s="988"/>
      <c r="BS222" s="988"/>
      <c r="BT222" s="988"/>
      <c r="BU222" s="988"/>
      <c r="BV222" s="988"/>
      <c r="BW222" s="988"/>
      <c r="BX222" s="387"/>
      <c r="BY222" s="387"/>
      <c r="BZ222" s="387"/>
      <c r="CA222" s="387"/>
      <c r="CB222" s="397"/>
    </row>
    <row r="223" spans="1:80" x14ac:dyDescent="0.25">
      <c r="B223" s="2167" t="s">
        <v>1974</v>
      </c>
      <c r="C223" s="2168"/>
      <c r="D223" s="2168"/>
      <c r="E223" s="2168"/>
      <c r="F223" s="2168"/>
      <c r="G223" s="2168"/>
      <c r="H223" s="2168"/>
      <c r="I223" s="2168"/>
      <c r="J223" s="2168"/>
      <c r="K223" s="2169"/>
      <c r="L223" s="2166" t="s">
        <v>1964</v>
      </c>
      <c r="M223" s="2166"/>
      <c r="N223" s="2166"/>
      <c r="O223" s="2166"/>
      <c r="P223" s="2166"/>
      <c r="Q223" s="2166"/>
      <c r="R223" s="2166" t="s">
        <v>1965</v>
      </c>
      <c r="S223" s="2166"/>
      <c r="T223" s="2166"/>
      <c r="U223" s="2166"/>
      <c r="V223" s="2166"/>
      <c r="W223" s="2166"/>
      <c r="X223" s="951"/>
      <c r="Y223" s="952"/>
      <c r="Z223" s="952"/>
      <c r="AA223" s="952"/>
      <c r="AB223" s="952"/>
      <c r="AC223" s="952"/>
      <c r="AD223" s="952"/>
      <c r="AE223" s="952"/>
      <c r="AF223" s="952"/>
      <c r="AG223" s="952"/>
      <c r="AH223" s="985"/>
      <c r="AI223" s="985"/>
      <c r="AJ223" s="985"/>
      <c r="AK223" s="985"/>
      <c r="AL223" s="398"/>
      <c r="AM223" s="398"/>
      <c r="AN223" s="398"/>
      <c r="AO223" s="398"/>
      <c r="AP223" s="398"/>
      <c r="AR223" s="987"/>
      <c r="AS223" s="987"/>
      <c r="AT223" s="987"/>
      <c r="AU223" s="987"/>
      <c r="AV223" s="987"/>
      <c r="AW223" s="987"/>
      <c r="AX223" s="987"/>
      <c r="AY223" s="987"/>
      <c r="AZ223" s="987"/>
      <c r="BA223" s="987"/>
      <c r="BB223"/>
      <c r="BC223"/>
      <c r="BD223"/>
      <c r="BE223"/>
      <c r="BF223"/>
      <c r="BG223"/>
      <c r="BH223"/>
      <c r="BI223"/>
      <c r="BJ223"/>
      <c r="BK223"/>
      <c r="BL223"/>
      <c r="BM223"/>
      <c r="BN223" s="988"/>
      <c r="BO223" s="988"/>
      <c r="BP223" s="988"/>
      <c r="BQ223" s="988"/>
      <c r="BR223" s="988"/>
      <c r="BS223" s="988"/>
      <c r="BT223" s="988"/>
      <c r="BU223" s="988"/>
      <c r="BV223" s="988"/>
      <c r="BW223" s="988"/>
      <c r="BX223" s="387"/>
      <c r="BY223" s="387"/>
      <c r="BZ223" s="387"/>
      <c r="CA223" s="387"/>
      <c r="CB223" s="398"/>
    </row>
    <row r="224" spans="1:80" x14ac:dyDescent="0.25">
      <c r="B224" s="2167" t="s">
        <v>1980</v>
      </c>
      <c r="C224" s="2168"/>
      <c r="D224" s="2168"/>
      <c r="E224" s="2168"/>
      <c r="F224" s="2168"/>
      <c r="G224" s="2168"/>
      <c r="H224" s="2168"/>
      <c r="I224" s="2168"/>
      <c r="J224" s="2168"/>
      <c r="K224" s="2169"/>
      <c r="L224" s="2166" t="s">
        <v>1964</v>
      </c>
      <c r="M224" s="2166"/>
      <c r="N224" s="2166"/>
      <c r="O224" s="2166"/>
      <c r="P224" s="2166"/>
      <c r="Q224" s="2166"/>
      <c r="R224" s="2166" t="s">
        <v>1965</v>
      </c>
      <c r="S224" s="2166"/>
      <c r="T224" s="2166"/>
      <c r="U224" s="2166"/>
      <c r="V224" s="2166"/>
      <c r="W224" s="2166"/>
      <c r="X224" s="990"/>
      <c r="Y224" s="227"/>
      <c r="Z224" s="227"/>
      <c r="AA224" s="227"/>
      <c r="AB224" s="227"/>
      <c r="AC224" s="227"/>
      <c r="AD224" s="227"/>
      <c r="AE224" s="227"/>
      <c r="AF224" s="227"/>
      <c r="AG224" s="227"/>
      <c r="AH224" s="985"/>
      <c r="AI224" s="985"/>
      <c r="AJ224" s="985"/>
      <c r="AK224" s="985"/>
      <c r="AL224" s="397"/>
      <c r="AM224" s="397"/>
      <c r="AN224" s="397"/>
      <c r="AO224" s="397"/>
      <c r="AP224" s="397"/>
      <c r="AR224" s="987"/>
      <c r="AS224" s="987"/>
      <c r="AT224" s="987"/>
      <c r="AU224" s="987"/>
      <c r="AV224" s="987"/>
      <c r="AW224" s="987"/>
      <c r="AX224" s="987"/>
      <c r="AY224" s="987"/>
      <c r="AZ224" s="987"/>
      <c r="BA224" s="987"/>
      <c r="BB224"/>
      <c r="BC224"/>
      <c r="BD224"/>
      <c r="BE224"/>
      <c r="BF224"/>
      <c r="BG224"/>
      <c r="BH224"/>
      <c r="BI224"/>
      <c r="BJ224"/>
      <c r="BK224"/>
      <c r="BL224"/>
      <c r="BM224"/>
      <c r="BN224"/>
      <c r="BO224"/>
      <c r="BP224"/>
      <c r="BQ224"/>
      <c r="BR224"/>
      <c r="BS224"/>
      <c r="BT224"/>
      <c r="BU224"/>
      <c r="BV224"/>
      <c r="BW224"/>
      <c r="BX224" s="387"/>
      <c r="BY224" s="387"/>
      <c r="BZ224" s="387"/>
      <c r="CA224" s="387"/>
      <c r="CB224" s="397"/>
    </row>
    <row r="225" spans="1:80" x14ac:dyDescent="0.25">
      <c r="B225" s="2167" t="s">
        <v>1967</v>
      </c>
      <c r="C225" s="2168"/>
      <c r="D225" s="2168"/>
      <c r="E225" s="2168"/>
      <c r="F225" s="2168"/>
      <c r="G225" s="2168"/>
      <c r="H225" s="2168"/>
      <c r="I225" s="2168"/>
      <c r="J225" s="2168"/>
      <c r="K225" s="2169"/>
      <c r="L225" s="2166" t="s">
        <v>1964</v>
      </c>
      <c r="M225" s="2166"/>
      <c r="N225" s="2166"/>
      <c r="O225" s="2166"/>
      <c r="P225" s="2166"/>
      <c r="Q225" s="2166"/>
      <c r="R225" s="2166" t="s">
        <v>1965</v>
      </c>
      <c r="S225" s="2166"/>
      <c r="T225" s="2166"/>
      <c r="U225" s="2166"/>
      <c r="V225" s="2166"/>
      <c r="W225" s="2166"/>
      <c r="X225" s="991"/>
      <c r="Y225" s="227"/>
      <c r="Z225" s="227"/>
      <c r="AA225" s="227"/>
      <c r="AB225" s="227"/>
      <c r="AC225" s="227"/>
      <c r="AD225" s="227"/>
      <c r="AE225" s="227"/>
      <c r="AF225" s="227"/>
      <c r="AG225" s="227"/>
      <c r="AH225" s="985"/>
      <c r="AI225" s="985"/>
      <c r="AJ225" s="985"/>
      <c r="AK225" s="985"/>
      <c r="AL225" s="397"/>
      <c r="AM225" s="397"/>
      <c r="AN225" s="397"/>
      <c r="AO225" s="397"/>
      <c r="AP225" s="397"/>
      <c r="AR225" s="987"/>
      <c r="AS225" s="987"/>
      <c r="AT225" s="987"/>
      <c r="AU225" s="987"/>
      <c r="AV225" s="987"/>
      <c r="AW225" s="987"/>
      <c r="AX225" s="987"/>
      <c r="AY225" s="987"/>
      <c r="AZ225" s="987"/>
      <c r="BA225" s="987"/>
      <c r="BB225"/>
      <c r="BC225"/>
      <c r="BD225"/>
      <c r="BE225"/>
      <c r="BF225"/>
      <c r="BG225"/>
      <c r="BH225"/>
      <c r="BI225"/>
      <c r="BJ225"/>
      <c r="BK225"/>
      <c r="BL225"/>
      <c r="BM225"/>
      <c r="BN225"/>
      <c r="BO225"/>
      <c r="BP225"/>
      <c r="BQ225"/>
      <c r="BR225"/>
      <c r="BS225"/>
      <c r="BT225"/>
      <c r="BU225"/>
      <c r="BV225"/>
      <c r="BW225"/>
      <c r="BX225" s="387"/>
      <c r="BY225" s="387"/>
      <c r="BZ225" s="387"/>
      <c r="CA225" s="387"/>
      <c r="CB225" s="397"/>
    </row>
    <row r="226" spans="1:80" x14ac:dyDescent="0.25">
      <c r="B226" s="2445" t="s">
        <v>259</v>
      </c>
      <c r="C226" s="2446"/>
      <c r="D226" s="2446"/>
      <c r="E226" s="2446"/>
      <c r="F226" s="2446"/>
      <c r="G226" s="2446"/>
      <c r="H226" s="2446"/>
      <c r="I226" s="2446"/>
      <c r="J226" s="2446"/>
      <c r="K226" s="2447"/>
      <c r="L226" s="2448" t="s">
        <v>1969</v>
      </c>
      <c r="M226" s="2449"/>
      <c r="N226" s="2449"/>
      <c r="O226" s="2449"/>
      <c r="P226" s="2449"/>
      <c r="Q226" s="2449"/>
      <c r="R226" s="2449"/>
      <c r="S226" s="2449"/>
      <c r="T226" s="2449"/>
      <c r="U226" s="2449"/>
      <c r="V226" s="2449"/>
      <c r="W226" s="2449"/>
      <c r="X226" s="2449"/>
      <c r="Y226" s="2449"/>
      <c r="Z226" s="2449"/>
      <c r="AA226" s="2449"/>
      <c r="AB226" s="2449"/>
      <c r="AC226" s="2449"/>
      <c r="AD226" s="2449"/>
      <c r="AE226" s="2449"/>
      <c r="AF226" s="2449"/>
      <c r="AG226" s="2450"/>
      <c r="AH226" s="387"/>
      <c r="AR226" s="400"/>
      <c r="AS226" s="400"/>
      <c r="AT226" s="400"/>
      <c r="AU226" s="400"/>
      <c r="AV226" s="400"/>
      <c r="AW226" s="400"/>
      <c r="AX226" s="400"/>
      <c r="AY226" s="400"/>
      <c r="AZ226" s="400"/>
      <c r="BA226" s="400"/>
      <c r="BB226" s="989"/>
      <c r="BC226" s="989"/>
      <c r="BD226" s="989"/>
      <c r="BE226" s="989"/>
      <c r="BF226" s="989"/>
      <c r="BG226" s="989"/>
      <c r="BH226" s="989"/>
      <c r="BI226" s="989"/>
      <c r="BJ226" s="989"/>
      <c r="BK226" s="989"/>
      <c r="BL226" s="989"/>
      <c r="BM226" s="989"/>
      <c r="BN226" s="989"/>
      <c r="BO226" s="989"/>
      <c r="BP226" s="989"/>
      <c r="BQ226" s="989"/>
      <c r="BR226" s="989"/>
      <c r="BS226" s="989"/>
      <c r="BT226" s="989"/>
      <c r="BU226" s="989"/>
      <c r="BV226" s="989"/>
      <c r="BW226" s="989"/>
      <c r="BX226" s="387"/>
    </row>
    <row r="227" spans="1:80" ht="15.75" customHeight="1" x14ac:dyDescent="0.25">
      <c r="B227" s="2451" t="s">
        <v>1978</v>
      </c>
      <c r="C227" s="2452"/>
      <c r="D227" s="2452"/>
      <c r="E227" s="2452"/>
      <c r="F227" s="2452"/>
      <c r="G227" s="2452"/>
      <c r="H227" s="2452"/>
      <c r="I227" s="2452"/>
      <c r="J227" s="2452"/>
      <c r="K227" s="2453"/>
      <c r="L227" s="2166" t="s">
        <v>1981</v>
      </c>
      <c r="M227" s="2166"/>
      <c r="N227" s="2166"/>
      <c r="O227" s="2166"/>
      <c r="P227" s="2166"/>
      <c r="Q227" s="2166"/>
      <c r="R227" s="2166"/>
      <c r="S227" s="2166"/>
      <c r="T227" s="2166"/>
      <c r="U227" s="2166"/>
      <c r="V227" s="2166"/>
      <c r="W227" s="2166" t="s">
        <v>1982</v>
      </c>
      <c r="X227" s="2166"/>
      <c r="Y227" s="2166"/>
      <c r="Z227" s="2166"/>
      <c r="AA227" s="2166"/>
      <c r="AB227" s="2166"/>
      <c r="AC227" s="2166"/>
      <c r="AD227" s="2166"/>
      <c r="AE227" s="2166"/>
      <c r="AF227" s="2166"/>
      <c r="AG227" s="2166"/>
      <c r="AH227" s="387"/>
      <c r="AR227" s="987"/>
      <c r="AS227" s="987"/>
      <c r="AT227" s="987"/>
      <c r="AU227" s="987"/>
      <c r="AV227" s="987"/>
      <c r="AW227" s="987"/>
      <c r="AX227" s="987"/>
      <c r="AY227" s="987"/>
      <c r="AZ227" s="987"/>
      <c r="BA227" s="987"/>
      <c r="BB227"/>
      <c r="BC227"/>
      <c r="BD227"/>
      <c r="BE227"/>
      <c r="BF227"/>
      <c r="BG227"/>
      <c r="BH227"/>
      <c r="BI227"/>
      <c r="BJ227"/>
      <c r="BK227"/>
      <c r="BL227"/>
      <c r="BM227"/>
      <c r="BN227"/>
      <c r="BO227"/>
      <c r="BP227"/>
      <c r="BQ227"/>
      <c r="BR227"/>
      <c r="BS227"/>
      <c r="BT227"/>
      <c r="BU227"/>
      <c r="BV227"/>
      <c r="BW227"/>
      <c r="BX227" s="387"/>
    </row>
    <row r="228" spans="1:80" x14ac:dyDescent="0.25">
      <c r="B228" s="248" t="s">
        <v>1983</v>
      </c>
      <c r="AC228" s="387"/>
      <c r="AD228" s="387"/>
      <c r="AE228" s="387"/>
      <c r="AF228" s="387"/>
      <c r="AG228" s="387"/>
      <c r="AH228" s="387"/>
      <c r="AI228" s="387"/>
      <c r="AJ228" s="397"/>
      <c r="AK228" s="397"/>
      <c r="AL228" s="397"/>
      <c r="AM228" s="397"/>
      <c r="AN228" s="397"/>
      <c r="AR228" s="248"/>
      <c r="BS228" s="387"/>
      <c r="BT228" s="387"/>
      <c r="BU228" s="387"/>
      <c r="BV228" s="387"/>
      <c r="BW228" s="387"/>
      <c r="BX228" s="387"/>
      <c r="BY228" s="387"/>
      <c r="BZ228" s="397"/>
      <c r="CA228" s="397"/>
      <c r="CB228" s="397"/>
    </row>
    <row r="229" spans="1:80" x14ac:dyDescent="0.25">
      <c r="AD229" s="985"/>
      <c r="AE229" s="985"/>
      <c r="AF229" s="985"/>
      <c r="AG229" s="985"/>
      <c r="AH229" s="985"/>
      <c r="AI229" s="952"/>
      <c r="AJ229" s="994"/>
      <c r="AK229" s="994"/>
      <c r="AL229" s="994"/>
      <c r="AM229" s="994"/>
      <c r="AN229" s="994"/>
      <c r="AO229" s="192"/>
      <c r="AP229" s="192"/>
      <c r="AQ229" s="192"/>
    </row>
    <row r="230" spans="1:80" x14ac:dyDescent="0.25">
      <c r="AD230" s="192"/>
      <c r="AE230" s="192"/>
      <c r="AF230" s="192"/>
      <c r="AG230" s="192"/>
      <c r="AH230" s="192"/>
      <c r="AI230" s="192"/>
      <c r="AJ230" s="192"/>
      <c r="AK230" s="192"/>
      <c r="AL230" s="192"/>
      <c r="AM230" s="192"/>
      <c r="AN230" s="192"/>
      <c r="AO230" s="192"/>
      <c r="AP230" s="192"/>
      <c r="AQ230" s="192"/>
    </row>
    <row r="231" spans="1:80" x14ac:dyDescent="0.25">
      <c r="B231" s="379" t="s">
        <v>1932</v>
      </c>
    </row>
    <row r="232" spans="1:80" x14ac:dyDescent="0.25">
      <c r="AX232" s="402"/>
    </row>
    <row r="233" spans="1:80" x14ac:dyDescent="0.25">
      <c r="A233" s="10" t="s">
        <v>1947</v>
      </c>
      <c r="B233" s="10"/>
      <c r="C233" s="10"/>
      <c r="D233" s="10"/>
      <c r="E233" s="10"/>
      <c r="F233" s="10"/>
      <c r="G233" s="10"/>
      <c r="H233" s="10"/>
      <c r="I233" s="10"/>
      <c r="J233" s="10"/>
      <c r="K233" s="10"/>
      <c r="L233" s="10"/>
      <c r="M233" s="10"/>
      <c r="N233" s="10"/>
      <c r="O233" s="10"/>
      <c r="P233" s="10"/>
      <c r="Q233" s="10"/>
      <c r="R233" s="10"/>
      <c r="S233" s="10"/>
      <c r="T233" s="10"/>
      <c r="U233" s="10"/>
      <c r="V233" s="10"/>
      <c r="W233" s="281"/>
      <c r="X233" s="281"/>
      <c r="Y233" s="281"/>
      <c r="Z233" s="281"/>
      <c r="AA233" s="281"/>
      <c r="AB233" s="281"/>
      <c r="AC233" s="281"/>
      <c r="AD233" s="281"/>
      <c r="AE233" s="281"/>
      <c r="AF233" s="281"/>
      <c r="AG233" s="281"/>
      <c r="AH233" s="281"/>
      <c r="AI233" s="281"/>
      <c r="AJ233" s="281"/>
      <c r="AK233" s="281"/>
      <c r="AL233" s="281"/>
      <c r="AM233" s="10"/>
      <c r="AN233" s="10"/>
      <c r="AO233" s="10"/>
      <c r="AP233" s="10"/>
      <c r="AX233" s="402"/>
    </row>
    <row r="234" spans="1:80" x14ac:dyDescent="0.25">
      <c r="B234" s="294"/>
      <c r="C234" s="294"/>
      <c r="D234" s="294"/>
      <c r="E234" s="294"/>
      <c r="F234" s="294"/>
      <c r="G234" s="2208" t="s">
        <v>2919</v>
      </c>
      <c r="H234" s="2209"/>
      <c r="I234" s="2209"/>
      <c r="J234" s="2209"/>
      <c r="K234" s="2209"/>
      <c r="L234" s="2209"/>
      <c r="M234" s="2209"/>
      <c r="N234" s="2209"/>
      <c r="O234" s="2209"/>
      <c r="P234" s="2209"/>
      <c r="Q234" s="2209"/>
      <c r="R234" s="2209"/>
      <c r="S234" s="2209"/>
      <c r="T234" s="2209"/>
      <c r="U234" s="2209"/>
      <c r="V234" s="2210"/>
      <c r="W234" s="2211" t="s">
        <v>2920</v>
      </c>
      <c r="X234" s="2211"/>
      <c r="Y234" s="2211"/>
      <c r="Z234" s="2211"/>
      <c r="AA234" s="2211"/>
      <c r="AB234" s="2211"/>
      <c r="AC234" s="2211"/>
      <c r="AD234" s="2211"/>
      <c r="AE234" s="2211"/>
      <c r="AF234" s="2211"/>
      <c r="AG234" s="2211"/>
      <c r="AH234" s="2211"/>
      <c r="AI234" s="2211"/>
      <c r="AJ234" s="2211"/>
      <c r="AK234" s="2211"/>
      <c r="AL234" s="2211"/>
    </row>
    <row r="235" spans="1:80" x14ac:dyDescent="0.25">
      <c r="A235" s="2173" t="s">
        <v>54</v>
      </c>
      <c r="B235" s="2174"/>
      <c r="C235" s="2174"/>
      <c r="D235" s="2174"/>
      <c r="E235" s="2174"/>
      <c r="F235" s="2175"/>
      <c r="G235" s="2295" t="s">
        <v>261</v>
      </c>
      <c r="H235" s="2295"/>
      <c r="I235" s="2295"/>
      <c r="J235" s="2295"/>
      <c r="K235" s="2289" t="s">
        <v>276</v>
      </c>
      <c r="L235" s="2289"/>
      <c r="M235" s="2289"/>
      <c r="N235" s="2289"/>
      <c r="O235" s="2296" t="s">
        <v>260</v>
      </c>
      <c r="P235" s="2297"/>
      <c r="Q235" s="2297"/>
      <c r="R235" s="2298"/>
      <c r="S235" s="2289" t="s">
        <v>262</v>
      </c>
      <c r="T235" s="2289"/>
      <c r="U235" s="2289"/>
      <c r="V235" s="2289"/>
      <c r="W235" s="2295" t="s">
        <v>261</v>
      </c>
      <c r="X235" s="2295"/>
      <c r="Y235" s="2295"/>
      <c r="Z235" s="2295"/>
      <c r="AA235" s="2289" t="s">
        <v>276</v>
      </c>
      <c r="AB235" s="2289"/>
      <c r="AC235" s="2289"/>
      <c r="AD235" s="2289"/>
      <c r="AE235" s="2295" t="s">
        <v>260</v>
      </c>
      <c r="AF235" s="2295"/>
      <c r="AG235" s="2295"/>
      <c r="AH235" s="2295"/>
      <c r="AI235" s="2289" t="s">
        <v>262</v>
      </c>
      <c r="AJ235" s="2289"/>
      <c r="AK235" s="2289"/>
      <c r="AL235" s="2289"/>
    </row>
    <row r="236" spans="1:80" x14ac:dyDescent="0.25">
      <c r="A236" s="2160" t="s">
        <v>1984</v>
      </c>
      <c r="B236" s="2161"/>
      <c r="C236" s="2161"/>
      <c r="D236" s="2161"/>
      <c r="E236" s="2161"/>
      <c r="F236" s="2162"/>
      <c r="G236" s="2290">
        <f t="shared" ref="G236:G246" si="1">ROUND($AB$95*VLOOKUP($A236,$N$123:$AG$133,17,TRUE)*VLOOKUP($A236,$N$146:$AG$156,13,TRUE)*$Q$78,3)</f>
        <v>7.0000000000000001E-3</v>
      </c>
      <c r="H236" s="2290"/>
      <c r="I236" s="2290"/>
      <c r="J236" s="2290"/>
      <c r="K236" s="2290">
        <f t="shared" ref="K236:K246" si="2">ROUND($AB$94*VLOOKUP($A236,$N$123:$AG$133,17,TRUE)*VLOOKUP($A236,$N$146:$AG$156,13,TRUE)*$Q$78,3)</f>
        <v>0.01</v>
      </c>
      <c r="L236" s="2290"/>
      <c r="M236" s="2290"/>
      <c r="N236" s="2290"/>
      <c r="O236" s="2291">
        <f t="shared" ref="O236:O246" si="3">ROUND($AB$93*VLOOKUP($A236,$N$123:$AG$133,17,TRUE)*VLOOKUP($A236,$N$146:$AG$156,13,TRUE)*$Q$78,3)</f>
        <v>1.2999999999999999E-2</v>
      </c>
      <c r="P236" s="2292"/>
      <c r="Q236" s="2292"/>
      <c r="R236" s="2293"/>
      <c r="S236" s="2290">
        <f t="shared" ref="S236:S246" si="4">ROUND($AB$92*VLOOKUP($A236,$N$123:$AG$133,17,TRUE)*VLOOKUP($A236,$N$146:$AG$156,13,TRUE)*$Q$78,3)</f>
        <v>2.4E-2</v>
      </c>
      <c r="T236" s="2290"/>
      <c r="U236" s="2290"/>
      <c r="V236" s="2290"/>
      <c r="W236" s="2294">
        <f t="shared" ref="W236:W246" si="5">ROUND($AB$95*VLOOKUP($A236,$A$167:$Q$177,15,TRUE)*VLOOKUP($A236,$N$146:$AG$156,17,TRUE)*$Q$78,2)</f>
        <v>35.49</v>
      </c>
      <c r="X236" s="2294"/>
      <c r="Y236" s="2294"/>
      <c r="Z236" s="2294"/>
      <c r="AA236" s="2294">
        <f t="shared" ref="AA236:AA246" si="6">ROUND($AB$94*VLOOKUP($A236,$A$167:$Q$177,15,TRUE)*VLOOKUP($A236,$N$146:$AG$156,17,TRUE)*$Q$78,2)</f>
        <v>51.02</v>
      </c>
      <c r="AB236" s="2294"/>
      <c r="AC236" s="2294"/>
      <c r="AD236" s="2294"/>
      <c r="AE236" s="2294">
        <f t="shared" ref="AE236:AE246" si="7">ROUND($AB$93*VLOOKUP($A236,$A$167:$Q$177,15,TRUE)*VLOOKUP($A236,$N$146:$AG$156,17,TRUE)*$Q$78,2)</f>
        <v>68.760000000000005</v>
      </c>
      <c r="AF236" s="2294"/>
      <c r="AG236" s="2294"/>
      <c r="AH236" s="2294"/>
      <c r="AI236" s="2294">
        <f t="shared" ref="AI236:AI246" si="8">ROUND($AB$92*VLOOKUP($A236,$A$167:$Q$177,15,TRUE)*VLOOKUP($A236,$N$146:$AG$156,17,TRUE)*$Q$78,2)</f>
        <v>126.44</v>
      </c>
      <c r="AJ236" s="2294"/>
      <c r="AK236" s="2294"/>
      <c r="AL236" s="2294"/>
      <c r="AM236" s="295"/>
    </row>
    <row r="237" spans="1:80" x14ac:dyDescent="0.25">
      <c r="A237" s="2160" t="s">
        <v>221</v>
      </c>
      <c r="B237" s="2161"/>
      <c r="C237" s="2161"/>
      <c r="D237" s="2161"/>
      <c r="E237" s="2161"/>
      <c r="F237" s="2162"/>
      <c r="G237" s="2291">
        <f t="shared" si="1"/>
        <v>4.0000000000000001E-3</v>
      </c>
      <c r="H237" s="2292"/>
      <c r="I237" s="2292"/>
      <c r="J237" s="2293"/>
      <c r="K237" s="2291">
        <f t="shared" si="2"/>
        <v>6.0000000000000001E-3</v>
      </c>
      <c r="L237" s="2292"/>
      <c r="M237" s="2292"/>
      <c r="N237" s="2293"/>
      <c r="O237" s="2291">
        <f t="shared" si="3"/>
        <v>8.0000000000000002E-3</v>
      </c>
      <c r="P237" s="2292"/>
      <c r="Q237" s="2292"/>
      <c r="R237" s="2293"/>
      <c r="S237" s="2291">
        <f t="shared" si="4"/>
        <v>1.4E-2</v>
      </c>
      <c r="T237" s="2292"/>
      <c r="U237" s="2292"/>
      <c r="V237" s="2293"/>
      <c r="W237" s="2300">
        <f t="shared" si="5"/>
        <v>121.82</v>
      </c>
      <c r="X237" s="2301"/>
      <c r="Y237" s="2301"/>
      <c r="Z237" s="2302"/>
      <c r="AA237" s="2300">
        <f t="shared" si="6"/>
        <v>175.12</v>
      </c>
      <c r="AB237" s="2301"/>
      <c r="AC237" s="2301"/>
      <c r="AD237" s="2302"/>
      <c r="AE237" s="2300">
        <f t="shared" si="7"/>
        <v>236.03</v>
      </c>
      <c r="AF237" s="2301"/>
      <c r="AG237" s="2301"/>
      <c r="AH237" s="2302"/>
      <c r="AI237" s="2300">
        <f t="shared" si="8"/>
        <v>434</v>
      </c>
      <c r="AJ237" s="2301"/>
      <c r="AK237" s="2301"/>
      <c r="AL237" s="2302"/>
      <c r="AM237" s="295"/>
    </row>
    <row r="238" spans="1:80" x14ac:dyDescent="0.25">
      <c r="A238" s="2160" t="s">
        <v>222</v>
      </c>
      <c r="B238" s="2161"/>
      <c r="C238" s="2161"/>
      <c r="D238" s="2161"/>
      <c r="E238" s="2161"/>
      <c r="F238" s="2162"/>
      <c r="G238" s="2290">
        <f t="shared" si="1"/>
        <v>7.0000000000000001E-3</v>
      </c>
      <c r="H238" s="2290"/>
      <c r="I238" s="2290"/>
      <c r="J238" s="2290"/>
      <c r="K238" s="2290">
        <f t="shared" si="2"/>
        <v>0.01</v>
      </c>
      <c r="L238" s="2290"/>
      <c r="M238" s="2290"/>
      <c r="N238" s="2290"/>
      <c r="O238" s="2291">
        <f t="shared" si="3"/>
        <v>1.2999999999999999E-2</v>
      </c>
      <c r="P238" s="2292"/>
      <c r="Q238" s="2292"/>
      <c r="R238" s="2293"/>
      <c r="S238" s="2290">
        <f t="shared" si="4"/>
        <v>2.4E-2</v>
      </c>
      <c r="T238" s="2290"/>
      <c r="U238" s="2290"/>
      <c r="V238" s="2290"/>
      <c r="W238" s="2294">
        <f t="shared" si="5"/>
        <v>34.04</v>
      </c>
      <c r="X238" s="2294"/>
      <c r="Y238" s="2294"/>
      <c r="Z238" s="2294"/>
      <c r="AA238" s="2294">
        <f t="shared" si="6"/>
        <v>48.93</v>
      </c>
      <c r="AB238" s="2294"/>
      <c r="AC238" s="2294"/>
      <c r="AD238" s="2294"/>
      <c r="AE238" s="2294">
        <f t="shared" si="7"/>
        <v>65.95</v>
      </c>
      <c r="AF238" s="2294"/>
      <c r="AG238" s="2294"/>
      <c r="AH238" s="2294"/>
      <c r="AI238" s="2294">
        <f t="shared" si="8"/>
        <v>121.27</v>
      </c>
      <c r="AJ238" s="2294"/>
      <c r="AK238" s="2294"/>
      <c r="AL238" s="2294"/>
      <c r="AM238" s="295"/>
    </row>
    <row r="239" spans="1:80" x14ac:dyDescent="0.25">
      <c r="A239" s="2160" t="s">
        <v>223</v>
      </c>
      <c r="B239" s="2161"/>
      <c r="C239" s="2161"/>
      <c r="D239" s="2161"/>
      <c r="E239" s="2161"/>
      <c r="F239" s="2162"/>
      <c r="G239" s="2290">
        <f t="shared" si="1"/>
        <v>1.2E-2</v>
      </c>
      <c r="H239" s="2290"/>
      <c r="I239" s="2290"/>
      <c r="J239" s="2290"/>
      <c r="K239" s="2290">
        <f t="shared" si="2"/>
        <v>1.7000000000000001E-2</v>
      </c>
      <c r="L239" s="2290"/>
      <c r="M239" s="2290"/>
      <c r="N239" s="2290"/>
      <c r="O239" s="2291">
        <f t="shared" si="3"/>
        <v>2.3E-2</v>
      </c>
      <c r="P239" s="2292"/>
      <c r="Q239" s="2292"/>
      <c r="R239" s="2293"/>
      <c r="S239" s="2290">
        <f t="shared" si="4"/>
        <v>4.2000000000000003E-2</v>
      </c>
      <c r="T239" s="2290"/>
      <c r="U239" s="2290"/>
      <c r="V239" s="2290"/>
      <c r="W239" s="2294">
        <f t="shared" si="5"/>
        <v>87</v>
      </c>
      <c r="X239" s="2294"/>
      <c r="Y239" s="2294"/>
      <c r="Z239" s="2294"/>
      <c r="AA239" s="2294">
        <f t="shared" si="6"/>
        <v>125.07</v>
      </c>
      <c r="AB239" s="2294"/>
      <c r="AC239" s="2294"/>
      <c r="AD239" s="2294"/>
      <c r="AE239" s="2294">
        <f t="shared" si="7"/>
        <v>168.57</v>
      </c>
      <c r="AF239" s="2294"/>
      <c r="AG239" s="2294"/>
      <c r="AH239" s="2294"/>
      <c r="AI239" s="2294">
        <f t="shared" si="8"/>
        <v>309.95</v>
      </c>
      <c r="AJ239" s="2294"/>
      <c r="AK239" s="2294"/>
      <c r="AL239" s="2294"/>
      <c r="AM239" s="295"/>
    </row>
    <row r="240" spans="1:80" x14ac:dyDescent="0.25">
      <c r="A240" s="2160" t="s">
        <v>224</v>
      </c>
      <c r="B240" s="2161"/>
      <c r="C240" s="2161"/>
      <c r="D240" s="2161"/>
      <c r="E240" s="2161"/>
      <c r="F240" s="2162"/>
      <c r="G240" s="2290">
        <f t="shared" si="1"/>
        <v>1.2E-2</v>
      </c>
      <c r="H240" s="2290"/>
      <c r="I240" s="2290"/>
      <c r="J240" s="2290"/>
      <c r="K240" s="2290">
        <f t="shared" si="2"/>
        <v>1.7999999999999999E-2</v>
      </c>
      <c r="L240" s="2290"/>
      <c r="M240" s="2290"/>
      <c r="N240" s="2290"/>
      <c r="O240" s="2291">
        <f t="shared" si="3"/>
        <v>2.4E-2</v>
      </c>
      <c r="P240" s="2292"/>
      <c r="Q240" s="2292"/>
      <c r="R240" s="2293"/>
      <c r="S240" s="2290">
        <f t="shared" si="4"/>
        <v>4.4999999999999998E-2</v>
      </c>
      <c r="T240" s="2290"/>
      <c r="U240" s="2290"/>
      <c r="V240" s="2290"/>
      <c r="W240" s="2294">
        <f t="shared" si="5"/>
        <v>93.84</v>
      </c>
      <c r="X240" s="2294"/>
      <c r="Y240" s="2294"/>
      <c r="Z240" s="2294"/>
      <c r="AA240" s="2294">
        <f t="shared" si="6"/>
        <v>134.9</v>
      </c>
      <c r="AB240" s="2294"/>
      <c r="AC240" s="2294"/>
      <c r="AD240" s="2294"/>
      <c r="AE240" s="2294">
        <f t="shared" si="7"/>
        <v>181.82</v>
      </c>
      <c r="AF240" s="2294"/>
      <c r="AG240" s="2294"/>
      <c r="AH240" s="2294"/>
      <c r="AI240" s="2294">
        <f t="shared" si="8"/>
        <v>334.31</v>
      </c>
      <c r="AJ240" s="2294"/>
      <c r="AK240" s="2294"/>
      <c r="AL240" s="2294"/>
      <c r="AM240" s="295"/>
    </row>
    <row r="241" spans="1:45" x14ac:dyDescent="0.25">
      <c r="A241" s="2160" t="s">
        <v>225</v>
      </c>
      <c r="B241" s="2161"/>
      <c r="C241" s="2161"/>
      <c r="D241" s="2161"/>
      <c r="E241" s="2161"/>
      <c r="F241" s="2162"/>
      <c r="G241" s="2290">
        <f t="shared" si="1"/>
        <v>5.0000000000000001E-3</v>
      </c>
      <c r="H241" s="2290"/>
      <c r="I241" s="2290"/>
      <c r="J241" s="2290"/>
      <c r="K241" s="2290">
        <f t="shared" si="2"/>
        <v>7.0000000000000001E-3</v>
      </c>
      <c r="L241" s="2290"/>
      <c r="M241" s="2290"/>
      <c r="N241" s="2290"/>
      <c r="O241" s="2291">
        <f t="shared" si="3"/>
        <v>8.9999999999999993E-3</v>
      </c>
      <c r="P241" s="2292"/>
      <c r="Q241" s="2292"/>
      <c r="R241" s="2293"/>
      <c r="S241" s="2290">
        <f t="shared" si="4"/>
        <v>1.7000000000000001E-2</v>
      </c>
      <c r="T241" s="2290"/>
      <c r="U241" s="2290"/>
      <c r="V241" s="2290"/>
      <c r="W241" s="2294">
        <f t="shared" si="5"/>
        <v>24.59</v>
      </c>
      <c r="X241" s="2294"/>
      <c r="Y241" s="2294"/>
      <c r="Z241" s="2294"/>
      <c r="AA241" s="2294">
        <f t="shared" si="6"/>
        <v>35.35</v>
      </c>
      <c r="AB241" s="2294"/>
      <c r="AC241" s="2294"/>
      <c r="AD241" s="2294"/>
      <c r="AE241" s="2294">
        <f t="shared" si="7"/>
        <v>47.64</v>
      </c>
      <c r="AF241" s="2294"/>
      <c r="AG241" s="2294"/>
      <c r="AH241" s="2294"/>
      <c r="AI241" s="2294">
        <f t="shared" si="8"/>
        <v>87.6</v>
      </c>
      <c r="AJ241" s="2294"/>
      <c r="AK241" s="2294"/>
      <c r="AL241" s="2294"/>
      <c r="AM241" s="295"/>
    </row>
    <row r="242" spans="1:45" x14ac:dyDescent="0.25">
      <c r="A242" s="2160" t="s">
        <v>226</v>
      </c>
      <c r="B242" s="2161"/>
      <c r="C242" s="2161"/>
      <c r="D242" s="2161"/>
      <c r="E242" s="2161"/>
      <c r="F242" s="2162"/>
      <c r="G242" s="2290">
        <f t="shared" si="1"/>
        <v>1.0999999999999999E-2</v>
      </c>
      <c r="H242" s="2290"/>
      <c r="I242" s="2290"/>
      <c r="J242" s="2290"/>
      <c r="K242" s="2290">
        <f t="shared" si="2"/>
        <v>1.6E-2</v>
      </c>
      <c r="L242" s="2290"/>
      <c r="M242" s="2290"/>
      <c r="N242" s="2290"/>
      <c r="O242" s="2291">
        <f t="shared" si="3"/>
        <v>2.1999999999999999E-2</v>
      </c>
      <c r="P242" s="2292"/>
      <c r="Q242" s="2292"/>
      <c r="R242" s="2293"/>
      <c r="S242" s="2290">
        <f t="shared" si="4"/>
        <v>0.04</v>
      </c>
      <c r="T242" s="2290"/>
      <c r="U242" s="2290"/>
      <c r="V242" s="2290"/>
      <c r="W242" s="2294">
        <f t="shared" si="5"/>
        <v>41.67</v>
      </c>
      <c r="X242" s="2294"/>
      <c r="Y242" s="2294"/>
      <c r="Z242" s="2294"/>
      <c r="AA242" s="2294">
        <f t="shared" si="6"/>
        <v>59.91</v>
      </c>
      <c r="AB242" s="2294"/>
      <c r="AC242" s="2294"/>
      <c r="AD242" s="2294"/>
      <c r="AE242" s="2294">
        <f t="shared" si="7"/>
        <v>80.739999999999995</v>
      </c>
      <c r="AF242" s="2294"/>
      <c r="AG242" s="2294"/>
      <c r="AH242" s="2294"/>
      <c r="AI242" s="2294">
        <f t="shared" si="8"/>
        <v>148.47</v>
      </c>
      <c r="AJ242" s="2294"/>
      <c r="AK242" s="2294"/>
      <c r="AL242" s="2294"/>
      <c r="AM242" s="295"/>
    </row>
    <row r="243" spans="1:45" x14ac:dyDescent="0.25">
      <c r="A243" s="2160" t="s">
        <v>55</v>
      </c>
      <c r="B243" s="2161"/>
      <c r="C243" s="2161"/>
      <c r="D243" s="2161"/>
      <c r="E243" s="2161"/>
      <c r="F243" s="2162"/>
      <c r="G243" s="2290">
        <f t="shared" si="1"/>
        <v>4.0000000000000001E-3</v>
      </c>
      <c r="H243" s="2290"/>
      <c r="I243" s="2290"/>
      <c r="J243" s="2290"/>
      <c r="K243" s="2290">
        <f t="shared" si="2"/>
        <v>6.0000000000000001E-3</v>
      </c>
      <c r="L243" s="2290"/>
      <c r="M243" s="2290"/>
      <c r="N243" s="2290"/>
      <c r="O243" s="2291">
        <f t="shared" si="3"/>
        <v>8.0000000000000002E-3</v>
      </c>
      <c r="P243" s="2292"/>
      <c r="Q243" s="2292"/>
      <c r="R243" s="2293"/>
      <c r="S243" s="2290">
        <f t="shared" si="4"/>
        <v>1.4999999999999999E-2</v>
      </c>
      <c r="T243" s="2290"/>
      <c r="U243" s="2290"/>
      <c r="V243" s="2290"/>
      <c r="W243" s="2294">
        <f t="shared" si="5"/>
        <v>39.92</v>
      </c>
      <c r="X243" s="2294"/>
      <c r="Y243" s="2294"/>
      <c r="Z243" s="2294"/>
      <c r="AA243" s="2294">
        <f t="shared" si="6"/>
        <v>57.38</v>
      </c>
      <c r="AB243" s="2294"/>
      <c r="AC243" s="2294"/>
      <c r="AD243" s="2294"/>
      <c r="AE243" s="2294">
        <f t="shared" si="7"/>
        <v>77.34</v>
      </c>
      <c r="AF243" s="2294"/>
      <c r="AG243" s="2294"/>
      <c r="AH243" s="2294"/>
      <c r="AI243" s="2294">
        <f t="shared" si="8"/>
        <v>142.19999999999999</v>
      </c>
      <c r="AJ243" s="2294"/>
      <c r="AK243" s="2294"/>
      <c r="AL243" s="2294"/>
      <c r="AM243" s="295"/>
    </row>
    <row r="244" spans="1:45" x14ac:dyDescent="0.25">
      <c r="A244" s="2160" t="s">
        <v>227</v>
      </c>
      <c r="B244" s="2161"/>
      <c r="C244" s="2161"/>
      <c r="D244" s="2161"/>
      <c r="E244" s="2161"/>
      <c r="F244" s="2162"/>
      <c r="G244" s="2290">
        <f t="shared" si="1"/>
        <v>0.01</v>
      </c>
      <c r="H244" s="2290"/>
      <c r="I244" s="2290"/>
      <c r="J244" s="2290"/>
      <c r="K244" s="2290">
        <f t="shared" si="2"/>
        <v>1.4E-2</v>
      </c>
      <c r="L244" s="2290"/>
      <c r="M244" s="2290"/>
      <c r="N244" s="2290"/>
      <c r="O244" s="2291">
        <f t="shared" si="3"/>
        <v>1.9E-2</v>
      </c>
      <c r="P244" s="2292"/>
      <c r="Q244" s="2292"/>
      <c r="R244" s="2293"/>
      <c r="S244" s="2290">
        <f t="shared" si="4"/>
        <v>3.5000000000000003E-2</v>
      </c>
      <c r="T244" s="2290"/>
      <c r="U244" s="2290"/>
      <c r="V244" s="2290"/>
      <c r="W244" s="2294">
        <f t="shared" si="5"/>
        <v>71.680000000000007</v>
      </c>
      <c r="X244" s="2294"/>
      <c r="Y244" s="2294"/>
      <c r="Z244" s="2294"/>
      <c r="AA244" s="2294">
        <f t="shared" si="6"/>
        <v>103.04</v>
      </c>
      <c r="AB244" s="2294"/>
      <c r="AC244" s="2294"/>
      <c r="AD244" s="2294"/>
      <c r="AE244" s="2294">
        <f t="shared" si="7"/>
        <v>138.88</v>
      </c>
      <c r="AF244" s="2294"/>
      <c r="AG244" s="2294"/>
      <c r="AH244" s="2294"/>
      <c r="AI244" s="2294">
        <f t="shared" si="8"/>
        <v>255.36</v>
      </c>
      <c r="AJ244" s="2294"/>
      <c r="AK244" s="2294"/>
      <c r="AL244" s="2294"/>
      <c r="AM244" s="295"/>
    </row>
    <row r="245" spans="1:45" x14ac:dyDescent="0.25">
      <c r="A245" s="2160" t="s">
        <v>228</v>
      </c>
      <c r="B245" s="2161"/>
      <c r="C245" s="2161"/>
      <c r="D245" s="2161"/>
      <c r="E245" s="2161"/>
      <c r="F245" s="2162"/>
      <c r="G245" s="2290">
        <f t="shared" si="1"/>
        <v>1.0999999999999999E-2</v>
      </c>
      <c r="H245" s="2290"/>
      <c r="I245" s="2290"/>
      <c r="J245" s="2290"/>
      <c r="K245" s="2290">
        <f t="shared" si="2"/>
        <v>1.6E-2</v>
      </c>
      <c r="L245" s="2290"/>
      <c r="M245" s="2290"/>
      <c r="N245" s="2290"/>
      <c r="O245" s="2291">
        <f t="shared" si="3"/>
        <v>2.1000000000000001E-2</v>
      </c>
      <c r="P245" s="2292"/>
      <c r="Q245" s="2292"/>
      <c r="R245" s="2293"/>
      <c r="S245" s="2290">
        <f t="shared" si="4"/>
        <v>3.9E-2</v>
      </c>
      <c r="T245" s="2290"/>
      <c r="U245" s="2290"/>
      <c r="V245" s="2290"/>
      <c r="W245" s="2294">
        <f t="shared" si="5"/>
        <v>67.900000000000006</v>
      </c>
      <c r="X245" s="2294"/>
      <c r="Y245" s="2294"/>
      <c r="Z245" s="2294"/>
      <c r="AA245" s="2294">
        <f t="shared" si="6"/>
        <v>97.6</v>
      </c>
      <c r="AB245" s="2294"/>
      <c r="AC245" s="2294"/>
      <c r="AD245" s="2294"/>
      <c r="AE245" s="2294">
        <f t="shared" si="7"/>
        <v>131.55000000000001</v>
      </c>
      <c r="AF245" s="2294"/>
      <c r="AG245" s="2294"/>
      <c r="AH245" s="2294"/>
      <c r="AI245" s="2294">
        <f t="shared" si="8"/>
        <v>241.88</v>
      </c>
      <c r="AJ245" s="2294"/>
      <c r="AK245" s="2294"/>
      <c r="AL245" s="2294"/>
      <c r="AM245" s="295"/>
    </row>
    <row r="246" spans="1:45" x14ac:dyDescent="0.25">
      <c r="A246" s="2160" t="s">
        <v>229</v>
      </c>
      <c r="B246" s="2161"/>
      <c r="C246" s="2161"/>
      <c r="D246" s="2161"/>
      <c r="E246" s="2161"/>
      <c r="F246" s="2162"/>
      <c r="G246" s="2290">
        <f t="shared" si="1"/>
        <v>1E-3</v>
      </c>
      <c r="H246" s="2290"/>
      <c r="I246" s="2290"/>
      <c r="J246" s="2290"/>
      <c r="K246" s="2290">
        <f t="shared" si="2"/>
        <v>2E-3</v>
      </c>
      <c r="L246" s="2290"/>
      <c r="M246" s="2290"/>
      <c r="N246" s="2290"/>
      <c r="O246" s="2291">
        <f t="shared" si="3"/>
        <v>3.0000000000000001E-3</v>
      </c>
      <c r="P246" s="2292"/>
      <c r="Q246" s="2292"/>
      <c r="R246" s="2293"/>
      <c r="S246" s="2290">
        <f t="shared" si="4"/>
        <v>5.0000000000000001E-3</v>
      </c>
      <c r="T246" s="2290"/>
      <c r="U246" s="2290"/>
      <c r="V246" s="2290"/>
      <c r="W246" s="2294">
        <f t="shared" si="5"/>
        <v>31.84</v>
      </c>
      <c r="X246" s="2294"/>
      <c r="Y246" s="2294"/>
      <c r="Z246" s="2294"/>
      <c r="AA246" s="2294">
        <f t="shared" si="6"/>
        <v>45.76</v>
      </c>
      <c r="AB246" s="2294"/>
      <c r="AC246" s="2294"/>
      <c r="AD246" s="2294"/>
      <c r="AE246" s="2294">
        <f t="shared" si="7"/>
        <v>61.68</v>
      </c>
      <c r="AF246" s="2294"/>
      <c r="AG246" s="2294"/>
      <c r="AH246" s="2294"/>
      <c r="AI246" s="2294">
        <f t="shared" si="8"/>
        <v>113.41</v>
      </c>
      <c r="AJ246" s="2294"/>
      <c r="AK246" s="2294"/>
      <c r="AL246" s="2294"/>
      <c r="AM246" s="295"/>
    </row>
    <row r="247" spans="1:45" x14ac:dyDescent="0.25">
      <c r="A247" s="392" t="s">
        <v>1933</v>
      </c>
      <c r="B247" s="391"/>
      <c r="C247" s="289"/>
      <c r="G247" s="277"/>
      <c r="K247" s="277"/>
      <c r="O247" s="277"/>
      <c r="S247" s="277"/>
      <c r="AA247" s="277"/>
      <c r="AG247" s="277"/>
      <c r="AK247" s="277"/>
      <c r="AO247" s="277"/>
      <c r="AS247" s="277"/>
    </row>
    <row r="248" spans="1:45" x14ac:dyDescent="0.25">
      <c r="A248" s="393"/>
      <c r="B248" s="289"/>
      <c r="C248" s="289"/>
      <c r="G248" s="277"/>
      <c r="K248" s="277"/>
      <c r="O248" s="277"/>
      <c r="S248" s="277"/>
      <c r="AA248" s="277"/>
      <c r="AG248" s="277"/>
      <c r="AK248" s="277"/>
      <c r="AO248" s="277"/>
      <c r="AS248" s="277"/>
    </row>
    <row r="249" spans="1:45" x14ac:dyDescent="0.25">
      <c r="B249" s="379" t="s">
        <v>1934</v>
      </c>
      <c r="C249" s="289"/>
      <c r="G249" s="277"/>
      <c r="K249" s="277"/>
      <c r="O249" s="277"/>
      <c r="S249" s="277"/>
      <c r="AA249" s="277"/>
      <c r="AG249" s="277"/>
      <c r="AK249" s="277"/>
      <c r="AO249" s="277"/>
      <c r="AS249" s="277"/>
    </row>
    <row r="250" spans="1:45" x14ac:dyDescent="0.25">
      <c r="A250" s="393"/>
      <c r="B250" s="289"/>
      <c r="C250" s="289"/>
      <c r="G250" s="277"/>
      <c r="K250" s="277"/>
      <c r="O250" s="277"/>
      <c r="S250" s="277"/>
      <c r="AA250" s="277"/>
      <c r="AG250" s="277"/>
      <c r="AK250" s="277"/>
      <c r="AO250" s="277"/>
      <c r="AS250" s="277"/>
    </row>
    <row r="251" spans="1:45" x14ac:dyDescent="0.25">
      <c r="A251" s="10" t="s">
        <v>1946</v>
      </c>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O251" s="277"/>
      <c r="AS251" s="277"/>
    </row>
    <row r="252" spans="1:45" x14ac:dyDescent="0.25">
      <c r="B252" s="294"/>
      <c r="C252" s="294"/>
      <c r="D252" s="294"/>
      <c r="E252" s="294"/>
      <c r="F252" s="294"/>
      <c r="G252" s="2360" t="s">
        <v>1945</v>
      </c>
      <c r="H252" s="2361"/>
      <c r="I252" s="2361"/>
      <c r="J252" s="2361"/>
      <c r="K252" s="2361"/>
      <c r="L252" s="2361"/>
      <c r="M252" s="2361"/>
      <c r="N252" s="2361"/>
      <c r="O252" s="2361"/>
      <c r="P252" s="2361"/>
      <c r="Q252" s="2361"/>
      <c r="R252" s="2361"/>
      <c r="S252" s="2361"/>
      <c r="T252" s="2361"/>
      <c r="U252" s="2361"/>
      <c r="V252" s="2362"/>
      <c r="W252" s="394"/>
      <c r="Y252" s="277"/>
      <c r="AC252" s="277"/>
    </row>
    <row r="253" spans="1:45" x14ac:dyDescent="0.25">
      <c r="A253" s="2173" t="s">
        <v>54</v>
      </c>
      <c r="B253" s="2174"/>
      <c r="C253" s="2174"/>
      <c r="D253" s="2174"/>
      <c r="E253" s="2174"/>
      <c r="F253" s="2175"/>
      <c r="G253" s="2304" t="s">
        <v>261</v>
      </c>
      <c r="H253" s="2304"/>
      <c r="I253" s="2304"/>
      <c r="J253" s="2304"/>
      <c r="K253" s="2303" t="s">
        <v>276</v>
      </c>
      <c r="L253" s="2303"/>
      <c r="M253" s="2303"/>
      <c r="N253" s="2303"/>
      <c r="O253" s="2305" t="s">
        <v>260</v>
      </c>
      <c r="P253" s="2306"/>
      <c r="Q253" s="2306"/>
      <c r="R253" s="2307"/>
      <c r="S253" s="2303" t="s">
        <v>262</v>
      </c>
      <c r="T253" s="2303"/>
      <c r="U253" s="2303"/>
      <c r="V253" s="2303"/>
      <c r="Y253" s="277"/>
      <c r="AC253" s="277"/>
    </row>
    <row r="254" spans="1:45" x14ac:dyDescent="0.25">
      <c r="A254" s="2160" t="s">
        <v>1984</v>
      </c>
      <c r="B254" s="2161"/>
      <c r="C254" s="2161"/>
      <c r="D254" s="2161"/>
      <c r="E254" s="2161"/>
      <c r="F254" s="2162"/>
      <c r="G254" s="2294">
        <f t="shared" ref="G254:G264" si="9">ROUND(W236*VLOOKUP($A254,$A$199:$Q$209,15,TRUE),2)</f>
        <v>887.25</v>
      </c>
      <c r="H254" s="2294"/>
      <c r="I254" s="2294"/>
      <c r="J254" s="2294"/>
      <c r="K254" s="2294">
        <f t="shared" ref="K254:K264" si="10">ROUND(AA236*VLOOKUP($A254,$A$199:$Q$209,15,TRUE),2)</f>
        <v>1275.5</v>
      </c>
      <c r="L254" s="2294"/>
      <c r="M254" s="2294"/>
      <c r="N254" s="2294"/>
      <c r="O254" s="2300">
        <f t="shared" ref="O254:O264" si="11">ROUND(AE236*VLOOKUP($A254,$A$199:$Q$209,15,TRUE),2)</f>
        <v>1719</v>
      </c>
      <c r="P254" s="2301"/>
      <c r="Q254" s="2301"/>
      <c r="R254" s="2302"/>
      <c r="S254" s="2294">
        <f t="shared" ref="S254:S264" si="12">ROUND(AI236*VLOOKUP($A254,$A$199:$Q$209,15,TRUE),2)</f>
        <v>3161</v>
      </c>
      <c r="T254" s="2294"/>
      <c r="U254" s="2294"/>
      <c r="V254" s="2294"/>
      <c r="Y254" s="277"/>
      <c r="AC254" s="277"/>
    </row>
    <row r="255" spans="1:45" x14ac:dyDescent="0.25">
      <c r="A255" s="2160" t="s">
        <v>221</v>
      </c>
      <c r="B255" s="2161"/>
      <c r="C255" s="2161"/>
      <c r="D255" s="2161"/>
      <c r="E255" s="2161"/>
      <c r="F255" s="2162"/>
      <c r="G255" s="2294">
        <f t="shared" si="9"/>
        <v>1340.02</v>
      </c>
      <c r="H255" s="2294"/>
      <c r="I255" s="2294"/>
      <c r="J255" s="2294"/>
      <c r="K255" s="2294">
        <f t="shared" si="10"/>
        <v>1926.32</v>
      </c>
      <c r="L255" s="2294"/>
      <c r="M255" s="2294"/>
      <c r="N255" s="2294"/>
      <c r="O255" s="2300">
        <f t="shared" si="11"/>
        <v>2596.33</v>
      </c>
      <c r="P255" s="2301"/>
      <c r="Q255" s="2301"/>
      <c r="R255" s="2302"/>
      <c r="S255" s="2294">
        <f t="shared" si="12"/>
        <v>4774</v>
      </c>
      <c r="T255" s="2294"/>
      <c r="U255" s="2294"/>
      <c r="V255" s="2294"/>
      <c r="Y255" s="277"/>
      <c r="AC255" s="277"/>
    </row>
    <row r="256" spans="1:45" x14ac:dyDescent="0.25">
      <c r="A256" s="2160" t="s">
        <v>222</v>
      </c>
      <c r="B256" s="2161"/>
      <c r="C256" s="2161"/>
      <c r="D256" s="2161"/>
      <c r="E256" s="2161"/>
      <c r="F256" s="2162"/>
      <c r="G256" s="2294">
        <f t="shared" si="9"/>
        <v>851</v>
      </c>
      <c r="H256" s="2294"/>
      <c r="I256" s="2294"/>
      <c r="J256" s="2294"/>
      <c r="K256" s="2294">
        <f t="shared" si="10"/>
        <v>1223.25</v>
      </c>
      <c r="L256" s="2294"/>
      <c r="M256" s="2294"/>
      <c r="N256" s="2294"/>
      <c r="O256" s="2300">
        <f t="shared" si="11"/>
        <v>1648.75</v>
      </c>
      <c r="P256" s="2301"/>
      <c r="Q256" s="2301"/>
      <c r="R256" s="2302"/>
      <c r="S256" s="2294">
        <f t="shared" si="12"/>
        <v>3031.75</v>
      </c>
      <c r="T256" s="2294"/>
      <c r="U256" s="2294"/>
      <c r="V256" s="2294"/>
      <c r="Y256" s="277"/>
      <c r="AC256" s="277"/>
    </row>
    <row r="257" spans="1:52" x14ac:dyDescent="0.25">
      <c r="A257" s="2160" t="s">
        <v>223</v>
      </c>
      <c r="B257" s="2161"/>
      <c r="C257" s="2161"/>
      <c r="D257" s="2161"/>
      <c r="E257" s="2161"/>
      <c r="F257" s="2162"/>
      <c r="G257" s="2294">
        <f t="shared" si="9"/>
        <v>870</v>
      </c>
      <c r="H257" s="2294"/>
      <c r="I257" s="2294"/>
      <c r="J257" s="2294"/>
      <c r="K257" s="2294">
        <f t="shared" si="10"/>
        <v>1250.7</v>
      </c>
      <c r="L257" s="2294"/>
      <c r="M257" s="2294"/>
      <c r="N257" s="2294"/>
      <c r="O257" s="2300">
        <f t="shared" si="11"/>
        <v>1685.7</v>
      </c>
      <c r="P257" s="2301"/>
      <c r="Q257" s="2301"/>
      <c r="R257" s="2302"/>
      <c r="S257" s="2294">
        <f t="shared" si="12"/>
        <v>3099.5</v>
      </c>
      <c r="T257" s="2294"/>
      <c r="U257" s="2294"/>
      <c r="V257" s="2294"/>
      <c r="Y257" s="277"/>
      <c r="AC257" s="277"/>
    </row>
    <row r="258" spans="1:52" x14ac:dyDescent="0.25">
      <c r="A258" s="2160" t="s">
        <v>224</v>
      </c>
      <c r="B258" s="2161"/>
      <c r="C258" s="2161"/>
      <c r="D258" s="2161"/>
      <c r="E258" s="2161"/>
      <c r="F258" s="2162"/>
      <c r="G258" s="2294">
        <f t="shared" si="9"/>
        <v>938.4</v>
      </c>
      <c r="H258" s="2294"/>
      <c r="I258" s="2294"/>
      <c r="J258" s="2294"/>
      <c r="K258" s="2294">
        <f t="shared" si="10"/>
        <v>1349</v>
      </c>
      <c r="L258" s="2294"/>
      <c r="M258" s="2294"/>
      <c r="N258" s="2294"/>
      <c r="O258" s="2300">
        <f t="shared" si="11"/>
        <v>1818.2</v>
      </c>
      <c r="P258" s="2301"/>
      <c r="Q258" s="2301"/>
      <c r="R258" s="2302"/>
      <c r="S258" s="2294">
        <f t="shared" si="12"/>
        <v>3343.1</v>
      </c>
      <c r="T258" s="2294"/>
      <c r="U258" s="2294"/>
      <c r="V258" s="2294"/>
      <c r="Y258" s="277"/>
      <c r="AC258" s="277"/>
    </row>
    <row r="259" spans="1:52" x14ac:dyDescent="0.25">
      <c r="A259" s="2160" t="s">
        <v>225</v>
      </c>
      <c r="B259" s="2161"/>
      <c r="C259" s="2161"/>
      <c r="D259" s="2161"/>
      <c r="E259" s="2161"/>
      <c r="F259" s="2162"/>
      <c r="G259" s="2294">
        <f t="shared" si="9"/>
        <v>614.75</v>
      </c>
      <c r="H259" s="2294"/>
      <c r="I259" s="2294"/>
      <c r="J259" s="2294"/>
      <c r="K259" s="2294">
        <f t="shared" si="10"/>
        <v>883.75</v>
      </c>
      <c r="L259" s="2294"/>
      <c r="M259" s="2294"/>
      <c r="N259" s="2294"/>
      <c r="O259" s="2300">
        <f t="shared" si="11"/>
        <v>1191</v>
      </c>
      <c r="P259" s="2301"/>
      <c r="Q259" s="2301"/>
      <c r="R259" s="2302"/>
      <c r="S259" s="2294">
        <f t="shared" si="12"/>
        <v>2190</v>
      </c>
      <c r="T259" s="2294"/>
      <c r="U259" s="2294"/>
      <c r="V259" s="2294"/>
      <c r="Y259" s="277"/>
      <c r="AC259" s="277"/>
    </row>
    <row r="260" spans="1:52" x14ac:dyDescent="0.25">
      <c r="A260" s="2160" t="s">
        <v>226</v>
      </c>
      <c r="B260" s="2161"/>
      <c r="C260" s="2161"/>
      <c r="D260" s="2161"/>
      <c r="E260" s="2161"/>
      <c r="F260" s="2162"/>
      <c r="G260" s="2294">
        <f t="shared" si="9"/>
        <v>916.74</v>
      </c>
      <c r="H260" s="2294"/>
      <c r="I260" s="2294"/>
      <c r="J260" s="2294"/>
      <c r="K260" s="2294">
        <f t="shared" si="10"/>
        <v>1318.02</v>
      </c>
      <c r="L260" s="2294"/>
      <c r="M260" s="2294"/>
      <c r="N260" s="2294"/>
      <c r="O260" s="2300">
        <f t="shared" si="11"/>
        <v>1776.28</v>
      </c>
      <c r="P260" s="2301"/>
      <c r="Q260" s="2301"/>
      <c r="R260" s="2302"/>
      <c r="S260" s="2294">
        <f t="shared" si="12"/>
        <v>3266.34</v>
      </c>
      <c r="T260" s="2294"/>
      <c r="U260" s="2294"/>
      <c r="V260" s="2294"/>
      <c r="Y260" s="277"/>
      <c r="AC260" s="277"/>
    </row>
    <row r="261" spans="1:52" x14ac:dyDescent="0.25">
      <c r="A261" s="2160" t="s">
        <v>55</v>
      </c>
      <c r="B261" s="2161"/>
      <c r="C261" s="2161"/>
      <c r="D261" s="2161"/>
      <c r="E261" s="2161"/>
      <c r="F261" s="2162"/>
      <c r="G261" s="2294">
        <f t="shared" si="9"/>
        <v>998</v>
      </c>
      <c r="H261" s="2294"/>
      <c r="I261" s="2294"/>
      <c r="J261" s="2294"/>
      <c r="K261" s="2294">
        <f t="shared" si="10"/>
        <v>1434.5</v>
      </c>
      <c r="L261" s="2294"/>
      <c r="M261" s="2294"/>
      <c r="N261" s="2294"/>
      <c r="O261" s="2300">
        <f t="shared" si="11"/>
        <v>1933.5</v>
      </c>
      <c r="P261" s="2301"/>
      <c r="Q261" s="2301"/>
      <c r="R261" s="2302"/>
      <c r="S261" s="2294">
        <f t="shared" si="12"/>
        <v>3555</v>
      </c>
      <c r="T261" s="2294"/>
      <c r="U261" s="2294"/>
      <c r="V261" s="2294"/>
      <c r="Y261" s="277"/>
      <c r="AC261" s="277"/>
    </row>
    <row r="262" spans="1:52" x14ac:dyDescent="0.25">
      <c r="A262" s="2160" t="s">
        <v>227</v>
      </c>
      <c r="B262" s="2161"/>
      <c r="C262" s="2161"/>
      <c r="D262" s="2161"/>
      <c r="E262" s="2161"/>
      <c r="F262" s="2162"/>
      <c r="G262" s="2294">
        <f t="shared" si="9"/>
        <v>1003.52</v>
      </c>
      <c r="H262" s="2294"/>
      <c r="I262" s="2294"/>
      <c r="J262" s="2294"/>
      <c r="K262" s="2294">
        <f t="shared" si="10"/>
        <v>1442.56</v>
      </c>
      <c r="L262" s="2294"/>
      <c r="M262" s="2294"/>
      <c r="N262" s="2294"/>
      <c r="O262" s="2300">
        <f t="shared" si="11"/>
        <v>1944.32</v>
      </c>
      <c r="P262" s="2301"/>
      <c r="Q262" s="2301"/>
      <c r="R262" s="2302"/>
      <c r="S262" s="2294">
        <f t="shared" si="12"/>
        <v>3575.04</v>
      </c>
      <c r="T262" s="2294"/>
      <c r="U262" s="2294"/>
      <c r="V262" s="2294"/>
      <c r="Y262" s="277"/>
      <c r="AC262" s="277"/>
    </row>
    <row r="263" spans="1:52" x14ac:dyDescent="0.25">
      <c r="A263" s="2160" t="s">
        <v>228</v>
      </c>
      <c r="B263" s="2161"/>
      <c r="C263" s="2161"/>
      <c r="D263" s="2161"/>
      <c r="E263" s="2161"/>
      <c r="F263" s="2162"/>
      <c r="G263" s="2294">
        <f t="shared" si="9"/>
        <v>950.6</v>
      </c>
      <c r="H263" s="2294"/>
      <c r="I263" s="2294"/>
      <c r="J263" s="2294"/>
      <c r="K263" s="2294">
        <f t="shared" si="10"/>
        <v>1366.4</v>
      </c>
      <c r="L263" s="2294"/>
      <c r="M263" s="2294"/>
      <c r="N263" s="2294"/>
      <c r="O263" s="2300">
        <f t="shared" si="11"/>
        <v>1841.7</v>
      </c>
      <c r="P263" s="2301"/>
      <c r="Q263" s="2301"/>
      <c r="R263" s="2302"/>
      <c r="S263" s="2294">
        <f t="shared" si="12"/>
        <v>3386.32</v>
      </c>
      <c r="T263" s="2294"/>
      <c r="U263" s="2294"/>
      <c r="V263" s="2294"/>
      <c r="Y263" s="277"/>
      <c r="AC263" s="277"/>
    </row>
    <row r="264" spans="1:52" x14ac:dyDescent="0.25">
      <c r="A264" s="2160" t="s">
        <v>229</v>
      </c>
      <c r="B264" s="2161"/>
      <c r="C264" s="2161"/>
      <c r="D264" s="2161"/>
      <c r="E264" s="2161"/>
      <c r="F264" s="2162"/>
      <c r="G264" s="2294">
        <f t="shared" si="9"/>
        <v>796</v>
      </c>
      <c r="H264" s="2294"/>
      <c r="I264" s="2294"/>
      <c r="J264" s="2294"/>
      <c r="K264" s="2294">
        <f t="shared" si="10"/>
        <v>1144</v>
      </c>
      <c r="L264" s="2294"/>
      <c r="M264" s="2294"/>
      <c r="N264" s="2294"/>
      <c r="O264" s="2300">
        <f t="shared" si="11"/>
        <v>1542</v>
      </c>
      <c r="P264" s="2301"/>
      <c r="Q264" s="2301"/>
      <c r="R264" s="2302"/>
      <c r="S264" s="2294">
        <f t="shared" si="12"/>
        <v>2835.25</v>
      </c>
      <c r="T264" s="2294"/>
      <c r="U264" s="2294"/>
      <c r="V264" s="2294"/>
      <c r="Y264" s="277"/>
      <c r="AC264" s="277"/>
    </row>
    <row r="265" spans="1:52" x14ac:dyDescent="0.25">
      <c r="A265" s="392" t="s">
        <v>1933</v>
      </c>
      <c r="B265" s="391"/>
      <c r="C265" s="289"/>
      <c r="G265" s="277"/>
      <c r="K265" s="277"/>
      <c r="O265" s="277"/>
      <c r="S265" s="277"/>
      <c r="AA265" s="277"/>
      <c r="AG265" s="277"/>
      <c r="AK265" s="277"/>
      <c r="AM265" s="10"/>
      <c r="AN265" s="10"/>
      <c r="AO265" s="10"/>
      <c r="AP265" s="10"/>
      <c r="AQ265" s="10"/>
      <c r="AR265" s="10"/>
      <c r="AS265" s="10"/>
      <c r="AT265" s="10"/>
      <c r="AU265" s="10"/>
      <c r="AV265" s="10"/>
      <c r="AW265" s="10"/>
      <c r="AX265" s="10"/>
      <c r="AY265" s="10"/>
      <c r="AZ265" s="10"/>
    </row>
    <row r="266" spans="1:52" x14ac:dyDescent="0.25">
      <c r="A266" s="393"/>
      <c r="B266" s="289"/>
      <c r="C266" s="289"/>
      <c r="G266" s="277"/>
      <c r="K266" s="277"/>
      <c r="O266" s="277"/>
      <c r="S266" s="277"/>
      <c r="AA266" s="277"/>
      <c r="AG266" s="277"/>
      <c r="AK266" s="277"/>
      <c r="AM266" s="10"/>
      <c r="AN266" s="10"/>
      <c r="AO266" s="10"/>
      <c r="AP266" s="10"/>
      <c r="AQ266" s="10"/>
      <c r="AR266" s="10"/>
      <c r="AS266" s="10"/>
      <c r="AT266" s="10"/>
      <c r="AU266" s="10"/>
      <c r="AV266" s="10"/>
      <c r="AW266" s="10"/>
      <c r="AX266" s="10"/>
      <c r="AY266" s="10"/>
      <c r="AZ266" s="10"/>
    </row>
    <row r="267" spans="1:52" x14ac:dyDescent="0.25">
      <c r="B267" s="379" t="s">
        <v>1935</v>
      </c>
      <c r="C267" s="289"/>
      <c r="G267" s="277"/>
      <c r="K267" s="277"/>
      <c r="O267" s="277"/>
      <c r="S267" s="277"/>
      <c r="AA267" s="277"/>
      <c r="AG267" s="277"/>
      <c r="AK267" s="277"/>
      <c r="AM267" s="10"/>
      <c r="AN267" s="10"/>
      <c r="AO267" s="10"/>
      <c r="AP267" s="10"/>
      <c r="AQ267" s="10"/>
      <c r="AR267" s="10"/>
      <c r="AS267" s="10"/>
      <c r="AT267" s="10"/>
      <c r="AU267" s="10"/>
      <c r="AV267" s="10"/>
      <c r="AW267" s="10"/>
      <c r="AX267" s="10"/>
      <c r="AY267" s="10"/>
      <c r="AZ267" s="10"/>
    </row>
    <row r="268" spans="1:52" x14ac:dyDescent="0.25">
      <c r="A268" s="393"/>
      <c r="B268" s="289"/>
      <c r="C268" s="289"/>
      <c r="G268" s="277"/>
      <c r="K268" s="277"/>
      <c r="O268" s="277"/>
      <c r="S268" s="277"/>
      <c r="AA268" s="277"/>
      <c r="AG268" s="277"/>
      <c r="AK268" s="277"/>
      <c r="AM268" s="10"/>
      <c r="AN268" s="10"/>
      <c r="AO268" s="10"/>
      <c r="AP268" s="10"/>
      <c r="AQ268" s="10"/>
      <c r="AR268" s="10"/>
      <c r="AS268" s="10"/>
      <c r="AT268" s="10"/>
      <c r="AU268" s="10"/>
      <c r="AV268" s="10"/>
      <c r="AW268" s="10"/>
      <c r="AX268" s="10"/>
      <c r="AY268" s="10"/>
      <c r="AZ268" s="10"/>
    </row>
    <row r="269" spans="1:52" x14ac:dyDescent="0.25">
      <c r="A269" s="279" t="s">
        <v>1937</v>
      </c>
      <c r="G269" s="3"/>
      <c r="K269" s="3"/>
      <c r="AA269" s="184"/>
      <c r="AB269" s="184"/>
      <c r="AC269" s="184"/>
      <c r="AD269" s="184"/>
    </row>
    <row r="270" spans="1:52" x14ac:dyDescent="0.25">
      <c r="A270" s="2173" t="s">
        <v>54</v>
      </c>
      <c r="B270" s="2174"/>
      <c r="C270" s="2174"/>
      <c r="D270" s="2174"/>
      <c r="E270" s="2174"/>
      <c r="F270" s="2175"/>
      <c r="G270" s="2318" t="s">
        <v>2919</v>
      </c>
      <c r="H270" s="2319"/>
      <c r="I270" s="2319"/>
      <c r="J270" s="2319"/>
      <c r="K270" s="2319"/>
      <c r="L270" s="2319"/>
      <c r="M270" s="2319"/>
      <c r="N270" s="2319"/>
      <c r="O270" s="2319"/>
      <c r="P270" s="2319"/>
      <c r="Q270" s="2319"/>
      <c r="R270" s="2320"/>
      <c r="S270" s="2321" t="s">
        <v>2920</v>
      </c>
      <c r="T270" s="2321"/>
      <c r="U270" s="2321"/>
      <c r="V270" s="2321"/>
      <c r="W270" s="2321"/>
      <c r="X270" s="2321"/>
      <c r="Y270" s="2321"/>
      <c r="Z270" s="2321"/>
      <c r="AA270" s="2321"/>
      <c r="AB270" s="2321"/>
      <c r="AC270" s="2321"/>
      <c r="AD270" s="2321"/>
    </row>
    <row r="271" spans="1:52" ht="15" customHeight="1" x14ac:dyDescent="0.25">
      <c r="A271" s="2442" t="s">
        <v>234</v>
      </c>
      <c r="B271" s="2443"/>
      <c r="C271" s="2443"/>
      <c r="D271" s="2443"/>
      <c r="E271" s="2443"/>
      <c r="F271" s="2444"/>
      <c r="G271" s="1375">
        <f>ROUND(($U$91-$K$123)*$Q$73*$R$123*$Q$78,3)</f>
        <v>3.2000000000000001E-2</v>
      </c>
      <c r="H271" s="1376"/>
      <c r="I271" s="1376"/>
      <c r="J271" s="1376"/>
      <c r="K271" s="1376"/>
      <c r="L271" s="1376"/>
      <c r="M271" s="1376"/>
      <c r="N271" s="1376"/>
      <c r="O271" s="1376"/>
      <c r="P271" s="1376"/>
      <c r="Q271" s="1376"/>
      <c r="R271" s="1377"/>
      <c r="S271" s="2322">
        <f>ROUND(($U$91-$K$123)*$Q$73*$E$167*$Q$78,2)</f>
        <v>283.3</v>
      </c>
      <c r="T271" s="2322"/>
      <c r="U271" s="2322"/>
      <c r="V271" s="2322"/>
      <c r="W271" s="2322"/>
      <c r="X271" s="2322"/>
      <c r="Y271" s="2322"/>
      <c r="Z271" s="2322"/>
      <c r="AA271" s="2322"/>
      <c r="AB271" s="2322"/>
      <c r="AC271" s="2322"/>
      <c r="AD271" s="2322"/>
    </row>
    <row r="273" spans="1:59" x14ac:dyDescent="0.25">
      <c r="B273" s="379" t="s">
        <v>1936</v>
      </c>
      <c r="C273" s="289"/>
      <c r="G273" s="277"/>
      <c r="K273" s="277"/>
      <c r="O273" s="277"/>
      <c r="S273" s="277"/>
      <c r="AA273" s="277"/>
      <c r="AG273" s="277"/>
      <c r="AK273" s="277"/>
      <c r="AM273" s="10"/>
      <c r="AN273" s="10"/>
      <c r="AO273" s="10"/>
      <c r="AP273" s="10"/>
      <c r="AQ273" s="10"/>
      <c r="AR273" s="10"/>
      <c r="AS273" s="10"/>
      <c r="AT273" s="10"/>
      <c r="AU273" s="10"/>
      <c r="AV273" s="10"/>
      <c r="AW273" s="10"/>
      <c r="AX273" s="10"/>
      <c r="AY273" s="10"/>
      <c r="AZ273" s="10"/>
    </row>
    <row r="274" spans="1:59" x14ac:dyDescent="0.25">
      <c r="A274" s="393"/>
      <c r="B274" s="289"/>
      <c r="C274" s="289"/>
      <c r="G274" s="277"/>
      <c r="K274" s="277"/>
      <c r="O274" s="277"/>
      <c r="S274" s="277"/>
      <c r="AA274" s="277"/>
      <c r="AG274" s="277"/>
      <c r="AK274" s="277"/>
      <c r="AM274" s="10"/>
      <c r="AN274" s="10"/>
      <c r="AO274" s="10"/>
      <c r="AP274" s="10"/>
      <c r="AQ274" s="10"/>
      <c r="AR274" s="10"/>
      <c r="AS274" s="10"/>
      <c r="AT274" s="10"/>
      <c r="AU274" s="10"/>
      <c r="AV274" s="10"/>
      <c r="AW274" s="10"/>
      <c r="AX274" s="10"/>
      <c r="AY274" s="10"/>
      <c r="AZ274" s="10"/>
    </row>
    <row r="275" spans="1:59" x14ac:dyDescent="0.25">
      <c r="A275" s="279" t="s">
        <v>1938</v>
      </c>
      <c r="G275" s="3"/>
      <c r="K275" s="3"/>
      <c r="AA275" s="184"/>
      <c r="AB275" s="184"/>
      <c r="AC275" s="184"/>
      <c r="AD275" s="184"/>
      <c r="AG275" s="277"/>
      <c r="AK275" s="277"/>
      <c r="AM275" s="10"/>
      <c r="AN275" s="10"/>
      <c r="AO275" s="10"/>
      <c r="AP275" s="10"/>
      <c r="AQ275" s="10"/>
      <c r="AR275" s="10"/>
      <c r="AS275" s="10"/>
      <c r="AT275" s="10"/>
      <c r="AU275" s="10"/>
      <c r="AV275" s="10"/>
      <c r="AW275" s="10"/>
      <c r="AX275" s="10"/>
      <c r="AY275" s="10"/>
      <c r="AZ275" s="10"/>
    </row>
    <row r="276" spans="1:59" x14ac:dyDescent="0.25">
      <c r="A276" s="2173" t="s">
        <v>54</v>
      </c>
      <c r="B276" s="2174"/>
      <c r="C276" s="2174"/>
      <c r="D276" s="2174"/>
      <c r="E276" s="2174"/>
      <c r="F276" s="2175"/>
      <c r="G276" s="2374" t="s">
        <v>1945</v>
      </c>
      <c r="H276" s="2375"/>
      <c r="I276" s="2375"/>
      <c r="J276" s="2375"/>
      <c r="K276" s="2375"/>
      <c r="L276" s="2375"/>
      <c r="M276" s="2375"/>
      <c r="N276" s="2375"/>
      <c r="O276" s="2375"/>
      <c r="P276" s="2375"/>
      <c r="Q276" s="2375"/>
      <c r="R276" s="2376"/>
      <c r="U276" s="277"/>
      <c r="Y276" s="277"/>
      <c r="AA276" s="10"/>
      <c r="AB276" s="10"/>
      <c r="AC276" s="10"/>
      <c r="AD276" s="10"/>
      <c r="AE276" s="10"/>
      <c r="AF276" s="10"/>
      <c r="AG276" s="10"/>
      <c r="AH276" s="10"/>
      <c r="AI276" s="10"/>
      <c r="AJ276" s="10"/>
      <c r="AK276" s="10"/>
      <c r="AL276" s="10"/>
      <c r="AM276" s="10"/>
      <c r="AN276" s="10"/>
    </row>
    <row r="277" spans="1:59" ht="15" customHeight="1" x14ac:dyDescent="0.25">
      <c r="A277" s="2442" t="s">
        <v>234</v>
      </c>
      <c r="B277" s="2443"/>
      <c r="C277" s="2443"/>
      <c r="D277" s="2443"/>
      <c r="E277" s="2443"/>
      <c r="F277" s="2444"/>
      <c r="G277" s="2377">
        <f>ROUND($S$271*$E$199,2)</f>
        <v>5099.3999999999996</v>
      </c>
      <c r="H277" s="2378"/>
      <c r="I277" s="2378"/>
      <c r="J277" s="2378"/>
      <c r="K277" s="2378"/>
      <c r="L277" s="2378"/>
      <c r="M277" s="2378"/>
      <c r="N277" s="2378"/>
      <c r="O277" s="2378"/>
      <c r="P277" s="2378"/>
      <c r="Q277" s="2378"/>
      <c r="R277" s="2379"/>
      <c r="U277" s="277"/>
      <c r="Y277" s="277"/>
      <c r="AA277" s="10"/>
      <c r="AB277" s="10"/>
      <c r="AC277" s="10"/>
      <c r="AD277" s="10"/>
      <c r="AE277" s="10"/>
      <c r="AF277" s="10"/>
      <c r="AG277" s="10"/>
      <c r="AH277" s="10"/>
      <c r="AI277" s="10"/>
      <c r="AJ277" s="10"/>
      <c r="AK277" s="10"/>
      <c r="AL277" s="10"/>
      <c r="AM277" s="10"/>
      <c r="AN277" s="10"/>
    </row>
    <row r="278" spans="1:59" x14ac:dyDescent="0.25">
      <c r="A278" s="393"/>
      <c r="B278" s="289"/>
      <c r="C278" s="289"/>
      <c r="G278" s="277"/>
      <c r="K278" s="277"/>
      <c r="O278" s="277"/>
      <c r="S278" s="277"/>
      <c r="AA278" s="277"/>
      <c r="AG278" s="277"/>
      <c r="AK278" s="277"/>
      <c r="AM278" s="10"/>
      <c r="AN278" s="10"/>
      <c r="AO278" s="10"/>
      <c r="AP278" s="10"/>
      <c r="AQ278" s="10"/>
      <c r="AR278" s="10"/>
      <c r="AS278" s="10"/>
      <c r="AT278" s="10"/>
      <c r="AU278" s="10"/>
      <c r="AV278" s="10"/>
      <c r="AW278" s="10"/>
      <c r="AX278" s="10"/>
      <c r="AY278" s="10"/>
      <c r="AZ278" s="10"/>
    </row>
    <row r="279" spans="1:59" s="192" customFormat="1" x14ac:dyDescent="0.25">
      <c r="A279" s="672"/>
      <c r="B279" s="519" t="s">
        <v>6752</v>
      </c>
      <c r="C279" s="742"/>
      <c r="G279" s="959"/>
      <c r="K279" s="959"/>
      <c r="O279" s="959"/>
      <c r="S279" s="959"/>
      <c r="AA279" s="959"/>
      <c r="AG279" s="959"/>
      <c r="AK279" s="959"/>
      <c r="AM279" s="338"/>
      <c r="AN279" s="338"/>
      <c r="AO279" s="338"/>
      <c r="AP279" s="338"/>
      <c r="AQ279" s="338"/>
      <c r="AR279" s="338"/>
      <c r="AS279" s="338"/>
      <c r="AT279" s="338"/>
      <c r="AU279" s="338"/>
      <c r="AV279" s="338"/>
      <c r="AW279" s="338"/>
      <c r="AX279" s="338"/>
      <c r="AY279" s="338"/>
      <c r="AZ279" s="338"/>
    </row>
    <row r="280" spans="1:59" s="192" customFormat="1" x14ac:dyDescent="0.25">
      <c r="A280" s="672"/>
      <c r="B280" s="742"/>
      <c r="C280" s="742"/>
      <c r="G280" s="959"/>
      <c r="K280" s="959"/>
      <c r="O280" s="959"/>
      <c r="S280" s="959"/>
      <c r="AA280" s="959"/>
      <c r="AG280" s="959"/>
      <c r="AK280" s="959"/>
      <c r="AM280" s="338"/>
      <c r="AN280" s="338"/>
      <c r="AO280" s="338"/>
      <c r="AP280" s="338"/>
      <c r="AQ280" s="338"/>
      <c r="AR280" s="338"/>
      <c r="AS280" s="338"/>
      <c r="AT280" s="338"/>
      <c r="AU280" s="338"/>
      <c r="AV280" s="338"/>
      <c r="AW280" s="338"/>
      <c r="AX280" s="338"/>
      <c r="AY280" s="338"/>
      <c r="AZ280" s="338"/>
    </row>
    <row r="281" spans="1:59" s="192" customFormat="1" x14ac:dyDescent="0.25">
      <c r="A281" s="740" t="s">
        <v>6713</v>
      </c>
      <c r="B281" s="740"/>
      <c r="C281" s="740"/>
      <c r="D281" s="740"/>
      <c r="E281" s="740"/>
      <c r="F281" s="740"/>
      <c r="G281" s="741"/>
      <c r="H281" s="741"/>
      <c r="I281" s="741"/>
      <c r="J281" s="741"/>
      <c r="K281" s="741"/>
      <c r="L281" s="741"/>
      <c r="M281" s="741"/>
      <c r="N281" s="741"/>
      <c r="O281" s="741"/>
      <c r="P281" s="741"/>
      <c r="Q281" s="741"/>
      <c r="R281" s="741"/>
      <c r="S281" s="741"/>
      <c r="T281" s="741"/>
      <c r="U281" s="741"/>
      <c r="V281" s="741"/>
      <c r="W281" s="741"/>
      <c r="X281" s="741"/>
      <c r="Y281" s="741"/>
      <c r="Z281" s="741"/>
      <c r="AA281" s="741"/>
      <c r="AB281" s="741"/>
      <c r="AC281" s="741"/>
      <c r="AD281" s="741"/>
      <c r="AE281" s="741"/>
      <c r="AF281" s="741"/>
      <c r="AG281" s="741"/>
      <c r="AH281" s="741"/>
      <c r="AI281" s="197"/>
      <c r="AJ281" s="197"/>
      <c r="AK281" s="197"/>
      <c r="AL281" s="197"/>
      <c r="AM281" s="743"/>
      <c r="AN281" s="743"/>
      <c r="AO281" s="743"/>
      <c r="AP281" s="743"/>
      <c r="AQ281" s="743"/>
      <c r="AR281" s="743"/>
      <c r="AS281" s="743"/>
      <c r="AT281" s="743"/>
      <c r="AU281" s="743"/>
      <c r="AV281" s="743"/>
      <c r="AW281" s="743"/>
      <c r="AX281" s="743"/>
      <c r="AY281" s="743"/>
      <c r="AZ281" s="743"/>
      <c r="BA281" s="743"/>
      <c r="BB281" s="743"/>
      <c r="BC281" s="743"/>
      <c r="BD281" s="743"/>
      <c r="BE281" s="743"/>
      <c r="BF281" s="743"/>
      <c r="BG281" s="743"/>
    </row>
    <row r="282" spans="1:59" s="192" customFormat="1" x14ac:dyDescent="0.25">
      <c r="A282" s="197"/>
      <c r="B282" s="197"/>
      <c r="C282" s="197"/>
      <c r="D282" s="197"/>
      <c r="E282" s="197"/>
      <c r="F282" s="197"/>
      <c r="G282" s="2346" t="s">
        <v>772</v>
      </c>
      <c r="H282" s="2347"/>
      <c r="I282" s="2347"/>
      <c r="J282" s="2347"/>
      <c r="K282" s="2347"/>
      <c r="L282" s="2347"/>
      <c r="M282" s="2347"/>
      <c r="N282" s="2348"/>
      <c r="O282" s="2308" t="s">
        <v>773</v>
      </c>
      <c r="P282" s="2309"/>
      <c r="Q282" s="2309"/>
      <c r="R282" s="2309"/>
      <c r="S282" s="2309"/>
      <c r="T282" s="2309"/>
      <c r="U282" s="2309"/>
      <c r="V282" s="2310"/>
      <c r="W282" s="2311" t="s">
        <v>774</v>
      </c>
      <c r="X282" s="2311"/>
      <c r="Y282" s="2311"/>
      <c r="Z282" s="2311"/>
      <c r="AA282" s="2311"/>
      <c r="AB282" s="2311"/>
      <c r="AC282" s="2311"/>
      <c r="AD282" s="2311"/>
      <c r="AE282" s="2312" t="s">
        <v>775</v>
      </c>
      <c r="AF282" s="2312"/>
      <c r="AG282" s="2312"/>
      <c r="AH282" s="2312"/>
      <c r="AI282" s="2312"/>
      <c r="AJ282" s="2312"/>
      <c r="AK282" s="2312"/>
      <c r="AL282" s="2312"/>
      <c r="AM282" s="743"/>
      <c r="AN282" s="743"/>
      <c r="AQ282" s="743"/>
      <c r="AR282" s="743"/>
      <c r="AS282" s="743"/>
      <c r="AT282" s="743"/>
      <c r="AU282" s="743"/>
      <c r="AV282" s="743"/>
      <c r="AW282" s="743"/>
      <c r="AX282" s="743"/>
      <c r="AY282" s="743"/>
      <c r="AZ282" s="743"/>
      <c r="BA282" s="743"/>
      <c r="BB282" s="743"/>
      <c r="BC282" s="743"/>
      <c r="BD282" s="743"/>
      <c r="BE282" s="743"/>
      <c r="BF282" s="743"/>
      <c r="BG282" s="743"/>
    </row>
    <row r="283" spans="1:59" s="192" customFormat="1" x14ac:dyDescent="0.25">
      <c r="A283" s="2182" t="s">
        <v>54</v>
      </c>
      <c r="B283" s="2183"/>
      <c r="C283" s="2183"/>
      <c r="D283" s="2183"/>
      <c r="E283" s="2183"/>
      <c r="F283" s="2184"/>
      <c r="G283" s="2314" t="s">
        <v>26</v>
      </c>
      <c r="H283" s="2314"/>
      <c r="I283" s="2314"/>
      <c r="J283" s="2314"/>
      <c r="K283" s="2313" t="s">
        <v>49</v>
      </c>
      <c r="L283" s="2313"/>
      <c r="M283" s="2313"/>
      <c r="N283" s="2313"/>
      <c r="O283" s="2315" t="s">
        <v>26</v>
      </c>
      <c r="P283" s="2316"/>
      <c r="Q283" s="2316"/>
      <c r="R283" s="2317"/>
      <c r="S283" s="2313" t="s">
        <v>49</v>
      </c>
      <c r="T283" s="2313"/>
      <c r="U283" s="2313"/>
      <c r="V283" s="2313"/>
      <c r="W283" s="2314" t="s">
        <v>26</v>
      </c>
      <c r="X283" s="2314"/>
      <c r="Y283" s="2314"/>
      <c r="Z283" s="2314"/>
      <c r="AA283" s="2313" t="s">
        <v>49</v>
      </c>
      <c r="AB283" s="2313"/>
      <c r="AC283" s="2313"/>
      <c r="AD283" s="2313"/>
      <c r="AE283" s="2314" t="s">
        <v>26</v>
      </c>
      <c r="AF283" s="2314"/>
      <c r="AG283" s="2314"/>
      <c r="AH283" s="2314"/>
      <c r="AI283" s="2313" t="s">
        <v>49</v>
      </c>
      <c r="AJ283" s="2313"/>
      <c r="AK283" s="2313"/>
      <c r="AL283" s="2313"/>
      <c r="AM283" s="743"/>
      <c r="AN283" s="743"/>
      <c r="AO283" s="743"/>
      <c r="AP283" s="743"/>
      <c r="AQ283" s="743"/>
      <c r="AR283" s="743"/>
      <c r="AS283" s="743"/>
      <c r="AT283" s="743"/>
      <c r="AU283" s="743"/>
      <c r="AV283" s="743"/>
      <c r="AW283" s="743"/>
      <c r="AX283" s="743"/>
      <c r="AY283" s="743"/>
      <c r="AZ283" s="743"/>
      <c r="BA283" s="743"/>
      <c r="BB283" s="743"/>
      <c r="BC283" s="743"/>
      <c r="BD283" s="743"/>
      <c r="BE283" s="743"/>
      <c r="BF283" s="743"/>
      <c r="BG283" s="743"/>
    </row>
    <row r="284" spans="1:59" s="192" customFormat="1" x14ac:dyDescent="0.25">
      <c r="A284" s="2170" t="s">
        <v>1984</v>
      </c>
      <c r="B284" s="2171"/>
      <c r="C284" s="2171"/>
      <c r="D284" s="2171"/>
      <c r="E284" s="2171"/>
      <c r="F284" s="2172"/>
      <c r="G284" s="2192">
        <f t="shared" ref="G284:G294" si="13">ROUND(($U$104-$K$136)*$Q$73*VLOOKUP($A284,$N$123:$AG$133,9,TRUE)*VLOOKUP($A284,$N$146:$AG$156,5,TRUE)*$Q$78,3)</f>
        <v>1E-3</v>
      </c>
      <c r="H284" s="2192"/>
      <c r="I284" s="2192"/>
      <c r="J284" s="2192"/>
      <c r="K284" s="2202">
        <f t="shared" ref="K284:K294" si="14">ROUND(($U$104-$K$136)*$Q$73*VLOOKUP($A284,$A$167:$Q$177,8,TRUE)*VLOOKUP($A284,$N$146:$AG$156,9,TRUE)*$Q$78,2)</f>
        <v>4.0599999999999996</v>
      </c>
      <c r="L284" s="2202"/>
      <c r="M284" s="2202"/>
      <c r="N284" s="2202"/>
      <c r="O284" s="2154">
        <f t="shared" ref="O284:O294" si="15">ROUND(($U$105-$K$137)*$Q$73*VLOOKUP($A284,$N$123:$AG$133,9,TRUE)*VLOOKUP($A284,$N$146:$AG$156,5,TRUE)*$Q$78,3)</f>
        <v>3.0000000000000001E-3</v>
      </c>
      <c r="P284" s="2155"/>
      <c r="Q284" s="2155"/>
      <c r="R284" s="2156"/>
      <c r="S284" s="2202">
        <f t="shared" ref="S284:S294" si="16">ROUND(($U$105-$K$137)*$Q$73*VLOOKUP($A284,$A$167:$Q$177,8,TRUE)*VLOOKUP($A284,$N$146:$AG$156,9,TRUE)*$Q$78,2)</f>
        <v>16.22</v>
      </c>
      <c r="T284" s="2202"/>
      <c r="U284" s="2202"/>
      <c r="V284" s="2202"/>
      <c r="W284" s="2192">
        <f t="shared" ref="W284:W294" si="17">ROUND(($U$105-$K$138)*$Q$73*VLOOKUP($A284,$N$123:$AG$133,9,TRUE)*VLOOKUP($A284,$N$146:$AG$156,5,TRUE)*$Q$78,3)</f>
        <v>3.0000000000000001E-3</v>
      </c>
      <c r="X284" s="2192"/>
      <c r="Y284" s="2192"/>
      <c r="Z284" s="2192"/>
      <c r="AA284" s="2202">
        <f t="shared" ref="AA284:AA294" si="18">ROUND(($U$105-$K$138)*$Q$73*VLOOKUP($A284,$A$167:$Q$177,8,TRUE)*VLOOKUP($A284,$N$146:$AG$156,9,TRUE)*$Q$78,2)</f>
        <v>14.19</v>
      </c>
      <c r="AB284" s="2202"/>
      <c r="AC284" s="2202"/>
      <c r="AD284" s="2202"/>
      <c r="AE284" s="2192">
        <f t="shared" ref="AE284:AE294" si="19">ROUND(($U$107-$K$139)*$Q$73*VLOOKUP($A284,$N$123:$AG$133,9,TRUE)*VLOOKUP($A284,$N$146:$AG$156,5,TRUE)*$Q$78,3)</f>
        <v>5.0000000000000001E-3</v>
      </c>
      <c r="AF284" s="2192"/>
      <c r="AG284" s="2192"/>
      <c r="AH284" s="2192"/>
      <c r="AI284" s="2202">
        <f t="shared" ref="AI284:AI294" si="20">ROUND(($U$107-$K$139)*$Q$73*VLOOKUP($A284,$A$167:$Q$177,8,TRUE)*VLOOKUP($A284,$N$146:$AG$156,9,TRUE)*$Q$78,2)</f>
        <v>28.39</v>
      </c>
      <c r="AJ284" s="2202"/>
      <c r="AK284" s="2202"/>
      <c r="AL284" s="2202"/>
      <c r="AM284" s="743"/>
      <c r="AN284" s="743"/>
      <c r="AO284" s="743"/>
      <c r="AP284" s="743"/>
      <c r="AQ284" s="743"/>
      <c r="AR284" s="743"/>
      <c r="AS284" s="743"/>
      <c r="AT284" s="743"/>
      <c r="AU284" s="743"/>
      <c r="AV284" s="743"/>
      <c r="AW284" s="743"/>
      <c r="AX284" s="743"/>
      <c r="AY284" s="743"/>
      <c r="AZ284" s="743"/>
      <c r="BA284" s="743"/>
      <c r="BB284" s="743"/>
      <c r="BC284" s="743"/>
      <c r="BD284" s="743"/>
      <c r="BE284" s="743"/>
      <c r="BF284" s="743"/>
      <c r="BG284" s="743"/>
    </row>
    <row r="285" spans="1:59" s="192" customFormat="1" x14ac:dyDescent="0.25">
      <c r="A285" s="2170" t="s">
        <v>221</v>
      </c>
      <c r="B285" s="2171"/>
      <c r="C285" s="2171"/>
      <c r="D285" s="2171"/>
      <c r="E285" s="2171"/>
      <c r="F285" s="2172"/>
      <c r="G285" s="2192">
        <f t="shared" si="13"/>
        <v>0</v>
      </c>
      <c r="H285" s="2192"/>
      <c r="I285" s="2192"/>
      <c r="J285" s="2192"/>
      <c r="K285" s="2202">
        <f t="shared" si="14"/>
        <v>14.4</v>
      </c>
      <c r="L285" s="2202"/>
      <c r="M285" s="2202"/>
      <c r="N285" s="2202"/>
      <c r="O285" s="2154">
        <f t="shared" si="15"/>
        <v>2E-3</v>
      </c>
      <c r="P285" s="2155"/>
      <c r="Q285" s="2155"/>
      <c r="R285" s="2156"/>
      <c r="S285" s="2202">
        <f t="shared" si="16"/>
        <v>57.61</v>
      </c>
      <c r="T285" s="2202"/>
      <c r="U285" s="2202"/>
      <c r="V285" s="2202"/>
      <c r="W285" s="2192">
        <f t="shared" si="17"/>
        <v>2E-3</v>
      </c>
      <c r="X285" s="2192"/>
      <c r="Y285" s="2192"/>
      <c r="Z285" s="2192"/>
      <c r="AA285" s="2202">
        <f t="shared" si="18"/>
        <v>50.4</v>
      </c>
      <c r="AB285" s="2202"/>
      <c r="AC285" s="2202"/>
      <c r="AD285" s="2202"/>
      <c r="AE285" s="2192">
        <f t="shared" si="19"/>
        <v>3.0000000000000001E-3</v>
      </c>
      <c r="AF285" s="2192"/>
      <c r="AG285" s="2192"/>
      <c r="AH285" s="2192"/>
      <c r="AI285" s="2202">
        <f t="shared" si="20"/>
        <v>100.81</v>
      </c>
      <c r="AJ285" s="2202"/>
      <c r="AK285" s="2202"/>
      <c r="AL285" s="2202"/>
      <c r="AM285" s="743"/>
      <c r="AN285" s="743"/>
      <c r="AO285" s="743"/>
      <c r="AP285" s="743"/>
      <c r="AQ285" s="743"/>
      <c r="AR285" s="743"/>
      <c r="AS285" s="743"/>
      <c r="AT285" s="743"/>
      <c r="AU285" s="743"/>
      <c r="AV285" s="743"/>
      <c r="AW285" s="743"/>
      <c r="AX285" s="743"/>
      <c r="AY285" s="743"/>
      <c r="AZ285" s="743"/>
      <c r="BA285" s="743"/>
      <c r="BB285" s="743"/>
      <c r="BC285" s="743"/>
      <c r="BD285" s="743"/>
      <c r="BE285" s="743"/>
      <c r="BF285" s="743"/>
      <c r="BG285" s="743"/>
    </row>
    <row r="286" spans="1:59" s="192" customFormat="1" x14ac:dyDescent="0.25">
      <c r="A286" s="2170" t="s">
        <v>222</v>
      </c>
      <c r="B286" s="2171"/>
      <c r="C286" s="2171"/>
      <c r="D286" s="2171"/>
      <c r="E286" s="2171"/>
      <c r="F286" s="2172"/>
      <c r="G286" s="2192">
        <f t="shared" si="13"/>
        <v>1E-3</v>
      </c>
      <c r="H286" s="2192"/>
      <c r="I286" s="2192"/>
      <c r="J286" s="2192"/>
      <c r="K286" s="2202">
        <f t="shared" si="14"/>
        <v>3.67</v>
      </c>
      <c r="L286" s="2202"/>
      <c r="M286" s="2202"/>
      <c r="N286" s="2202"/>
      <c r="O286" s="2154">
        <f t="shared" si="15"/>
        <v>3.0000000000000001E-3</v>
      </c>
      <c r="P286" s="2155"/>
      <c r="Q286" s="2155"/>
      <c r="R286" s="2156"/>
      <c r="S286" s="2202">
        <f t="shared" si="16"/>
        <v>14.68</v>
      </c>
      <c r="T286" s="2202"/>
      <c r="U286" s="2202"/>
      <c r="V286" s="2202"/>
      <c r="W286" s="2192">
        <f t="shared" si="17"/>
        <v>2E-3</v>
      </c>
      <c r="X286" s="2192"/>
      <c r="Y286" s="2192"/>
      <c r="Z286" s="2192"/>
      <c r="AA286" s="2202">
        <f t="shared" si="18"/>
        <v>12.85</v>
      </c>
      <c r="AB286" s="2202"/>
      <c r="AC286" s="2202"/>
      <c r="AD286" s="2202"/>
      <c r="AE286" s="2192">
        <f t="shared" si="19"/>
        <v>5.0000000000000001E-3</v>
      </c>
      <c r="AF286" s="2192"/>
      <c r="AG286" s="2192"/>
      <c r="AH286" s="2192"/>
      <c r="AI286" s="2202">
        <f t="shared" si="20"/>
        <v>25.69</v>
      </c>
      <c r="AJ286" s="2202"/>
      <c r="AK286" s="2202"/>
      <c r="AL286" s="2202"/>
      <c r="AM286" s="743"/>
      <c r="AN286" s="743"/>
      <c r="AO286" s="743"/>
      <c r="AP286" s="743"/>
      <c r="AQ286" s="743"/>
      <c r="AR286" s="743"/>
      <c r="AS286" s="743"/>
      <c r="AT286" s="743"/>
      <c r="AU286" s="743"/>
      <c r="AV286" s="743"/>
      <c r="AW286" s="743"/>
      <c r="AX286" s="743"/>
      <c r="AY286" s="743"/>
      <c r="AZ286" s="743"/>
      <c r="BA286" s="743"/>
      <c r="BB286" s="743"/>
      <c r="BC286" s="743"/>
      <c r="BD286" s="743"/>
      <c r="BE286" s="743"/>
      <c r="BF286" s="743"/>
      <c r="BG286" s="743"/>
    </row>
    <row r="287" spans="1:59" s="192" customFormat="1" x14ac:dyDescent="0.25">
      <c r="A287" s="2170" t="s">
        <v>223</v>
      </c>
      <c r="B287" s="2171"/>
      <c r="C287" s="2171"/>
      <c r="D287" s="2171"/>
      <c r="E287" s="2171"/>
      <c r="F287" s="2172"/>
      <c r="G287" s="2192">
        <f t="shared" si="13"/>
        <v>2E-3</v>
      </c>
      <c r="H287" s="2192"/>
      <c r="I287" s="2192"/>
      <c r="J287" s="2192"/>
      <c r="K287" s="2202">
        <f t="shared" si="14"/>
        <v>10.95</v>
      </c>
      <c r="L287" s="2202"/>
      <c r="M287" s="2202"/>
      <c r="N287" s="2202"/>
      <c r="O287" s="2154">
        <f t="shared" si="15"/>
        <v>6.0000000000000001E-3</v>
      </c>
      <c r="P287" s="2155"/>
      <c r="Q287" s="2155"/>
      <c r="R287" s="2156"/>
      <c r="S287" s="2202">
        <f t="shared" si="16"/>
        <v>43.79</v>
      </c>
      <c r="T287" s="2202"/>
      <c r="U287" s="2202"/>
      <c r="V287" s="2202"/>
      <c r="W287" s="2192">
        <f t="shared" si="17"/>
        <v>5.0000000000000001E-3</v>
      </c>
      <c r="X287" s="2192"/>
      <c r="Y287" s="2192"/>
      <c r="Z287" s="2192"/>
      <c r="AA287" s="2202">
        <f t="shared" si="18"/>
        <v>38.32</v>
      </c>
      <c r="AB287" s="2202"/>
      <c r="AC287" s="2202"/>
      <c r="AD287" s="2202"/>
      <c r="AE287" s="2192">
        <f t="shared" si="19"/>
        <v>1.0999999999999999E-2</v>
      </c>
      <c r="AF287" s="2192"/>
      <c r="AG287" s="2192"/>
      <c r="AH287" s="2192"/>
      <c r="AI287" s="2202">
        <f t="shared" si="20"/>
        <v>76.64</v>
      </c>
      <c r="AJ287" s="2202"/>
      <c r="AK287" s="2202"/>
      <c r="AL287" s="2202"/>
      <c r="AM287" s="743"/>
      <c r="AN287" s="743"/>
      <c r="AO287" s="743"/>
      <c r="AP287" s="743"/>
      <c r="AQ287" s="743"/>
      <c r="AR287" s="743"/>
      <c r="AS287" s="743"/>
      <c r="AT287" s="743"/>
      <c r="AU287" s="743"/>
      <c r="AV287" s="743"/>
      <c r="AW287" s="743"/>
      <c r="AX287" s="743"/>
      <c r="AY287" s="743"/>
      <c r="AZ287" s="743"/>
      <c r="BA287" s="743"/>
      <c r="BB287" s="743"/>
      <c r="BC287" s="743"/>
      <c r="BD287" s="743"/>
      <c r="BE287" s="743"/>
      <c r="BF287" s="743"/>
      <c r="BG287" s="743"/>
    </row>
    <row r="288" spans="1:59" s="192" customFormat="1" x14ac:dyDescent="0.25">
      <c r="A288" s="2170" t="s">
        <v>224</v>
      </c>
      <c r="B288" s="2171"/>
      <c r="C288" s="2171"/>
      <c r="D288" s="2171"/>
      <c r="E288" s="2171"/>
      <c r="F288" s="2172"/>
      <c r="G288" s="2192">
        <f t="shared" si="13"/>
        <v>2E-3</v>
      </c>
      <c r="H288" s="2192"/>
      <c r="I288" s="2192"/>
      <c r="J288" s="2192"/>
      <c r="K288" s="2202">
        <f t="shared" si="14"/>
        <v>12</v>
      </c>
      <c r="L288" s="2202"/>
      <c r="M288" s="2202"/>
      <c r="N288" s="2202"/>
      <c r="O288" s="2154">
        <f t="shared" si="15"/>
        <v>6.0000000000000001E-3</v>
      </c>
      <c r="P288" s="2155"/>
      <c r="Q288" s="2155"/>
      <c r="R288" s="2156"/>
      <c r="S288" s="2202">
        <f t="shared" si="16"/>
        <v>47.99</v>
      </c>
      <c r="T288" s="2202"/>
      <c r="U288" s="2202"/>
      <c r="V288" s="2202"/>
      <c r="W288" s="2192">
        <f t="shared" si="17"/>
        <v>6.0000000000000001E-3</v>
      </c>
      <c r="X288" s="2192"/>
      <c r="Y288" s="2192"/>
      <c r="Z288" s="2192"/>
      <c r="AA288" s="2202">
        <f t="shared" si="18"/>
        <v>42</v>
      </c>
      <c r="AB288" s="2202"/>
      <c r="AC288" s="2202"/>
      <c r="AD288" s="2202"/>
      <c r="AE288" s="2192">
        <f t="shared" si="19"/>
        <v>1.0999999999999999E-2</v>
      </c>
      <c r="AF288" s="2192"/>
      <c r="AG288" s="2192"/>
      <c r="AH288" s="2192"/>
      <c r="AI288" s="2202">
        <f t="shared" si="20"/>
        <v>83.99</v>
      </c>
      <c r="AJ288" s="2202"/>
      <c r="AK288" s="2202"/>
      <c r="AL288" s="2202"/>
      <c r="AM288" s="743"/>
      <c r="AN288" s="743"/>
      <c r="AO288" s="743"/>
      <c r="AP288" s="743"/>
      <c r="AQ288" s="743"/>
      <c r="AR288" s="743"/>
      <c r="AS288" s="743"/>
      <c r="AT288" s="743"/>
      <c r="AU288" s="743"/>
      <c r="AV288" s="743"/>
      <c r="AW288" s="743"/>
      <c r="AX288" s="743"/>
      <c r="AY288" s="743"/>
      <c r="AZ288" s="743"/>
      <c r="BA288" s="743"/>
      <c r="BB288" s="743"/>
      <c r="BC288" s="743"/>
      <c r="BD288" s="743"/>
      <c r="BE288" s="743"/>
      <c r="BF288" s="743"/>
      <c r="BG288" s="743"/>
    </row>
    <row r="289" spans="1:59" s="192" customFormat="1" x14ac:dyDescent="0.25">
      <c r="A289" s="2170" t="s">
        <v>225</v>
      </c>
      <c r="B289" s="2171"/>
      <c r="C289" s="2171"/>
      <c r="D289" s="2171"/>
      <c r="E289" s="2171"/>
      <c r="F289" s="2172"/>
      <c r="G289" s="2192">
        <f t="shared" si="13"/>
        <v>1E-3</v>
      </c>
      <c r="H289" s="2192"/>
      <c r="I289" s="2192"/>
      <c r="J289" s="2192"/>
      <c r="K289" s="2202">
        <f t="shared" si="14"/>
        <v>3.47</v>
      </c>
      <c r="L289" s="2202"/>
      <c r="M289" s="2202"/>
      <c r="N289" s="2202"/>
      <c r="O289" s="2154">
        <f t="shared" si="15"/>
        <v>3.0000000000000001E-3</v>
      </c>
      <c r="P289" s="2155"/>
      <c r="Q289" s="2155"/>
      <c r="R289" s="2156"/>
      <c r="S289" s="2202">
        <f t="shared" si="16"/>
        <v>13.89</v>
      </c>
      <c r="T289" s="2202"/>
      <c r="U289" s="2202"/>
      <c r="V289" s="2202"/>
      <c r="W289" s="2192">
        <f t="shared" si="17"/>
        <v>2E-3</v>
      </c>
      <c r="X289" s="2192"/>
      <c r="Y289" s="2192"/>
      <c r="Z289" s="2192"/>
      <c r="AA289" s="2202">
        <f t="shared" si="18"/>
        <v>12.16</v>
      </c>
      <c r="AB289" s="2202"/>
      <c r="AC289" s="2202"/>
      <c r="AD289" s="2202"/>
      <c r="AE289" s="2192">
        <f t="shared" si="19"/>
        <v>5.0000000000000001E-3</v>
      </c>
      <c r="AF289" s="2192"/>
      <c r="AG289" s="2192"/>
      <c r="AH289" s="2192"/>
      <c r="AI289" s="2202">
        <f t="shared" si="20"/>
        <v>24.31</v>
      </c>
      <c r="AJ289" s="2202"/>
      <c r="AK289" s="2202"/>
      <c r="AL289" s="2202"/>
      <c r="AM289" s="743"/>
      <c r="AN289" s="743"/>
      <c r="AO289" s="743"/>
      <c r="AP289" s="743"/>
      <c r="AQ289" s="743"/>
      <c r="AR289" s="743"/>
      <c r="AS289" s="743"/>
      <c r="AT289" s="743"/>
      <c r="AU289" s="743"/>
      <c r="AV289" s="743"/>
      <c r="AW289" s="743"/>
      <c r="AX289" s="743"/>
      <c r="AY289" s="743"/>
      <c r="AZ289" s="743"/>
      <c r="BA289" s="743"/>
      <c r="BB289" s="743"/>
      <c r="BC289" s="743"/>
      <c r="BD289" s="743"/>
      <c r="BE289" s="743"/>
      <c r="BF289" s="743"/>
      <c r="BG289" s="743"/>
    </row>
    <row r="290" spans="1:59" s="192" customFormat="1" x14ac:dyDescent="0.25">
      <c r="A290" s="2170" t="s">
        <v>226</v>
      </c>
      <c r="B290" s="2171"/>
      <c r="C290" s="2171"/>
      <c r="D290" s="2171"/>
      <c r="E290" s="2171"/>
      <c r="F290" s="2172"/>
      <c r="G290" s="2192">
        <f t="shared" si="13"/>
        <v>1E-3</v>
      </c>
      <c r="H290" s="2192"/>
      <c r="I290" s="2192"/>
      <c r="J290" s="2192"/>
      <c r="K290" s="2202">
        <f t="shared" si="14"/>
        <v>4.71</v>
      </c>
      <c r="L290" s="2202"/>
      <c r="M290" s="2202"/>
      <c r="N290" s="2202"/>
      <c r="O290" s="2154">
        <f t="shared" si="15"/>
        <v>5.0000000000000001E-3</v>
      </c>
      <c r="P290" s="2155"/>
      <c r="Q290" s="2155"/>
      <c r="R290" s="2156"/>
      <c r="S290" s="2202">
        <f t="shared" si="16"/>
        <v>18.829999999999998</v>
      </c>
      <c r="T290" s="2202"/>
      <c r="U290" s="2202"/>
      <c r="V290" s="2202"/>
      <c r="W290" s="2192">
        <f t="shared" si="17"/>
        <v>4.0000000000000001E-3</v>
      </c>
      <c r="X290" s="2192"/>
      <c r="Y290" s="2192"/>
      <c r="Z290" s="2192"/>
      <c r="AA290" s="2202">
        <f t="shared" si="18"/>
        <v>16.48</v>
      </c>
      <c r="AB290" s="2202"/>
      <c r="AC290" s="2202"/>
      <c r="AD290" s="2202"/>
      <c r="AE290" s="2192">
        <f t="shared" si="19"/>
        <v>8.9999999999999993E-3</v>
      </c>
      <c r="AF290" s="2192"/>
      <c r="AG290" s="2192"/>
      <c r="AH290" s="2192"/>
      <c r="AI290" s="2202">
        <f t="shared" si="20"/>
        <v>32.96</v>
      </c>
      <c r="AJ290" s="2202"/>
      <c r="AK290" s="2202"/>
      <c r="AL290" s="2202"/>
      <c r="AM290" s="743"/>
      <c r="AN290" s="743"/>
      <c r="AO290" s="743"/>
      <c r="AP290" s="743"/>
      <c r="AQ290" s="743"/>
      <c r="AR290" s="743"/>
      <c r="AS290" s="743"/>
      <c r="AT290" s="743"/>
      <c r="AU290" s="743"/>
      <c r="AV290" s="743"/>
      <c r="AW290" s="743"/>
      <c r="AX290" s="743"/>
      <c r="AY290" s="743"/>
      <c r="AZ290" s="743"/>
      <c r="BA290" s="743"/>
      <c r="BB290" s="743"/>
      <c r="BC290" s="743"/>
      <c r="BD290" s="743"/>
      <c r="BE290" s="743"/>
      <c r="BF290" s="743"/>
      <c r="BG290" s="743"/>
    </row>
    <row r="291" spans="1:59" s="192" customFormat="1" x14ac:dyDescent="0.25">
      <c r="A291" s="2170" t="s">
        <v>55</v>
      </c>
      <c r="B291" s="2171"/>
      <c r="C291" s="2171"/>
      <c r="D291" s="2171"/>
      <c r="E291" s="2171"/>
      <c r="F291" s="2172"/>
      <c r="G291" s="2192">
        <f t="shared" si="13"/>
        <v>0</v>
      </c>
      <c r="H291" s="2192"/>
      <c r="I291" s="2192"/>
      <c r="J291" s="2192"/>
      <c r="K291" s="2202">
        <f t="shared" si="14"/>
        <v>4.3600000000000003</v>
      </c>
      <c r="L291" s="2202"/>
      <c r="M291" s="2202"/>
      <c r="N291" s="2202"/>
      <c r="O291" s="2154">
        <f t="shared" si="15"/>
        <v>2E-3</v>
      </c>
      <c r="P291" s="2155"/>
      <c r="Q291" s="2155"/>
      <c r="R291" s="2156"/>
      <c r="S291" s="2202">
        <f t="shared" si="16"/>
        <v>17.440000000000001</v>
      </c>
      <c r="T291" s="2202"/>
      <c r="U291" s="2202"/>
      <c r="V291" s="2202"/>
      <c r="W291" s="2192">
        <f t="shared" si="17"/>
        <v>2E-3</v>
      </c>
      <c r="X291" s="2192"/>
      <c r="Y291" s="2192"/>
      <c r="Z291" s="2192"/>
      <c r="AA291" s="2202">
        <f t="shared" si="18"/>
        <v>15.26</v>
      </c>
      <c r="AB291" s="2202"/>
      <c r="AC291" s="2202"/>
      <c r="AD291" s="2202"/>
      <c r="AE291" s="2192">
        <f t="shared" si="19"/>
        <v>3.0000000000000001E-3</v>
      </c>
      <c r="AF291" s="2192"/>
      <c r="AG291" s="2192"/>
      <c r="AH291" s="2192"/>
      <c r="AI291" s="2202">
        <f t="shared" si="20"/>
        <v>30.53</v>
      </c>
      <c r="AJ291" s="2202"/>
      <c r="AK291" s="2202"/>
      <c r="AL291" s="2202"/>
      <c r="AM291" s="743"/>
      <c r="AN291" s="743"/>
      <c r="AO291" s="743"/>
      <c r="AP291" s="743"/>
      <c r="AQ291" s="743"/>
      <c r="AR291" s="743"/>
      <c r="AS291" s="743"/>
      <c r="AT291" s="743"/>
      <c r="AU291" s="743"/>
      <c r="AV291" s="743"/>
      <c r="AW291" s="743"/>
      <c r="AX291" s="743"/>
      <c r="AY291" s="743"/>
      <c r="AZ291" s="743"/>
      <c r="BA291" s="743"/>
      <c r="BB291" s="743"/>
      <c r="BC291" s="743"/>
      <c r="BD291" s="743"/>
      <c r="BE291" s="743"/>
      <c r="BF291" s="743"/>
      <c r="BG291" s="743"/>
    </row>
    <row r="292" spans="1:59" s="192" customFormat="1" x14ac:dyDescent="0.25">
      <c r="A292" s="2170" t="s">
        <v>227</v>
      </c>
      <c r="B292" s="2171"/>
      <c r="C292" s="2171"/>
      <c r="D292" s="2171"/>
      <c r="E292" s="2171"/>
      <c r="F292" s="2172"/>
      <c r="G292" s="2192">
        <f t="shared" si="13"/>
        <v>1E-3</v>
      </c>
      <c r="H292" s="2192"/>
      <c r="I292" s="2192"/>
      <c r="J292" s="2192"/>
      <c r="K292" s="2202">
        <f t="shared" si="14"/>
        <v>9.2799999999999994</v>
      </c>
      <c r="L292" s="2202"/>
      <c r="M292" s="2202"/>
      <c r="N292" s="2202"/>
      <c r="O292" s="2154">
        <f t="shared" si="15"/>
        <v>5.0000000000000001E-3</v>
      </c>
      <c r="P292" s="2155"/>
      <c r="Q292" s="2155"/>
      <c r="R292" s="2156"/>
      <c r="S292" s="2202">
        <f t="shared" si="16"/>
        <v>37.130000000000003</v>
      </c>
      <c r="T292" s="2202"/>
      <c r="U292" s="2202"/>
      <c r="V292" s="2202"/>
      <c r="W292" s="2192">
        <f t="shared" si="17"/>
        <v>4.0000000000000001E-3</v>
      </c>
      <c r="X292" s="2192"/>
      <c r="Y292" s="2192"/>
      <c r="Z292" s="2192"/>
      <c r="AA292" s="2202">
        <f t="shared" si="18"/>
        <v>32.49</v>
      </c>
      <c r="AB292" s="2202"/>
      <c r="AC292" s="2202"/>
      <c r="AD292" s="2202"/>
      <c r="AE292" s="2192">
        <f t="shared" si="19"/>
        <v>8.9999999999999993E-3</v>
      </c>
      <c r="AF292" s="2192"/>
      <c r="AG292" s="2192"/>
      <c r="AH292" s="2192"/>
      <c r="AI292" s="2202">
        <f t="shared" si="20"/>
        <v>64.98</v>
      </c>
      <c r="AJ292" s="2202"/>
      <c r="AK292" s="2202"/>
      <c r="AL292" s="2202"/>
      <c r="AM292" s="743"/>
      <c r="AN292" s="743"/>
      <c r="AO292" s="743"/>
      <c r="AP292" s="743"/>
      <c r="AQ292" s="743"/>
      <c r="AR292" s="743"/>
      <c r="AS292" s="743"/>
      <c r="AT292" s="743"/>
      <c r="AU292" s="743"/>
      <c r="AV292" s="743"/>
      <c r="AW292" s="743"/>
      <c r="AX292" s="743"/>
      <c r="AY292" s="743"/>
      <c r="AZ292" s="743"/>
      <c r="BA292" s="743"/>
      <c r="BB292" s="743"/>
      <c r="BC292" s="743"/>
      <c r="BD292" s="743"/>
      <c r="BE292" s="743"/>
      <c r="BF292" s="743"/>
      <c r="BG292" s="743"/>
    </row>
    <row r="293" spans="1:59" s="192" customFormat="1" x14ac:dyDescent="0.25">
      <c r="A293" s="2170" t="s">
        <v>228</v>
      </c>
      <c r="B293" s="2171"/>
      <c r="C293" s="2171"/>
      <c r="D293" s="2171"/>
      <c r="E293" s="2171"/>
      <c r="F293" s="2172"/>
      <c r="G293" s="2192">
        <f t="shared" si="13"/>
        <v>1E-3</v>
      </c>
      <c r="H293" s="2192"/>
      <c r="I293" s="2192"/>
      <c r="J293" s="2192"/>
      <c r="K293" s="2202">
        <f t="shared" si="14"/>
        <v>5.28</v>
      </c>
      <c r="L293" s="2202"/>
      <c r="M293" s="2202"/>
      <c r="N293" s="2202"/>
      <c r="O293" s="2154">
        <f t="shared" si="15"/>
        <v>3.0000000000000001E-3</v>
      </c>
      <c r="P293" s="2155"/>
      <c r="Q293" s="2155"/>
      <c r="R293" s="2156"/>
      <c r="S293" s="2202">
        <f t="shared" si="16"/>
        <v>21.12</v>
      </c>
      <c r="T293" s="2202"/>
      <c r="U293" s="2202"/>
      <c r="V293" s="2202"/>
      <c r="W293" s="2192">
        <f t="shared" si="17"/>
        <v>3.0000000000000001E-3</v>
      </c>
      <c r="X293" s="2192"/>
      <c r="Y293" s="2192"/>
      <c r="Z293" s="2192"/>
      <c r="AA293" s="2202">
        <f t="shared" si="18"/>
        <v>18.48</v>
      </c>
      <c r="AB293" s="2202"/>
      <c r="AC293" s="2202"/>
      <c r="AD293" s="2202"/>
      <c r="AE293" s="2192">
        <f t="shared" si="19"/>
        <v>6.0000000000000001E-3</v>
      </c>
      <c r="AF293" s="2192"/>
      <c r="AG293" s="2192"/>
      <c r="AH293" s="2192"/>
      <c r="AI293" s="2202">
        <f t="shared" si="20"/>
        <v>36.96</v>
      </c>
      <c r="AJ293" s="2202"/>
      <c r="AK293" s="2202"/>
      <c r="AL293" s="2202"/>
      <c r="AM293" s="743"/>
      <c r="AN293" s="743"/>
      <c r="AO293" s="743"/>
      <c r="AP293" s="743"/>
      <c r="AQ293" s="743"/>
      <c r="AR293" s="743"/>
      <c r="AS293" s="743"/>
      <c r="AT293" s="743"/>
      <c r="AU293" s="743"/>
      <c r="AV293" s="743"/>
      <c r="AW293" s="743"/>
      <c r="AX293" s="743"/>
      <c r="AY293" s="743"/>
      <c r="AZ293" s="743"/>
      <c r="BA293" s="743"/>
      <c r="BB293" s="743"/>
      <c r="BC293" s="743"/>
      <c r="BD293" s="743"/>
      <c r="BE293" s="743"/>
      <c r="BF293" s="743"/>
      <c r="BG293" s="743"/>
    </row>
    <row r="294" spans="1:59" s="192" customFormat="1" x14ac:dyDescent="0.25">
      <c r="A294" s="2170" t="s">
        <v>229</v>
      </c>
      <c r="B294" s="2171"/>
      <c r="C294" s="2171"/>
      <c r="D294" s="2171"/>
      <c r="E294" s="2171"/>
      <c r="F294" s="2172"/>
      <c r="G294" s="2192">
        <f t="shared" si="13"/>
        <v>0</v>
      </c>
      <c r="H294" s="2192"/>
      <c r="I294" s="2192"/>
      <c r="J294" s="2192"/>
      <c r="K294" s="2202">
        <f t="shared" si="14"/>
        <v>3.35</v>
      </c>
      <c r="L294" s="2202"/>
      <c r="M294" s="2202"/>
      <c r="N294" s="2202"/>
      <c r="O294" s="2154">
        <f t="shared" si="15"/>
        <v>1E-3</v>
      </c>
      <c r="P294" s="2155"/>
      <c r="Q294" s="2155"/>
      <c r="R294" s="2156"/>
      <c r="S294" s="2202">
        <f t="shared" si="16"/>
        <v>13.38</v>
      </c>
      <c r="T294" s="2202"/>
      <c r="U294" s="2202"/>
      <c r="V294" s="2202"/>
      <c r="W294" s="2192">
        <f t="shared" si="17"/>
        <v>1E-3</v>
      </c>
      <c r="X294" s="2192"/>
      <c r="Y294" s="2192"/>
      <c r="Z294" s="2192"/>
      <c r="AA294" s="2202">
        <f t="shared" si="18"/>
        <v>11.71</v>
      </c>
      <c r="AB294" s="2202"/>
      <c r="AC294" s="2202"/>
      <c r="AD294" s="2202"/>
      <c r="AE294" s="2192">
        <f t="shared" si="19"/>
        <v>1E-3</v>
      </c>
      <c r="AF294" s="2192"/>
      <c r="AG294" s="2192"/>
      <c r="AH294" s="2192"/>
      <c r="AI294" s="2202">
        <f t="shared" si="20"/>
        <v>23.42</v>
      </c>
      <c r="AJ294" s="2202"/>
      <c r="AK294" s="2202"/>
      <c r="AL294" s="2202"/>
      <c r="AM294" s="743"/>
      <c r="AN294" s="743"/>
      <c r="AO294" s="743"/>
      <c r="AP294" s="743"/>
      <c r="AQ294" s="743"/>
      <c r="AR294" s="743"/>
      <c r="AS294" s="743"/>
      <c r="AT294" s="743"/>
      <c r="AU294" s="743"/>
      <c r="AV294" s="743"/>
      <c r="AW294" s="743"/>
      <c r="AX294" s="743"/>
      <c r="AY294" s="743"/>
      <c r="AZ294" s="743"/>
      <c r="BA294" s="743"/>
      <c r="BB294" s="743"/>
      <c r="BC294" s="743"/>
      <c r="BD294" s="743"/>
      <c r="BE294" s="743"/>
      <c r="BF294" s="743"/>
      <c r="BG294" s="743"/>
    </row>
    <row r="295" spans="1:59" s="192" customFormat="1" x14ac:dyDescent="0.25">
      <c r="A295" s="742"/>
      <c r="B295" s="742"/>
      <c r="C295" s="743"/>
      <c r="D295" s="743"/>
      <c r="E295" s="743"/>
      <c r="F295" s="743"/>
      <c r="G295" s="743"/>
      <c r="H295" s="743"/>
      <c r="I295" s="743"/>
      <c r="J295" s="743"/>
      <c r="K295" s="743"/>
      <c r="L295" s="743"/>
      <c r="M295" s="743"/>
      <c r="N295" s="743"/>
      <c r="O295" s="743"/>
      <c r="P295" s="743"/>
      <c r="Q295" s="743"/>
      <c r="R295" s="743"/>
      <c r="S295" s="743"/>
      <c r="T295" s="743"/>
      <c r="U295" s="743"/>
      <c r="V295" s="743"/>
      <c r="W295" s="743"/>
      <c r="X295" s="743"/>
      <c r="Y295" s="743"/>
      <c r="Z295" s="743"/>
      <c r="AA295" s="743"/>
      <c r="AB295" s="743"/>
      <c r="AC295" s="743"/>
      <c r="AD295" s="743"/>
      <c r="AE295" s="743"/>
      <c r="AF295" s="743"/>
      <c r="AG295" s="743"/>
      <c r="AH295" s="743"/>
      <c r="AI295" s="743"/>
      <c r="AJ295" s="743"/>
      <c r="AK295" s="743"/>
      <c r="AL295" s="743"/>
      <c r="AM295" s="743"/>
      <c r="AN295" s="743"/>
      <c r="AO295" s="743"/>
      <c r="AP295" s="743"/>
      <c r="AQ295" s="743"/>
      <c r="AR295" s="743"/>
      <c r="AS295" s="743"/>
      <c r="AT295" s="743"/>
      <c r="AU295" s="743"/>
      <c r="AV295" s="743"/>
      <c r="AW295" s="743"/>
      <c r="AX295" s="743"/>
      <c r="AY295" s="743"/>
      <c r="AZ295" s="743"/>
      <c r="BA295" s="743"/>
      <c r="BB295" s="743"/>
      <c r="BC295" s="743"/>
      <c r="BD295" s="743"/>
      <c r="BE295" s="743"/>
      <c r="BF295" s="743"/>
      <c r="BG295" s="743"/>
    </row>
    <row r="296" spans="1:59" s="192" customFormat="1" x14ac:dyDescent="0.25">
      <c r="A296" s="672"/>
      <c r="B296" s="519" t="s">
        <v>6753</v>
      </c>
      <c r="C296" s="742"/>
      <c r="G296" s="959"/>
      <c r="K296" s="959"/>
      <c r="O296" s="959"/>
      <c r="S296" s="959"/>
      <c r="AA296" s="959"/>
      <c r="AG296" s="959"/>
      <c r="AK296" s="959"/>
      <c r="AM296" s="743"/>
      <c r="AN296" s="743"/>
      <c r="AO296" s="743"/>
      <c r="AP296" s="743"/>
      <c r="AQ296" s="743"/>
      <c r="AR296" s="743"/>
      <c r="AS296" s="743"/>
      <c r="AT296" s="743"/>
      <c r="AU296" s="743"/>
      <c r="AV296" s="743"/>
      <c r="AW296" s="743"/>
      <c r="AX296" s="743"/>
      <c r="AY296" s="743"/>
      <c r="AZ296" s="743"/>
      <c r="BA296" s="743"/>
      <c r="BB296" s="743"/>
      <c r="BC296" s="743"/>
      <c r="BD296" s="743"/>
      <c r="BE296" s="743"/>
      <c r="BF296" s="743"/>
      <c r="BG296" s="743"/>
    </row>
    <row r="297" spans="1:59" s="192" customFormat="1" x14ac:dyDescent="0.25">
      <c r="A297" s="672"/>
      <c r="B297" s="742"/>
      <c r="C297" s="742"/>
      <c r="G297" s="959"/>
      <c r="K297" s="959"/>
      <c r="O297" s="959"/>
      <c r="S297" s="959"/>
      <c r="AA297" s="959"/>
      <c r="AG297" s="959"/>
      <c r="AK297" s="959"/>
      <c r="AM297" s="743"/>
      <c r="AN297" s="743"/>
      <c r="AO297" s="743"/>
      <c r="AP297" s="743"/>
      <c r="AQ297" s="743"/>
      <c r="AR297" s="743"/>
      <c r="AS297" s="743"/>
      <c r="AT297" s="743"/>
      <c r="AU297" s="743"/>
      <c r="AV297" s="743"/>
      <c r="AW297" s="743"/>
      <c r="AX297" s="743"/>
      <c r="AY297" s="743"/>
      <c r="AZ297" s="743"/>
      <c r="BA297" s="743"/>
      <c r="BB297" s="743"/>
      <c r="BC297" s="743"/>
      <c r="BD297" s="743"/>
      <c r="BE297" s="743"/>
      <c r="BF297" s="743"/>
      <c r="BG297" s="743"/>
    </row>
    <row r="298" spans="1:59" s="192" customFormat="1" x14ac:dyDescent="0.25">
      <c r="A298" s="740" t="s">
        <v>6714</v>
      </c>
      <c r="B298" s="740"/>
      <c r="C298" s="740"/>
      <c r="D298" s="740"/>
      <c r="E298" s="740"/>
      <c r="F298" s="740"/>
      <c r="G298" s="741"/>
      <c r="H298" s="741"/>
      <c r="I298" s="741"/>
      <c r="J298" s="741"/>
      <c r="K298" s="741"/>
      <c r="L298" s="741"/>
      <c r="M298" s="741"/>
      <c r="N298" s="741"/>
      <c r="O298" s="741"/>
      <c r="P298" s="741"/>
      <c r="Q298" s="741"/>
      <c r="R298" s="741"/>
      <c r="S298" s="741"/>
      <c r="T298" s="741"/>
      <c r="U298" s="741"/>
      <c r="V298" s="741"/>
      <c r="W298" s="741"/>
      <c r="X298" s="741"/>
      <c r="Y298" s="741"/>
      <c r="Z298" s="741"/>
      <c r="AA298" s="741"/>
      <c r="AB298" s="741"/>
      <c r="AC298" s="741"/>
      <c r="AD298" s="741"/>
      <c r="AE298" s="741"/>
      <c r="AF298" s="741"/>
      <c r="AG298" s="741"/>
      <c r="AH298" s="741"/>
      <c r="AI298" s="197"/>
      <c r="AJ298" s="197"/>
      <c r="AK298" s="197"/>
      <c r="AL298" s="197"/>
      <c r="AM298" s="743"/>
      <c r="AN298" s="743"/>
      <c r="AO298" s="743"/>
      <c r="AQ298" s="743"/>
      <c r="AR298" s="743"/>
      <c r="AS298" s="743"/>
      <c r="AT298" s="743"/>
      <c r="AU298" s="743"/>
      <c r="AV298" s="743"/>
      <c r="AW298" s="743"/>
      <c r="AX298" s="743"/>
      <c r="AY298" s="743"/>
      <c r="AZ298" s="743"/>
      <c r="BA298" s="743"/>
      <c r="BB298" s="743"/>
      <c r="BC298" s="743"/>
      <c r="BD298" s="743"/>
      <c r="BE298" s="743"/>
      <c r="BF298" s="743"/>
      <c r="BG298" s="743"/>
    </row>
    <row r="299" spans="1:59" s="192" customFormat="1" x14ac:dyDescent="0.25">
      <c r="A299" s="197"/>
      <c r="B299" s="197"/>
      <c r="C299" s="197"/>
      <c r="D299" s="197"/>
      <c r="E299" s="197"/>
      <c r="F299" s="197"/>
      <c r="G299" s="2363" t="s">
        <v>1945</v>
      </c>
      <c r="H299" s="2364"/>
      <c r="I299" s="2364"/>
      <c r="J299" s="2364"/>
      <c r="K299" s="2364"/>
      <c r="L299" s="2364"/>
      <c r="M299" s="2364"/>
      <c r="N299" s="2364"/>
      <c r="O299" s="2364"/>
      <c r="P299" s="2364"/>
      <c r="Q299" s="2364"/>
      <c r="R299" s="2364"/>
      <c r="S299" s="2364"/>
      <c r="T299" s="2364"/>
      <c r="U299" s="2364"/>
      <c r="V299" s="2364"/>
      <c r="W299" s="2364"/>
      <c r="X299" s="2364"/>
      <c r="Y299" s="2364"/>
      <c r="Z299" s="2364"/>
      <c r="AA299" s="2364"/>
      <c r="AB299" s="2364"/>
      <c r="AC299" s="2364"/>
      <c r="AD299" s="2364"/>
      <c r="AE299" s="2364"/>
      <c r="AF299" s="2364"/>
      <c r="AG299" s="2364"/>
      <c r="AH299" s="2364"/>
      <c r="AI299" s="2364"/>
      <c r="AJ299" s="2364"/>
      <c r="AK299" s="2364"/>
      <c r="AL299" s="2365"/>
      <c r="AM299" s="743"/>
      <c r="AN299" s="743"/>
      <c r="AO299" s="743"/>
      <c r="AP299" s="743"/>
      <c r="AQ299" s="743"/>
      <c r="AR299" s="743"/>
      <c r="AS299" s="743"/>
      <c r="AT299" s="743"/>
      <c r="AU299" s="743"/>
      <c r="AV299" s="743"/>
      <c r="AW299" s="743"/>
      <c r="AX299" s="743"/>
      <c r="AY299" s="743"/>
      <c r="AZ299" s="743"/>
      <c r="BA299" s="743"/>
      <c r="BB299" s="743"/>
      <c r="BC299" s="743"/>
      <c r="BD299" s="743"/>
      <c r="BE299" s="743"/>
      <c r="BF299" s="743"/>
      <c r="BG299" s="743"/>
    </row>
    <row r="300" spans="1:59" s="192" customFormat="1" x14ac:dyDescent="0.25">
      <c r="A300" s="2182" t="s">
        <v>54</v>
      </c>
      <c r="B300" s="2183"/>
      <c r="C300" s="2183"/>
      <c r="D300" s="2183"/>
      <c r="E300" s="2183"/>
      <c r="F300" s="2184"/>
      <c r="G300" s="2366" t="s">
        <v>772</v>
      </c>
      <c r="H300" s="2367"/>
      <c r="I300" s="2367"/>
      <c r="J300" s="2367"/>
      <c r="K300" s="2367"/>
      <c r="L300" s="2367"/>
      <c r="M300" s="2367"/>
      <c r="N300" s="2368"/>
      <c r="O300" s="2369" t="s">
        <v>773</v>
      </c>
      <c r="P300" s="2370"/>
      <c r="Q300" s="2370"/>
      <c r="R300" s="2370"/>
      <c r="S300" s="2370"/>
      <c r="T300" s="2370"/>
      <c r="U300" s="2370"/>
      <c r="V300" s="2371"/>
      <c r="W300" s="2372" t="s">
        <v>774</v>
      </c>
      <c r="X300" s="2372"/>
      <c r="Y300" s="2372"/>
      <c r="Z300" s="2372"/>
      <c r="AA300" s="2372"/>
      <c r="AB300" s="2372"/>
      <c r="AC300" s="2372"/>
      <c r="AD300" s="2372"/>
      <c r="AE300" s="2373" t="s">
        <v>775</v>
      </c>
      <c r="AF300" s="2373"/>
      <c r="AG300" s="2373"/>
      <c r="AH300" s="2373"/>
      <c r="AI300" s="2373"/>
      <c r="AJ300" s="2373"/>
      <c r="AK300" s="2373"/>
      <c r="AL300" s="2373"/>
      <c r="AM300" s="743"/>
      <c r="AN300" s="743"/>
      <c r="AO300" s="743"/>
      <c r="AP300" s="743"/>
      <c r="AQ300" s="743"/>
      <c r="AR300" s="743"/>
      <c r="AS300" s="743"/>
      <c r="AT300" s="743"/>
      <c r="AU300" s="743"/>
      <c r="AV300" s="743"/>
      <c r="AW300" s="743"/>
      <c r="AX300" s="743"/>
      <c r="AY300" s="743"/>
      <c r="AZ300" s="743"/>
      <c r="BA300" s="743"/>
      <c r="BB300" s="743"/>
      <c r="BC300" s="743"/>
      <c r="BD300" s="743"/>
      <c r="BE300" s="743"/>
      <c r="BF300" s="743"/>
      <c r="BG300" s="743"/>
    </row>
    <row r="301" spans="1:59" s="192" customFormat="1" x14ac:dyDescent="0.25">
      <c r="A301" s="2170" t="s">
        <v>1984</v>
      </c>
      <c r="B301" s="2171"/>
      <c r="C301" s="2171"/>
      <c r="D301" s="2171"/>
      <c r="E301" s="2171"/>
      <c r="F301" s="2172"/>
      <c r="G301" s="2194">
        <f t="shared" ref="G301:G311" si="21">ROUND(K284*VLOOKUP($A301,$A$199:$Q$209,8,TRUE),2)</f>
        <v>32.479999999999997</v>
      </c>
      <c r="H301" s="2195"/>
      <c r="I301" s="2195"/>
      <c r="J301" s="2195"/>
      <c r="K301" s="2195"/>
      <c r="L301" s="2195"/>
      <c r="M301" s="2195"/>
      <c r="N301" s="2196"/>
      <c r="O301" s="2194">
        <f t="shared" ref="O301:O311" si="22">ROUND(S284*VLOOKUP($A301,$A$199:$Q$209,8,TRUE),2)</f>
        <v>129.76</v>
      </c>
      <c r="P301" s="2195"/>
      <c r="Q301" s="2195"/>
      <c r="R301" s="2195"/>
      <c r="S301" s="2195"/>
      <c r="T301" s="2195"/>
      <c r="U301" s="2195"/>
      <c r="V301" s="2196"/>
      <c r="W301" s="2194">
        <f t="shared" ref="W301:W311" si="23">ROUND(AA284*VLOOKUP($A301,$A$199:$Q$209,8,TRUE),2)</f>
        <v>113.52</v>
      </c>
      <c r="X301" s="2195"/>
      <c r="Y301" s="2195"/>
      <c r="Z301" s="2195"/>
      <c r="AA301" s="2195"/>
      <c r="AB301" s="2195"/>
      <c r="AC301" s="2195"/>
      <c r="AD301" s="2196"/>
      <c r="AE301" s="2194">
        <f t="shared" ref="AE301:AE311" si="24">ROUND(AI284*VLOOKUP($A301,$A$199:$Q$209,8,TRUE),2)</f>
        <v>227.12</v>
      </c>
      <c r="AF301" s="2195"/>
      <c r="AG301" s="2195"/>
      <c r="AH301" s="2195"/>
      <c r="AI301" s="2195"/>
      <c r="AJ301" s="2195"/>
      <c r="AK301" s="2195"/>
      <c r="AL301" s="2196"/>
      <c r="AM301" s="743"/>
      <c r="AN301" s="743"/>
      <c r="AO301" s="743"/>
      <c r="AP301" s="743"/>
      <c r="AQ301" s="743"/>
      <c r="AR301" s="743"/>
      <c r="AS301" s="743"/>
      <c r="AT301" s="743"/>
      <c r="AU301" s="743"/>
      <c r="AV301" s="743"/>
      <c r="AW301" s="743"/>
      <c r="AX301" s="743"/>
      <c r="AY301" s="743"/>
      <c r="AZ301" s="743"/>
      <c r="BA301" s="743"/>
      <c r="BB301" s="743"/>
      <c r="BC301" s="743"/>
      <c r="BD301" s="743"/>
      <c r="BE301" s="743"/>
      <c r="BF301" s="743"/>
      <c r="BG301" s="743"/>
    </row>
    <row r="302" spans="1:59" s="192" customFormat="1" x14ac:dyDescent="0.25">
      <c r="A302" s="2170" t="s">
        <v>221</v>
      </c>
      <c r="B302" s="2171"/>
      <c r="C302" s="2171"/>
      <c r="D302" s="2171"/>
      <c r="E302" s="2171"/>
      <c r="F302" s="2172"/>
      <c r="G302" s="2194">
        <f t="shared" si="21"/>
        <v>43.2</v>
      </c>
      <c r="H302" s="2195"/>
      <c r="I302" s="2195"/>
      <c r="J302" s="2195"/>
      <c r="K302" s="2195"/>
      <c r="L302" s="2195"/>
      <c r="M302" s="2195"/>
      <c r="N302" s="2196"/>
      <c r="O302" s="2194">
        <f t="shared" si="22"/>
        <v>172.83</v>
      </c>
      <c r="P302" s="2195"/>
      <c r="Q302" s="2195"/>
      <c r="R302" s="2195"/>
      <c r="S302" s="2195"/>
      <c r="T302" s="2195"/>
      <c r="U302" s="2195"/>
      <c r="V302" s="2196"/>
      <c r="W302" s="2194">
        <f t="shared" si="23"/>
        <v>151.19999999999999</v>
      </c>
      <c r="X302" s="2195"/>
      <c r="Y302" s="2195"/>
      <c r="Z302" s="2195"/>
      <c r="AA302" s="2195"/>
      <c r="AB302" s="2195"/>
      <c r="AC302" s="2195"/>
      <c r="AD302" s="2196"/>
      <c r="AE302" s="2194">
        <f t="shared" si="24"/>
        <v>302.43</v>
      </c>
      <c r="AF302" s="2195"/>
      <c r="AG302" s="2195"/>
      <c r="AH302" s="2195"/>
      <c r="AI302" s="2195"/>
      <c r="AJ302" s="2195"/>
      <c r="AK302" s="2195"/>
      <c r="AL302" s="2196"/>
      <c r="AM302" s="743"/>
      <c r="AN302" s="743"/>
      <c r="AO302" s="743"/>
      <c r="AP302" s="743"/>
      <c r="AQ302" s="743"/>
      <c r="AR302" s="743"/>
      <c r="AS302" s="743"/>
      <c r="AT302" s="743"/>
      <c r="AU302" s="743"/>
      <c r="AV302" s="743"/>
      <c r="AW302" s="743"/>
      <c r="AX302" s="743"/>
      <c r="AY302" s="743"/>
      <c r="AZ302" s="743"/>
      <c r="BA302" s="743"/>
      <c r="BB302" s="743"/>
      <c r="BC302" s="743"/>
      <c r="BD302" s="743"/>
      <c r="BE302" s="743"/>
      <c r="BF302" s="743"/>
      <c r="BG302" s="743"/>
    </row>
    <row r="303" spans="1:59" s="192" customFormat="1" x14ac:dyDescent="0.25">
      <c r="A303" s="2170" t="s">
        <v>222</v>
      </c>
      <c r="B303" s="2171"/>
      <c r="C303" s="2171"/>
      <c r="D303" s="2171"/>
      <c r="E303" s="2171"/>
      <c r="F303" s="2172"/>
      <c r="G303" s="2194">
        <f t="shared" si="21"/>
        <v>36.700000000000003</v>
      </c>
      <c r="H303" s="2195"/>
      <c r="I303" s="2195"/>
      <c r="J303" s="2195"/>
      <c r="K303" s="2195"/>
      <c r="L303" s="2195"/>
      <c r="M303" s="2195"/>
      <c r="N303" s="2196"/>
      <c r="O303" s="2194">
        <f t="shared" si="22"/>
        <v>146.80000000000001</v>
      </c>
      <c r="P303" s="2195"/>
      <c r="Q303" s="2195"/>
      <c r="R303" s="2195"/>
      <c r="S303" s="2195"/>
      <c r="T303" s="2195"/>
      <c r="U303" s="2195"/>
      <c r="V303" s="2196"/>
      <c r="W303" s="2194">
        <f t="shared" si="23"/>
        <v>128.5</v>
      </c>
      <c r="X303" s="2195"/>
      <c r="Y303" s="2195"/>
      <c r="Z303" s="2195"/>
      <c r="AA303" s="2195"/>
      <c r="AB303" s="2195"/>
      <c r="AC303" s="2195"/>
      <c r="AD303" s="2196"/>
      <c r="AE303" s="2194">
        <f t="shared" si="24"/>
        <v>256.89999999999998</v>
      </c>
      <c r="AF303" s="2195"/>
      <c r="AG303" s="2195"/>
      <c r="AH303" s="2195"/>
      <c r="AI303" s="2195"/>
      <c r="AJ303" s="2195"/>
      <c r="AK303" s="2195"/>
      <c r="AL303" s="2196"/>
      <c r="AM303" s="743"/>
      <c r="AN303" s="743"/>
      <c r="AO303" s="743"/>
      <c r="AP303" s="743"/>
      <c r="AQ303" s="743"/>
      <c r="AR303" s="743"/>
      <c r="AS303" s="743"/>
      <c r="AT303" s="743"/>
      <c r="AU303" s="743"/>
      <c r="AV303" s="743"/>
      <c r="AW303" s="743"/>
      <c r="AX303" s="743"/>
      <c r="AY303" s="743"/>
      <c r="AZ303" s="743"/>
      <c r="BA303" s="743"/>
      <c r="BB303" s="743"/>
      <c r="BC303" s="743"/>
      <c r="BD303" s="743"/>
      <c r="BE303" s="743"/>
      <c r="BF303" s="743"/>
      <c r="BG303" s="743"/>
    </row>
    <row r="304" spans="1:59" s="192" customFormat="1" x14ac:dyDescent="0.25">
      <c r="A304" s="2170" t="s">
        <v>223</v>
      </c>
      <c r="B304" s="2171"/>
      <c r="C304" s="2171"/>
      <c r="D304" s="2171"/>
      <c r="E304" s="2171"/>
      <c r="F304" s="2172"/>
      <c r="G304" s="2194">
        <f t="shared" si="21"/>
        <v>32.85</v>
      </c>
      <c r="H304" s="2195"/>
      <c r="I304" s="2195"/>
      <c r="J304" s="2195"/>
      <c r="K304" s="2195"/>
      <c r="L304" s="2195"/>
      <c r="M304" s="2195"/>
      <c r="N304" s="2196"/>
      <c r="O304" s="2194">
        <f t="shared" si="22"/>
        <v>131.37</v>
      </c>
      <c r="P304" s="2195"/>
      <c r="Q304" s="2195"/>
      <c r="R304" s="2195"/>
      <c r="S304" s="2195"/>
      <c r="T304" s="2195"/>
      <c r="U304" s="2195"/>
      <c r="V304" s="2196"/>
      <c r="W304" s="2194">
        <f t="shared" si="23"/>
        <v>114.96</v>
      </c>
      <c r="X304" s="2195"/>
      <c r="Y304" s="2195"/>
      <c r="Z304" s="2195"/>
      <c r="AA304" s="2195"/>
      <c r="AB304" s="2195"/>
      <c r="AC304" s="2195"/>
      <c r="AD304" s="2196"/>
      <c r="AE304" s="2194">
        <f t="shared" si="24"/>
        <v>229.92</v>
      </c>
      <c r="AF304" s="2195"/>
      <c r="AG304" s="2195"/>
      <c r="AH304" s="2195"/>
      <c r="AI304" s="2195"/>
      <c r="AJ304" s="2195"/>
      <c r="AK304" s="2195"/>
      <c r="AL304" s="2196"/>
      <c r="AM304" s="743"/>
      <c r="AN304" s="743"/>
      <c r="AO304" s="743"/>
      <c r="AP304" s="743"/>
      <c r="AQ304" s="743"/>
      <c r="AR304" s="743"/>
      <c r="AS304" s="743"/>
      <c r="AT304" s="743"/>
      <c r="AU304" s="743"/>
      <c r="AV304" s="743"/>
      <c r="AW304" s="743"/>
      <c r="AX304" s="743"/>
      <c r="AY304" s="743"/>
      <c r="AZ304" s="743"/>
      <c r="BA304" s="743"/>
      <c r="BB304" s="743"/>
      <c r="BC304" s="743"/>
      <c r="BD304" s="743"/>
      <c r="BE304" s="743"/>
      <c r="BF304" s="743"/>
      <c r="BG304" s="743"/>
    </row>
    <row r="305" spans="1:59" s="192" customFormat="1" x14ac:dyDescent="0.25">
      <c r="A305" s="2170" t="s">
        <v>224</v>
      </c>
      <c r="B305" s="2171"/>
      <c r="C305" s="2171"/>
      <c r="D305" s="2171"/>
      <c r="E305" s="2171"/>
      <c r="F305" s="2172"/>
      <c r="G305" s="2194">
        <f t="shared" si="21"/>
        <v>36</v>
      </c>
      <c r="H305" s="2195"/>
      <c r="I305" s="2195"/>
      <c r="J305" s="2195"/>
      <c r="K305" s="2195"/>
      <c r="L305" s="2195"/>
      <c r="M305" s="2195"/>
      <c r="N305" s="2196"/>
      <c r="O305" s="2194">
        <f t="shared" si="22"/>
        <v>143.97</v>
      </c>
      <c r="P305" s="2195"/>
      <c r="Q305" s="2195"/>
      <c r="R305" s="2195"/>
      <c r="S305" s="2195"/>
      <c r="T305" s="2195"/>
      <c r="U305" s="2195"/>
      <c r="V305" s="2196"/>
      <c r="W305" s="2194">
        <f t="shared" si="23"/>
        <v>126</v>
      </c>
      <c r="X305" s="2195"/>
      <c r="Y305" s="2195"/>
      <c r="Z305" s="2195"/>
      <c r="AA305" s="2195"/>
      <c r="AB305" s="2195"/>
      <c r="AC305" s="2195"/>
      <c r="AD305" s="2196"/>
      <c r="AE305" s="2194">
        <f t="shared" si="24"/>
        <v>251.97</v>
      </c>
      <c r="AF305" s="2195"/>
      <c r="AG305" s="2195"/>
      <c r="AH305" s="2195"/>
      <c r="AI305" s="2195"/>
      <c r="AJ305" s="2195"/>
      <c r="AK305" s="2195"/>
      <c r="AL305" s="2196"/>
      <c r="AM305" s="743"/>
      <c r="AN305" s="743"/>
      <c r="AO305" s="743"/>
      <c r="AP305" s="743"/>
      <c r="AQ305" s="743"/>
      <c r="AR305" s="743"/>
      <c r="AS305" s="743"/>
      <c r="AT305" s="743"/>
      <c r="AU305" s="743"/>
      <c r="AV305" s="743"/>
      <c r="AW305" s="743"/>
      <c r="AX305" s="743"/>
      <c r="AY305" s="743"/>
      <c r="AZ305" s="743"/>
      <c r="BA305" s="743"/>
      <c r="BB305" s="743"/>
      <c r="BC305" s="743"/>
      <c r="BD305" s="743"/>
      <c r="BE305" s="743"/>
      <c r="BF305" s="743"/>
      <c r="BG305" s="743"/>
    </row>
    <row r="306" spans="1:59" s="192" customFormat="1" x14ac:dyDescent="0.25">
      <c r="A306" s="2170" t="s">
        <v>225</v>
      </c>
      <c r="B306" s="2171"/>
      <c r="C306" s="2171"/>
      <c r="D306" s="2171"/>
      <c r="E306" s="2171"/>
      <c r="F306" s="2172"/>
      <c r="G306" s="2194">
        <f t="shared" si="21"/>
        <v>41.64</v>
      </c>
      <c r="H306" s="2195"/>
      <c r="I306" s="2195"/>
      <c r="J306" s="2195"/>
      <c r="K306" s="2195"/>
      <c r="L306" s="2195"/>
      <c r="M306" s="2195"/>
      <c r="N306" s="2196"/>
      <c r="O306" s="2194">
        <f t="shared" si="22"/>
        <v>166.68</v>
      </c>
      <c r="P306" s="2195"/>
      <c r="Q306" s="2195"/>
      <c r="R306" s="2195"/>
      <c r="S306" s="2195"/>
      <c r="T306" s="2195"/>
      <c r="U306" s="2195"/>
      <c r="V306" s="2196"/>
      <c r="W306" s="2194">
        <f t="shared" si="23"/>
        <v>145.91999999999999</v>
      </c>
      <c r="X306" s="2195"/>
      <c r="Y306" s="2195"/>
      <c r="Z306" s="2195"/>
      <c r="AA306" s="2195"/>
      <c r="AB306" s="2195"/>
      <c r="AC306" s="2195"/>
      <c r="AD306" s="2196"/>
      <c r="AE306" s="2194">
        <f t="shared" si="24"/>
        <v>291.72000000000003</v>
      </c>
      <c r="AF306" s="2195"/>
      <c r="AG306" s="2195"/>
      <c r="AH306" s="2195"/>
      <c r="AI306" s="2195"/>
      <c r="AJ306" s="2195"/>
      <c r="AK306" s="2195"/>
      <c r="AL306" s="2196"/>
      <c r="AM306" s="743"/>
      <c r="AN306" s="743"/>
      <c r="AO306" s="743"/>
      <c r="AP306" s="743"/>
      <c r="AQ306" s="743"/>
      <c r="AR306" s="743"/>
      <c r="AS306" s="743"/>
      <c r="AT306" s="743"/>
      <c r="AU306" s="743"/>
      <c r="AV306" s="743"/>
      <c r="AW306" s="743"/>
      <c r="AX306" s="743"/>
      <c r="AY306" s="743"/>
      <c r="AZ306" s="743"/>
      <c r="BA306" s="743"/>
      <c r="BB306" s="743"/>
      <c r="BC306" s="743"/>
      <c r="BD306" s="743"/>
      <c r="BE306" s="743"/>
      <c r="BF306" s="743"/>
      <c r="BG306" s="743"/>
    </row>
    <row r="307" spans="1:59" s="192" customFormat="1" x14ac:dyDescent="0.25">
      <c r="A307" s="2170" t="s">
        <v>226</v>
      </c>
      <c r="B307" s="2171"/>
      <c r="C307" s="2171"/>
      <c r="D307" s="2171"/>
      <c r="E307" s="2171"/>
      <c r="F307" s="2172"/>
      <c r="G307" s="2194">
        <f t="shared" si="21"/>
        <v>32.97</v>
      </c>
      <c r="H307" s="2195"/>
      <c r="I307" s="2195"/>
      <c r="J307" s="2195"/>
      <c r="K307" s="2195"/>
      <c r="L307" s="2195"/>
      <c r="M307" s="2195"/>
      <c r="N307" s="2196"/>
      <c r="O307" s="2194">
        <f t="shared" si="22"/>
        <v>131.81</v>
      </c>
      <c r="P307" s="2195"/>
      <c r="Q307" s="2195"/>
      <c r="R307" s="2195"/>
      <c r="S307" s="2195"/>
      <c r="T307" s="2195"/>
      <c r="U307" s="2195"/>
      <c r="V307" s="2196"/>
      <c r="W307" s="2194">
        <f t="shared" si="23"/>
        <v>115.36</v>
      </c>
      <c r="X307" s="2195"/>
      <c r="Y307" s="2195"/>
      <c r="Z307" s="2195"/>
      <c r="AA307" s="2195"/>
      <c r="AB307" s="2195"/>
      <c r="AC307" s="2195"/>
      <c r="AD307" s="2196"/>
      <c r="AE307" s="2194">
        <f t="shared" si="24"/>
        <v>230.72</v>
      </c>
      <c r="AF307" s="2195"/>
      <c r="AG307" s="2195"/>
      <c r="AH307" s="2195"/>
      <c r="AI307" s="2195"/>
      <c r="AJ307" s="2195"/>
      <c r="AK307" s="2195"/>
      <c r="AL307" s="2196"/>
      <c r="AM307" s="743"/>
      <c r="AN307" s="743"/>
      <c r="AO307" s="743"/>
      <c r="AP307" s="743"/>
      <c r="AQ307" s="743"/>
      <c r="AR307" s="743"/>
      <c r="AS307" s="743"/>
      <c r="AT307" s="743"/>
      <c r="AU307" s="743"/>
      <c r="AV307" s="743"/>
      <c r="AW307" s="743"/>
      <c r="AX307" s="743"/>
      <c r="AY307" s="743"/>
      <c r="AZ307" s="743"/>
      <c r="BA307" s="743"/>
      <c r="BB307" s="743"/>
      <c r="BC307" s="743"/>
      <c r="BD307" s="743"/>
      <c r="BE307" s="743"/>
      <c r="BF307" s="743"/>
      <c r="BG307" s="743"/>
    </row>
    <row r="308" spans="1:59" s="192" customFormat="1" x14ac:dyDescent="0.25">
      <c r="A308" s="2170" t="s">
        <v>55</v>
      </c>
      <c r="B308" s="2171"/>
      <c r="C308" s="2171"/>
      <c r="D308" s="2171"/>
      <c r="E308" s="2171"/>
      <c r="F308" s="2172"/>
      <c r="G308" s="2194">
        <f t="shared" si="21"/>
        <v>34.880000000000003</v>
      </c>
      <c r="H308" s="2195"/>
      <c r="I308" s="2195"/>
      <c r="J308" s="2195"/>
      <c r="K308" s="2195"/>
      <c r="L308" s="2195"/>
      <c r="M308" s="2195"/>
      <c r="N308" s="2196"/>
      <c r="O308" s="2194">
        <f t="shared" si="22"/>
        <v>139.52000000000001</v>
      </c>
      <c r="P308" s="2195"/>
      <c r="Q308" s="2195"/>
      <c r="R308" s="2195"/>
      <c r="S308" s="2195"/>
      <c r="T308" s="2195"/>
      <c r="U308" s="2195"/>
      <c r="V308" s="2196"/>
      <c r="W308" s="2194">
        <f t="shared" si="23"/>
        <v>122.08</v>
      </c>
      <c r="X308" s="2195"/>
      <c r="Y308" s="2195"/>
      <c r="Z308" s="2195"/>
      <c r="AA308" s="2195"/>
      <c r="AB308" s="2195"/>
      <c r="AC308" s="2195"/>
      <c r="AD308" s="2196"/>
      <c r="AE308" s="2194">
        <f t="shared" si="24"/>
        <v>244.24</v>
      </c>
      <c r="AF308" s="2195"/>
      <c r="AG308" s="2195"/>
      <c r="AH308" s="2195"/>
      <c r="AI308" s="2195"/>
      <c r="AJ308" s="2195"/>
      <c r="AK308" s="2195"/>
      <c r="AL308" s="2196"/>
      <c r="AM308" s="743"/>
      <c r="AN308" s="743"/>
      <c r="AO308" s="743"/>
      <c r="AP308" s="743"/>
      <c r="AQ308" s="743"/>
      <c r="AR308" s="743"/>
      <c r="AS308" s="743"/>
      <c r="AT308" s="743"/>
      <c r="AU308" s="743"/>
      <c r="AV308" s="743"/>
      <c r="AW308" s="743"/>
      <c r="AX308" s="743"/>
      <c r="AY308" s="743"/>
      <c r="AZ308" s="743"/>
      <c r="BA308" s="743"/>
      <c r="BB308" s="743"/>
      <c r="BC308" s="743"/>
      <c r="BD308" s="743"/>
      <c r="BE308" s="743"/>
      <c r="BF308" s="743"/>
      <c r="BG308" s="743"/>
    </row>
    <row r="309" spans="1:59" s="192" customFormat="1" x14ac:dyDescent="0.25">
      <c r="A309" s="2170" t="s">
        <v>227</v>
      </c>
      <c r="B309" s="2171"/>
      <c r="C309" s="2171"/>
      <c r="D309" s="2171"/>
      <c r="E309" s="2171"/>
      <c r="F309" s="2172"/>
      <c r="G309" s="2194">
        <f t="shared" si="21"/>
        <v>37.119999999999997</v>
      </c>
      <c r="H309" s="2195"/>
      <c r="I309" s="2195"/>
      <c r="J309" s="2195"/>
      <c r="K309" s="2195"/>
      <c r="L309" s="2195"/>
      <c r="M309" s="2195"/>
      <c r="N309" s="2196"/>
      <c r="O309" s="2194">
        <f t="shared" si="22"/>
        <v>148.52000000000001</v>
      </c>
      <c r="P309" s="2195"/>
      <c r="Q309" s="2195"/>
      <c r="R309" s="2195"/>
      <c r="S309" s="2195"/>
      <c r="T309" s="2195"/>
      <c r="U309" s="2195"/>
      <c r="V309" s="2196"/>
      <c r="W309" s="2194">
        <f t="shared" si="23"/>
        <v>129.96</v>
      </c>
      <c r="X309" s="2195"/>
      <c r="Y309" s="2195"/>
      <c r="Z309" s="2195"/>
      <c r="AA309" s="2195"/>
      <c r="AB309" s="2195"/>
      <c r="AC309" s="2195"/>
      <c r="AD309" s="2196"/>
      <c r="AE309" s="2194">
        <f t="shared" si="24"/>
        <v>259.92</v>
      </c>
      <c r="AF309" s="2195"/>
      <c r="AG309" s="2195"/>
      <c r="AH309" s="2195"/>
      <c r="AI309" s="2195"/>
      <c r="AJ309" s="2195"/>
      <c r="AK309" s="2195"/>
      <c r="AL309" s="2196"/>
      <c r="AM309" s="743"/>
      <c r="AN309" s="743"/>
      <c r="AO309" s="743"/>
      <c r="AP309" s="743"/>
      <c r="AQ309" s="743"/>
      <c r="AR309" s="743"/>
      <c r="AS309" s="743"/>
      <c r="AT309" s="743"/>
      <c r="AU309" s="743"/>
      <c r="AV309" s="743"/>
      <c r="AW309" s="743"/>
      <c r="AX309" s="743"/>
      <c r="AY309" s="743"/>
      <c r="AZ309" s="743"/>
      <c r="BA309" s="743"/>
      <c r="BB309" s="743"/>
      <c r="BC309" s="743"/>
      <c r="BD309" s="743"/>
      <c r="BE309" s="743"/>
      <c r="BF309" s="743"/>
      <c r="BG309" s="743"/>
    </row>
    <row r="310" spans="1:59" s="192" customFormat="1" x14ac:dyDescent="0.25">
      <c r="A310" s="2170" t="s">
        <v>228</v>
      </c>
      <c r="B310" s="2171"/>
      <c r="C310" s="2171"/>
      <c r="D310" s="2171"/>
      <c r="E310" s="2171"/>
      <c r="F310" s="2172"/>
      <c r="G310" s="2194">
        <f t="shared" si="21"/>
        <v>31.68</v>
      </c>
      <c r="H310" s="2195"/>
      <c r="I310" s="2195"/>
      <c r="J310" s="2195"/>
      <c r="K310" s="2195"/>
      <c r="L310" s="2195"/>
      <c r="M310" s="2195"/>
      <c r="N310" s="2196"/>
      <c r="O310" s="2194">
        <f t="shared" si="22"/>
        <v>126.72</v>
      </c>
      <c r="P310" s="2195"/>
      <c r="Q310" s="2195"/>
      <c r="R310" s="2195"/>
      <c r="S310" s="2195"/>
      <c r="T310" s="2195"/>
      <c r="U310" s="2195"/>
      <c r="V310" s="2196"/>
      <c r="W310" s="2194">
        <f t="shared" si="23"/>
        <v>110.88</v>
      </c>
      <c r="X310" s="2195"/>
      <c r="Y310" s="2195"/>
      <c r="Z310" s="2195"/>
      <c r="AA310" s="2195"/>
      <c r="AB310" s="2195"/>
      <c r="AC310" s="2195"/>
      <c r="AD310" s="2196"/>
      <c r="AE310" s="2194">
        <f t="shared" si="24"/>
        <v>221.76</v>
      </c>
      <c r="AF310" s="2195"/>
      <c r="AG310" s="2195"/>
      <c r="AH310" s="2195"/>
      <c r="AI310" s="2195"/>
      <c r="AJ310" s="2195"/>
      <c r="AK310" s="2195"/>
      <c r="AL310" s="2196"/>
      <c r="AM310" s="743"/>
      <c r="AN310" s="743"/>
      <c r="AO310" s="743"/>
      <c r="AP310" s="743"/>
      <c r="AQ310" s="743"/>
      <c r="AR310" s="743"/>
      <c r="AS310" s="743"/>
      <c r="AT310" s="743"/>
      <c r="AU310" s="743"/>
      <c r="AV310" s="743"/>
      <c r="AW310" s="743"/>
      <c r="AX310" s="743"/>
      <c r="AY310" s="743"/>
      <c r="AZ310" s="743"/>
      <c r="BA310" s="743"/>
      <c r="BB310" s="743"/>
      <c r="BC310" s="743"/>
      <c r="BD310" s="743"/>
      <c r="BE310" s="743"/>
      <c r="BF310" s="743"/>
      <c r="BG310" s="743"/>
    </row>
    <row r="311" spans="1:59" s="192" customFormat="1" x14ac:dyDescent="0.25">
      <c r="A311" s="2170" t="s">
        <v>229</v>
      </c>
      <c r="B311" s="2171"/>
      <c r="C311" s="2171"/>
      <c r="D311" s="2171"/>
      <c r="E311" s="2171"/>
      <c r="F311" s="2172"/>
      <c r="G311" s="2194">
        <f t="shared" si="21"/>
        <v>30.15</v>
      </c>
      <c r="H311" s="2195"/>
      <c r="I311" s="2195"/>
      <c r="J311" s="2195"/>
      <c r="K311" s="2195"/>
      <c r="L311" s="2195"/>
      <c r="M311" s="2195"/>
      <c r="N311" s="2196"/>
      <c r="O311" s="2194">
        <f t="shared" si="22"/>
        <v>120.42</v>
      </c>
      <c r="P311" s="2195"/>
      <c r="Q311" s="2195"/>
      <c r="R311" s="2195"/>
      <c r="S311" s="2195"/>
      <c r="T311" s="2195"/>
      <c r="U311" s="2195"/>
      <c r="V311" s="2196"/>
      <c r="W311" s="2194">
        <f t="shared" si="23"/>
        <v>105.39</v>
      </c>
      <c r="X311" s="2195"/>
      <c r="Y311" s="2195"/>
      <c r="Z311" s="2195"/>
      <c r="AA311" s="2195"/>
      <c r="AB311" s="2195"/>
      <c r="AC311" s="2195"/>
      <c r="AD311" s="2196"/>
      <c r="AE311" s="2194">
        <f t="shared" si="24"/>
        <v>210.78</v>
      </c>
      <c r="AF311" s="2195"/>
      <c r="AG311" s="2195"/>
      <c r="AH311" s="2195"/>
      <c r="AI311" s="2195"/>
      <c r="AJ311" s="2195"/>
      <c r="AK311" s="2195"/>
      <c r="AL311" s="2196"/>
      <c r="AM311" s="743"/>
      <c r="AN311" s="743"/>
      <c r="AO311" s="743"/>
      <c r="AP311" s="743"/>
      <c r="AQ311" s="743"/>
      <c r="AR311" s="743"/>
      <c r="AS311" s="743"/>
      <c r="AT311" s="743"/>
      <c r="AU311" s="743"/>
      <c r="AV311" s="743"/>
      <c r="AW311" s="743"/>
      <c r="AX311" s="743"/>
      <c r="AY311" s="743"/>
      <c r="AZ311" s="743"/>
      <c r="BA311" s="743"/>
      <c r="BB311" s="743"/>
      <c r="BC311" s="743"/>
      <c r="BD311" s="743"/>
      <c r="BE311" s="743"/>
      <c r="BF311" s="743"/>
      <c r="BG311" s="743"/>
    </row>
    <row r="312" spans="1:59" s="192" customFormat="1" x14ac:dyDescent="0.25">
      <c r="A312" s="742"/>
      <c r="B312" s="742"/>
      <c r="C312" s="743"/>
      <c r="D312" s="743"/>
      <c r="E312" s="743"/>
      <c r="F312" s="743"/>
      <c r="G312" s="743"/>
      <c r="H312" s="743"/>
      <c r="I312" s="743"/>
      <c r="J312" s="743"/>
      <c r="K312" s="743"/>
      <c r="L312" s="743"/>
      <c r="M312" s="743"/>
      <c r="N312" s="743"/>
      <c r="O312" s="743"/>
      <c r="P312" s="743"/>
      <c r="Q312" s="743"/>
      <c r="R312" s="743"/>
      <c r="S312" s="743"/>
      <c r="T312" s="743"/>
      <c r="U312" s="743"/>
      <c r="V312" s="743"/>
      <c r="W312" s="743"/>
      <c r="X312" s="743"/>
      <c r="Y312" s="743"/>
      <c r="Z312" s="743"/>
      <c r="AA312" s="743"/>
      <c r="AB312" s="743"/>
      <c r="AC312" s="743"/>
      <c r="AD312" s="743"/>
      <c r="AE312" s="743"/>
      <c r="AF312" s="743"/>
      <c r="AG312" s="743"/>
      <c r="AH312" s="743"/>
      <c r="AI312" s="743"/>
      <c r="AJ312" s="743"/>
      <c r="AK312" s="743"/>
      <c r="AL312" s="743"/>
      <c r="AM312" s="743"/>
      <c r="AN312" s="743"/>
      <c r="AO312" s="743"/>
      <c r="AP312" s="743"/>
      <c r="AQ312" s="743"/>
      <c r="AR312" s="743"/>
      <c r="AS312" s="743"/>
      <c r="AT312" s="743"/>
      <c r="AU312" s="743"/>
      <c r="AV312" s="743"/>
      <c r="AW312" s="743"/>
      <c r="AX312" s="743"/>
      <c r="AY312" s="743"/>
      <c r="AZ312" s="743"/>
      <c r="BA312" s="743"/>
      <c r="BB312" s="743"/>
      <c r="BC312" s="743"/>
      <c r="BD312" s="743"/>
      <c r="BE312" s="743"/>
      <c r="BF312" s="743"/>
      <c r="BG312" s="743"/>
    </row>
    <row r="313" spans="1:59" s="192" customFormat="1" x14ac:dyDescent="0.25">
      <c r="A313" s="742"/>
      <c r="B313" s="519" t="s">
        <v>1939</v>
      </c>
      <c r="C313" s="743"/>
      <c r="D313" s="743"/>
      <c r="E313" s="743"/>
      <c r="F313" s="743"/>
      <c r="G313" s="743"/>
      <c r="H313" s="743"/>
      <c r="I313" s="743"/>
      <c r="J313" s="743"/>
      <c r="K313" s="743"/>
      <c r="L313" s="743"/>
      <c r="M313" s="743"/>
      <c r="N313" s="743"/>
      <c r="O313" s="743"/>
      <c r="P313" s="743"/>
      <c r="Q313" s="743"/>
      <c r="R313" s="743"/>
      <c r="S313" s="743"/>
      <c r="T313" s="743"/>
      <c r="U313" s="743"/>
      <c r="V313" s="743"/>
      <c r="W313" s="743"/>
      <c r="X313" s="743"/>
      <c r="Y313" s="743"/>
      <c r="Z313" s="743"/>
      <c r="AA313" s="743"/>
      <c r="AB313" s="743"/>
      <c r="AC313" s="743"/>
      <c r="AD313" s="743"/>
      <c r="AE313" s="743"/>
      <c r="AF313" s="743"/>
      <c r="AG313" s="743"/>
      <c r="AH313" s="743"/>
      <c r="AI313" s="743"/>
      <c r="AJ313" s="743"/>
      <c r="AK313" s="743"/>
      <c r="AL313" s="743"/>
      <c r="AM313" s="743"/>
      <c r="AN313" s="743"/>
      <c r="AO313" s="743"/>
      <c r="AP313" s="743"/>
      <c r="AQ313" s="743"/>
      <c r="AR313" s="743"/>
      <c r="AS313" s="743"/>
      <c r="AT313" s="743"/>
      <c r="AU313" s="743"/>
      <c r="AV313" s="743"/>
      <c r="AW313" s="743"/>
      <c r="AX313" s="743"/>
      <c r="AY313" s="743"/>
      <c r="AZ313" s="743"/>
      <c r="BA313" s="743"/>
      <c r="BB313" s="743"/>
      <c r="BC313" s="743"/>
      <c r="BD313" s="743"/>
      <c r="BE313" s="743"/>
      <c r="BF313" s="743"/>
      <c r="BG313" s="743"/>
    </row>
    <row r="314" spans="1:59" s="192" customFormat="1" x14ac:dyDescent="0.25"/>
    <row r="315" spans="1:59" s="192" customFormat="1" x14ac:dyDescent="0.25">
      <c r="A315" s="338" t="s">
        <v>6715</v>
      </c>
      <c r="B315" s="338"/>
      <c r="C315" s="338"/>
      <c r="D315" s="338"/>
      <c r="E315" s="338"/>
      <c r="F315" s="338"/>
      <c r="G315" s="338"/>
      <c r="H315" s="338"/>
      <c r="I315" s="338"/>
      <c r="J315" s="338"/>
      <c r="K315" s="338"/>
      <c r="L315" s="338"/>
      <c r="M315" s="338"/>
      <c r="N315" s="338"/>
      <c r="S315" s="740"/>
      <c r="T315" s="740"/>
      <c r="U315" s="740"/>
      <c r="V315" s="740"/>
      <c r="W315" s="740"/>
      <c r="X315" s="740"/>
      <c r="Y315" s="740"/>
      <c r="Z315" s="740"/>
      <c r="AA315" s="262"/>
      <c r="AB315" s="262"/>
      <c r="AC315" s="262"/>
      <c r="AD315" s="262"/>
      <c r="AO315" s="743"/>
    </row>
    <row r="316" spans="1:59" s="192" customFormat="1" x14ac:dyDescent="0.25">
      <c r="B316" s="995"/>
      <c r="C316" s="995"/>
      <c r="D316" s="995"/>
      <c r="E316" s="995"/>
      <c r="F316" s="995"/>
      <c r="G316" s="2390" t="s">
        <v>2919</v>
      </c>
      <c r="H316" s="2391"/>
      <c r="I316" s="2391"/>
      <c r="J316" s="2391"/>
      <c r="K316" s="2391"/>
      <c r="L316" s="2391"/>
      <c r="M316" s="2391"/>
      <c r="N316" s="2391"/>
      <c r="O316" s="2391"/>
      <c r="P316" s="2391"/>
      <c r="Q316" s="2391"/>
      <c r="R316" s="2392"/>
      <c r="S316" s="2393" t="s">
        <v>2920</v>
      </c>
      <c r="T316" s="2394"/>
      <c r="U316" s="2394"/>
      <c r="V316" s="2394"/>
      <c r="W316" s="2394"/>
      <c r="X316" s="2394"/>
      <c r="Y316" s="2394"/>
      <c r="Z316" s="2394"/>
      <c r="AA316" s="2394"/>
      <c r="AB316" s="2394"/>
      <c r="AC316" s="2394"/>
      <c r="AD316" s="2395"/>
    </row>
    <row r="317" spans="1:59" s="192" customFormat="1" x14ac:dyDescent="0.25">
      <c r="A317" s="2199" t="s">
        <v>54</v>
      </c>
      <c r="B317" s="2200"/>
      <c r="C317" s="2200"/>
      <c r="D317" s="2200"/>
      <c r="E317" s="2200"/>
      <c r="F317" s="2201"/>
      <c r="G317" s="2176" t="s">
        <v>278</v>
      </c>
      <c r="H317" s="2177"/>
      <c r="I317" s="2177"/>
      <c r="J317" s="2178"/>
      <c r="K317" s="2179" t="s">
        <v>279</v>
      </c>
      <c r="L317" s="2180"/>
      <c r="M317" s="2180"/>
      <c r="N317" s="2181"/>
      <c r="O317" s="2176" t="s">
        <v>280</v>
      </c>
      <c r="P317" s="2177"/>
      <c r="Q317" s="2177"/>
      <c r="R317" s="2178"/>
      <c r="S317" s="2176" t="s">
        <v>278</v>
      </c>
      <c r="T317" s="2177"/>
      <c r="U317" s="2177"/>
      <c r="V317" s="2178"/>
      <c r="W317" s="2179" t="s">
        <v>279</v>
      </c>
      <c r="X317" s="2180"/>
      <c r="Y317" s="2180"/>
      <c r="Z317" s="2181"/>
      <c r="AA317" s="2176" t="s">
        <v>280</v>
      </c>
      <c r="AB317" s="2177"/>
      <c r="AC317" s="2177"/>
      <c r="AD317" s="2178"/>
    </row>
    <row r="318" spans="1:59" s="192" customFormat="1" x14ac:dyDescent="0.25">
      <c r="A318" s="2170" t="s">
        <v>1984</v>
      </c>
      <c r="B318" s="2171"/>
      <c r="C318" s="2171"/>
      <c r="D318" s="2171"/>
      <c r="E318" s="2171"/>
      <c r="F318" s="2172"/>
      <c r="G318" s="2154">
        <f t="shared" ref="G318:G328" si="25">ROUND(($U$108-$K$140)*$Q$73*VLOOKUP($A318,$N$123:$AG$133,17,TRUE)*VLOOKUP($A318,$N$146:$AG$156,13,TRUE)*$Q$78,3)</f>
        <v>1.0999999999999999E-2</v>
      </c>
      <c r="H318" s="2155"/>
      <c r="I318" s="2155"/>
      <c r="J318" s="2156"/>
      <c r="K318" s="2154">
        <f t="shared" ref="K318:K328" si="26">ROUND(($U$109-$K$141)*$Q$73*VLOOKUP($A318,$N$123:$AG$133,17,TRUE)*VLOOKUP($A318,$N$146:$AG$156,13,TRUE)*$Q$78,3)</f>
        <v>1.4E-2</v>
      </c>
      <c r="L318" s="2155"/>
      <c r="M318" s="2155"/>
      <c r="N318" s="2156"/>
      <c r="O318" s="2154">
        <f t="shared" ref="O318:O328" si="27">ROUND(($U$110-$K$142)*$Q$73*VLOOKUP($A318,$N$123:$AG$133,17,TRUE)*VLOOKUP($A318,$N$146:$AG$156,13,TRUE)*$Q$78,3)</f>
        <v>2.9000000000000001E-2</v>
      </c>
      <c r="P318" s="2155"/>
      <c r="Q318" s="2155"/>
      <c r="R318" s="2156"/>
      <c r="S318" s="2157">
        <f t="shared" ref="S318:S328" si="28">ROUND(($U$108-$K$140)*$Q$73*VLOOKUP($A318,$A$167:$Q$177,15,TRUE)*VLOOKUP($A318,$N$146:$AG$156,17,TRUE)*$Q$78,2)</f>
        <v>57.82</v>
      </c>
      <c r="T318" s="2158"/>
      <c r="U318" s="2158"/>
      <c r="V318" s="2159"/>
      <c r="W318" s="2157">
        <f t="shared" ref="W318:W328" si="29">ROUND(($U$109-$K$141)*$Q$73*VLOOKUP($A318,$A$167:$Q$177,15,TRUE)*VLOOKUP($A318,$N$146:$AG$156,17,TRUE)*$Q$78,2)</f>
        <v>73.040000000000006</v>
      </c>
      <c r="X318" s="2158"/>
      <c r="Y318" s="2158"/>
      <c r="Z318" s="2159"/>
      <c r="AA318" s="2157">
        <f t="shared" ref="AA318:AA328" si="30">ROUND(($U$110-$K$142)*$Q$73*VLOOKUP($A318,$A$167:$Q$177,15,TRUE)*VLOOKUP($A318,$N$146:$AG$156,17,TRUE)*$Q$78,2)</f>
        <v>150.43</v>
      </c>
      <c r="AB318" s="2158"/>
      <c r="AC318" s="2158"/>
      <c r="AD318" s="2159"/>
    </row>
    <row r="319" spans="1:59" s="192" customFormat="1" x14ac:dyDescent="0.25">
      <c r="A319" s="2170" t="s">
        <v>221</v>
      </c>
      <c r="B319" s="2171"/>
      <c r="C319" s="2171"/>
      <c r="D319" s="2171"/>
      <c r="E319" s="2171"/>
      <c r="F319" s="2172"/>
      <c r="G319" s="2154">
        <f t="shared" si="25"/>
        <v>7.0000000000000001E-3</v>
      </c>
      <c r="H319" s="2155"/>
      <c r="I319" s="2155"/>
      <c r="J319" s="2156"/>
      <c r="K319" s="2154">
        <f t="shared" si="26"/>
        <v>8.0000000000000002E-3</v>
      </c>
      <c r="L319" s="2155"/>
      <c r="M319" s="2155"/>
      <c r="N319" s="2156"/>
      <c r="O319" s="2154">
        <f t="shared" si="27"/>
        <v>1.7000000000000001E-2</v>
      </c>
      <c r="P319" s="2155"/>
      <c r="Q319" s="2155"/>
      <c r="R319" s="2156"/>
      <c r="S319" s="2157">
        <f t="shared" si="28"/>
        <v>198.48</v>
      </c>
      <c r="T319" s="2158"/>
      <c r="U319" s="2158"/>
      <c r="V319" s="2159"/>
      <c r="W319" s="2157">
        <f t="shared" si="29"/>
        <v>250.71</v>
      </c>
      <c r="X319" s="2158"/>
      <c r="Y319" s="2158"/>
      <c r="Z319" s="2159"/>
      <c r="AA319" s="2157">
        <f t="shared" si="30"/>
        <v>516.35</v>
      </c>
      <c r="AB319" s="2158"/>
      <c r="AC319" s="2158"/>
      <c r="AD319" s="2159"/>
    </row>
    <row r="320" spans="1:59" s="192" customFormat="1" x14ac:dyDescent="0.25">
      <c r="A320" s="2170" t="s">
        <v>222</v>
      </c>
      <c r="B320" s="2171"/>
      <c r="C320" s="2171"/>
      <c r="D320" s="2171"/>
      <c r="E320" s="2171"/>
      <c r="F320" s="2172"/>
      <c r="G320" s="2154">
        <f t="shared" si="25"/>
        <v>1.0999999999999999E-2</v>
      </c>
      <c r="H320" s="2155"/>
      <c r="I320" s="2155"/>
      <c r="J320" s="2156"/>
      <c r="K320" s="2154">
        <f t="shared" si="26"/>
        <v>1.4E-2</v>
      </c>
      <c r="L320" s="2155"/>
      <c r="M320" s="2155"/>
      <c r="N320" s="2156"/>
      <c r="O320" s="2154">
        <f t="shared" si="27"/>
        <v>2.8000000000000001E-2</v>
      </c>
      <c r="P320" s="2155"/>
      <c r="Q320" s="2155"/>
      <c r="R320" s="2156"/>
      <c r="S320" s="2157">
        <f t="shared" si="28"/>
        <v>55.46</v>
      </c>
      <c r="T320" s="2158"/>
      <c r="U320" s="2158"/>
      <c r="V320" s="2159"/>
      <c r="W320" s="2157">
        <f t="shared" si="29"/>
        <v>70.05</v>
      </c>
      <c r="X320" s="2158"/>
      <c r="Y320" s="2158"/>
      <c r="Z320" s="2159"/>
      <c r="AA320" s="2157">
        <f t="shared" si="30"/>
        <v>144.28</v>
      </c>
      <c r="AB320" s="2158"/>
      <c r="AC320" s="2158"/>
      <c r="AD320" s="2159"/>
    </row>
    <row r="321" spans="1:41" s="192" customFormat="1" x14ac:dyDescent="0.25">
      <c r="A321" s="2170" t="s">
        <v>223</v>
      </c>
      <c r="B321" s="2171"/>
      <c r="C321" s="2171"/>
      <c r="D321" s="2171"/>
      <c r="E321" s="2171"/>
      <c r="F321" s="2172"/>
      <c r="G321" s="2154">
        <f t="shared" si="25"/>
        <v>1.9E-2</v>
      </c>
      <c r="H321" s="2155"/>
      <c r="I321" s="2155"/>
      <c r="J321" s="2156"/>
      <c r="K321" s="2154">
        <f t="shared" si="26"/>
        <v>2.4E-2</v>
      </c>
      <c r="L321" s="2155"/>
      <c r="M321" s="2155"/>
      <c r="N321" s="2156"/>
      <c r="O321" s="2154">
        <f t="shared" si="27"/>
        <v>0.05</v>
      </c>
      <c r="P321" s="2155"/>
      <c r="Q321" s="2155"/>
      <c r="R321" s="2156"/>
      <c r="S321" s="2157">
        <f t="shared" si="28"/>
        <v>141.75</v>
      </c>
      <c r="T321" s="2158"/>
      <c r="U321" s="2158"/>
      <c r="V321" s="2159"/>
      <c r="W321" s="2157">
        <f t="shared" si="29"/>
        <v>179.06</v>
      </c>
      <c r="X321" s="2158"/>
      <c r="Y321" s="2158"/>
      <c r="Z321" s="2159"/>
      <c r="AA321" s="2157">
        <f t="shared" si="30"/>
        <v>368.77</v>
      </c>
      <c r="AB321" s="2158"/>
      <c r="AC321" s="2158"/>
      <c r="AD321" s="2159"/>
    </row>
    <row r="322" spans="1:41" s="192" customFormat="1" x14ac:dyDescent="0.25">
      <c r="A322" s="2170" t="s">
        <v>224</v>
      </c>
      <c r="B322" s="2171"/>
      <c r="C322" s="2171"/>
      <c r="D322" s="2171"/>
      <c r="E322" s="2171"/>
      <c r="F322" s="2172"/>
      <c r="G322" s="2154">
        <f t="shared" si="25"/>
        <v>0.02</v>
      </c>
      <c r="H322" s="2155"/>
      <c r="I322" s="2155"/>
      <c r="J322" s="2156"/>
      <c r="K322" s="2154">
        <f t="shared" si="26"/>
        <v>2.5999999999999999E-2</v>
      </c>
      <c r="L322" s="2155"/>
      <c r="M322" s="2155"/>
      <c r="N322" s="2156"/>
      <c r="O322" s="2154">
        <f t="shared" si="27"/>
        <v>5.2999999999999999E-2</v>
      </c>
      <c r="P322" s="2155"/>
      <c r="Q322" s="2155"/>
      <c r="R322" s="2156"/>
      <c r="S322" s="2157">
        <f t="shared" si="28"/>
        <v>152.88999999999999</v>
      </c>
      <c r="T322" s="2158"/>
      <c r="U322" s="2158"/>
      <c r="V322" s="2159"/>
      <c r="W322" s="2157">
        <f t="shared" si="29"/>
        <v>193.12</v>
      </c>
      <c r="X322" s="2158"/>
      <c r="Y322" s="2158"/>
      <c r="Z322" s="2159"/>
      <c r="AA322" s="2157">
        <f t="shared" si="30"/>
        <v>397.74</v>
      </c>
      <c r="AB322" s="2158"/>
      <c r="AC322" s="2158"/>
      <c r="AD322" s="2159"/>
    </row>
    <row r="323" spans="1:41" s="192" customFormat="1" x14ac:dyDescent="0.25">
      <c r="A323" s="2170" t="s">
        <v>225</v>
      </c>
      <c r="B323" s="2171"/>
      <c r="C323" s="2171"/>
      <c r="D323" s="2171"/>
      <c r="E323" s="2171"/>
      <c r="F323" s="2172"/>
      <c r="G323" s="2154">
        <f t="shared" si="25"/>
        <v>8.0000000000000002E-3</v>
      </c>
      <c r="H323" s="2155"/>
      <c r="I323" s="2155"/>
      <c r="J323" s="2156"/>
      <c r="K323" s="2154">
        <f t="shared" si="26"/>
        <v>0.01</v>
      </c>
      <c r="L323" s="2155"/>
      <c r="M323" s="2155"/>
      <c r="N323" s="2156"/>
      <c r="O323" s="2154">
        <f t="shared" si="27"/>
        <v>0.02</v>
      </c>
      <c r="P323" s="2155"/>
      <c r="Q323" s="2155"/>
      <c r="R323" s="2156"/>
      <c r="S323" s="2157">
        <f t="shared" si="28"/>
        <v>40.06</v>
      </c>
      <c r="T323" s="2158"/>
      <c r="U323" s="2158"/>
      <c r="V323" s="2159"/>
      <c r="W323" s="2157">
        <f t="shared" si="29"/>
        <v>50.6</v>
      </c>
      <c r="X323" s="2158"/>
      <c r="Y323" s="2158"/>
      <c r="Z323" s="2159"/>
      <c r="AA323" s="2157">
        <f t="shared" si="30"/>
        <v>104.22</v>
      </c>
      <c r="AB323" s="2158"/>
      <c r="AC323" s="2158"/>
      <c r="AD323" s="2159"/>
    </row>
    <row r="324" spans="1:41" s="192" customFormat="1" x14ac:dyDescent="0.25">
      <c r="A324" s="2170" t="s">
        <v>226</v>
      </c>
      <c r="B324" s="2171"/>
      <c r="C324" s="2171"/>
      <c r="D324" s="2171"/>
      <c r="E324" s="2171"/>
      <c r="F324" s="2172"/>
      <c r="G324" s="2154">
        <f t="shared" si="25"/>
        <v>1.7999999999999999E-2</v>
      </c>
      <c r="H324" s="2155"/>
      <c r="I324" s="2155"/>
      <c r="J324" s="2156"/>
      <c r="K324" s="2154">
        <f t="shared" si="26"/>
        <v>2.3E-2</v>
      </c>
      <c r="L324" s="2155"/>
      <c r="M324" s="2155"/>
      <c r="N324" s="2156"/>
      <c r="O324" s="2154">
        <f t="shared" si="27"/>
        <v>4.8000000000000001E-2</v>
      </c>
      <c r="P324" s="2155"/>
      <c r="Q324" s="2155"/>
      <c r="R324" s="2156"/>
      <c r="S324" s="2157">
        <f t="shared" si="28"/>
        <v>67.900000000000006</v>
      </c>
      <c r="T324" s="2158"/>
      <c r="U324" s="2158"/>
      <c r="V324" s="2159"/>
      <c r="W324" s="2157">
        <f t="shared" si="29"/>
        <v>85.77</v>
      </c>
      <c r="X324" s="2158"/>
      <c r="Y324" s="2158"/>
      <c r="Z324" s="2159"/>
      <c r="AA324" s="2157">
        <f t="shared" si="30"/>
        <v>176.64</v>
      </c>
      <c r="AB324" s="2158"/>
      <c r="AC324" s="2158"/>
      <c r="AD324" s="2159"/>
    </row>
    <row r="325" spans="1:41" s="192" customFormat="1" x14ac:dyDescent="0.25">
      <c r="A325" s="2170" t="s">
        <v>55</v>
      </c>
      <c r="B325" s="2171"/>
      <c r="C325" s="2171"/>
      <c r="D325" s="2171"/>
      <c r="E325" s="2171"/>
      <c r="F325" s="2172"/>
      <c r="G325" s="2154">
        <f t="shared" si="25"/>
        <v>7.0000000000000001E-3</v>
      </c>
      <c r="H325" s="2155"/>
      <c r="I325" s="2155"/>
      <c r="J325" s="2156"/>
      <c r="K325" s="2154">
        <f t="shared" si="26"/>
        <v>8.9999999999999993E-3</v>
      </c>
      <c r="L325" s="2155"/>
      <c r="M325" s="2155"/>
      <c r="N325" s="2156"/>
      <c r="O325" s="2154">
        <f t="shared" si="27"/>
        <v>1.7999999999999999E-2</v>
      </c>
      <c r="P325" s="2155"/>
      <c r="Q325" s="2155"/>
      <c r="R325" s="2156"/>
      <c r="S325" s="2157">
        <f t="shared" si="28"/>
        <v>65.03</v>
      </c>
      <c r="T325" s="2158"/>
      <c r="U325" s="2158"/>
      <c r="V325" s="2159"/>
      <c r="W325" s="2157">
        <f t="shared" si="29"/>
        <v>82.15</v>
      </c>
      <c r="X325" s="2158"/>
      <c r="Y325" s="2158"/>
      <c r="Z325" s="2159"/>
      <c r="AA325" s="2157">
        <f t="shared" si="30"/>
        <v>169.19</v>
      </c>
      <c r="AB325" s="2158"/>
      <c r="AC325" s="2158"/>
      <c r="AD325" s="2159"/>
    </row>
    <row r="326" spans="1:41" s="192" customFormat="1" x14ac:dyDescent="0.25">
      <c r="A326" s="2170" t="s">
        <v>227</v>
      </c>
      <c r="B326" s="2171"/>
      <c r="C326" s="2171"/>
      <c r="D326" s="2171"/>
      <c r="E326" s="2171"/>
      <c r="F326" s="2172"/>
      <c r="G326" s="2154">
        <f t="shared" si="25"/>
        <v>1.6E-2</v>
      </c>
      <c r="H326" s="2155"/>
      <c r="I326" s="2155"/>
      <c r="J326" s="2156"/>
      <c r="K326" s="2154">
        <f t="shared" si="26"/>
        <v>0.02</v>
      </c>
      <c r="L326" s="2155"/>
      <c r="M326" s="2155"/>
      <c r="N326" s="2156"/>
      <c r="O326" s="2154">
        <f t="shared" si="27"/>
        <v>4.1000000000000002E-2</v>
      </c>
      <c r="P326" s="2155"/>
      <c r="Q326" s="2155"/>
      <c r="R326" s="2156"/>
      <c r="S326" s="2157">
        <f t="shared" si="28"/>
        <v>116.78</v>
      </c>
      <c r="T326" s="2158"/>
      <c r="U326" s="2158"/>
      <c r="V326" s="2159"/>
      <c r="W326" s="2157">
        <f t="shared" si="29"/>
        <v>147.52000000000001</v>
      </c>
      <c r="X326" s="2158"/>
      <c r="Y326" s="2158"/>
      <c r="Z326" s="2159"/>
      <c r="AA326" s="2157">
        <f t="shared" si="30"/>
        <v>303.82</v>
      </c>
      <c r="AB326" s="2158"/>
      <c r="AC326" s="2158"/>
      <c r="AD326" s="2159"/>
    </row>
    <row r="327" spans="1:41" s="192" customFormat="1" x14ac:dyDescent="0.25">
      <c r="A327" s="2170" t="s">
        <v>228</v>
      </c>
      <c r="B327" s="2171"/>
      <c r="C327" s="2171"/>
      <c r="D327" s="2171"/>
      <c r="E327" s="2171"/>
      <c r="F327" s="2172"/>
      <c r="G327" s="2154">
        <f t="shared" si="25"/>
        <v>1.7999999999999999E-2</v>
      </c>
      <c r="H327" s="2155"/>
      <c r="I327" s="2155"/>
      <c r="J327" s="2156"/>
      <c r="K327" s="2154">
        <f t="shared" si="26"/>
        <v>2.1999999999999999E-2</v>
      </c>
      <c r="L327" s="2155"/>
      <c r="M327" s="2155"/>
      <c r="N327" s="2156"/>
      <c r="O327" s="2154">
        <f t="shared" si="27"/>
        <v>4.5999999999999999E-2</v>
      </c>
      <c r="P327" s="2155"/>
      <c r="Q327" s="2155"/>
      <c r="R327" s="2156"/>
      <c r="S327" s="2157">
        <f t="shared" si="28"/>
        <v>110.62</v>
      </c>
      <c r="T327" s="2158"/>
      <c r="U327" s="2158"/>
      <c r="V327" s="2159"/>
      <c r="W327" s="2157">
        <f t="shared" si="29"/>
        <v>139.72999999999999</v>
      </c>
      <c r="X327" s="2158"/>
      <c r="Y327" s="2158"/>
      <c r="Z327" s="2159"/>
      <c r="AA327" s="2157">
        <f t="shared" si="30"/>
        <v>287.77999999999997</v>
      </c>
      <c r="AB327" s="2158"/>
      <c r="AC327" s="2158"/>
      <c r="AD327" s="2159"/>
    </row>
    <row r="328" spans="1:41" s="192" customFormat="1" x14ac:dyDescent="0.25">
      <c r="A328" s="2170" t="s">
        <v>229</v>
      </c>
      <c r="B328" s="2171"/>
      <c r="C328" s="2171"/>
      <c r="D328" s="2171"/>
      <c r="E328" s="2171"/>
      <c r="F328" s="2172"/>
      <c r="G328" s="2154">
        <f t="shared" si="25"/>
        <v>2E-3</v>
      </c>
      <c r="H328" s="2155"/>
      <c r="I328" s="2155"/>
      <c r="J328" s="2156"/>
      <c r="K328" s="2154">
        <f t="shared" si="26"/>
        <v>3.0000000000000001E-3</v>
      </c>
      <c r="L328" s="2155"/>
      <c r="M328" s="2155"/>
      <c r="N328" s="2156"/>
      <c r="O328" s="2154">
        <f t="shared" si="27"/>
        <v>6.0000000000000001E-3</v>
      </c>
      <c r="P328" s="2155"/>
      <c r="Q328" s="2155"/>
      <c r="R328" s="2156"/>
      <c r="S328" s="2157">
        <f t="shared" si="28"/>
        <v>51.87</v>
      </c>
      <c r="T328" s="2158"/>
      <c r="U328" s="2158"/>
      <c r="V328" s="2159"/>
      <c r="W328" s="2157">
        <f t="shared" si="29"/>
        <v>65.52</v>
      </c>
      <c r="X328" s="2158"/>
      <c r="Y328" s="2158"/>
      <c r="Z328" s="2159"/>
      <c r="AA328" s="2157">
        <f t="shared" si="30"/>
        <v>134.93</v>
      </c>
      <c r="AB328" s="2158"/>
      <c r="AC328" s="2158"/>
      <c r="AD328" s="2159"/>
    </row>
    <row r="329" spans="1:41" x14ac:dyDescent="0.25">
      <c r="A329" s="276"/>
      <c r="G329" s="278"/>
      <c r="K329" s="278"/>
      <c r="O329" s="278"/>
    </row>
    <row r="330" spans="1:41" x14ac:dyDescent="0.25">
      <c r="A330" s="289"/>
      <c r="B330" s="379" t="s">
        <v>1940</v>
      </c>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6"/>
      <c r="AD330" s="296"/>
    </row>
    <row r="331" spans="1:41" s="192" customFormat="1" x14ac:dyDescent="0.25"/>
    <row r="332" spans="1:41" s="192" customFormat="1" x14ac:dyDescent="0.25">
      <c r="A332" s="338" t="s">
        <v>6716</v>
      </c>
      <c r="B332" s="338"/>
      <c r="C332" s="338"/>
      <c r="D332" s="338"/>
      <c r="E332" s="338"/>
      <c r="F332" s="338"/>
      <c r="G332" s="338"/>
      <c r="H332" s="338"/>
      <c r="I332" s="338"/>
      <c r="J332" s="338"/>
      <c r="K332" s="338"/>
      <c r="L332" s="338"/>
      <c r="M332" s="338"/>
      <c r="N332" s="338"/>
      <c r="S332" s="740"/>
      <c r="T332" s="740"/>
      <c r="U332" s="740"/>
      <c r="V332" s="740"/>
      <c r="W332" s="740"/>
      <c r="X332" s="740"/>
      <c r="Y332" s="740"/>
      <c r="Z332" s="740"/>
      <c r="AA332" s="262"/>
      <c r="AB332" s="262"/>
      <c r="AC332" s="262"/>
      <c r="AD332" s="262"/>
      <c r="AO332" s="743"/>
    </row>
    <row r="333" spans="1:41" s="192" customFormat="1" x14ac:dyDescent="0.25">
      <c r="B333" s="995"/>
      <c r="C333" s="995"/>
      <c r="D333" s="995"/>
      <c r="E333" s="995"/>
      <c r="F333" s="995"/>
      <c r="G333" s="2396" t="s">
        <v>1945</v>
      </c>
      <c r="H333" s="2397"/>
      <c r="I333" s="2397"/>
      <c r="J333" s="2397"/>
      <c r="K333" s="2397"/>
      <c r="L333" s="2397"/>
      <c r="M333" s="2397"/>
      <c r="N333" s="2397"/>
      <c r="O333" s="2397"/>
      <c r="P333" s="2397"/>
      <c r="Q333" s="2397"/>
      <c r="R333" s="2398"/>
    </row>
    <row r="334" spans="1:41" s="192" customFormat="1" x14ac:dyDescent="0.25">
      <c r="A334" s="2199" t="s">
        <v>54</v>
      </c>
      <c r="B334" s="2200"/>
      <c r="C334" s="2200"/>
      <c r="D334" s="2200"/>
      <c r="E334" s="2200"/>
      <c r="F334" s="2201"/>
      <c r="G334" s="2399" t="s">
        <v>278</v>
      </c>
      <c r="H334" s="2400"/>
      <c r="I334" s="2400"/>
      <c r="J334" s="2401"/>
      <c r="K334" s="2402" t="s">
        <v>279</v>
      </c>
      <c r="L334" s="2403"/>
      <c r="M334" s="2403"/>
      <c r="N334" s="2404"/>
      <c r="O334" s="2399" t="s">
        <v>280</v>
      </c>
      <c r="P334" s="2400"/>
      <c r="Q334" s="2400"/>
      <c r="R334" s="2401"/>
    </row>
    <row r="335" spans="1:41" s="192" customFormat="1" x14ac:dyDescent="0.25">
      <c r="A335" s="2170" t="s">
        <v>1984</v>
      </c>
      <c r="B335" s="2171"/>
      <c r="C335" s="2171"/>
      <c r="D335" s="2171"/>
      <c r="E335" s="2171"/>
      <c r="F335" s="2172"/>
      <c r="G335" s="2194">
        <f t="shared" ref="G335:G345" si="31">ROUND(S318*VLOOKUP($A335,$A$199:$Q$209,15,TRUE),2)</f>
        <v>1445.5</v>
      </c>
      <c r="H335" s="2195"/>
      <c r="I335" s="2195"/>
      <c r="J335" s="2196"/>
      <c r="K335" s="2194">
        <f t="shared" ref="K335:K345" si="32">ROUND(W318*VLOOKUP($A335,$A$199:$Q$209,15,TRUE),2)</f>
        <v>1826</v>
      </c>
      <c r="L335" s="2195"/>
      <c r="M335" s="2195"/>
      <c r="N335" s="2196"/>
      <c r="O335" s="2194">
        <f t="shared" ref="O335:O345" si="33">ROUND(AA318*VLOOKUP($A335,$A$199:$Q$209,15,TRUE),2)</f>
        <v>3760.75</v>
      </c>
      <c r="P335" s="2195"/>
      <c r="Q335" s="2195"/>
      <c r="R335" s="2196"/>
    </row>
    <row r="336" spans="1:41" s="192" customFormat="1" x14ac:dyDescent="0.25">
      <c r="A336" s="2170" t="s">
        <v>221</v>
      </c>
      <c r="B336" s="2171"/>
      <c r="C336" s="2171"/>
      <c r="D336" s="2171"/>
      <c r="E336" s="2171"/>
      <c r="F336" s="2172"/>
      <c r="G336" s="2194">
        <f t="shared" si="31"/>
        <v>2183.2800000000002</v>
      </c>
      <c r="H336" s="2195"/>
      <c r="I336" s="2195"/>
      <c r="J336" s="2196"/>
      <c r="K336" s="2194">
        <f t="shared" si="32"/>
        <v>2757.81</v>
      </c>
      <c r="L336" s="2195"/>
      <c r="M336" s="2195"/>
      <c r="N336" s="2196"/>
      <c r="O336" s="2194">
        <f t="shared" si="33"/>
        <v>5679.85</v>
      </c>
      <c r="P336" s="2195"/>
      <c r="Q336" s="2195"/>
      <c r="R336" s="2196"/>
    </row>
    <row r="337" spans="1:54" s="192" customFormat="1" x14ac:dyDescent="0.25">
      <c r="A337" s="2170" t="s">
        <v>222</v>
      </c>
      <c r="B337" s="2171"/>
      <c r="C337" s="2171"/>
      <c r="D337" s="2171"/>
      <c r="E337" s="2171"/>
      <c r="F337" s="2172"/>
      <c r="G337" s="2194">
        <f t="shared" si="31"/>
        <v>1386.5</v>
      </c>
      <c r="H337" s="2195"/>
      <c r="I337" s="2195"/>
      <c r="J337" s="2196"/>
      <c r="K337" s="2194">
        <f t="shared" si="32"/>
        <v>1751.25</v>
      </c>
      <c r="L337" s="2195"/>
      <c r="M337" s="2195"/>
      <c r="N337" s="2196"/>
      <c r="O337" s="2194">
        <f t="shared" si="33"/>
        <v>3607</v>
      </c>
      <c r="P337" s="2195"/>
      <c r="Q337" s="2195"/>
      <c r="R337" s="2196"/>
    </row>
    <row r="338" spans="1:54" s="192" customFormat="1" x14ac:dyDescent="0.25">
      <c r="A338" s="2170" t="s">
        <v>223</v>
      </c>
      <c r="B338" s="2171"/>
      <c r="C338" s="2171"/>
      <c r="D338" s="2171"/>
      <c r="E338" s="2171"/>
      <c r="F338" s="2172"/>
      <c r="G338" s="2194">
        <f t="shared" si="31"/>
        <v>1417.5</v>
      </c>
      <c r="H338" s="2195"/>
      <c r="I338" s="2195"/>
      <c r="J338" s="2196"/>
      <c r="K338" s="2194">
        <f t="shared" si="32"/>
        <v>1790.6</v>
      </c>
      <c r="L338" s="2195"/>
      <c r="M338" s="2195"/>
      <c r="N338" s="2196"/>
      <c r="O338" s="2194">
        <f t="shared" si="33"/>
        <v>3687.7</v>
      </c>
      <c r="P338" s="2195"/>
      <c r="Q338" s="2195"/>
      <c r="R338" s="2196"/>
    </row>
    <row r="339" spans="1:54" s="192" customFormat="1" x14ac:dyDescent="0.25">
      <c r="A339" s="2170" t="s">
        <v>224</v>
      </c>
      <c r="B339" s="2171"/>
      <c r="C339" s="2171"/>
      <c r="D339" s="2171"/>
      <c r="E339" s="2171"/>
      <c r="F339" s="2172"/>
      <c r="G339" s="2194">
        <f t="shared" si="31"/>
        <v>1528.9</v>
      </c>
      <c r="H339" s="2195"/>
      <c r="I339" s="2195"/>
      <c r="J339" s="2196"/>
      <c r="K339" s="2194">
        <f t="shared" si="32"/>
        <v>1931.2</v>
      </c>
      <c r="L339" s="2195"/>
      <c r="M339" s="2195"/>
      <c r="N339" s="2196"/>
      <c r="O339" s="2194">
        <f t="shared" si="33"/>
        <v>3977.4</v>
      </c>
      <c r="P339" s="2195"/>
      <c r="Q339" s="2195"/>
      <c r="R339" s="2196"/>
    </row>
    <row r="340" spans="1:54" s="192" customFormat="1" x14ac:dyDescent="0.25">
      <c r="A340" s="2170" t="s">
        <v>225</v>
      </c>
      <c r="B340" s="2171"/>
      <c r="C340" s="2171"/>
      <c r="D340" s="2171"/>
      <c r="E340" s="2171"/>
      <c r="F340" s="2172"/>
      <c r="G340" s="2194">
        <f t="shared" si="31"/>
        <v>1001.5</v>
      </c>
      <c r="H340" s="2195"/>
      <c r="I340" s="2195"/>
      <c r="J340" s="2196"/>
      <c r="K340" s="2194">
        <f t="shared" si="32"/>
        <v>1265</v>
      </c>
      <c r="L340" s="2195"/>
      <c r="M340" s="2195"/>
      <c r="N340" s="2196"/>
      <c r="O340" s="2194">
        <f t="shared" si="33"/>
        <v>2605.5</v>
      </c>
      <c r="P340" s="2195"/>
      <c r="Q340" s="2195"/>
      <c r="R340" s="2196"/>
    </row>
    <row r="341" spans="1:54" s="192" customFormat="1" x14ac:dyDescent="0.25">
      <c r="A341" s="2170" t="s">
        <v>226</v>
      </c>
      <c r="B341" s="2171"/>
      <c r="C341" s="2171"/>
      <c r="D341" s="2171"/>
      <c r="E341" s="2171"/>
      <c r="F341" s="2172"/>
      <c r="G341" s="2194">
        <f t="shared" si="31"/>
        <v>1493.8</v>
      </c>
      <c r="H341" s="2195"/>
      <c r="I341" s="2195"/>
      <c r="J341" s="2196"/>
      <c r="K341" s="2194">
        <f t="shared" si="32"/>
        <v>1886.94</v>
      </c>
      <c r="L341" s="2195"/>
      <c r="M341" s="2195"/>
      <c r="N341" s="2196"/>
      <c r="O341" s="2194">
        <f t="shared" si="33"/>
        <v>3886.08</v>
      </c>
      <c r="P341" s="2195"/>
      <c r="Q341" s="2195"/>
      <c r="R341" s="2196"/>
    </row>
    <row r="342" spans="1:54" s="192" customFormat="1" x14ac:dyDescent="0.25">
      <c r="A342" s="2170" t="s">
        <v>55</v>
      </c>
      <c r="B342" s="2171"/>
      <c r="C342" s="2171"/>
      <c r="D342" s="2171"/>
      <c r="E342" s="2171"/>
      <c r="F342" s="2172"/>
      <c r="G342" s="2194">
        <f t="shared" si="31"/>
        <v>1625.75</v>
      </c>
      <c r="H342" s="2195"/>
      <c r="I342" s="2195"/>
      <c r="J342" s="2196"/>
      <c r="K342" s="2194">
        <f t="shared" si="32"/>
        <v>2053.75</v>
      </c>
      <c r="L342" s="2195"/>
      <c r="M342" s="2195"/>
      <c r="N342" s="2196"/>
      <c r="O342" s="2194">
        <f t="shared" si="33"/>
        <v>4229.75</v>
      </c>
      <c r="P342" s="2195"/>
      <c r="Q342" s="2195"/>
      <c r="R342" s="2196"/>
    </row>
    <row r="343" spans="1:54" s="192" customFormat="1" x14ac:dyDescent="0.25">
      <c r="A343" s="2170" t="s">
        <v>227</v>
      </c>
      <c r="B343" s="2171"/>
      <c r="C343" s="2171"/>
      <c r="D343" s="2171"/>
      <c r="E343" s="2171"/>
      <c r="F343" s="2172"/>
      <c r="G343" s="2194">
        <f t="shared" si="31"/>
        <v>1634.92</v>
      </c>
      <c r="H343" s="2195"/>
      <c r="I343" s="2195"/>
      <c r="J343" s="2196"/>
      <c r="K343" s="2194">
        <f t="shared" si="32"/>
        <v>2065.2800000000002</v>
      </c>
      <c r="L343" s="2195"/>
      <c r="M343" s="2195"/>
      <c r="N343" s="2196"/>
      <c r="O343" s="2194">
        <f t="shared" si="33"/>
        <v>4253.4799999999996</v>
      </c>
      <c r="P343" s="2195"/>
      <c r="Q343" s="2195"/>
      <c r="R343" s="2196"/>
    </row>
    <row r="344" spans="1:54" s="192" customFormat="1" x14ac:dyDescent="0.25">
      <c r="A344" s="2170" t="s">
        <v>228</v>
      </c>
      <c r="B344" s="2171"/>
      <c r="C344" s="2171"/>
      <c r="D344" s="2171"/>
      <c r="E344" s="2171"/>
      <c r="F344" s="2172"/>
      <c r="G344" s="2194">
        <f t="shared" si="31"/>
        <v>1548.68</v>
      </c>
      <c r="H344" s="2195"/>
      <c r="I344" s="2195"/>
      <c r="J344" s="2196"/>
      <c r="K344" s="2194">
        <f t="shared" si="32"/>
        <v>1956.22</v>
      </c>
      <c r="L344" s="2195"/>
      <c r="M344" s="2195"/>
      <c r="N344" s="2196"/>
      <c r="O344" s="2194">
        <f t="shared" si="33"/>
        <v>4028.92</v>
      </c>
      <c r="P344" s="2195"/>
      <c r="Q344" s="2195"/>
      <c r="R344" s="2196"/>
    </row>
    <row r="345" spans="1:54" s="192" customFormat="1" x14ac:dyDescent="0.25">
      <c r="A345" s="2170" t="s">
        <v>229</v>
      </c>
      <c r="B345" s="2171"/>
      <c r="C345" s="2171"/>
      <c r="D345" s="2171"/>
      <c r="E345" s="2171"/>
      <c r="F345" s="2172"/>
      <c r="G345" s="2194">
        <f t="shared" si="31"/>
        <v>1296.75</v>
      </c>
      <c r="H345" s="2195"/>
      <c r="I345" s="2195"/>
      <c r="J345" s="2196"/>
      <c r="K345" s="2194">
        <f t="shared" si="32"/>
        <v>1638</v>
      </c>
      <c r="L345" s="2195"/>
      <c r="M345" s="2195"/>
      <c r="N345" s="2196"/>
      <c r="O345" s="2194">
        <f t="shared" si="33"/>
        <v>3373.25</v>
      </c>
      <c r="P345" s="2195"/>
      <c r="Q345" s="2195"/>
      <c r="R345" s="2196"/>
    </row>
    <row r="346" spans="1:54" x14ac:dyDescent="0.25">
      <c r="A346" s="276"/>
      <c r="G346" s="278"/>
      <c r="K346" s="278"/>
      <c r="O346" s="278"/>
    </row>
    <row r="347" spans="1:54" x14ac:dyDescent="0.25">
      <c r="A347" s="276"/>
      <c r="B347" s="379" t="s">
        <v>1948</v>
      </c>
      <c r="G347" s="278"/>
      <c r="K347" s="278"/>
      <c r="O347" s="278"/>
    </row>
    <row r="348" spans="1:54" x14ac:dyDescent="0.25">
      <c r="A348" s="276"/>
      <c r="G348" s="278"/>
      <c r="K348" s="278"/>
      <c r="O348" s="278"/>
    </row>
    <row r="349" spans="1:54" s="192" customFormat="1" ht="15.75" x14ac:dyDescent="0.25">
      <c r="A349" s="740" t="s">
        <v>6717</v>
      </c>
      <c r="B349" s="996"/>
      <c r="C349" s="996"/>
      <c r="D349" s="996"/>
      <c r="E349" s="996"/>
      <c r="F349" s="996"/>
      <c r="G349" s="996"/>
      <c r="H349" s="996"/>
      <c r="I349" s="996"/>
      <c r="J349" s="996"/>
      <c r="K349" s="996"/>
      <c r="L349" s="996"/>
      <c r="M349" s="996"/>
      <c r="N349" s="996"/>
      <c r="O349" s="996"/>
      <c r="P349" s="996"/>
      <c r="Q349" s="996"/>
      <c r="R349" s="996"/>
      <c r="S349" s="996"/>
      <c r="T349" s="996"/>
      <c r="U349" s="996"/>
      <c r="V349" s="996"/>
      <c r="W349" s="996"/>
      <c r="X349" s="996"/>
      <c r="Y349" s="996"/>
      <c r="Z349" s="996"/>
      <c r="AA349" s="740"/>
      <c r="AB349" s="740"/>
      <c r="AC349" s="740"/>
      <c r="AD349" s="740"/>
      <c r="AE349" s="740"/>
      <c r="AF349" s="740"/>
      <c r="AG349" s="740"/>
      <c r="AH349" s="740"/>
      <c r="AI349" s="740"/>
      <c r="AJ349" s="740"/>
      <c r="AK349" s="740"/>
      <c r="AL349" s="740"/>
      <c r="AM349" s="740"/>
      <c r="AO349" s="743"/>
      <c r="AR349" s="740"/>
      <c r="AS349" s="740"/>
      <c r="AT349" s="740"/>
      <c r="AY349" s="262"/>
      <c r="AZ349" s="262"/>
      <c r="BA349" s="262"/>
      <c r="BB349" s="262"/>
    </row>
    <row r="350" spans="1:54" s="192" customFormat="1" x14ac:dyDescent="0.25">
      <c r="B350" s="995"/>
      <c r="C350" s="995"/>
      <c r="D350" s="995"/>
      <c r="E350" s="995"/>
      <c r="F350" s="995"/>
      <c r="G350" s="2390" t="s">
        <v>2919</v>
      </c>
      <c r="H350" s="2391"/>
      <c r="I350" s="2391"/>
      <c r="J350" s="2391"/>
      <c r="K350" s="2391"/>
      <c r="L350" s="2391"/>
      <c r="M350" s="2391"/>
      <c r="N350" s="2391"/>
      <c r="O350" s="2391"/>
      <c r="P350" s="2391"/>
      <c r="Q350" s="2391"/>
      <c r="R350" s="2391"/>
      <c r="S350" s="2391"/>
      <c r="T350" s="2391"/>
      <c r="U350" s="2391"/>
      <c r="V350" s="2391"/>
      <c r="W350" s="2391"/>
      <c r="X350" s="2391"/>
      <c r="Y350" s="2391"/>
      <c r="Z350" s="2391"/>
      <c r="AA350" s="2391"/>
      <c r="AB350" s="2391"/>
      <c r="AC350" s="2391"/>
      <c r="AD350" s="2391"/>
      <c r="AE350" s="2391"/>
      <c r="AF350" s="2391"/>
      <c r="AG350" s="2391"/>
      <c r="AH350" s="2391"/>
      <c r="AI350" s="2391"/>
      <c r="AJ350" s="2391"/>
      <c r="AK350" s="2391"/>
      <c r="AL350" s="2392"/>
    </row>
    <row r="351" spans="1:54" s="192" customFormat="1" x14ac:dyDescent="0.25">
      <c r="A351" s="2199" t="s">
        <v>54</v>
      </c>
      <c r="B351" s="2200"/>
      <c r="C351" s="2200"/>
      <c r="D351" s="2200"/>
      <c r="E351" s="2200"/>
      <c r="F351" s="2201"/>
      <c r="G351" s="2197" t="s">
        <v>776</v>
      </c>
      <c r="H351" s="2197"/>
      <c r="I351" s="2197"/>
      <c r="J351" s="2197"/>
      <c r="K351" s="2197" t="s">
        <v>1941</v>
      </c>
      <c r="L351" s="2197"/>
      <c r="M351" s="2197"/>
      <c r="N351" s="2197"/>
      <c r="O351" s="2179" t="s">
        <v>1241</v>
      </c>
      <c r="P351" s="2180"/>
      <c r="Q351" s="2180"/>
      <c r="R351" s="2181"/>
      <c r="S351" s="2198" t="s">
        <v>1942</v>
      </c>
      <c r="T351" s="2198"/>
      <c r="U351" s="2198"/>
      <c r="V351" s="2198"/>
      <c r="W351" s="2197" t="s">
        <v>777</v>
      </c>
      <c r="X351" s="2197"/>
      <c r="Y351" s="2197"/>
      <c r="Z351" s="2197"/>
      <c r="AA351" s="2197" t="s">
        <v>1943</v>
      </c>
      <c r="AB351" s="2197"/>
      <c r="AC351" s="2197"/>
      <c r="AD351" s="2197"/>
      <c r="AE351" s="2198" t="s">
        <v>1242</v>
      </c>
      <c r="AF351" s="2198"/>
      <c r="AG351" s="2198"/>
      <c r="AH351" s="2198"/>
      <c r="AI351" s="2198" t="s">
        <v>1944</v>
      </c>
      <c r="AJ351" s="2198"/>
      <c r="AK351" s="2198"/>
      <c r="AL351" s="2198"/>
    </row>
    <row r="352" spans="1:54" s="192" customFormat="1" x14ac:dyDescent="0.25">
      <c r="A352" s="2170" t="s">
        <v>1984</v>
      </c>
      <c r="B352" s="2171"/>
      <c r="C352" s="2171"/>
      <c r="D352" s="2171"/>
      <c r="E352" s="2171"/>
      <c r="F352" s="2172"/>
      <c r="G352" s="2192">
        <f t="shared" ref="G352:G362" si="34">ROUND(($AB$95-$G$127)*$Q$73*VLOOKUP($A352,$N$123:$AG$133,17,TRUE)*VLOOKUP($A352,$N$146:$AG$156,13,TRUE)*$Q$78,3)</f>
        <v>1E-3</v>
      </c>
      <c r="H352" s="2192"/>
      <c r="I352" s="2192"/>
      <c r="J352" s="2192"/>
      <c r="K352" s="2192">
        <f t="shared" ref="K352:K362" si="35">ROUND(($AB$95-$I$127)*$Q$73*VLOOKUP($A352,$N$123:$AG$133,17,TRUE)*VLOOKUP($A352,$N$146:$AG$156,13,TRUE)*$Q$78,3)</f>
        <v>2E-3</v>
      </c>
      <c r="L352" s="2192"/>
      <c r="M352" s="2192"/>
      <c r="N352" s="2192"/>
      <c r="O352" s="2154">
        <f t="shared" ref="O352:O362" si="36">ROUND(($AB$94-$G$126)*$Q$73*VLOOKUP($A352,$N$123:$AG$133,17,TRUE)*VLOOKUP($A352,$N$146:$AG$156,13,TRUE)*$Q$78,3)</f>
        <v>3.0000000000000001E-3</v>
      </c>
      <c r="P352" s="2155"/>
      <c r="Q352" s="2155"/>
      <c r="R352" s="2156"/>
      <c r="S352" s="2192">
        <f t="shared" ref="S352:S362" si="37">ROUND(($AB$94-$I$126)*$Q$73*VLOOKUP($A352,$N$123:$AG$133,17,TRUE)*VLOOKUP($A352,$N$146:$AG$156,13,TRUE)*$Q$78,3)</f>
        <v>4.0000000000000001E-3</v>
      </c>
      <c r="T352" s="2192"/>
      <c r="U352" s="2192"/>
      <c r="V352" s="2192"/>
      <c r="W352" s="2192">
        <f t="shared" ref="W352:W362" si="38">ROUND(($AB$93-$G$125)*$Q$73*VLOOKUP($A352,$N$123:$AG$133,17,TRUE)*VLOOKUP($A352,$N$146:$AG$156,13,TRUE)*$Q$78,3)</f>
        <v>5.0000000000000001E-3</v>
      </c>
      <c r="X352" s="2192"/>
      <c r="Y352" s="2192"/>
      <c r="Z352" s="2192"/>
      <c r="AA352" s="2192">
        <f t="shared" ref="AA352:AA362" si="39">ROUND(($AB$93-$I$125)*$Q$73*VLOOKUP($A352,$N$123:$AG$133,17,TRUE)*VLOOKUP($A352,$N$146:$AG$156,13,TRUE)*$Q$78,3)</f>
        <v>6.0000000000000001E-3</v>
      </c>
      <c r="AB352" s="2192"/>
      <c r="AC352" s="2192"/>
      <c r="AD352" s="2192"/>
      <c r="AE352" s="2192">
        <f t="shared" ref="AE352:AE362" si="40">ROUND(($AB$92-$G$124)*$Q$73*VLOOKUP($A352,$N$123:$AG$133,17,TRUE)*VLOOKUP($A352,$N$146:$AG$156,13,TRUE)*$Q$78,3)</f>
        <v>7.0000000000000001E-3</v>
      </c>
      <c r="AF352" s="2192"/>
      <c r="AG352" s="2192"/>
      <c r="AH352" s="2192"/>
      <c r="AI352" s="2192">
        <f t="shared" ref="AI352:AI362" si="41">ROUND(($AB$92-$I$124)*$Q$73*VLOOKUP($A352,$N$123:$AG$133,17,TRUE)*VLOOKUP($A352,$N$146:$AG$156,13,TRUE)*$Q$78,3)</f>
        <v>8.0000000000000002E-3</v>
      </c>
      <c r="AJ352" s="2192"/>
      <c r="AK352" s="2192"/>
      <c r="AL352" s="2192"/>
    </row>
    <row r="353" spans="1:54" s="192" customFormat="1" x14ac:dyDescent="0.25">
      <c r="A353" s="2170" t="s">
        <v>221</v>
      </c>
      <c r="B353" s="2171"/>
      <c r="C353" s="2171"/>
      <c r="D353" s="2171"/>
      <c r="E353" s="2171"/>
      <c r="F353" s="2172"/>
      <c r="G353" s="2192">
        <f t="shared" si="34"/>
        <v>1E-3</v>
      </c>
      <c r="H353" s="2192"/>
      <c r="I353" s="2192"/>
      <c r="J353" s="2192"/>
      <c r="K353" s="2192">
        <f t="shared" si="35"/>
        <v>1E-3</v>
      </c>
      <c r="L353" s="2192"/>
      <c r="M353" s="2192"/>
      <c r="N353" s="2192"/>
      <c r="O353" s="2154">
        <f t="shared" si="36"/>
        <v>2E-3</v>
      </c>
      <c r="P353" s="2155"/>
      <c r="Q353" s="2155"/>
      <c r="R353" s="2156"/>
      <c r="S353" s="2192">
        <f t="shared" si="37"/>
        <v>2E-3</v>
      </c>
      <c r="T353" s="2192"/>
      <c r="U353" s="2192"/>
      <c r="V353" s="2192"/>
      <c r="W353" s="2192">
        <f t="shared" si="38"/>
        <v>3.0000000000000001E-3</v>
      </c>
      <c r="X353" s="2192"/>
      <c r="Y353" s="2192"/>
      <c r="Z353" s="2192"/>
      <c r="AA353" s="2192">
        <f t="shared" si="39"/>
        <v>4.0000000000000001E-3</v>
      </c>
      <c r="AB353" s="2192"/>
      <c r="AC353" s="2192"/>
      <c r="AD353" s="2192"/>
      <c r="AE353" s="2192">
        <f t="shared" si="40"/>
        <v>4.0000000000000001E-3</v>
      </c>
      <c r="AF353" s="2192"/>
      <c r="AG353" s="2192"/>
      <c r="AH353" s="2192"/>
      <c r="AI353" s="2192">
        <f t="shared" si="41"/>
        <v>4.0000000000000001E-3</v>
      </c>
      <c r="AJ353" s="2192"/>
      <c r="AK353" s="2192"/>
      <c r="AL353" s="2192"/>
    </row>
    <row r="354" spans="1:54" s="192" customFormat="1" x14ac:dyDescent="0.25">
      <c r="A354" s="2170" t="s">
        <v>222</v>
      </c>
      <c r="B354" s="2171"/>
      <c r="C354" s="2171"/>
      <c r="D354" s="2171"/>
      <c r="E354" s="2171"/>
      <c r="F354" s="2172"/>
      <c r="G354" s="2192">
        <f t="shared" si="34"/>
        <v>1E-3</v>
      </c>
      <c r="H354" s="2192"/>
      <c r="I354" s="2192"/>
      <c r="J354" s="2192"/>
      <c r="K354" s="2192">
        <f t="shared" si="35"/>
        <v>2E-3</v>
      </c>
      <c r="L354" s="2192"/>
      <c r="M354" s="2192"/>
      <c r="N354" s="2192"/>
      <c r="O354" s="2154">
        <f t="shared" si="36"/>
        <v>3.0000000000000001E-3</v>
      </c>
      <c r="P354" s="2155"/>
      <c r="Q354" s="2155"/>
      <c r="R354" s="2156"/>
      <c r="S354" s="2192">
        <f t="shared" si="37"/>
        <v>4.0000000000000001E-3</v>
      </c>
      <c r="T354" s="2192"/>
      <c r="U354" s="2192"/>
      <c r="V354" s="2192"/>
      <c r="W354" s="2192">
        <f t="shared" si="38"/>
        <v>5.0000000000000001E-3</v>
      </c>
      <c r="X354" s="2192"/>
      <c r="Y354" s="2192"/>
      <c r="Z354" s="2192"/>
      <c r="AA354" s="2192">
        <f t="shared" si="39"/>
        <v>6.0000000000000001E-3</v>
      </c>
      <c r="AB354" s="2192"/>
      <c r="AC354" s="2192"/>
      <c r="AD354" s="2192"/>
      <c r="AE354" s="2192">
        <f t="shared" si="40"/>
        <v>6.0000000000000001E-3</v>
      </c>
      <c r="AF354" s="2192"/>
      <c r="AG354" s="2192"/>
      <c r="AH354" s="2192"/>
      <c r="AI354" s="2192">
        <f t="shared" si="41"/>
        <v>7.0000000000000001E-3</v>
      </c>
      <c r="AJ354" s="2192"/>
      <c r="AK354" s="2192"/>
      <c r="AL354" s="2192"/>
    </row>
    <row r="355" spans="1:54" s="192" customFormat="1" x14ac:dyDescent="0.25">
      <c r="A355" s="2170" t="s">
        <v>223</v>
      </c>
      <c r="B355" s="2171"/>
      <c r="C355" s="2171"/>
      <c r="D355" s="2171"/>
      <c r="E355" s="2171"/>
      <c r="F355" s="2172"/>
      <c r="G355" s="2192">
        <f t="shared" si="34"/>
        <v>2E-3</v>
      </c>
      <c r="H355" s="2192"/>
      <c r="I355" s="2192"/>
      <c r="J355" s="2192"/>
      <c r="K355" s="2192">
        <f t="shared" si="35"/>
        <v>4.0000000000000001E-3</v>
      </c>
      <c r="L355" s="2192"/>
      <c r="M355" s="2192"/>
      <c r="N355" s="2192"/>
      <c r="O355" s="2154">
        <f t="shared" si="36"/>
        <v>5.0000000000000001E-3</v>
      </c>
      <c r="P355" s="2155"/>
      <c r="Q355" s="2155"/>
      <c r="R355" s="2156"/>
      <c r="S355" s="2192">
        <f t="shared" si="37"/>
        <v>7.0000000000000001E-3</v>
      </c>
      <c r="T355" s="2192"/>
      <c r="U355" s="2192"/>
      <c r="V355" s="2192"/>
      <c r="W355" s="2192">
        <f t="shared" si="38"/>
        <v>8.9999999999999993E-3</v>
      </c>
      <c r="X355" s="2192"/>
      <c r="Y355" s="2192"/>
      <c r="Z355" s="2192"/>
      <c r="AA355" s="2192">
        <f t="shared" si="39"/>
        <v>1.0999999999999999E-2</v>
      </c>
      <c r="AB355" s="2192"/>
      <c r="AC355" s="2192"/>
      <c r="AD355" s="2192"/>
      <c r="AE355" s="2192">
        <f t="shared" si="40"/>
        <v>1.0999999999999999E-2</v>
      </c>
      <c r="AF355" s="2192"/>
      <c r="AG355" s="2192"/>
      <c r="AH355" s="2192"/>
      <c r="AI355" s="2192">
        <f t="shared" si="41"/>
        <v>1.2999999999999999E-2</v>
      </c>
      <c r="AJ355" s="2192"/>
      <c r="AK355" s="2192"/>
      <c r="AL355" s="2192"/>
    </row>
    <row r="356" spans="1:54" s="192" customFormat="1" x14ac:dyDescent="0.25">
      <c r="A356" s="2170" t="s">
        <v>224</v>
      </c>
      <c r="B356" s="2171"/>
      <c r="C356" s="2171"/>
      <c r="D356" s="2171"/>
      <c r="E356" s="2171"/>
      <c r="F356" s="2172"/>
      <c r="G356" s="2192">
        <f t="shared" si="34"/>
        <v>2E-3</v>
      </c>
      <c r="H356" s="2192"/>
      <c r="I356" s="2192"/>
      <c r="J356" s="2192"/>
      <c r="K356" s="2192">
        <f t="shared" si="35"/>
        <v>4.0000000000000001E-3</v>
      </c>
      <c r="L356" s="2192"/>
      <c r="M356" s="2192"/>
      <c r="N356" s="2192"/>
      <c r="O356" s="2154">
        <f t="shared" si="36"/>
        <v>5.0000000000000001E-3</v>
      </c>
      <c r="P356" s="2155"/>
      <c r="Q356" s="2155"/>
      <c r="R356" s="2156"/>
      <c r="S356" s="2192">
        <f t="shared" si="37"/>
        <v>7.0000000000000001E-3</v>
      </c>
      <c r="T356" s="2192"/>
      <c r="U356" s="2192"/>
      <c r="V356" s="2192"/>
      <c r="W356" s="2192">
        <f t="shared" si="38"/>
        <v>0.01</v>
      </c>
      <c r="X356" s="2192"/>
      <c r="Y356" s="2192"/>
      <c r="Z356" s="2192"/>
      <c r="AA356" s="2192">
        <f t="shared" si="39"/>
        <v>1.2E-2</v>
      </c>
      <c r="AB356" s="2192"/>
      <c r="AC356" s="2192"/>
      <c r="AD356" s="2192"/>
      <c r="AE356" s="2192">
        <f t="shared" si="40"/>
        <v>1.2E-2</v>
      </c>
      <c r="AF356" s="2192"/>
      <c r="AG356" s="2192"/>
      <c r="AH356" s="2192"/>
      <c r="AI356" s="2192">
        <f t="shared" si="41"/>
        <v>1.4E-2</v>
      </c>
      <c r="AJ356" s="2192"/>
      <c r="AK356" s="2192"/>
      <c r="AL356" s="2192"/>
    </row>
    <row r="357" spans="1:54" s="192" customFormat="1" x14ac:dyDescent="0.25">
      <c r="A357" s="2170" t="s">
        <v>225</v>
      </c>
      <c r="B357" s="2171"/>
      <c r="C357" s="2171"/>
      <c r="D357" s="2171"/>
      <c r="E357" s="2171"/>
      <c r="F357" s="2172"/>
      <c r="G357" s="2192">
        <f t="shared" si="34"/>
        <v>1E-3</v>
      </c>
      <c r="H357" s="2192"/>
      <c r="I357" s="2192"/>
      <c r="J357" s="2192"/>
      <c r="K357" s="2192">
        <f t="shared" si="35"/>
        <v>2E-3</v>
      </c>
      <c r="L357" s="2192"/>
      <c r="M357" s="2192"/>
      <c r="N357" s="2192"/>
      <c r="O357" s="2154">
        <f t="shared" si="36"/>
        <v>2E-3</v>
      </c>
      <c r="P357" s="2155"/>
      <c r="Q357" s="2155"/>
      <c r="R357" s="2156"/>
      <c r="S357" s="2192">
        <f t="shared" si="37"/>
        <v>3.0000000000000001E-3</v>
      </c>
      <c r="T357" s="2192"/>
      <c r="U357" s="2192"/>
      <c r="V357" s="2192"/>
      <c r="W357" s="2192">
        <f t="shared" si="38"/>
        <v>4.0000000000000001E-3</v>
      </c>
      <c r="X357" s="2192"/>
      <c r="Y357" s="2192"/>
      <c r="Z357" s="2192"/>
      <c r="AA357" s="2192">
        <f t="shared" si="39"/>
        <v>4.0000000000000001E-3</v>
      </c>
      <c r="AB357" s="2192"/>
      <c r="AC357" s="2192"/>
      <c r="AD357" s="2192"/>
      <c r="AE357" s="2192">
        <f t="shared" si="40"/>
        <v>4.0000000000000001E-3</v>
      </c>
      <c r="AF357" s="2192"/>
      <c r="AG357" s="2192"/>
      <c r="AH357" s="2192"/>
      <c r="AI357" s="2192">
        <f t="shared" si="41"/>
        <v>5.0000000000000001E-3</v>
      </c>
      <c r="AJ357" s="2192"/>
      <c r="AK357" s="2192"/>
      <c r="AL357" s="2192"/>
    </row>
    <row r="358" spans="1:54" s="192" customFormat="1" x14ac:dyDescent="0.25">
      <c r="A358" s="2170" t="s">
        <v>226</v>
      </c>
      <c r="B358" s="2171"/>
      <c r="C358" s="2171"/>
      <c r="D358" s="2171"/>
      <c r="E358" s="2171"/>
      <c r="F358" s="2172"/>
      <c r="G358" s="2192">
        <f t="shared" si="34"/>
        <v>2E-3</v>
      </c>
      <c r="H358" s="2192"/>
      <c r="I358" s="2192"/>
      <c r="J358" s="2192"/>
      <c r="K358" s="2192">
        <f t="shared" si="35"/>
        <v>4.0000000000000001E-3</v>
      </c>
      <c r="L358" s="2192"/>
      <c r="M358" s="2192"/>
      <c r="N358" s="2192"/>
      <c r="O358" s="2154">
        <f t="shared" si="36"/>
        <v>5.0000000000000001E-3</v>
      </c>
      <c r="P358" s="2155"/>
      <c r="Q358" s="2155"/>
      <c r="R358" s="2156"/>
      <c r="S358" s="2192">
        <f t="shared" si="37"/>
        <v>7.0000000000000001E-3</v>
      </c>
      <c r="T358" s="2192"/>
      <c r="U358" s="2192"/>
      <c r="V358" s="2192"/>
      <c r="W358" s="2192">
        <f t="shared" si="38"/>
        <v>8.9999999999999993E-3</v>
      </c>
      <c r="X358" s="2192"/>
      <c r="Y358" s="2192"/>
      <c r="Z358" s="2192"/>
      <c r="AA358" s="2192">
        <f t="shared" si="39"/>
        <v>0.01</v>
      </c>
      <c r="AB358" s="2192"/>
      <c r="AC358" s="2192"/>
      <c r="AD358" s="2192"/>
      <c r="AE358" s="2192">
        <f t="shared" si="40"/>
        <v>1.0999999999999999E-2</v>
      </c>
      <c r="AF358" s="2192"/>
      <c r="AG358" s="2192"/>
      <c r="AH358" s="2192"/>
      <c r="AI358" s="2192">
        <f t="shared" si="41"/>
        <v>1.2E-2</v>
      </c>
      <c r="AJ358" s="2192"/>
      <c r="AK358" s="2192"/>
      <c r="AL358" s="2192"/>
    </row>
    <row r="359" spans="1:54" s="192" customFormat="1" x14ac:dyDescent="0.25">
      <c r="A359" s="2170" t="s">
        <v>55</v>
      </c>
      <c r="B359" s="2171"/>
      <c r="C359" s="2171"/>
      <c r="D359" s="2171"/>
      <c r="E359" s="2171"/>
      <c r="F359" s="2172"/>
      <c r="G359" s="2192">
        <f t="shared" si="34"/>
        <v>1E-3</v>
      </c>
      <c r="H359" s="2192"/>
      <c r="I359" s="2192"/>
      <c r="J359" s="2192"/>
      <c r="K359" s="2192">
        <f t="shared" si="35"/>
        <v>1E-3</v>
      </c>
      <c r="L359" s="2192"/>
      <c r="M359" s="2192"/>
      <c r="N359" s="2192"/>
      <c r="O359" s="2154">
        <f t="shared" si="36"/>
        <v>2E-3</v>
      </c>
      <c r="P359" s="2155"/>
      <c r="Q359" s="2155"/>
      <c r="R359" s="2156"/>
      <c r="S359" s="2192">
        <f t="shared" si="37"/>
        <v>2E-3</v>
      </c>
      <c r="T359" s="2192"/>
      <c r="U359" s="2192"/>
      <c r="V359" s="2192"/>
      <c r="W359" s="2192">
        <f t="shared" si="38"/>
        <v>3.0000000000000001E-3</v>
      </c>
      <c r="X359" s="2192"/>
      <c r="Y359" s="2192"/>
      <c r="Z359" s="2192"/>
      <c r="AA359" s="2192">
        <f t="shared" si="39"/>
        <v>4.0000000000000001E-3</v>
      </c>
      <c r="AB359" s="2192"/>
      <c r="AC359" s="2192"/>
      <c r="AD359" s="2192"/>
      <c r="AE359" s="2192">
        <f t="shared" si="40"/>
        <v>4.0000000000000001E-3</v>
      </c>
      <c r="AF359" s="2192"/>
      <c r="AG359" s="2192"/>
      <c r="AH359" s="2192"/>
      <c r="AI359" s="2192">
        <f t="shared" si="41"/>
        <v>5.0000000000000001E-3</v>
      </c>
      <c r="AJ359" s="2192"/>
      <c r="AK359" s="2192"/>
      <c r="AL359" s="2192"/>
    </row>
    <row r="360" spans="1:54" s="192" customFormat="1" x14ac:dyDescent="0.25">
      <c r="A360" s="2170" t="s">
        <v>227</v>
      </c>
      <c r="B360" s="2171"/>
      <c r="C360" s="2171"/>
      <c r="D360" s="2171"/>
      <c r="E360" s="2171"/>
      <c r="F360" s="2172"/>
      <c r="G360" s="2192">
        <f t="shared" si="34"/>
        <v>2E-3</v>
      </c>
      <c r="H360" s="2192"/>
      <c r="I360" s="2192"/>
      <c r="J360" s="2192"/>
      <c r="K360" s="2192">
        <f t="shared" si="35"/>
        <v>3.0000000000000001E-3</v>
      </c>
      <c r="L360" s="2192"/>
      <c r="M360" s="2192"/>
      <c r="N360" s="2192"/>
      <c r="O360" s="2154">
        <f t="shared" si="36"/>
        <v>4.0000000000000001E-3</v>
      </c>
      <c r="P360" s="2155"/>
      <c r="Q360" s="2155"/>
      <c r="R360" s="2156"/>
      <c r="S360" s="2192">
        <f t="shared" si="37"/>
        <v>6.0000000000000001E-3</v>
      </c>
      <c r="T360" s="2192"/>
      <c r="U360" s="2192"/>
      <c r="V360" s="2192"/>
      <c r="W360" s="2192">
        <f t="shared" si="38"/>
        <v>8.0000000000000002E-3</v>
      </c>
      <c r="X360" s="2192"/>
      <c r="Y360" s="2192"/>
      <c r="Z360" s="2192"/>
      <c r="AA360" s="2192">
        <f t="shared" si="39"/>
        <v>8.9999999999999993E-3</v>
      </c>
      <c r="AB360" s="2192"/>
      <c r="AC360" s="2192"/>
      <c r="AD360" s="2192"/>
      <c r="AE360" s="2192">
        <f t="shared" si="40"/>
        <v>8.9999999999999993E-3</v>
      </c>
      <c r="AF360" s="2192"/>
      <c r="AG360" s="2192"/>
      <c r="AH360" s="2192"/>
      <c r="AI360" s="2192">
        <f t="shared" si="41"/>
        <v>1.0999999999999999E-2</v>
      </c>
      <c r="AJ360" s="2192"/>
      <c r="AK360" s="2192"/>
      <c r="AL360" s="2192"/>
    </row>
    <row r="361" spans="1:54" s="192" customFormat="1" x14ac:dyDescent="0.25">
      <c r="A361" s="2170" t="s">
        <v>228</v>
      </c>
      <c r="B361" s="2171"/>
      <c r="C361" s="2171"/>
      <c r="D361" s="2171"/>
      <c r="E361" s="2171"/>
      <c r="F361" s="2172"/>
      <c r="G361" s="2192">
        <f t="shared" si="34"/>
        <v>2E-3</v>
      </c>
      <c r="H361" s="2192"/>
      <c r="I361" s="2192"/>
      <c r="J361" s="2192"/>
      <c r="K361" s="2192">
        <f t="shared" si="35"/>
        <v>4.0000000000000001E-3</v>
      </c>
      <c r="L361" s="2192"/>
      <c r="M361" s="2192"/>
      <c r="N361" s="2192"/>
      <c r="O361" s="2154">
        <f t="shared" si="36"/>
        <v>5.0000000000000001E-3</v>
      </c>
      <c r="P361" s="2155"/>
      <c r="Q361" s="2155"/>
      <c r="R361" s="2156"/>
      <c r="S361" s="2192">
        <f t="shared" si="37"/>
        <v>6.0000000000000001E-3</v>
      </c>
      <c r="T361" s="2192"/>
      <c r="U361" s="2192"/>
      <c r="V361" s="2192"/>
      <c r="W361" s="2192">
        <f t="shared" si="38"/>
        <v>8.0000000000000002E-3</v>
      </c>
      <c r="X361" s="2192"/>
      <c r="Y361" s="2192"/>
      <c r="Z361" s="2192"/>
      <c r="AA361" s="2192">
        <f t="shared" si="39"/>
        <v>0.01</v>
      </c>
      <c r="AB361" s="2192"/>
      <c r="AC361" s="2192"/>
      <c r="AD361" s="2192"/>
      <c r="AE361" s="2192">
        <f t="shared" si="40"/>
        <v>0.01</v>
      </c>
      <c r="AF361" s="2192"/>
      <c r="AG361" s="2192"/>
      <c r="AH361" s="2192"/>
      <c r="AI361" s="2192">
        <f t="shared" si="41"/>
        <v>1.2E-2</v>
      </c>
      <c r="AJ361" s="2192"/>
      <c r="AK361" s="2192"/>
      <c r="AL361" s="2192"/>
    </row>
    <row r="362" spans="1:54" s="192" customFormat="1" x14ac:dyDescent="0.25">
      <c r="A362" s="2170" t="s">
        <v>229</v>
      </c>
      <c r="B362" s="2171"/>
      <c r="C362" s="2171"/>
      <c r="D362" s="2171"/>
      <c r="E362" s="2171"/>
      <c r="F362" s="2172"/>
      <c r="G362" s="2192">
        <f t="shared" si="34"/>
        <v>0</v>
      </c>
      <c r="H362" s="2192"/>
      <c r="I362" s="2192"/>
      <c r="J362" s="2192"/>
      <c r="K362" s="2192">
        <f t="shared" si="35"/>
        <v>1E-3</v>
      </c>
      <c r="L362" s="2192"/>
      <c r="M362" s="2192"/>
      <c r="N362" s="2192"/>
      <c r="O362" s="2154">
        <f t="shared" si="36"/>
        <v>1E-3</v>
      </c>
      <c r="P362" s="2155"/>
      <c r="Q362" s="2155"/>
      <c r="R362" s="2156"/>
      <c r="S362" s="2192">
        <f t="shared" si="37"/>
        <v>1E-3</v>
      </c>
      <c r="T362" s="2192"/>
      <c r="U362" s="2192"/>
      <c r="V362" s="2192"/>
      <c r="W362" s="2192">
        <f t="shared" si="38"/>
        <v>1E-3</v>
      </c>
      <c r="X362" s="2192"/>
      <c r="Y362" s="2192"/>
      <c r="Z362" s="2192"/>
      <c r="AA362" s="2192">
        <f t="shared" si="39"/>
        <v>1E-3</v>
      </c>
      <c r="AB362" s="2192"/>
      <c r="AC362" s="2192"/>
      <c r="AD362" s="2192"/>
      <c r="AE362" s="2192">
        <f t="shared" si="40"/>
        <v>1E-3</v>
      </c>
      <c r="AF362" s="2192"/>
      <c r="AG362" s="2192"/>
      <c r="AH362" s="2192"/>
      <c r="AI362" s="2192">
        <f t="shared" si="41"/>
        <v>2E-3</v>
      </c>
      <c r="AJ362" s="2192"/>
      <c r="AK362" s="2192"/>
      <c r="AL362" s="2192"/>
    </row>
    <row r="363" spans="1:54" s="192" customFormat="1" x14ac:dyDescent="0.25">
      <c r="A363" s="887"/>
      <c r="G363" s="997"/>
      <c r="K363" s="997"/>
      <c r="O363" s="997"/>
    </row>
    <row r="364" spans="1:54" s="192" customFormat="1" ht="15.75" x14ac:dyDescent="0.25">
      <c r="A364" s="740" t="s">
        <v>6718</v>
      </c>
      <c r="B364" s="996"/>
      <c r="C364" s="996"/>
      <c r="D364" s="996"/>
      <c r="E364" s="996"/>
      <c r="F364" s="996"/>
      <c r="AO364" s="743"/>
      <c r="AY364" s="262"/>
      <c r="AZ364" s="262"/>
      <c r="BA364" s="262"/>
      <c r="BB364" s="262"/>
    </row>
    <row r="365" spans="1:54" s="192" customFormat="1" x14ac:dyDescent="0.25">
      <c r="B365" s="995"/>
      <c r="C365" s="995"/>
      <c r="D365" s="995"/>
      <c r="E365" s="995"/>
      <c r="F365" s="995"/>
      <c r="G365" s="2405" t="s">
        <v>2920</v>
      </c>
      <c r="H365" s="2405"/>
      <c r="I365" s="2405"/>
      <c r="J365" s="2405"/>
      <c r="K365" s="2405"/>
      <c r="L365" s="2405"/>
      <c r="M365" s="2405"/>
      <c r="N365" s="2405"/>
      <c r="O365" s="2405"/>
      <c r="P365" s="2405"/>
      <c r="Q365" s="2405"/>
      <c r="R365" s="2405"/>
      <c r="S365" s="2405"/>
      <c r="T365" s="2405"/>
      <c r="U365" s="2405"/>
      <c r="V365" s="2405"/>
      <c r="W365" s="2405"/>
      <c r="X365" s="2405"/>
      <c r="Y365" s="2405"/>
      <c r="Z365" s="2405"/>
      <c r="AA365" s="2405"/>
      <c r="AB365" s="2405"/>
      <c r="AC365" s="2405"/>
      <c r="AD365" s="2405"/>
      <c r="AE365" s="2405"/>
      <c r="AF365" s="2405"/>
      <c r="AG365" s="2405"/>
      <c r="AH365" s="2405"/>
      <c r="AI365" s="2405"/>
      <c r="AJ365" s="2405"/>
      <c r="AK365" s="2405"/>
      <c r="AL365" s="2405"/>
    </row>
    <row r="366" spans="1:54" s="192" customFormat="1" x14ac:dyDescent="0.25">
      <c r="A366" s="2199" t="s">
        <v>54</v>
      </c>
      <c r="B366" s="2200"/>
      <c r="C366" s="2200"/>
      <c r="D366" s="2200"/>
      <c r="E366" s="2200"/>
      <c r="F366" s="2201"/>
      <c r="G366" s="2197" t="s">
        <v>776</v>
      </c>
      <c r="H366" s="2197"/>
      <c r="I366" s="2197"/>
      <c r="J366" s="2197"/>
      <c r="K366" s="2197" t="s">
        <v>1941</v>
      </c>
      <c r="L366" s="2197"/>
      <c r="M366" s="2197"/>
      <c r="N366" s="2197"/>
      <c r="O366" s="2179" t="s">
        <v>1241</v>
      </c>
      <c r="P366" s="2180"/>
      <c r="Q366" s="2180"/>
      <c r="R366" s="2181"/>
      <c r="S366" s="2198" t="s">
        <v>1942</v>
      </c>
      <c r="T366" s="2198"/>
      <c r="U366" s="2198"/>
      <c r="V366" s="2198"/>
      <c r="W366" s="2197" t="s">
        <v>777</v>
      </c>
      <c r="X366" s="2197"/>
      <c r="Y366" s="2197"/>
      <c r="Z366" s="2197"/>
      <c r="AA366" s="2197" t="s">
        <v>1943</v>
      </c>
      <c r="AB366" s="2197"/>
      <c r="AC366" s="2197"/>
      <c r="AD366" s="2197"/>
      <c r="AE366" s="2198" t="s">
        <v>1242</v>
      </c>
      <c r="AF366" s="2198"/>
      <c r="AG366" s="2198"/>
      <c r="AH366" s="2198"/>
      <c r="AI366" s="2198" t="s">
        <v>1944</v>
      </c>
      <c r="AJ366" s="2198"/>
      <c r="AK366" s="2198"/>
      <c r="AL366" s="2198"/>
    </row>
    <row r="367" spans="1:54" s="192" customFormat="1" x14ac:dyDescent="0.25">
      <c r="A367" s="2170" t="s">
        <v>1984</v>
      </c>
      <c r="B367" s="2171"/>
      <c r="C367" s="2171"/>
      <c r="D367" s="2171"/>
      <c r="E367" s="2171"/>
      <c r="F367" s="2172"/>
      <c r="G367" s="2202">
        <f t="shared" ref="G367:G377" si="42">ROUND(($AB$95-$G$127)*$Q$73*VLOOKUP($A367,$A$167:$Q$177,15,TRUE)*VLOOKUP($A367,$N$146:$AG$156,17,TRUE)*$Q$78,3)</f>
        <v>6.9560000000000004</v>
      </c>
      <c r="H367" s="2202"/>
      <c r="I367" s="2202"/>
      <c r="J367" s="2202"/>
      <c r="K367" s="2202">
        <f t="shared" ref="K367:K377" si="43">ROUND(($AB$95-$I$127)*$Q$73*VLOOKUP($A367,$A$167:$Q$177,15,TRUE)*VLOOKUP($A367,$N$146:$AG$156,17,TRUE)*$Q$78,3)</f>
        <v>12.391</v>
      </c>
      <c r="L367" s="2202"/>
      <c r="M367" s="2202"/>
      <c r="N367" s="2202"/>
      <c r="O367" s="2157">
        <f t="shared" ref="O367:O377" si="44">ROUND(($AB$94-$G$126)*$Q$73*VLOOKUP($A367,$A$167:$Q$177,15,TRUE)*VLOOKUP($A367,$N$146:$AG$156,17,TRUE)*$Q$78,3)</f>
        <v>15.217000000000001</v>
      </c>
      <c r="P367" s="2158"/>
      <c r="Q367" s="2158"/>
      <c r="R367" s="2159"/>
      <c r="S367" s="2202">
        <f t="shared" ref="S367:S377" si="45">ROUND(($AB$94-$I$126)*$Q$73*VLOOKUP($A367,$A$167:$Q$177,15,TRUE)*VLOOKUP($A367,$N$146:$AG$156,17,TRUE)*$Q$78,3)</f>
        <v>20.651</v>
      </c>
      <c r="T367" s="2202"/>
      <c r="U367" s="2202"/>
      <c r="V367" s="2202"/>
      <c r="W367" s="2202">
        <f t="shared" ref="W367:W377" si="46">ROUND(($AB$93-$G$125)*$Q$73*VLOOKUP($A367,$A$167:$Q$177,15,TRUE)*VLOOKUP($A367,$N$146:$AG$156,17,TRUE)*$Q$78,3)</f>
        <v>27.39</v>
      </c>
      <c r="X367" s="2202"/>
      <c r="Y367" s="2202"/>
      <c r="Z367" s="2202"/>
      <c r="AA367" s="2202">
        <f t="shared" ref="AA367:AA377" si="47">ROUND(($AB$93-$I$125)*$Q$73*VLOOKUP($A367,$A$167:$Q$177,15,TRUE)*VLOOKUP($A367,$N$146:$AG$156,17,TRUE)*$Q$78,3)</f>
        <v>32.825000000000003</v>
      </c>
      <c r="AB367" s="2202"/>
      <c r="AC367" s="2202"/>
      <c r="AD367" s="2202"/>
      <c r="AE367" s="2202">
        <f t="shared" ref="AE367:AE377" si="48">ROUND(($AB$92-$G$124)*$Q$73*VLOOKUP($A367,$A$167:$Q$177,15,TRUE)*VLOOKUP($A367,$N$146:$AG$156,17,TRUE)*$Q$78,3)</f>
        <v>33.694000000000003</v>
      </c>
      <c r="AF367" s="2202"/>
      <c r="AG367" s="2202"/>
      <c r="AH367" s="2202"/>
      <c r="AI367" s="2202">
        <f t="shared" ref="AI367:AI377" si="49">ROUND(($AB$92-$I$124)*$Q$73*VLOOKUP($A367,$A$167:$Q$177,15,TRUE)*VLOOKUP($A367,$N$146:$AG$156,17,TRUE)*$Q$78,3)</f>
        <v>39.128999999999998</v>
      </c>
      <c r="AJ367" s="2202"/>
      <c r="AK367" s="2202"/>
      <c r="AL367" s="2202"/>
    </row>
    <row r="368" spans="1:54" s="192" customFormat="1" x14ac:dyDescent="0.25">
      <c r="A368" s="2170" t="s">
        <v>221</v>
      </c>
      <c r="B368" s="2171"/>
      <c r="C368" s="2171"/>
      <c r="D368" s="2171"/>
      <c r="E368" s="2171"/>
      <c r="F368" s="2172"/>
      <c r="G368" s="2202">
        <f t="shared" si="42"/>
        <v>23.878</v>
      </c>
      <c r="H368" s="2202"/>
      <c r="I368" s="2202"/>
      <c r="J368" s="2202"/>
      <c r="K368" s="2202">
        <f t="shared" si="43"/>
        <v>42.531999999999996</v>
      </c>
      <c r="L368" s="2202"/>
      <c r="M368" s="2202"/>
      <c r="N368" s="2202"/>
      <c r="O368" s="2157">
        <f t="shared" si="44"/>
        <v>52.231999999999999</v>
      </c>
      <c r="P368" s="2158"/>
      <c r="Q368" s="2158"/>
      <c r="R368" s="2159"/>
      <c r="S368" s="2202">
        <f t="shared" si="45"/>
        <v>70.885999999999996</v>
      </c>
      <c r="T368" s="2202"/>
      <c r="U368" s="2202"/>
      <c r="V368" s="2202"/>
      <c r="W368" s="2202">
        <f t="shared" si="46"/>
        <v>94.018000000000001</v>
      </c>
      <c r="X368" s="2202"/>
      <c r="Y368" s="2202"/>
      <c r="Z368" s="2202"/>
      <c r="AA368" s="2202">
        <f t="shared" si="47"/>
        <v>112.672</v>
      </c>
      <c r="AB368" s="2202"/>
      <c r="AC368" s="2202"/>
      <c r="AD368" s="2202"/>
      <c r="AE368" s="2202">
        <f t="shared" si="48"/>
        <v>115.657</v>
      </c>
      <c r="AF368" s="2202"/>
      <c r="AG368" s="2202"/>
      <c r="AH368" s="2202"/>
      <c r="AI368" s="2202">
        <f t="shared" si="49"/>
        <v>134.31100000000001</v>
      </c>
      <c r="AJ368" s="2202"/>
      <c r="AK368" s="2202"/>
      <c r="AL368" s="2202"/>
    </row>
    <row r="369" spans="1:41" x14ac:dyDescent="0.25">
      <c r="A369" s="2160" t="s">
        <v>222</v>
      </c>
      <c r="B369" s="2161"/>
      <c r="C369" s="2161"/>
      <c r="D369" s="2161"/>
      <c r="E369" s="2161"/>
      <c r="F369" s="2162"/>
      <c r="G369" s="2203">
        <f t="shared" si="42"/>
        <v>6.6719999999999997</v>
      </c>
      <c r="H369" s="2203"/>
      <c r="I369" s="2203"/>
      <c r="J369" s="2203"/>
      <c r="K369" s="2203">
        <f t="shared" si="43"/>
        <v>11.884</v>
      </c>
      <c r="L369" s="2203"/>
      <c r="M369" s="2203"/>
      <c r="N369" s="2203"/>
      <c r="O369" s="2328">
        <f t="shared" si="44"/>
        <v>14.595000000000001</v>
      </c>
      <c r="P369" s="2329"/>
      <c r="Q369" s="2329"/>
      <c r="R369" s="2330"/>
      <c r="S369" s="2203">
        <f t="shared" si="45"/>
        <v>19.806999999999999</v>
      </c>
      <c r="T369" s="2203"/>
      <c r="U369" s="2203"/>
      <c r="V369" s="2203"/>
      <c r="W369" s="2203">
        <f t="shared" si="46"/>
        <v>26.27</v>
      </c>
      <c r="X369" s="2203"/>
      <c r="Y369" s="2203"/>
      <c r="Z369" s="2203"/>
      <c r="AA369" s="2203">
        <f t="shared" si="47"/>
        <v>31.483000000000001</v>
      </c>
      <c r="AB369" s="2203"/>
      <c r="AC369" s="2203"/>
      <c r="AD369" s="2203"/>
      <c r="AE369" s="2203">
        <f t="shared" si="48"/>
        <v>32.317</v>
      </c>
      <c r="AF369" s="2203"/>
      <c r="AG369" s="2203"/>
      <c r="AH369" s="2203"/>
      <c r="AI369" s="2203">
        <f t="shared" si="49"/>
        <v>37.529000000000003</v>
      </c>
      <c r="AJ369" s="2203"/>
      <c r="AK369" s="2203"/>
      <c r="AL369" s="2203"/>
    </row>
    <row r="370" spans="1:41" x14ac:dyDescent="0.25">
      <c r="A370" s="2160" t="s">
        <v>223</v>
      </c>
      <c r="B370" s="2161"/>
      <c r="C370" s="2161"/>
      <c r="D370" s="2161"/>
      <c r="E370" s="2161"/>
      <c r="F370" s="2162"/>
      <c r="G370" s="2203">
        <f t="shared" si="42"/>
        <v>17.053000000000001</v>
      </c>
      <c r="H370" s="2203"/>
      <c r="I370" s="2203"/>
      <c r="J370" s="2203"/>
      <c r="K370" s="2203">
        <f t="shared" si="43"/>
        <v>30.376000000000001</v>
      </c>
      <c r="L370" s="2203"/>
      <c r="M370" s="2203"/>
      <c r="N370" s="2203"/>
      <c r="O370" s="2328">
        <f t="shared" si="44"/>
        <v>37.302999999999997</v>
      </c>
      <c r="P370" s="2329"/>
      <c r="Q370" s="2329"/>
      <c r="R370" s="2330"/>
      <c r="S370" s="2203">
        <f t="shared" si="45"/>
        <v>50.625999999999998</v>
      </c>
      <c r="T370" s="2203"/>
      <c r="U370" s="2203"/>
      <c r="V370" s="2203"/>
      <c r="W370" s="2203">
        <f t="shared" si="46"/>
        <v>67.146000000000001</v>
      </c>
      <c r="X370" s="2203"/>
      <c r="Y370" s="2203"/>
      <c r="Z370" s="2203"/>
      <c r="AA370" s="2203">
        <f t="shared" si="47"/>
        <v>80.468999999999994</v>
      </c>
      <c r="AB370" s="2203"/>
      <c r="AC370" s="2203"/>
      <c r="AD370" s="2203"/>
      <c r="AE370" s="2203">
        <f t="shared" si="48"/>
        <v>82.6</v>
      </c>
      <c r="AF370" s="2203"/>
      <c r="AG370" s="2203"/>
      <c r="AH370" s="2203"/>
      <c r="AI370" s="2203">
        <f t="shared" si="49"/>
        <v>95.923000000000002</v>
      </c>
      <c r="AJ370" s="2203"/>
      <c r="AK370" s="2203"/>
      <c r="AL370" s="2203"/>
    </row>
    <row r="371" spans="1:41" x14ac:dyDescent="0.25">
      <c r="A371" s="2160" t="s">
        <v>224</v>
      </c>
      <c r="B371" s="2161"/>
      <c r="C371" s="2161"/>
      <c r="D371" s="2161"/>
      <c r="E371" s="2161"/>
      <c r="F371" s="2162"/>
      <c r="G371" s="2203">
        <f t="shared" si="42"/>
        <v>18.393000000000001</v>
      </c>
      <c r="H371" s="2203"/>
      <c r="I371" s="2203"/>
      <c r="J371" s="2203"/>
      <c r="K371" s="2203">
        <f t="shared" si="43"/>
        <v>32.762</v>
      </c>
      <c r="L371" s="2203"/>
      <c r="M371" s="2203"/>
      <c r="N371" s="2203"/>
      <c r="O371" s="2328">
        <f t="shared" si="44"/>
        <v>40.234000000000002</v>
      </c>
      <c r="P371" s="2329"/>
      <c r="Q371" s="2329"/>
      <c r="R371" s="2330"/>
      <c r="S371" s="2203">
        <f t="shared" si="45"/>
        <v>54.603000000000002</v>
      </c>
      <c r="T371" s="2203"/>
      <c r="U371" s="2203"/>
      <c r="V371" s="2203"/>
      <c r="W371" s="2203">
        <f t="shared" si="46"/>
        <v>72.421000000000006</v>
      </c>
      <c r="X371" s="2203"/>
      <c r="Y371" s="2203"/>
      <c r="Z371" s="2203"/>
      <c r="AA371" s="2203">
        <f t="shared" si="47"/>
        <v>86.79</v>
      </c>
      <c r="AB371" s="2203"/>
      <c r="AC371" s="2203"/>
      <c r="AD371" s="2203"/>
      <c r="AE371" s="2203">
        <f t="shared" si="48"/>
        <v>89.088999999999999</v>
      </c>
      <c r="AF371" s="2203"/>
      <c r="AG371" s="2203"/>
      <c r="AH371" s="2203"/>
      <c r="AI371" s="2203">
        <f t="shared" si="49"/>
        <v>103.459</v>
      </c>
      <c r="AJ371" s="2203"/>
      <c r="AK371" s="2203"/>
      <c r="AL371" s="2203"/>
    </row>
    <row r="372" spans="1:41" x14ac:dyDescent="0.25">
      <c r="A372" s="2160" t="s">
        <v>225</v>
      </c>
      <c r="B372" s="2161"/>
      <c r="C372" s="2161"/>
      <c r="D372" s="2161"/>
      <c r="E372" s="2161"/>
      <c r="F372" s="2162"/>
      <c r="G372" s="2203">
        <f t="shared" si="42"/>
        <v>4.819</v>
      </c>
      <c r="H372" s="2203"/>
      <c r="I372" s="2203"/>
      <c r="J372" s="2203"/>
      <c r="K372" s="2203">
        <f t="shared" si="43"/>
        <v>8.5850000000000009</v>
      </c>
      <c r="L372" s="2203"/>
      <c r="M372" s="2203"/>
      <c r="N372" s="2203"/>
      <c r="O372" s="2328">
        <f t="shared" si="44"/>
        <v>10.542</v>
      </c>
      <c r="P372" s="2329"/>
      <c r="Q372" s="2329"/>
      <c r="R372" s="2330"/>
      <c r="S372" s="2203">
        <f t="shared" si="45"/>
        <v>14.308</v>
      </c>
      <c r="T372" s="2203"/>
      <c r="U372" s="2203"/>
      <c r="V372" s="2203"/>
      <c r="W372" s="2203">
        <f t="shared" si="46"/>
        <v>18.975999999999999</v>
      </c>
      <c r="X372" s="2203"/>
      <c r="Y372" s="2203"/>
      <c r="Z372" s="2203"/>
      <c r="AA372" s="2203">
        <f t="shared" si="47"/>
        <v>22.742000000000001</v>
      </c>
      <c r="AB372" s="2203"/>
      <c r="AC372" s="2203"/>
      <c r="AD372" s="2203"/>
      <c r="AE372" s="2203">
        <f t="shared" si="48"/>
        <v>23.344000000000001</v>
      </c>
      <c r="AF372" s="2203"/>
      <c r="AG372" s="2203"/>
      <c r="AH372" s="2203"/>
      <c r="AI372" s="2203">
        <f t="shared" si="49"/>
        <v>27.109000000000002</v>
      </c>
      <c r="AJ372" s="2203"/>
      <c r="AK372" s="2203"/>
      <c r="AL372" s="2203"/>
    </row>
    <row r="373" spans="1:41" x14ac:dyDescent="0.25">
      <c r="A373" s="2160" t="s">
        <v>226</v>
      </c>
      <c r="B373" s="2161"/>
      <c r="C373" s="2161"/>
      <c r="D373" s="2161"/>
      <c r="E373" s="2161"/>
      <c r="F373" s="2162"/>
      <c r="G373" s="2203">
        <f t="shared" si="42"/>
        <v>8.1679999999999993</v>
      </c>
      <c r="H373" s="2203"/>
      <c r="I373" s="2203"/>
      <c r="J373" s="2203"/>
      <c r="K373" s="2203">
        <f t="shared" si="43"/>
        <v>14.55</v>
      </c>
      <c r="L373" s="2203"/>
      <c r="M373" s="2203"/>
      <c r="N373" s="2203"/>
      <c r="O373" s="2328">
        <f t="shared" si="44"/>
        <v>17.867999999999999</v>
      </c>
      <c r="P373" s="2329"/>
      <c r="Q373" s="2329"/>
      <c r="R373" s="2330"/>
      <c r="S373" s="2203">
        <f t="shared" si="45"/>
        <v>24.248999999999999</v>
      </c>
      <c r="T373" s="2203"/>
      <c r="U373" s="2203"/>
      <c r="V373" s="2203"/>
      <c r="W373" s="2203">
        <f t="shared" si="46"/>
        <v>32.161999999999999</v>
      </c>
      <c r="X373" s="2203"/>
      <c r="Y373" s="2203"/>
      <c r="Z373" s="2203"/>
      <c r="AA373" s="2203">
        <f t="shared" si="47"/>
        <v>38.543999999999997</v>
      </c>
      <c r="AB373" s="2203"/>
      <c r="AC373" s="2203"/>
      <c r="AD373" s="2203"/>
      <c r="AE373" s="2203">
        <f t="shared" si="48"/>
        <v>39.564999999999998</v>
      </c>
      <c r="AF373" s="2203"/>
      <c r="AG373" s="2203"/>
      <c r="AH373" s="2203"/>
      <c r="AI373" s="2203">
        <f t="shared" si="49"/>
        <v>45.945999999999998</v>
      </c>
      <c r="AJ373" s="2203"/>
      <c r="AK373" s="2203"/>
      <c r="AL373" s="2203"/>
    </row>
    <row r="374" spans="1:41" x14ac:dyDescent="0.25">
      <c r="A374" s="2160" t="s">
        <v>55</v>
      </c>
      <c r="B374" s="2161"/>
      <c r="C374" s="2161"/>
      <c r="D374" s="2161"/>
      <c r="E374" s="2161"/>
      <c r="F374" s="2162"/>
      <c r="G374" s="2203">
        <f t="shared" si="42"/>
        <v>7.8239999999999998</v>
      </c>
      <c r="H374" s="2203"/>
      <c r="I374" s="2203"/>
      <c r="J374" s="2203"/>
      <c r="K374" s="2203">
        <f t="shared" si="43"/>
        <v>13.936</v>
      </c>
      <c r="L374" s="2203"/>
      <c r="M374" s="2203"/>
      <c r="N374" s="2203"/>
      <c r="O374" s="2328">
        <f t="shared" si="44"/>
        <v>17.114000000000001</v>
      </c>
      <c r="P374" s="2329"/>
      <c r="Q374" s="2329"/>
      <c r="R374" s="2330"/>
      <c r="S374" s="2203">
        <f t="shared" si="45"/>
        <v>23.227</v>
      </c>
      <c r="T374" s="2203"/>
      <c r="U374" s="2203"/>
      <c r="V374" s="2203"/>
      <c r="W374" s="2203">
        <f t="shared" si="46"/>
        <v>30.806000000000001</v>
      </c>
      <c r="X374" s="2203"/>
      <c r="Y374" s="2203"/>
      <c r="Z374" s="2203"/>
      <c r="AA374" s="2203">
        <f t="shared" si="47"/>
        <v>36.917999999999999</v>
      </c>
      <c r="AB374" s="2203"/>
      <c r="AC374" s="2203"/>
      <c r="AD374" s="2203"/>
      <c r="AE374" s="2203">
        <f t="shared" si="48"/>
        <v>37.896000000000001</v>
      </c>
      <c r="AF374" s="2203"/>
      <c r="AG374" s="2203"/>
      <c r="AH374" s="2203"/>
      <c r="AI374" s="2203">
        <f t="shared" si="49"/>
        <v>44.008000000000003</v>
      </c>
      <c r="AJ374" s="2203"/>
      <c r="AK374" s="2203"/>
      <c r="AL374" s="2203"/>
    </row>
    <row r="375" spans="1:41" x14ac:dyDescent="0.25">
      <c r="A375" s="2160" t="s">
        <v>227</v>
      </c>
      <c r="B375" s="2161"/>
      <c r="C375" s="2161"/>
      <c r="D375" s="2161"/>
      <c r="E375" s="2161"/>
      <c r="F375" s="2162"/>
      <c r="G375" s="2203">
        <f t="shared" si="42"/>
        <v>14.048999999999999</v>
      </c>
      <c r="H375" s="2203"/>
      <c r="I375" s="2203"/>
      <c r="J375" s="2203"/>
      <c r="K375" s="2203">
        <f t="shared" si="43"/>
        <v>25.024999999999999</v>
      </c>
      <c r="L375" s="2203"/>
      <c r="M375" s="2203"/>
      <c r="N375" s="2203"/>
      <c r="O375" s="2328">
        <f t="shared" si="44"/>
        <v>30.733000000000001</v>
      </c>
      <c r="P375" s="2329"/>
      <c r="Q375" s="2329"/>
      <c r="R375" s="2330"/>
      <c r="S375" s="2203">
        <f t="shared" si="45"/>
        <v>41.709000000000003</v>
      </c>
      <c r="T375" s="2203"/>
      <c r="U375" s="2203"/>
      <c r="V375" s="2203"/>
      <c r="W375" s="2203">
        <f t="shared" si="46"/>
        <v>55.319000000000003</v>
      </c>
      <c r="X375" s="2203"/>
      <c r="Y375" s="2203"/>
      <c r="Z375" s="2203"/>
      <c r="AA375" s="2203">
        <f t="shared" si="47"/>
        <v>66.295000000000002</v>
      </c>
      <c r="AB375" s="2203"/>
      <c r="AC375" s="2203"/>
      <c r="AD375" s="2203"/>
      <c r="AE375" s="2203">
        <f t="shared" si="48"/>
        <v>68.051000000000002</v>
      </c>
      <c r="AF375" s="2203"/>
      <c r="AG375" s="2203"/>
      <c r="AH375" s="2203"/>
      <c r="AI375" s="2203">
        <f t="shared" si="49"/>
        <v>79.027000000000001</v>
      </c>
      <c r="AJ375" s="2203"/>
      <c r="AK375" s="2203"/>
      <c r="AL375" s="2203"/>
    </row>
    <row r="376" spans="1:41" x14ac:dyDescent="0.25">
      <c r="A376" s="2160" t="s">
        <v>228</v>
      </c>
      <c r="B376" s="2161"/>
      <c r="C376" s="2161"/>
      <c r="D376" s="2161"/>
      <c r="E376" s="2161"/>
      <c r="F376" s="2162"/>
      <c r="G376" s="2203">
        <f t="shared" si="42"/>
        <v>13.308</v>
      </c>
      <c r="H376" s="2203"/>
      <c r="I376" s="2203"/>
      <c r="J376" s="2203"/>
      <c r="K376" s="2203">
        <f t="shared" si="43"/>
        <v>23.704000000000001</v>
      </c>
      <c r="L376" s="2203"/>
      <c r="M376" s="2203"/>
      <c r="N376" s="2203"/>
      <c r="O376" s="2328">
        <f t="shared" si="44"/>
        <v>29.11</v>
      </c>
      <c r="P376" s="2329"/>
      <c r="Q376" s="2329"/>
      <c r="R376" s="2330"/>
      <c r="S376" s="2203">
        <f t="shared" si="45"/>
        <v>39.506999999999998</v>
      </c>
      <c r="T376" s="2203"/>
      <c r="U376" s="2203"/>
      <c r="V376" s="2203"/>
      <c r="W376" s="2203">
        <f t="shared" si="46"/>
        <v>52.399000000000001</v>
      </c>
      <c r="X376" s="2203"/>
      <c r="Y376" s="2203"/>
      <c r="Z376" s="2203"/>
      <c r="AA376" s="2203">
        <f t="shared" si="47"/>
        <v>62.795000000000002</v>
      </c>
      <c r="AB376" s="2203"/>
      <c r="AC376" s="2203"/>
      <c r="AD376" s="2203"/>
      <c r="AE376" s="2203">
        <f t="shared" si="48"/>
        <v>64.459000000000003</v>
      </c>
      <c r="AF376" s="2203"/>
      <c r="AG376" s="2203"/>
      <c r="AH376" s="2203"/>
      <c r="AI376" s="2203">
        <f t="shared" si="49"/>
        <v>74.855000000000004</v>
      </c>
      <c r="AJ376" s="2203"/>
      <c r="AK376" s="2203"/>
      <c r="AL376" s="2203"/>
    </row>
    <row r="377" spans="1:41" x14ac:dyDescent="0.25">
      <c r="A377" s="2160" t="s">
        <v>229</v>
      </c>
      <c r="B377" s="2161"/>
      <c r="C377" s="2161"/>
      <c r="D377" s="2161"/>
      <c r="E377" s="2161"/>
      <c r="F377" s="2162"/>
      <c r="G377" s="2203">
        <f t="shared" si="42"/>
        <v>6.24</v>
      </c>
      <c r="H377" s="2203"/>
      <c r="I377" s="2203"/>
      <c r="J377" s="2203"/>
      <c r="K377" s="2203">
        <f t="shared" si="43"/>
        <v>11.114000000000001</v>
      </c>
      <c r="L377" s="2203"/>
      <c r="M377" s="2203"/>
      <c r="N377" s="2203"/>
      <c r="O377" s="2328">
        <f t="shared" si="44"/>
        <v>13.648999999999999</v>
      </c>
      <c r="P377" s="2329"/>
      <c r="Q377" s="2329"/>
      <c r="R377" s="2330"/>
      <c r="S377" s="2203">
        <f t="shared" si="45"/>
        <v>18.524000000000001</v>
      </c>
      <c r="T377" s="2203"/>
      <c r="U377" s="2203"/>
      <c r="V377" s="2203"/>
      <c r="W377" s="2203">
        <f t="shared" si="46"/>
        <v>24.568999999999999</v>
      </c>
      <c r="X377" s="2203"/>
      <c r="Y377" s="2203"/>
      <c r="Z377" s="2203"/>
      <c r="AA377" s="2203">
        <f t="shared" si="47"/>
        <v>29.443999999999999</v>
      </c>
      <c r="AB377" s="2203"/>
      <c r="AC377" s="2203"/>
      <c r="AD377" s="2203"/>
      <c r="AE377" s="2203">
        <f t="shared" si="48"/>
        <v>30.224</v>
      </c>
      <c r="AF377" s="2203"/>
      <c r="AG377" s="2203"/>
      <c r="AH377" s="2203"/>
      <c r="AI377" s="2203">
        <f t="shared" si="49"/>
        <v>35.097999999999999</v>
      </c>
      <c r="AJ377" s="2203"/>
      <c r="AK377" s="2203"/>
      <c r="AL377" s="2203"/>
    </row>
    <row r="379" spans="1:41" s="192" customFormat="1" x14ac:dyDescent="0.25">
      <c r="B379" s="519" t="s">
        <v>1949</v>
      </c>
    </row>
    <row r="380" spans="1:41" s="192" customFormat="1" x14ac:dyDescent="0.25"/>
    <row r="381" spans="1:41" s="192" customFormat="1" ht="15.75" x14ac:dyDescent="0.25">
      <c r="A381" s="740" t="s">
        <v>6719</v>
      </c>
      <c r="B381" s="996"/>
      <c r="C381" s="996"/>
      <c r="D381" s="996"/>
      <c r="E381" s="996"/>
      <c r="F381" s="996"/>
      <c r="AO381" s="743"/>
    </row>
    <row r="382" spans="1:41" s="192" customFormat="1" x14ac:dyDescent="0.25">
      <c r="B382" s="995"/>
      <c r="C382" s="995"/>
      <c r="D382" s="995"/>
      <c r="E382" s="995"/>
      <c r="F382" s="995"/>
      <c r="G382" s="2406" t="s">
        <v>1945</v>
      </c>
      <c r="H382" s="2406"/>
      <c r="I382" s="2406"/>
      <c r="J382" s="2406"/>
      <c r="K382" s="2406"/>
      <c r="L382" s="2406"/>
      <c r="M382" s="2406"/>
      <c r="N382" s="2406"/>
      <c r="O382" s="2406"/>
      <c r="P382" s="2406"/>
      <c r="Q382" s="2406"/>
      <c r="R382" s="2406"/>
      <c r="S382" s="2406"/>
      <c r="T382" s="2406"/>
      <c r="U382" s="2406"/>
      <c r="V382" s="2406"/>
      <c r="W382" s="2406"/>
      <c r="X382" s="2406"/>
      <c r="Y382" s="2406"/>
      <c r="Z382" s="2406"/>
      <c r="AA382" s="2406"/>
      <c r="AB382" s="2406"/>
      <c r="AC382" s="2406"/>
      <c r="AD382" s="2406"/>
      <c r="AE382" s="2406"/>
      <c r="AF382" s="2406"/>
      <c r="AG382" s="2406"/>
      <c r="AH382" s="2406"/>
      <c r="AI382" s="2406"/>
      <c r="AJ382" s="2406"/>
      <c r="AK382" s="2406"/>
      <c r="AL382" s="2406"/>
    </row>
    <row r="383" spans="1:41" s="192" customFormat="1" ht="15" customHeight="1" x14ac:dyDescent="0.2">
      <c r="A383" s="2439" t="s">
        <v>54</v>
      </c>
      <c r="B383" s="2440"/>
      <c r="C383" s="2440"/>
      <c r="D383" s="2440"/>
      <c r="E383" s="2440"/>
      <c r="F383" s="2441"/>
      <c r="G383" s="2323" t="s">
        <v>6754</v>
      </c>
      <c r="H383" s="2323"/>
      <c r="I383" s="2323"/>
      <c r="J383" s="2323"/>
      <c r="K383" s="2323" t="s">
        <v>1941</v>
      </c>
      <c r="L383" s="2323"/>
      <c r="M383" s="2323"/>
      <c r="N383" s="2323"/>
      <c r="O383" s="2325" t="s">
        <v>6755</v>
      </c>
      <c r="P383" s="2326"/>
      <c r="Q383" s="2326"/>
      <c r="R383" s="2327"/>
      <c r="S383" s="2324" t="s">
        <v>1942</v>
      </c>
      <c r="T383" s="2324"/>
      <c r="U383" s="2324"/>
      <c r="V383" s="2324"/>
      <c r="W383" s="2323" t="s">
        <v>6756</v>
      </c>
      <c r="X383" s="2323"/>
      <c r="Y383" s="2323"/>
      <c r="Z383" s="2323"/>
      <c r="AA383" s="2323" t="s">
        <v>1943</v>
      </c>
      <c r="AB383" s="2323"/>
      <c r="AC383" s="2323"/>
      <c r="AD383" s="2323"/>
      <c r="AE383" s="2324" t="s">
        <v>6757</v>
      </c>
      <c r="AF383" s="2324"/>
      <c r="AG383" s="2324"/>
      <c r="AH383" s="2324"/>
      <c r="AI383" s="2324" t="s">
        <v>1944</v>
      </c>
      <c r="AJ383" s="2324"/>
      <c r="AK383" s="2324"/>
      <c r="AL383" s="2324"/>
    </row>
    <row r="384" spans="1:41" s="192" customFormat="1" x14ac:dyDescent="0.25">
      <c r="A384" s="2170" t="s">
        <v>1984</v>
      </c>
      <c r="B384" s="2171"/>
      <c r="C384" s="2171"/>
      <c r="D384" s="2171"/>
      <c r="E384" s="2171"/>
      <c r="F384" s="2172"/>
      <c r="G384" s="2193">
        <f t="shared" ref="G384:G394" si="50">ROUND(G367*VLOOKUP($A384,$S$199:$Z$209,5,TRUE),2)</f>
        <v>27.82</v>
      </c>
      <c r="H384" s="2193"/>
      <c r="I384" s="2193"/>
      <c r="J384" s="2193"/>
      <c r="K384" s="2193">
        <f t="shared" ref="K384:K394" si="51">ROUND(K367*VLOOKUP($A384,$A$199:$Q$209,15,TRUE),2)</f>
        <v>309.77999999999997</v>
      </c>
      <c r="L384" s="2193"/>
      <c r="M384" s="2193"/>
      <c r="N384" s="2193"/>
      <c r="O384" s="2194">
        <f t="shared" ref="O384:O394" si="52">ROUND(O367*VLOOKUP($A384,$S$199:$Z$209,5,TRUE),2)</f>
        <v>60.87</v>
      </c>
      <c r="P384" s="2195"/>
      <c r="Q384" s="2195"/>
      <c r="R384" s="2196"/>
      <c r="S384" s="2193">
        <f t="shared" ref="S384:S394" si="53">ROUND(S367*VLOOKUP($A384,$A$199:$Q$209,15,TRUE),2)</f>
        <v>516.28</v>
      </c>
      <c r="T384" s="2193"/>
      <c r="U384" s="2193"/>
      <c r="V384" s="2193"/>
      <c r="W384" s="2193">
        <f t="shared" ref="W384:W394" si="54">ROUND(W367*VLOOKUP($A384,$S$199:$Z$209,5,TRUE),2)</f>
        <v>109.56</v>
      </c>
      <c r="X384" s="2193"/>
      <c r="Y384" s="2193"/>
      <c r="Z384" s="2193"/>
      <c r="AA384" s="2193">
        <f t="shared" ref="AA384:AA394" si="55">ROUND(AA367*VLOOKUP($A384,$A$199:$Q$209,15,TRUE),2)</f>
        <v>820.63</v>
      </c>
      <c r="AB384" s="2193"/>
      <c r="AC384" s="2193"/>
      <c r="AD384" s="2193"/>
      <c r="AE384" s="2193">
        <f t="shared" ref="AE384:AE394" si="56">ROUND(AE367*VLOOKUP($A384,$S$199:$Z$209,5,TRUE),2)</f>
        <v>134.78</v>
      </c>
      <c r="AF384" s="2193"/>
      <c r="AG384" s="2193"/>
      <c r="AH384" s="2193"/>
      <c r="AI384" s="2193">
        <f t="shared" ref="AI384:AI394" si="57">ROUND(AI367*VLOOKUP($A384,$A$199:$Q$209,15,TRUE),2)</f>
        <v>978.23</v>
      </c>
      <c r="AJ384" s="2193"/>
      <c r="AK384" s="2193"/>
      <c r="AL384" s="2193"/>
    </row>
    <row r="385" spans="1:41" s="192" customFormat="1" x14ac:dyDescent="0.25">
      <c r="A385" s="2170" t="s">
        <v>221</v>
      </c>
      <c r="B385" s="2171"/>
      <c r="C385" s="2171"/>
      <c r="D385" s="2171"/>
      <c r="E385" s="2171"/>
      <c r="F385" s="2172"/>
      <c r="G385" s="2193">
        <f t="shared" si="50"/>
        <v>47.76</v>
      </c>
      <c r="H385" s="2193"/>
      <c r="I385" s="2193"/>
      <c r="J385" s="2193"/>
      <c r="K385" s="2193">
        <f t="shared" si="51"/>
        <v>467.85</v>
      </c>
      <c r="L385" s="2193"/>
      <c r="M385" s="2193"/>
      <c r="N385" s="2193"/>
      <c r="O385" s="2194">
        <f t="shared" si="52"/>
        <v>104.46</v>
      </c>
      <c r="P385" s="2195"/>
      <c r="Q385" s="2195"/>
      <c r="R385" s="2196"/>
      <c r="S385" s="2193">
        <f t="shared" si="53"/>
        <v>779.75</v>
      </c>
      <c r="T385" s="2193"/>
      <c r="U385" s="2193"/>
      <c r="V385" s="2193"/>
      <c r="W385" s="2193">
        <f t="shared" si="54"/>
        <v>188.04</v>
      </c>
      <c r="X385" s="2193"/>
      <c r="Y385" s="2193"/>
      <c r="Z385" s="2193"/>
      <c r="AA385" s="2193">
        <f t="shared" si="55"/>
        <v>1239.3900000000001</v>
      </c>
      <c r="AB385" s="2193"/>
      <c r="AC385" s="2193"/>
      <c r="AD385" s="2193"/>
      <c r="AE385" s="2193">
        <f t="shared" si="56"/>
        <v>231.31</v>
      </c>
      <c r="AF385" s="2193"/>
      <c r="AG385" s="2193"/>
      <c r="AH385" s="2193"/>
      <c r="AI385" s="2193">
        <f t="shared" si="57"/>
        <v>1477.42</v>
      </c>
      <c r="AJ385" s="2193"/>
      <c r="AK385" s="2193"/>
      <c r="AL385" s="2193"/>
    </row>
    <row r="386" spans="1:41" s="192" customFormat="1" x14ac:dyDescent="0.25">
      <c r="A386" s="2170" t="s">
        <v>222</v>
      </c>
      <c r="B386" s="2171"/>
      <c r="C386" s="2171"/>
      <c r="D386" s="2171"/>
      <c r="E386" s="2171"/>
      <c r="F386" s="2172"/>
      <c r="G386" s="2193">
        <f t="shared" si="50"/>
        <v>33.36</v>
      </c>
      <c r="H386" s="2193"/>
      <c r="I386" s="2193"/>
      <c r="J386" s="2193"/>
      <c r="K386" s="2193">
        <f t="shared" si="51"/>
        <v>297.10000000000002</v>
      </c>
      <c r="L386" s="2193"/>
      <c r="M386" s="2193"/>
      <c r="N386" s="2193"/>
      <c r="O386" s="2194">
        <f t="shared" si="52"/>
        <v>72.98</v>
      </c>
      <c r="P386" s="2195"/>
      <c r="Q386" s="2195"/>
      <c r="R386" s="2196"/>
      <c r="S386" s="2193">
        <f t="shared" si="53"/>
        <v>495.18</v>
      </c>
      <c r="T386" s="2193"/>
      <c r="U386" s="2193"/>
      <c r="V386" s="2193"/>
      <c r="W386" s="2193">
        <f t="shared" si="54"/>
        <v>131.35</v>
      </c>
      <c r="X386" s="2193"/>
      <c r="Y386" s="2193"/>
      <c r="Z386" s="2193"/>
      <c r="AA386" s="2193">
        <f t="shared" si="55"/>
        <v>787.08</v>
      </c>
      <c r="AB386" s="2193"/>
      <c r="AC386" s="2193"/>
      <c r="AD386" s="2193"/>
      <c r="AE386" s="2193">
        <f t="shared" si="56"/>
        <v>161.59</v>
      </c>
      <c r="AF386" s="2193"/>
      <c r="AG386" s="2193"/>
      <c r="AH386" s="2193"/>
      <c r="AI386" s="2193">
        <f t="shared" si="57"/>
        <v>938.23</v>
      </c>
      <c r="AJ386" s="2193"/>
      <c r="AK386" s="2193"/>
      <c r="AL386" s="2193"/>
    </row>
    <row r="387" spans="1:41" s="192" customFormat="1" x14ac:dyDescent="0.25">
      <c r="A387" s="2170" t="s">
        <v>223</v>
      </c>
      <c r="B387" s="2171"/>
      <c r="C387" s="2171"/>
      <c r="D387" s="2171"/>
      <c r="E387" s="2171"/>
      <c r="F387" s="2172"/>
      <c r="G387" s="2193">
        <f t="shared" si="50"/>
        <v>34.11</v>
      </c>
      <c r="H387" s="2193"/>
      <c r="I387" s="2193"/>
      <c r="J387" s="2193"/>
      <c r="K387" s="2193">
        <f t="shared" si="51"/>
        <v>303.76</v>
      </c>
      <c r="L387" s="2193"/>
      <c r="M387" s="2193"/>
      <c r="N387" s="2193"/>
      <c r="O387" s="2194">
        <f t="shared" si="52"/>
        <v>74.61</v>
      </c>
      <c r="P387" s="2195"/>
      <c r="Q387" s="2195"/>
      <c r="R387" s="2196"/>
      <c r="S387" s="2193">
        <f t="shared" si="53"/>
        <v>506.26</v>
      </c>
      <c r="T387" s="2193"/>
      <c r="U387" s="2193"/>
      <c r="V387" s="2193"/>
      <c r="W387" s="2193">
        <f t="shared" si="54"/>
        <v>134.29</v>
      </c>
      <c r="X387" s="2193"/>
      <c r="Y387" s="2193"/>
      <c r="Z387" s="2193"/>
      <c r="AA387" s="2193">
        <f t="shared" si="55"/>
        <v>804.69</v>
      </c>
      <c r="AB387" s="2193"/>
      <c r="AC387" s="2193"/>
      <c r="AD387" s="2193"/>
      <c r="AE387" s="2193">
        <f t="shared" si="56"/>
        <v>165.2</v>
      </c>
      <c r="AF387" s="2193"/>
      <c r="AG387" s="2193"/>
      <c r="AH387" s="2193"/>
      <c r="AI387" s="2193">
        <f t="shared" si="57"/>
        <v>959.23</v>
      </c>
      <c r="AJ387" s="2193"/>
      <c r="AK387" s="2193"/>
      <c r="AL387" s="2193"/>
    </row>
    <row r="388" spans="1:41" s="192" customFormat="1" x14ac:dyDescent="0.25">
      <c r="A388" s="2170" t="s">
        <v>224</v>
      </c>
      <c r="B388" s="2171"/>
      <c r="C388" s="2171"/>
      <c r="D388" s="2171"/>
      <c r="E388" s="2171"/>
      <c r="F388" s="2172"/>
      <c r="G388" s="2193">
        <f t="shared" si="50"/>
        <v>36.79</v>
      </c>
      <c r="H388" s="2193"/>
      <c r="I388" s="2193"/>
      <c r="J388" s="2193"/>
      <c r="K388" s="2193">
        <f t="shared" si="51"/>
        <v>327.62</v>
      </c>
      <c r="L388" s="2193"/>
      <c r="M388" s="2193"/>
      <c r="N388" s="2193"/>
      <c r="O388" s="2194">
        <f t="shared" si="52"/>
        <v>80.47</v>
      </c>
      <c r="P388" s="2195"/>
      <c r="Q388" s="2195"/>
      <c r="R388" s="2196"/>
      <c r="S388" s="2193">
        <f t="shared" si="53"/>
        <v>546.03</v>
      </c>
      <c r="T388" s="2193"/>
      <c r="U388" s="2193"/>
      <c r="V388" s="2193"/>
      <c r="W388" s="2193">
        <f t="shared" si="54"/>
        <v>144.84</v>
      </c>
      <c r="X388" s="2193"/>
      <c r="Y388" s="2193"/>
      <c r="Z388" s="2193"/>
      <c r="AA388" s="2193">
        <f t="shared" si="55"/>
        <v>867.9</v>
      </c>
      <c r="AB388" s="2193"/>
      <c r="AC388" s="2193"/>
      <c r="AD388" s="2193"/>
      <c r="AE388" s="2193">
        <f t="shared" si="56"/>
        <v>178.18</v>
      </c>
      <c r="AF388" s="2193"/>
      <c r="AG388" s="2193"/>
      <c r="AH388" s="2193"/>
      <c r="AI388" s="2193">
        <f t="shared" si="57"/>
        <v>1034.5899999999999</v>
      </c>
      <c r="AJ388" s="2193"/>
      <c r="AK388" s="2193"/>
      <c r="AL388" s="2193"/>
    </row>
    <row r="389" spans="1:41" s="192" customFormat="1" x14ac:dyDescent="0.25">
      <c r="A389" s="2170" t="s">
        <v>225</v>
      </c>
      <c r="B389" s="2171"/>
      <c r="C389" s="2171"/>
      <c r="D389" s="2171"/>
      <c r="E389" s="2171"/>
      <c r="F389" s="2172"/>
      <c r="G389" s="2193">
        <f t="shared" si="50"/>
        <v>33.729999999999997</v>
      </c>
      <c r="H389" s="2193"/>
      <c r="I389" s="2193"/>
      <c r="J389" s="2193"/>
      <c r="K389" s="2193">
        <f t="shared" si="51"/>
        <v>214.63</v>
      </c>
      <c r="L389" s="2193"/>
      <c r="M389" s="2193"/>
      <c r="N389" s="2193"/>
      <c r="O389" s="2194">
        <f t="shared" si="52"/>
        <v>73.790000000000006</v>
      </c>
      <c r="P389" s="2195"/>
      <c r="Q389" s="2195"/>
      <c r="R389" s="2196"/>
      <c r="S389" s="2193">
        <f t="shared" si="53"/>
        <v>357.7</v>
      </c>
      <c r="T389" s="2193"/>
      <c r="U389" s="2193"/>
      <c r="V389" s="2193"/>
      <c r="W389" s="2193">
        <f t="shared" si="54"/>
        <v>132.83000000000001</v>
      </c>
      <c r="X389" s="2193"/>
      <c r="Y389" s="2193"/>
      <c r="Z389" s="2193"/>
      <c r="AA389" s="2193">
        <f t="shared" si="55"/>
        <v>568.54999999999995</v>
      </c>
      <c r="AB389" s="2193"/>
      <c r="AC389" s="2193"/>
      <c r="AD389" s="2193"/>
      <c r="AE389" s="2193">
        <f t="shared" si="56"/>
        <v>163.41</v>
      </c>
      <c r="AF389" s="2193"/>
      <c r="AG389" s="2193"/>
      <c r="AH389" s="2193"/>
      <c r="AI389" s="2193">
        <f t="shared" si="57"/>
        <v>677.73</v>
      </c>
      <c r="AJ389" s="2193"/>
      <c r="AK389" s="2193"/>
      <c r="AL389" s="2193"/>
    </row>
    <row r="390" spans="1:41" s="192" customFormat="1" x14ac:dyDescent="0.25">
      <c r="A390" s="2170" t="s">
        <v>226</v>
      </c>
      <c r="B390" s="2171"/>
      <c r="C390" s="2171"/>
      <c r="D390" s="2171"/>
      <c r="E390" s="2171"/>
      <c r="F390" s="2172"/>
      <c r="G390" s="2193">
        <f t="shared" si="50"/>
        <v>24.5</v>
      </c>
      <c r="H390" s="2193"/>
      <c r="I390" s="2193"/>
      <c r="J390" s="2193"/>
      <c r="K390" s="2193">
        <f t="shared" si="51"/>
        <v>320.10000000000002</v>
      </c>
      <c r="L390" s="2193"/>
      <c r="M390" s="2193"/>
      <c r="N390" s="2193"/>
      <c r="O390" s="2194">
        <f t="shared" si="52"/>
        <v>53.6</v>
      </c>
      <c r="P390" s="2195"/>
      <c r="Q390" s="2195"/>
      <c r="R390" s="2196"/>
      <c r="S390" s="2193">
        <f t="shared" si="53"/>
        <v>533.48</v>
      </c>
      <c r="T390" s="2193"/>
      <c r="U390" s="2193"/>
      <c r="V390" s="2193"/>
      <c r="W390" s="2193">
        <f t="shared" si="54"/>
        <v>96.49</v>
      </c>
      <c r="X390" s="2193"/>
      <c r="Y390" s="2193"/>
      <c r="Z390" s="2193"/>
      <c r="AA390" s="2193">
        <f t="shared" si="55"/>
        <v>847.97</v>
      </c>
      <c r="AB390" s="2193"/>
      <c r="AC390" s="2193"/>
      <c r="AD390" s="2193"/>
      <c r="AE390" s="2193">
        <f t="shared" si="56"/>
        <v>118.7</v>
      </c>
      <c r="AF390" s="2193"/>
      <c r="AG390" s="2193"/>
      <c r="AH390" s="2193"/>
      <c r="AI390" s="2193">
        <f t="shared" si="57"/>
        <v>1010.81</v>
      </c>
      <c r="AJ390" s="2193"/>
      <c r="AK390" s="2193"/>
      <c r="AL390" s="2193"/>
    </row>
    <row r="391" spans="1:41" s="192" customFormat="1" x14ac:dyDescent="0.25">
      <c r="A391" s="2170" t="s">
        <v>55</v>
      </c>
      <c r="B391" s="2171"/>
      <c r="C391" s="2171"/>
      <c r="D391" s="2171"/>
      <c r="E391" s="2171"/>
      <c r="F391" s="2172"/>
      <c r="G391" s="2193">
        <f t="shared" si="50"/>
        <v>31.3</v>
      </c>
      <c r="H391" s="2193"/>
      <c r="I391" s="2193"/>
      <c r="J391" s="2193"/>
      <c r="K391" s="2193">
        <f t="shared" si="51"/>
        <v>348.4</v>
      </c>
      <c r="L391" s="2193"/>
      <c r="M391" s="2193"/>
      <c r="N391" s="2193"/>
      <c r="O391" s="2194">
        <f t="shared" si="52"/>
        <v>68.459999999999994</v>
      </c>
      <c r="P391" s="2195"/>
      <c r="Q391" s="2195"/>
      <c r="R391" s="2196"/>
      <c r="S391" s="2193">
        <f t="shared" si="53"/>
        <v>580.67999999999995</v>
      </c>
      <c r="T391" s="2193"/>
      <c r="U391" s="2193"/>
      <c r="V391" s="2193"/>
      <c r="W391" s="2193">
        <f t="shared" si="54"/>
        <v>123.22</v>
      </c>
      <c r="X391" s="2193"/>
      <c r="Y391" s="2193"/>
      <c r="Z391" s="2193"/>
      <c r="AA391" s="2193">
        <f t="shared" si="55"/>
        <v>922.95</v>
      </c>
      <c r="AB391" s="2193"/>
      <c r="AC391" s="2193"/>
      <c r="AD391" s="2193"/>
      <c r="AE391" s="2193">
        <f t="shared" si="56"/>
        <v>151.58000000000001</v>
      </c>
      <c r="AF391" s="2193"/>
      <c r="AG391" s="2193"/>
      <c r="AH391" s="2193"/>
      <c r="AI391" s="2193">
        <f t="shared" si="57"/>
        <v>1100.2</v>
      </c>
      <c r="AJ391" s="2193"/>
      <c r="AK391" s="2193"/>
      <c r="AL391" s="2193"/>
    </row>
    <row r="392" spans="1:41" s="192" customFormat="1" x14ac:dyDescent="0.25">
      <c r="A392" s="2170" t="s">
        <v>227</v>
      </c>
      <c r="B392" s="2171"/>
      <c r="C392" s="2171"/>
      <c r="D392" s="2171"/>
      <c r="E392" s="2171"/>
      <c r="F392" s="2172"/>
      <c r="G392" s="2193">
        <f t="shared" si="50"/>
        <v>28.1</v>
      </c>
      <c r="H392" s="2193"/>
      <c r="I392" s="2193"/>
      <c r="J392" s="2193"/>
      <c r="K392" s="2193">
        <f t="shared" si="51"/>
        <v>350.35</v>
      </c>
      <c r="L392" s="2193"/>
      <c r="M392" s="2193"/>
      <c r="N392" s="2193"/>
      <c r="O392" s="2194">
        <f t="shared" si="52"/>
        <v>61.47</v>
      </c>
      <c r="P392" s="2195"/>
      <c r="Q392" s="2195"/>
      <c r="R392" s="2196"/>
      <c r="S392" s="2193">
        <f t="shared" si="53"/>
        <v>583.92999999999995</v>
      </c>
      <c r="T392" s="2193"/>
      <c r="U392" s="2193"/>
      <c r="V392" s="2193"/>
      <c r="W392" s="2193">
        <f t="shared" si="54"/>
        <v>110.64</v>
      </c>
      <c r="X392" s="2193"/>
      <c r="Y392" s="2193"/>
      <c r="Z392" s="2193"/>
      <c r="AA392" s="2193">
        <f t="shared" si="55"/>
        <v>928.13</v>
      </c>
      <c r="AB392" s="2193"/>
      <c r="AC392" s="2193"/>
      <c r="AD392" s="2193"/>
      <c r="AE392" s="2193">
        <f t="shared" si="56"/>
        <v>136.1</v>
      </c>
      <c r="AF392" s="2193"/>
      <c r="AG392" s="2193"/>
      <c r="AH392" s="2193"/>
      <c r="AI392" s="2193">
        <f t="shared" si="57"/>
        <v>1106.3800000000001</v>
      </c>
      <c r="AJ392" s="2193"/>
      <c r="AK392" s="2193"/>
      <c r="AL392" s="2193"/>
    </row>
    <row r="393" spans="1:41" s="192" customFormat="1" x14ac:dyDescent="0.25">
      <c r="A393" s="2170" t="s">
        <v>228</v>
      </c>
      <c r="B393" s="2171"/>
      <c r="C393" s="2171"/>
      <c r="D393" s="2171"/>
      <c r="E393" s="2171"/>
      <c r="F393" s="2172"/>
      <c r="G393" s="2193">
        <f t="shared" si="50"/>
        <v>26.62</v>
      </c>
      <c r="H393" s="2193"/>
      <c r="I393" s="2193"/>
      <c r="J393" s="2193"/>
      <c r="K393" s="2193">
        <f t="shared" si="51"/>
        <v>331.86</v>
      </c>
      <c r="L393" s="2193"/>
      <c r="M393" s="2193"/>
      <c r="N393" s="2193"/>
      <c r="O393" s="2194">
        <f t="shared" si="52"/>
        <v>58.22</v>
      </c>
      <c r="P393" s="2195"/>
      <c r="Q393" s="2195"/>
      <c r="R393" s="2196"/>
      <c r="S393" s="2193">
        <f t="shared" si="53"/>
        <v>553.1</v>
      </c>
      <c r="T393" s="2193"/>
      <c r="U393" s="2193"/>
      <c r="V393" s="2193"/>
      <c r="W393" s="2193">
        <f t="shared" si="54"/>
        <v>104.8</v>
      </c>
      <c r="X393" s="2193"/>
      <c r="Y393" s="2193"/>
      <c r="Z393" s="2193"/>
      <c r="AA393" s="2193">
        <f t="shared" si="55"/>
        <v>879.13</v>
      </c>
      <c r="AB393" s="2193"/>
      <c r="AC393" s="2193"/>
      <c r="AD393" s="2193"/>
      <c r="AE393" s="2193">
        <f t="shared" si="56"/>
        <v>128.91999999999999</v>
      </c>
      <c r="AF393" s="2193"/>
      <c r="AG393" s="2193"/>
      <c r="AH393" s="2193"/>
      <c r="AI393" s="2193">
        <f t="shared" si="57"/>
        <v>1047.97</v>
      </c>
      <c r="AJ393" s="2193"/>
      <c r="AK393" s="2193"/>
      <c r="AL393" s="2193"/>
    </row>
    <row r="394" spans="1:41" s="192" customFormat="1" x14ac:dyDescent="0.25">
      <c r="A394" s="2170" t="s">
        <v>229</v>
      </c>
      <c r="B394" s="2171"/>
      <c r="C394" s="2171"/>
      <c r="D394" s="2171"/>
      <c r="E394" s="2171"/>
      <c r="F394" s="2172"/>
      <c r="G394" s="2193">
        <f t="shared" si="50"/>
        <v>24.96</v>
      </c>
      <c r="H394" s="2193"/>
      <c r="I394" s="2193"/>
      <c r="J394" s="2193"/>
      <c r="K394" s="2193">
        <f t="shared" si="51"/>
        <v>277.85000000000002</v>
      </c>
      <c r="L394" s="2193"/>
      <c r="M394" s="2193"/>
      <c r="N394" s="2193"/>
      <c r="O394" s="2194">
        <f t="shared" si="52"/>
        <v>54.6</v>
      </c>
      <c r="P394" s="2195"/>
      <c r="Q394" s="2195"/>
      <c r="R394" s="2196"/>
      <c r="S394" s="2193">
        <f t="shared" si="53"/>
        <v>463.1</v>
      </c>
      <c r="T394" s="2193"/>
      <c r="U394" s="2193"/>
      <c r="V394" s="2193"/>
      <c r="W394" s="2193">
        <f t="shared" si="54"/>
        <v>98.28</v>
      </c>
      <c r="X394" s="2193"/>
      <c r="Y394" s="2193"/>
      <c r="Z394" s="2193"/>
      <c r="AA394" s="2193">
        <f t="shared" si="55"/>
        <v>736.1</v>
      </c>
      <c r="AB394" s="2193"/>
      <c r="AC394" s="2193"/>
      <c r="AD394" s="2193"/>
      <c r="AE394" s="2193">
        <f t="shared" si="56"/>
        <v>120.9</v>
      </c>
      <c r="AF394" s="2193"/>
      <c r="AG394" s="2193"/>
      <c r="AH394" s="2193"/>
      <c r="AI394" s="2193">
        <f t="shared" si="57"/>
        <v>877.45</v>
      </c>
      <c r="AJ394" s="2193"/>
      <c r="AK394" s="2193"/>
      <c r="AL394" s="2193"/>
    </row>
    <row r="395" spans="1:41" s="192" customFormat="1" ht="61.5" customHeight="1" x14ac:dyDescent="0.25">
      <c r="A395" s="2288" t="s">
        <v>6758</v>
      </c>
      <c r="B395" s="2288"/>
      <c r="C395" s="2288"/>
      <c r="D395" s="2288"/>
      <c r="E395" s="2288"/>
      <c r="F395" s="2288"/>
      <c r="G395" s="2288"/>
      <c r="H395" s="2288"/>
      <c r="I395" s="2288"/>
      <c r="J395" s="2288"/>
      <c r="K395" s="2288"/>
      <c r="L395" s="2288"/>
      <c r="M395" s="2288"/>
      <c r="N395" s="2288"/>
      <c r="O395" s="2288"/>
      <c r="P395" s="2288"/>
      <c r="Q395" s="2288"/>
      <c r="R395" s="2288"/>
      <c r="S395" s="2288"/>
      <c r="T395" s="2288"/>
      <c r="U395" s="2288"/>
      <c r="V395" s="2288"/>
      <c r="W395" s="2288"/>
      <c r="X395" s="2288"/>
      <c r="Y395" s="2288"/>
      <c r="Z395" s="2288"/>
      <c r="AA395" s="2288"/>
      <c r="AB395" s="2288"/>
      <c r="AC395" s="2288"/>
      <c r="AD395" s="2288"/>
      <c r="AE395" s="2288"/>
      <c r="AF395" s="2288"/>
      <c r="AG395" s="2288"/>
      <c r="AH395" s="2288"/>
      <c r="AI395" s="2288"/>
      <c r="AJ395" s="2288"/>
      <c r="AK395" s="2288"/>
      <c r="AL395" s="2288"/>
    </row>
    <row r="396" spans="1:41" s="192" customFormat="1" ht="14.25" customHeight="1" x14ac:dyDescent="0.25">
      <c r="A396" s="870"/>
      <c r="B396" s="870"/>
      <c r="C396" s="870"/>
      <c r="D396" s="870"/>
      <c r="E396" s="870"/>
      <c r="F396" s="870"/>
      <c r="G396" s="870"/>
      <c r="H396" s="870"/>
      <c r="I396" s="870"/>
      <c r="J396" s="870"/>
      <c r="K396" s="870"/>
      <c r="L396" s="870"/>
      <c r="M396" s="870"/>
      <c r="N396" s="870"/>
      <c r="O396" s="870"/>
      <c r="P396" s="870"/>
      <c r="Q396" s="870"/>
      <c r="R396" s="870"/>
      <c r="S396" s="870"/>
      <c r="T396" s="870"/>
      <c r="U396" s="870"/>
      <c r="V396" s="870"/>
      <c r="W396" s="870"/>
      <c r="X396" s="870"/>
      <c r="Y396" s="870"/>
      <c r="Z396" s="870"/>
      <c r="AA396" s="870"/>
      <c r="AB396" s="870"/>
      <c r="AC396" s="870"/>
      <c r="AD396" s="870"/>
      <c r="AE396" s="870"/>
      <c r="AF396" s="870"/>
      <c r="AG396" s="870"/>
      <c r="AH396" s="870"/>
      <c r="AI396" s="870"/>
      <c r="AJ396" s="870"/>
      <c r="AK396" s="870"/>
      <c r="AL396" s="870"/>
    </row>
    <row r="397" spans="1:41" s="192" customFormat="1" x14ac:dyDescent="0.25">
      <c r="A397" s="887"/>
      <c r="B397" s="519" t="s">
        <v>1950</v>
      </c>
      <c r="G397" s="998"/>
      <c r="K397" s="998"/>
      <c r="O397" s="998"/>
    </row>
    <row r="398" spans="1:41" s="192" customFormat="1" x14ac:dyDescent="0.25">
      <c r="A398" s="887"/>
      <c r="G398" s="998"/>
      <c r="K398" s="998"/>
      <c r="O398" s="998"/>
    </row>
    <row r="399" spans="1:41" s="192" customFormat="1" ht="15.75" x14ac:dyDescent="0.25">
      <c r="A399" s="740" t="s">
        <v>6720</v>
      </c>
      <c r="B399" s="996"/>
      <c r="C399" s="996"/>
      <c r="D399" s="996"/>
      <c r="E399" s="996"/>
      <c r="F399" s="996"/>
      <c r="G399" s="996"/>
      <c r="H399" s="996"/>
      <c r="I399" s="996"/>
      <c r="J399" s="996"/>
      <c r="K399" s="996"/>
      <c r="L399" s="996"/>
      <c r="M399" s="996"/>
      <c r="N399" s="996"/>
      <c r="O399" s="996"/>
      <c r="P399" s="996"/>
      <c r="Q399" s="996"/>
      <c r="R399" s="996"/>
      <c r="S399" s="996"/>
      <c r="T399" s="996"/>
      <c r="U399" s="996"/>
      <c r="V399" s="996"/>
      <c r="W399" s="996"/>
      <c r="X399" s="996"/>
      <c r="Y399" s="996"/>
      <c r="Z399" s="996"/>
      <c r="AA399" s="740"/>
      <c r="AB399" s="740"/>
      <c r="AC399" s="740"/>
      <c r="AD399" s="740"/>
      <c r="AE399" s="740"/>
      <c r="AF399" s="740"/>
      <c r="AG399" s="740"/>
      <c r="AH399" s="740"/>
      <c r="AI399" s="740"/>
      <c r="AJ399" s="740"/>
      <c r="AK399" s="740"/>
      <c r="AL399" s="740"/>
      <c r="AO399" s="743"/>
    </row>
    <row r="400" spans="1:41" s="192" customFormat="1" x14ac:dyDescent="0.25">
      <c r="B400" s="995"/>
      <c r="C400" s="995"/>
      <c r="D400" s="995"/>
      <c r="E400" s="995"/>
      <c r="F400" s="995"/>
      <c r="G400" s="2390" t="s">
        <v>2925</v>
      </c>
      <c r="H400" s="2391"/>
      <c r="I400" s="2391"/>
      <c r="J400" s="2391"/>
      <c r="K400" s="2391"/>
      <c r="L400" s="2391"/>
      <c r="M400" s="2391"/>
      <c r="N400" s="2391"/>
      <c r="O400" s="2391"/>
      <c r="P400" s="2391"/>
      <c r="Q400" s="2391"/>
      <c r="R400" s="2391"/>
      <c r="S400" s="2391"/>
      <c r="T400" s="2391"/>
      <c r="U400" s="2391"/>
      <c r="V400" s="2391"/>
      <c r="W400" s="2391"/>
      <c r="X400" s="2391"/>
      <c r="Y400" s="2391"/>
      <c r="Z400" s="2391"/>
      <c r="AA400" s="2391"/>
      <c r="AB400" s="2391"/>
      <c r="AC400" s="2391"/>
      <c r="AD400" s="2391"/>
      <c r="AE400" s="2391"/>
      <c r="AF400" s="2391"/>
      <c r="AG400" s="2391"/>
      <c r="AH400" s="2391"/>
      <c r="AI400" s="2391"/>
      <c r="AJ400" s="2391"/>
      <c r="AK400" s="2391"/>
      <c r="AL400" s="2392"/>
    </row>
    <row r="401" spans="1:41" s="192" customFormat="1" x14ac:dyDescent="0.25">
      <c r="A401" s="2199" t="s">
        <v>54</v>
      </c>
      <c r="B401" s="2200"/>
      <c r="C401" s="2200"/>
      <c r="D401" s="2200"/>
      <c r="E401" s="2200"/>
      <c r="F401" s="2201"/>
      <c r="G401" s="2197" t="s">
        <v>776</v>
      </c>
      <c r="H401" s="2197"/>
      <c r="I401" s="2197"/>
      <c r="J401" s="2197"/>
      <c r="K401" s="2197" t="s">
        <v>1941</v>
      </c>
      <c r="L401" s="2197"/>
      <c r="M401" s="2197"/>
      <c r="N401" s="2197"/>
      <c r="O401" s="2179" t="s">
        <v>1241</v>
      </c>
      <c r="P401" s="2180"/>
      <c r="Q401" s="2180"/>
      <c r="R401" s="2181"/>
      <c r="S401" s="2198" t="s">
        <v>1942</v>
      </c>
      <c r="T401" s="2198"/>
      <c r="U401" s="2198"/>
      <c r="V401" s="2198"/>
      <c r="W401" s="2197" t="s">
        <v>777</v>
      </c>
      <c r="X401" s="2197"/>
      <c r="Y401" s="2197"/>
      <c r="Z401" s="2197"/>
      <c r="AA401" s="2197" t="s">
        <v>1943</v>
      </c>
      <c r="AB401" s="2197"/>
      <c r="AC401" s="2197"/>
      <c r="AD401" s="2197"/>
      <c r="AE401" s="2198" t="s">
        <v>1242</v>
      </c>
      <c r="AF401" s="2198"/>
      <c r="AG401" s="2198"/>
      <c r="AH401" s="2198"/>
      <c r="AI401" s="2198" t="s">
        <v>1944</v>
      </c>
      <c r="AJ401" s="2198"/>
      <c r="AK401" s="2198"/>
      <c r="AL401" s="2198"/>
    </row>
    <row r="402" spans="1:41" x14ac:dyDescent="0.25">
      <c r="A402" s="2160" t="s">
        <v>1984</v>
      </c>
      <c r="B402" s="2161"/>
      <c r="C402" s="2161"/>
      <c r="D402" s="2161"/>
      <c r="E402" s="2161"/>
      <c r="F402" s="2162"/>
      <c r="G402" s="2188">
        <f t="shared" ref="G402:G412" si="58">ROUND(($M$95-$G$127)*VLOOKUP($A402,$N$123:$AG$133,17,TRUE)*VLOOKUP($A402,$N$146:$AG$156,13,TRUE)*$Q$78,3)</f>
        <v>3.0000000000000001E-3</v>
      </c>
      <c r="H402" s="2188"/>
      <c r="I402" s="2188"/>
      <c r="J402" s="2188"/>
      <c r="K402" s="2188">
        <f t="shared" ref="K402:K412" si="59">ROUND(($M$95-$I$127)*VLOOKUP($A402,$N$123:$AG$133,17,TRUE)*VLOOKUP($A402,$N$146:$AG$156,13,TRUE)*$Q$78,3)</f>
        <v>4.0000000000000001E-3</v>
      </c>
      <c r="L402" s="2188"/>
      <c r="M402" s="2188"/>
      <c r="N402" s="2188"/>
      <c r="O402" s="2189">
        <f t="shared" ref="O402:O412" si="60">ROUND(($M$94-$G$126)*VLOOKUP($A402,$N$123:$AG$133,17,TRUE)*VLOOKUP($A402,$N$146:$AG$156,13,TRUE)*$Q$78,3)</f>
        <v>5.0000000000000001E-3</v>
      </c>
      <c r="P402" s="2190"/>
      <c r="Q402" s="2190"/>
      <c r="R402" s="2191"/>
      <c r="S402" s="2188">
        <f t="shared" ref="S402:S412" si="61">ROUND(($M$94-$I$126)*VLOOKUP($A402,$N$123:$AG$133,17,TRUE)*VLOOKUP($A402,$N$146:$AG$156,13,TRUE)*$Q$78,3)</f>
        <v>6.0000000000000001E-3</v>
      </c>
      <c r="T402" s="2188"/>
      <c r="U402" s="2188"/>
      <c r="V402" s="2188"/>
      <c r="W402" s="2188">
        <f t="shared" ref="W402:W412" si="62">ROUND(($M$93-$G$125)*VLOOKUP($A402,$N$123:$AG$133,17,TRUE)*VLOOKUP($A402,$N$146:$AG$156,13,TRUE)*$Q$78,3)</f>
        <v>8.0000000000000002E-3</v>
      </c>
      <c r="X402" s="2188"/>
      <c r="Y402" s="2188"/>
      <c r="Z402" s="2188"/>
      <c r="AA402" s="2188">
        <f t="shared" ref="AA402:AA412" si="63">ROUND(($M$93-$I$125)*VLOOKUP($A402,$N$123:$AG$133,17,TRUE)*VLOOKUP($A402,$N$146:$AG$156,13,TRUE)*$Q$78,3)</f>
        <v>8.9999999999999993E-3</v>
      </c>
      <c r="AB402" s="2188"/>
      <c r="AC402" s="2188"/>
      <c r="AD402" s="2188"/>
      <c r="AE402" s="2188">
        <f t="shared" ref="AE402:AE412" si="64">ROUND(($M$92-$G$124)*VLOOKUP($A402,$N$123:$AG$133,17,TRUE)*VLOOKUP($A402,$N$146:$AG$156,13,TRUE)*$Q$78,3)</f>
        <v>7.0000000000000001E-3</v>
      </c>
      <c r="AF402" s="2188"/>
      <c r="AG402" s="2188"/>
      <c r="AH402" s="2188"/>
      <c r="AI402" s="2188">
        <f t="shared" ref="AI402:AI412" si="65">ROUND(($M$92-$I$124)*VLOOKUP($A402,$N$123:$AG$133,17,TRUE)*VLOOKUP($A402,$N$146:$AG$156,13,TRUE)*$Q$78,3)</f>
        <v>8.9999999999999993E-3</v>
      </c>
      <c r="AJ402" s="2188"/>
      <c r="AK402" s="2188"/>
      <c r="AL402" s="2188"/>
    </row>
    <row r="403" spans="1:41" x14ac:dyDescent="0.25">
      <c r="A403" s="2160" t="s">
        <v>221</v>
      </c>
      <c r="B403" s="2161"/>
      <c r="C403" s="2161"/>
      <c r="D403" s="2161"/>
      <c r="E403" s="2161"/>
      <c r="F403" s="2162"/>
      <c r="G403" s="2188">
        <f t="shared" si="58"/>
        <v>2E-3</v>
      </c>
      <c r="H403" s="2188"/>
      <c r="I403" s="2188"/>
      <c r="J403" s="2188"/>
      <c r="K403" s="2188">
        <f t="shared" si="59"/>
        <v>2E-3</v>
      </c>
      <c r="L403" s="2188"/>
      <c r="M403" s="2188"/>
      <c r="N403" s="2188"/>
      <c r="O403" s="2189">
        <f t="shared" si="60"/>
        <v>3.0000000000000001E-3</v>
      </c>
      <c r="P403" s="2190"/>
      <c r="Q403" s="2190"/>
      <c r="R403" s="2191"/>
      <c r="S403" s="2188">
        <f t="shared" si="61"/>
        <v>3.0000000000000001E-3</v>
      </c>
      <c r="T403" s="2188"/>
      <c r="U403" s="2188"/>
      <c r="V403" s="2188"/>
      <c r="W403" s="2188">
        <f t="shared" si="62"/>
        <v>4.0000000000000001E-3</v>
      </c>
      <c r="X403" s="2188"/>
      <c r="Y403" s="2188"/>
      <c r="Z403" s="2188"/>
      <c r="AA403" s="2188">
        <f t="shared" si="63"/>
        <v>5.0000000000000001E-3</v>
      </c>
      <c r="AB403" s="2188"/>
      <c r="AC403" s="2188"/>
      <c r="AD403" s="2188"/>
      <c r="AE403" s="2188">
        <f t="shared" si="64"/>
        <v>4.0000000000000001E-3</v>
      </c>
      <c r="AF403" s="2188"/>
      <c r="AG403" s="2188"/>
      <c r="AH403" s="2188"/>
      <c r="AI403" s="2188">
        <f t="shared" si="65"/>
        <v>5.0000000000000001E-3</v>
      </c>
      <c r="AJ403" s="2188"/>
      <c r="AK403" s="2188"/>
      <c r="AL403" s="2188"/>
    </row>
    <row r="404" spans="1:41" x14ac:dyDescent="0.25">
      <c r="A404" s="2160" t="s">
        <v>222</v>
      </c>
      <c r="B404" s="2161"/>
      <c r="C404" s="2161"/>
      <c r="D404" s="2161"/>
      <c r="E404" s="2161"/>
      <c r="F404" s="2162"/>
      <c r="G404" s="2188">
        <f t="shared" si="58"/>
        <v>3.0000000000000001E-3</v>
      </c>
      <c r="H404" s="2188"/>
      <c r="I404" s="2188"/>
      <c r="J404" s="2188"/>
      <c r="K404" s="2188">
        <f t="shared" si="59"/>
        <v>4.0000000000000001E-3</v>
      </c>
      <c r="L404" s="2188"/>
      <c r="M404" s="2188"/>
      <c r="N404" s="2188"/>
      <c r="O404" s="2189">
        <f t="shared" si="60"/>
        <v>5.0000000000000001E-3</v>
      </c>
      <c r="P404" s="2190"/>
      <c r="Q404" s="2190"/>
      <c r="R404" s="2191"/>
      <c r="S404" s="2188">
        <f t="shared" si="61"/>
        <v>6.0000000000000001E-3</v>
      </c>
      <c r="T404" s="2188"/>
      <c r="U404" s="2188"/>
      <c r="V404" s="2188"/>
      <c r="W404" s="2188">
        <f t="shared" si="62"/>
        <v>7.0000000000000001E-3</v>
      </c>
      <c r="X404" s="2188"/>
      <c r="Y404" s="2188"/>
      <c r="Z404" s="2188"/>
      <c r="AA404" s="2188">
        <f t="shared" si="63"/>
        <v>8.0000000000000002E-3</v>
      </c>
      <c r="AB404" s="2188"/>
      <c r="AC404" s="2188"/>
      <c r="AD404" s="2188"/>
      <c r="AE404" s="2188">
        <f t="shared" si="64"/>
        <v>7.0000000000000001E-3</v>
      </c>
      <c r="AF404" s="2188"/>
      <c r="AG404" s="2188"/>
      <c r="AH404" s="2188"/>
      <c r="AI404" s="2188">
        <f t="shared" si="65"/>
        <v>8.0000000000000002E-3</v>
      </c>
      <c r="AJ404" s="2188"/>
      <c r="AK404" s="2188"/>
      <c r="AL404" s="2188"/>
    </row>
    <row r="405" spans="1:41" x14ac:dyDescent="0.25">
      <c r="A405" s="2160" t="s">
        <v>223</v>
      </c>
      <c r="B405" s="2161"/>
      <c r="C405" s="2161"/>
      <c r="D405" s="2161"/>
      <c r="E405" s="2161"/>
      <c r="F405" s="2162"/>
      <c r="G405" s="2188">
        <f t="shared" si="58"/>
        <v>5.0000000000000001E-3</v>
      </c>
      <c r="H405" s="2188"/>
      <c r="I405" s="2188"/>
      <c r="J405" s="2188"/>
      <c r="K405" s="2188">
        <f t="shared" si="59"/>
        <v>6.0000000000000001E-3</v>
      </c>
      <c r="L405" s="2188"/>
      <c r="M405" s="2188"/>
      <c r="N405" s="2188"/>
      <c r="O405" s="2189">
        <f t="shared" si="60"/>
        <v>8.0000000000000002E-3</v>
      </c>
      <c r="P405" s="2190"/>
      <c r="Q405" s="2190"/>
      <c r="R405" s="2191"/>
      <c r="S405" s="2188">
        <f t="shared" si="61"/>
        <v>0.01</v>
      </c>
      <c r="T405" s="2188"/>
      <c r="U405" s="2188"/>
      <c r="V405" s="2188"/>
      <c r="W405" s="2188">
        <f t="shared" si="62"/>
        <v>1.2999999999999999E-2</v>
      </c>
      <c r="X405" s="2188"/>
      <c r="Y405" s="2188"/>
      <c r="Z405" s="2188"/>
      <c r="AA405" s="2188">
        <f t="shared" si="63"/>
        <v>1.4999999999999999E-2</v>
      </c>
      <c r="AB405" s="2188"/>
      <c r="AC405" s="2188"/>
      <c r="AD405" s="2188"/>
      <c r="AE405" s="2188">
        <f t="shared" si="64"/>
        <v>1.2999999999999999E-2</v>
      </c>
      <c r="AF405" s="2188"/>
      <c r="AG405" s="2188"/>
      <c r="AH405" s="2188"/>
      <c r="AI405" s="2188">
        <f t="shared" si="65"/>
        <v>1.4999999999999999E-2</v>
      </c>
      <c r="AJ405" s="2188"/>
      <c r="AK405" s="2188"/>
      <c r="AL405" s="2188"/>
    </row>
    <row r="406" spans="1:41" x14ac:dyDescent="0.25">
      <c r="A406" s="2160" t="s">
        <v>224</v>
      </c>
      <c r="B406" s="2161"/>
      <c r="C406" s="2161"/>
      <c r="D406" s="2161"/>
      <c r="E406" s="2161"/>
      <c r="F406" s="2162"/>
      <c r="G406" s="2188">
        <f t="shared" si="58"/>
        <v>5.0000000000000001E-3</v>
      </c>
      <c r="H406" s="2188"/>
      <c r="I406" s="2188"/>
      <c r="J406" s="2188"/>
      <c r="K406" s="2188">
        <f t="shared" si="59"/>
        <v>7.0000000000000001E-3</v>
      </c>
      <c r="L406" s="2188"/>
      <c r="M406" s="2188"/>
      <c r="N406" s="2188"/>
      <c r="O406" s="2189">
        <f t="shared" si="60"/>
        <v>8.9999999999999993E-3</v>
      </c>
      <c r="P406" s="2190"/>
      <c r="Q406" s="2190"/>
      <c r="R406" s="2191"/>
      <c r="S406" s="2188">
        <f t="shared" si="61"/>
        <v>1.0999999999999999E-2</v>
      </c>
      <c r="T406" s="2188"/>
      <c r="U406" s="2188"/>
      <c r="V406" s="2188"/>
      <c r="W406" s="2188">
        <f t="shared" si="62"/>
        <v>1.4E-2</v>
      </c>
      <c r="X406" s="2188"/>
      <c r="Y406" s="2188"/>
      <c r="Z406" s="2188"/>
      <c r="AA406" s="2188">
        <f t="shared" si="63"/>
        <v>1.6E-2</v>
      </c>
      <c r="AB406" s="2188"/>
      <c r="AC406" s="2188"/>
      <c r="AD406" s="2188"/>
      <c r="AE406" s="2188">
        <f t="shared" si="64"/>
        <v>1.4E-2</v>
      </c>
      <c r="AF406" s="2188"/>
      <c r="AG406" s="2188"/>
      <c r="AH406" s="2188"/>
      <c r="AI406" s="2188">
        <f t="shared" si="65"/>
        <v>1.6E-2</v>
      </c>
      <c r="AJ406" s="2188"/>
      <c r="AK406" s="2188"/>
      <c r="AL406" s="2188"/>
    </row>
    <row r="407" spans="1:41" x14ac:dyDescent="0.25">
      <c r="A407" s="2160" t="s">
        <v>225</v>
      </c>
      <c r="B407" s="2161"/>
      <c r="C407" s="2161"/>
      <c r="D407" s="2161"/>
      <c r="E407" s="2161"/>
      <c r="F407" s="2162"/>
      <c r="G407" s="2188">
        <f t="shared" si="58"/>
        <v>2E-3</v>
      </c>
      <c r="H407" s="2188"/>
      <c r="I407" s="2188"/>
      <c r="J407" s="2188"/>
      <c r="K407" s="2188">
        <f t="shared" si="59"/>
        <v>3.0000000000000001E-3</v>
      </c>
      <c r="L407" s="2188"/>
      <c r="M407" s="2188"/>
      <c r="N407" s="2188"/>
      <c r="O407" s="2189">
        <f t="shared" si="60"/>
        <v>3.0000000000000001E-3</v>
      </c>
      <c r="P407" s="2190"/>
      <c r="Q407" s="2190"/>
      <c r="R407" s="2191"/>
      <c r="S407" s="2188">
        <f t="shared" si="61"/>
        <v>4.0000000000000001E-3</v>
      </c>
      <c r="T407" s="2188"/>
      <c r="U407" s="2188"/>
      <c r="V407" s="2188"/>
      <c r="W407" s="2188">
        <f t="shared" si="62"/>
        <v>5.0000000000000001E-3</v>
      </c>
      <c r="X407" s="2188"/>
      <c r="Y407" s="2188"/>
      <c r="Z407" s="2188"/>
      <c r="AA407" s="2188">
        <f t="shared" si="63"/>
        <v>6.0000000000000001E-3</v>
      </c>
      <c r="AB407" s="2188"/>
      <c r="AC407" s="2188"/>
      <c r="AD407" s="2188"/>
      <c r="AE407" s="2188">
        <f t="shared" si="64"/>
        <v>5.0000000000000001E-3</v>
      </c>
      <c r="AF407" s="2188"/>
      <c r="AG407" s="2188"/>
      <c r="AH407" s="2188"/>
      <c r="AI407" s="2188">
        <f t="shared" si="65"/>
        <v>6.0000000000000001E-3</v>
      </c>
      <c r="AJ407" s="2188"/>
      <c r="AK407" s="2188"/>
      <c r="AL407" s="2188"/>
    </row>
    <row r="408" spans="1:41" x14ac:dyDescent="0.25">
      <c r="A408" s="2160" t="s">
        <v>226</v>
      </c>
      <c r="B408" s="2161"/>
      <c r="C408" s="2161"/>
      <c r="D408" s="2161"/>
      <c r="E408" s="2161"/>
      <c r="F408" s="2162"/>
      <c r="G408" s="2188">
        <f t="shared" si="58"/>
        <v>4.0000000000000001E-3</v>
      </c>
      <c r="H408" s="2188"/>
      <c r="I408" s="2188"/>
      <c r="J408" s="2188"/>
      <c r="K408" s="2188">
        <f t="shared" si="59"/>
        <v>6.0000000000000001E-3</v>
      </c>
      <c r="L408" s="2188"/>
      <c r="M408" s="2188"/>
      <c r="N408" s="2188"/>
      <c r="O408" s="2189">
        <f t="shared" si="60"/>
        <v>8.0000000000000002E-3</v>
      </c>
      <c r="P408" s="2190"/>
      <c r="Q408" s="2190"/>
      <c r="R408" s="2191"/>
      <c r="S408" s="2188">
        <f t="shared" si="61"/>
        <v>0.01</v>
      </c>
      <c r="T408" s="2188"/>
      <c r="U408" s="2188"/>
      <c r="V408" s="2188"/>
      <c r="W408" s="2188">
        <f t="shared" si="62"/>
        <v>1.2E-2</v>
      </c>
      <c r="X408" s="2188"/>
      <c r="Y408" s="2188"/>
      <c r="Z408" s="2188"/>
      <c r="AA408" s="2188">
        <f t="shared" si="63"/>
        <v>1.4E-2</v>
      </c>
      <c r="AB408" s="2188"/>
      <c r="AC408" s="2188"/>
      <c r="AD408" s="2188"/>
      <c r="AE408" s="2188">
        <f t="shared" si="64"/>
        <v>1.2E-2</v>
      </c>
      <c r="AF408" s="2188"/>
      <c r="AG408" s="2188"/>
      <c r="AH408" s="2188"/>
      <c r="AI408" s="2188">
        <f t="shared" si="65"/>
        <v>1.4E-2</v>
      </c>
      <c r="AJ408" s="2188"/>
      <c r="AK408" s="2188"/>
      <c r="AL408" s="2188"/>
    </row>
    <row r="409" spans="1:41" x14ac:dyDescent="0.25">
      <c r="A409" s="2160" t="s">
        <v>55</v>
      </c>
      <c r="B409" s="2161"/>
      <c r="C409" s="2161"/>
      <c r="D409" s="2161"/>
      <c r="E409" s="2161"/>
      <c r="F409" s="2162"/>
      <c r="G409" s="2188">
        <f t="shared" si="58"/>
        <v>2E-3</v>
      </c>
      <c r="H409" s="2188"/>
      <c r="I409" s="2188"/>
      <c r="J409" s="2188"/>
      <c r="K409" s="2188">
        <f t="shared" si="59"/>
        <v>2E-3</v>
      </c>
      <c r="L409" s="2188"/>
      <c r="M409" s="2188"/>
      <c r="N409" s="2188"/>
      <c r="O409" s="2189">
        <f t="shared" si="60"/>
        <v>3.0000000000000001E-3</v>
      </c>
      <c r="P409" s="2190"/>
      <c r="Q409" s="2190"/>
      <c r="R409" s="2191"/>
      <c r="S409" s="2188">
        <f t="shared" si="61"/>
        <v>4.0000000000000001E-3</v>
      </c>
      <c r="T409" s="2188"/>
      <c r="U409" s="2188"/>
      <c r="V409" s="2188"/>
      <c r="W409" s="2188">
        <f t="shared" si="62"/>
        <v>5.0000000000000001E-3</v>
      </c>
      <c r="X409" s="2188"/>
      <c r="Y409" s="2188"/>
      <c r="Z409" s="2188"/>
      <c r="AA409" s="2188">
        <f t="shared" si="63"/>
        <v>5.0000000000000001E-3</v>
      </c>
      <c r="AB409" s="2188"/>
      <c r="AC409" s="2188"/>
      <c r="AD409" s="2188"/>
      <c r="AE409" s="2188">
        <f t="shared" si="64"/>
        <v>5.0000000000000001E-3</v>
      </c>
      <c r="AF409" s="2188"/>
      <c r="AG409" s="2188"/>
      <c r="AH409" s="2188"/>
      <c r="AI409" s="2188">
        <f t="shared" si="65"/>
        <v>5.0000000000000001E-3</v>
      </c>
      <c r="AJ409" s="2188"/>
      <c r="AK409" s="2188"/>
      <c r="AL409" s="2188"/>
    </row>
    <row r="410" spans="1:41" x14ac:dyDescent="0.25">
      <c r="A410" s="2160" t="s">
        <v>227</v>
      </c>
      <c r="B410" s="2161"/>
      <c r="C410" s="2161"/>
      <c r="D410" s="2161"/>
      <c r="E410" s="2161"/>
      <c r="F410" s="2162"/>
      <c r="G410" s="2188">
        <f t="shared" si="58"/>
        <v>4.0000000000000001E-3</v>
      </c>
      <c r="H410" s="2188"/>
      <c r="I410" s="2188"/>
      <c r="J410" s="2188"/>
      <c r="K410" s="2188">
        <f t="shared" si="59"/>
        <v>5.0000000000000001E-3</v>
      </c>
      <c r="L410" s="2188"/>
      <c r="M410" s="2188"/>
      <c r="N410" s="2188"/>
      <c r="O410" s="2189">
        <f t="shared" si="60"/>
        <v>7.0000000000000001E-3</v>
      </c>
      <c r="P410" s="2190"/>
      <c r="Q410" s="2190"/>
      <c r="R410" s="2191"/>
      <c r="S410" s="2188">
        <f t="shared" si="61"/>
        <v>8.0000000000000002E-3</v>
      </c>
      <c r="T410" s="2188"/>
      <c r="U410" s="2188"/>
      <c r="V410" s="2188"/>
      <c r="W410" s="2188">
        <f t="shared" si="62"/>
        <v>1.0999999999999999E-2</v>
      </c>
      <c r="X410" s="2188"/>
      <c r="Y410" s="2188"/>
      <c r="Z410" s="2188"/>
      <c r="AA410" s="2188">
        <f t="shared" si="63"/>
        <v>1.2E-2</v>
      </c>
      <c r="AB410" s="2188"/>
      <c r="AC410" s="2188"/>
      <c r="AD410" s="2188"/>
      <c r="AE410" s="2188">
        <f t="shared" si="64"/>
        <v>1.0999999999999999E-2</v>
      </c>
      <c r="AF410" s="2188"/>
      <c r="AG410" s="2188"/>
      <c r="AH410" s="2188"/>
      <c r="AI410" s="2188">
        <f t="shared" si="65"/>
        <v>1.2E-2</v>
      </c>
      <c r="AJ410" s="2188"/>
      <c r="AK410" s="2188"/>
      <c r="AL410" s="2188"/>
    </row>
    <row r="411" spans="1:41" x14ac:dyDescent="0.25">
      <c r="A411" s="2160" t="s">
        <v>228</v>
      </c>
      <c r="B411" s="2161"/>
      <c r="C411" s="2161"/>
      <c r="D411" s="2161"/>
      <c r="E411" s="2161"/>
      <c r="F411" s="2162"/>
      <c r="G411" s="2188">
        <f t="shared" si="58"/>
        <v>4.0000000000000001E-3</v>
      </c>
      <c r="H411" s="2188"/>
      <c r="I411" s="2188"/>
      <c r="J411" s="2188"/>
      <c r="K411" s="2188">
        <f t="shared" si="59"/>
        <v>6.0000000000000001E-3</v>
      </c>
      <c r="L411" s="2188"/>
      <c r="M411" s="2188"/>
      <c r="N411" s="2188"/>
      <c r="O411" s="2189">
        <f t="shared" si="60"/>
        <v>7.0000000000000001E-3</v>
      </c>
      <c r="P411" s="2190"/>
      <c r="Q411" s="2190"/>
      <c r="R411" s="2191"/>
      <c r="S411" s="2188">
        <f t="shared" si="61"/>
        <v>8.9999999999999993E-3</v>
      </c>
      <c r="T411" s="2188"/>
      <c r="U411" s="2188"/>
      <c r="V411" s="2188"/>
      <c r="W411" s="2188">
        <f t="shared" si="62"/>
        <v>1.2E-2</v>
      </c>
      <c r="X411" s="2188"/>
      <c r="Y411" s="2188"/>
      <c r="Z411" s="2188"/>
      <c r="AA411" s="2188">
        <f t="shared" si="63"/>
        <v>1.4E-2</v>
      </c>
      <c r="AB411" s="2188"/>
      <c r="AC411" s="2188"/>
      <c r="AD411" s="2188"/>
      <c r="AE411" s="2188">
        <f t="shared" si="64"/>
        <v>1.2E-2</v>
      </c>
      <c r="AF411" s="2188"/>
      <c r="AG411" s="2188"/>
      <c r="AH411" s="2188"/>
      <c r="AI411" s="2188">
        <f t="shared" si="65"/>
        <v>1.4E-2</v>
      </c>
      <c r="AJ411" s="2188"/>
      <c r="AK411" s="2188"/>
      <c r="AL411" s="2188"/>
    </row>
    <row r="412" spans="1:41" x14ac:dyDescent="0.25">
      <c r="A412" s="2160" t="s">
        <v>229</v>
      </c>
      <c r="B412" s="2161"/>
      <c r="C412" s="2161"/>
      <c r="D412" s="2161"/>
      <c r="E412" s="2161"/>
      <c r="F412" s="2162"/>
      <c r="G412" s="2188">
        <f t="shared" si="58"/>
        <v>1E-3</v>
      </c>
      <c r="H412" s="2188"/>
      <c r="I412" s="2188"/>
      <c r="J412" s="2188"/>
      <c r="K412" s="2188">
        <f t="shared" si="59"/>
        <v>1E-3</v>
      </c>
      <c r="L412" s="2188"/>
      <c r="M412" s="2188"/>
      <c r="N412" s="2188"/>
      <c r="O412" s="2189">
        <f t="shared" si="60"/>
        <v>1E-3</v>
      </c>
      <c r="P412" s="2190"/>
      <c r="Q412" s="2190"/>
      <c r="R412" s="2191"/>
      <c r="S412" s="2188">
        <f t="shared" si="61"/>
        <v>1E-3</v>
      </c>
      <c r="T412" s="2188"/>
      <c r="U412" s="2188"/>
      <c r="V412" s="2188"/>
      <c r="W412" s="2188">
        <f t="shared" si="62"/>
        <v>2E-3</v>
      </c>
      <c r="X412" s="2188"/>
      <c r="Y412" s="2188"/>
      <c r="Z412" s="2188"/>
      <c r="AA412" s="2188">
        <f t="shared" si="63"/>
        <v>2E-3</v>
      </c>
      <c r="AB412" s="2188"/>
      <c r="AC412" s="2188"/>
      <c r="AD412" s="2188"/>
      <c r="AE412" s="2188">
        <f t="shared" si="64"/>
        <v>2E-3</v>
      </c>
      <c r="AF412" s="2188"/>
      <c r="AG412" s="2188"/>
      <c r="AH412" s="2188"/>
      <c r="AI412" s="2188">
        <f t="shared" si="65"/>
        <v>2E-3</v>
      </c>
      <c r="AJ412" s="2188"/>
      <c r="AK412" s="2188"/>
      <c r="AL412" s="2188"/>
    </row>
    <row r="414" spans="1:41" ht="30.95" customHeight="1" x14ac:dyDescent="0.25">
      <c r="A414" s="2207" t="s">
        <v>4378</v>
      </c>
      <c r="B414" s="2207"/>
      <c r="C414" s="2207"/>
      <c r="D414" s="2207"/>
      <c r="E414" s="2207"/>
      <c r="F414" s="2207"/>
      <c r="G414" s="2207"/>
      <c r="H414" s="2207"/>
      <c r="I414" s="2207"/>
      <c r="J414" s="2207"/>
      <c r="K414" s="2207"/>
      <c r="L414" s="2207"/>
      <c r="M414" s="2207"/>
      <c r="N414" s="2207"/>
      <c r="O414" s="2207"/>
      <c r="P414" s="2207"/>
      <c r="Q414" s="2207"/>
      <c r="R414" s="2207"/>
      <c r="S414" s="2207"/>
      <c r="T414" s="2207"/>
      <c r="U414" s="2207"/>
      <c r="V414" s="2207"/>
      <c r="W414" s="2207"/>
      <c r="X414" s="2207"/>
      <c r="Y414" s="2207"/>
      <c r="Z414" s="2207"/>
      <c r="AA414" s="2207"/>
      <c r="AB414" s="2207"/>
      <c r="AC414" s="2207"/>
      <c r="AD414" s="2207"/>
      <c r="AE414" s="2207"/>
      <c r="AF414" s="2207"/>
      <c r="AG414" s="2207"/>
      <c r="AH414" s="2207"/>
      <c r="AI414" s="2207"/>
      <c r="AJ414" s="2207"/>
      <c r="AK414" s="2207"/>
      <c r="AL414" s="2207"/>
    </row>
    <row r="416" spans="1:41" s="192" customFormat="1" ht="15.75" x14ac:dyDescent="0.25">
      <c r="A416" s="740" t="s">
        <v>6721</v>
      </c>
      <c r="B416" s="996"/>
      <c r="C416" s="996"/>
      <c r="D416" s="996"/>
      <c r="E416" s="996"/>
      <c r="F416" s="996"/>
      <c r="G416" s="996"/>
      <c r="H416" s="996"/>
      <c r="I416" s="996"/>
      <c r="J416" s="996"/>
      <c r="K416" s="996"/>
      <c r="L416" s="996"/>
      <c r="M416" s="996"/>
      <c r="N416" s="996"/>
      <c r="O416" s="996"/>
      <c r="P416" s="996"/>
      <c r="Q416" s="996"/>
      <c r="R416" s="996"/>
      <c r="S416" s="996"/>
      <c r="T416" s="996"/>
      <c r="U416" s="996"/>
      <c r="V416" s="996"/>
      <c r="W416" s="996"/>
      <c r="X416" s="996"/>
      <c r="Y416" s="996"/>
      <c r="Z416" s="996"/>
      <c r="AA416" s="740"/>
      <c r="AB416" s="740"/>
      <c r="AC416" s="740"/>
      <c r="AD416" s="740"/>
      <c r="AE416" s="740"/>
      <c r="AF416" s="740"/>
      <c r="AG416" s="740"/>
      <c r="AH416" s="740"/>
      <c r="AI416" s="740"/>
      <c r="AJ416" s="740"/>
      <c r="AK416" s="740"/>
      <c r="AL416" s="740"/>
      <c r="AO416" s="743"/>
    </row>
    <row r="417" spans="1:38" x14ac:dyDescent="0.25">
      <c r="B417" s="294"/>
      <c r="C417" s="294"/>
      <c r="D417" s="294"/>
      <c r="E417" s="294"/>
      <c r="F417" s="294"/>
      <c r="G417" s="2407" t="s">
        <v>2919</v>
      </c>
      <c r="H417" s="2408"/>
      <c r="I417" s="2408"/>
      <c r="J417" s="2408"/>
      <c r="K417" s="2408"/>
      <c r="L417" s="2408"/>
      <c r="M417" s="2408"/>
      <c r="N417" s="2408"/>
      <c r="O417" s="2408"/>
      <c r="P417" s="2408"/>
      <c r="Q417" s="2408"/>
      <c r="R417" s="2408"/>
      <c r="S417" s="2408"/>
      <c r="T417" s="2408"/>
      <c r="U417" s="2408"/>
      <c r="V417" s="2408"/>
      <c r="W417" s="2408"/>
      <c r="X417" s="2408"/>
      <c r="Y417" s="2408"/>
      <c r="Z417" s="2408"/>
      <c r="AA417" s="2408"/>
      <c r="AB417" s="2408"/>
      <c r="AC417" s="2408"/>
      <c r="AD417" s="2408"/>
      <c r="AE417" s="2408"/>
      <c r="AF417" s="2408"/>
      <c r="AG417" s="2408"/>
      <c r="AH417" s="2408"/>
      <c r="AI417" s="2408"/>
      <c r="AJ417" s="2408"/>
      <c r="AK417" s="2408"/>
      <c r="AL417" s="2409"/>
    </row>
    <row r="418" spans="1:38" x14ac:dyDescent="0.25">
      <c r="A418" s="2173" t="s">
        <v>54</v>
      </c>
      <c r="B418" s="2174"/>
      <c r="C418" s="2174"/>
      <c r="D418" s="2174"/>
      <c r="E418" s="2174"/>
      <c r="F418" s="2175"/>
      <c r="G418" s="2382" t="s">
        <v>776</v>
      </c>
      <c r="H418" s="2383"/>
      <c r="I418" s="2383"/>
      <c r="J418" s="2384"/>
      <c r="K418" s="2382" t="s">
        <v>1941</v>
      </c>
      <c r="L418" s="2383"/>
      <c r="M418" s="2383"/>
      <c r="N418" s="2384"/>
      <c r="O418" s="2331" t="s">
        <v>1241</v>
      </c>
      <c r="P418" s="2332"/>
      <c r="Q418" s="2332"/>
      <c r="R418" s="2333"/>
      <c r="S418" s="2331" t="s">
        <v>1942</v>
      </c>
      <c r="T418" s="2332"/>
      <c r="U418" s="2332"/>
      <c r="V418" s="2333"/>
      <c r="W418" s="2382" t="s">
        <v>777</v>
      </c>
      <c r="X418" s="2383"/>
      <c r="Y418" s="2383"/>
      <c r="Z418" s="2384"/>
      <c r="AA418" s="2382" t="s">
        <v>1943</v>
      </c>
      <c r="AB418" s="2383"/>
      <c r="AC418" s="2383"/>
      <c r="AD418" s="2384"/>
      <c r="AE418" s="2331" t="s">
        <v>1242</v>
      </c>
      <c r="AF418" s="2332"/>
      <c r="AG418" s="2332"/>
      <c r="AH418" s="2333"/>
      <c r="AI418" s="2331" t="s">
        <v>1944</v>
      </c>
      <c r="AJ418" s="2332"/>
      <c r="AK418" s="2332"/>
      <c r="AL418" s="2333"/>
    </row>
    <row r="419" spans="1:38" x14ac:dyDescent="0.25">
      <c r="A419" s="2160" t="s">
        <v>1984</v>
      </c>
      <c r="B419" s="2161"/>
      <c r="C419" s="2161"/>
      <c r="D419" s="2161"/>
      <c r="E419" s="2161"/>
      <c r="F419" s="2162"/>
      <c r="G419" s="2188">
        <f t="shared" ref="G419:G429" si="66">G352/$Q$73</f>
        <v>1.0204081632653062E-3</v>
      </c>
      <c r="H419" s="2188"/>
      <c r="I419" s="2188"/>
      <c r="J419" s="2188"/>
      <c r="K419" s="2188">
        <f t="shared" ref="K419:K429" si="67">K352/$Q$73</f>
        <v>2.0408163265306124E-3</v>
      </c>
      <c r="L419" s="2188"/>
      <c r="M419" s="2188"/>
      <c r="N419" s="2188"/>
      <c r="O419" s="2189">
        <f t="shared" ref="O419:O429" si="68">O352/$Q$73</f>
        <v>3.0612244897959186E-3</v>
      </c>
      <c r="P419" s="2190"/>
      <c r="Q419" s="2190"/>
      <c r="R419" s="2191"/>
      <c r="S419" s="2188">
        <f t="shared" ref="S419:S429" si="69">S352/$Q$73</f>
        <v>4.0816326530612249E-3</v>
      </c>
      <c r="T419" s="2188"/>
      <c r="U419" s="2188"/>
      <c r="V419" s="2188"/>
      <c r="W419" s="2188">
        <f t="shared" ref="W419:W429" si="70">W352/$Q$73</f>
        <v>5.1020408163265311E-3</v>
      </c>
      <c r="X419" s="2188"/>
      <c r="Y419" s="2188"/>
      <c r="Z419" s="2188"/>
      <c r="AA419" s="2188">
        <f t="shared" ref="AA419:AA429" si="71">AA352/$Q$73</f>
        <v>6.1224489795918373E-3</v>
      </c>
      <c r="AB419" s="2188"/>
      <c r="AC419" s="2188"/>
      <c r="AD419" s="2188"/>
      <c r="AE419" s="2188">
        <f t="shared" ref="AE419:AE429" si="72">AE352/$Q$73</f>
        <v>7.1428571428571435E-3</v>
      </c>
      <c r="AF419" s="2188"/>
      <c r="AG419" s="2188"/>
      <c r="AH419" s="2188"/>
      <c r="AI419" s="2188">
        <f t="shared" ref="AI419:AI429" si="73">AI352/$Q$73</f>
        <v>8.1632653061224497E-3</v>
      </c>
      <c r="AJ419" s="2188"/>
      <c r="AK419" s="2188"/>
      <c r="AL419" s="2188"/>
    </row>
    <row r="420" spans="1:38" x14ac:dyDescent="0.25">
      <c r="A420" s="2160" t="s">
        <v>221</v>
      </c>
      <c r="B420" s="2161"/>
      <c r="C420" s="2161"/>
      <c r="D420" s="2161"/>
      <c r="E420" s="2161"/>
      <c r="F420" s="2162"/>
      <c r="G420" s="2188">
        <f t="shared" si="66"/>
        <v>1.0204081632653062E-3</v>
      </c>
      <c r="H420" s="2188"/>
      <c r="I420" s="2188"/>
      <c r="J420" s="2188"/>
      <c r="K420" s="2188">
        <f t="shared" si="67"/>
        <v>1.0204081632653062E-3</v>
      </c>
      <c r="L420" s="2188"/>
      <c r="M420" s="2188"/>
      <c r="N420" s="2188"/>
      <c r="O420" s="2189">
        <f t="shared" si="68"/>
        <v>2.0408163265306124E-3</v>
      </c>
      <c r="P420" s="2190"/>
      <c r="Q420" s="2190"/>
      <c r="R420" s="2191"/>
      <c r="S420" s="2188">
        <f t="shared" si="69"/>
        <v>2.0408163265306124E-3</v>
      </c>
      <c r="T420" s="2188"/>
      <c r="U420" s="2188"/>
      <c r="V420" s="2188"/>
      <c r="W420" s="2188">
        <f t="shared" si="70"/>
        <v>3.0612244897959186E-3</v>
      </c>
      <c r="X420" s="2188"/>
      <c r="Y420" s="2188"/>
      <c r="Z420" s="2188"/>
      <c r="AA420" s="2188">
        <f t="shared" si="71"/>
        <v>4.0816326530612249E-3</v>
      </c>
      <c r="AB420" s="2188"/>
      <c r="AC420" s="2188"/>
      <c r="AD420" s="2188"/>
      <c r="AE420" s="2188">
        <f t="shared" si="72"/>
        <v>4.0816326530612249E-3</v>
      </c>
      <c r="AF420" s="2188"/>
      <c r="AG420" s="2188"/>
      <c r="AH420" s="2188"/>
      <c r="AI420" s="2188">
        <f t="shared" si="73"/>
        <v>4.0816326530612249E-3</v>
      </c>
      <c r="AJ420" s="2188"/>
      <c r="AK420" s="2188"/>
      <c r="AL420" s="2188"/>
    </row>
    <row r="421" spans="1:38" x14ac:dyDescent="0.25">
      <c r="A421" s="2160" t="s">
        <v>222</v>
      </c>
      <c r="B421" s="2161"/>
      <c r="C421" s="2161"/>
      <c r="D421" s="2161"/>
      <c r="E421" s="2161"/>
      <c r="F421" s="2162"/>
      <c r="G421" s="2188">
        <f t="shared" si="66"/>
        <v>1.0204081632653062E-3</v>
      </c>
      <c r="H421" s="2188"/>
      <c r="I421" s="2188"/>
      <c r="J421" s="2188"/>
      <c r="K421" s="2188">
        <f t="shared" si="67"/>
        <v>2.0408163265306124E-3</v>
      </c>
      <c r="L421" s="2188"/>
      <c r="M421" s="2188"/>
      <c r="N421" s="2188"/>
      <c r="O421" s="2189">
        <f t="shared" si="68"/>
        <v>3.0612244897959186E-3</v>
      </c>
      <c r="P421" s="2190"/>
      <c r="Q421" s="2190"/>
      <c r="R421" s="2191"/>
      <c r="S421" s="2188">
        <f t="shared" si="69"/>
        <v>4.0816326530612249E-3</v>
      </c>
      <c r="T421" s="2188"/>
      <c r="U421" s="2188"/>
      <c r="V421" s="2188"/>
      <c r="W421" s="2188">
        <f t="shared" si="70"/>
        <v>5.1020408163265311E-3</v>
      </c>
      <c r="X421" s="2188"/>
      <c r="Y421" s="2188"/>
      <c r="Z421" s="2188"/>
      <c r="AA421" s="2188">
        <f t="shared" si="71"/>
        <v>6.1224489795918373E-3</v>
      </c>
      <c r="AB421" s="2188"/>
      <c r="AC421" s="2188"/>
      <c r="AD421" s="2188"/>
      <c r="AE421" s="2188">
        <f t="shared" si="72"/>
        <v>6.1224489795918373E-3</v>
      </c>
      <c r="AF421" s="2188"/>
      <c r="AG421" s="2188"/>
      <c r="AH421" s="2188"/>
      <c r="AI421" s="2188">
        <f t="shared" si="73"/>
        <v>7.1428571428571435E-3</v>
      </c>
      <c r="AJ421" s="2188"/>
      <c r="AK421" s="2188"/>
      <c r="AL421" s="2188"/>
    </row>
    <row r="422" spans="1:38" x14ac:dyDescent="0.25">
      <c r="A422" s="2160" t="s">
        <v>223</v>
      </c>
      <c r="B422" s="2161"/>
      <c r="C422" s="2161"/>
      <c r="D422" s="2161"/>
      <c r="E422" s="2161"/>
      <c r="F422" s="2162"/>
      <c r="G422" s="2188">
        <f t="shared" si="66"/>
        <v>2.0408163265306124E-3</v>
      </c>
      <c r="H422" s="2188"/>
      <c r="I422" s="2188"/>
      <c r="J422" s="2188"/>
      <c r="K422" s="2188">
        <f t="shared" si="67"/>
        <v>4.0816326530612249E-3</v>
      </c>
      <c r="L422" s="2188"/>
      <c r="M422" s="2188"/>
      <c r="N422" s="2188"/>
      <c r="O422" s="2189">
        <f t="shared" si="68"/>
        <v>5.1020408163265311E-3</v>
      </c>
      <c r="P422" s="2190"/>
      <c r="Q422" s="2190"/>
      <c r="R422" s="2191"/>
      <c r="S422" s="2188">
        <f t="shared" si="69"/>
        <v>7.1428571428571435E-3</v>
      </c>
      <c r="T422" s="2188"/>
      <c r="U422" s="2188"/>
      <c r="V422" s="2188"/>
      <c r="W422" s="2188">
        <f t="shared" si="70"/>
        <v>9.1836734693877542E-3</v>
      </c>
      <c r="X422" s="2188"/>
      <c r="Y422" s="2188"/>
      <c r="Z422" s="2188"/>
      <c r="AA422" s="2188">
        <f t="shared" si="71"/>
        <v>1.1224489795918367E-2</v>
      </c>
      <c r="AB422" s="2188"/>
      <c r="AC422" s="2188"/>
      <c r="AD422" s="2188"/>
      <c r="AE422" s="2188">
        <f t="shared" si="72"/>
        <v>1.1224489795918367E-2</v>
      </c>
      <c r="AF422" s="2188"/>
      <c r="AG422" s="2188"/>
      <c r="AH422" s="2188"/>
      <c r="AI422" s="2188">
        <f t="shared" si="73"/>
        <v>1.3265306122448979E-2</v>
      </c>
      <c r="AJ422" s="2188"/>
      <c r="AK422" s="2188"/>
      <c r="AL422" s="2188"/>
    </row>
    <row r="423" spans="1:38" x14ac:dyDescent="0.25">
      <c r="A423" s="2160" t="s">
        <v>224</v>
      </c>
      <c r="B423" s="2161"/>
      <c r="C423" s="2161"/>
      <c r="D423" s="2161"/>
      <c r="E423" s="2161"/>
      <c r="F423" s="2162"/>
      <c r="G423" s="2188">
        <f t="shared" si="66"/>
        <v>2.0408163265306124E-3</v>
      </c>
      <c r="H423" s="2188"/>
      <c r="I423" s="2188"/>
      <c r="J423" s="2188"/>
      <c r="K423" s="2188">
        <f t="shared" si="67"/>
        <v>4.0816326530612249E-3</v>
      </c>
      <c r="L423" s="2188"/>
      <c r="M423" s="2188"/>
      <c r="N423" s="2188"/>
      <c r="O423" s="2189">
        <f t="shared" si="68"/>
        <v>5.1020408163265311E-3</v>
      </c>
      <c r="P423" s="2190"/>
      <c r="Q423" s="2190"/>
      <c r="R423" s="2191"/>
      <c r="S423" s="2188">
        <f t="shared" si="69"/>
        <v>7.1428571428571435E-3</v>
      </c>
      <c r="T423" s="2188"/>
      <c r="U423" s="2188"/>
      <c r="V423" s="2188"/>
      <c r="W423" s="2188">
        <f t="shared" si="70"/>
        <v>1.0204081632653062E-2</v>
      </c>
      <c r="X423" s="2188"/>
      <c r="Y423" s="2188"/>
      <c r="Z423" s="2188"/>
      <c r="AA423" s="2188">
        <f t="shared" si="71"/>
        <v>1.2244897959183675E-2</v>
      </c>
      <c r="AB423" s="2188"/>
      <c r="AC423" s="2188"/>
      <c r="AD423" s="2188"/>
      <c r="AE423" s="2188">
        <f t="shared" si="72"/>
        <v>1.2244897959183675E-2</v>
      </c>
      <c r="AF423" s="2188"/>
      <c r="AG423" s="2188"/>
      <c r="AH423" s="2188"/>
      <c r="AI423" s="2188">
        <f t="shared" si="73"/>
        <v>1.4285714285714287E-2</v>
      </c>
      <c r="AJ423" s="2188"/>
      <c r="AK423" s="2188"/>
      <c r="AL423" s="2188"/>
    </row>
    <row r="424" spans="1:38" x14ac:dyDescent="0.25">
      <c r="A424" s="2160" t="s">
        <v>225</v>
      </c>
      <c r="B424" s="2161"/>
      <c r="C424" s="2161"/>
      <c r="D424" s="2161"/>
      <c r="E424" s="2161"/>
      <c r="F424" s="2162"/>
      <c r="G424" s="2188">
        <f t="shared" si="66"/>
        <v>1.0204081632653062E-3</v>
      </c>
      <c r="H424" s="2188"/>
      <c r="I424" s="2188"/>
      <c r="J424" s="2188"/>
      <c r="K424" s="2188">
        <f t="shared" si="67"/>
        <v>2.0408163265306124E-3</v>
      </c>
      <c r="L424" s="2188"/>
      <c r="M424" s="2188"/>
      <c r="N424" s="2188"/>
      <c r="O424" s="2189">
        <f t="shared" si="68"/>
        <v>2.0408163265306124E-3</v>
      </c>
      <c r="P424" s="2190"/>
      <c r="Q424" s="2190"/>
      <c r="R424" s="2191"/>
      <c r="S424" s="2188">
        <f t="shared" si="69"/>
        <v>3.0612244897959186E-3</v>
      </c>
      <c r="T424" s="2188"/>
      <c r="U424" s="2188"/>
      <c r="V424" s="2188"/>
      <c r="W424" s="2188">
        <f t="shared" si="70"/>
        <v>4.0816326530612249E-3</v>
      </c>
      <c r="X424" s="2188"/>
      <c r="Y424" s="2188"/>
      <c r="Z424" s="2188"/>
      <c r="AA424" s="2188">
        <f t="shared" si="71"/>
        <v>4.0816326530612249E-3</v>
      </c>
      <c r="AB424" s="2188"/>
      <c r="AC424" s="2188"/>
      <c r="AD424" s="2188"/>
      <c r="AE424" s="2188">
        <f t="shared" si="72"/>
        <v>4.0816326530612249E-3</v>
      </c>
      <c r="AF424" s="2188"/>
      <c r="AG424" s="2188"/>
      <c r="AH424" s="2188"/>
      <c r="AI424" s="2188">
        <f t="shared" si="73"/>
        <v>5.1020408163265311E-3</v>
      </c>
      <c r="AJ424" s="2188"/>
      <c r="AK424" s="2188"/>
      <c r="AL424" s="2188"/>
    </row>
    <row r="425" spans="1:38" x14ac:dyDescent="0.25">
      <c r="A425" s="2160" t="s">
        <v>226</v>
      </c>
      <c r="B425" s="2161"/>
      <c r="C425" s="2161"/>
      <c r="D425" s="2161"/>
      <c r="E425" s="2161"/>
      <c r="F425" s="2162"/>
      <c r="G425" s="2188">
        <f t="shared" si="66"/>
        <v>2.0408163265306124E-3</v>
      </c>
      <c r="H425" s="2188"/>
      <c r="I425" s="2188"/>
      <c r="J425" s="2188"/>
      <c r="K425" s="2188">
        <f t="shared" si="67"/>
        <v>4.0816326530612249E-3</v>
      </c>
      <c r="L425" s="2188"/>
      <c r="M425" s="2188"/>
      <c r="N425" s="2188"/>
      <c r="O425" s="2189">
        <f t="shared" si="68"/>
        <v>5.1020408163265311E-3</v>
      </c>
      <c r="P425" s="2190"/>
      <c r="Q425" s="2190"/>
      <c r="R425" s="2191"/>
      <c r="S425" s="2188">
        <f t="shared" si="69"/>
        <v>7.1428571428571435E-3</v>
      </c>
      <c r="T425" s="2188"/>
      <c r="U425" s="2188"/>
      <c r="V425" s="2188"/>
      <c r="W425" s="2188">
        <f t="shared" si="70"/>
        <v>9.1836734693877542E-3</v>
      </c>
      <c r="X425" s="2188"/>
      <c r="Y425" s="2188"/>
      <c r="Z425" s="2188"/>
      <c r="AA425" s="2188">
        <f t="shared" si="71"/>
        <v>1.0204081632653062E-2</v>
      </c>
      <c r="AB425" s="2188"/>
      <c r="AC425" s="2188"/>
      <c r="AD425" s="2188"/>
      <c r="AE425" s="2188">
        <f t="shared" si="72"/>
        <v>1.1224489795918367E-2</v>
      </c>
      <c r="AF425" s="2188"/>
      <c r="AG425" s="2188"/>
      <c r="AH425" s="2188"/>
      <c r="AI425" s="2188">
        <f t="shared" si="73"/>
        <v>1.2244897959183675E-2</v>
      </c>
      <c r="AJ425" s="2188"/>
      <c r="AK425" s="2188"/>
      <c r="AL425" s="2188"/>
    </row>
    <row r="426" spans="1:38" x14ac:dyDescent="0.25">
      <c r="A426" s="2160" t="s">
        <v>55</v>
      </c>
      <c r="B426" s="2161"/>
      <c r="C426" s="2161"/>
      <c r="D426" s="2161"/>
      <c r="E426" s="2161"/>
      <c r="F426" s="2162"/>
      <c r="G426" s="2188">
        <f t="shared" si="66"/>
        <v>1.0204081632653062E-3</v>
      </c>
      <c r="H426" s="2188"/>
      <c r="I426" s="2188"/>
      <c r="J426" s="2188"/>
      <c r="K426" s="2188">
        <f t="shared" si="67"/>
        <v>1.0204081632653062E-3</v>
      </c>
      <c r="L426" s="2188"/>
      <c r="M426" s="2188"/>
      <c r="N426" s="2188"/>
      <c r="O426" s="2189">
        <f t="shared" si="68"/>
        <v>2.0408163265306124E-3</v>
      </c>
      <c r="P426" s="2190"/>
      <c r="Q426" s="2190"/>
      <c r="R426" s="2191"/>
      <c r="S426" s="2188">
        <f t="shared" si="69"/>
        <v>2.0408163265306124E-3</v>
      </c>
      <c r="T426" s="2188"/>
      <c r="U426" s="2188"/>
      <c r="V426" s="2188"/>
      <c r="W426" s="2188">
        <f t="shared" si="70"/>
        <v>3.0612244897959186E-3</v>
      </c>
      <c r="X426" s="2188"/>
      <c r="Y426" s="2188"/>
      <c r="Z426" s="2188"/>
      <c r="AA426" s="2188">
        <f t="shared" si="71"/>
        <v>4.0816326530612249E-3</v>
      </c>
      <c r="AB426" s="2188"/>
      <c r="AC426" s="2188"/>
      <c r="AD426" s="2188"/>
      <c r="AE426" s="2188">
        <f t="shared" si="72"/>
        <v>4.0816326530612249E-3</v>
      </c>
      <c r="AF426" s="2188"/>
      <c r="AG426" s="2188"/>
      <c r="AH426" s="2188"/>
      <c r="AI426" s="2188">
        <f t="shared" si="73"/>
        <v>5.1020408163265311E-3</v>
      </c>
      <c r="AJ426" s="2188"/>
      <c r="AK426" s="2188"/>
      <c r="AL426" s="2188"/>
    </row>
    <row r="427" spans="1:38" x14ac:dyDescent="0.25">
      <c r="A427" s="2160" t="s">
        <v>227</v>
      </c>
      <c r="B427" s="2161"/>
      <c r="C427" s="2161"/>
      <c r="D427" s="2161"/>
      <c r="E427" s="2161"/>
      <c r="F427" s="2162"/>
      <c r="G427" s="2188">
        <f t="shared" si="66"/>
        <v>2.0408163265306124E-3</v>
      </c>
      <c r="H427" s="2188"/>
      <c r="I427" s="2188"/>
      <c r="J427" s="2188"/>
      <c r="K427" s="2188">
        <f t="shared" si="67"/>
        <v>3.0612244897959186E-3</v>
      </c>
      <c r="L427" s="2188"/>
      <c r="M427" s="2188"/>
      <c r="N427" s="2188"/>
      <c r="O427" s="2189">
        <f t="shared" si="68"/>
        <v>4.0816326530612249E-3</v>
      </c>
      <c r="P427" s="2190"/>
      <c r="Q427" s="2190"/>
      <c r="R427" s="2191"/>
      <c r="S427" s="2188">
        <f t="shared" si="69"/>
        <v>6.1224489795918373E-3</v>
      </c>
      <c r="T427" s="2188"/>
      <c r="U427" s="2188"/>
      <c r="V427" s="2188"/>
      <c r="W427" s="2188">
        <f t="shared" si="70"/>
        <v>8.1632653061224497E-3</v>
      </c>
      <c r="X427" s="2188"/>
      <c r="Y427" s="2188"/>
      <c r="Z427" s="2188"/>
      <c r="AA427" s="2188">
        <f t="shared" si="71"/>
        <v>9.1836734693877542E-3</v>
      </c>
      <c r="AB427" s="2188"/>
      <c r="AC427" s="2188"/>
      <c r="AD427" s="2188"/>
      <c r="AE427" s="2188">
        <f t="shared" si="72"/>
        <v>9.1836734693877542E-3</v>
      </c>
      <c r="AF427" s="2188"/>
      <c r="AG427" s="2188"/>
      <c r="AH427" s="2188"/>
      <c r="AI427" s="2188">
        <f t="shared" si="73"/>
        <v>1.1224489795918367E-2</v>
      </c>
      <c r="AJ427" s="2188"/>
      <c r="AK427" s="2188"/>
      <c r="AL427" s="2188"/>
    </row>
    <row r="428" spans="1:38" x14ac:dyDescent="0.25">
      <c r="A428" s="2160" t="s">
        <v>228</v>
      </c>
      <c r="B428" s="2161"/>
      <c r="C428" s="2161"/>
      <c r="D428" s="2161"/>
      <c r="E428" s="2161"/>
      <c r="F428" s="2162"/>
      <c r="G428" s="2188">
        <f t="shared" si="66"/>
        <v>2.0408163265306124E-3</v>
      </c>
      <c r="H428" s="2188"/>
      <c r="I428" s="2188"/>
      <c r="J428" s="2188"/>
      <c r="K428" s="2188">
        <f t="shared" si="67"/>
        <v>4.0816326530612249E-3</v>
      </c>
      <c r="L428" s="2188"/>
      <c r="M428" s="2188"/>
      <c r="N428" s="2188"/>
      <c r="O428" s="2189">
        <f t="shared" si="68"/>
        <v>5.1020408163265311E-3</v>
      </c>
      <c r="P428" s="2190"/>
      <c r="Q428" s="2190"/>
      <c r="R428" s="2191"/>
      <c r="S428" s="2188">
        <f t="shared" si="69"/>
        <v>6.1224489795918373E-3</v>
      </c>
      <c r="T428" s="2188"/>
      <c r="U428" s="2188"/>
      <c r="V428" s="2188"/>
      <c r="W428" s="2188">
        <f t="shared" si="70"/>
        <v>8.1632653061224497E-3</v>
      </c>
      <c r="X428" s="2188"/>
      <c r="Y428" s="2188"/>
      <c r="Z428" s="2188"/>
      <c r="AA428" s="2188">
        <f t="shared" si="71"/>
        <v>1.0204081632653062E-2</v>
      </c>
      <c r="AB428" s="2188"/>
      <c r="AC428" s="2188"/>
      <c r="AD428" s="2188"/>
      <c r="AE428" s="2188">
        <f t="shared" si="72"/>
        <v>1.0204081632653062E-2</v>
      </c>
      <c r="AF428" s="2188"/>
      <c r="AG428" s="2188"/>
      <c r="AH428" s="2188"/>
      <c r="AI428" s="2188">
        <f t="shared" si="73"/>
        <v>1.2244897959183675E-2</v>
      </c>
      <c r="AJ428" s="2188"/>
      <c r="AK428" s="2188"/>
      <c r="AL428" s="2188"/>
    </row>
    <row r="429" spans="1:38" x14ac:dyDescent="0.25">
      <c r="A429" s="2160" t="s">
        <v>229</v>
      </c>
      <c r="B429" s="2161"/>
      <c r="C429" s="2161"/>
      <c r="D429" s="2161"/>
      <c r="E429" s="2161"/>
      <c r="F429" s="2162"/>
      <c r="G429" s="2188">
        <f t="shared" si="66"/>
        <v>0</v>
      </c>
      <c r="H429" s="2188"/>
      <c r="I429" s="2188"/>
      <c r="J429" s="2188"/>
      <c r="K429" s="2188">
        <f t="shared" si="67"/>
        <v>1.0204081632653062E-3</v>
      </c>
      <c r="L429" s="2188"/>
      <c r="M429" s="2188"/>
      <c r="N429" s="2188"/>
      <c r="O429" s="2189">
        <f t="shared" si="68"/>
        <v>1.0204081632653062E-3</v>
      </c>
      <c r="P429" s="2190"/>
      <c r="Q429" s="2190"/>
      <c r="R429" s="2191"/>
      <c r="S429" s="2188">
        <f t="shared" si="69"/>
        <v>1.0204081632653062E-3</v>
      </c>
      <c r="T429" s="2188"/>
      <c r="U429" s="2188"/>
      <c r="V429" s="2188"/>
      <c r="W429" s="2188">
        <f t="shared" si="70"/>
        <v>1.0204081632653062E-3</v>
      </c>
      <c r="X429" s="2188"/>
      <c r="Y429" s="2188"/>
      <c r="Z429" s="2188"/>
      <c r="AA429" s="2188">
        <f t="shared" si="71"/>
        <v>1.0204081632653062E-3</v>
      </c>
      <c r="AB429" s="2188"/>
      <c r="AC429" s="2188"/>
      <c r="AD429" s="2188"/>
      <c r="AE429" s="2188">
        <f t="shared" si="72"/>
        <v>1.0204081632653062E-3</v>
      </c>
      <c r="AF429" s="2188"/>
      <c r="AG429" s="2188"/>
      <c r="AH429" s="2188"/>
      <c r="AI429" s="2188">
        <f t="shared" si="73"/>
        <v>2.0408163265306124E-3</v>
      </c>
      <c r="AJ429" s="2188"/>
      <c r="AK429" s="2188"/>
      <c r="AL429" s="2188"/>
    </row>
    <row r="430" spans="1:38" x14ac:dyDescent="0.25">
      <c r="A430" s="248" t="s">
        <v>1951</v>
      </c>
    </row>
    <row r="432" spans="1:38" ht="31.5" customHeight="1" x14ac:dyDescent="0.25">
      <c r="A432" s="2207" t="s">
        <v>4379</v>
      </c>
      <c r="B432" s="2207"/>
      <c r="C432" s="2207"/>
      <c r="D432" s="2207"/>
      <c r="E432" s="2207"/>
      <c r="F432" s="2207"/>
      <c r="G432" s="2207"/>
      <c r="H432" s="2207"/>
      <c r="I432" s="2207"/>
      <c r="J432" s="2207"/>
      <c r="K432" s="2207"/>
      <c r="L432" s="2207"/>
      <c r="M432" s="2207"/>
      <c r="N432" s="2207"/>
      <c r="O432" s="2207"/>
      <c r="P432" s="2207"/>
      <c r="Q432" s="2207"/>
      <c r="R432" s="2207"/>
      <c r="S432" s="2207"/>
      <c r="T432" s="2207"/>
      <c r="U432" s="2207"/>
      <c r="V432" s="2207"/>
      <c r="W432" s="2207"/>
      <c r="X432" s="2207"/>
      <c r="Y432" s="2207"/>
      <c r="Z432" s="2207"/>
      <c r="AA432" s="2207"/>
      <c r="AB432" s="2207"/>
      <c r="AC432" s="2207"/>
      <c r="AD432" s="2207"/>
      <c r="AE432" s="2207"/>
      <c r="AF432" s="2207"/>
      <c r="AG432" s="2207"/>
      <c r="AH432" s="2207"/>
      <c r="AI432" s="2207"/>
      <c r="AJ432" s="2207"/>
      <c r="AK432" s="2207"/>
      <c r="AL432" s="2207"/>
    </row>
    <row r="434" spans="1:54" x14ac:dyDescent="0.25">
      <c r="B434" s="379" t="s">
        <v>1952</v>
      </c>
    </row>
    <row r="436" spans="1:54" ht="30" customHeight="1" x14ac:dyDescent="0.25">
      <c r="A436" s="2207" t="s">
        <v>4380</v>
      </c>
      <c r="B436" s="2207"/>
      <c r="C436" s="2207"/>
      <c r="D436" s="2207"/>
      <c r="E436" s="2207"/>
      <c r="F436" s="2207"/>
      <c r="G436" s="2207"/>
      <c r="H436" s="2207"/>
      <c r="I436" s="2207"/>
      <c r="J436" s="2207"/>
      <c r="K436" s="2207"/>
      <c r="L436" s="2207"/>
      <c r="M436" s="2207"/>
      <c r="N436" s="2207"/>
      <c r="O436" s="2207"/>
      <c r="P436" s="2207"/>
      <c r="Q436" s="2207"/>
      <c r="R436" s="2207"/>
      <c r="S436" s="2207"/>
      <c r="T436" s="2207"/>
      <c r="U436" s="2207"/>
      <c r="V436" s="2207"/>
      <c r="W436" s="2207"/>
      <c r="X436" s="2207"/>
      <c r="Y436" s="2207"/>
      <c r="Z436" s="2207"/>
      <c r="AA436" s="2207"/>
      <c r="AB436" s="2207"/>
      <c r="AC436" s="2207"/>
      <c r="AD436" s="2207"/>
      <c r="AE436" s="2207"/>
      <c r="AF436" s="2207"/>
      <c r="AG436" s="2207"/>
      <c r="AH436" s="2207"/>
      <c r="AI436" s="2207"/>
      <c r="AJ436" s="2207"/>
      <c r="AK436" s="2207"/>
      <c r="AL436" s="2207"/>
    </row>
    <row r="437" spans="1:54" ht="16.5" customHeight="1" x14ac:dyDescent="0.25">
      <c r="A437" s="39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row>
    <row r="439" spans="1:54" x14ac:dyDescent="0.25">
      <c r="B439" s="379" t="s">
        <v>1953</v>
      </c>
    </row>
    <row r="441" spans="1:54" s="192" customFormat="1" ht="15.75" x14ac:dyDescent="0.25">
      <c r="A441" s="740" t="s">
        <v>6722</v>
      </c>
      <c r="B441" s="996"/>
      <c r="C441" s="996"/>
      <c r="D441" s="996"/>
      <c r="E441" s="996"/>
      <c r="F441" s="996"/>
      <c r="G441" s="996"/>
      <c r="H441" s="996"/>
      <c r="I441" s="996"/>
      <c r="J441" s="996"/>
      <c r="K441" s="996"/>
      <c r="L441" s="996"/>
      <c r="M441" s="996"/>
      <c r="N441" s="996"/>
      <c r="O441" s="996"/>
      <c r="P441" s="996"/>
      <c r="Q441" s="996"/>
      <c r="R441" s="996"/>
      <c r="S441" s="996"/>
      <c r="T441" s="996"/>
      <c r="U441" s="996"/>
      <c r="V441" s="996"/>
      <c r="W441" s="996"/>
      <c r="X441" s="996"/>
      <c r="Y441" s="996"/>
      <c r="Z441" s="996"/>
      <c r="AA441" s="740"/>
      <c r="AB441" s="740"/>
      <c r="AC441" s="740"/>
      <c r="AD441" s="740"/>
      <c r="AE441" s="740"/>
      <c r="AF441" s="740"/>
      <c r="AG441" s="740"/>
      <c r="AH441" s="740"/>
      <c r="AI441" s="740"/>
      <c r="AJ441" s="740"/>
      <c r="AK441" s="740"/>
      <c r="AL441" s="740"/>
      <c r="AM441" s="740"/>
      <c r="AN441" s="740"/>
      <c r="AO441" s="740"/>
      <c r="AP441" s="743"/>
      <c r="AR441" s="740"/>
      <c r="AS441" s="740"/>
      <c r="AT441" s="740"/>
      <c r="AY441" s="262"/>
      <c r="AZ441" s="262"/>
      <c r="BA441" s="262"/>
      <c r="BB441" s="262"/>
    </row>
    <row r="442" spans="1:54" x14ac:dyDescent="0.25">
      <c r="B442" s="294"/>
      <c r="C442" s="294"/>
      <c r="D442" s="294"/>
      <c r="E442" s="294"/>
      <c r="F442" s="294"/>
      <c r="G442" s="2208" t="s">
        <v>2919</v>
      </c>
      <c r="H442" s="2209"/>
      <c r="I442" s="2209"/>
      <c r="J442" s="2209"/>
      <c r="K442" s="2209"/>
      <c r="L442" s="2209"/>
      <c r="M442" s="2209"/>
      <c r="N442" s="2209"/>
      <c r="O442" s="2209"/>
      <c r="P442" s="2209"/>
      <c r="Q442" s="2209"/>
      <c r="R442" s="2209"/>
      <c r="S442" s="2209"/>
      <c r="T442" s="2209"/>
      <c r="U442" s="2209"/>
      <c r="V442" s="2210"/>
      <c r="W442" s="2211" t="s">
        <v>2920</v>
      </c>
      <c r="X442" s="2211"/>
      <c r="Y442" s="2211"/>
      <c r="Z442" s="2211"/>
      <c r="AA442" s="2211"/>
      <c r="AB442" s="2211"/>
      <c r="AC442" s="2211"/>
      <c r="AD442" s="2211"/>
      <c r="AE442" s="2211"/>
      <c r="AF442" s="2211"/>
      <c r="AG442" s="2211"/>
      <c r="AH442" s="2211"/>
      <c r="AI442" s="2211"/>
      <c r="AJ442" s="2211"/>
      <c r="AK442" s="2211"/>
      <c r="AL442" s="2211"/>
    </row>
    <row r="443" spans="1:54" ht="30.75" customHeight="1" x14ac:dyDescent="0.25">
      <c r="A443" s="2173" t="s">
        <v>54</v>
      </c>
      <c r="B443" s="2174"/>
      <c r="C443" s="2174"/>
      <c r="D443" s="2174"/>
      <c r="E443" s="2174"/>
      <c r="F443" s="2175"/>
      <c r="G443" s="2212" t="s">
        <v>1243</v>
      </c>
      <c r="H443" s="2212"/>
      <c r="I443" s="2212"/>
      <c r="J443" s="2212"/>
      <c r="K443" s="2212" t="s">
        <v>1955</v>
      </c>
      <c r="L443" s="2212"/>
      <c r="M443" s="2212"/>
      <c r="N443" s="2212"/>
      <c r="O443" s="2213" t="s">
        <v>1244</v>
      </c>
      <c r="P443" s="2214"/>
      <c r="Q443" s="2214"/>
      <c r="R443" s="2215"/>
      <c r="S443" s="2216" t="s">
        <v>1956</v>
      </c>
      <c r="T443" s="2216"/>
      <c r="U443" s="2216"/>
      <c r="V443" s="2216"/>
      <c r="W443" s="2212" t="s">
        <v>1243</v>
      </c>
      <c r="X443" s="2212"/>
      <c r="Y443" s="2212"/>
      <c r="Z443" s="2212"/>
      <c r="AA443" s="2212" t="s">
        <v>1955</v>
      </c>
      <c r="AB443" s="2212"/>
      <c r="AC443" s="2212"/>
      <c r="AD443" s="2212"/>
      <c r="AE443" s="2216" t="s">
        <v>1244</v>
      </c>
      <c r="AF443" s="2216"/>
      <c r="AG443" s="2216"/>
      <c r="AH443" s="2216"/>
      <c r="AI443" s="2216" t="s">
        <v>1956</v>
      </c>
      <c r="AJ443" s="2216"/>
      <c r="AK443" s="2216"/>
      <c r="AL443" s="2216"/>
    </row>
    <row r="444" spans="1:54" x14ac:dyDescent="0.25">
      <c r="A444" s="2160" t="s">
        <v>1984</v>
      </c>
      <c r="B444" s="2161"/>
      <c r="C444" s="2161"/>
      <c r="D444" s="2161"/>
      <c r="E444" s="2161"/>
      <c r="F444" s="2162"/>
      <c r="G444" s="2188">
        <f t="shared" ref="G444:G454" si="74">ROUND(($U$96-$G$128)*$Q$73*VLOOKUP($A444,$N$123:$AG$133,17,TRUE)*VLOOKUP($A444,$N$146:$AG$156,13,TRUE)*$Q$78,3)</f>
        <v>4.0000000000000001E-3</v>
      </c>
      <c r="H444" s="2188"/>
      <c r="I444" s="2188"/>
      <c r="J444" s="2188"/>
      <c r="K444" s="2188">
        <f t="shared" ref="K444:K454" si="75">ROUND(($U$96-$I$128)*$Q$73*VLOOKUP($A444,$N$123:$AG$133,17,TRUE)*VLOOKUP($A444,$N$146:$AG$156,13,TRUE)*$Q$78,3)</f>
        <v>5.0000000000000001E-3</v>
      </c>
      <c r="L444" s="2188"/>
      <c r="M444" s="2188"/>
      <c r="N444" s="2188"/>
      <c r="O444" s="2189">
        <f t="shared" ref="O444:O454" si="76">ROUND(($U$97-$G$129)*$Q$73*VLOOKUP($A444,$N$123:$AG$133,17,TRUE)*VLOOKUP($A444,$N$146:$AG$156,13,TRUE)*$Q$78,3)</f>
        <v>1.2E-2</v>
      </c>
      <c r="P444" s="2190"/>
      <c r="Q444" s="2190"/>
      <c r="R444" s="2191"/>
      <c r="S444" s="2188">
        <f t="shared" ref="S444:S454" si="77">ROUND(($U$97-$I$129)*$Q$73*VLOOKUP($A444,$N$123:$AG$133,17,TRUE)*VLOOKUP($A444,$N$146:$AG$156,13,TRUE)*$Q$78,3)</f>
        <v>1.2999999999999999E-2</v>
      </c>
      <c r="T444" s="2188"/>
      <c r="U444" s="2188"/>
      <c r="V444" s="2188"/>
      <c r="W444" s="2203">
        <f t="shared" ref="W444:W454" si="78">ROUND(($U$96-$G$128)*$Q$73*VLOOKUP($A444,$A$167:$Q$177,15,TRUE)*VLOOKUP($A444,$N$146:$AG$156,17,TRUE)*$Q$78,2)</f>
        <v>19.13</v>
      </c>
      <c r="X444" s="2203"/>
      <c r="Y444" s="2203"/>
      <c r="Z444" s="2203"/>
      <c r="AA444" s="2203">
        <f t="shared" ref="AA444:AA454" si="79">ROUND(($U$96-$I$128)*$Q$73*VLOOKUP($A444,$A$167:$Q$177,15,TRUE)*VLOOKUP($A444,$N$146:$AG$156,17,TRUE)*$Q$78,2)</f>
        <v>24.56</v>
      </c>
      <c r="AB444" s="2203"/>
      <c r="AC444" s="2203"/>
      <c r="AD444" s="2203"/>
      <c r="AE444" s="2203">
        <f t="shared" ref="AE444:AE454" si="80">ROUND(($U$97-$G$129)*$Q$73*VLOOKUP($A444,$A$167:$Q$177,15,TRUE)*VLOOKUP($A444,$N$146:$AG$156,17,TRUE)*$Q$78,2)</f>
        <v>63.04</v>
      </c>
      <c r="AF444" s="2203"/>
      <c r="AG444" s="2203"/>
      <c r="AH444" s="2203"/>
      <c r="AI444" s="2203">
        <f t="shared" ref="AI444:AI454" si="81">ROUND(($U$97-$I$129)*$Q$73*VLOOKUP($A444,$A$167:$Q$177,15,TRUE)*VLOOKUP($A444,$N$146:$AG$156,17,TRUE)*$Q$78,2)</f>
        <v>68.48</v>
      </c>
      <c r="AJ444" s="2203"/>
      <c r="AK444" s="2203"/>
      <c r="AL444" s="2203"/>
    </row>
    <row r="445" spans="1:54" x14ac:dyDescent="0.25">
      <c r="A445" s="2160" t="s">
        <v>221</v>
      </c>
      <c r="B445" s="2161"/>
      <c r="C445" s="2161"/>
      <c r="D445" s="2161"/>
      <c r="E445" s="2161"/>
      <c r="F445" s="2162"/>
      <c r="G445" s="2188">
        <f t="shared" si="74"/>
        <v>2E-3</v>
      </c>
      <c r="H445" s="2188"/>
      <c r="I445" s="2188"/>
      <c r="J445" s="2188"/>
      <c r="K445" s="2188">
        <f t="shared" si="75"/>
        <v>3.0000000000000001E-3</v>
      </c>
      <c r="L445" s="2188"/>
      <c r="M445" s="2188"/>
      <c r="N445" s="2188"/>
      <c r="O445" s="2189">
        <f t="shared" si="76"/>
        <v>7.0000000000000001E-3</v>
      </c>
      <c r="P445" s="2190"/>
      <c r="Q445" s="2190"/>
      <c r="R445" s="2191"/>
      <c r="S445" s="2188">
        <f t="shared" si="77"/>
        <v>8.0000000000000002E-3</v>
      </c>
      <c r="T445" s="2188"/>
      <c r="U445" s="2188"/>
      <c r="V445" s="2188"/>
      <c r="W445" s="2203">
        <f t="shared" si="78"/>
        <v>65.66</v>
      </c>
      <c r="X445" s="2203"/>
      <c r="Y445" s="2203"/>
      <c r="Z445" s="2203"/>
      <c r="AA445" s="2203">
        <f t="shared" si="79"/>
        <v>84.32</v>
      </c>
      <c r="AB445" s="2203"/>
      <c r="AC445" s="2203"/>
      <c r="AD445" s="2203"/>
      <c r="AE445" s="2203">
        <f t="shared" si="80"/>
        <v>216.39</v>
      </c>
      <c r="AF445" s="2203"/>
      <c r="AG445" s="2203"/>
      <c r="AH445" s="2203"/>
      <c r="AI445" s="2203">
        <f t="shared" si="81"/>
        <v>235.04</v>
      </c>
      <c r="AJ445" s="2203"/>
      <c r="AK445" s="2203"/>
      <c r="AL445" s="2203"/>
    </row>
    <row r="446" spans="1:54" x14ac:dyDescent="0.25">
      <c r="A446" s="2160" t="s">
        <v>222</v>
      </c>
      <c r="B446" s="2161"/>
      <c r="C446" s="2161"/>
      <c r="D446" s="2161"/>
      <c r="E446" s="2161"/>
      <c r="F446" s="2162"/>
      <c r="G446" s="2188">
        <f t="shared" si="74"/>
        <v>4.0000000000000001E-3</v>
      </c>
      <c r="H446" s="2188"/>
      <c r="I446" s="2188"/>
      <c r="J446" s="2188"/>
      <c r="K446" s="2188">
        <f t="shared" si="75"/>
        <v>5.0000000000000001E-3</v>
      </c>
      <c r="L446" s="2188"/>
      <c r="M446" s="2188"/>
      <c r="N446" s="2188"/>
      <c r="O446" s="2189">
        <f t="shared" si="76"/>
        <v>1.2E-2</v>
      </c>
      <c r="P446" s="2190"/>
      <c r="Q446" s="2190"/>
      <c r="R446" s="2191"/>
      <c r="S446" s="2188">
        <f t="shared" si="77"/>
        <v>1.2999999999999999E-2</v>
      </c>
      <c r="T446" s="2188"/>
      <c r="U446" s="2188"/>
      <c r="V446" s="2188"/>
      <c r="W446" s="2203">
        <f t="shared" si="78"/>
        <v>18.350000000000001</v>
      </c>
      <c r="X446" s="2203"/>
      <c r="Y446" s="2203"/>
      <c r="Z446" s="2203"/>
      <c r="AA446" s="2203">
        <f t="shared" si="79"/>
        <v>23.56</v>
      </c>
      <c r="AB446" s="2203"/>
      <c r="AC446" s="2203"/>
      <c r="AD446" s="2203"/>
      <c r="AE446" s="2203">
        <f t="shared" si="80"/>
        <v>60.46</v>
      </c>
      <c r="AF446" s="2203"/>
      <c r="AG446" s="2203"/>
      <c r="AH446" s="2203"/>
      <c r="AI446" s="2203">
        <f t="shared" si="81"/>
        <v>65.680000000000007</v>
      </c>
      <c r="AJ446" s="2203"/>
      <c r="AK446" s="2203"/>
      <c r="AL446" s="2203"/>
    </row>
    <row r="447" spans="1:54" x14ac:dyDescent="0.25">
      <c r="A447" s="2160" t="s">
        <v>223</v>
      </c>
      <c r="B447" s="2161"/>
      <c r="C447" s="2161"/>
      <c r="D447" s="2161"/>
      <c r="E447" s="2161"/>
      <c r="F447" s="2162"/>
      <c r="G447" s="2188">
        <f t="shared" si="74"/>
        <v>6.0000000000000001E-3</v>
      </c>
      <c r="H447" s="2188"/>
      <c r="I447" s="2188"/>
      <c r="J447" s="2188"/>
      <c r="K447" s="2188">
        <f t="shared" si="75"/>
        <v>8.0000000000000002E-3</v>
      </c>
      <c r="L447" s="2188"/>
      <c r="M447" s="2188"/>
      <c r="N447" s="2188"/>
      <c r="O447" s="2189">
        <f t="shared" si="76"/>
        <v>2.1000000000000001E-2</v>
      </c>
      <c r="P447" s="2190"/>
      <c r="Q447" s="2190"/>
      <c r="R447" s="2191"/>
      <c r="S447" s="2188">
        <f t="shared" si="77"/>
        <v>2.3E-2</v>
      </c>
      <c r="T447" s="2188"/>
      <c r="U447" s="2188"/>
      <c r="V447" s="2188"/>
      <c r="W447" s="2203">
        <f t="shared" si="78"/>
        <v>46.9</v>
      </c>
      <c r="X447" s="2203"/>
      <c r="Y447" s="2203"/>
      <c r="Z447" s="2203"/>
      <c r="AA447" s="2203">
        <f t="shared" si="79"/>
        <v>60.22</v>
      </c>
      <c r="AB447" s="2203"/>
      <c r="AC447" s="2203"/>
      <c r="AD447" s="2203"/>
      <c r="AE447" s="2203">
        <f t="shared" si="80"/>
        <v>154.54</v>
      </c>
      <c r="AF447" s="2203"/>
      <c r="AG447" s="2203"/>
      <c r="AH447" s="2203"/>
      <c r="AI447" s="2203">
        <f t="shared" si="81"/>
        <v>167.86</v>
      </c>
      <c r="AJ447" s="2203"/>
      <c r="AK447" s="2203"/>
      <c r="AL447" s="2203"/>
    </row>
    <row r="448" spans="1:54" x14ac:dyDescent="0.25">
      <c r="A448" s="2160" t="s">
        <v>224</v>
      </c>
      <c r="B448" s="2161"/>
      <c r="C448" s="2161"/>
      <c r="D448" s="2161"/>
      <c r="E448" s="2161"/>
      <c r="F448" s="2162"/>
      <c r="G448" s="2188">
        <f t="shared" si="74"/>
        <v>7.0000000000000001E-3</v>
      </c>
      <c r="H448" s="2188"/>
      <c r="I448" s="2188"/>
      <c r="J448" s="2188"/>
      <c r="K448" s="2188">
        <f t="shared" si="75"/>
        <v>8.9999999999999993E-3</v>
      </c>
      <c r="L448" s="2188"/>
      <c r="M448" s="2188"/>
      <c r="N448" s="2188"/>
      <c r="O448" s="2189">
        <f t="shared" si="76"/>
        <v>2.1999999999999999E-2</v>
      </c>
      <c r="P448" s="2190"/>
      <c r="Q448" s="2190"/>
      <c r="R448" s="2191"/>
      <c r="S448" s="2188">
        <f t="shared" si="77"/>
        <v>2.4E-2</v>
      </c>
      <c r="T448" s="2188"/>
      <c r="U448" s="2188"/>
      <c r="V448" s="2188"/>
      <c r="W448" s="2203">
        <f t="shared" si="78"/>
        <v>50.58</v>
      </c>
      <c r="X448" s="2203"/>
      <c r="Y448" s="2203"/>
      <c r="Z448" s="2203"/>
      <c r="AA448" s="2203">
        <f t="shared" si="79"/>
        <v>64.95</v>
      </c>
      <c r="AB448" s="2203"/>
      <c r="AC448" s="2203"/>
      <c r="AD448" s="2203"/>
      <c r="AE448" s="2203">
        <f t="shared" si="80"/>
        <v>166.68</v>
      </c>
      <c r="AF448" s="2203"/>
      <c r="AG448" s="2203"/>
      <c r="AH448" s="2203"/>
      <c r="AI448" s="2203">
        <f t="shared" si="81"/>
        <v>181.05</v>
      </c>
      <c r="AJ448" s="2203"/>
      <c r="AK448" s="2203"/>
      <c r="AL448" s="2203"/>
    </row>
    <row r="449" spans="1:54" x14ac:dyDescent="0.25">
      <c r="A449" s="2160" t="s">
        <v>225</v>
      </c>
      <c r="B449" s="2161"/>
      <c r="C449" s="2161"/>
      <c r="D449" s="2161"/>
      <c r="E449" s="2161"/>
      <c r="F449" s="2162"/>
      <c r="G449" s="2188">
        <f t="shared" si="74"/>
        <v>3.0000000000000001E-3</v>
      </c>
      <c r="H449" s="2188"/>
      <c r="I449" s="2188"/>
      <c r="J449" s="2188"/>
      <c r="K449" s="2188">
        <f t="shared" si="75"/>
        <v>3.0000000000000001E-3</v>
      </c>
      <c r="L449" s="2188"/>
      <c r="M449" s="2188"/>
      <c r="N449" s="2188"/>
      <c r="O449" s="2189">
        <f t="shared" si="76"/>
        <v>8.0000000000000002E-3</v>
      </c>
      <c r="P449" s="2190"/>
      <c r="Q449" s="2190"/>
      <c r="R449" s="2191"/>
      <c r="S449" s="2188">
        <f t="shared" si="77"/>
        <v>8.9999999999999993E-3</v>
      </c>
      <c r="T449" s="2188"/>
      <c r="U449" s="2188"/>
      <c r="V449" s="2188"/>
      <c r="W449" s="2203">
        <f t="shared" si="78"/>
        <v>13.25</v>
      </c>
      <c r="X449" s="2203"/>
      <c r="Y449" s="2203"/>
      <c r="Z449" s="2203"/>
      <c r="AA449" s="2203">
        <f t="shared" si="79"/>
        <v>17.02</v>
      </c>
      <c r="AB449" s="2203"/>
      <c r="AC449" s="2203"/>
      <c r="AD449" s="2203"/>
      <c r="AE449" s="2203">
        <f t="shared" si="80"/>
        <v>43.68</v>
      </c>
      <c r="AF449" s="2203"/>
      <c r="AG449" s="2203"/>
      <c r="AH449" s="2203"/>
      <c r="AI449" s="2203">
        <f t="shared" si="81"/>
        <v>47.44</v>
      </c>
      <c r="AJ449" s="2203"/>
      <c r="AK449" s="2203"/>
      <c r="AL449" s="2203"/>
    </row>
    <row r="450" spans="1:54" x14ac:dyDescent="0.25">
      <c r="A450" s="2160" t="s">
        <v>226</v>
      </c>
      <c r="B450" s="2161"/>
      <c r="C450" s="2161"/>
      <c r="D450" s="2161"/>
      <c r="E450" s="2161"/>
      <c r="F450" s="2162"/>
      <c r="G450" s="2188">
        <f t="shared" si="74"/>
        <v>6.0000000000000001E-3</v>
      </c>
      <c r="H450" s="2188"/>
      <c r="I450" s="2188"/>
      <c r="J450" s="2188"/>
      <c r="K450" s="2188">
        <f t="shared" si="75"/>
        <v>8.0000000000000002E-3</v>
      </c>
      <c r="L450" s="2188"/>
      <c r="M450" s="2188"/>
      <c r="N450" s="2188"/>
      <c r="O450" s="2189">
        <f t="shared" si="76"/>
        <v>0.02</v>
      </c>
      <c r="P450" s="2190"/>
      <c r="Q450" s="2190"/>
      <c r="R450" s="2191"/>
      <c r="S450" s="2188">
        <f t="shared" si="77"/>
        <v>2.1999999999999999E-2</v>
      </c>
      <c r="T450" s="2188"/>
      <c r="U450" s="2188"/>
      <c r="V450" s="2188"/>
      <c r="W450" s="2203">
        <f t="shared" si="78"/>
        <v>22.46</v>
      </c>
      <c r="X450" s="2203"/>
      <c r="Y450" s="2203"/>
      <c r="Z450" s="2203"/>
      <c r="AA450" s="2203">
        <f t="shared" si="79"/>
        <v>28.84</v>
      </c>
      <c r="AB450" s="2203"/>
      <c r="AC450" s="2203"/>
      <c r="AD450" s="2203"/>
      <c r="AE450" s="2203">
        <f t="shared" si="80"/>
        <v>74.02</v>
      </c>
      <c r="AF450" s="2203"/>
      <c r="AG450" s="2203"/>
      <c r="AH450" s="2203"/>
      <c r="AI450" s="2203">
        <f t="shared" si="81"/>
        <v>80.41</v>
      </c>
      <c r="AJ450" s="2203"/>
      <c r="AK450" s="2203"/>
      <c r="AL450" s="2203"/>
    </row>
    <row r="451" spans="1:54" x14ac:dyDescent="0.25">
      <c r="A451" s="2160" t="s">
        <v>55</v>
      </c>
      <c r="B451" s="2161"/>
      <c r="C451" s="2161"/>
      <c r="D451" s="2161"/>
      <c r="E451" s="2161"/>
      <c r="F451" s="2162"/>
      <c r="G451" s="2188">
        <f t="shared" si="74"/>
        <v>2E-3</v>
      </c>
      <c r="H451" s="2188"/>
      <c r="I451" s="2188"/>
      <c r="J451" s="2188"/>
      <c r="K451" s="2188">
        <f t="shared" si="75"/>
        <v>3.0000000000000001E-3</v>
      </c>
      <c r="L451" s="2188"/>
      <c r="M451" s="2188"/>
      <c r="N451" s="2188"/>
      <c r="O451" s="2189">
        <f t="shared" si="76"/>
        <v>8.0000000000000002E-3</v>
      </c>
      <c r="P451" s="2190"/>
      <c r="Q451" s="2190"/>
      <c r="R451" s="2191"/>
      <c r="S451" s="2188">
        <f t="shared" si="77"/>
        <v>8.0000000000000002E-3</v>
      </c>
      <c r="T451" s="2188"/>
      <c r="U451" s="2188"/>
      <c r="V451" s="2188"/>
      <c r="W451" s="2203">
        <f t="shared" si="78"/>
        <v>21.52</v>
      </c>
      <c r="X451" s="2203"/>
      <c r="Y451" s="2203"/>
      <c r="Z451" s="2203"/>
      <c r="AA451" s="2203">
        <f t="shared" si="79"/>
        <v>27.63</v>
      </c>
      <c r="AB451" s="2203"/>
      <c r="AC451" s="2203"/>
      <c r="AD451" s="2203"/>
      <c r="AE451" s="2203">
        <f t="shared" si="80"/>
        <v>70.900000000000006</v>
      </c>
      <c r="AF451" s="2203"/>
      <c r="AG451" s="2203"/>
      <c r="AH451" s="2203"/>
      <c r="AI451" s="2203">
        <f t="shared" si="81"/>
        <v>77.010000000000005</v>
      </c>
      <c r="AJ451" s="2203"/>
      <c r="AK451" s="2203"/>
      <c r="AL451" s="2203"/>
    </row>
    <row r="452" spans="1:54" x14ac:dyDescent="0.25">
      <c r="A452" s="2160" t="s">
        <v>227</v>
      </c>
      <c r="B452" s="2161"/>
      <c r="C452" s="2161"/>
      <c r="D452" s="2161"/>
      <c r="E452" s="2161"/>
      <c r="F452" s="2162"/>
      <c r="G452" s="2188">
        <f t="shared" si="74"/>
        <v>5.0000000000000001E-3</v>
      </c>
      <c r="H452" s="2188"/>
      <c r="I452" s="2188"/>
      <c r="J452" s="2188"/>
      <c r="K452" s="2188">
        <f t="shared" si="75"/>
        <v>7.0000000000000001E-3</v>
      </c>
      <c r="L452" s="2188"/>
      <c r="M452" s="2188"/>
      <c r="N452" s="2188"/>
      <c r="O452" s="2189">
        <f t="shared" si="76"/>
        <v>1.7000000000000001E-2</v>
      </c>
      <c r="P452" s="2190"/>
      <c r="Q452" s="2190"/>
      <c r="R452" s="2191"/>
      <c r="S452" s="2188">
        <f t="shared" si="77"/>
        <v>1.9E-2</v>
      </c>
      <c r="T452" s="2188"/>
      <c r="U452" s="2188"/>
      <c r="V452" s="2188"/>
      <c r="W452" s="2203">
        <f t="shared" si="78"/>
        <v>38.64</v>
      </c>
      <c r="X452" s="2203"/>
      <c r="Y452" s="2203"/>
      <c r="Z452" s="2203"/>
      <c r="AA452" s="2203">
        <f t="shared" si="79"/>
        <v>49.61</v>
      </c>
      <c r="AB452" s="2203"/>
      <c r="AC452" s="2203"/>
      <c r="AD452" s="2203"/>
      <c r="AE452" s="2203">
        <f t="shared" si="80"/>
        <v>127.32</v>
      </c>
      <c r="AF452" s="2203"/>
      <c r="AG452" s="2203"/>
      <c r="AH452" s="2203"/>
      <c r="AI452" s="2203">
        <f t="shared" si="81"/>
        <v>138.30000000000001</v>
      </c>
      <c r="AJ452" s="2203"/>
      <c r="AK452" s="2203"/>
      <c r="AL452" s="2203"/>
    </row>
    <row r="453" spans="1:54" x14ac:dyDescent="0.25">
      <c r="A453" s="2160" t="s">
        <v>228</v>
      </c>
      <c r="B453" s="2161"/>
      <c r="C453" s="2161"/>
      <c r="D453" s="2161"/>
      <c r="E453" s="2161"/>
      <c r="F453" s="2162"/>
      <c r="G453" s="2188">
        <f t="shared" si="74"/>
        <v>6.0000000000000001E-3</v>
      </c>
      <c r="H453" s="2188"/>
      <c r="I453" s="2188"/>
      <c r="J453" s="2188"/>
      <c r="K453" s="2188">
        <f t="shared" si="75"/>
        <v>8.0000000000000002E-3</v>
      </c>
      <c r="L453" s="2188"/>
      <c r="M453" s="2188"/>
      <c r="N453" s="2188"/>
      <c r="O453" s="2189">
        <f t="shared" si="76"/>
        <v>1.9E-2</v>
      </c>
      <c r="P453" s="2190"/>
      <c r="Q453" s="2190"/>
      <c r="R453" s="2191"/>
      <c r="S453" s="2188">
        <f t="shared" si="77"/>
        <v>2.1000000000000001E-2</v>
      </c>
      <c r="T453" s="2188"/>
      <c r="U453" s="2188"/>
      <c r="V453" s="2188"/>
      <c r="W453" s="2203">
        <f t="shared" si="78"/>
        <v>36.6</v>
      </c>
      <c r="X453" s="2203"/>
      <c r="Y453" s="2203"/>
      <c r="Z453" s="2203"/>
      <c r="AA453" s="2203">
        <f t="shared" si="79"/>
        <v>46.99</v>
      </c>
      <c r="AB453" s="2203"/>
      <c r="AC453" s="2203"/>
      <c r="AD453" s="2203"/>
      <c r="AE453" s="2203">
        <f t="shared" si="80"/>
        <v>120.6</v>
      </c>
      <c r="AF453" s="2203"/>
      <c r="AG453" s="2203"/>
      <c r="AH453" s="2203"/>
      <c r="AI453" s="2203">
        <f t="shared" si="81"/>
        <v>131</v>
      </c>
      <c r="AJ453" s="2203"/>
      <c r="AK453" s="2203"/>
      <c r="AL453" s="2203"/>
    </row>
    <row r="454" spans="1:54" x14ac:dyDescent="0.25">
      <c r="A454" s="2160" t="s">
        <v>229</v>
      </c>
      <c r="B454" s="2161"/>
      <c r="C454" s="2161"/>
      <c r="D454" s="2161"/>
      <c r="E454" s="2161"/>
      <c r="F454" s="2162"/>
      <c r="G454" s="2188">
        <f t="shared" si="74"/>
        <v>1E-3</v>
      </c>
      <c r="H454" s="2188"/>
      <c r="I454" s="2188"/>
      <c r="J454" s="2188"/>
      <c r="K454" s="2188">
        <f t="shared" si="75"/>
        <v>1E-3</v>
      </c>
      <c r="L454" s="2188"/>
      <c r="M454" s="2188"/>
      <c r="N454" s="2188"/>
      <c r="O454" s="2189">
        <f t="shared" si="76"/>
        <v>3.0000000000000001E-3</v>
      </c>
      <c r="P454" s="2190"/>
      <c r="Q454" s="2190"/>
      <c r="R454" s="2191"/>
      <c r="S454" s="2188">
        <f t="shared" si="77"/>
        <v>3.0000000000000001E-3</v>
      </c>
      <c r="T454" s="2188"/>
      <c r="U454" s="2188"/>
      <c r="V454" s="2188"/>
      <c r="W454" s="2203">
        <f t="shared" si="78"/>
        <v>17.16</v>
      </c>
      <c r="X454" s="2203"/>
      <c r="Y454" s="2203"/>
      <c r="Z454" s="2203"/>
      <c r="AA454" s="2203">
        <f t="shared" si="79"/>
        <v>22.03</v>
      </c>
      <c r="AB454" s="2203"/>
      <c r="AC454" s="2203"/>
      <c r="AD454" s="2203"/>
      <c r="AE454" s="2203">
        <f t="shared" si="80"/>
        <v>56.55</v>
      </c>
      <c r="AF454" s="2203"/>
      <c r="AG454" s="2203"/>
      <c r="AH454" s="2203"/>
      <c r="AI454" s="2203">
        <f t="shared" si="81"/>
        <v>61.42</v>
      </c>
      <c r="AJ454" s="2203"/>
      <c r="AK454" s="2203"/>
      <c r="AL454" s="2203"/>
    </row>
    <row r="456" spans="1:54" x14ac:dyDescent="0.25">
      <c r="B456" s="379" t="s">
        <v>1954</v>
      </c>
    </row>
    <row r="457" spans="1:54" s="192" customFormat="1" x14ac:dyDescent="0.25"/>
    <row r="458" spans="1:54" s="192" customFormat="1" ht="15.75" x14ac:dyDescent="0.25">
      <c r="A458" s="740" t="s">
        <v>6723</v>
      </c>
      <c r="B458" s="996"/>
      <c r="C458" s="996"/>
      <c r="D458" s="996"/>
      <c r="E458" s="996"/>
      <c r="F458" s="996"/>
      <c r="G458" s="996"/>
      <c r="H458" s="996"/>
      <c r="I458" s="996"/>
      <c r="J458" s="996"/>
      <c r="K458" s="996"/>
      <c r="L458" s="996"/>
      <c r="M458" s="996"/>
      <c r="N458" s="996"/>
      <c r="O458" s="996"/>
      <c r="P458" s="996"/>
      <c r="Q458" s="996"/>
      <c r="R458" s="996"/>
      <c r="S458" s="996"/>
      <c r="T458" s="996"/>
      <c r="U458" s="996"/>
      <c r="V458" s="996"/>
      <c r="W458" s="996"/>
      <c r="X458" s="996"/>
      <c r="Y458" s="996"/>
      <c r="Z458" s="996"/>
      <c r="AA458" s="740"/>
      <c r="AB458" s="740"/>
      <c r="AC458" s="740"/>
      <c r="AD458" s="740"/>
      <c r="AE458" s="740"/>
      <c r="AF458" s="740"/>
      <c r="AG458" s="740"/>
      <c r="AH458" s="740"/>
      <c r="AI458" s="740"/>
      <c r="AJ458" s="740"/>
      <c r="AK458" s="740"/>
      <c r="AL458" s="740"/>
      <c r="AM458" s="740"/>
      <c r="AN458" s="740"/>
      <c r="AO458" s="740"/>
      <c r="AP458" s="743"/>
      <c r="AR458" s="740"/>
      <c r="AS458" s="740"/>
      <c r="AT458" s="740"/>
      <c r="AY458" s="262"/>
      <c r="AZ458" s="262"/>
      <c r="BA458" s="262"/>
      <c r="BB458" s="262"/>
    </row>
    <row r="459" spans="1:54" s="192" customFormat="1" x14ac:dyDescent="0.25">
      <c r="B459" s="995"/>
      <c r="C459" s="995"/>
      <c r="D459" s="995"/>
      <c r="E459" s="995"/>
      <c r="F459" s="995"/>
      <c r="G459" s="2410" t="s">
        <v>1945</v>
      </c>
      <c r="H459" s="2411"/>
      <c r="I459" s="2411"/>
      <c r="J459" s="2411"/>
      <c r="K459" s="2411"/>
      <c r="L459" s="2411"/>
      <c r="M459" s="2411"/>
      <c r="N459" s="2411"/>
      <c r="O459" s="2411"/>
      <c r="P459" s="2411"/>
      <c r="Q459" s="2411"/>
      <c r="R459" s="2411"/>
      <c r="S459" s="2411"/>
      <c r="T459" s="2411"/>
      <c r="U459" s="2411"/>
      <c r="V459" s="2412"/>
    </row>
    <row r="460" spans="1:54" s="192" customFormat="1" ht="31.5" customHeight="1" x14ac:dyDescent="0.25">
      <c r="A460" s="2199" t="s">
        <v>54</v>
      </c>
      <c r="B460" s="2200"/>
      <c r="C460" s="2200"/>
      <c r="D460" s="2200"/>
      <c r="E460" s="2200"/>
      <c r="F460" s="2201"/>
      <c r="G460" s="2338" t="s">
        <v>6759</v>
      </c>
      <c r="H460" s="2338"/>
      <c r="I460" s="2338"/>
      <c r="J460" s="2338"/>
      <c r="K460" s="2338" t="s">
        <v>1955</v>
      </c>
      <c r="L460" s="2338"/>
      <c r="M460" s="2338"/>
      <c r="N460" s="2338"/>
      <c r="O460" s="2334" t="s">
        <v>6760</v>
      </c>
      <c r="P460" s="2335"/>
      <c r="Q460" s="2335"/>
      <c r="R460" s="2336"/>
      <c r="S460" s="2337" t="s">
        <v>1956</v>
      </c>
      <c r="T460" s="2337"/>
      <c r="U460" s="2337"/>
      <c r="V460" s="2337"/>
    </row>
    <row r="461" spans="1:54" s="192" customFormat="1" x14ac:dyDescent="0.25">
      <c r="A461" s="2170" t="s">
        <v>1984</v>
      </c>
      <c r="B461" s="2171"/>
      <c r="C461" s="2171"/>
      <c r="D461" s="2171"/>
      <c r="E461" s="2171"/>
      <c r="F461" s="2172"/>
      <c r="G461" s="2193">
        <f t="shared" ref="G461:G471" si="82">ROUND(W444*VLOOKUP($A461,$S$199:$Z$209,5,TRUE),2)</f>
        <v>76.52</v>
      </c>
      <c r="H461" s="2193"/>
      <c r="I461" s="2193"/>
      <c r="J461" s="2193"/>
      <c r="K461" s="2193">
        <f t="shared" ref="K461:K471" si="83">ROUND(AA444*VLOOKUP($A461,$A$199:$Q$209,15,TRUE),2)</f>
        <v>614</v>
      </c>
      <c r="L461" s="2193"/>
      <c r="M461" s="2193"/>
      <c r="N461" s="2193"/>
      <c r="O461" s="2194">
        <f t="shared" ref="O461:O471" si="84">ROUND(AE444*VLOOKUP($A461,$S$199:$Z$209,5,TRUE),2)</f>
        <v>252.16</v>
      </c>
      <c r="P461" s="2195"/>
      <c r="Q461" s="2195"/>
      <c r="R461" s="2196"/>
      <c r="S461" s="2193">
        <f t="shared" ref="S461:S471" si="85">ROUND(AI444*VLOOKUP($A461,$A$199:$Q$209,15,TRUE),2)</f>
        <v>1712</v>
      </c>
      <c r="T461" s="2193"/>
      <c r="U461" s="2193"/>
      <c r="V461" s="2193"/>
      <c r="AP461" s="740"/>
    </row>
    <row r="462" spans="1:54" s="192" customFormat="1" x14ac:dyDescent="0.25">
      <c r="A462" s="2170" t="s">
        <v>221</v>
      </c>
      <c r="B462" s="2171"/>
      <c r="C462" s="2171"/>
      <c r="D462" s="2171"/>
      <c r="E462" s="2171"/>
      <c r="F462" s="2172"/>
      <c r="G462" s="2193">
        <f t="shared" si="82"/>
        <v>131.32</v>
      </c>
      <c r="H462" s="2193"/>
      <c r="I462" s="2193"/>
      <c r="J462" s="2193"/>
      <c r="K462" s="2193">
        <f t="shared" si="83"/>
        <v>927.52</v>
      </c>
      <c r="L462" s="2193"/>
      <c r="M462" s="2193"/>
      <c r="N462" s="2193"/>
      <c r="O462" s="2194">
        <f t="shared" si="84"/>
        <v>432.78</v>
      </c>
      <c r="P462" s="2195"/>
      <c r="Q462" s="2195"/>
      <c r="R462" s="2196"/>
      <c r="S462" s="2193">
        <f t="shared" si="85"/>
        <v>2585.44</v>
      </c>
      <c r="T462" s="2193"/>
      <c r="U462" s="2193"/>
      <c r="V462" s="2193"/>
    </row>
    <row r="463" spans="1:54" s="192" customFormat="1" x14ac:dyDescent="0.25">
      <c r="A463" s="2170" t="s">
        <v>222</v>
      </c>
      <c r="B463" s="2171"/>
      <c r="C463" s="2171"/>
      <c r="D463" s="2171"/>
      <c r="E463" s="2171"/>
      <c r="F463" s="2172"/>
      <c r="G463" s="2193">
        <f t="shared" si="82"/>
        <v>91.75</v>
      </c>
      <c r="H463" s="2193"/>
      <c r="I463" s="2193"/>
      <c r="J463" s="2193"/>
      <c r="K463" s="2193">
        <f t="shared" si="83"/>
        <v>589</v>
      </c>
      <c r="L463" s="2193"/>
      <c r="M463" s="2193"/>
      <c r="N463" s="2193"/>
      <c r="O463" s="2194">
        <f t="shared" si="84"/>
        <v>302.3</v>
      </c>
      <c r="P463" s="2195"/>
      <c r="Q463" s="2195"/>
      <c r="R463" s="2196"/>
      <c r="S463" s="2193">
        <f t="shared" si="85"/>
        <v>1642</v>
      </c>
      <c r="T463" s="2193"/>
      <c r="U463" s="2193"/>
      <c r="V463" s="2193"/>
    </row>
    <row r="464" spans="1:54" s="192" customFormat="1" x14ac:dyDescent="0.25">
      <c r="A464" s="2170" t="s">
        <v>223</v>
      </c>
      <c r="B464" s="2171"/>
      <c r="C464" s="2171"/>
      <c r="D464" s="2171"/>
      <c r="E464" s="2171"/>
      <c r="F464" s="2172"/>
      <c r="G464" s="2193">
        <f t="shared" si="82"/>
        <v>93.8</v>
      </c>
      <c r="H464" s="2193"/>
      <c r="I464" s="2193"/>
      <c r="J464" s="2193"/>
      <c r="K464" s="2193">
        <f t="shared" si="83"/>
        <v>602.20000000000005</v>
      </c>
      <c r="L464" s="2193"/>
      <c r="M464" s="2193"/>
      <c r="N464" s="2193"/>
      <c r="O464" s="2194">
        <f t="shared" si="84"/>
        <v>309.08</v>
      </c>
      <c r="P464" s="2195"/>
      <c r="Q464" s="2195"/>
      <c r="R464" s="2196"/>
      <c r="S464" s="2193">
        <f t="shared" si="85"/>
        <v>1678.6</v>
      </c>
      <c r="T464" s="2193"/>
      <c r="U464" s="2193"/>
      <c r="V464" s="2193"/>
    </row>
    <row r="465" spans="1:54" s="192" customFormat="1" x14ac:dyDescent="0.25">
      <c r="A465" s="2170" t="s">
        <v>224</v>
      </c>
      <c r="B465" s="2171"/>
      <c r="C465" s="2171"/>
      <c r="D465" s="2171"/>
      <c r="E465" s="2171"/>
      <c r="F465" s="2172"/>
      <c r="G465" s="2193">
        <f t="shared" si="82"/>
        <v>101.16</v>
      </c>
      <c r="H465" s="2193"/>
      <c r="I465" s="2193"/>
      <c r="J465" s="2193"/>
      <c r="K465" s="2193">
        <f t="shared" si="83"/>
        <v>649.5</v>
      </c>
      <c r="L465" s="2193"/>
      <c r="M465" s="2193"/>
      <c r="N465" s="2193"/>
      <c r="O465" s="2194">
        <f t="shared" si="84"/>
        <v>333.36</v>
      </c>
      <c r="P465" s="2195"/>
      <c r="Q465" s="2195"/>
      <c r="R465" s="2196"/>
      <c r="S465" s="2193">
        <f t="shared" si="85"/>
        <v>1810.5</v>
      </c>
      <c r="T465" s="2193"/>
      <c r="U465" s="2193"/>
      <c r="V465" s="2193"/>
    </row>
    <row r="466" spans="1:54" s="192" customFormat="1" x14ac:dyDescent="0.25">
      <c r="A466" s="2170" t="s">
        <v>225</v>
      </c>
      <c r="B466" s="2171"/>
      <c r="C466" s="2171"/>
      <c r="D466" s="2171"/>
      <c r="E466" s="2171"/>
      <c r="F466" s="2172"/>
      <c r="G466" s="2193">
        <f t="shared" si="82"/>
        <v>92.75</v>
      </c>
      <c r="H466" s="2193"/>
      <c r="I466" s="2193"/>
      <c r="J466" s="2193"/>
      <c r="K466" s="2193">
        <f t="shared" si="83"/>
        <v>425.5</v>
      </c>
      <c r="L466" s="2193"/>
      <c r="M466" s="2193"/>
      <c r="N466" s="2193"/>
      <c r="O466" s="2194">
        <f t="shared" si="84"/>
        <v>305.76</v>
      </c>
      <c r="P466" s="2195"/>
      <c r="Q466" s="2195"/>
      <c r="R466" s="2196"/>
      <c r="S466" s="2193">
        <f t="shared" si="85"/>
        <v>1186</v>
      </c>
      <c r="T466" s="2193"/>
      <c r="U466" s="2193"/>
      <c r="V466" s="2193"/>
    </row>
    <row r="467" spans="1:54" s="192" customFormat="1" x14ac:dyDescent="0.25">
      <c r="A467" s="2170" t="s">
        <v>226</v>
      </c>
      <c r="B467" s="2171"/>
      <c r="C467" s="2171"/>
      <c r="D467" s="2171"/>
      <c r="E467" s="2171"/>
      <c r="F467" s="2172"/>
      <c r="G467" s="2193">
        <f t="shared" si="82"/>
        <v>67.38</v>
      </c>
      <c r="H467" s="2193"/>
      <c r="I467" s="2193"/>
      <c r="J467" s="2193"/>
      <c r="K467" s="2193">
        <f t="shared" si="83"/>
        <v>634.48</v>
      </c>
      <c r="L467" s="2193"/>
      <c r="M467" s="2193"/>
      <c r="N467" s="2193"/>
      <c r="O467" s="2194">
        <f t="shared" si="84"/>
        <v>222.06</v>
      </c>
      <c r="P467" s="2195"/>
      <c r="Q467" s="2195"/>
      <c r="R467" s="2196"/>
      <c r="S467" s="2193">
        <f t="shared" si="85"/>
        <v>1769.02</v>
      </c>
      <c r="T467" s="2193"/>
      <c r="U467" s="2193"/>
      <c r="V467" s="2193"/>
    </row>
    <row r="468" spans="1:54" s="192" customFormat="1" x14ac:dyDescent="0.25">
      <c r="A468" s="2170" t="s">
        <v>55</v>
      </c>
      <c r="B468" s="2171"/>
      <c r="C468" s="2171"/>
      <c r="D468" s="2171"/>
      <c r="E468" s="2171"/>
      <c r="F468" s="2172"/>
      <c r="G468" s="2193">
        <f t="shared" si="82"/>
        <v>86.08</v>
      </c>
      <c r="H468" s="2193"/>
      <c r="I468" s="2193"/>
      <c r="J468" s="2193"/>
      <c r="K468" s="2193">
        <f t="shared" si="83"/>
        <v>690.75</v>
      </c>
      <c r="L468" s="2193"/>
      <c r="M468" s="2193"/>
      <c r="N468" s="2193"/>
      <c r="O468" s="2194">
        <f t="shared" si="84"/>
        <v>283.60000000000002</v>
      </c>
      <c r="P468" s="2195"/>
      <c r="Q468" s="2195"/>
      <c r="R468" s="2196"/>
      <c r="S468" s="2193">
        <f t="shared" si="85"/>
        <v>1925.25</v>
      </c>
      <c r="T468" s="2193"/>
      <c r="U468" s="2193"/>
      <c r="V468" s="2193"/>
    </row>
    <row r="469" spans="1:54" s="192" customFormat="1" x14ac:dyDescent="0.25">
      <c r="A469" s="2170" t="s">
        <v>227</v>
      </c>
      <c r="B469" s="2171"/>
      <c r="C469" s="2171"/>
      <c r="D469" s="2171"/>
      <c r="E469" s="2171"/>
      <c r="F469" s="2172"/>
      <c r="G469" s="2193">
        <f t="shared" si="82"/>
        <v>77.28</v>
      </c>
      <c r="H469" s="2193"/>
      <c r="I469" s="2193"/>
      <c r="J469" s="2193"/>
      <c r="K469" s="2193">
        <f t="shared" si="83"/>
        <v>694.54</v>
      </c>
      <c r="L469" s="2193"/>
      <c r="M469" s="2193"/>
      <c r="N469" s="2193"/>
      <c r="O469" s="2194">
        <f t="shared" si="84"/>
        <v>254.64</v>
      </c>
      <c r="P469" s="2195"/>
      <c r="Q469" s="2195"/>
      <c r="R469" s="2196"/>
      <c r="S469" s="2193">
        <f t="shared" si="85"/>
        <v>1936.2</v>
      </c>
      <c r="T469" s="2193"/>
      <c r="U469" s="2193"/>
      <c r="V469" s="2193"/>
    </row>
    <row r="470" spans="1:54" s="192" customFormat="1" x14ac:dyDescent="0.25">
      <c r="A470" s="2170" t="s">
        <v>228</v>
      </c>
      <c r="B470" s="2171"/>
      <c r="C470" s="2171"/>
      <c r="D470" s="2171"/>
      <c r="E470" s="2171"/>
      <c r="F470" s="2172"/>
      <c r="G470" s="2193">
        <f t="shared" si="82"/>
        <v>73.2</v>
      </c>
      <c r="H470" s="2193"/>
      <c r="I470" s="2193"/>
      <c r="J470" s="2193"/>
      <c r="K470" s="2193">
        <f t="shared" si="83"/>
        <v>657.86</v>
      </c>
      <c r="L470" s="2193"/>
      <c r="M470" s="2193"/>
      <c r="N470" s="2193"/>
      <c r="O470" s="2194">
        <f t="shared" si="84"/>
        <v>241.2</v>
      </c>
      <c r="P470" s="2195"/>
      <c r="Q470" s="2195"/>
      <c r="R470" s="2196"/>
      <c r="S470" s="2193">
        <f t="shared" si="85"/>
        <v>1834</v>
      </c>
      <c r="T470" s="2193"/>
      <c r="U470" s="2193"/>
      <c r="V470" s="2193"/>
    </row>
    <row r="471" spans="1:54" s="192" customFormat="1" x14ac:dyDescent="0.25">
      <c r="A471" s="2170" t="s">
        <v>229</v>
      </c>
      <c r="B471" s="2171"/>
      <c r="C471" s="2171"/>
      <c r="D471" s="2171"/>
      <c r="E471" s="2171"/>
      <c r="F471" s="2172"/>
      <c r="G471" s="2193">
        <f t="shared" si="82"/>
        <v>68.64</v>
      </c>
      <c r="H471" s="2193"/>
      <c r="I471" s="2193"/>
      <c r="J471" s="2193"/>
      <c r="K471" s="2193">
        <f t="shared" si="83"/>
        <v>550.75</v>
      </c>
      <c r="L471" s="2193"/>
      <c r="M471" s="2193"/>
      <c r="N471" s="2193"/>
      <c r="O471" s="2194">
        <f t="shared" si="84"/>
        <v>226.2</v>
      </c>
      <c r="P471" s="2195"/>
      <c r="Q471" s="2195"/>
      <c r="R471" s="2196"/>
      <c r="S471" s="2193">
        <f t="shared" si="85"/>
        <v>1535.5</v>
      </c>
      <c r="T471" s="2193"/>
      <c r="U471" s="2193"/>
      <c r="V471" s="2193"/>
    </row>
    <row r="472" spans="1:54" s="192" customFormat="1" ht="63" customHeight="1" x14ac:dyDescent="0.25">
      <c r="A472" s="1686" t="s">
        <v>6758</v>
      </c>
      <c r="B472" s="1686"/>
      <c r="C472" s="1686"/>
      <c r="D472" s="1686"/>
      <c r="E472" s="1686"/>
      <c r="F472" s="1686"/>
      <c r="G472" s="1686"/>
      <c r="H472" s="1686"/>
      <c r="I472" s="1686"/>
      <c r="J472" s="1686"/>
      <c r="K472" s="1686"/>
      <c r="L472" s="1686"/>
      <c r="M472" s="1686"/>
      <c r="N472" s="1686"/>
      <c r="O472" s="1686"/>
      <c r="P472" s="1686"/>
      <c r="Q472" s="1686"/>
      <c r="R472" s="1686"/>
      <c r="S472" s="1686"/>
      <c r="T472" s="1686"/>
      <c r="U472" s="1686"/>
      <c r="V472" s="1686"/>
      <c r="W472" s="1686"/>
      <c r="X472" s="1686"/>
      <c r="Y472" s="1686"/>
      <c r="Z472" s="1686"/>
      <c r="AA472" s="1686"/>
      <c r="AB472" s="1686"/>
      <c r="AC472" s="1686"/>
      <c r="AD472" s="1686"/>
      <c r="AE472" s="1686"/>
      <c r="AF472" s="1686"/>
      <c r="AG472" s="1686"/>
      <c r="AH472" s="1686"/>
      <c r="AI472" s="1686"/>
      <c r="AJ472" s="1686"/>
      <c r="AK472" s="1686"/>
      <c r="AL472" s="1686"/>
    </row>
    <row r="473" spans="1:54" x14ac:dyDescent="0.25">
      <c r="B473" s="379" t="s">
        <v>1961</v>
      </c>
    </row>
    <row r="475" spans="1:54" s="192" customFormat="1" ht="15.75" x14ac:dyDescent="0.25">
      <c r="A475" s="740" t="s">
        <v>6724</v>
      </c>
      <c r="B475" s="996"/>
      <c r="C475" s="996"/>
      <c r="D475" s="996"/>
      <c r="E475" s="996"/>
      <c r="F475" s="996"/>
      <c r="G475" s="996"/>
      <c r="H475" s="996"/>
      <c r="I475" s="996"/>
      <c r="J475" s="996"/>
      <c r="K475" s="996"/>
      <c r="L475" s="996"/>
      <c r="M475" s="996"/>
      <c r="N475" s="996"/>
      <c r="O475" s="996"/>
      <c r="P475" s="996"/>
      <c r="Q475" s="996"/>
      <c r="R475" s="996"/>
      <c r="S475" s="996"/>
      <c r="T475" s="996"/>
      <c r="U475" s="996"/>
      <c r="V475" s="996"/>
      <c r="W475" s="996"/>
      <c r="X475" s="996"/>
      <c r="Y475" s="996"/>
      <c r="Z475" s="996"/>
      <c r="AA475" s="262"/>
      <c r="AB475" s="262"/>
      <c r="AC475" s="262"/>
      <c r="AD475" s="262"/>
      <c r="AE475" s="740"/>
      <c r="AF475" s="740"/>
      <c r="AG475" s="740"/>
      <c r="AH475" s="740"/>
      <c r="AI475" s="740"/>
      <c r="AJ475" s="740"/>
      <c r="AK475" s="740"/>
      <c r="AL475" s="740"/>
      <c r="AM475" s="740"/>
      <c r="AN475" s="740"/>
      <c r="AO475" s="743"/>
      <c r="AP475" s="740"/>
      <c r="AQ475" s="740"/>
      <c r="AR475" s="740"/>
      <c r="AS475" s="740"/>
      <c r="AT475" s="740"/>
      <c r="AU475" s="740"/>
      <c r="AV475" s="740"/>
      <c r="AW475" s="740"/>
      <c r="AX475" s="740"/>
      <c r="AY475" s="262"/>
      <c r="AZ475" s="262"/>
      <c r="BA475" s="262"/>
      <c r="BB475" s="262"/>
    </row>
    <row r="476" spans="1:54" s="192" customFormat="1" x14ac:dyDescent="0.25">
      <c r="B476" s="995"/>
      <c r="C476" s="995"/>
      <c r="D476" s="995"/>
      <c r="E476" s="995"/>
      <c r="F476" s="995"/>
      <c r="G476" s="2390" t="s">
        <v>2919</v>
      </c>
      <c r="H476" s="2391"/>
      <c r="I476" s="2391"/>
      <c r="J476" s="2391"/>
      <c r="K476" s="2391"/>
      <c r="L476" s="2391"/>
      <c r="M476" s="2391"/>
      <c r="N476" s="2391"/>
      <c r="O476" s="2391"/>
      <c r="P476" s="2391"/>
      <c r="Q476" s="2391"/>
      <c r="R476" s="2391"/>
      <c r="S476" s="2391"/>
      <c r="T476" s="2391"/>
      <c r="U476" s="2391"/>
      <c r="V476" s="2391"/>
      <c r="W476" s="2391"/>
      <c r="X476" s="2391"/>
      <c r="Y476" s="2391"/>
      <c r="Z476" s="2391"/>
      <c r="AA476" s="2391"/>
      <c r="AB476" s="2391"/>
      <c r="AC476" s="2391"/>
      <c r="AD476" s="2392"/>
      <c r="AE476" s="2393" t="s">
        <v>2920</v>
      </c>
      <c r="AF476" s="2394"/>
      <c r="AG476" s="2394"/>
      <c r="AH476" s="2394"/>
      <c r="AI476" s="2394"/>
      <c r="AJ476" s="2394"/>
      <c r="AK476" s="2394"/>
      <c r="AL476" s="2394"/>
      <c r="AM476" s="2394"/>
      <c r="AN476" s="2394"/>
      <c r="AO476" s="2394"/>
      <c r="AP476" s="2394"/>
      <c r="AQ476" s="2394"/>
      <c r="AR476" s="2394"/>
      <c r="AS476" s="2394"/>
      <c r="AT476" s="2394"/>
      <c r="AU476" s="2394"/>
      <c r="AV476" s="2394"/>
      <c r="AW476" s="2394"/>
      <c r="AX476" s="2394"/>
      <c r="AY476" s="2394"/>
      <c r="AZ476" s="2394"/>
      <c r="BA476" s="2394"/>
      <c r="BB476" s="2395"/>
    </row>
    <row r="477" spans="1:54" s="192" customFormat="1" ht="29.45" customHeight="1" x14ac:dyDescent="0.25">
      <c r="A477" s="2199" t="s">
        <v>54</v>
      </c>
      <c r="B477" s="2200"/>
      <c r="C477" s="2200"/>
      <c r="D477" s="2200"/>
      <c r="E477" s="2200"/>
      <c r="F477" s="2201"/>
      <c r="G477" s="2418" t="s">
        <v>1959</v>
      </c>
      <c r="H477" s="2418"/>
      <c r="I477" s="2418"/>
      <c r="J477" s="2418"/>
      <c r="K477" s="2418" t="s">
        <v>1960</v>
      </c>
      <c r="L477" s="2418"/>
      <c r="M477" s="2418"/>
      <c r="N477" s="2418"/>
      <c r="O477" s="2414" t="s">
        <v>6496</v>
      </c>
      <c r="P477" s="2415"/>
      <c r="Q477" s="2415"/>
      <c r="R477" s="2416"/>
      <c r="S477" s="2413" t="s">
        <v>6497</v>
      </c>
      <c r="T477" s="2413"/>
      <c r="U477" s="2413"/>
      <c r="V477" s="2413"/>
      <c r="W477" s="2417" t="s">
        <v>1957</v>
      </c>
      <c r="X477" s="2417"/>
      <c r="Y477" s="2417"/>
      <c r="Z477" s="2417"/>
      <c r="AA477" s="2417" t="s">
        <v>1958</v>
      </c>
      <c r="AB477" s="2417"/>
      <c r="AC477" s="2417"/>
      <c r="AD477" s="2417"/>
      <c r="AE477" s="2418" t="s">
        <v>1959</v>
      </c>
      <c r="AF477" s="2418"/>
      <c r="AG477" s="2418"/>
      <c r="AH477" s="2418"/>
      <c r="AI477" s="2418" t="s">
        <v>1960</v>
      </c>
      <c r="AJ477" s="2418"/>
      <c r="AK477" s="2418"/>
      <c r="AL477" s="2418"/>
      <c r="AM477" s="2413" t="s">
        <v>6496</v>
      </c>
      <c r="AN477" s="2413"/>
      <c r="AO477" s="2413"/>
      <c r="AP477" s="2413"/>
      <c r="AQ477" s="2414" t="s">
        <v>6497</v>
      </c>
      <c r="AR477" s="2415"/>
      <c r="AS477" s="2415"/>
      <c r="AT477" s="2416"/>
      <c r="AU477" s="2417" t="s">
        <v>1957</v>
      </c>
      <c r="AV477" s="2417"/>
      <c r="AW477" s="2417"/>
      <c r="AX477" s="2417"/>
      <c r="AY477" s="2417" t="s">
        <v>1958</v>
      </c>
      <c r="AZ477" s="2417"/>
      <c r="BA477" s="2417"/>
      <c r="BB477" s="2417"/>
    </row>
    <row r="478" spans="1:54" s="192" customFormat="1" x14ac:dyDescent="0.25">
      <c r="A478" s="2170" t="s">
        <v>1984</v>
      </c>
      <c r="B478" s="2171"/>
      <c r="C478" s="2171"/>
      <c r="D478" s="2171"/>
      <c r="E478" s="2171"/>
      <c r="F478" s="2172"/>
      <c r="G478" s="2192">
        <f t="shared" ref="G478:G488" si="86">ROUND(($U$111-$G$143)*$Q$73*VLOOKUP($A478,$N$123:$AG$133,17,TRUE)*VLOOKUP($A478,$N$146:$AG$156,13,TRUE)*$Q$78,3)</f>
        <v>1.4E-2</v>
      </c>
      <c r="H478" s="2192"/>
      <c r="I478" s="2192"/>
      <c r="J478" s="2192"/>
      <c r="K478" s="2192">
        <f t="shared" ref="K478:K488" si="87">ROUND(($U$111-$I$143)*$Q$73*VLOOKUP($A478,$N$123:$AG$133,17,TRUE)*VLOOKUP($A478,$N$146:$AG$156,13,TRUE)*$Q$78,3)</f>
        <v>1.6E-2</v>
      </c>
      <c r="L478" s="2192"/>
      <c r="M478" s="2192"/>
      <c r="N478" s="2192"/>
      <c r="O478" s="2154">
        <f t="shared" ref="O478:O488" si="88">ROUND(($U$112-$G$144)*$Q$73*VLOOKUP($A478,$N$123:$AG$133,17,TRUE)*VLOOKUP($A478,$N$146:$AG$156,13,TRUE)*$Q$78,3)</f>
        <v>5.0000000000000001E-3</v>
      </c>
      <c r="P478" s="2155"/>
      <c r="Q478" s="2155"/>
      <c r="R478" s="2156"/>
      <c r="S478" s="2192">
        <f t="shared" ref="S478:S488" si="89">ROUND(($U$112-$I$144)*$Q$73*VLOOKUP($A478,$N$123:$AG$133,17,TRUE)*VLOOKUP($A478,$N$146:$AG$156,13,TRUE)*$Q$78,3)</f>
        <v>6.0000000000000001E-3</v>
      </c>
      <c r="T478" s="2192"/>
      <c r="U478" s="2192"/>
      <c r="V478" s="2192"/>
      <c r="W478" s="2192">
        <f t="shared" ref="W478:W488" si="90">ROUND(($U$113-$G$145)*$Q$73*VLOOKUP($A478,$N$123:$AG$133,17,TRUE)*VLOOKUP($A478,$N$146:$AG$156,13,TRUE)*$Q$78,3)</f>
        <v>0.01</v>
      </c>
      <c r="X478" s="2192"/>
      <c r="Y478" s="2192"/>
      <c r="Z478" s="2192"/>
      <c r="AA478" s="2192">
        <f t="shared" ref="AA478:AA488" si="91">ROUND(($U$113-$I$145)*$Q$73*VLOOKUP($A478,$N$123:$AG$133,17,TRUE)*VLOOKUP($A478,$N$146:$AG$156,13,TRUE)*$Q$78,3)</f>
        <v>1.2E-2</v>
      </c>
      <c r="AB478" s="2192"/>
      <c r="AC478" s="2192"/>
      <c r="AD478" s="2192"/>
      <c r="AE478" s="2202">
        <f t="shared" ref="AE478:AE488" si="92">ROUND(($U$111-$G$143)*$Q$73*VLOOKUP($A478,$A$167:$Q$177,15,TRUE)*VLOOKUP($A478,$N$146:$AG$156,17,TRUE)*$Q$78,2)</f>
        <v>70.430000000000007</v>
      </c>
      <c r="AF478" s="2202"/>
      <c r="AG478" s="2202"/>
      <c r="AH478" s="2202"/>
      <c r="AI478" s="2202">
        <f t="shared" ref="AI478:AI488" si="93">ROUND(($U$111-$I$143)*$Q$73*VLOOKUP($A478,$A$167:$Q$177,15,TRUE)*VLOOKUP($A478,$N$146:$AG$156,17,TRUE)*$Q$78,2)</f>
        <v>81.3</v>
      </c>
      <c r="AJ478" s="2202"/>
      <c r="AK478" s="2202"/>
      <c r="AL478" s="2202"/>
      <c r="AM478" s="2202">
        <f t="shared" ref="AM478:AM488" si="94">ROUND(($U$112-$G$144)*$Q$73*VLOOKUP($A478,$A$167:$Q$177,15,TRUE)*VLOOKUP($A478,$N$146:$AG$156,17,TRUE)*$Q$78,2)</f>
        <v>25</v>
      </c>
      <c r="AN478" s="2202"/>
      <c r="AO478" s="2202"/>
      <c r="AP478" s="2202"/>
      <c r="AQ478" s="2157">
        <f t="shared" ref="AQ478:AQ488" si="95">ROUND(($U$112-$I$144)*$Q$73*VLOOKUP($A478,$A$167:$Q$177,15,TRUE)*VLOOKUP($A478,$N$146:$AG$156,17,TRUE)*$Q$78,2)</f>
        <v>30.43</v>
      </c>
      <c r="AR478" s="2158"/>
      <c r="AS478" s="2158"/>
      <c r="AT478" s="2159"/>
      <c r="AU478" s="2202">
        <f t="shared" ref="AU478:AU488" si="96">ROUND(($U$113-$G$145)*$Q$73*VLOOKUP($A478,$A$167:$Q$177,15,TRUE)*VLOOKUP($A478,$N$146:$AG$156,17,TRUE)*$Q$78,2)</f>
        <v>50</v>
      </c>
      <c r="AV478" s="2202"/>
      <c r="AW478" s="2202"/>
      <c r="AX478" s="2202"/>
      <c r="AY478" s="2202">
        <f t="shared" ref="AY478:AY488" si="97">ROUND(($U$113-$I$145)*$Q$73*VLOOKUP($A478,$A$167:$Q$177,15,TRUE)*VLOOKUP($A478,$N$146:$AG$156,17,TRUE)*$Q$78,2)</f>
        <v>60.87</v>
      </c>
      <c r="AZ478" s="2202"/>
      <c r="BA478" s="2202"/>
      <c r="BB478" s="2202"/>
    </row>
    <row r="479" spans="1:54" s="192" customFormat="1" x14ac:dyDescent="0.25">
      <c r="A479" s="2170" t="s">
        <v>221</v>
      </c>
      <c r="B479" s="2171"/>
      <c r="C479" s="2171"/>
      <c r="D479" s="2171"/>
      <c r="E479" s="2171"/>
      <c r="F479" s="2172"/>
      <c r="G479" s="2192">
        <f t="shared" si="86"/>
        <v>8.0000000000000002E-3</v>
      </c>
      <c r="H479" s="2192"/>
      <c r="I479" s="2192"/>
      <c r="J479" s="2192"/>
      <c r="K479" s="2192">
        <f t="shared" si="87"/>
        <v>8.9999999999999993E-3</v>
      </c>
      <c r="L479" s="2192"/>
      <c r="M479" s="2192"/>
      <c r="N479" s="2192"/>
      <c r="O479" s="2154">
        <f t="shared" si="88"/>
        <v>3.0000000000000001E-3</v>
      </c>
      <c r="P479" s="2155"/>
      <c r="Q479" s="2155"/>
      <c r="R479" s="2156"/>
      <c r="S479" s="2192">
        <f t="shared" si="89"/>
        <v>3.0000000000000001E-3</v>
      </c>
      <c r="T479" s="2192"/>
      <c r="U479" s="2192"/>
      <c r="V479" s="2192"/>
      <c r="W479" s="2192">
        <f t="shared" si="90"/>
        <v>6.0000000000000001E-3</v>
      </c>
      <c r="X479" s="2192"/>
      <c r="Y479" s="2192"/>
      <c r="Z479" s="2192"/>
      <c r="AA479" s="2192">
        <f t="shared" si="91"/>
        <v>7.0000000000000001E-3</v>
      </c>
      <c r="AB479" s="2192"/>
      <c r="AC479" s="2192"/>
      <c r="AD479" s="2192"/>
      <c r="AE479" s="2202">
        <f t="shared" si="92"/>
        <v>241.76</v>
      </c>
      <c r="AF479" s="2202"/>
      <c r="AG479" s="2202"/>
      <c r="AH479" s="2202"/>
      <c r="AI479" s="2202">
        <f t="shared" si="93"/>
        <v>279.07</v>
      </c>
      <c r="AJ479" s="2202"/>
      <c r="AK479" s="2202"/>
      <c r="AL479" s="2202"/>
      <c r="AM479" s="2202">
        <f t="shared" si="94"/>
        <v>85.81</v>
      </c>
      <c r="AN479" s="2202"/>
      <c r="AO479" s="2202"/>
      <c r="AP479" s="2202"/>
      <c r="AQ479" s="2157">
        <f t="shared" si="95"/>
        <v>104.46</v>
      </c>
      <c r="AR479" s="2158"/>
      <c r="AS479" s="2158"/>
      <c r="AT479" s="2159"/>
      <c r="AU479" s="2202">
        <f t="shared" si="96"/>
        <v>171.62</v>
      </c>
      <c r="AV479" s="2202"/>
      <c r="AW479" s="2202"/>
      <c r="AX479" s="2202"/>
      <c r="AY479" s="2202">
        <f t="shared" si="97"/>
        <v>208.93</v>
      </c>
      <c r="AZ479" s="2202"/>
      <c r="BA479" s="2202"/>
      <c r="BB479" s="2202"/>
    </row>
    <row r="480" spans="1:54" s="192" customFormat="1" x14ac:dyDescent="0.25">
      <c r="A480" s="2170" t="s">
        <v>222</v>
      </c>
      <c r="B480" s="2171"/>
      <c r="C480" s="2171"/>
      <c r="D480" s="2171"/>
      <c r="E480" s="2171"/>
      <c r="F480" s="2172"/>
      <c r="G480" s="2192">
        <f t="shared" si="86"/>
        <v>1.2999999999999999E-2</v>
      </c>
      <c r="H480" s="2192"/>
      <c r="I480" s="2192"/>
      <c r="J480" s="2192"/>
      <c r="K480" s="2192">
        <f t="shared" si="87"/>
        <v>1.4999999999999999E-2</v>
      </c>
      <c r="L480" s="2192"/>
      <c r="M480" s="2192"/>
      <c r="N480" s="2192"/>
      <c r="O480" s="2154">
        <f t="shared" si="88"/>
        <v>5.0000000000000001E-3</v>
      </c>
      <c r="P480" s="2155"/>
      <c r="Q480" s="2155"/>
      <c r="R480" s="2156"/>
      <c r="S480" s="2192">
        <f t="shared" si="89"/>
        <v>6.0000000000000001E-3</v>
      </c>
      <c r="T480" s="2192"/>
      <c r="U480" s="2192"/>
      <c r="V480" s="2192"/>
      <c r="W480" s="2192">
        <f t="shared" si="90"/>
        <v>8.9999999999999993E-3</v>
      </c>
      <c r="X480" s="2192"/>
      <c r="Y480" s="2192"/>
      <c r="Z480" s="2192"/>
      <c r="AA480" s="2192">
        <f t="shared" si="91"/>
        <v>1.2E-2</v>
      </c>
      <c r="AB480" s="2192"/>
      <c r="AC480" s="2192"/>
      <c r="AD480" s="2192"/>
      <c r="AE480" s="2202">
        <f t="shared" si="92"/>
        <v>67.55</v>
      </c>
      <c r="AF480" s="2202"/>
      <c r="AG480" s="2202"/>
      <c r="AH480" s="2202"/>
      <c r="AI480" s="2202">
        <f t="shared" si="93"/>
        <v>77.98</v>
      </c>
      <c r="AJ480" s="2202"/>
      <c r="AK480" s="2202"/>
      <c r="AL480" s="2202"/>
      <c r="AM480" s="2202">
        <f t="shared" si="94"/>
        <v>23.98</v>
      </c>
      <c r="AN480" s="2202"/>
      <c r="AO480" s="2202"/>
      <c r="AP480" s="2202"/>
      <c r="AQ480" s="2157">
        <f t="shared" si="95"/>
        <v>29.19</v>
      </c>
      <c r="AR480" s="2158"/>
      <c r="AS480" s="2158"/>
      <c r="AT480" s="2159"/>
      <c r="AU480" s="2202">
        <f t="shared" si="96"/>
        <v>47.95</v>
      </c>
      <c r="AV480" s="2202"/>
      <c r="AW480" s="2202"/>
      <c r="AX480" s="2202"/>
      <c r="AY480" s="2202">
        <f t="shared" si="97"/>
        <v>58.38</v>
      </c>
      <c r="AZ480" s="2202"/>
      <c r="BA480" s="2202"/>
      <c r="BB480" s="2202"/>
    </row>
    <row r="481" spans="1:59" s="192" customFormat="1" x14ac:dyDescent="0.25">
      <c r="A481" s="2170" t="s">
        <v>223</v>
      </c>
      <c r="B481" s="2171"/>
      <c r="C481" s="2171"/>
      <c r="D481" s="2171"/>
      <c r="E481" s="2171"/>
      <c r="F481" s="2172"/>
      <c r="G481" s="2192">
        <f t="shared" si="86"/>
        <v>2.4E-2</v>
      </c>
      <c r="H481" s="2192"/>
      <c r="I481" s="2192"/>
      <c r="J481" s="2192"/>
      <c r="K481" s="2192">
        <f t="shared" si="87"/>
        <v>2.7E-2</v>
      </c>
      <c r="L481" s="2192"/>
      <c r="M481" s="2192"/>
      <c r="N481" s="2192"/>
      <c r="O481" s="2154">
        <f t="shared" si="88"/>
        <v>8.0000000000000002E-3</v>
      </c>
      <c r="P481" s="2155"/>
      <c r="Q481" s="2155"/>
      <c r="R481" s="2156"/>
      <c r="S481" s="2192">
        <f t="shared" si="89"/>
        <v>0.01</v>
      </c>
      <c r="T481" s="2192"/>
      <c r="U481" s="2192"/>
      <c r="V481" s="2192"/>
      <c r="W481" s="2192">
        <f t="shared" si="90"/>
        <v>1.7000000000000001E-2</v>
      </c>
      <c r="X481" s="2192"/>
      <c r="Y481" s="2192"/>
      <c r="Z481" s="2192"/>
      <c r="AA481" s="2192">
        <f t="shared" si="91"/>
        <v>0.02</v>
      </c>
      <c r="AB481" s="2192"/>
      <c r="AC481" s="2192"/>
      <c r="AD481" s="2192"/>
      <c r="AE481" s="2202">
        <f t="shared" si="92"/>
        <v>172.66</v>
      </c>
      <c r="AF481" s="2202"/>
      <c r="AG481" s="2202"/>
      <c r="AH481" s="2202"/>
      <c r="AI481" s="2202">
        <f t="shared" si="93"/>
        <v>199.31</v>
      </c>
      <c r="AJ481" s="2202"/>
      <c r="AK481" s="2202"/>
      <c r="AL481" s="2202"/>
      <c r="AM481" s="2202">
        <f t="shared" si="94"/>
        <v>61.28</v>
      </c>
      <c r="AN481" s="2202"/>
      <c r="AO481" s="2202"/>
      <c r="AP481" s="2202"/>
      <c r="AQ481" s="2157">
        <f t="shared" si="95"/>
        <v>74.61</v>
      </c>
      <c r="AR481" s="2158"/>
      <c r="AS481" s="2158"/>
      <c r="AT481" s="2159"/>
      <c r="AU481" s="2202">
        <f t="shared" si="96"/>
        <v>122.57</v>
      </c>
      <c r="AV481" s="2202"/>
      <c r="AW481" s="2202"/>
      <c r="AX481" s="2202"/>
      <c r="AY481" s="2202">
        <f t="shared" si="97"/>
        <v>149.21</v>
      </c>
      <c r="AZ481" s="2202"/>
      <c r="BA481" s="2202"/>
      <c r="BB481" s="2202"/>
    </row>
    <row r="482" spans="1:59" s="192" customFormat="1" x14ac:dyDescent="0.25">
      <c r="A482" s="2170" t="s">
        <v>224</v>
      </c>
      <c r="B482" s="2171"/>
      <c r="C482" s="2171"/>
      <c r="D482" s="2171"/>
      <c r="E482" s="2171"/>
      <c r="F482" s="2172"/>
      <c r="G482" s="2192">
        <f t="shared" si="86"/>
        <v>2.5000000000000001E-2</v>
      </c>
      <c r="H482" s="2192"/>
      <c r="I482" s="2192"/>
      <c r="J482" s="2192"/>
      <c r="K482" s="2192">
        <f t="shared" si="87"/>
        <v>2.9000000000000001E-2</v>
      </c>
      <c r="L482" s="2192"/>
      <c r="M482" s="2192"/>
      <c r="N482" s="2192"/>
      <c r="O482" s="2154">
        <f t="shared" si="88"/>
        <v>8.9999999999999993E-3</v>
      </c>
      <c r="P482" s="2155"/>
      <c r="Q482" s="2155"/>
      <c r="R482" s="2156"/>
      <c r="S482" s="2192">
        <f t="shared" si="89"/>
        <v>1.0999999999999999E-2</v>
      </c>
      <c r="T482" s="2192"/>
      <c r="U482" s="2192"/>
      <c r="V482" s="2192"/>
      <c r="W482" s="2192">
        <f t="shared" si="90"/>
        <v>1.7999999999999999E-2</v>
      </c>
      <c r="X482" s="2192"/>
      <c r="Y482" s="2192"/>
      <c r="Z482" s="2192"/>
      <c r="AA482" s="2192">
        <f t="shared" si="91"/>
        <v>2.1000000000000001E-2</v>
      </c>
      <c r="AB482" s="2192"/>
      <c r="AC482" s="2192"/>
      <c r="AD482" s="2192"/>
      <c r="AE482" s="2202">
        <f t="shared" si="92"/>
        <v>186.23</v>
      </c>
      <c r="AF482" s="2202"/>
      <c r="AG482" s="2202"/>
      <c r="AH482" s="2202"/>
      <c r="AI482" s="2202">
        <f t="shared" si="93"/>
        <v>214.96</v>
      </c>
      <c r="AJ482" s="2202"/>
      <c r="AK482" s="2202"/>
      <c r="AL482" s="2202"/>
      <c r="AM482" s="2202">
        <f t="shared" si="94"/>
        <v>66.099999999999994</v>
      </c>
      <c r="AN482" s="2202"/>
      <c r="AO482" s="2202"/>
      <c r="AP482" s="2202"/>
      <c r="AQ482" s="2157">
        <f t="shared" si="95"/>
        <v>80.47</v>
      </c>
      <c r="AR482" s="2158"/>
      <c r="AS482" s="2158"/>
      <c r="AT482" s="2159"/>
      <c r="AU482" s="2202">
        <f t="shared" si="96"/>
        <v>132.19999999999999</v>
      </c>
      <c r="AV482" s="2202"/>
      <c r="AW482" s="2202"/>
      <c r="AX482" s="2202"/>
      <c r="AY482" s="2202">
        <f t="shared" si="97"/>
        <v>160.94</v>
      </c>
      <c r="AZ482" s="2202"/>
      <c r="BA482" s="2202"/>
      <c r="BB482" s="2202"/>
    </row>
    <row r="483" spans="1:59" s="192" customFormat="1" x14ac:dyDescent="0.25">
      <c r="A483" s="2170" t="s">
        <v>225</v>
      </c>
      <c r="B483" s="2171"/>
      <c r="C483" s="2171"/>
      <c r="D483" s="2171"/>
      <c r="E483" s="2171"/>
      <c r="F483" s="2172"/>
      <c r="G483" s="2192">
        <f t="shared" si="86"/>
        <v>8.9999999999999993E-3</v>
      </c>
      <c r="H483" s="2192"/>
      <c r="I483" s="2192"/>
      <c r="J483" s="2192"/>
      <c r="K483" s="2192">
        <f t="shared" si="87"/>
        <v>1.0999999999999999E-2</v>
      </c>
      <c r="L483" s="2192"/>
      <c r="M483" s="2192"/>
      <c r="N483" s="2192"/>
      <c r="O483" s="2154">
        <f t="shared" si="88"/>
        <v>3.0000000000000001E-3</v>
      </c>
      <c r="P483" s="2155"/>
      <c r="Q483" s="2155"/>
      <c r="R483" s="2156"/>
      <c r="S483" s="2192">
        <f t="shared" si="89"/>
        <v>4.0000000000000001E-3</v>
      </c>
      <c r="T483" s="2192"/>
      <c r="U483" s="2192"/>
      <c r="V483" s="2192"/>
      <c r="W483" s="2192">
        <f t="shared" si="90"/>
        <v>7.0000000000000001E-3</v>
      </c>
      <c r="X483" s="2192"/>
      <c r="Y483" s="2192"/>
      <c r="Z483" s="2192"/>
      <c r="AA483" s="2192">
        <f t="shared" si="91"/>
        <v>8.0000000000000002E-3</v>
      </c>
      <c r="AB483" s="2192"/>
      <c r="AC483" s="2192"/>
      <c r="AD483" s="2192"/>
      <c r="AE483" s="2202">
        <f t="shared" si="92"/>
        <v>48.8</v>
      </c>
      <c r="AF483" s="2202"/>
      <c r="AG483" s="2202"/>
      <c r="AH483" s="2202"/>
      <c r="AI483" s="2202">
        <f t="shared" si="93"/>
        <v>56.33</v>
      </c>
      <c r="AJ483" s="2202"/>
      <c r="AK483" s="2202"/>
      <c r="AL483" s="2202"/>
      <c r="AM483" s="2202">
        <f t="shared" si="94"/>
        <v>17.32</v>
      </c>
      <c r="AN483" s="2202"/>
      <c r="AO483" s="2202"/>
      <c r="AP483" s="2202"/>
      <c r="AQ483" s="2157">
        <f t="shared" si="95"/>
        <v>21.08</v>
      </c>
      <c r="AR483" s="2158"/>
      <c r="AS483" s="2158"/>
      <c r="AT483" s="2159"/>
      <c r="AU483" s="2202">
        <f t="shared" si="96"/>
        <v>34.64</v>
      </c>
      <c r="AV483" s="2202"/>
      <c r="AW483" s="2202"/>
      <c r="AX483" s="2202"/>
      <c r="AY483" s="2202">
        <f t="shared" si="97"/>
        <v>42.17</v>
      </c>
      <c r="AZ483" s="2202"/>
      <c r="BA483" s="2202"/>
      <c r="BB483" s="2202"/>
    </row>
    <row r="484" spans="1:59" s="192" customFormat="1" x14ac:dyDescent="0.25">
      <c r="A484" s="2170" t="s">
        <v>226</v>
      </c>
      <c r="B484" s="2171"/>
      <c r="C484" s="2171"/>
      <c r="D484" s="2171"/>
      <c r="E484" s="2171"/>
      <c r="F484" s="2172"/>
      <c r="G484" s="2192">
        <f t="shared" si="86"/>
        <v>2.1999999999999999E-2</v>
      </c>
      <c r="H484" s="2192"/>
      <c r="I484" s="2192"/>
      <c r="J484" s="2192"/>
      <c r="K484" s="2192">
        <f t="shared" si="87"/>
        <v>2.5999999999999999E-2</v>
      </c>
      <c r="L484" s="2192"/>
      <c r="M484" s="2192"/>
      <c r="N484" s="2192"/>
      <c r="O484" s="2154">
        <f t="shared" si="88"/>
        <v>8.0000000000000002E-3</v>
      </c>
      <c r="P484" s="2155"/>
      <c r="Q484" s="2155"/>
      <c r="R484" s="2156"/>
      <c r="S484" s="2192">
        <f t="shared" si="89"/>
        <v>0.01</v>
      </c>
      <c r="T484" s="2192"/>
      <c r="U484" s="2192"/>
      <c r="V484" s="2192"/>
      <c r="W484" s="2192">
        <f t="shared" si="90"/>
        <v>1.6E-2</v>
      </c>
      <c r="X484" s="2192"/>
      <c r="Y484" s="2192"/>
      <c r="Z484" s="2192"/>
      <c r="AA484" s="2192">
        <f t="shared" si="91"/>
        <v>1.9E-2</v>
      </c>
      <c r="AB484" s="2192"/>
      <c r="AC484" s="2192"/>
      <c r="AD484" s="2192"/>
      <c r="AE484" s="2202">
        <f t="shared" si="92"/>
        <v>82.7</v>
      </c>
      <c r="AF484" s="2202"/>
      <c r="AG484" s="2202"/>
      <c r="AH484" s="2202"/>
      <c r="AI484" s="2202">
        <f t="shared" si="93"/>
        <v>95.47</v>
      </c>
      <c r="AJ484" s="2202"/>
      <c r="AK484" s="2202"/>
      <c r="AL484" s="2202"/>
      <c r="AM484" s="2202">
        <f t="shared" si="94"/>
        <v>29.35</v>
      </c>
      <c r="AN484" s="2202"/>
      <c r="AO484" s="2202"/>
      <c r="AP484" s="2202"/>
      <c r="AQ484" s="2157">
        <f t="shared" si="95"/>
        <v>35.74</v>
      </c>
      <c r="AR484" s="2158"/>
      <c r="AS484" s="2158"/>
      <c r="AT484" s="2159"/>
      <c r="AU484" s="2202">
        <f t="shared" si="96"/>
        <v>58.71</v>
      </c>
      <c r="AV484" s="2202"/>
      <c r="AW484" s="2202"/>
      <c r="AX484" s="2202"/>
      <c r="AY484" s="2202">
        <f t="shared" si="97"/>
        <v>71.47</v>
      </c>
      <c r="AZ484" s="2202"/>
      <c r="BA484" s="2202"/>
      <c r="BB484" s="2202"/>
    </row>
    <row r="485" spans="1:59" s="192" customFormat="1" x14ac:dyDescent="0.25">
      <c r="A485" s="2170" t="s">
        <v>55</v>
      </c>
      <c r="B485" s="2171"/>
      <c r="C485" s="2171"/>
      <c r="D485" s="2171"/>
      <c r="E485" s="2171"/>
      <c r="F485" s="2172"/>
      <c r="G485" s="2192">
        <f t="shared" si="86"/>
        <v>8.0000000000000002E-3</v>
      </c>
      <c r="H485" s="2192"/>
      <c r="I485" s="2192"/>
      <c r="J485" s="2192"/>
      <c r="K485" s="2192">
        <f t="shared" si="87"/>
        <v>0.01</v>
      </c>
      <c r="L485" s="2192"/>
      <c r="M485" s="2192"/>
      <c r="N485" s="2192"/>
      <c r="O485" s="2154">
        <f t="shared" si="88"/>
        <v>3.0000000000000001E-3</v>
      </c>
      <c r="P485" s="2155"/>
      <c r="Q485" s="2155"/>
      <c r="R485" s="2156"/>
      <c r="S485" s="2192">
        <f t="shared" si="89"/>
        <v>4.0000000000000001E-3</v>
      </c>
      <c r="T485" s="2192"/>
      <c r="U485" s="2192"/>
      <c r="V485" s="2192"/>
      <c r="W485" s="2192">
        <f t="shared" si="90"/>
        <v>6.0000000000000001E-3</v>
      </c>
      <c r="X485" s="2192"/>
      <c r="Y485" s="2192"/>
      <c r="Z485" s="2192"/>
      <c r="AA485" s="2192">
        <f t="shared" si="91"/>
        <v>7.0000000000000001E-3</v>
      </c>
      <c r="AB485" s="2192"/>
      <c r="AC485" s="2192"/>
      <c r="AD485" s="2192"/>
      <c r="AE485" s="2202">
        <f t="shared" si="92"/>
        <v>79.209999999999994</v>
      </c>
      <c r="AF485" s="2202"/>
      <c r="AG485" s="2202"/>
      <c r="AH485" s="2202"/>
      <c r="AI485" s="2202">
        <f t="shared" si="93"/>
        <v>91.44</v>
      </c>
      <c r="AJ485" s="2202"/>
      <c r="AK485" s="2202"/>
      <c r="AL485" s="2202"/>
      <c r="AM485" s="2202">
        <f t="shared" si="94"/>
        <v>28.12</v>
      </c>
      <c r="AN485" s="2202"/>
      <c r="AO485" s="2202"/>
      <c r="AP485" s="2202"/>
      <c r="AQ485" s="2157">
        <f t="shared" si="95"/>
        <v>34.229999999999997</v>
      </c>
      <c r="AR485" s="2158"/>
      <c r="AS485" s="2158"/>
      <c r="AT485" s="2159"/>
      <c r="AU485" s="2202">
        <f t="shared" si="96"/>
        <v>56.23</v>
      </c>
      <c r="AV485" s="2202"/>
      <c r="AW485" s="2202"/>
      <c r="AX485" s="2202"/>
      <c r="AY485" s="2202">
        <f t="shared" si="97"/>
        <v>68.459999999999994</v>
      </c>
      <c r="AZ485" s="2202"/>
      <c r="BA485" s="2202"/>
      <c r="BB485" s="2202"/>
    </row>
    <row r="486" spans="1:59" s="192" customFormat="1" x14ac:dyDescent="0.25">
      <c r="A486" s="2170" t="s">
        <v>227</v>
      </c>
      <c r="B486" s="2171"/>
      <c r="C486" s="2171"/>
      <c r="D486" s="2171"/>
      <c r="E486" s="2171"/>
      <c r="F486" s="2172"/>
      <c r="G486" s="2192">
        <f t="shared" si="86"/>
        <v>1.9E-2</v>
      </c>
      <c r="H486" s="2192"/>
      <c r="I486" s="2192"/>
      <c r="J486" s="2192"/>
      <c r="K486" s="2192">
        <f t="shared" si="87"/>
        <v>2.1999999999999999E-2</v>
      </c>
      <c r="L486" s="2192"/>
      <c r="M486" s="2192"/>
      <c r="N486" s="2192"/>
      <c r="O486" s="2154">
        <f t="shared" si="88"/>
        <v>7.0000000000000001E-3</v>
      </c>
      <c r="P486" s="2155"/>
      <c r="Q486" s="2155"/>
      <c r="R486" s="2156"/>
      <c r="S486" s="2192">
        <f t="shared" si="89"/>
        <v>8.0000000000000002E-3</v>
      </c>
      <c r="T486" s="2192"/>
      <c r="U486" s="2192"/>
      <c r="V486" s="2192"/>
      <c r="W486" s="2192">
        <f t="shared" si="90"/>
        <v>1.4E-2</v>
      </c>
      <c r="X486" s="2192"/>
      <c r="Y486" s="2192"/>
      <c r="Z486" s="2192"/>
      <c r="AA486" s="2192">
        <f t="shared" si="91"/>
        <v>1.7000000000000001E-2</v>
      </c>
      <c r="AB486" s="2192"/>
      <c r="AC486" s="2192"/>
      <c r="AD486" s="2192"/>
      <c r="AE486" s="2202">
        <f t="shared" si="92"/>
        <v>142.25</v>
      </c>
      <c r="AF486" s="2202"/>
      <c r="AG486" s="2202"/>
      <c r="AH486" s="2202"/>
      <c r="AI486" s="2202">
        <f t="shared" si="93"/>
        <v>164.2</v>
      </c>
      <c r="AJ486" s="2202"/>
      <c r="AK486" s="2202"/>
      <c r="AL486" s="2202"/>
      <c r="AM486" s="2202">
        <f t="shared" si="94"/>
        <v>50.49</v>
      </c>
      <c r="AN486" s="2202"/>
      <c r="AO486" s="2202"/>
      <c r="AP486" s="2202"/>
      <c r="AQ486" s="2157">
        <f t="shared" si="95"/>
        <v>61.47</v>
      </c>
      <c r="AR486" s="2158"/>
      <c r="AS486" s="2158"/>
      <c r="AT486" s="2159"/>
      <c r="AU486" s="2202">
        <f t="shared" si="96"/>
        <v>100.98</v>
      </c>
      <c r="AV486" s="2202"/>
      <c r="AW486" s="2202"/>
      <c r="AX486" s="2202"/>
      <c r="AY486" s="2202">
        <f t="shared" si="97"/>
        <v>122.93</v>
      </c>
      <c r="AZ486" s="2202"/>
      <c r="BA486" s="2202"/>
      <c r="BB486" s="2202"/>
    </row>
    <row r="487" spans="1:59" s="192" customFormat="1" x14ac:dyDescent="0.25">
      <c r="A487" s="2170" t="s">
        <v>228</v>
      </c>
      <c r="B487" s="2171"/>
      <c r="C487" s="2171"/>
      <c r="D487" s="2171"/>
      <c r="E487" s="2171"/>
      <c r="F487" s="2172"/>
      <c r="G487" s="2192">
        <f t="shared" si="86"/>
        <v>2.1999999999999999E-2</v>
      </c>
      <c r="H487" s="2192"/>
      <c r="I487" s="2192"/>
      <c r="J487" s="2192"/>
      <c r="K487" s="2192">
        <f t="shared" si="87"/>
        <v>2.5000000000000001E-2</v>
      </c>
      <c r="L487" s="2192"/>
      <c r="M487" s="2192"/>
      <c r="N487" s="2192"/>
      <c r="O487" s="2154">
        <f t="shared" si="88"/>
        <v>8.0000000000000002E-3</v>
      </c>
      <c r="P487" s="2155"/>
      <c r="Q487" s="2155"/>
      <c r="R487" s="2156"/>
      <c r="S487" s="2192">
        <f t="shared" si="89"/>
        <v>8.9999999999999993E-3</v>
      </c>
      <c r="T487" s="2192"/>
      <c r="U487" s="2192"/>
      <c r="V487" s="2192"/>
      <c r="W487" s="2192">
        <f t="shared" si="90"/>
        <v>1.4999999999999999E-2</v>
      </c>
      <c r="X487" s="2192"/>
      <c r="Y487" s="2192"/>
      <c r="Z487" s="2192"/>
      <c r="AA487" s="2192">
        <f t="shared" si="91"/>
        <v>1.9E-2</v>
      </c>
      <c r="AB487" s="2192"/>
      <c r="AC487" s="2192"/>
      <c r="AD487" s="2192"/>
      <c r="AE487" s="2202">
        <f t="shared" si="92"/>
        <v>134.74</v>
      </c>
      <c r="AF487" s="2202"/>
      <c r="AG487" s="2202"/>
      <c r="AH487" s="2202"/>
      <c r="AI487" s="2202">
        <f t="shared" si="93"/>
        <v>155.53</v>
      </c>
      <c r="AJ487" s="2202"/>
      <c r="AK487" s="2202"/>
      <c r="AL487" s="2202"/>
      <c r="AM487" s="2202">
        <f t="shared" si="94"/>
        <v>47.82</v>
      </c>
      <c r="AN487" s="2202"/>
      <c r="AO487" s="2202"/>
      <c r="AP487" s="2202"/>
      <c r="AQ487" s="2157">
        <f t="shared" si="95"/>
        <v>58.22</v>
      </c>
      <c r="AR487" s="2158"/>
      <c r="AS487" s="2158"/>
      <c r="AT487" s="2159"/>
      <c r="AU487" s="2202">
        <f t="shared" si="96"/>
        <v>95.65</v>
      </c>
      <c r="AV487" s="2202"/>
      <c r="AW487" s="2202"/>
      <c r="AX487" s="2202"/>
      <c r="AY487" s="2202">
        <f t="shared" si="97"/>
        <v>116.44</v>
      </c>
      <c r="AZ487" s="2202"/>
      <c r="BA487" s="2202"/>
      <c r="BB487" s="2202"/>
    </row>
    <row r="488" spans="1:59" s="192" customFormat="1" x14ac:dyDescent="0.25">
      <c r="A488" s="2170" t="s">
        <v>229</v>
      </c>
      <c r="B488" s="2171"/>
      <c r="C488" s="2171"/>
      <c r="D488" s="2171"/>
      <c r="E488" s="2171"/>
      <c r="F488" s="2172"/>
      <c r="G488" s="2192">
        <f t="shared" si="86"/>
        <v>3.0000000000000001E-3</v>
      </c>
      <c r="H488" s="2192"/>
      <c r="I488" s="2192"/>
      <c r="J488" s="2192"/>
      <c r="K488" s="2192">
        <f t="shared" si="87"/>
        <v>3.0000000000000001E-3</v>
      </c>
      <c r="L488" s="2192"/>
      <c r="M488" s="2192"/>
      <c r="N488" s="2192"/>
      <c r="O488" s="2154">
        <f t="shared" si="88"/>
        <v>1E-3</v>
      </c>
      <c r="P488" s="2155"/>
      <c r="Q488" s="2155"/>
      <c r="R488" s="2156"/>
      <c r="S488" s="2192">
        <f t="shared" si="89"/>
        <v>1E-3</v>
      </c>
      <c r="T488" s="2192"/>
      <c r="U488" s="2192"/>
      <c r="V488" s="2192"/>
      <c r="W488" s="2192">
        <f t="shared" si="90"/>
        <v>2E-3</v>
      </c>
      <c r="X488" s="2192"/>
      <c r="Y488" s="2192"/>
      <c r="Z488" s="2192"/>
      <c r="AA488" s="2192">
        <f t="shared" si="91"/>
        <v>3.0000000000000001E-3</v>
      </c>
      <c r="AB488" s="2192"/>
      <c r="AC488" s="2192"/>
      <c r="AD488" s="2192"/>
      <c r="AE488" s="2202">
        <f t="shared" si="92"/>
        <v>63.18</v>
      </c>
      <c r="AF488" s="2202"/>
      <c r="AG488" s="2202"/>
      <c r="AH488" s="2202"/>
      <c r="AI488" s="2202">
        <f t="shared" si="93"/>
        <v>72.930000000000007</v>
      </c>
      <c r="AJ488" s="2202"/>
      <c r="AK488" s="2202"/>
      <c r="AL488" s="2202"/>
      <c r="AM488" s="2202">
        <f t="shared" si="94"/>
        <v>22.42</v>
      </c>
      <c r="AN488" s="2202"/>
      <c r="AO488" s="2202"/>
      <c r="AP488" s="2202"/>
      <c r="AQ488" s="2157">
        <f t="shared" si="95"/>
        <v>27.3</v>
      </c>
      <c r="AR488" s="2158"/>
      <c r="AS488" s="2158"/>
      <c r="AT488" s="2159"/>
      <c r="AU488" s="2202">
        <f t="shared" si="96"/>
        <v>44.85</v>
      </c>
      <c r="AV488" s="2202"/>
      <c r="AW488" s="2202"/>
      <c r="AX488" s="2202"/>
      <c r="AY488" s="2202">
        <f t="shared" si="97"/>
        <v>54.6</v>
      </c>
      <c r="AZ488" s="2202"/>
      <c r="BA488" s="2202"/>
      <c r="BB488" s="2202"/>
    </row>
    <row r="489" spans="1:59" s="192" customFormat="1" x14ac:dyDescent="0.25">
      <c r="A489" s="2419" t="s">
        <v>1048</v>
      </c>
      <c r="B489" s="2419"/>
      <c r="C489" s="2420" t="s">
        <v>1245</v>
      </c>
      <c r="D489" s="2420"/>
      <c r="E489" s="2420"/>
      <c r="F489" s="2420"/>
      <c r="G489" s="2420"/>
      <c r="H489" s="2420"/>
      <c r="I489" s="2420"/>
      <c r="J489" s="2420"/>
      <c r="K489" s="2420"/>
      <c r="L489" s="2420"/>
      <c r="M489" s="2420"/>
      <c r="N489" s="2420"/>
      <c r="O489" s="2420"/>
      <c r="P489" s="2420"/>
      <c r="Q489" s="2420"/>
      <c r="R489" s="2420"/>
      <c r="S489" s="2420"/>
      <c r="T489" s="2420"/>
      <c r="U489" s="2420"/>
      <c r="V489" s="2420"/>
      <c r="W489" s="2420"/>
      <c r="X489" s="2420"/>
      <c r="Y489" s="2420"/>
      <c r="Z489" s="2420"/>
      <c r="AA489" s="2420"/>
      <c r="AB489" s="2420"/>
      <c r="AC489" s="2420"/>
      <c r="AD489" s="2420"/>
      <c r="AE489" s="743"/>
      <c r="AF489" s="743"/>
      <c r="AG489" s="743"/>
      <c r="AH489" s="743"/>
      <c r="AI489" s="743"/>
      <c r="AJ489" s="743"/>
      <c r="AK489" s="743"/>
      <c r="AL489" s="743"/>
      <c r="AM489" s="743"/>
      <c r="AN489" s="743"/>
      <c r="AO489" s="743"/>
      <c r="AP489" s="743"/>
      <c r="AQ489" s="743"/>
      <c r="AR489" s="743"/>
      <c r="AS489" s="743"/>
      <c r="AT489" s="743"/>
      <c r="AU489" s="743"/>
      <c r="AV489" s="743"/>
      <c r="AW489" s="743"/>
      <c r="AX489" s="743"/>
      <c r="AY489" s="743"/>
      <c r="AZ489" s="743"/>
      <c r="BA489" s="743"/>
      <c r="BB489" s="743"/>
      <c r="BC489" s="743"/>
      <c r="BD489" s="743"/>
      <c r="BE489" s="743"/>
      <c r="BF489" s="743"/>
      <c r="BG489" s="743"/>
    </row>
    <row r="490" spans="1:59" s="192" customFormat="1" x14ac:dyDescent="0.25"/>
    <row r="491" spans="1:59" s="192" customFormat="1" x14ac:dyDescent="0.25">
      <c r="B491" s="519" t="s">
        <v>1962</v>
      </c>
    </row>
    <row r="492" spans="1:59" s="192" customFormat="1" x14ac:dyDescent="0.25"/>
    <row r="493" spans="1:59" s="192" customFormat="1" ht="15.75" x14ac:dyDescent="0.25">
      <c r="A493" s="740" t="s">
        <v>6725</v>
      </c>
      <c r="B493" s="996"/>
      <c r="C493" s="996"/>
      <c r="D493" s="996"/>
      <c r="E493" s="996"/>
      <c r="F493" s="996"/>
      <c r="G493" s="996"/>
      <c r="H493" s="996"/>
      <c r="I493" s="996"/>
      <c r="J493" s="996"/>
      <c r="K493" s="996"/>
      <c r="L493" s="996"/>
      <c r="M493" s="996"/>
      <c r="N493" s="996"/>
      <c r="O493" s="996"/>
      <c r="P493" s="996"/>
      <c r="Q493" s="996"/>
      <c r="R493" s="996"/>
      <c r="S493" s="996"/>
      <c r="T493" s="996"/>
      <c r="U493" s="996"/>
      <c r="V493" s="996"/>
      <c r="W493" s="996"/>
      <c r="X493" s="996"/>
      <c r="Y493" s="996"/>
      <c r="Z493" s="996"/>
      <c r="AA493" s="262"/>
      <c r="AB493" s="262"/>
      <c r="AC493" s="262"/>
      <c r="AD493" s="262"/>
      <c r="AE493" s="740"/>
      <c r="AF493" s="740"/>
      <c r="AG493" s="740"/>
      <c r="AH493" s="740"/>
      <c r="AI493" s="743"/>
      <c r="AJ493" s="740"/>
      <c r="AK493" s="740"/>
      <c r="AL493" s="740"/>
    </row>
    <row r="494" spans="1:59" s="192" customFormat="1" x14ac:dyDescent="0.25">
      <c r="B494" s="995"/>
      <c r="C494" s="995"/>
      <c r="D494" s="995"/>
      <c r="E494" s="995"/>
      <c r="F494" s="995"/>
      <c r="G494" s="2396" t="s">
        <v>1945</v>
      </c>
      <c r="H494" s="2397"/>
      <c r="I494" s="2397"/>
      <c r="J494" s="2397"/>
      <c r="K494" s="2397"/>
      <c r="L494" s="2397"/>
      <c r="M494" s="2397"/>
      <c r="N494" s="2397"/>
      <c r="O494" s="2397"/>
      <c r="P494" s="2397"/>
      <c r="Q494" s="2397"/>
      <c r="R494" s="2397"/>
      <c r="S494" s="2397"/>
      <c r="T494" s="2397"/>
      <c r="U494" s="2397"/>
      <c r="V494" s="2397"/>
      <c r="W494" s="2397"/>
      <c r="X494" s="2397"/>
      <c r="Y494" s="2397"/>
      <c r="Z494" s="2397"/>
      <c r="AA494" s="2397"/>
      <c r="AB494" s="2397"/>
      <c r="AC494" s="2397"/>
      <c r="AD494" s="2398"/>
    </row>
    <row r="495" spans="1:59" s="192" customFormat="1" ht="30" customHeight="1" x14ac:dyDescent="0.25">
      <c r="A495" s="2199" t="s">
        <v>54</v>
      </c>
      <c r="B495" s="2200"/>
      <c r="C495" s="2200"/>
      <c r="D495" s="2200"/>
      <c r="E495" s="2200"/>
      <c r="F495" s="2201"/>
      <c r="G495" s="2338" t="s">
        <v>6761</v>
      </c>
      <c r="H495" s="2338"/>
      <c r="I495" s="2338"/>
      <c r="J495" s="2338"/>
      <c r="K495" s="2338" t="s">
        <v>1960</v>
      </c>
      <c r="L495" s="2338"/>
      <c r="M495" s="2338"/>
      <c r="N495" s="2338"/>
      <c r="O495" s="2334" t="s">
        <v>6499</v>
      </c>
      <c r="P495" s="2335"/>
      <c r="Q495" s="2335"/>
      <c r="R495" s="2336"/>
      <c r="S495" s="2337" t="s">
        <v>6497</v>
      </c>
      <c r="T495" s="2337"/>
      <c r="U495" s="2337"/>
      <c r="V495" s="2337"/>
      <c r="W495" s="2421" t="s">
        <v>6762</v>
      </c>
      <c r="X495" s="2421"/>
      <c r="Y495" s="2421"/>
      <c r="Z495" s="2421"/>
      <c r="AA495" s="2421" t="s">
        <v>1958</v>
      </c>
      <c r="AB495" s="2421"/>
      <c r="AC495" s="2421"/>
      <c r="AD495" s="2421"/>
    </row>
    <row r="496" spans="1:59" s="192" customFormat="1" x14ac:dyDescent="0.25">
      <c r="A496" s="2170" t="s">
        <v>1984</v>
      </c>
      <c r="B496" s="2171"/>
      <c r="C496" s="2171"/>
      <c r="D496" s="2171"/>
      <c r="E496" s="2171"/>
      <c r="F496" s="2172"/>
      <c r="G496" s="2193">
        <f t="shared" ref="G496:G506" si="98">ROUND(AE478*VLOOKUP($A496,$S$199:$Z$209,5,TRUE),2)</f>
        <v>281.72000000000003</v>
      </c>
      <c r="H496" s="2193"/>
      <c r="I496" s="2193"/>
      <c r="J496" s="2193"/>
      <c r="K496" s="2193">
        <f t="shared" ref="K496:K506" si="99">ROUND(AI478*VLOOKUP($A496,$A$199:$Q$209,15,TRUE),2)</f>
        <v>2032.5</v>
      </c>
      <c r="L496" s="2193"/>
      <c r="M496" s="2193"/>
      <c r="N496" s="2193"/>
      <c r="O496" s="2194">
        <f t="shared" ref="O496:O506" si="100">ROUND(AM478*VLOOKUP($A496,$S$199:$Z$209,5,TRUE),2)</f>
        <v>100</v>
      </c>
      <c r="P496" s="2195"/>
      <c r="Q496" s="2195"/>
      <c r="R496" s="2196"/>
      <c r="S496" s="2193">
        <f t="shared" ref="S496:S506" si="101">ROUND(AQ478*VLOOKUP($A496,$A$199:$Q$209,15,TRUE),2)</f>
        <v>760.75</v>
      </c>
      <c r="T496" s="2193"/>
      <c r="U496" s="2193"/>
      <c r="V496" s="2193"/>
      <c r="W496" s="2193">
        <f t="shared" ref="W496:W506" si="102">ROUND(AU478*VLOOKUP($A496,$S$199:$Z$209,5,TRUE),2)</f>
        <v>200</v>
      </c>
      <c r="X496" s="2193"/>
      <c r="Y496" s="2193"/>
      <c r="Z496" s="2193"/>
      <c r="AA496" s="2193">
        <f t="shared" ref="AA496:AA506" si="103">ROUND(AY478*VLOOKUP($A496,$A$199:$Q$209,15,TRUE),2)</f>
        <v>1521.75</v>
      </c>
      <c r="AB496" s="2193"/>
      <c r="AC496" s="2193"/>
      <c r="AD496" s="2193"/>
      <c r="AI496" s="740"/>
    </row>
    <row r="497" spans="1:38" s="192" customFormat="1" x14ac:dyDescent="0.25">
      <c r="A497" s="2170" t="s">
        <v>221</v>
      </c>
      <c r="B497" s="2171"/>
      <c r="C497" s="2171"/>
      <c r="D497" s="2171"/>
      <c r="E497" s="2171"/>
      <c r="F497" s="2172"/>
      <c r="G497" s="2193">
        <f t="shared" si="98"/>
        <v>483.52</v>
      </c>
      <c r="H497" s="2193"/>
      <c r="I497" s="2193"/>
      <c r="J497" s="2193"/>
      <c r="K497" s="2193">
        <f t="shared" si="99"/>
        <v>3069.77</v>
      </c>
      <c r="L497" s="2193"/>
      <c r="M497" s="2193"/>
      <c r="N497" s="2193"/>
      <c r="O497" s="2194">
        <f t="shared" si="100"/>
        <v>171.62</v>
      </c>
      <c r="P497" s="2195"/>
      <c r="Q497" s="2195"/>
      <c r="R497" s="2196"/>
      <c r="S497" s="2193">
        <f t="shared" si="101"/>
        <v>1149.06</v>
      </c>
      <c r="T497" s="2193"/>
      <c r="U497" s="2193"/>
      <c r="V497" s="2193"/>
      <c r="W497" s="2193">
        <f t="shared" si="102"/>
        <v>343.24</v>
      </c>
      <c r="X497" s="2193"/>
      <c r="Y497" s="2193"/>
      <c r="Z497" s="2193"/>
      <c r="AA497" s="2193">
        <f t="shared" si="103"/>
        <v>2298.23</v>
      </c>
      <c r="AB497" s="2193"/>
      <c r="AC497" s="2193"/>
      <c r="AD497" s="2193"/>
    </row>
    <row r="498" spans="1:38" s="192" customFormat="1" x14ac:dyDescent="0.25">
      <c r="A498" s="2170" t="s">
        <v>222</v>
      </c>
      <c r="B498" s="2171"/>
      <c r="C498" s="2171"/>
      <c r="D498" s="2171"/>
      <c r="E498" s="2171"/>
      <c r="F498" s="2172"/>
      <c r="G498" s="2193">
        <f t="shared" si="98"/>
        <v>337.75</v>
      </c>
      <c r="H498" s="2193"/>
      <c r="I498" s="2193"/>
      <c r="J498" s="2193"/>
      <c r="K498" s="2193">
        <f t="shared" si="99"/>
        <v>1949.5</v>
      </c>
      <c r="L498" s="2193"/>
      <c r="M498" s="2193"/>
      <c r="N498" s="2193"/>
      <c r="O498" s="2194">
        <f t="shared" si="100"/>
        <v>119.9</v>
      </c>
      <c r="P498" s="2195"/>
      <c r="Q498" s="2195"/>
      <c r="R498" s="2196"/>
      <c r="S498" s="2193">
        <f t="shared" si="101"/>
        <v>729.75</v>
      </c>
      <c r="T498" s="2193"/>
      <c r="U498" s="2193"/>
      <c r="V498" s="2193"/>
      <c r="W498" s="2193">
        <f t="shared" si="102"/>
        <v>239.75</v>
      </c>
      <c r="X498" s="2193"/>
      <c r="Y498" s="2193"/>
      <c r="Z498" s="2193"/>
      <c r="AA498" s="2193">
        <f t="shared" si="103"/>
        <v>1459.5</v>
      </c>
      <c r="AB498" s="2193"/>
      <c r="AC498" s="2193"/>
      <c r="AD498" s="2193"/>
    </row>
    <row r="499" spans="1:38" s="192" customFormat="1" x14ac:dyDescent="0.25">
      <c r="A499" s="2170" t="s">
        <v>223</v>
      </c>
      <c r="B499" s="2171"/>
      <c r="C499" s="2171"/>
      <c r="D499" s="2171"/>
      <c r="E499" s="2171"/>
      <c r="F499" s="2172"/>
      <c r="G499" s="2193">
        <f t="shared" si="98"/>
        <v>345.32</v>
      </c>
      <c r="H499" s="2193"/>
      <c r="I499" s="2193"/>
      <c r="J499" s="2193"/>
      <c r="K499" s="2193">
        <f t="shared" si="99"/>
        <v>1993.1</v>
      </c>
      <c r="L499" s="2193"/>
      <c r="M499" s="2193"/>
      <c r="N499" s="2193"/>
      <c r="O499" s="2194">
        <f t="shared" si="100"/>
        <v>122.56</v>
      </c>
      <c r="P499" s="2195"/>
      <c r="Q499" s="2195"/>
      <c r="R499" s="2196"/>
      <c r="S499" s="2193">
        <f t="shared" si="101"/>
        <v>746.1</v>
      </c>
      <c r="T499" s="2193"/>
      <c r="U499" s="2193"/>
      <c r="V499" s="2193"/>
      <c r="W499" s="2193">
        <f t="shared" si="102"/>
        <v>245.14</v>
      </c>
      <c r="X499" s="2193"/>
      <c r="Y499" s="2193"/>
      <c r="Z499" s="2193"/>
      <c r="AA499" s="2193">
        <f t="shared" si="103"/>
        <v>1492.1</v>
      </c>
      <c r="AB499" s="2193"/>
      <c r="AC499" s="2193"/>
      <c r="AD499" s="2193"/>
    </row>
    <row r="500" spans="1:38" s="192" customFormat="1" x14ac:dyDescent="0.25">
      <c r="A500" s="2170" t="s">
        <v>224</v>
      </c>
      <c r="B500" s="2171"/>
      <c r="C500" s="2171"/>
      <c r="D500" s="2171"/>
      <c r="E500" s="2171"/>
      <c r="F500" s="2172"/>
      <c r="G500" s="2193">
        <f t="shared" si="98"/>
        <v>372.46</v>
      </c>
      <c r="H500" s="2193"/>
      <c r="I500" s="2193"/>
      <c r="J500" s="2193"/>
      <c r="K500" s="2193">
        <f t="shared" si="99"/>
        <v>2149.6</v>
      </c>
      <c r="L500" s="2193"/>
      <c r="M500" s="2193"/>
      <c r="N500" s="2193"/>
      <c r="O500" s="2194">
        <f t="shared" si="100"/>
        <v>132.19999999999999</v>
      </c>
      <c r="P500" s="2195"/>
      <c r="Q500" s="2195"/>
      <c r="R500" s="2196"/>
      <c r="S500" s="2193">
        <f t="shared" si="101"/>
        <v>804.7</v>
      </c>
      <c r="T500" s="2193"/>
      <c r="U500" s="2193"/>
      <c r="V500" s="2193"/>
      <c r="W500" s="2193">
        <f t="shared" si="102"/>
        <v>264.39999999999998</v>
      </c>
      <c r="X500" s="2193"/>
      <c r="Y500" s="2193"/>
      <c r="Z500" s="2193"/>
      <c r="AA500" s="2193">
        <f t="shared" si="103"/>
        <v>1609.4</v>
      </c>
      <c r="AB500" s="2193"/>
      <c r="AC500" s="2193"/>
      <c r="AD500" s="2193"/>
    </row>
    <row r="501" spans="1:38" s="192" customFormat="1" x14ac:dyDescent="0.25">
      <c r="A501" s="2170" t="s">
        <v>225</v>
      </c>
      <c r="B501" s="2171"/>
      <c r="C501" s="2171"/>
      <c r="D501" s="2171"/>
      <c r="E501" s="2171"/>
      <c r="F501" s="2172"/>
      <c r="G501" s="2193">
        <f t="shared" si="98"/>
        <v>341.6</v>
      </c>
      <c r="H501" s="2193"/>
      <c r="I501" s="2193"/>
      <c r="J501" s="2193"/>
      <c r="K501" s="2193">
        <f t="shared" si="99"/>
        <v>1408.25</v>
      </c>
      <c r="L501" s="2193"/>
      <c r="M501" s="2193"/>
      <c r="N501" s="2193"/>
      <c r="O501" s="2194">
        <f t="shared" si="100"/>
        <v>121.24</v>
      </c>
      <c r="P501" s="2195"/>
      <c r="Q501" s="2195"/>
      <c r="R501" s="2196"/>
      <c r="S501" s="2193">
        <f t="shared" si="101"/>
        <v>527</v>
      </c>
      <c r="T501" s="2193"/>
      <c r="U501" s="2193"/>
      <c r="V501" s="2193"/>
      <c r="W501" s="2193">
        <f t="shared" si="102"/>
        <v>242.48</v>
      </c>
      <c r="X501" s="2193"/>
      <c r="Y501" s="2193"/>
      <c r="Z501" s="2193"/>
      <c r="AA501" s="2193">
        <f t="shared" si="103"/>
        <v>1054.25</v>
      </c>
      <c r="AB501" s="2193"/>
      <c r="AC501" s="2193"/>
      <c r="AD501" s="2193"/>
    </row>
    <row r="502" spans="1:38" s="192" customFormat="1" x14ac:dyDescent="0.25">
      <c r="A502" s="2170" t="s">
        <v>226</v>
      </c>
      <c r="B502" s="2171"/>
      <c r="C502" s="2171"/>
      <c r="D502" s="2171"/>
      <c r="E502" s="2171"/>
      <c r="F502" s="2172"/>
      <c r="G502" s="2193">
        <f t="shared" si="98"/>
        <v>248.1</v>
      </c>
      <c r="H502" s="2193"/>
      <c r="I502" s="2193"/>
      <c r="J502" s="2193"/>
      <c r="K502" s="2193">
        <f t="shared" si="99"/>
        <v>2100.34</v>
      </c>
      <c r="L502" s="2193"/>
      <c r="M502" s="2193"/>
      <c r="N502" s="2193"/>
      <c r="O502" s="2194">
        <f t="shared" si="100"/>
        <v>88.05</v>
      </c>
      <c r="P502" s="2195"/>
      <c r="Q502" s="2195"/>
      <c r="R502" s="2196"/>
      <c r="S502" s="2193">
        <f t="shared" si="101"/>
        <v>786.28</v>
      </c>
      <c r="T502" s="2193"/>
      <c r="U502" s="2193"/>
      <c r="V502" s="2193"/>
      <c r="W502" s="2193">
        <f t="shared" si="102"/>
        <v>176.13</v>
      </c>
      <c r="X502" s="2193"/>
      <c r="Y502" s="2193"/>
      <c r="Z502" s="2193"/>
      <c r="AA502" s="2193">
        <f t="shared" si="103"/>
        <v>1572.34</v>
      </c>
      <c r="AB502" s="2193"/>
      <c r="AC502" s="2193"/>
      <c r="AD502" s="2193"/>
    </row>
    <row r="503" spans="1:38" s="192" customFormat="1" x14ac:dyDescent="0.25">
      <c r="A503" s="2170" t="s">
        <v>55</v>
      </c>
      <c r="B503" s="2171"/>
      <c r="C503" s="2171"/>
      <c r="D503" s="2171"/>
      <c r="E503" s="2171"/>
      <c r="F503" s="2172"/>
      <c r="G503" s="2193">
        <f t="shared" si="98"/>
        <v>316.83999999999997</v>
      </c>
      <c r="H503" s="2193"/>
      <c r="I503" s="2193"/>
      <c r="J503" s="2193"/>
      <c r="K503" s="2193">
        <f t="shared" si="99"/>
        <v>2286</v>
      </c>
      <c r="L503" s="2193"/>
      <c r="M503" s="2193"/>
      <c r="N503" s="2193"/>
      <c r="O503" s="2194">
        <f t="shared" si="100"/>
        <v>112.48</v>
      </c>
      <c r="P503" s="2195"/>
      <c r="Q503" s="2195"/>
      <c r="R503" s="2196"/>
      <c r="S503" s="2193">
        <f t="shared" si="101"/>
        <v>855.75</v>
      </c>
      <c r="T503" s="2193"/>
      <c r="U503" s="2193"/>
      <c r="V503" s="2193"/>
      <c r="W503" s="2193">
        <f t="shared" si="102"/>
        <v>224.92</v>
      </c>
      <c r="X503" s="2193"/>
      <c r="Y503" s="2193"/>
      <c r="Z503" s="2193"/>
      <c r="AA503" s="2193">
        <f t="shared" si="103"/>
        <v>1711.5</v>
      </c>
      <c r="AB503" s="2193"/>
      <c r="AC503" s="2193"/>
      <c r="AD503" s="2193"/>
    </row>
    <row r="504" spans="1:38" s="192" customFormat="1" x14ac:dyDescent="0.25">
      <c r="A504" s="2170" t="s">
        <v>227</v>
      </c>
      <c r="B504" s="2171"/>
      <c r="C504" s="2171"/>
      <c r="D504" s="2171"/>
      <c r="E504" s="2171"/>
      <c r="F504" s="2172"/>
      <c r="G504" s="2193">
        <f t="shared" si="98"/>
        <v>284.5</v>
      </c>
      <c r="H504" s="2193"/>
      <c r="I504" s="2193"/>
      <c r="J504" s="2193"/>
      <c r="K504" s="2193">
        <f t="shared" si="99"/>
        <v>2298.8000000000002</v>
      </c>
      <c r="L504" s="2193"/>
      <c r="M504" s="2193"/>
      <c r="N504" s="2193"/>
      <c r="O504" s="2194">
        <f t="shared" si="100"/>
        <v>100.98</v>
      </c>
      <c r="P504" s="2195"/>
      <c r="Q504" s="2195"/>
      <c r="R504" s="2196"/>
      <c r="S504" s="2193">
        <f t="shared" si="101"/>
        <v>860.58</v>
      </c>
      <c r="T504" s="2193"/>
      <c r="U504" s="2193"/>
      <c r="V504" s="2193"/>
      <c r="W504" s="2193">
        <f t="shared" si="102"/>
        <v>201.96</v>
      </c>
      <c r="X504" s="2193"/>
      <c r="Y504" s="2193"/>
      <c r="Z504" s="2193"/>
      <c r="AA504" s="2193">
        <f t="shared" si="103"/>
        <v>1721.02</v>
      </c>
      <c r="AB504" s="2193"/>
      <c r="AC504" s="2193"/>
      <c r="AD504" s="2193"/>
    </row>
    <row r="505" spans="1:38" s="192" customFormat="1" x14ac:dyDescent="0.25">
      <c r="A505" s="2170" t="s">
        <v>228</v>
      </c>
      <c r="B505" s="2171"/>
      <c r="C505" s="2171"/>
      <c r="D505" s="2171"/>
      <c r="E505" s="2171"/>
      <c r="F505" s="2172"/>
      <c r="G505" s="2193">
        <f t="shared" si="98"/>
        <v>269.48</v>
      </c>
      <c r="H505" s="2193"/>
      <c r="I505" s="2193"/>
      <c r="J505" s="2193"/>
      <c r="K505" s="2193">
        <f t="shared" si="99"/>
        <v>2177.42</v>
      </c>
      <c r="L505" s="2193"/>
      <c r="M505" s="2193"/>
      <c r="N505" s="2193"/>
      <c r="O505" s="2194">
        <f t="shared" si="100"/>
        <v>95.64</v>
      </c>
      <c r="P505" s="2195"/>
      <c r="Q505" s="2195"/>
      <c r="R505" s="2196"/>
      <c r="S505" s="2193">
        <f t="shared" si="101"/>
        <v>815.08</v>
      </c>
      <c r="T505" s="2193"/>
      <c r="U505" s="2193"/>
      <c r="V505" s="2193"/>
      <c r="W505" s="2193">
        <f t="shared" si="102"/>
        <v>191.3</v>
      </c>
      <c r="X505" s="2193"/>
      <c r="Y505" s="2193"/>
      <c r="Z505" s="2193"/>
      <c r="AA505" s="2193">
        <f t="shared" si="103"/>
        <v>1630.16</v>
      </c>
      <c r="AB505" s="2193"/>
      <c r="AC505" s="2193"/>
      <c r="AD505" s="2193"/>
    </row>
    <row r="506" spans="1:38" s="192" customFormat="1" x14ac:dyDescent="0.25">
      <c r="A506" s="2170" t="s">
        <v>229</v>
      </c>
      <c r="B506" s="2171"/>
      <c r="C506" s="2171"/>
      <c r="D506" s="2171"/>
      <c r="E506" s="2171"/>
      <c r="F506" s="2172"/>
      <c r="G506" s="2193">
        <f t="shared" si="98"/>
        <v>252.72</v>
      </c>
      <c r="H506" s="2193"/>
      <c r="I506" s="2193"/>
      <c r="J506" s="2193"/>
      <c r="K506" s="2193">
        <f t="shared" si="99"/>
        <v>1823.25</v>
      </c>
      <c r="L506" s="2193"/>
      <c r="M506" s="2193"/>
      <c r="N506" s="2193"/>
      <c r="O506" s="2194">
        <f t="shared" si="100"/>
        <v>89.68</v>
      </c>
      <c r="P506" s="2195"/>
      <c r="Q506" s="2195"/>
      <c r="R506" s="2196"/>
      <c r="S506" s="2193">
        <f t="shared" si="101"/>
        <v>682.5</v>
      </c>
      <c r="T506" s="2193"/>
      <c r="U506" s="2193"/>
      <c r="V506" s="2193"/>
      <c r="W506" s="2193">
        <f t="shared" si="102"/>
        <v>179.4</v>
      </c>
      <c r="X506" s="2193"/>
      <c r="Y506" s="2193"/>
      <c r="Z506" s="2193"/>
      <c r="AA506" s="2193">
        <f t="shared" si="103"/>
        <v>1365</v>
      </c>
      <c r="AB506" s="2193"/>
      <c r="AC506" s="2193"/>
      <c r="AD506" s="2193"/>
    </row>
    <row r="507" spans="1:38" x14ac:dyDescent="0.25">
      <c r="A507" s="2438" t="s">
        <v>1048</v>
      </c>
      <c r="B507" s="2438"/>
      <c r="C507" s="396" t="s">
        <v>1245</v>
      </c>
      <c r="D507" s="396"/>
      <c r="E507" s="396"/>
      <c r="F507" s="396"/>
      <c r="G507" s="396"/>
      <c r="H507" s="396"/>
      <c r="I507" s="396"/>
      <c r="J507" s="396"/>
      <c r="K507" s="396"/>
      <c r="L507" s="396"/>
      <c r="M507" s="396"/>
      <c r="N507" s="396"/>
      <c r="O507" s="396"/>
      <c r="P507" s="396"/>
      <c r="Q507" s="396"/>
      <c r="R507" s="396"/>
      <c r="S507" s="396"/>
      <c r="T507" s="396"/>
      <c r="U507" s="396"/>
      <c r="V507" s="396"/>
      <c r="W507" s="296"/>
      <c r="X507" s="296"/>
      <c r="Y507" s="296"/>
      <c r="Z507" s="296"/>
      <c r="AA507" s="296"/>
      <c r="AB507" s="296"/>
      <c r="AC507" s="296"/>
      <c r="AD507" s="296"/>
      <c r="AE507" s="296"/>
      <c r="AF507" s="296"/>
      <c r="AG507" s="296"/>
      <c r="AH507" s="296"/>
      <c r="AI507" s="296"/>
      <c r="AJ507" s="296"/>
      <c r="AK507" s="296"/>
      <c r="AL507" s="296"/>
    </row>
    <row r="508" spans="1:38" s="192" customFormat="1" ht="65.25" customHeight="1" x14ac:dyDescent="0.25">
      <c r="A508" s="1686" t="s">
        <v>6758</v>
      </c>
      <c r="B508" s="1686"/>
      <c r="C508" s="1686"/>
      <c r="D508" s="1686"/>
      <c r="E508" s="1686"/>
      <c r="F508" s="1686"/>
      <c r="G508" s="1686"/>
      <c r="H508" s="1686"/>
      <c r="I508" s="1686"/>
      <c r="J508" s="1686"/>
      <c r="K508" s="1686"/>
      <c r="L508" s="1686"/>
      <c r="M508" s="1686"/>
      <c r="N508" s="1686"/>
      <c r="O508" s="1686"/>
      <c r="P508" s="1686"/>
      <c r="Q508" s="1686"/>
      <c r="R508" s="1686"/>
      <c r="S508" s="1686"/>
      <c r="T508" s="1686"/>
      <c r="U508" s="1686"/>
      <c r="V508" s="1686"/>
      <c r="W508" s="1686"/>
      <c r="X508" s="1686"/>
      <c r="Y508" s="1686"/>
      <c r="Z508" s="1686"/>
      <c r="AA508" s="1686"/>
      <c r="AB508" s="1686"/>
      <c r="AC508" s="1686"/>
      <c r="AD508" s="1686"/>
      <c r="AE508" s="1686"/>
      <c r="AF508" s="1686"/>
      <c r="AG508" s="1686"/>
      <c r="AH508" s="1686"/>
      <c r="AI508" s="1686"/>
      <c r="AJ508" s="1686"/>
      <c r="AK508" s="1686"/>
      <c r="AL508" s="1686"/>
    </row>
    <row r="509" spans="1:38" s="192" customFormat="1" x14ac:dyDescent="0.25">
      <c r="B509" s="519" t="s">
        <v>5690</v>
      </c>
    </row>
    <row r="510" spans="1:38" s="192" customFormat="1" x14ac:dyDescent="0.25"/>
    <row r="511" spans="1:38" s="192" customFormat="1" x14ac:dyDescent="0.25">
      <c r="A511" s="740" t="s">
        <v>6726</v>
      </c>
      <c r="B511" s="740"/>
      <c r="C511" s="740"/>
      <c r="D511" s="740"/>
      <c r="E511" s="740"/>
      <c r="F511" s="740"/>
      <c r="G511" s="740"/>
      <c r="H511" s="740"/>
      <c r="I511" s="740"/>
      <c r="J511" s="740"/>
      <c r="K511" s="740"/>
      <c r="L511" s="740"/>
      <c r="M511" s="740"/>
      <c r="N511" s="740"/>
      <c r="O511" s="740"/>
      <c r="P511" s="740"/>
      <c r="Q511" s="740"/>
      <c r="R511" s="740"/>
      <c r="S511" s="262"/>
      <c r="T511" s="262"/>
      <c r="U511" s="262"/>
      <c r="V511" s="262"/>
      <c r="W511" s="740"/>
      <c r="X511" s="740"/>
      <c r="Y511" s="740"/>
      <c r="Z511" s="740"/>
      <c r="AA511" s="740"/>
      <c r="AB511" s="740"/>
      <c r="AC511" s="740"/>
      <c r="AD511" s="740"/>
      <c r="AE511" s="740"/>
      <c r="AF511" s="740"/>
      <c r="AG511" s="740"/>
      <c r="AH511" s="740"/>
      <c r="AI511" s="262"/>
      <c r="AJ511" s="262"/>
      <c r="AK511" s="262"/>
      <c r="AL511" s="262"/>
    </row>
    <row r="512" spans="1:38" s="192" customFormat="1" x14ac:dyDescent="0.25">
      <c r="B512" s="995"/>
      <c r="C512" s="995"/>
      <c r="D512" s="995"/>
      <c r="E512" s="995"/>
      <c r="F512" s="995"/>
      <c r="G512" s="2390" t="s">
        <v>2919</v>
      </c>
      <c r="H512" s="2391"/>
      <c r="I512" s="2391"/>
      <c r="J512" s="2391"/>
      <c r="K512" s="2391"/>
      <c r="L512" s="2391"/>
      <c r="M512" s="2391"/>
      <c r="N512" s="2391"/>
      <c r="O512" s="2391"/>
      <c r="P512" s="2391"/>
      <c r="Q512" s="2391"/>
      <c r="R512" s="2391"/>
      <c r="S512" s="2391"/>
      <c r="T512" s="2391"/>
      <c r="U512" s="2391"/>
      <c r="V512" s="2392"/>
      <c r="W512" s="2422" t="s">
        <v>2920</v>
      </c>
      <c r="X512" s="2422"/>
      <c r="Y512" s="2422"/>
      <c r="Z512" s="2422"/>
      <c r="AA512" s="2422"/>
      <c r="AB512" s="2422"/>
      <c r="AC512" s="2422"/>
      <c r="AD512" s="2422"/>
      <c r="AE512" s="2422"/>
      <c r="AF512" s="2422"/>
      <c r="AG512" s="2422"/>
      <c r="AH512" s="2422"/>
      <c r="AI512" s="2422"/>
      <c r="AJ512" s="2422"/>
      <c r="AK512" s="2422"/>
      <c r="AL512" s="2422"/>
    </row>
    <row r="513" spans="1:38" s="192" customFormat="1" x14ac:dyDescent="0.25">
      <c r="A513" s="2199" t="s">
        <v>54</v>
      </c>
      <c r="B513" s="2200"/>
      <c r="C513" s="2200"/>
      <c r="D513" s="2200"/>
      <c r="E513" s="2200"/>
      <c r="F513" s="2201"/>
      <c r="G513" s="2197" t="s">
        <v>1459</v>
      </c>
      <c r="H513" s="2197"/>
      <c r="I513" s="2197"/>
      <c r="J513" s="2197"/>
      <c r="K513" s="2198" t="s">
        <v>1467</v>
      </c>
      <c r="L513" s="2198"/>
      <c r="M513" s="2198"/>
      <c r="N513" s="2198"/>
      <c r="O513" s="2176" t="s">
        <v>1468</v>
      </c>
      <c r="P513" s="2177"/>
      <c r="Q513" s="2177"/>
      <c r="R513" s="2178"/>
      <c r="S513" s="2198" t="s">
        <v>1460</v>
      </c>
      <c r="T513" s="2198"/>
      <c r="U513" s="2198"/>
      <c r="V513" s="2198"/>
      <c r="W513" s="2197" t="s">
        <v>1459</v>
      </c>
      <c r="X513" s="2197"/>
      <c r="Y513" s="2197"/>
      <c r="Z513" s="2197"/>
      <c r="AA513" s="2198" t="s">
        <v>1467</v>
      </c>
      <c r="AB513" s="2198"/>
      <c r="AC513" s="2198"/>
      <c r="AD513" s="2198"/>
      <c r="AE513" s="2197" t="s">
        <v>1468</v>
      </c>
      <c r="AF513" s="2197"/>
      <c r="AG513" s="2197"/>
      <c r="AH513" s="2197"/>
      <c r="AI513" s="2198" t="s">
        <v>1460</v>
      </c>
      <c r="AJ513" s="2198"/>
      <c r="AK513" s="2198"/>
      <c r="AL513" s="2198"/>
    </row>
    <row r="514" spans="1:38" s="192" customFormat="1" x14ac:dyDescent="0.25">
      <c r="A514" s="2170" t="s">
        <v>1984</v>
      </c>
      <c r="B514" s="2171"/>
      <c r="C514" s="2171"/>
      <c r="D514" s="2171"/>
      <c r="E514" s="2171"/>
      <c r="F514" s="2172"/>
      <c r="G514" s="2192">
        <f t="shared" ref="G514:G524" si="104">ROUND(($U$114-$K$146)*$Q$73*VLOOKUP($A514,$N$123:$AG$133,13,TRUE)*VLOOKUP($A514,$N$146:$AG$156,13,TRUE)*$Q$78,3)</f>
        <v>4.2999999999999997E-2</v>
      </c>
      <c r="H514" s="2192"/>
      <c r="I514" s="2192"/>
      <c r="J514" s="2192"/>
      <c r="K514" s="2192">
        <f t="shared" ref="K514:K524" si="105">ROUND(($U$115-$K$147)*$Q$73*VLOOKUP($A514,$N$123:$AG$133,13,TRUE)*VLOOKUP($A514,$N$146:$AG$156,13,TRUE)*$Q$78,3)</f>
        <v>0.107</v>
      </c>
      <c r="L514" s="2192"/>
      <c r="M514" s="2192"/>
      <c r="N514" s="2192"/>
      <c r="O514" s="2154">
        <f t="shared" ref="O514:O524" si="106">ROUND(($U$116-$K$148)*$Q$73*VLOOKUP($A514,$N$123:$AG$133,13,TRUE)*VLOOKUP($A514,$N$146:$AG$156,13,TRUE)*$Q$78,3)</f>
        <v>0.21299999999999999</v>
      </c>
      <c r="P514" s="2155"/>
      <c r="Q514" s="2155"/>
      <c r="R514" s="2156"/>
      <c r="S514" s="2192">
        <f t="shared" ref="S514:S524" si="107">ROUND(($U$117-$K$149)*$Q$73*VLOOKUP($A514,$N$123:$AG$133,13,TRUE)*VLOOKUP($A514,$N$146:$AG$156,13,TRUE)*$Q$78,3)</f>
        <v>0.45800000000000002</v>
      </c>
      <c r="T514" s="2192"/>
      <c r="U514" s="2192"/>
      <c r="V514" s="2192"/>
      <c r="W514" s="2193">
        <f t="shared" ref="W514:W524" si="108">ROUND(($U$114-$K$146)*$Q$73*VLOOKUP($A514,$A$167:$Q$177,12,TRUE)*VLOOKUP($A514,$N$146:$AG$156,17,TRUE)*$Q$78,2)</f>
        <v>219.33</v>
      </c>
      <c r="X514" s="2193"/>
      <c r="Y514" s="2193"/>
      <c r="Z514" s="2193"/>
      <c r="AA514" s="2193">
        <f t="shared" ref="AA514:AA524" si="109">ROUND(($U$115-$K$147)*$Q$73*VLOOKUP($A514,$A$167:$Q$177,12,TRUE)*VLOOKUP($A514,$N$146:$AG$156,17,TRUE)*$Q$78,2)</f>
        <v>550</v>
      </c>
      <c r="AB514" s="2193"/>
      <c r="AC514" s="2193"/>
      <c r="AD514" s="2193"/>
      <c r="AE514" s="2193">
        <f t="shared" ref="AE514:AE524" si="110">ROUND(($U$116-$K$148)*$Q$73*VLOOKUP($A514,$A$167:$Q$177,12,TRUE)*VLOOKUP($A514,$N$146:$AG$156,17,TRUE)*$Q$78,2)</f>
        <v>1100</v>
      </c>
      <c r="AF514" s="2193"/>
      <c r="AG514" s="2193"/>
      <c r="AH514" s="2193"/>
      <c r="AI514" s="2193">
        <f t="shared" ref="AI514:AI524" si="111">ROUND(($U$117-$K$149)*$Q$73*VLOOKUP($A514,$A$167:$Q$177,12,TRUE)*VLOOKUP($A514,$N$146:$AG$156,17,TRUE)*$Q$78,2)</f>
        <v>2361.9699999999998</v>
      </c>
      <c r="AJ514" s="2193"/>
      <c r="AK514" s="2193"/>
      <c r="AL514" s="2193"/>
    </row>
    <row r="515" spans="1:38" s="192" customFormat="1" x14ac:dyDescent="0.25">
      <c r="A515" s="2170" t="s">
        <v>221</v>
      </c>
      <c r="B515" s="2171"/>
      <c r="C515" s="2171"/>
      <c r="D515" s="2171"/>
      <c r="E515" s="2171"/>
      <c r="F515" s="2172"/>
      <c r="G515" s="2192">
        <f t="shared" si="104"/>
        <v>1.6E-2</v>
      </c>
      <c r="H515" s="2192"/>
      <c r="I515" s="2192"/>
      <c r="J515" s="2192"/>
      <c r="K515" s="2192">
        <f t="shared" si="105"/>
        <v>0.04</v>
      </c>
      <c r="L515" s="2192"/>
      <c r="M515" s="2192"/>
      <c r="N515" s="2192"/>
      <c r="O515" s="2154">
        <f t="shared" si="106"/>
        <v>0.08</v>
      </c>
      <c r="P515" s="2155"/>
      <c r="Q515" s="2155"/>
      <c r="R515" s="2156"/>
      <c r="S515" s="2192">
        <f t="shared" si="107"/>
        <v>0.17199999999999999</v>
      </c>
      <c r="T515" s="2192"/>
      <c r="U515" s="2192"/>
      <c r="V515" s="2192"/>
      <c r="W515" s="2193">
        <f t="shared" si="108"/>
        <v>497.4</v>
      </c>
      <c r="X515" s="2193"/>
      <c r="Y515" s="2193"/>
      <c r="Z515" s="2193"/>
      <c r="AA515" s="2193">
        <f t="shared" si="109"/>
        <v>1247.31</v>
      </c>
      <c r="AB515" s="2193"/>
      <c r="AC515" s="2193"/>
      <c r="AD515" s="2193"/>
      <c r="AE515" s="2193">
        <f t="shared" si="110"/>
        <v>2494.63</v>
      </c>
      <c r="AF515" s="2193"/>
      <c r="AG515" s="2193"/>
      <c r="AH515" s="2193"/>
      <c r="AI515" s="2193">
        <f t="shared" si="111"/>
        <v>5356.56</v>
      </c>
      <c r="AJ515" s="2193"/>
      <c r="AK515" s="2193"/>
      <c r="AL515" s="2193"/>
    </row>
    <row r="516" spans="1:38" s="192" customFormat="1" x14ac:dyDescent="0.25">
      <c r="A516" s="2170" t="s">
        <v>222</v>
      </c>
      <c r="B516" s="2171"/>
      <c r="C516" s="2171"/>
      <c r="D516" s="2171"/>
      <c r="E516" s="2171"/>
      <c r="F516" s="2172"/>
      <c r="G516" s="2192">
        <f t="shared" si="104"/>
        <v>3.3000000000000002E-2</v>
      </c>
      <c r="H516" s="2192"/>
      <c r="I516" s="2192"/>
      <c r="J516" s="2192"/>
      <c r="K516" s="2192">
        <f t="shared" si="105"/>
        <v>8.4000000000000005E-2</v>
      </c>
      <c r="L516" s="2192"/>
      <c r="M516" s="2192"/>
      <c r="N516" s="2192"/>
      <c r="O516" s="2154">
        <f t="shared" si="106"/>
        <v>0.16700000000000001</v>
      </c>
      <c r="P516" s="2155"/>
      <c r="Q516" s="2155"/>
      <c r="R516" s="2156"/>
      <c r="S516" s="2192">
        <f t="shared" si="107"/>
        <v>0.35899999999999999</v>
      </c>
      <c r="T516" s="2192"/>
      <c r="U516" s="2192"/>
      <c r="V516" s="2192"/>
      <c r="W516" s="2193">
        <f t="shared" si="108"/>
        <v>173.26</v>
      </c>
      <c r="X516" s="2193"/>
      <c r="Y516" s="2193"/>
      <c r="Z516" s="2193"/>
      <c r="AA516" s="2193">
        <f t="shared" si="109"/>
        <v>434.49</v>
      </c>
      <c r="AB516" s="2193"/>
      <c r="AC516" s="2193"/>
      <c r="AD516" s="2193"/>
      <c r="AE516" s="2193">
        <f t="shared" si="110"/>
        <v>868.99</v>
      </c>
      <c r="AF516" s="2193"/>
      <c r="AG516" s="2193"/>
      <c r="AH516" s="2193"/>
      <c r="AI516" s="2193">
        <f t="shared" si="111"/>
        <v>1865.92</v>
      </c>
      <c r="AJ516" s="2193"/>
      <c r="AK516" s="2193"/>
      <c r="AL516" s="2193"/>
    </row>
    <row r="517" spans="1:38" s="192" customFormat="1" x14ac:dyDescent="0.25">
      <c r="A517" s="2170" t="s">
        <v>223</v>
      </c>
      <c r="B517" s="2171"/>
      <c r="C517" s="2171"/>
      <c r="D517" s="2171"/>
      <c r="E517" s="2171"/>
      <c r="F517" s="2172"/>
      <c r="G517" s="2192">
        <f t="shared" si="104"/>
        <v>5.3999999999999999E-2</v>
      </c>
      <c r="H517" s="2192"/>
      <c r="I517" s="2192"/>
      <c r="J517" s="2192"/>
      <c r="K517" s="2192">
        <f t="shared" si="105"/>
        <v>0.13600000000000001</v>
      </c>
      <c r="L517" s="2192"/>
      <c r="M517" s="2192"/>
      <c r="N517" s="2192"/>
      <c r="O517" s="2154">
        <f t="shared" si="106"/>
        <v>0.27200000000000002</v>
      </c>
      <c r="P517" s="2155"/>
      <c r="Q517" s="2155"/>
      <c r="R517" s="2156"/>
      <c r="S517" s="2192">
        <f t="shared" si="107"/>
        <v>0.58299999999999996</v>
      </c>
      <c r="T517" s="2192"/>
      <c r="U517" s="2192"/>
      <c r="V517" s="2192"/>
      <c r="W517" s="2193">
        <f t="shared" si="108"/>
        <v>395.77</v>
      </c>
      <c r="X517" s="2193"/>
      <c r="Y517" s="2193"/>
      <c r="Z517" s="2193"/>
      <c r="AA517" s="2193">
        <f t="shared" si="109"/>
        <v>992.46</v>
      </c>
      <c r="AB517" s="2193"/>
      <c r="AC517" s="2193"/>
      <c r="AD517" s="2193"/>
      <c r="AE517" s="2193">
        <f t="shared" si="110"/>
        <v>1984.93</v>
      </c>
      <c r="AF517" s="2193"/>
      <c r="AG517" s="2193"/>
      <c r="AH517" s="2193"/>
      <c r="AI517" s="2193">
        <f t="shared" si="111"/>
        <v>4262.12</v>
      </c>
      <c r="AJ517" s="2193"/>
      <c r="AK517" s="2193"/>
      <c r="AL517" s="2193"/>
    </row>
    <row r="518" spans="1:38" x14ac:dyDescent="0.25">
      <c r="A518" s="2160" t="s">
        <v>224</v>
      </c>
      <c r="B518" s="2161"/>
      <c r="C518" s="2161"/>
      <c r="D518" s="2161"/>
      <c r="E518" s="2161"/>
      <c r="F518" s="2162"/>
      <c r="G518" s="2188">
        <f t="shared" si="104"/>
        <v>5.7000000000000002E-2</v>
      </c>
      <c r="H518" s="2188"/>
      <c r="I518" s="2188"/>
      <c r="J518" s="2188"/>
      <c r="K518" s="2188">
        <f t="shared" si="105"/>
        <v>0.14299999999999999</v>
      </c>
      <c r="L518" s="2188"/>
      <c r="M518" s="2188"/>
      <c r="N518" s="2188"/>
      <c r="O518" s="2189">
        <f t="shared" si="106"/>
        <v>0.28499999999999998</v>
      </c>
      <c r="P518" s="2190"/>
      <c r="Q518" s="2190"/>
      <c r="R518" s="2191"/>
      <c r="S518" s="2188">
        <f t="shared" si="107"/>
        <v>0.61199999999999999</v>
      </c>
      <c r="T518" s="2188"/>
      <c r="U518" s="2188"/>
      <c r="V518" s="2188"/>
      <c r="W518" s="2294">
        <f t="shared" si="108"/>
        <v>430.01</v>
      </c>
      <c r="X518" s="2294"/>
      <c r="Y518" s="2294"/>
      <c r="Z518" s="2294"/>
      <c r="AA518" s="2294">
        <f t="shared" si="109"/>
        <v>1078.32</v>
      </c>
      <c r="AB518" s="2294"/>
      <c r="AC518" s="2294"/>
      <c r="AD518" s="2294"/>
      <c r="AE518" s="2294">
        <f t="shared" si="110"/>
        <v>2156.65</v>
      </c>
      <c r="AF518" s="2294"/>
      <c r="AG518" s="2294"/>
      <c r="AH518" s="2294"/>
      <c r="AI518" s="2294">
        <f t="shared" si="111"/>
        <v>4630.84</v>
      </c>
      <c r="AJ518" s="2294"/>
      <c r="AK518" s="2294"/>
      <c r="AL518" s="2294"/>
    </row>
    <row r="519" spans="1:38" x14ac:dyDescent="0.25">
      <c r="A519" s="2160" t="s">
        <v>225</v>
      </c>
      <c r="B519" s="2161"/>
      <c r="C519" s="2161"/>
      <c r="D519" s="2161"/>
      <c r="E519" s="2161"/>
      <c r="F519" s="2162"/>
      <c r="G519" s="2188">
        <f t="shared" si="104"/>
        <v>7.8E-2</v>
      </c>
      <c r="H519" s="2188"/>
      <c r="I519" s="2188"/>
      <c r="J519" s="2188"/>
      <c r="K519" s="2188">
        <f t="shared" si="105"/>
        <v>0.19500000000000001</v>
      </c>
      <c r="L519" s="2188"/>
      <c r="M519" s="2188"/>
      <c r="N519" s="2188"/>
      <c r="O519" s="2189">
        <f t="shared" si="106"/>
        <v>0.39</v>
      </c>
      <c r="P519" s="2190"/>
      <c r="Q519" s="2190"/>
      <c r="R519" s="2191"/>
      <c r="S519" s="2188">
        <f t="shared" si="107"/>
        <v>0.83599999999999997</v>
      </c>
      <c r="T519" s="2188"/>
      <c r="U519" s="2188"/>
      <c r="V519" s="2188"/>
      <c r="W519" s="2294">
        <f t="shared" si="108"/>
        <v>413.67</v>
      </c>
      <c r="X519" s="2294"/>
      <c r="Y519" s="2294"/>
      <c r="Z519" s="2294"/>
      <c r="AA519" s="2294">
        <f t="shared" si="109"/>
        <v>1037.3499999999999</v>
      </c>
      <c r="AB519" s="2294"/>
      <c r="AC519" s="2294"/>
      <c r="AD519" s="2294"/>
      <c r="AE519" s="2294">
        <f t="shared" si="110"/>
        <v>2074.6999999999998</v>
      </c>
      <c r="AF519" s="2294"/>
      <c r="AG519" s="2294"/>
      <c r="AH519" s="2294"/>
      <c r="AI519" s="2294">
        <f t="shared" si="111"/>
        <v>4454.88</v>
      </c>
      <c r="AJ519" s="2294"/>
      <c r="AK519" s="2294"/>
      <c r="AL519" s="2294"/>
    </row>
    <row r="520" spans="1:38" x14ac:dyDescent="0.25">
      <c r="A520" s="2160" t="s">
        <v>226</v>
      </c>
      <c r="B520" s="2161"/>
      <c r="C520" s="2161"/>
      <c r="D520" s="2161"/>
      <c r="E520" s="2161"/>
      <c r="F520" s="2162"/>
      <c r="G520" s="2188">
        <f t="shared" si="104"/>
        <v>4.3999999999999997E-2</v>
      </c>
      <c r="H520" s="2188"/>
      <c r="I520" s="2188"/>
      <c r="J520" s="2188"/>
      <c r="K520" s="2188">
        <f t="shared" si="105"/>
        <v>0.111</v>
      </c>
      <c r="L520" s="2188"/>
      <c r="M520" s="2188"/>
      <c r="N520" s="2188"/>
      <c r="O520" s="2189">
        <f t="shared" si="106"/>
        <v>0.222</v>
      </c>
      <c r="P520" s="2190"/>
      <c r="Q520" s="2190"/>
      <c r="R520" s="2191"/>
      <c r="S520" s="2188">
        <f t="shared" si="107"/>
        <v>0.47699999999999998</v>
      </c>
      <c r="T520" s="2188"/>
      <c r="U520" s="2188"/>
      <c r="V520" s="2188"/>
      <c r="W520" s="2294">
        <f t="shared" si="108"/>
        <v>205.87</v>
      </c>
      <c r="X520" s="2294"/>
      <c r="Y520" s="2294"/>
      <c r="Z520" s="2294"/>
      <c r="AA520" s="2294">
        <f t="shared" si="109"/>
        <v>516.25</v>
      </c>
      <c r="AB520" s="2294"/>
      <c r="AC520" s="2294"/>
      <c r="AD520" s="2294"/>
      <c r="AE520" s="2294">
        <f t="shared" si="110"/>
        <v>1032.5</v>
      </c>
      <c r="AF520" s="2294"/>
      <c r="AG520" s="2294"/>
      <c r="AH520" s="2294"/>
      <c r="AI520" s="2294">
        <f t="shared" si="111"/>
        <v>2217.0100000000002</v>
      </c>
      <c r="AJ520" s="2294"/>
      <c r="AK520" s="2294"/>
      <c r="AL520" s="2294"/>
    </row>
    <row r="521" spans="1:38" x14ac:dyDescent="0.25">
      <c r="A521" s="2160" t="s">
        <v>55</v>
      </c>
      <c r="B521" s="2161"/>
      <c r="C521" s="2161"/>
      <c r="D521" s="2161"/>
      <c r="E521" s="2161"/>
      <c r="F521" s="2162"/>
      <c r="G521" s="2188">
        <f t="shared" si="104"/>
        <v>2.1000000000000001E-2</v>
      </c>
      <c r="H521" s="2188"/>
      <c r="I521" s="2188"/>
      <c r="J521" s="2188"/>
      <c r="K521" s="2188">
        <f t="shared" si="105"/>
        <v>5.2999999999999999E-2</v>
      </c>
      <c r="L521" s="2188"/>
      <c r="M521" s="2188"/>
      <c r="N521" s="2188"/>
      <c r="O521" s="2189">
        <f t="shared" si="106"/>
        <v>0.106</v>
      </c>
      <c r="P521" s="2190"/>
      <c r="Q521" s="2190"/>
      <c r="R521" s="2191"/>
      <c r="S521" s="2188">
        <f t="shared" si="107"/>
        <v>0.22800000000000001</v>
      </c>
      <c r="T521" s="2188"/>
      <c r="U521" s="2188"/>
      <c r="V521" s="2188"/>
      <c r="W521" s="2294">
        <f t="shared" si="108"/>
        <v>199.05</v>
      </c>
      <c r="X521" s="2294"/>
      <c r="Y521" s="2294"/>
      <c r="Z521" s="2294"/>
      <c r="AA521" s="2294">
        <f t="shared" si="109"/>
        <v>499.16</v>
      </c>
      <c r="AB521" s="2294"/>
      <c r="AC521" s="2294"/>
      <c r="AD521" s="2294"/>
      <c r="AE521" s="2294">
        <f t="shared" si="110"/>
        <v>998.31</v>
      </c>
      <c r="AF521" s="2294"/>
      <c r="AG521" s="2294"/>
      <c r="AH521" s="2294"/>
      <c r="AI521" s="2294">
        <f t="shared" si="111"/>
        <v>2143.61</v>
      </c>
      <c r="AJ521" s="2294"/>
      <c r="AK521" s="2294"/>
      <c r="AL521" s="2294"/>
    </row>
    <row r="522" spans="1:38" x14ac:dyDescent="0.25">
      <c r="A522" s="2160" t="s">
        <v>227</v>
      </c>
      <c r="B522" s="2161"/>
      <c r="C522" s="2161"/>
      <c r="D522" s="2161"/>
      <c r="E522" s="2161"/>
      <c r="F522" s="2162"/>
      <c r="G522" s="2188">
        <f t="shared" si="104"/>
        <v>3.9E-2</v>
      </c>
      <c r="H522" s="2188"/>
      <c r="I522" s="2188"/>
      <c r="J522" s="2188"/>
      <c r="K522" s="2188">
        <f t="shared" si="105"/>
        <v>9.9000000000000005E-2</v>
      </c>
      <c r="L522" s="2188"/>
      <c r="M522" s="2188"/>
      <c r="N522" s="2188"/>
      <c r="O522" s="2189">
        <f t="shared" si="106"/>
        <v>0.19800000000000001</v>
      </c>
      <c r="P522" s="2190"/>
      <c r="Q522" s="2190"/>
      <c r="R522" s="2191"/>
      <c r="S522" s="2188">
        <f t="shared" si="107"/>
        <v>0.42499999999999999</v>
      </c>
      <c r="T522" s="2188"/>
      <c r="U522" s="2188"/>
      <c r="V522" s="2188"/>
      <c r="W522" s="2294">
        <f t="shared" si="108"/>
        <v>294.33999999999997</v>
      </c>
      <c r="X522" s="2294"/>
      <c r="Y522" s="2294"/>
      <c r="Z522" s="2294"/>
      <c r="AA522" s="2294">
        <f t="shared" si="109"/>
        <v>738.13</v>
      </c>
      <c r="AB522" s="2294"/>
      <c r="AC522" s="2294"/>
      <c r="AD522" s="2294"/>
      <c r="AE522" s="2294">
        <f t="shared" si="110"/>
        <v>1476.25</v>
      </c>
      <c r="AF522" s="2294"/>
      <c r="AG522" s="2294"/>
      <c r="AH522" s="2294"/>
      <c r="AI522" s="2294">
        <f t="shared" si="111"/>
        <v>3169.87</v>
      </c>
      <c r="AJ522" s="2294"/>
      <c r="AK522" s="2294"/>
      <c r="AL522" s="2294"/>
    </row>
    <row r="523" spans="1:38" x14ac:dyDescent="0.25">
      <c r="A523" s="2160" t="s">
        <v>228</v>
      </c>
      <c r="B523" s="2161"/>
      <c r="C523" s="2161"/>
      <c r="D523" s="2161"/>
      <c r="E523" s="2161"/>
      <c r="F523" s="2162"/>
      <c r="G523" s="2188">
        <f t="shared" si="104"/>
        <v>4.7E-2</v>
      </c>
      <c r="H523" s="2188"/>
      <c r="I523" s="2188"/>
      <c r="J523" s="2188"/>
      <c r="K523" s="2188">
        <f t="shared" si="105"/>
        <v>0.11700000000000001</v>
      </c>
      <c r="L523" s="2188"/>
      <c r="M523" s="2188"/>
      <c r="N523" s="2188"/>
      <c r="O523" s="2189">
        <f t="shared" si="106"/>
        <v>0.23499999999999999</v>
      </c>
      <c r="P523" s="2190"/>
      <c r="Q523" s="2190"/>
      <c r="R523" s="2191"/>
      <c r="S523" s="2188">
        <f t="shared" si="107"/>
        <v>0.504</v>
      </c>
      <c r="T523" s="2188"/>
      <c r="U523" s="2188"/>
      <c r="V523" s="2188"/>
      <c r="W523" s="2294">
        <f t="shared" si="108"/>
        <v>291.77</v>
      </c>
      <c r="X523" s="2294"/>
      <c r="Y523" s="2294"/>
      <c r="Z523" s="2294"/>
      <c r="AA523" s="2294">
        <f t="shared" si="109"/>
        <v>731.68</v>
      </c>
      <c r="AB523" s="2294"/>
      <c r="AC523" s="2294"/>
      <c r="AD523" s="2294"/>
      <c r="AE523" s="2294">
        <f t="shared" si="110"/>
        <v>1463.36</v>
      </c>
      <c r="AF523" s="2294"/>
      <c r="AG523" s="2294"/>
      <c r="AH523" s="2294"/>
      <c r="AI523" s="2294">
        <f t="shared" si="111"/>
        <v>3142.19</v>
      </c>
      <c r="AJ523" s="2294"/>
      <c r="AK523" s="2294"/>
      <c r="AL523" s="2294"/>
    </row>
    <row r="524" spans="1:38" x14ac:dyDescent="0.25">
      <c r="A524" s="2160" t="s">
        <v>229</v>
      </c>
      <c r="B524" s="2161"/>
      <c r="C524" s="2161"/>
      <c r="D524" s="2161"/>
      <c r="E524" s="2161"/>
      <c r="F524" s="2162"/>
      <c r="G524" s="2188">
        <f t="shared" si="104"/>
        <v>7.0000000000000001E-3</v>
      </c>
      <c r="H524" s="2188"/>
      <c r="I524" s="2188"/>
      <c r="J524" s="2188"/>
      <c r="K524" s="2188">
        <f t="shared" si="105"/>
        <v>1.9E-2</v>
      </c>
      <c r="L524" s="2188"/>
      <c r="M524" s="2188"/>
      <c r="N524" s="2188"/>
      <c r="O524" s="2189">
        <f t="shared" si="106"/>
        <v>3.6999999999999998E-2</v>
      </c>
      <c r="P524" s="2190"/>
      <c r="Q524" s="2190"/>
      <c r="R524" s="2191"/>
      <c r="S524" s="2188">
        <f t="shared" si="107"/>
        <v>0.08</v>
      </c>
      <c r="T524" s="2188"/>
      <c r="U524" s="2188"/>
      <c r="V524" s="2188"/>
      <c r="W524" s="2294">
        <f t="shared" si="108"/>
        <v>144.44</v>
      </c>
      <c r="X524" s="2294"/>
      <c r="Y524" s="2294"/>
      <c r="Z524" s="2294"/>
      <c r="AA524" s="2294">
        <f t="shared" si="109"/>
        <v>362.2</v>
      </c>
      <c r="AB524" s="2294"/>
      <c r="AC524" s="2294"/>
      <c r="AD524" s="2294"/>
      <c r="AE524" s="2294">
        <f t="shared" si="110"/>
        <v>724.4</v>
      </c>
      <c r="AF524" s="2294"/>
      <c r="AG524" s="2294"/>
      <c r="AH524" s="2294"/>
      <c r="AI524" s="2294">
        <f t="shared" si="111"/>
        <v>1555.47</v>
      </c>
      <c r="AJ524" s="2294"/>
      <c r="AK524" s="2294"/>
      <c r="AL524" s="2294"/>
    </row>
    <row r="525" spans="1:38" x14ac:dyDescent="0.25">
      <c r="A525" s="404"/>
      <c r="B525" s="404"/>
      <c r="C525" s="404"/>
      <c r="D525" s="404"/>
      <c r="E525" s="404"/>
      <c r="F525" s="404"/>
      <c r="G525" s="405"/>
      <c r="H525" s="405"/>
      <c r="I525" s="405"/>
      <c r="J525" s="405"/>
      <c r="K525" s="405"/>
      <c r="L525" s="405"/>
      <c r="M525" s="405"/>
      <c r="N525" s="405"/>
      <c r="O525" s="405"/>
      <c r="P525" s="405"/>
      <c r="Q525" s="405"/>
      <c r="R525" s="405"/>
      <c r="S525" s="405"/>
      <c r="T525" s="405"/>
      <c r="U525" s="405"/>
      <c r="V525" s="405"/>
      <c r="W525" s="406"/>
      <c r="X525" s="406"/>
      <c r="Y525" s="406"/>
      <c r="Z525" s="406"/>
      <c r="AA525" s="406"/>
      <c r="AB525" s="406"/>
      <c r="AC525" s="406"/>
      <c r="AD525" s="406"/>
      <c r="AE525" s="406"/>
      <c r="AF525" s="406"/>
      <c r="AG525" s="406"/>
      <c r="AH525" s="406"/>
      <c r="AI525" s="406"/>
      <c r="AJ525" s="406"/>
      <c r="AK525" s="406"/>
      <c r="AL525" s="406"/>
    </row>
    <row r="526" spans="1:38" s="192" customFormat="1" x14ac:dyDescent="0.25">
      <c r="B526" s="519" t="s">
        <v>5691</v>
      </c>
    </row>
    <row r="527" spans="1:38" s="192" customFormat="1" x14ac:dyDescent="0.25"/>
    <row r="528" spans="1:38" s="192" customFormat="1" x14ac:dyDescent="0.25">
      <c r="A528" s="740" t="s">
        <v>6727</v>
      </c>
      <c r="B528" s="740"/>
      <c r="C528" s="740"/>
      <c r="D528" s="740"/>
      <c r="E528" s="740"/>
      <c r="F528" s="740"/>
      <c r="G528" s="740"/>
      <c r="H528" s="740"/>
      <c r="I528" s="740"/>
      <c r="J528" s="740"/>
      <c r="K528" s="740"/>
      <c r="L528" s="740"/>
      <c r="M528" s="740"/>
      <c r="N528" s="740"/>
      <c r="O528" s="740"/>
      <c r="P528" s="740"/>
      <c r="Q528" s="740"/>
      <c r="R528" s="740"/>
      <c r="S528" s="262"/>
      <c r="T528" s="262"/>
      <c r="U528" s="262"/>
      <c r="V528" s="262"/>
      <c r="W528" s="740"/>
      <c r="X528" s="740"/>
      <c r="Y528" s="740"/>
      <c r="Z528" s="740"/>
      <c r="AA528" s="740"/>
      <c r="AB528" s="740"/>
      <c r="AC528" s="740"/>
      <c r="AD528" s="740"/>
      <c r="AE528" s="740"/>
      <c r="AF528" s="740"/>
      <c r="AG528" s="740"/>
      <c r="AH528" s="740"/>
      <c r="AI528" s="262"/>
      <c r="AJ528" s="262"/>
      <c r="AK528" s="262"/>
      <c r="AL528" s="262"/>
    </row>
    <row r="529" spans="1:22" s="192" customFormat="1" x14ac:dyDescent="0.25">
      <c r="B529" s="995"/>
      <c r="C529" s="995"/>
      <c r="D529" s="995"/>
      <c r="E529" s="995"/>
      <c r="F529" s="995"/>
      <c r="G529" s="2396" t="s">
        <v>1945</v>
      </c>
      <c r="H529" s="2397"/>
      <c r="I529" s="2397"/>
      <c r="J529" s="2397"/>
      <c r="K529" s="2397"/>
      <c r="L529" s="2397"/>
      <c r="M529" s="2397"/>
      <c r="N529" s="2397"/>
      <c r="O529" s="2397"/>
      <c r="P529" s="2397"/>
      <c r="Q529" s="2397"/>
      <c r="R529" s="2397"/>
      <c r="S529" s="2397"/>
      <c r="T529" s="2397"/>
      <c r="U529" s="2397"/>
      <c r="V529" s="2398"/>
    </row>
    <row r="530" spans="1:22" s="192" customFormat="1" x14ac:dyDescent="0.25">
      <c r="A530" s="2199" t="s">
        <v>54</v>
      </c>
      <c r="B530" s="2200"/>
      <c r="C530" s="2200"/>
      <c r="D530" s="2200"/>
      <c r="E530" s="2200"/>
      <c r="F530" s="2201"/>
      <c r="G530" s="2339" t="s">
        <v>1459</v>
      </c>
      <c r="H530" s="2339"/>
      <c r="I530" s="2339"/>
      <c r="J530" s="2339"/>
      <c r="K530" s="2340" t="s">
        <v>1467</v>
      </c>
      <c r="L530" s="2340"/>
      <c r="M530" s="2340"/>
      <c r="N530" s="2340"/>
      <c r="O530" s="2399" t="s">
        <v>1468</v>
      </c>
      <c r="P530" s="2400"/>
      <c r="Q530" s="2400"/>
      <c r="R530" s="2401"/>
      <c r="S530" s="2340" t="s">
        <v>1460</v>
      </c>
      <c r="T530" s="2340"/>
      <c r="U530" s="2340"/>
      <c r="V530" s="2340"/>
    </row>
    <row r="531" spans="1:22" s="192" customFormat="1" x14ac:dyDescent="0.25">
      <c r="A531" s="2170" t="s">
        <v>1984</v>
      </c>
      <c r="B531" s="2171"/>
      <c r="C531" s="2171"/>
      <c r="D531" s="2171"/>
      <c r="E531" s="2171"/>
      <c r="F531" s="2172"/>
      <c r="G531" s="2193">
        <f t="shared" ref="G531:G541" si="112">ROUND(W514*VLOOKUP($A531,$A$199:$Q$209,12,TRUE),2)</f>
        <v>3509.28</v>
      </c>
      <c r="H531" s="2193"/>
      <c r="I531" s="2193"/>
      <c r="J531" s="2193"/>
      <c r="K531" s="2193">
        <f t="shared" ref="K531:K541" si="113">ROUND(AA514*VLOOKUP($A531,$A$199:$Q$209,12,TRUE),2)</f>
        <v>8800</v>
      </c>
      <c r="L531" s="2193"/>
      <c r="M531" s="2193"/>
      <c r="N531" s="2193"/>
      <c r="O531" s="2194">
        <f t="shared" ref="O531:O541" si="114">ROUND(AE514*VLOOKUP($A531,$A$199:$Q$209,12,TRUE),2)</f>
        <v>17600</v>
      </c>
      <c r="P531" s="2195"/>
      <c r="Q531" s="2195"/>
      <c r="R531" s="2196"/>
      <c r="S531" s="2193">
        <f t="shared" ref="S531:S541" si="115">ROUND(AI514*VLOOKUP($A531,$A$199:$Q$209,12,TRUE),2)</f>
        <v>37791.519999999997</v>
      </c>
      <c r="T531" s="2193"/>
      <c r="U531" s="2193"/>
      <c r="V531" s="2193"/>
    </row>
    <row r="532" spans="1:22" s="192" customFormat="1" x14ac:dyDescent="0.25">
      <c r="A532" s="2170" t="s">
        <v>221</v>
      </c>
      <c r="B532" s="2171"/>
      <c r="C532" s="2171"/>
      <c r="D532" s="2171"/>
      <c r="E532" s="2171"/>
      <c r="F532" s="2172"/>
      <c r="G532" s="2193">
        <f t="shared" si="112"/>
        <v>4974</v>
      </c>
      <c r="H532" s="2193"/>
      <c r="I532" s="2193"/>
      <c r="J532" s="2193"/>
      <c r="K532" s="2193">
        <f t="shared" si="113"/>
        <v>12473.1</v>
      </c>
      <c r="L532" s="2193"/>
      <c r="M532" s="2193"/>
      <c r="N532" s="2193"/>
      <c r="O532" s="2194">
        <f t="shared" si="114"/>
        <v>24946.3</v>
      </c>
      <c r="P532" s="2195"/>
      <c r="Q532" s="2195"/>
      <c r="R532" s="2196"/>
      <c r="S532" s="2193">
        <f t="shared" si="115"/>
        <v>53565.599999999999</v>
      </c>
      <c r="T532" s="2193"/>
      <c r="U532" s="2193"/>
      <c r="V532" s="2193"/>
    </row>
    <row r="533" spans="1:22" s="192" customFormat="1" x14ac:dyDescent="0.25">
      <c r="A533" s="2170" t="s">
        <v>222</v>
      </c>
      <c r="B533" s="2171"/>
      <c r="C533" s="2171"/>
      <c r="D533" s="2171"/>
      <c r="E533" s="2171"/>
      <c r="F533" s="2172"/>
      <c r="G533" s="2193">
        <f t="shared" si="112"/>
        <v>3984.98</v>
      </c>
      <c r="H533" s="2193"/>
      <c r="I533" s="2193"/>
      <c r="J533" s="2193"/>
      <c r="K533" s="2193">
        <f t="shared" si="113"/>
        <v>9993.27</v>
      </c>
      <c r="L533" s="2193"/>
      <c r="M533" s="2193"/>
      <c r="N533" s="2193"/>
      <c r="O533" s="2194">
        <f t="shared" si="114"/>
        <v>19986.77</v>
      </c>
      <c r="P533" s="2195"/>
      <c r="Q533" s="2195"/>
      <c r="R533" s="2196"/>
      <c r="S533" s="2193">
        <f t="shared" si="115"/>
        <v>42916.160000000003</v>
      </c>
      <c r="T533" s="2193"/>
      <c r="U533" s="2193"/>
      <c r="V533" s="2193"/>
    </row>
    <row r="534" spans="1:22" s="192" customFormat="1" x14ac:dyDescent="0.25">
      <c r="A534" s="2170" t="s">
        <v>223</v>
      </c>
      <c r="B534" s="2171"/>
      <c r="C534" s="2171"/>
      <c r="D534" s="2171"/>
      <c r="E534" s="2171"/>
      <c r="F534" s="2172"/>
      <c r="G534" s="2193">
        <f t="shared" si="112"/>
        <v>3561.93</v>
      </c>
      <c r="H534" s="2193"/>
      <c r="I534" s="2193"/>
      <c r="J534" s="2193"/>
      <c r="K534" s="2193">
        <f t="shared" si="113"/>
        <v>8932.14</v>
      </c>
      <c r="L534" s="2193"/>
      <c r="M534" s="2193"/>
      <c r="N534" s="2193"/>
      <c r="O534" s="2194">
        <f t="shared" si="114"/>
        <v>17864.37</v>
      </c>
      <c r="P534" s="2195"/>
      <c r="Q534" s="2195"/>
      <c r="R534" s="2196"/>
      <c r="S534" s="2193">
        <f t="shared" si="115"/>
        <v>38359.08</v>
      </c>
      <c r="T534" s="2193"/>
      <c r="U534" s="2193"/>
      <c r="V534" s="2193"/>
    </row>
    <row r="535" spans="1:22" s="192" customFormat="1" x14ac:dyDescent="0.25">
      <c r="A535" s="2170" t="s">
        <v>224</v>
      </c>
      <c r="B535" s="2171"/>
      <c r="C535" s="2171"/>
      <c r="D535" s="2171"/>
      <c r="E535" s="2171"/>
      <c r="F535" s="2172"/>
      <c r="G535" s="2193">
        <f t="shared" si="112"/>
        <v>3870.09</v>
      </c>
      <c r="H535" s="2193"/>
      <c r="I535" s="2193"/>
      <c r="J535" s="2193"/>
      <c r="K535" s="2193">
        <f t="shared" si="113"/>
        <v>9704.8799999999992</v>
      </c>
      <c r="L535" s="2193"/>
      <c r="M535" s="2193"/>
      <c r="N535" s="2193"/>
      <c r="O535" s="2194">
        <f t="shared" si="114"/>
        <v>19409.849999999999</v>
      </c>
      <c r="P535" s="2195"/>
      <c r="Q535" s="2195"/>
      <c r="R535" s="2196"/>
      <c r="S535" s="2193">
        <f t="shared" si="115"/>
        <v>41677.56</v>
      </c>
      <c r="T535" s="2193"/>
      <c r="U535" s="2193"/>
      <c r="V535" s="2193"/>
    </row>
    <row r="536" spans="1:22" s="192" customFormat="1" x14ac:dyDescent="0.25">
      <c r="A536" s="2170" t="s">
        <v>225</v>
      </c>
      <c r="B536" s="2171"/>
      <c r="C536" s="2171"/>
      <c r="D536" s="2171"/>
      <c r="E536" s="2171"/>
      <c r="F536" s="2172"/>
      <c r="G536" s="2193">
        <f t="shared" si="112"/>
        <v>4136.7</v>
      </c>
      <c r="H536" s="2193"/>
      <c r="I536" s="2193"/>
      <c r="J536" s="2193"/>
      <c r="K536" s="2193">
        <f t="shared" si="113"/>
        <v>10373.5</v>
      </c>
      <c r="L536" s="2193"/>
      <c r="M536" s="2193"/>
      <c r="N536" s="2193"/>
      <c r="O536" s="2194">
        <f t="shared" si="114"/>
        <v>20747</v>
      </c>
      <c r="P536" s="2195"/>
      <c r="Q536" s="2195"/>
      <c r="R536" s="2196"/>
      <c r="S536" s="2193">
        <f t="shared" si="115"/>
        <v>44548.800000000003</v>
      </c>
      <c r="T536" s="2193"/>
      <c r="U536" s="2193"/>
      <c r="V536" s="2193"/>
    </row>
    <row r="537" spans="1:22" s="192" customFormat="1" x14ac:dyDescent="0.25">
      <c r="A537" s="2170" t="s">
        <v>226</v>
      </c>
      <c r="B537" s="2171"/>
      <c r="C537" s="2171"/>
      <c r="D537" s="2171"/>
      <c r="E537" s="2171"/>
      <c r="F537" s="2172"/>
      <c r="G537" s="2193">
        <f t="shared" si="112"/>
        <v>3499.79</v>
      </c>
      <c r="H537" s="2193"/>
      <c r="I537" s="2193"/>
      <c r="J537" s="2193"/>
      <c r="K537" s="2193">
        <f t="shared" si="113"/>
        <v>8776.25</v>
      </c>
      <c r="L537" s="2193"/>
      <c r="M537" s="2193"/>
      <c r="N537" s="2193"/>
      <c r="O537" s="2194">
        <f t="shared" si="114"/>
        <v>17552.5</v>
      </c>
      <c r="P537" s="2195"/>
      <c r="Q537" s="2195"/>
      <c r="R537" s="2196"/>
      <c r="S537" s="2193">
        <f t="shared" si="115"/>
        <v>37689.17</v>
      </c>
      <c r="T537" s="2193"/>
      <c r="U537" s="2193"/>
      <c r="V537" s="2193"/>
    </row>
    <row r="538" spans="1:22" s="192" customFormat="1" x14ac:dyDescent="0.25">
      <c r="A538" s="2170" t="s">
        <v>55</v>
      </c>
      <c r="B538" s="2171"/>
      <c r="C538" s="2171"/>
      <c r="D538" s="2171"/>
      <c r="E538" s="2171"/>
      <c r="F538" s="2172"/>
      <c r="G538" s="2193">
        <f t="shared" si="112"/>
        <v>3981</v>
      </c>
      <c r="H538" s="2193"/>
      <c r="I538" s="2193"/>
      <c r="J538" s="2193"/>
      <c r="K538" s="2193">
        <f t="shared" si="113"/>
        <v>9983.2000000000007</v>
      </c>
      <c r="L538" s="2193"/>
      <c r="M538" s="2193"/>
      <c r="N538" s="2193"/>
      <c r="O538" s="2194">
        <f t="shared" si="114"/>
        <v>19966.2</v>
      </c>
      <c r="P538" s="2195"/>
      <c r="Q538" s="2195"/>
      <c r="R538" s="2196"/>
      <c r="S538" s="2193">
        <f t="shared" si="115"/>
        <v>42872.2</v>
      </c>
      <c r="T538" s="2193"/>
      <c r="U538" s="2193"/>
      <c r="V538" s="2193"/>
    </row>
    <row r="539" spans="1:22" s="192" customFormat="1" x14ac:dyDescent="0.25">
      <c r="A539" s="2170" t="s">
        <v>227</v>
      </c>
      <c r="B539" s="2171"/>
      <c r="C539" s="2171"/>
      <c r="D539" s="2171"/>
      <c r="E539" s="2171"/>
      <c r="F539" s="2172"/>
      <c r="G539" s="2193">
        <f t="shared" si="112"/>
        <v>4120.76</v>
      </c>
      <c r="H539" s="2193"/>
      <c r="I539" s="2193"/>
      <c r="J539" s="2193"/>
      <c r="K539" s="2193">
        <f t="shared" si="113"/>
        <v>10333.82</v>
      </c>
      <c r="L539" s="2193"/>
      <c r="M539" s="2193"/>
      <c r="N539" s="2193"/>
      <c r="O539" s="2194">
        <f t="shared" si="114"/>
        <v>20667.5</v>
      </c>
      <c r="P539" s="2195"/>
      <c r="Q539" s="2195"/>
      <c r="R539" s="2196"/>
      <c r="S539" s="2193">
        <f t="shared" si="115"/>
        <v>44378.18</v>
      </c>
      <c r="T539" s="2193"/>
      <c r="U539" s="2193"/>
      <c r="V539" s="2193"/>
    </row>
    <row r="540" spans="1:22" s="192" customFormat="1" x14ac:dyDescent="0.25">
      <c r="A540" s="2170" t="s">
        <v>228</v>
      </c>
      <c r="B540" s="2171"/>
      <c r="C540" s="2171"/>
      <c r="D540" s="2171"/>
      <c r="E540" s="2171"/>
      <c r="F540" s="2172"/>
      <c r="G540" s="2193">
        <f t="shared" si="112"/>
        <v>3793.01</v>
      </c>
      <c r="H540" s="2193"/>
      <c r="I540" s="2193"/>
      <c r="J540" s="2193"/>
      <c r="K540" s="2193">
        <f t="shared" si="113"/>
        <v>9511.84</v>
      </c>
      <c r="L540" s="2193"/>
      <c r="M540" s="2193"/>
      <c r="N540" s="2193"/>
      <c r="O540" s="2194">
        <f t="shared" si="114"/>
        <v>19023.68</v>
      </c>
      <c r="P540" s="2195"/>
      <c r="Q540" s="2195"/>
      <c r="R540" s="2196"/>
      <c r="S540" s="2193">
        <f t="shared" si="115"/>
        <v>40848.47</v>
      </c>
      <c r="T540" s="2193"/>
      <c r="U540" s="2193"/>
      <c r="V540" s="2193"/>
    </row>
    <row r="541" spans="1:22" s="192" customFormat="1" x14ac:dyDescent="0.25">
      <c r="A541" s="2170" t="s">
        <v>229</v>
      </c>
      <c r="B541" s="2171"/>
      <c r="C541" s="2171"/>
      <c r="D541" s="2171"/>
      <c r="E541" s="2171"/>
      <c r="F541" s="2172"/>
      <c r="G541" s="2193">
        <f t="shared" si="112"/>
        <v>3177.68</v>
      </c>
      <c r="H541" s="2193"/>
      <c r="I541" s="2193"/>
      <c r="J541" s="2193"/>
      <c r="K541" s="2193">
        <f t="shared" si="113"/>
        <v>7968.4</v>
      </c>
      <c r="L541" s="2193"/>
      <c r="M541" s="2193"/>
      <c r="N541" s="2193"/>
      <c r="O541" s="2194">
        <f t="shared" si="114"/>
        <v>15936.8</v>
      </c>
      <c r="P541" s="2195"/>
      <c r="Q541" s="2195"/>
      <c r="R541" s="2196"/>
      <c r="S541" s="2193">
        <f t="shared" si="115"/>
        <v>34220.339999999997</v>
      </c>
      <c r="T541" s="2193"/>
      <c r="U541" s="2193"/>
      <c r="V541" s="2193"/>
    </row>
    <row r="542" spans="1:22" s="192" customFormat="1" x14ac:dyDescent="0.25">
      <c r="A542" s="999"/>
      <c r="B542" s="999"/>
      <c r="C542" s="999"/>
      <c r="D542" s="999"/>
      <c r="E542" s="999"/>
      <c r="F542" s="999"/>
      <c r="G542" s="1000"/>
      <c r="H542" s="1000"/>
      <c r="I542" s="1000"/>
      <c r="J542" s="1000"/>
      <c r="K542" s="1000"/>
      <c r="L542" s="1000"/>
      <c r="M542" s="1000"/>
      <c r="N542" s="1000"/>
      <c r="O542" s="1000"/>
      <c r="P542" s="1000"/>
      <c r="Q542" s="1000"/>
      <c r="R542" s="1000"/>
      <c r="S542" s="1000"/>
      <c r="T542" s="1000"/>
      <c r="U542" s="1000"/>
      <c r="V542" s="1000"/>
    </row>
    <row r="543" spans="1:22" s="192" customFormat="1" x14ac:dyDescent="0.25">
      <c r="B543" s="519" t="s">
        <v>1975</v>
      </c>
    </row>
    <row r="544" spans="1:22" s="192" customFormat="1" x14ac:dyDescent="0.25"/>
    <row r="545" spans="1:30" s="192" customFormat="1" x14ac:dyDescent="0.25">
      <c r="A545" s="956" t="s">
        <v>6728</v>
      </c>
      <c r="G545" s="190"/>
      <c r="K545" s="190"/>
      <c r="AA545" s="197"/>
      <c r="AB545" s="197"/>
      <c r="AC545" s="197"/>
      <c r="AD545" s="197"/>
    </row>
    <row r="546" spans="1:30" x14ac:dyDescent="0.25">
      <c r="A546" s="2173" t="s">
        <v>54</v>
      </c>
      <c r="B546" s="2174"/>
      <c r="C546" s="2174"/>
      <c r="D546" s="2174"/>
      <c r="E546" s="2174"/>
      <c r="F546" s="2175"/>
      <c r="G546" s="2318" t="s">
        <v>2919</v>
      </c>
      <c r="H546" s="2319"/>
      <c r="I546" s="2319"/>
      <c r="J546" s="2319"/>
      <c r="K546" s="2319"/>
      <c r="L546" s="2319"/>
      <c r="M546" s="2319"/>
      <c r="N546" s="2319"/>
      <c r="O546" s="2319"/>
      <c r="P546" s="2319"/>
      <c r="Q546" s="2319"/>
      <c r="R546" s="2320"/>
      <c r="S546" s="2321" t="s">
        <v>2920</v>
      </c>
      <c r="T546" s="2321"/>
      <c r="U546" s="2321"/>
      <c r="V546" s="2321"/>
      <c r="W546" s="2321"/>
      <c r="X546" s="2321"/>
      <c r="Y546" s="2321"/>
      <c r="Z546" s="2321"/>
      <c r="AA546" s="2321"/>
      <c r="AB546" s="2321"/>
      <c r="AC546" s="2321"/>
      <c r="AD546" s="2321"/>
    </row>
    <row r="547" spans="1:30" ht="14.45" customHeight="1" x14ac:dyDescent="0.25">
      <c r="A547" s="2160" t="s">
        <v>1984</v>
      </c>
      <c r="B547" s="2161"/>
      <c r="C547" s="2161"/>
      <c r="D547" s="2161"/>
      <c r="E547" s="2161"/>
      <c r="F547" s="2162"/>
      <c r="G547" s="1375">
        <f t="shared" ref="G547:G557" si="116">ROUND(($U$99-$K$131)*$Q$73*VLOOKUP($A547,$N$123:$AG$133,9,TRUE)*VLOOKUP($A547,$N$146:$AG$156,5,TRUE)*$Q$78,3)</f>
        <v>7.0000000000000001E-3</v>
      </c>
      <c r="H547" s="1376"/>
      <c r="I547" s="1376"/>
      <c r="J547" s="1376"/>
      <c r="K547" s="1376"/>
      <c r="L547" s="1376"/>
      <c r="M547" s="1376"/>
      <c r="N547" s="1376"/>
      <c r="O547" s="1376"/>
      <c r="P547" s="1376"/>
      <c r="Q547" s="1376"/>
      <c r="R547" s="1377"/>
      <c r="S547" s="2322">
        <f t="shared" ref="S547:S557" si="117">ROUND(($U$99-$K$131)*$Q$73*VLOOKUP($A547,$A$167:$Q$177,8,TRUE)*VLOOKUP($A547,$N$146:$AG$156,9,TRUE)*$Q$78,2)</f>
        <v>35.21</v>
      </c>
      <c r="T547" s="2322"/>
      <c r="U547" s="2322"/>
      <c r="V547" s="2322"/>
      <c r="W547" s="2322"/>
      <c r="X547" s="2322"/>
      <c r="Y547" s="2322"/>
      <c r="Z547" s="2322"/>
      <c r="AA547" s="2322"/>
      <c r="AB547" s="2322"/>
      <c r="AC547" s="2322"/>
      <c r="AD547" s="2322"/>
    </row>
    <row r="548" spans="1:30" x14ac:dyDescent="0.25">
      <c r="A548" s="2160" t="s">
        <v>221</v>
      </c>
      <c r="B548" s="2161"/>
      <c r="C548" s="2161"/>
      <c r="D548" s="2161"/>
      <c r="E548" s="2161"/>
      <c r="F548" s="2162"/>
      <c r="G548" s="2185">
        <f t="shared" si="116"/>
        <v>4.0000000000000001E-3</v>
      </c>
      <c r="H548" s="2186"/>
      <c r="I548" s="2186"/>
      <c r="J548" s="2186"/>
      <c r="K548" s="2186"/>
      <c r="L548" s="2186"/>
      <c r="M548" s="2186"/>
      <c r="N548" s="2186"/>
      <c r="O548" s="2186"/>
      <c r="P548" s="2186"/>
      <c r="Q548" s="2186"/>
      <c r="R548" s="2187"/>
      <c r="S548" s="2322">
        <f t="shared" si="117"/>
        <v>125.06</v>
      </c>
      <c r="T548" s="2322"/>
      <c r="U548" s="2322"/>
      <c r="V548" s="2322"/>
      <c r="W548" s="2322"/>
      <c r="X548" s="2322"/>
      <c r="Y548" s="2322"/>
      <c r="Z548" s="2322"/>
      <c r="AA548" s="2322"/>
      <c r="AB548" s="2322"/>
      <c r="AC548" s="2322"/>
      <c r="AD548" s="2322"/>
    </row>
    <row r="549" spans="1:30" x14ac:dyDescent="0.25">
      <c r="A549" s="2160" t="s">
        <v>222</v>
      </c>
      <c r="B549" s="2161"/>
      <c r="C549" s="2161"/>
      <c r="D549" s="2161"/>
      <c r="E549" s="2161"/>
      <c r="F549" s="2162"/>
      <c r="G549" s="2185">
        <f t="shared" si="116"/>
        <v>6.0000000000000001E-3</v>
      </c>
      <c r="H549" s="2186"/>
      <c r="I549" s="2186"/>
      <c r="J549" s="2186"/>
      <c r="K549" s="2186"/>
      <c r="L549" s="2186"/>
      <c r="M549" s="2186"/>
      <c r="N549" s="2186"/>
      <c r="O549" s="2186"/>
      <c r="P549" s="2186"/>
      <c r="Q549" s="2186"/>
      <c r="R549" s="2187"/>
      <c r="S549" s="2322">
        <f t="shared" si="117"/>
        <v>31.87</v>
      </c>
      <c r="T549" s="2322"/>
      <c r="U549" s="2322"/>
      <c r="V549" s="2322"/>
      <c r="W549" s="2322"/>
      <c r="X549" s="2322"/>
      <c r="Y549" s="2322"/>
      <c r="Z549" s="2322"/>
      <c r="AA549" s="2322"/>
      <c r="AB549" s="2322"/>
      <c r="AC549" s="2322"/>
      <c r="AD549" s="2322"/>
    </row>
    <row r="550" spans="1:30" x14ac:dyDescent="0.25">
      <c r="A550" s="2160" t="s">
        <v>223</v>
      </c>
      <c r="B550" s="2161"/>
      <c r="C550" s="2161"/>
      <c r="D550" s="2161"/>
      <c r="E550" s="2161"/>
      <c r="F550" s="2162"/>
      <c r="G550" s="2185">
        <f t="shared" si="116"/>
        <v>1.2999999999999999E-2</v>
      </c>
      <c r="H550" s="2186"/>
      <c r="I550" s="2186"/>
      <c r="J550" s="2186"/>
      <c r="K550" s="2186"/>
      <c r="L550" s="2186"/>
      <c r="M550" s="2186"/>
      <c r="N550" s="2186"/>
      <c r="O550" s="2186"/>
      <c r="P550" s="2186"/>
      <c r="Q550" s="2186"/>
      <c r="R550" s="2187"/>
      <c r="S550" s="2322">
        <f t="shared" si="117"/>
        <v>95.07</v>
      </c>
      <c r="T550" s="2322"/>
      <c r="U550" s="2322"/>
      <c r="V550" s="2322"/>
      <c r="W550" s="2322"/>
      <c r="X550" s="2322"/>
      <c r="Y550" s="2322"/>
      <c r="Z550" s="2322"/>
      <c r="AA550" s="2322"/>
      <c r="AB550" s="2322"/>
      <c r="AC550" s="2322"/>
      <c r="AD550" s="2322"/>
    </row>
    <row r="551" spans="1:30" x14ac:dyDescent="0.25">
      <c r="A551" s="2160" t="s">
        <v>224</v>
      </c>
      <c r="B551" s="2161"/>
      <c r="C551" s="2161"/>
      <c r="D551" s="2161"/>
      <c r="E551" s="2161"/>
      <c r="F551" s="2162"/>
      <c r="G551" s="2185">
        <f t="shared" si="116"/>
        <v>1.4E-2</v>
      </c>
      <c r="H551" s="2186"/>
      <c r="I551" s="2186"/>
      <c r="J551" s="2186"/>
      <c r="K551" s="2186"/>
      <c r="L551" s="2186"/>
      <c r="M551" s="2186"/>
      <c r="N551" s="2186"/>
      <c r="O551" s="2186"/>
      <c r="P551" s="2186"/>
      <c r="Q551" s="2186"/>
      <c r="R551" s="2187"/>
      <c r="S551" s="2322">
        <f t="shared" si="117"/>
        <v>104.19</v>
      </c>
      <c r="T551" s="2322"/>
      <c r="U551" s="2322"/>
      <c r="V551" s="2322"/>
      <c r="W551" s="2322"/>
      <c r="X551" s="2322"/>
      <c r="Y551" s="2322"/>
      <c r="Z551" s="2322"/>
      <c r="AA551" s="2322"/>
      <c r="AB551" s="2322"/>
      <c r="AC551" s="2322"/>
      <c r="AD551" s="2322"/>
    </row>
    <row r="552" spans="1:30" x14ac:dyDescent="0.25">
      <c r="A552" s="2160" t="s">
        <v>225</v>
      </c>
      <c r="B552" s="2161"/>
      <c r="C552" s="2161"/>
      <c r="D552" s="2161"/>
      <c r="E552" s="2161"/>
      <c r="F552" s="2162"/>
      <c r="G552" s="2185">
        <f t="shared" si="116"/>
        <v>6.0000000000000001E-3</v>
      </c>
      <c r="H552" s="2186"/>
      <c r="I552" s="2186"/>
      <c r="J552" s="2186"/>
      <c r="K552" s="2186"/>
      <c r="L552" s="2186"/>
      <c r="M552" s="2186"/>
      <c r="N552" s="2186"/>
      <c r="O552" s="2186"/>
      <c r="P552" s="2186"/>
      <c r="Q552" s="2186"/>
      <c r="R552" s="2187"/>
      <c r="S552" s="2322">
        <f t="shared" si="117"/>
        <v>30.16</v>
      </c>
      <c r="T552" s="2322"/>
      <c r="U552" s="2322"/>
      <c r="V552" s="2322"/>
      <c r="W552" s="2322"/>
      <c r="X552" s="2322"/>
      <c r="Y552" s="2322"/>
      <c r="Z552" s="2322"/>
      <c r="AA552" s="2322"/>
      <c r="AB552" s="2322"/>
      <c r="AC552" s="2322"/>
      <c r="AD552" s="2322"/>
    </row>
    <row r="553" spans="1:30" x14ac:dyDescent="0.25">
      <c r="A553" s="2160" t="s">
        <v>226</v>
      </c>
      <c r="B553" s="2161"/>
      <c r="C553" s="2161"/>
      <c r="D553" s="2161"/>
      <c r="E553" s="2161"/>
      <c r="F553" s="2162"/>
      <c r="G553" s="2185">
        <f t="shared" si="116"/>
        <v>1.0999999999999999E-2</v>
      </c>
      <c r="H553" s="2186"/>
      <c r="I553" s="2186"/>
      <c r="J553" s="2186"/>
      <c r="K553" s="2186"/>
      <c r="L553" s="2186"/>
      <c r="M553" s="2186"/>
      <c r="N553" s="2186"/>
      <c r="O553" s="2186"/>
      <c r="P553" s="2186"/>
      <c r="Q553" s="2186"/>
      <c r="R553" s="2187"/>
      <c r="S553" s="2322">
        <f t="shared" si="117"/>
        <v>40.89</v>
      </c>
      <c r="T553" s="2322"/>
      <c r="U553" s="2322"/>
      <c r="V553" s="2322"/>
      <c r="W553" s="2322"/>
      <c r="X553" s="2322"/>
      <c r="Y553" s="2322"/>
      <c r="Z553" s="2322"/>
      <c r="AA553" s="2322"/>
      <c r="AB553" s="2322"/>
      <c r="AC553" s="2322"/>
      <c r="AD553" s="2322"/>
    </row>
    <row r="554" spans="1:30" x14ac:dyDescent="0.25">
      <c r="A554" s="2160" t="s">
        <v>55</v>
      </c>
      <c r="B554" s="2161"/>
      <c r="C554" s="2161"/>
      <c r="D554" s="2161"/>
      <c r="E554" s="2161"/>
      <c r="F554" s="2162"/>
      <c r="G554" s="2185">
        <f t="shared" si="116"/>
        <v>4.0000000000000001E-3</v>
      </c>
      <c r="H554" s="2186"/>
      <c r="I554" s="2186"/>
      <c r="J554" s="2186"/>
      <c r="K554" s="2186"/>
      <c r="L554" s="2186"/>
      <c r="M554" s="2186"/>
      <c r="N554" s="2186"/>
      <c r="O554" s="2186"/>
      <c r="P554" s="2186"/>
      <c r="Q554" s="2186"/>
      <c r="R554" s="2187"/>
      <c r="S554" s="2322">
        <f t="shared" si="117"/>
        <v>37.869999999999997</v>
      </c>
      <c r="T554" s="2322"/>
      <c r="U554" s="2322"/>
      <c r="V554" s="2322"/>
      <c r="W554" s="2322"/>
      <c r="X554" s="2322"/>
      <c r="Y554" s="2322"/>
      <c r="Z554" s="2322"/>
      <c r="AA554" s="2322"/>
      <c r="AB554" s="2322"/>
      <c r="AC554" s="2322"/>
      <c r="AD554" s="2322"/>
    </row>
    <row r="555" spans="1:30" x14ac:dyDescent="0.25">
      <c r="A555" s="2160" t="s">
        <v>227</v>
      </c>
      <c r="B555" s="2161"/>
      <c r="C555" s="2161"/>
      <c r="D555" s="2161"/>
      <c r="E555" s="2161"/>
      <c r="F555" s="2162"/>
      <c r="G555" s="2185">
        <f t="shared" si="116"/>
        <v>1.0999999999999999E-2</v>
      </c>
      <c r="H555" s="2186"/>
      <c r="I555" s="2186"/>
      <c r="J555" s="2186"/>
      <c r="K555" s="2186"/>
      <c r="L555" s="2186"/>
      <c r="M555" s="2186"/>
      <c r="N555" s="2186"/>
      <c r="O555" s="2186"/>
      <c r="P555" s="2186"/>
      <c r="Q555" s="2186"/>
      <c r="R555" s="2187"/>
      <c r="S555" s="2322">
        <f t="shared" si="117"/>
        <v>80.61</v>
      </c>
      <c r="T555" s="2322"/>
      <c r="U555" s="2322"/>
      <c r="V555" s="2322"/>
      <c r="W555" s="2322"/>
      <c r="X555" s="2322"/>
      <c r="Y555" s="2322"/>
      <c r="Z555" s="2322"/>
      <c r="AA555" s="2322"/>
      <c r="AB555" s="2322"/>
      <c r="AC555" s="2322"/>
      <c r="AD555" s="2322"/>
    </row>
    <row r="556" spans="1:30" x14ac:dyDescent="0.25">
      <c r="A556" s="2160" t="s">
        <v>228</v>
      </c>
      <c r="B556" s="2161"/>
      <c r="C556" s="2161"/>
      <c r="D556" s="2161"/>
      <c r="E556" s="2161"/>
      <c r="F556" s="2162"/>
      <c r="G556" s="2185">
        <f t="shared" si="116"/>
        <v>8.0000000000000002E-3</v>
      </c>
      <c r="H556" s="2186"/>
      <c r="I556" s="2186"/>
      <c r="J556" s="2186"/>
      <c r="K556" s="2186"/>
      <c r="L556" s="2186"/>
      <c r="M556" s="2186"/>
      <c r="N556" s="2186"/>
      <c r="O556" s="2186"/>
      <c r="P556" s="2186"/>
      <c r="Q556" s="2186"/>
      <c r="R556" s="2187"/>
      <c r="S556" s="2322">
        <f t="shared" si="117"/>
        <v>45.85</v>
      </c>
      <c r="T556" s="2322"/>
      <c r="U556" s="2322"/>
      <c r="V556" s="2322"/>
      <c r="W556" s="2322"/>
      <c r="X556" s="2322"/>
      <c r="Y556" s="2322"/>
      <c r="Z556" s="2322"/>
      <c r="AA556" s="2322"/>
      <c r="AB556" s="2322"/>
      <c r="AC556" s="2322"/>
      <c r="AD556" s="2322"/>
    </row>
    <row r="557" spans="1:30" x14ac:dyDescent="0.25">
      <c r="A557" s="2160" t="s">
        <v>229</v>
      </c>
      <c r="B557" s="2161"/>
      <c r="C557" s="2161"/>
      <c r="D557" s="2161"/>
      <c r="E557" s="2161"/>
      <c r="F557" s="2162"/>
      <c r="G557" s="2185">
        <f t="shared" si="116"/>
        <v>1E-3</v>
      </c>
      <c r="H557" s="2186"/>
      <c r="I557" s="2186"/>
      <c r="J557" s="2186"/>
      <c r="K557" s="2186"/>
      <c r="L557" s="2186"/>
      <c r="M557" s="2186"/>
      <c r="N557" s="2186"/>
      <c r="O557" s="2186"/>
      <c r="P557" s="2186"/>
      <c r="Q557" s="2186"/>
      <c r="R557" s="2187"/>
      <c r="S557" s="2322">
        <f t="shared" si="117"/>
        <v>29.05</v>
      </c>
      <c r="T557" s="2322"/>
      <c r="U557" s="2322"/>
      <c r="V557" s="2322"/>
      <c r="W557" s="2322"/>
      <c r="X557" s="2322"/>
      <c r="Y557" s="2322"/>
      <c r="Z557" s="2322"/>
      <c r="AA557" s="2322"/>
      <c r="AB557" s="2322"/>
      <c r="AC557" s="2322"/>
      <c r="AD557" s="2322"/>
    </row>
    <row r="558" spans="1:30" x14ac:dyDescent="0.25">
      <c r="A558" s="251"/>
      <c r="B558" s="251"/>
      <c r="C558" s="251"/>
      <c r="D558" s="251"/>
      <c r="E558" s="251"/>
      <c r="F558" s="251"/>
      <c r="G558" s="307"/>
      <c r="H558" s="307"/>
      <c r="I558" s="307"/>
      <c r="J558" s="307"/>
      <c r="K558" s="307"/>
      <c r="L558" s="307"/>
      <c r="M558" s="307"/>
      <c r="N558" s="307"/>
      <c r="O558" s="307"/>
      <c r="P558" s="307"/>
      <c r="Q558" s="307"/>
      <c r="R558" s="307"/>
      <c r="S558" s="399"/>
      <c r="T558" s="399"/>
      <c r="U558" s="399"/>
      <c r="V558" s="399"/>
      <c r="W558" s="399"/>
      <c r="X558" s="399"/>
      <c r="Y558" s="399"/>
      <c r="Z558" s="399"/>
      <c r="AA558" s="399"/>
      <c r="AB558" s="399"/>
      <c r="AC558" s="399"/>
      <c r="AD558" s="399"/>
    </row>
    <row r="559" spans="1:30" x14ac:dyDescent="0.25">
      <c r="B559" s="379" t="s">
        <v>1976</v>
      </c>
      <c r="C559" s="289"/>
      <c r="G559" s="277"/>
      <c r="K559" s="277"/>
      <c r="O559" s="277"/>
      <c r="S559" s="277"/>
      <c r="AA559" s="277"/>
    </row>
    <row r="560" spans="1:30" x14ac:dyDescent="0.25">
      <c r="A560" s="393"/>
      <c r="B560" s="289"/>
      <c r="C560" s="289"/>
      <c r="G560" s="277"/>
      <c r="K560" s="277"/>
      <c r="O560" s="277"/>
      <c r="S560" s="277"/>
      <c r="AA560" s="277"/>
    </row>
    <row r="561" spans="1:37" s="192" customFormat="1" x14ac:dyDescent="0.25">
      <c r="A561" s="956" t="s">
        <v>6729</v>
      </c>
      <c r="G561" s="190"/>
      <c r="K561" s="190"/>
      <c r="AA561" s="197"/>
      <c r="AB561" s="197"/>
      <c r="AC561" s="197"/>
      <c r="AD561" s="197"/>
    </row>
    <row r="562" spans="1:37" x14ac:dyDescent="0.25">
      <c r="A562" s="2173" t="s">
        <v>54</v>
      </c>
      <c r="B562" s="2174"/>
      <c r="C562" s="2174"/>
      <c r="D562" s="2174"/>
      <c r="E562" s="2174"/>
      <c r="F562" s="2175"/>
      <c r="G562" s="2374" t="s">
        <v>1945</v>
      </c>
      <c r="H562" s="2375"/>
      <c r="I562" s="2375"/>
      <c r="J562" s="2375"/>
      <c r="K562" s="2375"/>
      <c r="L562" s="2375"/>
      <c r="M562" s="2375"/>
      <c r="N562" s="2375"/>
      <c r="O562" s="2375"/>
      <c r="P562" s="2375"/>
      <c r="Q562" s="2375"/>
      <c r="R562" s="2376"/>
      <c r="U562" s="277"/>
      <c r="Y562" s="277"/>
      <c r="AA562" s="10"/>
      <c r="AB562" s="10"/>
      <c r="AC562" s="10"/>
      <c r="AD562" s="10"/>
    </row>
    <row r="563" spans="1:37" ht="14.45" customHeight="1" x14ac:dyDescent="0.25">
      <c r="A563" s="2160" t="s">
        <v>1984</v>
      </c>
      <c r="B563" s="2161"/>
      <c r="C563" s="2161"/>
      <c r="D563" s="2161"/>
      <c r="E563" s="2161"/>
      <c r="F563" s="2162"/>
      <c r="G563" s="2423">
        <f t="shared" ref="G563:G573" si="118">ROUND(S547*VLOOKUP($A563,$A$199:$Q$209,8,TRUE),2)</f>
        <v>281.68</v>
      </c>
      <c r="H563" s="2424"/>
      <c r="I563" s="2424"/>
      <c r="J563" s="2424"/>
      <c r="K563" s="2424"/>
      <c r="L563" s="2424"/>
      <c r="M563" s="2424"/>
      <c r="N563" s="2424"/>
      <c r="O563" s="2424"/>
      <c r="P563" s="2424"/>
      <c r="Q563" s="2424"/>
      <c r="R563" s="2425"/>
      <c r="U563" s="277"/>
      <c r="Y563" s="277"/>
      <c r="AA563" s="10"/>
      <c r="AB563" s="10"/>
      <c r="AC563" s="10"/>
      <c r="AD563" s="10"/>
    </row>
    <row r="564" spans="1:37" x14ac:dyDescent="0.25">
      <c r="A564" s="2160" t="s">
        <v>221</v>
      </c>
      <c r="B564" s="2161"/>
      <c r="C564" s="2161"/>
      <c r="D564" s="2161"/>
      <c r="E564" s="2161"/>
      <c r="F564" s="2162"/>
      <c r="G564" s="2423">
        <f t="shared" si="118"/>
        <v>375.18</v>
      </c>
      <c r="H564" s="2424"/>
      <c r="I564" s="2424"/>
      <c r="J564" s="2424"/>
      <c r="K564" s="2424"/>
      <c r="L564" s="2424"/>
      <c r="M564" s="2424"/>
      <c r="N564" s="2424"/>
      <c r="O564" s="2424"/>
      <c r="P564" s="2424"/>
      <c r="Q564" s="2424"/>
      <c r="R564" s="2425"/>
    </row>
    <row r="565" spans="1:37" x14ac:dyDescent="0.25">
      <c r="A565" s="2160" t="s">
        <v>222</v>
      </c>
      <c r="B565" s="2161"/>
      <c r="C565" s="2161"/>
      <c r="D565" s="2161"/>
      <c r="E565" s="2161"/>
      <c r="F565" s="2162"/>
      <c r="G565" s="2423">
        <f t="shared" si="118"/>
        <v>318.7</v>
      </c>
      <c r="H565" s="2424"/>
      <c r="I565" s="2424"/>
      <c r="J565" s="2424"/>
      <c r="K565" s="2424"/>
      <c r="L565" s="2424"/>
      <c r="M565" s="2424"/>
      <c r="N565" s="2424"/>
      <c r="O565" s="2424"/>
      <c r="P565" s="2424"/>
      <c r="Q565" s="2424"/>
      <c r="R565" s="2425"/>
    </row>
    <row r="566" spans="1:37" x14ac:dyDescent="0.25">
      <c r="A566" s="2160" t="s">
        <v>223</v>
      </c>
      <c r="B566" s="2161"/>
      <c r="C566" s="2161"/>
      <c r="D566" s="2161"/>
      <c r="E566" s="2161"/>
      <c r="F566" s="2162"/>
      <c r="G566" s="2423">
        <f t="shared" si="118"/>
        <v>285.20999999999998</v>
      </c>
      <c r="H566" s="2424"/>
      <c r="I566" s="2424"/>
      <c r="J566" s="2424"/>
      <c r="K566" s="2424"/>
      <c r="L566" s="2424"/>
      <c r="M566" s="2424"/>
      <c r="N566" s="2424"/>
      <c r="O566" s="2424"/>
      <c r="P566" s="2424"/>
      <c r="Q566" s="2424"/>
      <c r="R566" s="2425"/>
    </row>
    <row r="567" spans="1:37" x14ac:dyDescent="0.25">
      <c r="A567" s="2160" t="s">
        <v>224</v>
      </c>
      <c r="B567" s="2161"/>
      <c r="C567" s="2161"/>
      <c r="D567" s="2161"/>
      <c r="E567" s="2161"/>
      <c r="F567" s="2162"/>
      <c r="G567" s="2423">
        <f t="shared" si="118"/>
        <v>312.57</v>
      </c>
      <c r="H567" s="2424"/>
      <c r="I567" s="2424"/>
      <c r="J567" s="2424"/>
      <c r="K567" s="2424"/>
      <c r="L567" s="2424"/>
      <c r="M567" s="2424"/>
      <c r="N567" s="2424"/>
      <c r="O567" s="2424"/>
      <c r="P567" s="2424"/>
      <c r="Q567" s="2424"/>
      <c r="R567" s="2425"/>
    </row>
    <row r="568" spans="1:37" x14ac:dyDescent="0.25">
      <c r="A568" s="2160" t="s">
        <v>225</v>
      </c>
      <c r="B568" s="2161"/>
      <c r="C568" s="2161"/>
      <c r="D568" s="2161"/>
      <c r="E568" s="2161"/>
      <c r="F568" s="2162"/>
      <c r="G568" s="2423">
        <f t="shared" si="118"/>
        <v>361.92</v>
      </c>
      <c r="H568" s="2424"/>
      <c r="I568" s="2424"/>
      <c r="J568" s="2424"/>
      <c r="K568" s="2424"/>
      <c r="L568" s="2424"/>
      <c r="M568" s="2424"/>
      <c r="N568" s="2424"/>
      <c r="O568" s="2424"/>
      <c r="P568" s="2424"/>
      <c r="Q568" s="2424"/>
      <c r="R568" s="2425"/>
    </row>
    <row r="569" spans="1:37" x14ac:dyDescent="0.25">
      <c r="A569" s="2160" t="s">
        <v>226</v>
      </c>
      <c r="B569" s="2161"/>
      <c r="C569" s="2161"/>
      <c r="D569" s="2161"/>
      <c r="E569" s="2161"/>
      <c r="F569" s="2162"/>
      <c r="G569" s="2423">
        <f t="shared" si="118"/>
        <v>286.23</v>
      </c>
      <c r="H569" s="2424"/>
      <c r="I569" s="2424"/>
      <c r="J569" s="2424"/>
      <c r="K569" s="2424"/>
      <c r="L569" s="2424"/>
      <c r="M569" s="2424"/>
      <c r="N569" s="2424"/>
      <c r="O569" s="2424"/>
      <c r="P569" s="2424"/>
      <c r="Q569" s="2424"/>
      <c r="R569" s="2425"/>
    </row>
    <row r="570" spans="1:37" x14ac:dyDescent="0.25">
      <c r="A570" s="2160" t="s">
        <v>55</v>
      </c>
      <c r="B570" s="2161"/>
      <c r="C570" s="2161"/>
      <c r="D570" s="2161"/>
      <c r="E570" s="2161"/>
      <c r="F570" s="2162"/>
      <c r="G570" s="2423">
        <f t="shared" si="118"/>
        <v>302.95999999999998</v>
      </c>
      <c r="H570" s="2424"/>
      <c r="I570" s="2424"/>
      <c r="J570" s="2424"/>
      <c r="K570" s="2424"/>
      <c r="L570" s="2424"/>
      <c r="M570" s="2424"/>
      <c r="N570" s="2424"/>
      <c r="O570" s="2424"/>
      <c r="P570" s="2424"/>
      <c r="Q570" s="2424"/>
      <c r="R570" s="2425"/>
    </row>
    <row r="571" spans="1:37" x14ac:dyDescent="0.25">
      <c r="A571" s="2160" t="s">
        <v>227</v>
      </c>
      <c r="B571" s="2161"/>
      <c r="C571" s="2161"/>
      <c r="D571" s="2161"/>
      <c r="E571" s="2161"/>
      <c r="F571" s="2162"/>
      <c r="G571" s="2423">
        <f t="shared" si="118"/>
        <v>322.44</v>
      </c>
      <c r="H571" s="2424"/>
      <c r="I571" s="2424"/>
      <c r="J571" s="2424"/>
      <c r="K571" s="2424"/>
      <c r="L571" s="2424"/>
      <c r="M571" s="2424"/>
      <c r="N571" s="2424"/>
      <c r="O571" s="2424"/>
      <c r="P571" s="2424"/>
      <c r="Q571" s="2424"/>
      <c r="R571" s="2425"/>
    </row>
    <row r="572" spans="1:37" x14ac:dyDescent="0.25">
      <c r="A572" s="2160" t="s">
        <v>228</v>
      </c>
      <c r="B572" s="2161"/>
      <c r="C572" s="2161"/>
      <c r="D572" s="2161"/>
      <c r="E572" s="2161"/>
      <c r="F572" s="2162"/>
      <c r="G572" s="2423">
        <f t="shared" si="118"/>
        <v>275.10000000000002</v>
      </c>
      <c r="H572" s="2424"/>
      <c r="I572" s="2424"/>
      <c r="J572" s="2424"/>
      <c r="K572" s="2424"/>
      <c r="L572" s="2424"/>
      <c r="M572" s="2424"/>
      <c r="N572" s="2424"/>
      <c r="O572" s="2424"/>
      <c r="P572" s="2424"/>
      <c r="Q572" s="2424"/>
      <c r="R572" s="2425"/>
    </row>
    <row r="573" spans="1:37" x14ac:dyDescent="0.25">
      <c r="A573" s="2160" t="s">
        <v>229</v>
      </c>
      <c r="B573" s="2161"/>
      <c r="C573" s="2161"/>
      <c r="D573" s="2161"/>
      <c r="E573" s="2161"/>
      <c r="F573" s="2162"/>
      <c r="G573" s="2423">
        <f t="shared" si="118"/>
        <v>261.45</v>
      </c>
      <c r="H573" s="2424"/>
      <c r="I573" s="2424"/>
      <c r="J573" s="2424"/>
      <c r="K573" s="2424"/>
      <c r="L573" s="2424"/>
      <c r="M573" s="2424"/>
      <c r="N573" s="2424"/>
      <c r="O573" s="2424"/>
      <c r="P573" s="2424"/>
      <c r="Q573" s="2424"/>
      <c r="R573" s="2425"/>
    </row>
    <row r="575" spans="1:37" s="192" customFormat="1" x14ac:dyDescent="0.25">
      <c r="A575" s="672"/>
      <c r="B575" s="519" t="s">
        <v>6587</v>
      </c>
      <c r="C575" s="742"/>
      <c r="G575" s="959"/>
      <c r="K575" s="959"/>
      <c r="O575" s="959"/>
      <c r="S575" s="959"/>
      <c r="AA575" s="959"/>
      <c r="AG575" s="959"/>
      <c r="AK575" s="959"/>
    </row>
    <row r="576" spans="1:37" s="192" customFormat="1" x14ac:dyDescent="0.25">
      <c r="A576" s="672"/>
      <c r="B576" s="742"/>
      <c r="C576" s="742"/>
      <c r="G576" s="959"/>
      <c r="K576" s="959"/>
      <c r="O576" s="959"/>
      <c r="S576" s="959"/>
      <c r="AA576" s="959"/>
      <c r="AG576" s="959"/>
      <c r="AK576" s="959"/>
    </row>
    <row r="577" spans="1:38" s="192" customFormat="1" x14ac:dyDescent="0.25">
      <c r="A577" s="740" t="s">
        <v>6730</v>
      </c>
      <c r="B577" s="740"/>
      <c r="C577" s="740"/>
      <c r="D577" s="740"/>
      <c r="E577" s="740"/>
      <c r="F577" s="740"/>
      <c r="G577" s="740"/>
      <c r="H577" s="740"/>
      <c r="I577" s="740"/>
      <c r="J577" s="740"/>
      <c r="K577" s="740"/>
      <c r="L577" s="740"/>
      <c r="M577" s="740"/>
      <c r="N577" s="740"/>
      <c r="O577" s="740"/>
      <c r="P577" s="740"/>
      <c r="Q577" s="740"/>
      <c r="R577" s="740"/>
      <c r="S577" s="740"/>
      <c r="T577" s="740"/>
      <c r="U577" s="740"/>
      <c r="V577" s="740"/>
      <c r="W577" s="740"/>
      <c r="X577" s="740"/>
      <c r="Y577" s="740"/>
      <c r="Z577" s="740"/>
      <c r="AA577" s="740"/>
      <c r="AB577" s="740"/>
      <c r="AC577" s="740"/>
      <c r="AD577" s="740"/>
      <c r="AE577" s="740"/>
      <c r="AF577" s="740"/>
      <c r="AG577" s="740"/>
      <c r="AH577" s="740"/>
      <c r="AI577" s="197"/>
      <c r="AJ577" s="197"/>
      <c r="AK577" s="197"/>
      <c r="AL577" s="197"/>
    </row>
    <row r="578" spans="1:38" s="192" customFormat="1" x14ac:dyDescent="0.25">
      <c r="A578" s="197"/>
      <c r="B578" s="197"/>
      <c r="C578" s="197"/>
      <c r="D578" s="197"/>
      <c r="E578" s="197"/>
      <c r="F578" s="197"/>
      <c r="G578" s="2308" t="s">
        <v>2919</v>
      </c>
      <c r="H578" s="2309"/>
      <c r="I578" s="2309"/>
      <c r="J578" s="2309"/>
      <c r="K578" s="2309"/>
      <c r="L578" s="2309"/>
      <c r="M578" s="2309"/>
      <c r="N578" s="2309"/>
      <c r="O578" s="2309"/>
      <c r="P578" s="2309"/>
      <c r="Q578" s="2309"/>
      <c r="R578" s="2309"/>
      <c r="S578" s="2309"/>
      <c r="T578" s="2309"/>
      <c r="U578" s="2310"/>
      <c r="V578" s="2346" t="s">
        <v>2921</v>
      </c>
      <c r="W578" s="2347"/>
      <c r="X578" s="2347"/>
      <c r="Y578" s="2347"/>
      <c r="Z578" s="2347"/>
      <c r="AA578" s="2347"/>
      <c r="AB578" s="2347"/>
      <c r="AC578" s="2347"/>
      <c r="AD578" s="2347"/>
      <c r="AE578" s="2347"/>
      <c r="AF578" s="2347"/>
      <c r="AG578" s="2347"/>
      <c r="AH578" s="2347"/>
      <c r="AI578" s="2347"/>
      <c r="AJ578" s="2348"/>
    </row>
    <row r="579" spans="1:38" s="192" customFormat="1" ht="33.6" customHeight="1" x14ac:dyDescent="0.25">
      <c r="A579" s="2182" t="s">
        <v>54</v>
      </c>
      <c r="B579" s="2183"/>
      <c r="C579" s="2183"/>
      <c r="D579" s="2183"/>
      <c r="E579" s="2183"/>
      <c r="F579" s="2184"/>
      <c r="G579" s="2315" t="s">
        <v>277</v>
      </c>
      <c r="H579" s="2316"/>
      <c r="I579" s="2317"/>
      <c r="J579" s="2426" t="s">
        <v>281</v>
      </c>
      <c r="K579" s="2427"/>
      <c r="L579" s="2428"/>
      <c r="M579" s="2315" t="s">
        <v>282</v>
      </c>
      <c r="N579" s="2316"/>
      <c r="O579" s="2317"/>
      <c r="P579" s="2426" t="s">
        <v>285</v>
      </c>
      <c r="Q579" s="2427"/>
      <c r="R579" s="2428"/>
      <c r="S579" s="2429" t="s">
        <v>1977</v>
      </c>
      <c r="T579" s="2430"/>
      <c r="U579" s="2431"/>
      <c r="V579" s="2426" t="s">
        <v>277</v>
      </c>
      <c r="W579" s="2427"/>
      <c r="X579" s="2428"/>
      <c r="Y579" s="2315" t="s">
        <v>281</v>
      </c>
      <c r="Z579" s="2316"/>
      <c r="AA579" s="2317"/>
      <c r="AB579" s="2426" t="s">
        <v>282</v>
      </c>
      <c r="AC579" s="2427"/>
      <c r="AD579" s="2428"/>
      <c r="AE579" s="2315" t="s">
        <v>285</v>
      </c>
      <c r="AF579" s="2316"/>
      <c r="AG579" s="2317"/>
      <c r="AH579" s="2432" t="s">
        <v>1977</v>
      </c>
      <c r="AI579" s="2433"/>
      <c r="AJ579" s="2434"/>
    </row>
    <row r="580" spans="1:38" s="192" customFormat="1" x14ac:dyDescent="0.25">
      <c r="A580" s="2170" t="s">
        <v>1984</v>
      </c>
      <c r="B580" s="2171"/>
      <c r="C580" s="2171"/>
      <c r="D580" s="2171"/>
      <c r="E580" s="2171"/>
      <c r="F580" s="2172"/>
      <c r="G580" s="2154">
        <f t="shared" ref="G580:G590" si="119">ROUND(($U$100-$K$132)*$Q$73*VLOOKUP($A580,$N$123:$AG$133,9,TRUE)*VLOOKUP($A580,$N$146:$AG$156,5,TRUE)*$Q$78,3)</f>
        <v>2E-3</v>
      </c>
      <c r="H580" s="2155"/>
      <c r="I580" s="2156"/>
      <c r="J580" s="2154">
        <f t="shared" ref="J580:J590" si="120">ROUND(($U$101-$K$133)*$Q$73*VLOOKUP($A580,$N$123:$AG$133,9,TRUE)*VLOOKUP($A580,$N$146:$AG$156,5,TRUE)*$Q$78,3)</f>
        <v>2E-3</v>
      </c>
      <c r="K580" s="2155"/>
      <c r="L580" s="2156"/>
      <c r="M580" s="2154">
        <f t="shared" ref="M580:M590" si="121">ROUND(($U$102-$K$134)*$Q$73*VLOOKUP($A580,$N$123:$AG$133,9,TRUE)*VLOOKUP($A580,$N$146:$AG$156,5,TRUE)*$Q$78,3)</f>
        <v>3.0000000000000001E-3</v>
      </c>
      <c r="N580" s="2155"/>
      <c r="O580" s="2156"/>
      <c r="P580" s="2154">
        <f t="shared" ref="P580:P590" si="122">ROUND(($U$103-$K$135)*$Q$73*VLOOKUP($A580,$N$123:$AG$133,9,TRUE)*VLOOKUP($A580,$N$146:$AG$156,5,TRUE)*$Q$78,3)</f>
        <v>4.0000000000000001E-3</v>
      </c>
      <c r="Q580" s="2155"/>
      <c r="R580" s="2156"/>
      <c r="S580" s="2154">
        <f t="shared" ref="S580:S590" si="123">ROUND(($U$98-$K$130)*$Q$73*VLOOKUP($A580,$N$123:$AG$133,9,TRUE)*VLOOKUP($A580,$N$146:$AG$156,5,TRUE)*$Q$78,3)</f>
        <v>5.0000000000000001E-3</v>
      </c>
      <c r="T580" s="2155"/>
      <c r="U580" s="2156"/>
      <c r="V580" s="2194">
        <f t="shared" ref="V580:V590" si="124">ROUND(($U$100-$K$132)*$Q$73*VLOOKUP($A580,$A$167:$Q$177,8,TRUE)*VLOOKUP($A580,$N$146:$AG$156,9,TRUE)*$Q$78,2)</f>
        <v>12.08</v>
      </c>
      <c r="W580" s="2195"/>
      <c r="X580" s="2196"/>
      <c r="Y580" s="2194">
        <f t="shared" ref="Y580:Y590" si="125">ROUND(($U$101-$K$133)*$Q$73*VLOOKUP($A580,$A$167:$Q$177,8,TRUE)*VLOOKUP($A580,$N$146:$AG$156,9,TRUE)*$Q$78,2)</f>
        <v>10.52</v>
      </c>
      <c r="Z580" s="2195"/>
      <c r="AA580" s="2196"/>
      <c r="AB580" s="2194">
        <f t="shared" ref="AB580:AB590" si="126">ROUND(($U$102-$K$134)*$Q$73*VLOOKUP($A580,$A$167:$Q$177,8,TRUE)*VLOOKUP($A580,$N$146:$AG$156,9,TRUE)*$Q$78,2)</f>
        <v>16.61</v>
      </c>
      <c r="AC580" s="2195"/>
      <c r="AD580" s="2196"/>
      <c r="AE580" s="2377">
        <f t="shared" ref="AE580:AE590" si="127">ROUND(($U$103-$K$135)*$Q$73*VLOOKUP($A580,$A$167:$Q$177,8,TRUE)*VLOOKUP($A580,$N$146:$AG$156,9,TRUE)*$Q$78,2)</f>
        <v>22.28</v>
      </c>
      <c r="AF580" s="2378"/>
      <c r="AG580" s="2379"/>
      <c r="AH580" s="2377">
        <f t="shared" ref="AH580:AH590" si="128">ROUND(($U$98-$K$130)*$Q$73*VLOOKUP($A580,$A$167:$Q$177,8,TRUE)*VLOOKUP($A580,$N$146:$AG$156,9,TRUE)*$Q$78,2)</f>
        <v>28.79</v>
      </c>
      <c r="AI580" s="2378"/>
      <c r="AJ580" s="2379"/>
    </row>
    <row r="581" spans="1:38" s="192" customFormat="1" x14ac:dyDescent="0.25">
      <c r="A581" s="2170" t="s">
        <v>221</v>
      </c>
      <c r="B581" s="2171"/>
      <c r="C581" s="2171"/>
      <c r="D581" s="2171"/>
      <c r="E581" s="2171"/>
      <c r="F581" s="2172"/>
      <c r="G581" s="2154">
        <f t="shared" si="119"/>
        <v>1E-3</v>
      </c>
      <c r="H581" s="2155"/>
      <c r="I581" s="2156"/>
      <c r="J581" s="2154">
        <f t="shared" si="120"/>
        <v>1E-3</v>
      </c>
      <c r="K581" s="2155"/>
      <c r="L581" s="2156"/>
      <c r="M581" s="2154">
        <f t="shared" si="121"/>
        <v>2E-3</v>
      </c>
      <c r="N581" s="2155"/>
      <c r="O581" s="2156"/>
      <c r="P581" s="2154">
        <f t="shared" si="122"/>
        <v>3.0000000000000001E-3</v>
      </c>
      <c r="Q581" s="2155"/>
      <c r="R581" s="2156"/>
      <c r="S581" s="2154">
        <f t="shared" si="123"/>
        <v>4.0000000000000001E-3</v>
      </c>
      <c r="T581" s="2155"/>
      <c r="U581" s="2156"/>
      <c r="V581" s="2194">
        <f t="shared" si="124"/>
        <v>42.91</v>
      </c>
      <c r="W581" s="2195"/>
      <c r="X581" s="2196"/>
      <c r="Y581" s="2194">
        <f t="shared" si="125"/>
        <v>37.369999999999997</v>
      </c>
      <c r="Z581" s="2195"/>
      <c r="AA581" s="2196"/>
      <c r="AB581" s="2194">
        <f t="shared" si="126"/>
        <v>59</v>
      </c>
      <c r="AC581" s="2195"/>
      <c r="AD581" s="2196"/>
      <c r="AE581" s="2377">
        <f t="shared" si="127"/>
        <v>79.13</v>
      </c>
      <c r="AF581" s="2378"/>
      <c r="AG581" s="2379"/>
      <c r="AH581" s="2377">
        <f t="shared" si="128"/>
        <v>102.25</v>
      </c>
      <c r="AI581" s="2378"/>
      <c r="AJ581" s="2379"/>
    </row>
    <row r="582" spans="1:38" s="192" customFormat="1" x14ac:dyDescent="0.25">
      <c r="A582" s="2170" t="s">
        <v>222</v>
      </c>
      <c r="B582" s="2171"/>
      <c r="C582" s="2171"/>
      <c r="D582" s="2171"/>
      <c r="E582" s="2171"/>
      <c r="F582" s="2172"/>
      <c r="G582" s="2154">
        <f t="shared" si="119"/>
        <v>2E-3</v>
      </c>
      <c r="H582" s="2155"/>
      <c r="I582" s="2156"/>
      <c r="J582" s="2154">
        <f t="shared" si="120"/>
        <v>2E-3</v>
      </c>
      <c r="K582" s="2155"/>
      <c r="L582" s="2156"/>
      <c r="M582" s="2154">
        <f t="shared" si="121"/>
        <v>3.0000000000000001E-3</v>
      </c>
      <c r="N582" s="2155"/>
      <c r="O582" s="2156"/>
      <c r="P582" s="2154">
        <f t="shared" si="122"/>
        <v>4.0000000000000001E-3</v>
      </c>
      <c r="Q582" s="2155"/>
      <c r="R582" s="2156"/>
      <c r="S582" s="2154">
        <f t="shared" si="123"/>
        <v>5.0000000000000001E-3</v>
      </c>
      <c r="T582" s="2155"/>
      <c r="U582" s="2156"/>
      <c r="V582" s="2194">
        <f t="shared" si="124"/>
        <v>10.93</v>
      </c>
      <c r="W582" s="2195"/>
      <c r="X582" s="2196"/>
      <c r="Y582" s="2194">
        <f t="shared" si="125"/>
        <v>9.52</v>
      </c>
      <c r="Z582" s="2195"/>
      <c r="AA582" s="2196"/>
      <c r="AB582" s="2194">
        <f t="shared" si="126"/>
        <v>15.04</v>
      </c>
      <c r="AC582" s="2195"/>
      <c r="AD582" s="2196"/>
      <c r="AE582" s="2377">
        <f t="shared" si="127"/>
        <v>20.170000000000002</v>
      </c>
      <c r="AF582" s="2378"/>
      <c r="AG582" s="2379"/>
      <c r="AH582" s="2377">
        <f t="shared" si="128"/>
        <v>26.06</v>
      </c>
      <c r="AI582" s="2378"/>
      <c r="AJ582" s="2379"/>
    </row>
    <row r="583" spans="1:38" s="192" customFormat="1" x14ac:dyDescent="0.25">
      <c r="A583" s="2170" t="s">
        <v>223</v>
      </c>
      <c r="B583" s="2171"/>
      <c r="C583" s="2171"/>
      <c r="D583" s="2171"/>
      <c r="E583" s="2171"/>
      <c r="F583" s="2172"/>
      <c r="G583" s="2154">
        <f t="shared" si="119"/>
        <v>5.0000000000000001E-3</v>
      </c>
      <c r="H583" s="2155"/>
      <c r="I583" s="2156"/>
      <c r="J583" s="2154">
        <f t="shared" si="120"/>
        <v>4.0000000000000001E-3</v>
      </c>
      <c r="K583" s="2155"/>
      <c r="L583" s="2156"/>
      <c r="M583" s="2154">
        <f t="shared" si="121"/>
        <v>6.0000000000000001E-3</v>
      </c>
      <c r="N583" s="2155"/>
      <c r="O583" s="2156"/>
      <c r="P583" s="2154">
        <f t="shared" si="122"/>
        <v>8.0000000000000002E-3</v>
      </c>
      <c r="Q583" s="2155"/>
      <c r="R583" s="2156"/>
      <c r="S583" s="2154">
        <f t="shared" si="123"/>
        <v>1.0999999999999999E-2</v>
      </c>
      <c r="T583" s="2155"/>
      <c r="U583" s="2156"/>
      <c r="V583" s="2194">
        <f t="shared" si="124"/>
        <v>32.619999999999997</v>
      </c>
      <c r="W583" s="2195"/>
      <c r="X583" s="2196"/>
      <c r="Y583" s="2194">
        <f t="shared" si="125"/>
        <v>28.41</v>
      </c>
      <c r="Z583" s="2195"/>
      <c r="AA583" s="2196"/>
      <c r="AB583" s="2194">
        <f t="shared" si="126"/>
        <v>44.85</v>
      </c>
      <c r="AC583" s="2195"/>
      <c r="AD583" s="2196"/>
      <c r="AE583" s="2377">
        <f t="shared" si="127"/>
        <v>60.16</v>
      </c>
      <c r="AF583" s="2378"/>
      <c r="AG583" s="2379"/>
      <c r="AH583" s="2377">
        <f t="shared" si="128"/>
        <v>77.73</v>
      </c>
      <c r="AI583" s="2378"/>
      <c r="AJ583" s="2379"/>
    </row>
    <row r="584" spans="1:38" s="192" customFormat="1" x14ac:dyDescent="0.25">
      <c r="A584" s="2170" t="s">
        <v>224</v>
      </c>
      <c r="B584" s="2171"/>
      <c r="C584" s="2171"/>
      <c r="D584" s="2171"/>
      <c r="E584" s="2171"/>
      <c r="F584" s="2172"/>
      <c r="G584" s="2154">
        <f t="shared" si="119"/>
        <v>5.0000000000000001E-3</v>
      </c>
      <c r="H584" s="2155"/>
      <c r="I584" s="2156"/>
      <c r="J584" s="2154">
        <f t="shared" si="120"/>
        <v>4.0000000000000001E-3</v>
      </c>
      <c r="K584" s="2155"/>
      <c r="L584" s="2156"/>
      <c r="M584" s="2154">
        <f t="shared" si="121"/>
        <v>7.0000000000000001E-3</v>
      </c>
      <c r="N584" s="2155"/>
      <c r="O584" s="2156"/>
      <c r="P584" s="2154">
        <f t="shared" si="122"/>
        <v>8.9999999999999993E-3</v>
      </c>
      <c r="Q584" s="2155"/>
      <c r="R584" s="2156"/>
      <c r="S584" s="2154">
        <f t="shared" si="123"/>
        <v>1.0999999999999999E-2</v>
      </c>
      <c r="T584" s="2155"/>
      <c r="U584" s="2156"/>
      <c r="V584" s="2194">
        <f t="shared" si="124"/>
        <v>35.75</v>
      </c>
      <c r="W584" s="2195"/>
      <c r="X584" s="2196"/>
      <c r="Y584" s="2194">
        <f t="shared" si="125"/>
        <v>31.14</v>
      </c>
      <c r="Z584" s="2195"/>
      <c r="AA584" s="2196"/>
      <c r="AB584" s="2194">
        <f t="shared" si="126"/>
        <v>49.16</v>
      </c>
      <c r="AC584" s="2195"/>
      <c r="AD584" s="2196"/>
      <c r="AE584" s="2377">
        <f t="shared" si="127"/>
        <v>65.930000000000007</v>
      </c>
      <c r="AF584" s="2378"/>
      <c r="AG584" s="2379"/>
      <c r="AH584" s="2377">
        <f t="shared" si="128"/>
        <v>85.19</v>
      </c>
      <c r="AI584" s="2378"/>
      <c r="AJ584" s="2379"/>
    </row>
    <row r="585" spans="1:38" s="192" customFormat="1" x14ac:dyDescent="0.25">
      <c r="A585" s="2170" t="s">
        <v>225</v>
      </c>
      <c r="B585" s="2171"/>
      <c r="C585" s="2171"/>
      <c r="D585" s="2171"/>
      <c r="E585" s="2171"/>
      <c r="F585" s="2172"/>
      <c r="G585" s="2154">
        <f t="shared" si="119"/>
        <v>2E-3</v>
      </c>
      <c r="H585" s="2155"/>
      <c r="I585" s="2156"/>
      <c r="J585" s="2154">
        <f t="shared" si="120"/>
        <v>2E-3</v>
      </c>
      <c r="K585" s="2155"/>
      <c r="L585" s="2156"/>
      <c r="M585" s="2154">
        <f t="shared" si="121"/>
        <v>3.0000000000000001E-3</v>
      </c>
      <c r="N585" s="2155"/>
      <c r="O585" s="2156"/>
      <c r="P585" s="2154">
        <f t="shared" si="122"/>
        <v>4.0000000000000001E-3</v>
      </c>
      <c r="Q585" s="2155"/>
      <c r="R585" s="2156"/>
      <c r="S585" s="2154">
        <f t="shared" si="123"/>
        <v>5.0000000000000001E-3</v>
      </c>
      <c r="T585" s="2155"/>
      <c r="U585" s="2156"/>
      <c r="V585" s="2194">
        <f t="shared" si="124"/>
        <v>10.35</v>
      </c>
      <c r="W585" s="2195"/>
      <c r="X585" s="2196"/>
      <c r="Y585" s="2194">
        <f t="shared" si="125"/>
        <v>9.01</v>
      </c>
      <c r="Z585" s="2195"/>
      <c r="AA585" s="2196"/>
      <c r="AB585" s="2194">
        <f t="shared" si="126"/>
        <v>14.23</v>
      </c>
      <c r="AC585" s="2195"/>
      <c r="AD585" s="2196"/>
      <c r="AE585" s="2377">
        <f t="shared" si="127"/>
        <v>19.079999999999998</v>
      </c>
      <c r="AF585" s="2378"/>
      <c r="AG585" s="2379"/>
      <c r="AH585" s="2377">
        <f t="shared" si="128"/>
        <v>24.66</v>
      </c>
      <c r="AI585" s="2378"/>
      <c r="AJ585" s="2379"/>
    </row>
    <row r="586" spans="1:38" s="192" customFormat="1" x14ac:dyDescent="0.25">
      <c r="A586" s="2170" t="s">
        <v>226</v>
      </c>
      <c r="B586" s="2171"/>
      <c r="C586" s="2171"/>
      <c r="D586" s="2171"/>
      <c r="E586" s="2171"/>
      <c r="F586" s="2172"/>
      <c r="G586" s="2154">
        <f t="shared" si="119"/>
        <v>4.0000000000000001E-3</v>
      </c>
      <c r="H586" s="2155"/>
      <c r="I586" s="2156"/>
      <c r="J586" s="2154">
        <f t="shared" si="120"/>
        <v>3.0000000000000001E-3</v>
      </c>
      <c r="K586" s="2155"/>
      <c r="L586" s="2156"/>
      <c r="M586" s="2154">
        <f t="shared" si="121"/>
        <v>5.0000000000000001E-3</v>
      </c>
      <c r="N586" s="2155"/>
      <c r="O586" s="2156"/>
      <c r="P586" s="2154">
        <f t="shared" si="122"/>
        <v>7.0000000000000001E-3</v>
      </c>
      <c r="Q586" s="2155"/>
      <c r="R586" s="2156"/>
      <c r="S586" s="2154">
        <f t="shared" si="123"/>
        <v>8.9999999999999993E-3</v>
      </c>
      <c r="T586" s="2155"/>
      <c r="U586" s="2156"/>
      <c r="V586" s="2194">
        <f t="shared" si="124"/>
        <v>14.03</v>
      </c>
      <c r="W586" s="2195"/>
      <c r="X586" s="2196"/>
      <c r="Y586" s="2194">
        <f t="shared" si="125"/>
        <v>12.22</v>
      </c>
      <c r="Z586" s="2195"/>
      <c r="AA586" s="2196"/>
      <c r="AB586" s="2194">
        <f t="shared" si="126"/>
        <v>19.29</v>
      </c>
      <c r="AC586" s="2195"/>
      <c r="AD586" s="2196"/>
      <c r="AE586" s="2377">
        <f t="shared" si="127"/>
        <v>25.87</v>
      </c>
      <c r="AF586" s="2378"/>
      <c r="AG586" s="2379"/>
      <c r="AH586" s="2377">
        <f t="shared" si="128"/>
        <v>33.43</v>
      </c>
      <c r="AI586" s="2378"/>
      <c r="AJ586" s="2379"/>
    </row>
    <row r="587" spans="1:38" s="192" customFormat="1" x14ac:dyDescent="0.25">
      <c r="A587" s="2170" t="s">
        <v>55</v>
      </c>
      <c r="B587" s="2171"/>
      <c r="C587" s="2171"/>
      <c r="D587" s="2171"/>
      <c r="E587" s="2171"/>
      <c r="F587" s="2172"/>
      <c r="G587" s="2154">
        <f t="shared" si="119"/>
        <v>1E-3</v>
      </c>
      <c r="H587" s="2155"/>
      <c r="I587" s="2156"/>
      <c r="J587" s="2154">
        <f t="shared" si="120"/>
        <v>1E-3</v>
      </c>
      <c r="K587" s="2155"/>
      <c r="L587" s="2156"/>
      <c r="M587" s="2154">
        <f t="shared" si="121"/>
        <v>2E-3</v>
      </c>
      <c r="N587" s="2155"/>
      <c r="O587" s="2156"/>
      <c r="P587" s="2154">
        <f t="shared" si="122"/>
        <v>3.0000000000000001E-3</v>
      </c>
      <c r="Q587" s="2155"/>
      <c r="R587" s="2156"/>
      <c r="S587" s="2154">
        <f t="shared" si="123"/>
        <v>3.0000000000000001E-3</v>
      </c>
      <c r="T587" s="2155"/>
      <c r="U587" s="2156"/>
      <c r="V587" s="2194">
        <f t="shared" si="124"/>
        <v>12.99</v>
      </c>
      <c r="W587" s="2195"/>
      <c r="X587" s="2196"/>
      <c r="Y587" s="2194">
        <f t="shared" si="125"/>
        <v>11.32</v>
      </c>
      <c r="Z587" s="2195"/>
      <c r="AA587" s="2196"/>
      <c r="AB587" s="2194">
        <f t="shared" si="126"/>
        <v>17.87</v>
      </c>
      <c r="AC587" s="2195"/>
      <c r="AD587" s="2196"/>
      <c r="AE587" s="2377">
        <f t="shared" si="127"/>
        <v>23.96</v>
      </c>
      <c r="AF587" s="2378"/>
      <c r="AG587" s="2379"/>
      <c r="AH587" s="2377">
        <f t="shared" si="128"/>
        <v>30.96</v>
      </c>
      <c r="AI587" s="2378"/>
      <c r="AJ587" s="2379"/>
    </row>
    <row r="588" spans="1:38" s="192" customFormat="1" x14ac:dyDescent="0.25">
      <c r="A588" s="2170" t="s">
        <v>227</v>
      </c>
      <c r="B588" s="2171"/>
      <c r="C588" s="2171"/>
      <c r="D588" s="2171"/>
      <c r="E588" s="2171"/>
      <c r="F588" s="2172"/>
      <c r="G588" s="2154">
        <f t="shared" si="119"/>
        <v>4.0000000000000001E-3</v>
      </c>
      <c r="H588" s="2155"/>
      <c r="I588" s="2156"/>
      <c r="J588" s="2154">
        <f t="shared" si="120"/>
        <v>3.0000000000000001E-3</v>
      </c>
      <c r="K588" s="2155"/>
      <c r="L588" s="2156"/>
      <c r="M588" s="2154">
        <f t="shared" si="121"/>
        <v>5.0000000000000001E-3</v>
      </c>
      <c r="N588" s="2155"/>
      <c r="O588" s="2156"/>
      <c r="P588" s="2154">
        <f t="shared" si="122"/>
        <v>7.0000000000000001E-3</v>
      </c>
      <c r="Q588" s="2155"/>
      <c r="R588" s="2156"/>
      <c r="S588" s="2154">
        <f t="shared" si="123"/>
        <v>8.9999999999999993E-3</v>
      </c>
      <c r="T588" s="2155"/>
      <c r="U588" s="2156"/>
      <c r="V588" s="2194">
        <f t="shared" si="124"/>
        <v>27.66</v>
      </c>
      <c r="W588" s="2195"/>
      <c r="X588" s="2196"/>
      <c r="Y588" s="2194">
        <f t="shared" si="125"/>
        <v>24.09</v>
      </c>
      <c r="Z588" s="2195"/>
      <c r="AA588" s="2196"/>
      <c r="AB588" s="2194">
        <f t="shared" si="126"/>
        <v>38.03</v>
      </c>
      <c r="AC588" s="2195"/>
      <c r="AD588" s="2196"/>
      <c r="AE588" s="2377">
        <f t="shared" si="127"/>
        <v>51</v>
      </c>
      <c r="AF588" s="2378"/>
      <c r="AG588" s="2379"/>
      <c r="AH588" s="2377">
        <f t="shared" si="128"/>
        <v>65.91</v>
      </c>
      <c r="AI588" s="2378"/>
      <c r="AJ588" s="2379"/>
    </row>
    <row r="589" spans="1:38" s="192" customFormat="1" x14ac:dyDescent="0.25">
      <c r="A589" s="2170" t="s">
        <v>228</v>
      </c>
      <c r="B589" s="2171"/>
      <c r="C589" s="2171"/>
      <c r="D589" s="2171"/>
      <c r="E589" s="2171"/>
      <c r="F589" s="2172"/>
      <c r="G589" s="2154">
        <f t="shared" si="119"/>
        <v>3.0000000000000001E-3</v>
      </c>
      <c r="H589" s="2155"/>
      <c r="I589" s="2156"/>
      <c r="J589" s="2154">
        <f t="shared" si="120"/>
        <v>2E-3</v>
      </c>
      <c r="K589" s="2155"/>
      <c r="L589" s="2156"/>
      <c r="M589" s="2154">
        <f t="shared" si="121"/>
        <v>4.0000000000000001E-3</v>
      </c>
      <c r="N589" s="2155"/>
      <c r="O589" s="2156"/>
      <c r="P589" s="2154">
        <f t="shared" si="122"/>
        <v>5.0000000000000001E-3</v>
      </c>
      <c r="Q589" s="2155"/>
      <c r="R589" s="2156"/>
      <c r="S589" s="2154">
        <f t="shared" si="123"/>
        <v>6.0000000000000001E-3</v>
      </c>
      <c r="T589" s="2155"/>
      <c r="U589" s="2156"/>
      <c r="V589" s="2194">
        <f t="shared" si="124"/>
        <v>15.73</v>
      </c>
      <c r="W589" s="2195"/>
      <c r="X589" s="2196"/>
      <c r="Y589" s="2194">
        <f t="shared" si="125"/>
        <v>13.7</v>
      </c>
      <c r="Z589" s="2195"/>
      <c r="AA589" s="2196"/>
      <c r="AB589" s="2194">
        <f t="shared" si="126"/>
        <v>21.63</v>
      </c>
      <c r="AC589" s="2195"/>
      <c r="AD589" s="2196"/>
      <c r="AE589" s="2377">
        <f t="shared" si="127"/>
        <v>29.01</v>
      </c>
      <c r="AF589" s="2378"/>
      <c r="AG589" s="2379"/>
      <c r="AH589" s="2377">
        <f t="shared" si="128"/>
        <v>37.49</v>
      </c>
      <c r="AI589" s="2378"/>
      <c r="AJ589" s="2379"/>
    </row>
    <row r="590" spans="1:38" s="192" customFormat="1" x14ac:dyDescent="0.25">
      <c r="A590" s="2170" t="s">
        <v>229</v>
      </c>
      <c r="B590" s="2171"/>
      <c r="C590" s="2171"/>
      <c r="D590" s="2171"/>
      <c r="E590" s="2171"/>
      <c r="F590" s="2172"/>
      <c r="G590" s="2154">
        <f t="shared" si="119"/>
        <v>0</v>
      </c>
      <c r="H590" s="2155"/>
      <c r="I590" s="2156"/>
      <c r="J590" s="2154">
        <f t="shared" si="120"/>
        <v>0</v>
      </c>
      <c r="K590" s="2155"/>
      <c r="L590" s="2156"/>
      <c r="M590" s="2154">
        <f t="shared" si="121"/>
        <v>1E-3</v>
      </c>
      <c r="N590" s="2155"/>
      <c r="O590" s="2156"/>
      <c r="P590" s="2154">
        <f t="shared" si="122"/>
        <v>1E-3</v>
      </c>
      <c r="Q590" s="2155"/>
      <c r="R590" s="2156"/>
      <c r="S590" s="2154">
        <f t="shared" si="123"/>
        <v>1E-3</v>
      </c>
      <c r="T590" s="2155"/>
      <c r="U590" s="2156"/>
      <c r="V590" s="2194">
        <f t="shared" si="124"/>
        <v>9.9700000000000006</v>
      </c>
      <c r="W590" s="2195"/>
      <c r="X590" s="2196"/>
      <c r="Y590" s="2194">
        <f t="shared" si="125"/>
        <v>8.68</v>
      </c>
      <c r="Z590" s="2195"/>
      <c r="AA590" s="2196"/>
      <c r="AB590" s="2194">
        <f t="shared" si="126"/>
        <v>13.71</v>
      </c>
      <c r="AC590" s="2195"/>
      <c r="AD590" s="2196"/>
      <c r="AE590" s="2377">
        <f t="shared" si="127"/>
        <v>18.38</v>
      </c>
      <c r="AF590" s="2378"/>
      <c r="AG590" s="2379"/>
      <c r="AH590" s="2377">
        <f t="shared" si="128"/>
        <v>23.75</v>
      </c>
      <c r="AI590" s="2378"/>
      <c r="AJ590" s="2379"/>
    </row>
    <row r="591" spans="1:38" s="192" customFormat="1" x14ac:dyDescent="0.25">
      <c r="A591" s="742"/>
      <c r="B591" s="742"/>
      <c r="C591" s="743"/>
      <c r="D591" s="743"/>
      <c r="E591" s="743"/>
      <c r="F591" s="743"/>
      <c r="G591" s="743"/>
      <c r="H591" s="743"/>
      <c r="I591" s="743"/>
      <c r="J591" s="743"/>
      <c r="K591" s="743"/>
      <c r="L591" s="743"/>
      <c r="M591" s="743"/>
      <c r="N591" s="743"/>
      <c r="O591" s="743"/>
      <c r="P591" s="743"/>
      <c r="Q591" s="743"/>
      <c r="R591" s="743"/>
      <c r="S591" s="743"/>
      <c r="T591" s="743"/>
      <c r="U591" s="743"/>
      <c r="V591" s="743"/>
      <c r="W591" s="743"/>
      <c r="X591" s="743"/>
      <c r="Y591" s="743"/>
      <c r="Z591" s="743"/>
      <c r="AA591" s="743"/>
      <c r="AB591" s="743"/>
      <c r="AC591" s="743"/>
      <c r="AD591" s="743"/>
      <c r="AE591" s="743"/>
      <c r="AF591" s="743"/>
      <c r="AG591" s="743"/>
      <c r="AH591" s="743"/>
      <c r="AI591" s="743"/>
      <c r="AJ591" s="743"/>
      <c r="AK591" s="743"/>
      <c r="AL591" s="743"/>
    </row>
    <row r="592" spans="1:38" s="192" customFormat="1" x14ac:dyDescent="0.25">
      <c r="A592" s="672"/>
      <c r="B592" s="519" t="s">
        <v>6588</v>
      </c>
      <c r="C592" s="742"/>
      <c r="G592" s="959"/>
      <c r="K592" s="959"/>
      <c r="O592" s="959"/>
      <c r="S592" s="959"/>
      <c r="AA592" s="959"/>
      <c r="AG592" s="959"/>
      <c r="AK592" s="959"/>
    </row>
    <row r="593" spans="1:38" s="192" customFormat="1" x14ac:dyDescent="0.25">
      <c r="A593" s="672"/>
      <c r="B593" s="742"/>
      <c r="C593" s="742"/>
      <c r="G593" s="959"/>
      <c r="K593" s="959"/>
      <c r="O593" s="959"/>
      <c r="S593" s="959"/>
      <c r="AA593" s="959"/>
      <c r="AG593" s="959"/>
      <c r="AK593" s="959"/>
    </row>
    <row r="594" spans="1:38" s="192" customFormat="1" x14ac:dyDescent="0.25">
      <c r="A594" s="740" t="s">
        <v>6731</v>
      </c>
      <c r="B594" s="740"/>
      <c r="C594" s="740"/>
      <c r="D594" s="740"/>
      <c r="E594" s="740"/>
      <c r="F594" s="740"/>
      <c r="G594" s="740"/>
      <c r="H594" s="740"/>
      <c r="I594" s="740"/>
      <c r="J594" s="740"/>
      <c r="K594" s="740"/>
      <c r="L594" s="740"/>
      <c r="M594" s="740"/>
      <c r="N594" s="740"/>
      <c r="O594" s="740"/>
      <c r="P594" s="740"/>
      <c r="Q594" s="740"/>
      <c r="R594" s="740"/>
      <c r="S594" s="740"/>
      <c r="T594" s="740"/>
      <c r="U594" s="740"/>
      <c r="V594" s="740"/>
      <c r="W594" s="740"/>
      <c r="X594" s="740"/>
      <c r="Y594" s="740"/>
      <c r="Z594" s="740"/>
      <c r="AA594" s="740"/>
      <c r="AB594" s="740"/>
      <c r="AC594" s="740"/>
      <c r="AD594" s="740"/>
      <c r="AE594" s="740"/>
      <c r="AF594" s="740"/>
      <c r="AG594" s="740"/>
      <c r="AH594" s="740"/>
      <c r="AI594" s="197"/>
      <c r="AJ594" s="197"/>
      <c r="AK594" s="197"/>
      <c r="AL594" s="197"/>
    </row>
    <row r="595" spans="1:38" s="192" customFormat="1" x14ac:dyDescent="0.25">
      <c r="A595" s="197"/>
      <c r="B595" s="197"/>
      <c r="C595" s="197"/>
      <c r="D595" s="197"/>
      <c r="E595" s="197"/>
      <c r="F595" s="197"/>
      <c r="G595" s="2363" t="s">
        <v>1945</v>
      </c>
      <c r="H595" s="2364"/>
      <c r="I595" s="2364"/>
      <c r="J595" s="2364"/>
      <c r="K595" s="2364"/>
      <c r="L595" s="2364"/>
      <c r="M595" s="2364"/>
      <c r="N595" s="2364"/>
      <c r="O595" s="2364"/>
      <c r="P595" s="2364"/>
      <c r="Q595" s="2364"/>
      <c r="R595" s="2364"/>
      <c r="S595" s="2364"/>
      <c r="T595" s="2364"/>
      <c r="U595" s="2364"/>
      <c r="V595" s="2364"/>
      <c r="W595" s="2364"/>
      <c r="X595" s="2364"/>
      <c r="Y595" s="2364"/>
      <c r="Z595" s="2364"/>
      <c r="AA595" s="2364"/>
      <c r="AB595" s="2364"/>
      <c r="AC595" s="2364"/>
      <c r="AD595" s="2364"/>
      <c r="AE595" s="2364"/>
      <c r="AF595" s="2364"/>
      <c r="AG595" s="2364"/>
      <c r="AH595" s="2364"/>
      <c r="AI595" s="2364"/>
      <c r="AJ595" s="2365"/>
    </row>
    <row r="596" spans="1:38" s="192" customFormat="1" x14ac:dyDescent="0.25">
      <c r="A596" s="2182" t="s">
        <v>54</v>
      </c>
      <c r="B596" s="2183"/>
      <c r="C596" s="2183"/>
      <c r="D596" s="2183"/>
      <c r="E596" s="2183"/>
      <c r="F596" s="2184"/>
      <c r="G596" s="2366" t="s">
        <v>277</v>
      </c>
      <c r="H596" s="2367"/>
      <c r="I596" s="2367"/>
      <c r="J596" s="2367"/>
      <c r="K596" s="2367"/>
      <c r="L596" s="2368"/>
      <c r="M596" s="2369" t="s">
        <v>281</v>
      </c>
      <c r="N596" s="2370"/>
      <c r="O596" s="2370"/>
      <c r="P596" s="2370"/>
      <c r="Q596" s="2370"/>
      <c r="R596" s="2371"/>
      <c r="S596" s="2366" t="s">
        <v>282</v>
      </c>
      <c r="T596" s="2367"/>
      <c r="U596" s="2367"/>
      <c r="V596" s="2367"/>
      <c r="W596" s="2367"/>
      <c r="X596" s="2368"/>
      <c r="Y596" s="2369" t="s">
        <v>285</v>
      </c>
      <c r="Z596" s="2370"/>
      <c r="AA596" s="2370"/>
      <c r="AB596" s="2370"/>
      <c r="AC596" s="2370"/>
      <c r="AD596" s="2371"/>
      <c r="AE596" s="2366" t="s">
        <v>1977</v>
      </c>
      <c r="AF596" s="2367"/>
      <c r="AG596" s="2367"/>
      <c r="AH596" s="2367"/>
      <c r="AI596" s="2367"/>
      <c r="AJ596" s="2368"/>
    </row>
    <row r="597" spans="1:38" s="192" customFormat="1" x14ac:dyDescent="0.25">
      <c r="A597" s="2170" t="s">
        <v>1984</v>
      </c>
      <c r="B597" s="2171"/>
      <c r="C597" s="2171"/>
      <c r="D597" s="2171"/>
      <c r="E597" s="2171"/>
      <c r="F597" s="2172"/>
      <c r="G597" s="2154">
        <f t="shared" ref="G597:G607" si="129">ROUND(V580*VLOOKUP($A597,$A$199:$Q$209,8,TRUE),2)</f>
        <v>96.64</v>
      </c>
      <c r="H597" s="2155"/>
      <c r="I597" s="2155"/>
      <c r="J597" s="2155"/>
      <c r="K597" s="2155"/>
      <c r="L597" s="2156"/>
      <c r="M597" s="2154">
        <f t="shared" ref="M597:M607" si="130">ROUND(Y580*VLOOKUP($A597,$A$199:$Q$209,8,TRUE),2)</f>
        <v>84.16</v>
      </c>
      <c r="N597" s="2155"/>
      <c r="O597" s="2155"/>
      <c r="P597" s="2155"/>
      <c r="Q597" s="2155"/>
      <c r="R597" s="2156"/>
      <c r="S597" s="2154">
        <f t="shared" ref="S597:S607" si="131">ROUND(AB580*VLOOKUP($A597,$A$199:$Q$209,8,TRUE),2)</f>
        <v>132.88</v>
      </c>
      <c r="T597" s="2155"/>
      <c r="U597" s="2155"/>
      <c r="V597" s="2155"/>
      <c r="W597" s="2155"/>
      <c r="X597" s="2156"/>
      <c r="Y597" s="2154">
        <f t="shared" ref="Y597:Y607" si="132">ROUND(AE580*VLOOKUP($A597,$A$199:$Q$209,8,TRUE),2)</f>
        <v>178.24</v>
      </c>
      <c r="Z597" s="2155"/>
      <c r="AA597" s="2155"/>
      <c r="AB597" s="2155"/>
      <c r="AC597" s="2155"/>
      <c r="AD597" s="2156"/>
      <c r="AE597" s="2435">
        <f t="shared" ref="AE597:AE607" si="133">ROUND(AH580*VLOOKUP($A597,$A$199:$Q$209,8,TRUE),2)</f>
        <v>230.32</v>
      </c>
      <c r="AF597" s="2436"/>
      <c r="AG597" s="2436"/>
      <c r="AH597" s="2436"/>
      <c r="AI597" s="2436"/>
      <c r="AJ597" s="2437"/>
    </row>
    <row r="598" spans="1:38" x14ac:dyDescent="0.25">
      <c r="A598" s="2160" t="s">
        <v>221</v>
      </c>
      <c r="B598" s="2161"/>
      <c r="C598" s="2161"/>
      <c r="D598" s="2161"/>
      <c r="E598" s="2161"/>
      <c r="F598" s="2162"/>
      <c r="G598" s="2189">
        <f t="shared" si="129"/>
        <v>128.72999999999999</v>
      </c>
      <c r="H598" s="2190"/>
      <c r="I598" s="2190"/>
      <c r="J598" s="2190"/>
      <c r="K598" s="2190"/>
      <c r="L598" s="2191"/>
      <c r="M598" s="2189">
        <f t="shared" si="130"/>
        <v>112.11</v>
      </c>
      <c r="N598" s="2190"/>
      <c r="O598" s="2190"/>
      <c r="P598" s="2190"/>
      <c r="Q598" s="2190"/>
      <c r="R598" s="2191"/>
      <c r="S598" s="2189">
        <f t="shared" si="131"/>
        <v>177</v>
      </c>
      <c r="T598" s="2190"/>
      <c r="U598" s="2190"/>
      <c r="V598" s="2190"/>
      <c r="W598" s="2190"/>
      <c r="X598" s="2191"/>
      <c r="Y598" s="2189">
        <f t="shared" si="132"/>
        <v>237.39</v>
      </c>
      <c r="Z598" s="2190"/>
      <c r="AA598" s="2190"/>
      <c r="AB598" s="2190"/>
      <c r="AC598" s="2190"/>
      <c r="AD598" s="2191"/>
      <c r="AE598" s="1375">
        <f t="shared" si="133"/>
        <v>306.75</v>
      </c>
      <c r="AF598" s="1376"/>
      <c r="AG598" s="1376"/>
      <c r="AH598" s="1376"/>
      <c r="AI598" s="1376"/>
      <c r="AJ598" s="1377"/>
    </row>
    <row r="599" spans="1:38" x14ac:dyDescent="0.25">
      <c r="A599" s="2160" t="s">
        <v>222</v>
      </c>
      <c r="B599" s="2161"/>
      <c r="C599" s="2161"/>
      <c r="D599" s="2161"/>
      <c r="E599" s="2161"/>
      <c r="F599" s="2162"/>
      <c r="G599" s="2189">
        <f t="shared" si="129"/>
        <v>109.3</v>
      </c>
      <c r="H599" s="2190"/>
      <c r="I599" s="2190"/>
      <c r="J599" s="2190"/>
      <c r="K599" s="2190"/>
      <c r="L599" s="2191"/>
      <c r="M599" s="2189">
        <f t="shared" si="130"/>
        <v>95.2</v>
      </c>
      <c r="N599" s="2190"/>
      <c r="O599" s="2190"/>
      <c r="P599" s="2190"/>
      <c r="Q599" s="2190"/>
      <c r="R599" s="2191"/>
      <c r="S599" s="2189">
        <f t="shared" si="131"/>
        <v>150.4</v>
      </c>
      <c r="T599" s="2190"/>
      <c r="U599" s="2190"/>
      <c r="V599" s="2190"/>
      <c r="W599" s="2190"/>
      <c r="X599" s="2191"/>
      <c r="Y599" s="2189">
        <f t="shared" si="132"/>
        <v>201.7</v>
      </c>
      <c r="Z599" s="2190"/>
      <c r="AA599" s="2190"/>
      <c r="AB599" s="2190"/>
      <c r="AC599" s="2190"/>
      <c r="AD599" s="2191"/>
      <c r="AE599" s="1375">
        <f t="shared" si="133"/>
        <v>260.60000000000002</v>
      </c>
      <c r="AF599" s="1376"/>
      <c r="AG599" s="1376"/>
      <c r="AH599" s="1376"/>
      <c r="AI599" s="1376"/>
      <c r="AJ599" s="1377"/>
    </row>
    <row r="600" spans="1:38" x14ac:dyDescent="0.25">
      <c r="A600" s="2160" t="s">
        <v>223</v>
      </c>
      <c r="B600" s="2161"/>
      <c r="C600" s="2161"/>
      <c r="D600" s="2161"/>
      <c r="E600" s="2161"/>
      <c r="F600" s="2162"/>
      <c r="G600" s="2189">
        <f t="shared" si="129"/>
        <v>97.86</v>
      </c>
      <c r="H600" s="2190"/>
      <c r="I600" s="2190"/>
      <c r="J600" s="2190"/>
      <c r="K600" s="2190"/>
      <c r="L600" s="2191"/>
      <c r="M600" s="2189">
        <f t="shared" si="130"/>
        <v>85.23</v>
      </c>
      <c r="N600" s="2190"/>
      <c r="O600" s="2190"/>
      <c r="P600" s="2190"/>
      <c r="Q600" s="2190"/>
      <c r="R600" s="2191"/>
      <c r="S600" s="2189">
        <f t="shared" si="131"/>
        <v>134.55000000000001</v>
      </c>
      <c r="T600" s="2190"/>
      <c r="U600" s="2190"/>
      <c r="V600" s="2190"/>
      <c r="W600" s="2190"/>
      <c r="X600" s="2191"/>
      <c r="Y600" s="2189">
        <f t="shared" si="132"/>
        <v>180.48</v>
      </c>
      <c r="Z600" s="2190"/>
      <c r="AA600" s="2190"/>
      <c r="AB600" s="2190"/>
      <c r="AC600" s="2190"/>
      <c r="AD600" s="2191"/>
      <c r="AE600" s="1375">
        <f t="shared" si="133"/>
        <v>233.19</v>
      </c>
      <c r="AF600" s="1376"/>
      <c r="AG600" s="1376"/>
      <c r="AH600" s="1376"/>
      <c r="AI600" s="1376"/>
      <c r="AJ600" s="1377"/>
    </row>
    <row r="601" spans="1:38" x14ac:dyDescent="0.25">
      <c r="A601" s="2160" t="s">
        <v>224</v>
      </c>
      <c r="B601" s="2161"/>
      <c r="C601" s="2161"/>
      <c r="D601" s="2161"/>
      <c r="E601" s="2161"/>
      <c r="F601" s="2162"/>
      <c r="G601" s="2189">
        <f t="shared" si="129"/>
        <v>107.25</v>
      </c>
      <c r="H601" s="2190"/>
      <c r="I601" s="2190"/>
      <c r="J601" s="2190"/>
      <c r="K601" s="2190"/>
      <c r="L601" s="2191"/>
      <c r="M601" s="2189">
        <f t="shared" si="130"/>
        <v>93.42</v>
      </c>
      <c r="N601" s="2190"/>
      <c r="O601" s="2190"/>
      <c r="P601" s="2190"/>
      <c r="Q601" s="2190"/>
      <c r="R601" s="2191"/>
      <c r="S601" s="2189">
        <f t="shared" si="131"/>
        <v>147.47999999999999</v>
      </c>
      <c r="T601" s="2190"/>
      <c r="U601" s="2190"/>
      <c r="V601" s="2190"/>
      <c r="W601" s="2190"/>
      <c r="X601" s="2191"/>
      <c r="Y601" s="2189">
        <f t="shared" si="132"/>
        <v>197.79</v>
      </c>
      <c r="Z601" s="2190"/>
      <c r="AA601" s="2190"/>
      <c r="AB601" s="2190"/>
      <c r="AC601" s="2190"/>
      <c r="AD601" s="2191"/>
      <c r="AE601" s="1375">
        <f t="shared" si="133"/>
        <v>255.57</v>
      </c>
      <c r="AF601" s="1376"/>
      <c r="AG601" s="1376"/>
      <c r="AH601" s="1376"/>
      <c r="AI601" s="1376"/>
      <c r="AJ601" s="1377"/>
    </row>
    <row r="602" spans="1:38" x14ac:dyDescent="0.25">
      <c r="A602" s="2160" t="s">
        <v>225</v>
      </c>
      <c r="B602" s="2161"/>
      <c r="C602" s="2161"/>
      <c r="D602" s="2161"/>
      <c r="E602" s="2161"/>
      <c r="F602" s="2162"/>
      <c r="G602" s="2189">
        <f t="shared" si="129"/>
        <v>124.2</v>
      </c>
      <c r="H602" s="2190"/>
      <c r="I602" s="2190"/>
      <c r="J602" s="2190"/>
      <c r="K602" s="2190"/>
      <c r="L602" s="2191"/>
      <c r="M602" s="2189">
        <f t="shared" si="130"/>
        <v>108.12</v>
      </c>
      <c r="N602" s="2190"/>
      <c r="O602" s="2190"/>
      <c r="P602" s="2190"/>
      <c r="Q602" s="2190"/>
      <c r="R602" s="2191"/>
      <c r="S602" s="2189">
        <f t="shared" si="131"/>
        <v>170.76</v>
      </c>
      <c r="T602" s="2190"/>
      <c r="U602" s="2190"/>
      <c r="V602" s="2190"/>
      <c r="W602" s="2190"/>
      <c r="X602" s="2191"/>
      <c r="Y602" s="2189">
        <f t="shared" si="132"/>
        <v>228.96</v>
      </c>
      <c r="Z602" s="2190"/>
      <c r="AA602" s="2190"/>
      <c r="AB602" s="2190"/>
      <c r="AC602" s="2190"/>
      <c r="AD602" s="2191"/>
      <c r="AE602" s="1375">
        <f t="shared" si="133"/>
        <v>295.92</v>
      </c>
      <c r="AF602" s="1376"/>
      <c r="AG602" s="1376"/>
      <c r="AH602" s="1376"/>
      <c r="AI602" s="1376"/>
      <c r="AJ602" s="1377"/>
    </row>
    <row r="603" spans="1:38" x14ac:dyDescent="0.25">
      <c r="A603" s="2160" t="s">
        <v>226</v>
      </c>
      <c r="B603" s="2161"/>
      <c r="C603" s="2161"/>
      <c r="D603" s="2161"/>
      <c r="E603" s="2161"/>
      <c r="F603" s="2162"/>
      <c r="G603" s="2189">
        <f t="shared" si="129"/>
        <v>98.21</v>
      </c>
      <c r="H603" s="2190"/>
      <c r="I603" s="2190"/>
      <c r="J603" s="2190"/>
      <c r="K603" s="2190"/>
      <c r="L603" s="2191"/>
      <c r="M603" s="2189">
        <f t="shared" si="130"/>
        <v>85.54</v>
      </c>
      <c r="N603" s="2190"/>
      <c r="O603" s="2190"/>
      <c r="P603" s="2190"/>
      <c r="Q603" s="2190"/>
      <c r="R603" s="2191"/>
      <c r="S603" s="2189">
        <f t="shared" si="131"/>
        <v>135.03</v>
      </c>
      <c r="T603" s="2190"/>
      <c r="U603" s="2190"/>
      <c r="V603" s="2190"/>
      <c r="W603" s="2190"/>
      <c r="X603" s="2191"/>
      <c r="Y603" s="2189">
        <f t="shared" si="132"/>
        <v>181.09</v>
      </c>
      <c r="Z603" s="2190"/>
      <c r="AA603" s="2190"/>
      <c r="AB603" s="2190"/>
      <c r="AC603" s="2190"/>
      <c r="AD603" s="2191"/>
      <c r="AE603" s="1375">
        <f t="shared" si="133"/>
        <v>234.01</v>
      </c>
      <c r="AF603" s="1376"/>
      <c r="AG603" s="1376"/>
      <c r="AH603" s="1376"/>
      <c r="AI603" s="1376"/>
      <c r="AJ603" s="1377"/>
    </row>
    <row r="604" spans="1:38" x14ac:dyDescent="0.25">
      <c r="A604" s="2160" t="s">
        <v>55</v>
      </c>
      <c r="B604" s="2161"/>
      <c r="C604" s="2161"/>
      <c r="D604" s="2161"/>
      <c r="E604" s="2161"/>
      <c r="F604" s="2162"/>
      <c r="G604" s="2189">
        <f t="shared" si="129"/>
        <v>103.92</v>
      </c>
      <c r="H604" s="2190"/>
      <c r="I604" s="2190"/>
      <c r="J604" s="2190"/>
      <c r="K604" s="2190"/>
      <c r="L604" s="2191"/>
      <c r="M604" s="2189">
        <f t="shared" si="130"/>
        <v>90.56</v>
      </c>
      <c r="N604" s="2190"/>
      <c r="O604" s="2190"/>
      <c r="P604" s="2190"/>
      <c r="Q604" s="2190"/>
      <c r="R604" s="2191"/>
      <c r="S604" s="2189">
        <f t="shared" si="131"/>
        <v>142.96</v>
      </c>
      <c r="T604" s="2190"/>
      <c r="U604" s="2190"/>
      <c r="V604" s="2190"/>
      <c r="W604" s="2190"/>
      <c r="X604" s="2191"/>
      <c r="Y604" s="2189">
        <f t="shared" si="132"/>
        <v>191.68</v>
      </c>
      <c r="Z604" s="2190"/>
      <c r="AA604" s="2190"/>
      <c r="AB604" s="2190"/>
      <c r="AC604" s="2190"/>
      <c r="AD604" s="2191"/>
      <c r="AE604" s="1375">
        <f t="shared" si="133"/>
        <v>247.68</v>
      </c>
      <c r="AF604" s="1376"/>
      <c r="AG604" s="1376"/>
      <c r="AH604" s="1376"/>
      <c r="AI604" s="1376"/>
      <c r="AJ604" s="1377"/>
    </row>
    <row r="605" spans="1:38" x14ac:dyDescent="0.25">
      <c r="A605" s="2160" t="s">
        <v>227</v>
      </c>
      <c r="B605" s="2161"/>
      <c r="C605" s="2161"/>
      <c r="D605" s="2161"/>
      <c r="E605" s="2161"/>
      <c r="F605" s="2162"/>
      <c r="G605" s="2189">
        <f t="shared" si="129"/>
        <v>110.64</v>
      </c>
      <c r="H605" s="2190"/>
      <c r="I605" s="2190"/>
      <c r="J605" s="2190"/>
      <c r="K605" s="2190"/>
      <c r="L605" s="2191"/>
      <c r="M605" s="2189">
        <f t="shared" si="130"/>
        <v>96.36</v>
      </c>
      <c r="N605" s="2190"/>
      <c r="O605" s="2190"/>
      <c r="P605" s="2190"/>
      <c r="Q605" s="2190"/>
      <c r="R605" s="2191"/>
      <c r="S605" s="2189">
        <f t="shared" si="131"/>
        <v>152.12</v>
      </c>
      <c r="T605" s="2190"/>
      <c r="U605" s="2190"/>
      <c r="V605" s="2190"/>
      <c r="W605" s="2190"/>
      <c r="X605" s="2191"/>
      <c r="Y605" s="2189">
        <f t="shared" si="132"/>
        <v>204</v>
      </c>
      <c r="Z605" s="2190"/>
      <c r="AA605" s="2190"/>
      <c r="AB605" s="2190"/>
      <c r="AC605" s="2190"/>
      <c r="AD605" s="2191"/>
      <c r="AE605" s="1375">
        <f t="shared" si="133"/>
        <v>263.64</v>
      </c>
      <c r="AF605" s="1376"/>
      <c r="AG605" s="1376"/>
      <c r="AH605" s="1376"/>
      <c r="AI605" s="1376"/>
      <c r="AJ605" s="1377"/>
    </row>
    <row r="606" spans="1:38" x14ac:dyDescent="0.25">
      <c r="A606" s="2160" t="s">
        <v>228</v>
      </c>
      <c r="B606" s="2161"/>
      <c r="C606" s="2161"/>
      <c r="D606" s="2161"/>
      <c r="E606" s="2161"/>
      <c r="F606" s="2162"/>
      <c r="G606" s="2189">
        <f t="shared" si="129"/>
        <v>94.38</v>
      </c>
      <c r="H606" s="2190"/>
      <c r="I606" s="2190"/>
      <c r="J606" s="2190"/>
      <c r="K606" s="2190"/>
      <c r="L606" s="2191"/>
      <c r="M606" s="2189">
        <f t="shared" si="130"/>
        <v>82.2</v>
      </c>
      <c r="N606" s="2190"/>
      <c r="O606" s="2190"/>
      <c r="P606" s="2190"/>
      <c r="Q606" s="2190"/>
      <c r="R606" s="2191"/>
      <c r="S606" s="2189">
        <f t="shared" si="131"/>
        <v>129.78</v>
      </c>
      <c r="T606" s="2190"/>
      <c r="U606" s="2190"/>
      <c r="V606" s="2190"/>
      <c r="W606" s="2190"/>
      <c r="X606" s="2191"/>
      <c r="Y606" s="2189">
        <f t="shared" si="132"/>
        <v>174.06</v>
      </c>
      <c r="Z606" s="2190"/>
      <c r="AA606" s="2190"/>
      <c r="AB606" s="2190"/>
      <c r="AC606" s="2190"/>
      <c r="AD606" s="2191"/>
      <c r="AE606" s="1375">
        <f t="shared" si="133"/>
        <v>224.94</v>
      </c>
      <c r="AF606" s="1376"/>
      <c r="AG606" s="1376"/>
      <c r="AH606" s="1376"/>
      <c r="AI606" s="1376"/>
      <c r="AJ606" s="1377"/>
    </row>
    <row r="607" spans="1:38" x14ac:dyDescent="0.25">
      <c r="A607" s="2160" t="s">
        <v>229</v>
      </c>
      <c r="B607" s="2161"/>
      <c r="C607" s="2161"/>
      <c r="D607" s="2161"/>
      <c r="E607" s="2161"/>
      <c r="F607" s="2162"/>
      <c r="G607" s="2189">
        <f t="shared" si="129"/>
        <v>89.73</v>
      </c>
      <c r="H607" s="2190"/>
      <c r="I607" s="2190"/>
      <c r="J607" s="2190"/>
      <c r="K607" s="2190"/>
      <c r="L607" s="2191"/>
      <c r="M607" s="2189">
        <f t="shared" si="130"/>
        <v>78.12</v>
      </c>
      <c r="N607" s="2190"/>
      <c r="O607" s="2190"/>
      <c r="P607" s="2190"/>
      <c r="Q607" s="2190"/>
      <c r="R607" s="2191"/>
      <c r="S607" s="2189">
        <f t="shared" si="131"/>
        <v>123.39</v>
      </c>
      <c r="T607" s="2190"/>
      <c r="U607" s="2190"/>
      <c r="V607" s="2190"/>
      <c r="W607" s="2190"/>
      <c r="X607" s="2191"/>
      <c r="Y607" s="2189">
        <f t="shared" si="132"/>
        <v>165.42</v>
      </c>
      <c r="Z607" s="2190"/>
      <c r="AA607" s="2190"/>
      <c r="AB607" s="2190"/>
      <c r="AC607" s="2190"/>
      <c r="AD607" s="2191"/>
      <c r="AE607" s="1375">
        <f t="shared" si="133"/>
        <v>213.75</v>
      </c>
      <c r="AF607" s="1376"/>
      <c r="AG607" s="1376"/>
      <c r="AH607" s="1376"/>
      <c r="AI607" s="1376"/>
      <c r="AJ607" s="1377"/>
    </row>
    <row r="608" spans="1:38" x14ac:dyDescent="0.25">
      <c r="A608" s="289"/>
      <c r="B608" s="289"/>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c r="AA608" s="296"/>
      <c r="AB608" s="296"/>
      <c r="AC608" s="296"/>
      <c r="AD608" s="296"/>
      <c r="AE608" s="296"/>
      <c r="AF608" s="296"/>
      <c r="AG608" s="296"/>
      <c r="AH608" s="296"/>
      <c r="AI608" s="296"/>
      <c r="AJ608" s="296"/>
      <c r="AK608" s="296"/>
      <c r="AL608" s="296"/>
    </row>
    <row r="609" spans="1:32" x14ac:dyDescent="0.25">
      <c r="A609" s="1148" t="s">
        <v>1753</v>
      </c>
      <c r="B609" s="1149"/>
      <c r="C609" s="1149"/>
      <c r="D609" s="1149"/>
      <c r="E609" s="1149"/>
      <c r="F609" s="1149"/>
      <c r="G609" s="1149"/>
      <c r="H609" s="1149"/>
      <c r="I609" s="1149"/>
      <c r="J609" s="1149"/>
      <c r="K609" s="1149"/>
      <c r="L609" s="1149"/>
      <c r="M609" s="1149"/>
      <c r="N609" s="1149"/>
      <c r="O609" s="1149"/>
      <c r="P609" s="1149"/>
      <c r="Q609" s="1149"/>
      <c r="R609" s="1149"/>
      <c r="S609" s="1149"/>
      <c r="T609" s="1149"/>
      <c r="U609" s="1149"/>
      <c r="V609" s="1149"/>
      <c r="W609" s="1149"/>
      <c r="X609" s="1149"/>
      <c r="Y609" s="1149"/>
      <c r="Z609" s="1149"/>
      <c r="AA609" s="1149"/>
      <c r="AB609" s="1149"/>
      <c r="AC609" s="1149"/>
      <c r="AD609" s="1149"/>
      <c r="AE609" s="1149"/>
      <c r="AF609" s="1150"/>
    </row>
    <row r="611" spans="1:32" s="192" customFormat="1" ht="15" customHeight="1" x14ac:dyDescent="0.25">
      <c r="A611" s="517" t="s">
        <v>1013</v>
      </c>
      <c r="B611" s="1168" t="s">
        <v>6732</v>
      </c>
      <c r="C611" s="1168"/>
      <c r="D611" s="1168"/>
      <c r="E611" s="1168"/>
      <c r="F611" s="1168"/>
      <c r="G611" s="1168"/>
      <c r="H611" s="1168"/>
      <c r="I611" s="1168"/>
      <c r="J611" s="1168"/>
      <c r="K611" s="1168"/>
      <c r="L611" s="1168"/>
      <c r="M611" s="1168"/>
      <c r="N611" s="1168"/>
      <c r="O611" s="1168"/>
      <c r="P611" s="1168"/>
      <c r="Q611" s="1168"/>
      <c r="R611" s="1168"/>
      <c r="S611" s="1168"/>
      <c r="T611" s="1168"/>
      <c r="U611" s="1168"/>
      <c r="V611" s="1168"/>
      <c r="W611" s="1168"/>
      <c r="X611" s="1168"/>
      <c r="Y611" s="1168"/>
      <c r="Z611" s="1168"/>
      <c r="AA611" s="1168"/>
      <c r="AB611" s="1168"/>
      <c r="AC611" s="1168"/>
      <c r="AD611" s="1168"/>
      <c r="AE611" s="1168"/>
      <c r="AF611" s="1168"/>
    </row>
    <row r="612" spans="1:32" s="192" customFormat="1" ht="35.1" customHeight="1" x14ac:dyDescent="0.25">
      <c r="A612" s="517" t="s">
        <v>1013</v>
      </c>
      <c r="B612" s="1168" t="s">
        <v>2017</v>
      </c>
      <c r="C612" s="1168"/>
      <c r="D612" s="1168"/>
      <c r="E612" s="1168"/>
      <c r="F612" s="1168"/>
      <c r="G612" s="1168"/>
      <c r="H612" s="1168"/>
      <c r="I612" s="1168"/>
      <c r="J612" s="1168"/>
      <c r="K612" s="1168"/>
      <c r="L612" s="1168"/>
      <c r="M612" s="1168"/>
      <c r="N612" s="1168"/>
      <c r="O612" s="1168"/>
      <c r="P612" s="1168"/>
      <c r="Q612" s="1168"/>
      <c r="R612" s="1168"/>
      <c r="S612" s="1168"/>
      <c r="T612" s="1168"/>
      <c r="U612" s="1168"/>
      <c r="V612" s="1168"/>
      <c r="W612" s="1168"/>
      <c r="X612" s="1168"/>
      <c r="Y612" s="1168"/>
      <c r="Z612" s="1168"/>
      <c r="AA612" s="1168"/>
      <c r="AB612" s="1168"/>
      <c r="AC612" s="1168"/>
      <c r="AD612" s="1168"/>
      <c r="AE612" s="1168"/>
      <c r="AF612" s="1168"/>
    </row>
    <row r="613" spans="1:32" s="192" customFormat="1" ht="33" customHeight="1" x14ac:dyDescent="0.25">
      <c r="A613" s="517" t="s">
        <v>1013</v>
      </c>
      <c r="B613" s="1168" t="s">
        <v>2019</v>
      </c>
      <c r="C613" s="1168"/>
      <c r="D613" s="1168"/>
      <c r="E613" s="1168"/>
      <c r="F613" s="1168"/>
      <c r="G613" s="1168"/>
      <c r="H613" s="1168"/>
      <c r="I613" s="1168"/>
      <c r="J613" s="1168"/>
      <c r="K613" s="1168"/>
      <c r="L613" s="1168"/>
      <c r="M613" s="1168"/>
      <c r="N613" s="1168"/>
      <c r="O613" s="1168"/>
      <c r="P613" s="1168"/>
      <c r="Q613" s="1168"/>
      <c r="R613" s="1168"/>
      <c r="S613" s="1168"/>
      <c r="T613" s="1168"/>
      <c r="U613" s="1168"/>
      <c r="V613" s="1168"/>
      <c r="W613" s="1168"/>
      <c r="X613" s="1168"/>
      <c r="Y613" s="1168"/>
      <c r="Z613" s="1168"/>
      <c r="AA613" s="1168"/>
      <c r="AB613" s="1168"/>
      <c r="AC613" s="1168"/>
      <c r="AD613" s="1168"/>
      <c r="AE613" s="1168"/>
      <c r="AF613" s="1168"/>
    </row>
    <row r="614" spans="1:32" s="192" customFormat="1" ht="51.6" customHeight="1" x14ac:dyDescent="0.25">
      <c r="A614" s="517" t="s">
        <v>1013</v>
      </c>
      <c r="B614" s="1168" t="s">
        <v>2026</v>
      </c>
      <c r="C614" s="1168"/>
      <c r="D614" s="1168"/>
      <c r="E614" s="1168"/>
      <c r="F614" s="1168"/>
      <c r="G614" s="1168"/>
      <c r="H614" s="1168"/>
      <c r="I614" s="1168"/>
      <c r="J614" s="1168"/>
      <c r="K614" s="1168"/>
      <c r="L614" s="1168"/>
      <c r="M614" s="1168"/>
      <c r="N614" s="1168"/>
      <c r="O614" s="1168"/>
      <c r="P614" s="1168"/>
      <c r="Q614" s="1168"/>
      <c r="R614" s="1168"/>
      <c r="S614" s="1168"/>
      <c r="T614" s="1168"/>
      <c r="U614" s="1168"/>
      <c r="V614" s="1168"/>
      <c r="W614" s="1168"/>
      <c r="X614" s="1168"/>
      <c r="Y614" s="1168"/>
      <c r="Z614" s="1168"/>
      <c r="AA614" s="1168"/>
      <c r="AB614" s="1168"/>
      <c r="AC614" s="1168"/>
      <c r="AD614" s="1168"/>
      <c r="AE614" s="1168"/>
      <c r="AF614" s="1168"/>
    </row>
    <row r="615" spans="1:32" s="192" customFormat="1" ht="30" customHeight="1" x14ac:dyDescent="0.25">
      <c r="A615" s="517" t="s">
        <v>1013</v>
      </c>
      <c r="B615" s="1168" t="s">
        <v>6498</v>
      </c>
      <c r="C615" s="1168"/>
      <c r="D615" s="1168"/>
      <c r="E615" s="1168"/>
      <c r="F615" s="1168"/>
      <c r="G615" s="1168"/>
      <c r="H615" s="1168"/>
      <c r="I615" s="1168"/>
      <c r="J615" s="1168"/>
      <c r="K615" s="1168"/>
      <c r="L615" s="1168"/>
      <c r="M615" s="1168"/>
      <c r="N615" s="1168"/>
      <c r="O615" s="1168"/>
      <c r="P615" s="1168"/>
      <c r="Q615" s="1168"/>
      <c r="R615" s="1168"/>
      <c r="S615" s="1168"/>
      <c r="T615" s="1168"/>
      <c r="U615" s="1168"/>
      <c r="V615" s="1168"/>
      <c r="W615" s="1168"/>
      <c r="X615" s="1168"/>
      <c r="Y615" s="1168"/>
      <c r="Z615" s="1168"/>
      <c r="AA615" s="1168"/>
      <c r="AB615" s="1168"/>
      <c r="AC615" s="1168"/>
      <c r="AD615" s="1168"/>
      <c r="AE615" s="1168"/>
      <c r="AF615" s="1168"/>
    </row>
    <row r="616" spans="1:32" s="192" customFormat="1" ht="15" customHeight="1" x14ac:dyDescent="0.25">
      <c r="A616" s="517" t="s">
        <v>1013</v>
      </c>
      <c r="B616" s="1168" t="s">
        <v>5692</v>
      </c>
      <c r="C616" s="1168"/>
      <c r="D616" s="1168"/>
      <c r="E616" s="1168"/>
      <c r="F616" s="1168"/>
      <c r="G616" s="1168"/>
      <c r="H616" s="1168"/>
      <c r="I616" s="1168"/>
      <c r="J616" s="1168"/>
      <c r="K616" s="1168"/>
      <c r="L616" s="1168"/>
      <c r="M616" s="1168"/>
      <c r="N616" s="1168"/>
      <c r="O616" s="1168"/>
      <c r="P616" s="1168"/>
      <c r="Q616" s="1168"/>
      <c r="R616" s="1168"/>
      <c r="S616" s="1168"/>
      <c r="T616" s="1168"/>
      <c r="U616" s="1168"/>
      <c r="V616" s="1168"/>
      <c r="W616" s="1168"/>
      <c r="X616" s="1168"/>
      <c r="Y616" s="1168"/>
      <c r="Z616" s="1168"/>
      <c r="AA616" s="1168"/>
      <c r="AB616" s="1168"/>
      <c r="AC616" s="1168"/>
      <c r="AD616" s="1168"/>
      <c r="AE616" s="1168"/>
      <c r="AF616" s="1168"/>
    </row>
    <row r="617" spans="1:32" s="192" customFormat="1" ht="15" customHeight="1" x14ac:dyDescent="0.25">
      <c r="A617" s="517" t="s">
        <v>1013</v>
      </c>
      <c r="B617" s="1168" t="s">
        <v>5693</v>
      </c>
      <c r="C617" s="1168"/>
      <c r="D617" s="1168"/>
      <c r="E617" s="1168"/>
      <c r="F617" s="1168"/>
      <c r="G617" s="1168"/>
      <c r="H617" s="1168"/>
      <c r="I617" s="1168"/>
      <c r="J617" s="1168"/>
      <c r="K617" s="1168"/>
      <c r="L617" s="1168"/>
      <c r="M617" s="1168"/>
      <c r="N617" s="1168"/>
      <c r="O617" s="1168"/>
      <c r="P617" s="1168"/>
      <c r="Q617" s="1168"/>
      <c r="R617" s="1168"/>
      <c r="S617" s="1168"/>
      <c r="T617" s="1168"/>
      <c r="U617" s="1168"/>
      <c r="V617" s="1168"/>
      <c r="W617" s="1168"/>
      <c r="X617" s="1168"/>
      <c r="Y617" s="1168"/>
      <c r="Z617" s="1168"/>
      <c r="AA617" s="1168"/>
      <c r="AB617" s="1168"/>
      <c r="AC617" s="1168"/>
      <c r="AD617" s="1168"/>
      <c r="AE617" s="1168"/>
      <c r="AF617" s="1168"/>
    </row>
    <row r="618" spans="1:32" s="192" customFormat="1" ht="15" customHeight="1" x14ac:dyDescent="0.25">
      <c r="A618" s="517" t="s">
        <v>1013</v>
      </c>
      <c r="B618" s="1168" t="s">
        <v>5622</v>
      </c>
      <c r="C618" s="1168"/>
      <c r="D618" s="1168"/>
      <c r="E618" s="1168"/>
      <c r="F618" s="1168"/>
      <c r="G618" s="1168"/>
      <c r="H618" s="1168"/>
      <c r="I618" s="1168"/>
      <c r="J618" s="1168"/>
      <c r="K618" s="1168"/>
      <c r="L618" s="1168"/>
      <c r="M618" s="1168"/>
      <c r="N618" s="1168"/>
      <c r="O618" s="1168"/>
      <c r="P618" s="1168"/>
      <c r="Q618" s="1168"/>
      <c r="R618" s="1168"/>
      <c r="S618" s="1168"/>
      <c r="T618" s="1168"/>
      <c r="U618" s="1168"/>
      <c r="V618" s="1168"/>
      <c r="W618" s="1168"/>
      <c r="X618" s="1168"/>
      <c r="Y618" s="1168"/>
      <c r="Z618" s="1168"/>
      <c r="AA618" s="1168"/>
      <c r="AB618" s="1168"/>
      <c r="AC618" s="1168"/>
      <c r="AD618" s="1168"/>
      <c r="AE618" s="1168"/>
      <c r="AF618" s="1168"/>
    </row>
    <row r="619" spans="1:32" s="192" customFormat="1" ht="67.5" customHeight="1" x14ac:dyDescent="0.25">
      <c r="A619" s="517" t="s">
        <v>1013</v>
      </c>
      <c r="B619" s="1168" t="s">
        <v>2954</v>
      </c>
      <c r="C619" s="1168"/>
      <c r="D619" s="1168"/>
      <c r="E619" s="1168"/>
      <c r="F619" s="1168"/>
      <c r="G619" s="1168"/>
      <c r="H619" s="1168"/>
      <c r="I619" s="1168"/>
      <c r="J619" s="1168"/>
      <c r="K619" s="1168"/>
      <c r="L619" s="1168"/>
      <c r="M619" s="1168"/>
      <c r="N619" s="1168"/>
      <c r="O619" s="1168"/>
      <c r="P619" s="1168"/>
      <c r="Q619" s="1168"/>
      <c r="R619" s="1168"/>
      <c r="S619" s="1168"/>
      <c r="T619" s="1168"/>
      <c r="U619" s="1168"/>
      <c r="V619" s="1168"/>
      <c r="W619" s="1168"/>
      <c r="X619" s="1168"/>
      <c r="Y619" s="1168"/>
      <c r="Z619" s="1168"/>
      <c r="AA619" s="1168"/>
      <c r="AB619" s="1168"/>
      <c r="AC619" s="1168"/>
      <c r="AD619" s="1168"/>
      <c r="AE619" s="1168"/>
      <c r="AF619" s="1168"/>
    </row>
    <row r="620" spans="1:32" s="192" customFormat="1" ht="18.75" customHeight="1" x14ac:dyDescent="0.25">
      <c r="A620" s="517" t="s">
        <v>1013</v>
      </c>
      <c r="B620" s="1168" t="s">
        <v>1795</v>
      </c>
      <c r="C620" s="1168"/>
      <c r="D620" s="1168"/>
      <c r="E620" s="1168"/>
      <c r="F620" s="1168"/>
      <c r="G620" s="1168"/>
      <c r="H620" s="1168"/>
      <c r="I620" s="1168"/>
      <c r="J620" s="1168"/>
      <c r="K620" s="1168"/>
      <c r="L620" s="1168"/>
      <c r="M620" s="1168"/>
      <c r="N620" s="1168"/>
      <c r="O620" s="1168"/>
      <c r="P620" s="1168"/>
      <c r="Q620" s="1168"/>
      <c r="R620" s="1168"/>
      <c r="S620" s="1168"/>
      <c r="T620" s="1168"/>
      <c r="U620" s="1168"/>
      <c r="V620" s="1168"/>
      <c r="W620" s="1168"/>
      <c r="X620" s="1168"/>
      <c r="Y620" s="1168"/>
      <c r="Z620" s="1168"/>
      <c r="AA620" s="1168"/>
      <c r="AB620" s="1168"/>
      <c r="AC620" s="1168"/>
      <c r="AD620" s="1168"/>
      <c r="AE620" s="1168"/>
      <c r="AF620" s="1168"/>
    </row>
    <row r="621" spans="1:32" s="192" customFormat="1" ht="63.75" customHeight="1" x14ac:dyDescent="0.25">
      <c r="A621" s="517" t="s">
        <v>1013</v>
      </c>
      <c r="B621" s="1168" t="s">
        <v>2025</v>
      </c>
      <c r="C621" s="1168"/>
      <c r="D621" s="1168"/>
      <c r="E621" s="1168"/>
      <c r="F621" s="1168"/>
      <c r="G621" s="1168"/>
      <c r="H621" s="1168"/>
      <c r="I621" s="1168"/>
      <c r="J621" s="1168"/>
      <c r="K621" s="1168"/>
      <c r="L621" s="1168"/>
      <c r="M621" s="1168"/>
      <c r="N621" s="1168"/>
      <c r="O621" s="1168"/>
      <c r="P621" s="1168"/>
      <c r="Q621" s="1168"/>
      <c r="R621" s="1168"/>
      <c r="S621" s="1168"/>
      <c r="T621" s="1168"/>
      <c r="U621" s="1168"/>
      <c r="V621" s="1168"/>
      <c r="W621" s="1168"/>
      <c r="X621" s="1168"/>
      <c r="Y621" s="1168"/>
      <c r="Z621" s="1168"/>
      <c r="AA621" s="1168"/>
      <c r="AB621" s="1168"/>
      <c r="AC621" s="1168"/>
      <c r="AD621" s="1168"/>
      <c r="AE621" s="1168"/>
      <c r="AF621" s="1168"/>
    </row>
    <row r="622" spans="1:32" s="192" customFormat="1" ht="36.950000000000003" customHeight="1" x14ac:dyDescent="0.25">
      <c r="A622" s="517" t="s">
        <v>1013</v>
      </c>
      <c r="B622" s="1168" t="s">
        <v>2024</v>
      </c>
      <c r="C622" s="1168"/>
      <c r="D622" s="1168"/>
      <c r="E622" s="1168"/>
      <c r="F622" s="1168"/>
      <c r="G622" s="1168"/>
      <c r="H622" s="1168"/>
      <c r="I622" s="1168"/>
      <c r="J622" s="1168"/>
      <c r="K622" s="1168"/>
      <c r="L622" s="1168"/>
      <c r="M622" s="1168"/>
      <c r="N622" s="1168"/>
      <c r="O622" s="1168"/>
      <c r="P622" s="1168"/>
      <c r="Q622" s="1168"/>
      <c r="R622" s="1168"/>
      <c r="S622" s="1168"/>
      <c r="T622" s="1168"/>
      <c r="U622" s="1168"/>
      <c r="V622" s="1168"/>
      <c r="W622" s="1168"/>
      <c r="X622" s="1168"/>
      <c r="Y622" s="1168"/>
      <c r="Z622" s="1168"/>
      <c r="AA622" s="1168"/>
      <c r="AB622" s="1168"/>
      <c r="AC622" s="1168"/>
      <c r="AD622" s="1168"/>
      <c r="AE622" s="1168"/>
      <c r="AF622" s="1168"/>
    </row>
    <row r="623" spans="1:32" s="192" customFormat="1" ht="50.1" customHeight="1" x14ac:dyDescent="0.25">
      <c r="A623" s="517" t="s">
        <v>1013</v>
      </c>
      <c r="B623" s="1168" t="s">
        <v>2021</v>
      </c>
      <c r="C623" s="1168"/>
      <c r="D623" s="1168"/>
      <c r="E623" s="1168"/>
      <c r="F623" s="1168"/>
      <c r="G623" s="1168"/>
      <c r="H623" s="1168"/>
      <c r="I623" s="1168"/>
      <c r="J623" s="1168"/>
      <c r="K623" s="1168"/>
      <c r="L623" s="1168"/>
      <c r="M623" s="1168"/>
      <c r="N623" s="1168"/>
      <c r="O623" s="1168"/>
      <c r="P623" s="1168"/>
      <c r="Q623" s="1168"/>
      <c r="R623" s="1168"/>
      <c r="S623" s="1168"/>
      <c r="T623" s="1168"/>
      <c r="U623" s="1168"/>
      <c r="V623" s="1168"/>
      <c r="W623" s="1168"/>
      <c r="X623" s="1168"/>
      <c r="Y623" s="1168"/>
      <c r="Z623" s="1168"/>
      <c r="AA623" s="1168"/>
      <c r="AB623" s="1168"/>
      <c r="AC623" s="1168"/>
      <c r="AD623" s="1168"/>
      <c r="AE623" s="1168"/>
      <c r="AF623" s="1168"/>
    </row>
    <row r="624" spans="1:32" s="192" customFormat="1" ht="51" customHeight="1" x14ac:dyDescent="0.25">
      <c r="A624" s="517" t="s">
        <v>1013</v>
      </c>
      <c r="B624" s="1168" t="s">
        <v>2023</v>
      </c>
      <c r="C624" s="1168"/>
      <c r="D624" s="1168"/>
      <c r="E624" s="1168"/>
      <c r="F624" s="1168"/>
      <c r="G624" s="1168"/>
      <c r="H624" s="1168"/>
      <c r="I624" s="1168"/>
      <c r="J624" s="1168"/>
      <c r="K624" s="1168"/>
      <c r="L624" s="1168"/>
      <c r="M624" s="1168"/>
      <c r="N624" s="1168"/>
      <c r="O624" s="1168"/>
      <c r="P624" s="1168"/>
      <c r="Q624" s="1168"/>
      <c r="R624" s="1168"/>
      <c r="S624" s="1168"/>
      <c r="T624" s="1168"/>
      <c r="U624" s="1168"/>
      <c r="V624" s="1168"/>
      <c r="W624" s="1168"/>
      <c r="X624" s="1168"/>
      <c r="Y624" s="1168"/>
      <c r="Z624" s="1168"/>
      <c r="AA624" s="1168"/>
      <c r="AB624" s="1168"/>
      <c r="AC624" s="1168"/>
      <c r="AD624" s="1168"/>
      <c r="AE624" s="1168"/>
      <c r="AF624" s="1168"/>
    </row>
    <row r="625" spans="1:32" s="192" customFormat="1" ht="30.6" customHeight="1" x14ac:dyDescent="0.25">
      <c r="A625" s="517" t="s">
        <v>1013</v>
      </c>
      <c r="B625" s="1168" t="s">
        <v>2013</v>
      </c>
      <c r="C625" s="1168"/>
      <c r="D625" s="1168"/>
      <c r="E625" s="1168"/>
      <c r="F625" s="1168"/>
      <c r="G625" s="1168"/>
      <c r="H625" s="1168"/>
      <c r="I625" s="1168"/>
      <c r="J625" s="1168"/>
      <c r="K625" s="1168"/>
      <c r="L625" s="1168"/>
      <c r="M625" s="1168"/>
      <c r="N625" s="1168"/>
      <c r="O625" s="1168"/>
      <c r="P625" s="1168"/>
      <c r="Q625" s="1168"/>
      <c r="R625" s="1168"/>
      <c r="S625" s="1168"/>
      <c r="T625" s="1168"/>
      <c r="U625" s="1168"/>
      <c r="V625" s="1168"/>
      <c r="W625" s="1168"/>
      <c r="X625" s="1168"/>
      <c r="Y625" s="1168"/>
      <c r="Z625" s="1168"/>
      <c r="AA625" s="1168"/>
      <c r="AB625" s="1168"/>
      <c r="AC625" s="1168"/>
      <c r="AD625" s="1168"/>
      <c r="AE625" s="1168"/>
      <c r="AF625" s="1168"/>
    </row>
    <row r="626" spans="1:32" s="192" customFormat="1" ht="15" customHeight="1" x14ac:dyDescent="0.25">
      <c r="A626" s="517" t="s">
        <v>1013</v>
      </c>
      <c r="B626" s="1168" t="s">
        <v>2020</v>
      </c>
      <c r="C626" s="1168"/>
      <c r="D626" s="1168"/>
      <c r="E626" s="1168"/>
      <c r="F626" s="1168"/>
      <c r="G626" s="1168"/>
      <c r="H626" s="1168"/>
      <c r="I626" s="1168"/>
      <c r="J626" s="1168"/>
      <c r="K626" s="1168"/>
      <c r="L626" s="1168"/>
      <c r="M626" s="1168"/>
      <c r="N626" s="1168"/>
      <c r="O626" s="1168"/>
      <c r="P626" s="1168"/>
      <c r="Q626" s="1168"/>
      <c r="R626" s="1168"/>
      <c r="S626" s="1168"/>
      <c r="T626" s="1168"/>
      <c r="U626" s="1168"/>
      <c r="V626" s="1168"/>
      <c r="W626" s="1168"/>
      <c r="X626" s="1168"/>
      <c r="Y626" s="1168"/>
      <c r="Z626" s="1168"/>
      <c r="AA626" s="1168"/>
      <c r="AB626" s="1168"/>
      <c r="AC626" s="1168"/>
      <c r="AD626" s="1168"/>
      <c r="AE626" s="1168"/>
      <c r="AF626" s="1168"/>
    </row>
    <row r="627" spans="1:32" s="192" customFormat="1" ht="64.5" customHeight="1" x14ac:dyDescent="0.25">
      <c r="A627" s="517" t="s">
        <v>1013</v>
      </c>
      <c r="B627" s="1168" t="s">
        <v>2955</v>
      </c>
      <c r="C627" s="1168"/>
      <c r="D627" s="1168"/>
      <c r="E627" s="1168"/>
      <c r="F627" s="1168"/>
      <c r="G627" s="1168"/>
      <c r="H627" s="1168"/>
      <c r="I627" s="1168"/>
      <c r="J627" s="1168"/>
      <c r="K627" s="1168"/>
      <c r="L627" s="1168"/>
      <c r="M627" s="1168"/>
      <c r="N627" s="1168"/>
      <c r="O627" s="1168"/>
      <c r="P627" s="1168"/>
      <c r="Q627" s="1168"/>
      <c r="R627" s="1168"/>
      <c r="S627" s="1168"/>
      <c r="T627" s="1168"/>
      <c r="U627" s="1168"/>
      <c r="V627" s="1168"/>
      <c r="W627" s="1168"/>
      <c r="X627" s="1168"/>
      <c r="Y627" s="1168"/>
      <c r="Z627" s="1168"/>
      <c r="AA627" s="1168"/>
      <c r="AB627" s="1168"/>
      <c r="AC627" s="1168"/>
      <c r="AD627" s="1168"/>
      <c r="AE627" s="1168"/>
      <c r="AF627" s="1168"/>
    </row>
    <row r="628" spans="1:32" s="192" customFormat="1" ht="30.6" customHeight="1" x14ac:dyDescent="0.25">
      <c r="A628" s="517" t="s">
        <v>1013</v>
      </c>
      <c r="B628" s="1168" t="s">
        <v>2016</v>
      </c>
      <c r="C628" s="1168"/>
      <c r="D628" s="1168"/>
      <c r="E628" s="1168"/>
      <c r="F628" s="1168"/>
      <c r="G628" s="1168"/>
      <c r="H628" s="1168"/>
      <c r="I628" s="1168"/>
      <c r="J628" s="1168"/>
      <c r="K628" s="1168"/>
      <c r="L628" s="1168"/>
      <c r="M628" s="1168"/>
      <c r="N628" s="1168"/>
      <c r="O628" s="1168"/>
      <c r="P628" s="1168"/>
      <c r="Q628" s="1168"/>
      <c r="R628" s="1168"/>
      <c r="S628" s="1168"/>
      <c r="T628" s="1168"/>
      <c r="U628" s="1168"/>
      <c r="V628" s="1168"/>
      <c r="W628" s="1168"/>
      <c r="X628" s="1168"/>
      <c r="Y628" s="1168"/>
      <c r="Z628" s="1168"/>
      <c r="AA628" s="1168"/>
      <c r="AB628" s="1168"/>
      <c r="AC628" s="1168"/>
      <c r="AD628" s="1168"/>
      <c r="AE628" s="1168"/>
      <c r="AF628" s="1168"/>
    </row>
    <row r="629" spans="1:32" s="192" customFormat="1" ht="49.5" customHeight="1" x14ac:dyDescent="0.25">
      <c r="A629" s="517" t="s">
        <v>1013</v>
      </c>
      <c r="B629" s="1168" t="s">
        <v>2029</v>
      </c>
      <c r="C629" s="1168"/>
      <c r="D629" s="1168"/>
      <c r="E629" s="1168"/>
      <c r="F629" s="1168"/>
      <c r="G629" s="1168"/>
      <c r="H629" s="1168"/>
      <c r="I629" s="1168"/>
      <c r="J629" s="1168"/>
      <c r="K629" s="1168"/>
      <c r="L629" s="1168"/>
      <c r="M629" s="1168"/>
      <c r="N629" s="1168"/>
      <c r="O629" s="1168"/>
      <c r="P629" s="1168"/>
      <c r="Q629" s="1168"/>
      <c r="R629" s="1168"/>
      <c r="S629" s="1168"/>
      <c r="T629" s="1168"/>
      <c r="U629" s="1168"/>
      <c r="V629" s="1168"/>
      <c r="W629" s="1168"/>
      <c r="X629" s="1168"/>
      <c r="Y629" s="1168"/>
      <c r="Z629" s="1168"/>
      <c r="AA629" s="1168"/>
      <c r="AB629" s="1168"/>
      <c r="AC629" s="1168"/>
      <c r="AD629" s="1168"/>
      <c r="AE629" s="1168"/>
      <c r="AF629" s="1168"/>
    </row>
    <row r="630" spans="1:32" s="192" customFormat="1" ht="15" customHeight="1" x14ac:dyDescent="0.25">
      <c r="A630" s="517" t="s">
        <v>1013</v>
      </c>
      <c r="B630" s="1168" t="s">
        <v>1798</v>
      </c>
      <c r="C630" s="1168"/>
      <c r="D630" s="1168"/>
      <c r="E630" s="1168"/>
      <c r="F630" s="1168"/>
      <c r="G630" s="1168"/>
      <c r="H630" s="1168"/>
      <c r="I630" s="1168"/>
      <c r="J630" s="1168"/>
      <c r="K630" s="1168"/>
      <c r="L630" s="1168"/>
      <c r="M630" s="1168"/>
      <c r="N630" s="1168"/>
      <c r="O630" s="1168"/>
      <c r="P630" s="1168"/>
      <c r="Q630" s="1168"/>
      <c r="R630" s="1168"/>
      <c r="S630" s="1168"/>
      <c r="T630" s="1168"/>
      <c r="U630" s="1168"/>
      <c r="V630" s="1168"/>
      <c r="W630" s="1168"/>
      <c r="X630" s="1168"/>
      <c r="Y630" s="1168"/>
      <c r="Z630" s="1168"/>
      <c r="AA630" s="1168"/>
      <c r="AB630" s="1168"/>
      <c r="AC630" s="1168"/>
      <c r="AD630" s="1168"/>
      <c r="AE630" s="1168"/>
      <c r="AF630" s="1168"/>
    </row>
    <row r="631" spans="1:32" s="192" customFormat="1" ht="15" customHeight="1" x14ac:dyDescent="0.25">
      <c r="A631" s="517" t="s">
        <v>1013</v>
      </c>
      <c r="B631" s="1168" t="s">
        <v>2956</v>
      </c>
      <c r="C631" s="1168"/>
      <c r="D631" s="1168"/>
      <c r="E631" s="1168"/>
      <c r="F631" s="1168"/>
      <c r="G631" s="1168"/>
      <c r="H631" s="1168"/>
      <c r="I631" s="1168"/>
      <c r="J631" s="1168"/>
      <c r="K631" s="1168"/>
      <c r="L631" s="1168"/>
      <c r="M631" s="1168"/>
      <c r="N631" s="1168"/>
      <c r="O631" s="1168"/>
      <c r="P631" s="1168"/>
      <c r="Q631" s="1168"/>
      <c r="R631" s="1168"/>
      <c r="S631" s="1168"/>
      <c r="T631" s="1168"/>
      <c r="U631" s="1168"/>
      <c r="V631" s="1168"/>
      <c r="W631" s="1168"/>
      <c r="X631" s="1168"/>
      <c r="Y631" s="1168"/>
      <c r="Z631" s="1168"/>
      <c r="AA631" s="1168"/>
      <c r="AB631" s="1168"/>
      <c r="AC631" s="1168"/>
      <c r="AD631" s="1168"/>
      <c r="AE631" s="1168"/>
      <c r="AF631" s="1168"/>
    </row>
    <row r="632" spans="1:32" s="192" customFormat="1" ht="48.75" customHeight="1" x14ac:dyDescent="0.25">
      <c r="A632" s="517" t="s">
        <v>1013</v>
      </c>
      <c r="B632" s="1168" t="s">
        <v>2113</v>
      </c>
      <c r="C632" s="1168"/>
      <c r="D632" s="1168"/>
      <c r="E632" s="1168"/>
      <c r="F632" s="1168"/>
      <c r="G632" s="1168"/>
      <c r="H632" s="1168"/>
      <c r="I632" s="1168"/>
      <c r="J632" s="1168"/>
      <c r="K632" s="1168"/>
      <c r="L632" s="1168"/>
      <c r="M632" s="1168"/>
      <c r="N632" s="1168"/>
      <c r="O632" s="1168"/>
      <c r="P632" s="1168"/>
      <c r="Q632" s="1168"/>
      <c r="R632" s="1168"/>
      <c r="S632" s="1168"/>
      <c r="T632" s="1168"/>
      <c r="U632" s="1168"/>
      <c r="V632" s="1168"/>
      <c r="W632" s="1168"/>
      <c r="X632" s="1168"/>
      <c r="Y632" s="1168"/>
      <c r="Z632" s="1168"/>
      <c r="AA632" s="1168"/>
      <c r="AB632" s="1168"/>
      <c r="AC632" s="1168"/>
      <c r="AD632" s="1168"/>
      <c r="AE632" s="1168"/>
      <c r="AF632" s="1168"/>
    </row>
    <row r="633" spans="1:32" s="192" customFormat="1" ht="15" customHeight="1" x14ac:dyDescent="0.25">
      <c r="A633" s="517" t="s">
        <v>1013</v>
      </c>
      <c r="B633" s="1168" t="s">
        <v>2018</v>
      </c>
      <c r="C633" s="1168"/>
      <c r="D633" s="1168"/>
      <c r="E633" s="1168"/>
      <c r="F633" s="1168"/>
      <c r="G633" s="1168"/>
      <c r="H633" s="1168"/>
      <c r="I633" s="1168"/>
      <c r="J633" s="1168"/>
      <c r="K633" s="1168"/>
      <c r="L633" s="1168"/>
      <c r="M633" s="1168"/>
      <c r="N633" s="1168"/>
      <c r="O633" s="1168"/>
      <c r="P633" s="1168"/>
      <c r="Q633" s="1168"/>
      <c r="R633" s="1168"/>
      <c r="S633" s="1168"/>
      <c r="T633" s="1168"/>
      <c r="U633" s="1168"/>
      <c r="V633" s="1168"/>
      <c r="W633" s="1168"/>
      <c r="X633" s="1168"/>
      <c r="Y633" s="1168"/>
      <c r="Z633" s="1168"/>
      <c r="AA633" s="1168"/>
      <c r="AB633" s="1168"/>
      <c r="AC633" s="1168"/>
      <c r="AD633" s="1168"/>
      <c r="AE633" s="1168"/>
      <c r="AF633" s="1168"/>
    </row>
    <row r="634" spans="1:32" s="192" customFormat="1" ht="30.6" customHeight="1" x14ac:dyDescent="0.25">
      <c r="A634" s="517" t="s">
        <v>1013</v>
      </c>
      <c r="B634" s="1168" t="s">
        <v>2014</v>
      </c>
      <c r="C634" s="1168"/>
      <c r="D634" s="1168"/>
      <c r="E634" s="1168"/>
      <c r="F634" s="1168"/>
      <c r="G634" s="1168"/>
      <c r="H634" s="1168"/>
      <c r="I634" s="1168"/>
      <c r="J634" s="1168"/>
      <c r="K634" s="1168"/>
      <c r="L634" s="1168"/>
      <c r="M634" s="1168"/>
      <c r="N634" s="1168"/>
      <c r="O634" s="1168"/>
      <c r="P634" s="1168"/>
      <c r="Q634" s="1168"/>
      <c r="R634" s="1168"/>
      <c r="S634" s="1168"/>
      <c r="T634" s="1168"/>
      <c r="U634" s="1168"/>
      <c r="V634" s="1168"/>
      <c r="W634" s="1168"/>
      <c r="X634" s="1168"/>
      <c r="Y634" s="1168"/>
      <c r="Z634" s="1168"/>
      <c r="AA634" s="1168"/>
      <c r="AB634" s="1168"/>
      <c r="AC634" s="1168"/>
      <c r="AD634" s="1168"/>
      <c r="AE634" s="1168"/>
      <c r="AF634" s="1168"/>
    </row>
    <row r="635" spans="1:32" s="192" customFormat="1" ht="61.5" customHeight="1" x14ac:dyDescent="0.25">
      <c r="A635" s="517" t="s">
        <v>1013</v>
      </c>
      <c r="B635" s="1168" t="s">
        <v>2022</v>
      </c>
      <c r="C635" s="1168"/>
      <c r="D635" s="1168"/>
      <c r="E635" s="1168"/>
      <c r="F635" s="1168"/>
      <c r="G635" s="1168"/>
      <c r="H635" s="1168"/>
      <c r="I635" s="1168"/>
      <c r="J635" s="1168"/>
      <c r="K635" s="1168"/>
      <c r="L635" s="1168"/>
      <c r="M635" s="1168"/>
      <c r="N635" s="1168"/>
      <c r="O635" s="1168"/>
      <c r="P635" s="1168"/>
      <c r="Q635" s="1168"/>
      <c r="R635" s="1168"/>
      <c r="S635" s="1168"/>
      <c r="T635" s="1168"/>
      <c r="U635" s="1168"/>
      <c r="V635" s="1168"/>
      <c r="W635" s="1168"/>
      <c r="X635" s="1168"/>
      <c r="Y635" s="1168"/>
      <c r="Z635" s="1168"/>
      <c r="AA635" s="1168"/>
      <c r="AB635" s="1168"/>
      <c r="AC635" s="1168"/>
      <c r="AD635" s="1168"/>
      <c r="AE635" s="1168"/>
      <c r="AF635" s="1168"/>
    </row>
    <row r="636" spans="1:32" s="192" customFormat="1" ht="50.1" customHeight="1" x14ac:dyDescent="0.25">
      <c r="A636" s="517" t="s">
        <v>1013</v>
      </c>
      <c r="B636" s="1168" t="s">
        <v>2027</v>
      </c>
      <c r="C636" s="1168"/>
      <c r="D636" s="1168"/>
      <c r="E636" s="1168"/>
      <c r="F636" s="1168"/>
      <c r="G636" s="1168"/>
      <c r="H636" s="1168"/>
      <c r="I636" s="1168"/>
      <c r="J636" s="1168"/>
      <c r="K636" s="1168"/>
      <c r="L636" s="1168"/>
      <c r="M636" s="1168"/>
      <c r="N636" s="1168"/>
      <c r="O636" s="1168"/>
      <c r="P636" s="1168"/>
      <c r="Q636" s="1168"/>
      <c r="R636" s="1168"/>
      <c r="S636" s="1168"/>
      <c r="T636" s="1168"/>
      <c r="U636" s="1168"/>
      <c r="V636" s="1168"/>
      <c r="W636" s="1168"/>
      <c r="X636" s="1168"/>
      <c r="Y636" s="1168"/>
      <c r="Z636" s="1168"/>
      <c r="AA636" s="1168"/>
      <c r="AB636" s="1168"/>
      <c r="AC636" s="1168"/>
      <c r="AD636" s="1168"/>
      <c r="AE636" s="1168"/>
      <c r="AF636" s="1168"/>
    </row>
    <row r="637" spans="1:32" s="192" customFormat="1" x14ac:dyDescent="0.25"/>
  </sheetData>
  <sheetProtection algorithmName="SHA-512" hashValue="wX6K+4oVg8p2BlEdybOlYTF4l/ZUPuB1cMQZbxLMNVntI42eLg7are19cE3dGf8n6iL6gZj1aDFonuXRWlDbNA==" saltValue="1NqVp213Dhpz7ehedaGDGA==" spinCount="100000" sheet="1" objects="1" scenarios="1"/>
  <mergeCells count="2771">
    <mergeCell ref="R225:W225"/>
    <mergeCell ref="B226:K226"/>
    <mergeCell ref="L226:AG226"/>
    <mergeCell ref="B227:K227"/>
    <mergeCell ref="L227:V227"/>
    <mergeCell ref="W227:AG227"/>
    <mergeCell ref="A240:F240"/>
    <mergeCell ref="A239:F239"/>
    <mergeCell ref="A238:F238"/>
    <mergeCell ref="A237:F237"/>
    <mergeCell ref="A236:F236"/>
    <mergeCell ref="A235:F235"/>
    <mergeCell ref="B215:K215"/>
    <mergeCell ref="L215:W215"/>
    <mergeCell ref="B216:K216"/>
    <mergeCell ref="L216:Q216"/>
    <mergeCell ref="R216:W216"/>
    <mergeCell ref="B217:K217"/>
    <mergeCell ref="L217:Q217"/>
    <mergeCell ref="R217:W217"/>
    <mergeCell ref="B218:K218"/>
    <mergeCell ref="L218:Q218"/>
    <mergeCell ref="R218:W218"/>
    <mergeCell ref="B219:K219"/>
    <mergeCell ref="L219:Q219"/>
    <mergeCell ref="R219:W219"/>
    <mergeCell ref="B220:K220"/>
    <mergeCell ref="L220:Q220"/>
    <mergeCell ref="R220:W220"/>
    <mergeCell ref="B221:K221"/>
    <mergeCell ref="L221:Q221"/>
    <mergeCell ref="R221:W221"/>
    <mergeCell ref="A271:F271"/>
    <mergeCell ref="A270:F270"/>
    <mergeCell ref="A261:F261"/>
    <mergeCell ref="A260:F260"/>
    <mergeCell ref="A259:F259"/>
    <mergeCell ref="A258:F258"/>
    <mergeCell ref="A257:F257"/>
    <mergeCell ref="A256:F256"/>
    <mergeCell ref="A255:F255"/>
    <mergeCell ref="A254:F254"/>
    <mergeCell ref="A253:F253"/>
    <mergeCell ref="A246:F246"/>
    <mergeCell ref="A245:F245"/>
    <mergeCell ref="A244:F244"/>
    <mergeCell ref="A243:F243"/>
    <mergeCell ref="A242:F242"/>
    <mergeCell ref="A241:F241"/>
    <mergeCell ref="A311:F311"/>
    <mergeCell ref="A310:F310"/>
    <mergeCell ref="A294:F294"/>
    <mergeCell ref="A293:F293"/>
    <mergeCell ref="A292:F292"/>
    <mergeCell ref="A291:F291"/>
    <mergeCell ref="A290:F290"/>
    <mergeCell ref="A289:F289"/>
    <mergeCell ref="A288:F288"/>
    <mergeCell ref="A287:F287"/>
    <mergeCell ref="A286:F286"/>
    <mergeCell ref="A285:F285"/>
    <mergeCell ref="A284:F284"/>
    <mergeCell ref="A283:F283"/>
    <mergeCell ref="A277:F277"/>
    <mergeCell ref="A276:F276"/>
    <mergeCell ref="A334:F334"/>
    <mergeCell ref="A317:F317"/>
    <mergeCell ref="A318:F318"/>
    <mergeCell ref="A319:F319"/>
    <mergeCell ref="A320:F320"/>
    <mergeCell ref="A321:F321"/>
    <mergeCell ref="A322:F322"/>
    <mergeCell ref="A323:F323"/>
    <mergeCell ref="A324:F324"/>
    <mergeCell ref="A327:F327"/>
    <mergeCell ref="A325:F325"/>
    <mergeCell ref="A326:F326"/>
    <mergeCell ref="A301:F301"/>
    <mergeCell ref="A302:F302"/>
    <mergeCell ref="A371:F371"/>
    <mergeCell ref="A370:F370"/>
    <mergeCell ref="A367:F367"/>
    <mergeCell ref="A366:F366"/>
    <mergeCell ref="A360:F360"/>
    <mergeCell ref="A359:F359"/>
    <mergeCell ref="A358:F358"/>
    <mergeCell ref="A357:F357"/>
    <mergeCell ref="A356:F356"/>
    <mergeCell ref="A355:F355"/>
    <mergeCell ref="A354:F354"/>
    <mergeCell ref="A353:F353"/>
    <mergeCell ref="A352:F352"/>
    <mergeCell ref="A351:F351"/>
    <mergeCell ref="A345:F345"/>
    <mergeCell ref="A344:F344"/>
    <mergeCell ref="A343:F343"/>
    <mergeCell ref="A361:F361"/>
    <mergeCell ref="A401:F401"/>
    <mergeCell ref="A393:F393"/>
    <mergeCell ref="A392:F392"/>
    <mergeCell ref="A391:F391"/>
    <mergeCell ref="A390:F390"/>
    <mergeCell ref="A389:F389"/>
    <mergeCell ref="A388:F388"/>
    <mergeCell ref="A387:F387"/>
    <mergeCell ref="A386:F386"/>
    <mergeCell ref="A385:F385"/>
    <mergeCell ref="A384:F384"/>
    <mergeCell ref="A383:F383"/>
    <mergeCell ref="A377:F377"/>
    <mergeCell ref="A376:F376"/>
    <mergeCell ref="A375:F375"/>
    <mergeCell ref="A374:F374"/>
    <mergeCell ref="A373:F373"/>
    <mergeCell ref="B634:AF634"/>
    <mergeCell ref="B635:AF635"/>
    <mergeCell ref="B636:AF636"/>
    <mergeCell ref="A557:F557"/>
    <mergeCell ref="A556:F556"/>
    <mergeCell ref="A550:F550"/>
    <mergeCell ref="A532:F532"/>
    <mergeCell ref="A531:F531"/>
    <mergeCell ref="A530:F530"/>
    <mergeCell ref="A521:F521"/>
    <mergeCell ref="A520:F520"/>
    <mergeCell ref="A518:F518"/>
    <mergeCell ref="A517:F517"/>
    <mergeCell ref="A516:F516"/>
    <mergeCell ref="A515:F515"/>
    <mergeCell ref="A514:F514"/>
    <mergeCell ref="A508:AL508"/>
    <mergeCell ref="B625:AF625"/>
    <mergeCell ref="B626:AF626"/>
    <mergeCell ref="B627:AF627"/>
    <mergeCell ref="B628:AF628"/>
    <mergeCell ref="B629:AF629"/>
    <mergeCell ref="B630:AF630"/>
    <mergeCell ref="B631:AF631"/>
    <mergeCell ref="B632:AF632"/>
    <mergeCell ref="B633:AF633"/>
    <mergeCell ref="B614:AF614"/>
    <mergeCell ref="B615:AF615"/>
    <mergeCell ref="G602:L602"/>
    <mergeCell ref="M602:R602"/>
    <mergeCell ref="S602:X602"/>
    <mergeCell ref="Y602:AD602"/>
    <mergeCell ref="A507:B507"/>
    <mergeCell ref="A506:F506"/>
    <mergeCell ref="A505:F505"/>
    <mergeCell ref="A486:F486"/>
    <mergeCell ref="A485:F485"/>
    <mergeCell ref="A482:F482"/>
    <mergeCell ref="A481:F481"/>
    <mergeCell ref="A480:F480"/>
    <mergeCell ref="A479:F479"/>
    <mergeCell ref="B617:AF617"/>
    <mergeCell ref="B618:AF618"/>
    <mergeCell ref="B619:AF619"/>
    <mergeCell ref="B620:AF620"/>
    <mergeCell ref="B621:AF621"/>
    <mergeCell ref="B622:AF622"/>
    <mergeCell ref="B623:AF623"/>
    <mergeCell ref="B624:AF624"/>
    <mergeCell ref="G606:L606"/>
    <mergeCell ref="M606:R606"/>
    <mergeCell ref="S606:X606"/>
    <mergeCell ref="Y606:AD606"/>
    <mergeCell ref="AE606:AJ606"/>
    <mergeCell ref="A607:F607"/>
    <mergeCell ref="G607:L607"/>
    <mergeCell ref="M607:R607"/>
    <mergeCell ref="S607:X607"/>
    <mergeCell ref="Y607:AD607"/>
    <mergeCell ref="AE607:AJ607"/>
    <mergeCell ref="A609:AF609"/>
    <mergeCell ref="B611:AF611"/>
    <mergeCell ref="B612:AF612"/>
    <mergeCell ref="B613:AF613"/>
    <mergeCell ref="AE602:AJ602"/>
    <mergeCell ref="G603:L603"/>
    <mergeCell ref="M603:R603"/>
    <mergeCell ref="S603:X603"/>
    <mergeCell ref="Y603:AD603"/>
    <mergeCell ref="AE603:AJ603"/>
    <mergeCell ref="G604:L604"/>
    <mergeCell ref="M604:R604"/>
    <mergeCell ref="S604:X604"/>
    <mergeCell ref="Y604:AD604"/>
    <mergeCell ref="AE604:AJ604"/>
    <mergeCell ref="G605:L605"/>
    <mergeCell ref="M605:R605"/>
    <mergeCell ref="S605:X605"/>
    <mergeCell ref="Y605:AD605"/>
    <mergeCell ref="AE605:AJ605"/>
    <mergeCell ref="G598:L598"/>
    <mergeCell ref="M598:R598"/>
    <mergeCell ref="S598:X598"/>
    <mergeCell ref="Y598:AD598"/>
    <mergeCell ref="AE598:AJ598"/>
    <mergeCell ref="G599:L599"/>
    <mergeCell ref="M599:R599"/>
    <mergeCell ref="S599:X599"/>
    <mergeCell ref="Y599:AD599"/>
    <mergeCell ref="AE599:AJ599"/>
    <mergeCell ref="G600:L600"/>
    <mergeCell ref="M600:R600"/>
    <mergeCell ref="S600:X600"/>
    <mergeCell ref="Y600:AD600"/>
    <mergeCell ref="AE600:AJ600"/>
    <mergeCell ref="G601:L601"/>
    <mergeCell ref="M601:R601"/>
    <mergeCell ref="S601:X601"/>
    <mergeCell ref="Y601:AD601"/>
    <mergeCell ref="AE601:AJ601"/>
    <mergeCell ref="G590:I590"/>
    <mergeCell ref="J590:L590"/>
    <mergeCell ref="M590:O590"/>
    <mergeCell ref="P590:R590"/>
    <mergeCell ref="S590:U590"/>
    <mergeCell ref="V590:X590"/>
    <mergeCell ref="Y590:AA590"/>
    <mergeCell ref="AB590:AD590"/>
    <mergeCell ref="AE590:AG590"/>
    <mergeCell ref="AH590:AJ590"/>
    <mergeCell ref="G595:AJ595"/>
    <mergeCell ref="G596:L596"/>
    <mergeCell ref="M596:R596"/>
    <mergeCell ref="S596:X596"/>
    <mergeCell ref="Y596:AD596"/>
    <mergeCell ref="AE596:AJ596"/>
    <mergeCell ref="G597:L597"/>
    <mergeCell ref="M597:R597"/>
    <mergeCell ref="S597:X597"/>
    <mergeCell ref="Y597:AD597"/>
    <mergeCell ref="AE597:AJ597"/>
    <mergeCell ref="G588:I588"/>
    <mergeCell ref="J588:L588"/>
    <mergeCell ref="M588:O588"/>
    <mergeCell ref="P588:R588"/>
    <mergeCell ref="S588:U588"/>
    <mergeCell ref="V588:X588"/>
    <mergeCell ref="Y588:AA588"/>
    <mergeCell ref="AB588:AD588"/>
    <mergeCell ref="AE588:AG588"/>
    <mergeCell ref="AH588:AJ588"/>
    <mergeCell ref="G589:I589"/>
    <mergeCell ref="J589:L589"/>
    <mergeCell ref="M589:O589"/>
    <mergeCell ref="P589:R589"/>
    <mergeCell ref="S589:U589"/>
    <mergeCell ref="V589:X589"/>
    <mergeCell ref="Y589:AA589"/>
    <mergeCell ref="AB589:AD589"/>
    <mergeCell ref="AE589:AG589"/>
    <mergeCell ref="AH589:AJ589"/>
    <mergeCell ref="G586:I586"/>
    <mergeCell ref="J586:L586"/>
    <mergeCell ref="M586:O586"/>
    <mergeCell ref="P586:R586"/>
    <mergeCell ref="S586:U586"/>
    <mergeCell ref="V586:X586"/>
    <mergeCell ref="Y586:AA586"/>
    <mergeCell ref="AB586:AD586"/>
    <mergeCell ref="AE586:AG586"/>
    <mergeCell ref="AH586:AJ586"/>
    <mergeCell ref="G587:I587"/>
    <mergeCell ref="J587:L587"/>
    <mergeCell ref="M587:O587"/>
    <mergeCell ref="P587:R587"/>
    <mergeCell ref="S587:U587"/>
    <mergeCell ref="V587:X587"/>
    <mergeCell ref="Y587:AA587"/>
    <mergeCell ref="AB587:AD587"/>
    <mergeCell ref="AE587:AG587"/>
    <mergeCell ref="AH587:AJ587"/>
    <mergeCell ref="AB583:AD583"/>
    <mergeCell ref="AE583:AG583"/>
    <mergeCell ref="AH583:AJ583"/>
    <mergeCell ref="G584:I584"/>
    <mergeCell ref="J584:L584"/>
    <mergeCell ref="M584:O584"/>
    <mergeCell ref="P584:R584"/>
    <mergeCell ref="S584:U584"/>
    <mergeCell ref="V584:X584"/>
    <mergeCell ref="Y584:AA584"/>
    <mergeCell ref="AB584:AD584"/>
    <mergeCell ref="AE584:AG584"/>
    <mergeCell ref="AH584:AJ584"/>
    <mergeCell ref="G585:I585"/>
    <mergeCell ref="J585:L585"/>
    <mergeCell ref="M585:O585"/>
    <mergeCell ref="P585:R585"/>
    <mergeCell ref="S585:U585"/>
    <mergeCell ref="V585:X585"/>
    <mergeCell ref="Y585:AA585"/>
    <mergeCell ref="AB585:AD585"/>
    <mergeCell ref="AE585:AG585"/>
    <mergeCell ref="AH585:AJ585"/>
    <mergeCell ref="G583:I583"/>
    <mergeCell ref="J583:L583"/>
    <mergeCell ref="M583:O583"/>
    <mergeCell ref="P583:R583"/>
    <mergeCell ref="S583:U583"/>
    <mergeCell ref="V583:X583"/>
    <mergeCell ref="Y583:AA583"/>
    <mergeCell ref="AE580:AG580"/>
    <mergeCell ref="AH580:AJ580"/>
    <mergeCell ref="G581:I581"/>
    <mergeCell ref="J581:L581"/>
    <mergeCell ref="M581:O581"/>
    <mergeCell ref="P581:R581"/>
    <mergeCell ref="S581:U581"/>
    <mergeCell ref="V581:X581"/>
    <mergeCell ref="Y581:AA581"/>
    <mergeCell ref="AB581:AD581"/>
    <mergeCell ref="AE581:AG581"/>
    <mergeCell ref="AH581:AJ581"/>
    <mergeCell ref="G582:I582"/>
    <mergeCell ref="J582:L582"/>
    <mergeCell ref="M582:O582"/>
    <mergeCell ref="P582:R582"/>
    <mergeCell ref="S582:U582"/>
    <mergeCell ref="V582:X582"/>
    <mergeCell ref="Y582:AA582"/>
    <mergeCell ref="AB582:AD582"/>
    <mergeCell ref="AE582:AG582"/>
    <mergeCell ref="AH582:AJ582"/>
    <mergeCell ref="S580:U580"/>
    <mergeCell ref="V580:X580"/>
    <mergeCell ref="Y580:AA580"/>
    <mergeCell ref="AB580:AD580"/>
    <mergeCell ref="G568:R568"/>
    <mergeCell ref="G569:R569"/>
    <mergeCell ref="G570:R570"/>
    <mergeCell ref="G571:R571"/>
    <mergeCell ref="G572:R572"/>
    <mergeCell ref="G573:R573"/>
    <mergeCell ref="G578:U578"/>
    <mergeCell ref="V578:AJ578"/>
    <mergeCell ref="G579:I579"/>
    <mergeCell ref="J579:L579"/>
    <mergeCell ref="M579:O579"/>
    <mergeCell ref="P579:R579"/>
    <mergeCell ref="S579:U579"/>
    <mergeCell ref="V579:X579"/>
    <mergeCell ref="Y579:AA579"/>
    <mergeCell ref="AB579:AD579"/>
    <mergeCell ref="AE579:AG579"/>
    <mergeCell ref="AH579:AJ579"/>
    <mergeCell ref="S553:AD553"/>
    <mergeCell ref="G554:R554"/>
    <mergeCell ref="S554:AD554"/>
    <mergeCell ref="G555:R555"/>
    <mergeCell ref="S555:AD555"/>
    <mergeCell ref="G556:R556"/>
    <mergeCell ref="S556:AD556"/>
    <mergeCell ref="G557:R557"/>
    <mergeCell ref="S557:AD557"/>
    <mergeCell ref="G562:R562"/>
    <mergeCell ref="G563:R563"/>
    <mergeCell ref="G564:R564"/>
    <mergeCell ref="G565:R565"/>
    <mergeCell ref="G566:R566"/>
    <mergeCell ref="G567:R567"/>
    <mergeCell ref="G541:J541"/>
    <mergeCell ref="K541:N541"/>
    <mergeCell ref="O541:R541"/>
    <mergeCell ref="S541:V541"/>
    <mergeCell ref="G546:R546"/>
    <mergeCell ref="S546:AD546"/>
    <mergeCell ref="G547:R547"/>
    <mergeCell ref="S547:AD547"/>
    <mergeCell ref="G548:R548"/>
    <mergeCell ref="S548:AD548"/>
    <mergeCell ref="G549:R549"/>
    <mergeCell ref="S549:AD549"/>
    <mergeCell ref="G550:R550"/>
    <mergeCell ref="S550:AD550"/>
    <mergeCell ref="G551:R551"/>
    <mergeCell ref="S551:AD551"/>
    <mergeCell ref="G552:R552"/>
    <mergeCell ref="S552:AD552"/>
    <mergeCell ref="A524:F524"/>
    <mergeCell ref="G524:J524"/>
    <mergeCell ref="K524:N524"/>
    <mergeCell ref="O524:R524"/>
    <mergeCell ref="S524:V524"/>
    <mergeCell ref="W524:Z524"/>
    <mergeCell ref="AA524:AD524"/>
    <mergeCell ref="AE524:AH524"/>
    <mergeCell ref="AI524:AL524"/>
    <mergeCell ref="G529:V529"/>
    <mergeCell ref="A538:F538"/>
    <mergeCell ref="G538:J538"/>
    <mergeCell ref="K538:N538"/>
    <mergeCell ref="O538:R538"/>
    <mergeCell ref="S538:V538"/>
    <mergeCell ref="A539:F539"/>
    <mergeCell ref="G539:J539"/>
    <mergeCell ref="K539:N539"/>
    <mergeCell ref="O539:R539"/>
    <mergeCell ref="S539:V539"/>
    <mergeCell ref="O530:R530"/>
    <mergeCell ref="S530:V530"/>
    <mergeCell ref="O531:R531"/>
    <mergeCell ref="S531:V531"/>
    <mergeCell ref="O532:R532"/>
    <mergeCell ref="S532:V532"/>
    <mergeCell ref="O533:R533"/>
    <mergeCell ref="S533:V533"/>
    <mergeCell ref="O534:R534"/>
    <mergeCell ref="S534:V534"/>
    <mergeCell ref="O535:R535"/>
    <mergeCell ref="G512:V512"/>
    <mergeCell ref="W512:AL512"/>
    <mergeCell ref="G520:J520"/>
    <mergeCell ref="K520:N520"/>
    <mergeCell ref="O520:R520"/>
    <mergeCell ref="S520:V520"/>
    <mergeCell ref="W520:Z520"/>
    <mergeCell ref="AA520:AD520"/>
    <mergeCell ref="AE520:AH520"/>
    <mergeCell ref="AI520:AL520"/>
    <mergeCell ref="G521:J521"/>
    <mergeCell ref="K521:N521"/>
    <mergeCell ref="O521:R521"/>
    <mergeCell ref="S521:V521"/>
    <mergeCell ref="W521:Z521"/>
    <mergeCell ref="AA521:AD521"/>
    <mergeCell ref="AE521:AH521"/>
    <mergeCell ref="AI521:AL521"/>
    <mergeCell ref="W519:Z519"/>
    <mergeCell ref="AA519:AD519"/>
    <mergeCell ref="AE519:AH519"/>
    <mergeCell ref="AI519:AL519"/>
    <mergeCell ref="AA516:AD516"/>
    <mergeCell ref="W515:Z515"/>
    <mergeCell ref="AA515:AD515"/>
    <mergeCell ref="AE515:AH515"/>
    <mergeCell ref="AA518:AD518"/>
    <mergeCell ref="W517:Z517"/>
    <mergeCell ref="G518:J518"/>
    <mergeCell ref="K518:N518"/>
    <mergeCell ref="W518:Z518"/>
    <mergeCell ref="AE518:AH518"/>
    <mergeCell ref="O505:R505"/>
    <mergeCell ref="S505:V505"/>
    <mergeCell ref="W505:Z505"/>
    <mergeCell ref="AA505:AD505"/>
    <mergeCell ref="G506:J506"/>
    <mergeCell ref="K506:N506"/>
    <mergeCell ref="O506:R506"/>
    <mergeCell ref="S506:V506"/>
    <mergeCell ref="W506:Z506"/>
    <mergeCell ref="AA506:AD506"/>
    <mergeCell ref="A489:B489"/>
    <mergeCell ref="C489:AD489"/>
    <mergeCell ref="G494:AD494"/>
    <mergeCell ref="W495:Z495"/>
    <mergeCell ref="AA495:AD495"/>
    <mergeCell ref="W496:Z496"/>
    <mergeCell ref="AA496:AD496"/>
    <mergeCell ref="W497:Z497"/>
    <mergeCell ref="AA497:AD497"/>
    <mergeCell ref="W498:Z498"/>
    <mergeCell ref="AA498:AD498"/>
    <mergeCell ref="W499:Z499"/>
    <mergeCell ref="AA499:AD499"/>
    <mergeCell ref="W500:Z500"/>
    <mergeCell ref="AA500:AD500"/>
    <mergeCell ref="W501:Z501"/>
    <mergeCell ref="AA501:AD501"/>
    <mergeCell ref="K499:N499"/>
    <mergeCell ref="O499:R499"/>
    <mergeCell ref="S497:V497"/>
    <mergeCell ref="A478:F478"/>
    <mergeCell ref="A477:F477"/>
    <mergeCell ref="A487:F487"/>
    <mergeCell ref="G487:J487"/>
    <mergeCell ref="K487:N487"/>
    <mergeCell ref="O487:R487"/>
    <mergeCell ref="S487:V487"/>
    <mergeCell ref="W487:Z487"/>
    <mergeCell ref="AA487:AD487"/>
    <mergeCell ref="AE487:AH487"/>
    <mergeCell ref="AI487:AL487"/>
    <mergeCell ref="AM487:AP487"/>
    <mergeCell ref="AQ487:AT487"/>
    <mergeCell ref="AU487:AX487"/>
    <mergeCell ref="AY487:BB487"/>
    <mergeCell ref="A488:F488"/>
    <mergeCell ref="G488:J488"/>
    <mergeCell ref="K488:N488"/>
    <mergeCell ref="O488:R488"/>
    <mergeCell ref="S488:V488"/>
    <mergeCell ref="W488:Z488"/>
    <mergeCell ref="AA488:AD488"/>
    <mergeCell ref="AE488:AH488"/>
    <mergeCell ref="AI488:AL488"/>
    <mergeCell ref="AM488:AP488"/>
    <mergeCell ref="AQ488:AT488"/>
    <mergeCell ref="AU488:AX488"/>
    <mergeCell ref="AY488:BB488"/>
    <mergeCell ref="AM483:AP483"/>
    <mergeCell ref="AQ483:AT483"/>
    <mergeCell ref="AU483:AX483"/>
    <mergeCell ref="AY483:BB483"/>
    <mergeCell ref="AM484:AP484"/>
    <mergeCell ref="AQ484:AT484"/>
    <mergeCell ref="AU484:AX484"/>
    <mergeCell ref="AY484:BB484"/>
    <mergeCell ref="AM485:AP485"/>
    <mergeCell ref="AQ485:AT485"/>
    <mergeCell ref="AU485:AX485"/>
    <mergeCell ref="AY485:BB485"/>
    <mergeCell ref="G486:J486"/>
    <mergeCell ref="K486:N486"/>
    <mergeCell ref="O486:R486"/>
    <mergeCell ref="S486:V486"/>
    <mergeCell ref="W486:Z486"/>
    <mergeCell ref="AA486:AD486"/>
    <mergeCell ref="AE486:AH486"/>
    <mergeCell ref="AI486:AL486"/>
    <mergeCell ref="AM486:AP486"/>
    <mergeCell ref="AQ486:AT486"/>
    <mergeCell ref="AU486:AX486"/>
    <mergeCell ref="AY486:BB486"/>
    <mergeCell ref="W485:Z485"/>
    <mergeCell ref="AA485:AD485"/>
    <mergeCell ref="AM478:AP478"/>
    <mergeCell ref="AQ478:AT478"/>
    <mergeCell ref="AU478:AX478"/>
    <mergeCell ref="AY478:BB478"/>
    <mergeCell ref="AM479:AP479"/>
    <mergeCell ref="AQ479:AT479"/>
    <mergeCell ref="AU479:AX479"/>
    <mergeCell ref="AY479:BB479"/>
    <mergeCell ref="AM480:AP480"/>
    <mergeCell ref="AQ480:AT480"/>
    <mergeCell ref="AU480:AX480"/>
    <mergeCell ref="AY480:BB480"/>
    <mergeCell ref="AM481:AP481"/>
    <mergeCell ref="AQ481:AT481"/>
    <mergeCell ref="AU481:AX481"/>
    <mergeCell ref="AY481:BB481"/>
    <mergeCell ref="AM482:AP482"/>
    <mergeCell ref="AQ482:AT482"/>
    <mergeCell ref="AU482:AX482"/>
    <mergeCell ref="AY482:BB482"/>
    <mergeCell ref="A471:F471"/>
    <mergeCell ref="G471:J471"/>
    <mergeCell ref="K471:N471"/>
    <mergeCell ref="O471:R471"/>
    <mergeCell ref="S471:V471"/>
    <mergeCell ref="A472:AL472"/>
    <mergeCell ref="G476:AD476"/>
    <mergeCell ref="AE476:BB476"/>
    <mergeCell ref="AM477:AP477"/>
    <mergeCell ref="AQ477:AT477"/>
    <mergeCell ref="AU477:AX477"/>
    <mergeCell ref="AY477:BB477"/>
    <mergeCell ref="AE477:AH477"/>
    <mergeCell ref="AI477:AL477"/>
    <mergeCell ref="G477:J477"/>
    <mergeCell ref="K477:N477"/>
    <mergeCell ref="O477:R477"/>
    <mergeCell ref="S477:V477"/>
    <mergeCell ref="W477:Z477"/>
    <mergeCell ref="AA477:AD477"/>
    <mergeCell ref="O467:R467"/>
    <mergeCell ref="S467:V467"/>
    <mergeCell ref="A468:F468"/>
    <mergeCell ref="G468:J468"/>
    <mergeCell ref="K468:N468"/>
    <mergeCell ref="O468:R468"/>
    <mergeCell ref="S468:V468"/>
    <mergeCell ref="A469:F469"/>
    <mergeCell ref="G469:J469"/>
    <mergeCell ref="K469:N469"/>
    <mergeCell ref="O469:R469"/>
    <mergeCell ref="S469:V469"/>
    <mergeCell ref="A470:F470"/>
    <mergeCell ref="G470:J470"/>
    <mergeCell ref="K470:N470"/>
    <mergeCell ref="O470:R470"/>
    <mergeCell ref="S470:V470"/>
    <mergeCell ref="S462:V462"/>
    <mergeCell ref="A463:F463"/>
    <mergeCell ref="G463:J463"/>
    <mergeCell ref="K463:N463"/>
    <mergeCell ref="O463:R463"/>
    <mergeCell ref="S463:V463"/>
    <mergeCell ref="A464:F464"/>
    <mergeCell ref="G464:J464"/>
    <mergeCell ref="K464:N464"/>
    <mergeCell ref="O464:R464"/>
    <mergeCell ref="S464:V464"/>
    <mergeCell ref="A465:F465"/>
    <mergeCell ref="G465:J465"/>
    <mergeCell ref="K465:N465"/>
    <mergeCell ref="O465:R465"/>
    <mergeCell ref="S465:V465"/>
    <mergeCell ref="A466:F466"/>
    <mergeCell ref="G466:J466"/>
    <mergeCell ref="K466:N466"/>
    <mergeCell ref="O466:R466"/>
    <mergeCell ref="S466:V466"/>
    <mergeCell ref="A447:F447"/>
    <mergeCell ref="G447:J447"/>
    <mergeCell ref="K447:N447"/>
    <mergeCell ref="O447:R447"/>
    <mergeCell ref="S447:V447"/>
    <mergeCell ref="W447:Z447"/>
    <mergeCell ref="AA447:AD447"/>
    <mergeCell ref="AE447:AH447"/>
    <mergeCell ref="AI447:AL447"/>
    <mergeCell ref="G459:V459"/>
    <mergeCell ref="A460:F460"/>
    <mergeCell ref="G460:J460"/>
    <mergeCell ref="K460:N460"/>
    <mergeCell ref="O460:R460"/>
    <mergeCell ref="S460:V460"/>
    <mergeCell ref="A461:F461"/>
    <mergeCell ref="G461:J461"/>
    <mergeCell ref="K461:N461"/>
    <mergeCell ref="O461:R461"/>
    <mergeCell ref="S461:V461"/>
    <mergeCell ref="A448:F448"/>
    <mergeCell ref="G448:J448"/>
    <mergeCell ref="K448:N448"/>
    <mergeCell ref="O448:R448"/>
    <mergeCell ref="S448:V448"/>
    <mergeCell ref="W448:Z448"/>
    <mergeCell ref="AA448:AD448"/>
    <mergeCell ref="AE448:AH448"/>
    <mergeCell ref="AI448:AL448"/>
    <mergeCell ref="A449:F449"/>
    <mergeCell ref="G449:J449"/>
    <mergeCell ref="K449:N449"/>
    <mergeCell ref="A446:F446"/>
    <mergeCell ref="A445:F445"/>
    <mergeCell ref="K444:N444"/>
    <mergeCell ref="O444:R444"/>
    <mergeCell ref="S444:V444"/>
    <mergeCell ref="W444:Z444"/>
    <mergeCell ref="AA444:AD444"/>
    <mergeCell ref="AE444:AH444"/>
    <mergeCell ref="AI444:AL444"/>
    <mergeCell ref="G445:J445"/>
    <mergeCell ref="K445:N445"/>
    <mergeCell ref="O445:R445"/>
    <mergeCell ref="S445:V445"/>
    <mergeCell ref="W445:Z445"/>
    <mergeCell ref="AA445:AD445"/>
    <mergeCell ref="AE445:AH445"/>
    <mergeCell ref="AI445:AL445"/>
    <mergeCell ref="G446:J446"/>
    <mergeCell ref="K446:N446"/>
    <mergeCell ref="O446:R446"/>
    <mergeCell ref="S446:V446"/>
    <mergeCell ref="W446:Z446"/>
    <mergeCell ref="AA446:AD446"/>
    <mergeCell ref="AE446:AH446"/>
    <mergeCell ref="AI446:AL446"/>
    <mergeCell ref="A428:F428"/>
    <mergeCell ref="G428:J428"/>
    <mergeCell ref="K428:N428"/>
    <mergeCell ref="O428:R428"/>
    <mergeCell ref="S428:V428"/>
    <mergeCell ref="W428:Z428"/>
    <mergeCell ref="AA428:AD428"/>
    <mergeCell ref="AE428:AH428"/>
    <mergeCell ref="AI428:AL428"/>
    <mergeCell ref="A429:F429"/>
    <mergeCell ref="G429:J429"/>
    <mergeCell ref="K429:N429"/>
    <mergeCell ref="O429:R429"/>
    <mergeCell ref="S429:V429"/>
    <mergeCell ref="W429:Z429"/>
    <mergeCell ref="AA429:AD429"/>
    <mergeCell ref="AE429:AH429"/>
    <mergeCell ref="AI429:AL429"/>
    <mergeCell ref="A419:F419"/>
    <mergeCell ref="A414:AL414"/>
    <mergeCell ref="G417:AL417"/>
    <mergeCell ref="A426:F426"/>
    <mergeCell ref="G426:J426"/>
    <mergeCell ref="K426:N426"/>
    <mergeCell ref="O426:R426"/>
    <mergeCell ref="S426:V426"/>
    <mergeCell ref="W426:Z426"/>
    <mergeCell ref="AA426:AD426"/>
    <mergeCell ref="AE426:AH426"/>
    <mergeCell ref="AI426:AL426"/>
    <mergeCell ref="A427:F427"/>
    <mergeCell ref="G427:J427"/>
    <mergeCell ref="K427:N427"/>
    <mergeCell ref="O427:R427"/>
    <mergeCell ref="S427:V427"/>
    <mergeCell ref="W427:Z427"/>
    <mergeCell ref="AA427:AD427"/>
    <mergeCell ref="AE427:AH427"/>
    <mergeCell ref="AI427:AL427"/>
    <mergeCell ref="A425:F425"/>
    <mergeCell ref="G425:J425"/>
    <mergeCell ref="K425:N425"/>
    <mergeCell ref="O425:R425"/>
    <mergeCell ref="S425:V425"/>
    <mergeCell ref="W425:Z425"/>
    <mergeCell ref="AA425:AD425"/>
    <mergeCell ref="AE425:AH425"/>
    <mergeCell ref="AI425:AL425"/>
    <mergeCell ref="A418:F418"/>
    <mergeCell ref="G418:J418"/>
    <mergeCell ref="A412:F412"/>
    <mergeCell ref="A411:F411"/>
    <mergeCell ref="A409:F409"/>
    <mergeCell ref="A404:F404"/>
    <mergeCell ref="A403:F403"/>
    <mergeCell ref="A402:F402"/>
    <mergeCell ref="S410:V410"/>
    <mergeCell ref="W410:Z410"/>
    <mergeCell ref="AA410:AD410"/>
    <mergeCell ref="AE410:AH410"/>
    <mergeCell ref="AI410:AL410"/>
    <mergeCell ref="G411:J411"/>
    <mergeCell ref="K411:N411"/>
    <mergeCell ref="O411:R411"/>
    <mergeCell ref="S411:V411"/>
    <mergeCell ref="W411:Z411"/>
    <mergeCell ref="AA411:AD411"/>
    <mergeCell ref="AE411:AH411"/>
    <mergeCell ref="AI411:AL411"/>
    <mergeCell ref="G412:J412"/>
    <mergeCell ref="K412:N412"/>
    <mergeCell ref="O412:R412"/>
    <mergeCell ref="S412:V412"/>
    <mergeCell ref="W412:Z412"/>
    <mergeCell ref="AA412:AD412"/>
    <mergeCell ref="AE412:AH412"/>
    <mergeCell ref="AI412:AL412"/>
    <mergeCell ref="G407:J407"/>
    <mergeCell ref="K407:N407"/>
    <mergeCell ref="O407:R407"/>
    <mergeCell ref="S407:V407"/>
    <mergeCell ref="W407:Z407"/>
    <mergeCell ref="G382:AL382"/>
    <mergeCell ref="A394:F394"/>
    <mergeCell ref="G394:J394"/>
    <mergeCell ref="K394:N394"/>
    <mergeCell ref="O394:R394"/>
    <mergeCell ref="S394:V394"/>
    <mergeCell ref="W394:Z394"/>
    <mergeCell ref="AA394:AD394"/>
    <mergeCell ref="AE394:AH394"/>
    <mergeCell ref="AI394:AL394"/>
    <mergeCell ref="A395:AL395"/>
    <mergeCell ref="G400:AL400"/>
    <mergeCell ref="G409:J409"/>
    <mergeCell ref="K409:N409"/>
    <mergeCell ref="O409:R409"/>
    <mergeCell ref="S409:V409"/>
    <mergeCell ref="W409:Z409"/>
    <mergeCell ref="AA409:AD409"/>
    <mergeCell ref="AE409:AH409"/>
    <mergeCell ref="AI409:AL409"/>
    <mergeCell ref="W408:Z408"/>
    <mergeCell ref="AA408:AD408"/>
    <mergeCell ref="AE408:AH408"/>
    <mergeCell ref="AI408:AL408"/>
    <mergeCell ref="AE407:AH407"/>
    <mergeCell ref="AI407:AL407"/>
    <mergeCell ref="A408:F408"/>
    <mergeCell ref="G408:J408"/>
    <mergeCell ref="K408:N408"/>
    <mergeCell ref="O408:R408"/>
    <mergeCell ref="S408:V408"/>
    <mergeCell ref="A407:F407"/>
    <mergeCell ref="S374:V374"/>
    <mergeCell ref="W374:Z374"/>
    <mergeCell ref="AA374:AD374"/>
    <mergeCell ref="AE374:AH374"/>
    <mergeCell ref="AI374:AL374"/>
    <mergeCell ref="S375:V375"/>
    <mergeCell ref="W375:Z375"/>
    <mergeCell ref="AA375:AD375"/>
    <mergeCell ref="AE375:AH375"/>
    <mergeCell ref="AI375:AL375"/>
    <mergeCell ref="S376:V376"/>
    <mergeCell ref="W376:Z376"/>
    <mergeCell ref="AA376:AD376"/>
    <mergeCell ref="AE376:AH376"/>
    <mergeCell ref="AI376:AL376"/>
    <mergeCell ref="G377:J377"/>
    <mergeCell ref="K377:N377"/>
    <mergeCell ref="O377:R377"/>
    <mergeCell ref="S377:V377"/>
    <mergeCell ref="W377:Z377"/>
    <mergeCell ref="AA377:AD377"/>
    <mergeCell ref="AE377:AH377"/>
    <mergeCell ref="AI377:AL377"/>
    <mergeCell ref="S370:V370"/>
    <mergeCell ref="W370:Z370"/>
    <mergeCell ref="AA370:AD370"/>
    <mergeCell ref="AE370:AH370"/>
    <mergeCell ref="AI370:AL370"/>
    <mergeCell ref="S371:V371"/>
    <mergeCell ref="W371:Z371"/>
    <mergeCell ref="AA371:AD371"/>
    <mergeCell ref="AE371:AH371"/>
    <mergeCell ref="AI371:AL371"/>
    <mergeCell ref="S372:V372"/>
    <mergeCell ref="W372:Z372"/>
    <mergeCell ref="AA372:AD372"/>
    <mergeCell ref="AE372:AH372"/>
    <mergeCell ref="AI372:AL372"/>
    <mergeCell ref="S373:V373"/>
    <mergeCell ref="W373:Z373"/>
    <mergeCell ref="AA373:AD373"/>
    <mergeCell ref="AE373:AH373"/>
    <mergeCell ref="AI373:AL373"/>
    <mergeCell ref="G365:AL365"/>
    <mergeCell ref="S366:V366"/>
    <mergeCell ref="W366:Z366"/>
    <mergeCell ref="AA366:AD366"/>
    <mergeCell ref="AE366:AH366"/>
    <mergeCell ref="AI366:AL366"/>
    <mergeCell ref="S367:V367"/>
    <mergeCell ref="W367:Z367"/>
    <mergeCell ref="AA367:AD367"/>
    <mergeCell ref="AE367:AH367"/>
    <mergeCell ref="AI367:AL367"/>
    <mergeCell ref="S368:V368"/>
    <mergeCell ref="W368:Z368"/>
    <mergeCell ref="AA368:AD368"/>
    <mergeCell ref="AE368:AH368"/>
    <mergeCell ref="AI368:AL368"/>
    <mergeCell ref="S369:V369"/>
    <mergeCell ref="W369:Z369"/>
    <mergeCell ref="AA369:AD369"/>
    <mergeCell ref="AE369:AH369"/>
    <mergeCell ref="AI369:AL369"/>
    <mergeCell ref="O369:R369"/>
    <mergeCell ref="G361:J361"/>
    <mergeCell ref="K361:N361"/>
    <mergeCell ref="O361:R361"/>
    <mergeCell ref="S361:V361"/>
    <mergeCell ref="W361:Z361"/>
    <mergeCell ref="AA361:AD361"/>
    <mergeCell ref="AE361:AH361"/>
    <mergeCell ref="AI361:AL361"/>
    <mergeCell ref="A362:F362"/>
    <mergeCell ref="G362:J362"/>
    <mergeCell ref="K362:N362"/>
    <mergeCell ref="O362:R362"/>
    <mergeCell ref="S362:V362"/>
    <mergeCell ref="W362:Z362"/>
    <mergeCell ref="AA362:AD362"/>
    <mergeCell ref="AE362:AH362"/>
    <mergeCell ref="AI362:AL362"/>
    <mergeCell ref="AE352:AH352"/>
    <mergeCell ref="AI352:AL352"/>
    <mergeCell ref="AE353:AH353"/>
    <mergeCell ref="AI353:AL353"/>
    <mergeCell ref="AE354:AH354"/>
    <mergeCell ref="AI354:AL354"/>
    <mergeCell ref="AE355:AH355"/>
    <mergeCell ref="AI355:AL355"/>
    <mergeCell ref="AE356:AH356"/>
    <mergeCell ref="AI356:AL356"/>
    <mergeCell ref="AE357:AH357"/>
    <mergeCell ref="AI357:AL357"/>
    <mergeCell ref="AE358:AH358"/>
    <mergeCell ref="AI358:AL358"/>
    <mergeCell ref="AE359:AH359"/>
    <mergeCell ref="AI359:AL359"/>
    <mergeCell ref="G360:J360"/>
    <mergeCell ref="K360:N360"/>
    <mergeCell ref="O360:R360"/>
    <mergeCell ref="S360:V360"/>
    <mergeCell ref="W360:Z360"/>
    <mergeCell ref="AA360:AD360"/>
    <mergeCell ref="AE360:AH360"/>
    <mergeCell ref="AI360:AL360"/>
    <mergeCell ref="AA357:AD357"/>
    <mergeCell ref="G358:J358"/>
    <mergeCell ref="K358:N358"/>
    <mergeCell ref="O358:R358"/>
    <mergeCell ref="S358:V358"/>
    <mergeCell ref="W358:Z358"/>
    <mergeCell ref="AA358:AD358"/>
    <mergeCell ref="G357:J357"/>
    <mergeCell ref="G343:J343"/>
    <mergeCell ref="K343:N343"/>
    <mergeCell ref="O343:R343"/>
    <mergeCell ref="G344:J344"/>
    <mergeCell ref="K344:N344"/>
    <mergeCell ref="O344:R344"/>
    <mergeCell ref="G345:J345"/>
    <mergeCell ref="K345:N345"/>
    <mergeCell ref="O345:R345"/>
    <mergeCell ref="G350:AL350"/>
    <mergeCell ref="AE351:AH351"/>
    <mergeCell ref="AI351:AL351"/>
    <mergeCell ref="A328:F328"/>
    <mergeCell ref="G328:J328"/>
    <mergeCell ref="K328:N328"/>
    <mergeCell ref="O328:R328"/>
    <mergeCell ref="S328:V328"/>
    <mergeCell ref="W328:Z328"/>
    <mergeCell ref="AA328:AD328"/>
    <mergeCell ref="G333:R333"/>
    <mergeCell ref="G334:J334"/>
    <mergeCell ref="K334:N334"/>
    <mergeCell ref="O334:R334"/>
    <mergeCell ref="G335:J335"/>
    <mergeCell ref="K335:N335"/>
    <mergeCell ref="O335:R335"/>
    <mergeCell ref="G336:J336"/>
    <mergeCell ref="K336:N336"/>
    <mergeCell ref="O336:R336"/>
    <mergeCell ref="G340:J340"/>
    <mergeCell ref="A342:F342"/>
    <mergeCell ref="A335:F335"/>
    <mergeCell ref="W308:AD308"/>
    <mergeCell ref="AE308:AL308"/>
    <mergeCell ref="G309:N309"/>
    <mergeCell ref="O309:V309"/>
    <mergeCell ref="W309:AD309"/>
    <mergeCell ref="AE309:AL309"/>
    <mergeCell ref="G310:N310"/>
    <mergeCell ref="O310:V310"/>
    <mergeCell ref="W310:AD310"/>
    <mergeCell ref="AE310:AL310"/>
    <mergeCell ref="G311:N311"/>
    <mergeCell ref="O311:V311"/>
    <mergeCell ref="W311:AD311"/>
    <mergeCell ref="AE311:AL311"/>
    <mergeCell ref="G316:R316"/>
    <mergeCell ref="S316:AD316"/>
    <mergeCell ref="AE303:AL303"/>
    <mergeCell ref="G304:N304"/>
    <mergeCell ref="O304:V304"/>
    <mergeCell ref="W304:AD304"/>
    <mergeCell ref="AE304:AL304"/>
    <mergeCell ref="G305:N305"/>
    <mergeCell ref="O305:V305"/>
    <mergeCell ref="W305:AD305"/>
    <mergeCell ref="AE305:AL305"/>
    <mergeCell ref="G306:N306"/>
    <mergeCell ref="O306:V306"/>
    <mergeCell ref="W306:AD306"/>
    <mergeCell ref="AE306:AL306"/>
    <mergeCell ref="G307:N307"/>
    <mergeCell ref="O307:V307"/>
    <mergeCell ref="W307:AD307"/>
    <mergeCell ref="AE307:AL307"/>
    <mergeCell ref="Q189:T189"/>
    <mergeCell ref="M190:P190"/>
    <mergeCell ref="Q190:T190"/>
    <mergeCell ref="M191:P191"/>
    <mergeCell ref="Q191:T191"/>
    <mergeCell ref="M192:P192"/>
    <mergeCell ref="Q192:T192"/>
    <mergeCell ref="M193:P193"/>
    <mergeCell ref="Q193:T193"/>
    <mergeCell ref="AD116:AE116"/>
    <mergeCell ref="AF116:AJ116"/>
    <mergeCell ref="AD117:AE117"/>
    <mergeCell ref="AF117:AJ117"/>
    <mergeCell ref="M181:P182"/>
    <mergeCell ref="Q181:T182"/>
    <mergeCell ref="M183:P183"/>
    <mergeCell ref="Q183:T183"/>
    <mergeCell ref="M184:P184"/>
    <mergeCell ref="Q184:T184"/>
    <mergeCell ref="M185:P185"/>
    <mergeCell ref="Q185:T185"/>
    <mergeCell ref="M186:P186"/>
    <mergeCell ref="Q186:T186"/>
    <mergeCell ref="M187:P187"/>
    <mergeCell ref="Q187:T187"/>
    <mergeCell ref="M188:P188"/>
    <mergeCell ref="Q188:T188"/>
    <mergeCell ref="G301:N301"/>
    <mergeCell ref="O301:V301"/>
    <mergeCell ref="W301:AD301"/>
    <mergeCell ref="AE301:AL301"/>
    <mergeCell ref="AD107:AE107"/>
    <mergeCell ref="AF107:AJ107"/>
    <mergeCell ref="AD108:AE108"/>
    <mergeCell ref="AF108:AJ108"/>
    <mergeCell ref="AD109:AE109"/>
    <mergeCell ref="AF109:AJ109"/>
    <mergeCell ref="AD110:AE110"/>
    <mergeCell ref="AF110:AJ110"/>
    <mergeCell ref="AD111:AE111"/>
    <mergeCell ref="AF111:AJ111"/>
    <mergeCell ref="AD112:AE112"/>
    <mergeCell ref="AF112:AJ112"/>
    <mergeCell ref="AD113:AE113"/>
    <mergeCell ref="AF113:AJ113"/>
    <mergeCell ref="AD114:AE114"/>
    <mergeCell ref="AF114:AJ114"/>
    <mergeCell ref="AD115:AE115"/>
    <mergeCell ref="AF115:AJ115"/>
    <mergeCell ref="AD98:AE98"/>
    <mergeCell ref="AF98:AJ98"/>
    <mergeCell ref="AD99:AE99"/>
    <mergeCell ref="AF99:AJ99"/>
    <mergeCell ref="AD100:AE100"/>
    <mergeCell ref="AF100:AJ100"/>
    <mergeCell ref="AD101:AE101"/>
    <mergeCell ref="AF101:AJ101"/>
    <mergeCell ref="AD102:AE102"/>
    <mergeCell ref="AF102:AJ102"/>
    <mergeCell ref="AD103:AE103"/>
    <mergeCell ref="AF103:AJ103"/>
    <mergeCell ref="AD104:AE104"/>
    <mergeCell ref="AF104:AJ104"/>
    <mergeCell ref="AD105:AE105"/>
    <mergeCell ref="AF105:AJ105"/>
    <mergeCell ref="AD106:AE106"/>
    <mergeCell ref="AF106:AJ106"/>
    <mergeCell ref="W89:AC89"/>
    <mergeCell ref="AD89:AE90"/>
    <mergeCell ref="AF89:AJ90"/>
    <mergeCell ref="AD91:AE91"/>
    <mergeCell ref="AF91:AJ91"/>
    <mergeCell ref="AD92:AE92"/>
    <mergeCell ref="AF92:AJ92"/>
    <mergeCell ref="AD93:AE93"/>
    <mergeCell ref="AF93:AJ93"/>
    <mergeCell ref="AD94:AE94"/>
    <mergeCell ref="AF94:AJ94"/>
    <mergeCell ref="AD95:AE95"/>
    <mergeCell ref="AF95:AJ95"/>
    <mergeCell ref="AD96:AE96"/>
    <mergeCell ref="AF96:AJ96"/>
    <mergeCell ref="AD97:AE97"/>
    <mergeCell ref="AF97:AJ97"/>
    <mergeCell ref="K418:N418"/>
    <mergeCell ref="O418:R418"/>
    <mergeCell ref="S418:V418"/>
    <mergeCell ref="W418:Z418"/>
    <mergeCell ref="AA418:AD418"/>
    <mergeCell ref="AE418:AH418"/>
    <mergeCell ref="K369:N369"/>
    <mergeCell ref="A555:F555"/>
    <mergeCell ref="A540:F540"/>
    <mergeCell ref="G540:J540"/>
    <mergeCell ref="K540:N540"/>
    <mergeCell ref="O540:R540"/>
    <mergeCell ref="S540:V540"/>
    <mergeCell ref="A541:F541"/>
    <mergeCell ref="O519:R519"/>
    <mergeCell ref="S519:V519"/>
    <mergeCell ref="O513:R513"/>
    <mergeCell ref="S513:V513"/>
    <mergeCell ref="O514:R514"/>
    <mergeCell ref="S514:V514"/>
    <mergeCell ref="O515:R515"/>
    <mergeCell ref="S515:V515"/>
    <mergeCell ref="O516:R516"/>
    <mergeCell ref="S516:V516"/>
    <mergeCell ref="O517:R517"/>
    <mergeCell ref="S517:V517"/>
    <mergeCell ref="O518:R518"/>
    <mergeCell ref="S518:V518"/>
    <mergeCell ref="G536:J536"/>
    <mergeCell ref="K536:N536"/>
    <mergeCell ref="A424:F424"/>
    <mergeCell ref="G424:J424"/>
    <mergeCell ref="K424:N424"/>
    <mergeCell ref="O424:R424"/>
    <mergeCell ref="S424:V424"/>
    <mergeCell ref="W424:Z424"/>
    <mergeCell ref="AA424:AD424"/>
    <mergeCell ref="AE424:AH424"/>
    <mergeCell ref="AI424:AL424"/>
    <mergeCell ref="A112:F112"/>
    <mergeCell ref="G112:L112"/>
    <mergeCell ref="M112:N112"/>
    <mergeCell ref="O112:T112"/>
    <mergeCell ref="U112:V112"/>
    <mergeCell ref="W112:AA112"/>
    <mergeCell ref="AB112:AC112"/>
    <mergeCell ref="A421:F421"/>
    <mergeCell ref="G421:J421"/>
    <mergeCell ref="K421:N421"/>
    <mergeCell ref="O421:R421"/>
    <mergeCell ref="S421:V421"/>
    <mergeCell ref="W421:Z421"/>
    <mergeCell ref="AA421:AD421"/>
    <mergeCell ref="K376:N376"/>
    <mergeCell ref="A144:F144"/>
    <mergeCell ref="G144:H144"/>
    <mergeCell ref="I144:J144"/>
    <mergeCell ref="K144:L144"/>
    <mergeCell ref="R143:Y144"/>
    <mergeCell ref="Z143:AG144"/>
    <mergeCell ref="A210:Q210"/>
    <mergeCell ref="AE421:AH421"/>
    <mergeCell ref="G420:J420"/>
    <mergeCell ref="K420:N420"/>
    <mergeCell ref="O420:R420"/>
    <mergeCell ref="S420:V420"/>
    <mergeCell ref="W420:Z420"/>
    <mergeCell ref="AA420:AD420"/>
    <mergeCell ref="AE420:AH420"/>
    <mergeCell ref="AI420:AL420"/>
    <mergeCell ref="A423:F423"/>
    <mergeCell ref="G423:J423"/>
    <mergeCell ref="K423:N423"/>
    <mergeCell ref="O423:R423"/>
    <mergeCell ref="S423:V423"/>
    <mergeCell ref="W423:Z423"/>
    <mergeCell ref="AA423:AD423"/>
    <mergeCell ref="AE423:AH423"/>
    <mergeCell ref="AI423:AL423"/>
    <mergeCell ref="A422:F422"/>
    <mergeCell ref="A420:F420"/>
    <mergeCell ref="K371:N371"/>
    <mergeCell ref="O371:R371"/>
    <mergeCell ref="A372:F372"/>
    <mergeCell ref="G372:J372"/>
    <mergeCell ref="K372:N372"/>
    <mergeCell ref="O372:R372"/>
    <mergeCell ref="G367:J367"/>
    <mergeCell ref="K367:N367"/>
    <mergeCell ref="O367:R367"/>
    <mergeCell ref="A368:F368"/>
    <mergeCell ref="G368:J368"/>
    <mergeCell ref="K368:N368"/>
    <mergeCell ref="O368:R368"/>
    <mergeCell ref="A369:F369"/>
    <mergeCell ref="G369:J369"/>
    <mergeCell ref="AI421:AL421"/>
    <mergeCell ref="G422:J422"/>
    <mergeCell ref="K422:N422"/>
    <mergeCell ref="O422:R422"/>
    <mergeCell ref="S422:V422"/>
    <mergeCell ref="W422:Z422"/>
    <mergeCell ref="AA422:AD422"/>
    <mergeCell ref="AE422:AH422"/>
    <mergeCell ref="AI422:AL422"/>
    <mergeCell ref="G419:J419"/>
    <mergeCell ref="K419:N419"/>
    <mergeCell ref="O419:R419"/>
    <mergeCell ref="S419:V419"/>
    <mergeCell ref="W419:Z419"/>
    <mergeCell ref="AA419:AD419"/>
    <mergeCell ref="AE419:AH419"/>
    <mergeCell ref="AI419:AL419"/>
    <mergeCell ref="S320:V320"/>
    <mergeCell ref="W320:Z320"/>
    <mergeCell ref="G323:J323"/>
    <mergeCell ref="K323:N323"/>
    <mergeCell ref="O323:R323"/>
    <mergeCell ref="S323:V323"/>
    <mergeCell ref="W323:Z323"/>
    <mergeCell ref="K340:N340"/>
    <mergeCell ref="O340:R340"/>
    <mergeCell ref="G341:J341"/>
    <mergeCell ref="K341:N341"/>
    <mergeCell ref="O341:R341"/>
    <mergeCell ref="G342:J342"/>
    <mergeCell ref="A336:F336"/>
    <mergeCell ref="A337:F337"/>
    <mergeCell ref="A338:F338"/>
    <mergeCell ref="A339:F339"/>
    <mergeCell ref="G337:J337"/>
    <mergeCell ref="K337:N337"/>
    <mergeCell ref="O337:R337"/>
    <mergeCell ref="G338:J338"/>
    <mergeCell ref="K338:N338"/>
    <mergeCell ref="O338:R338"/>
    <mergeCell ref="G339:J339"/>
    <mergeCell ref="K339:N339"/>
    <mergeCell ref="O339:R339"/>
    <mergeCell ref="A340:F340"/>
    <mergeCell ref="A341:F341"/>
    <mergeCell ref="K342:N342"/>
    <mergeCell ref="O342:R342"/>
    <mergeCell ref="G326:J326"/>
    <mergeCell ref="K326:N326"/>
    <mergeCell ref="A309:F309"/>
    <mergeCell ref="A306:F306"/>
    <mergeCell ref="A307:F307"/>
    <mergeCell ref="A308:F308"/>
    <mergeCell ref="G308:N308"/>
    <mergeCell ref="O308:V308"/>
    <mergeCell ref="A303:F303"/>
    <mergeCell ref="A304:F304"/>
    <mergeCell ref="A305:F305"/>
    <mergeCell ref="G303:N303"/>
    <mergeCell ref="O303:V303"/>
    <mergeCell ref="W303:AD303"/>
    <mergeCell ref="AA318:AD318"/>
    <mergeCell ref="W319:Z319"/>
    <mergeCell ref="AA319:AD319"/>
    <mergeCell ref="G320:J320"/>
    <mergeCell ref="O326:R326"/>
    <mergeCell ref="S326:V326"/>
    <mergeCell ref="W326:Z326"/>
    <mergeCell ref="AA326:AD326"/>
    <mergeCell ref="G318:J318"/>
    <mergeCell ref="K318:N318"/>
    <mergeCell ref="O318:R318"/>
    <mergeCell ref="S318:V318"/>
    <mergeCell ref="W318:Z318"/>
    <mergeCell ref="G319:J319"/>
    <mergeCell ref="K319:N319"/>
    <mergeCell ref="O319:R319"/>
    <mergeCell ref="S319:V319"/>
    <mergeCell ref="K320:N320"/>
    <mergeCell ref="O320:R320"/>
    <mergeCell ref="G302:N302"/>
    <mergeCell ref="O302:V302"/>
    <mergeCell ref="W302:AD302"/>
    <mergeCell ref="AE302:AL302"/>
    <mergeCell ref="A300:F300"/>
    <mergeCell ref="G299:AL299"/>
    <mergeCell ref="G300:N300"/>
    <mergeCell ref="O300:V300"/>
    <mergeCell ref="W300:AD300"/>
    <mergeCell ref="AE300:AL300"/>
    <mergeCell ref="A263:F263"/>
    <mergeCell ref="G263:J263"/>
    <mergeCell ref="K263:N263"/>
    <mergeCell ref="O263:R263"/>
    <mergeCell ref="S263:V263"/>
    <mergeCell ref="A264:F264"/>
    <mergeCell ref="G264:J264"/>
    <mergeCell ref="K264:N264"/>
    <mergeCell ref="O264:R264"/>
    <mergeCell ref="S264:V264"/>
    <mergeCell ref="AA293:AD293"/>
    <mergeCell ref="AE293:AH293"/>
    <mergeCell ref="G276:R276"/>
    <mergeCell ref="G277:R277"/>
    <mergeCell ref="AA291:AD291"/>
    <mergeCell ref="AE291:AH291"/>
    <mergeCell ref="AI291:AL291"/>
    <mergeCell ref="G292:J292"/>
    <mergeCell ref="K292:N292"/>
    <mergeCell ref="O292:R292"/>
    <mergeCell ref="S292:V292"/>
    <mergeCell ref="W292:Z292"/>
    <mergeCell ref="W199:Z199"/>
    <mergeCell ref="W200:Z200"/>
    <mergeCell ref="W201:Z201"/>
    <mergeCell ref="W202:Z202"/>
    <mergeCell ref="W203:Z203"/>
    <mergeCell ref="W204:Z204"/>
    <mergeCell ref="W205:Z205"/>
    <mergeCell ref="W206:Z206"/>
    <mergeCell ref="W207:Z207"/>
    <mergeCell ref="W208:Z208"/>
    <mergeCell ref="W209:Z209"/>
    <mergeCell ref="S210:Z210"/>
    <mergeCell ref="G252:V252"/>
    <mergeCell ref="A262:F262"/>
    <mergeCell ref="G262:J262"/>
    <mergeCell ref="K262:N262"/>
    <mergeCell ref="O262:R262"/>
    <mergeCell ref="S262:V262"/>
    <mergeCell ref="A207:D207"/>
    <mergeCell ref="E207:G207"/>
    <mergeCell ref="H207:K207"/>
    <mergeCell ref="L207:N207"/>
    <mergeCell ref="O207:Q207"/>
    <mergeCell ref="A208:D208"/>
    <mergeCell ref="E208:G208"/>
    <mergeCell ref="H208:K208"/>
    <mergeCell ref="L208:N208"/>
    <mergeCell ref="O208:Q208"/>
    <mergeCell ref="A209:D209"/>
    <mergeCell ref="E209:G209"/>
    <mergeCell ref="H209:K209"/>
    <mergeCell ref="L209:N209"/>
    <mergeCell ref="O209:Q209"/>
    <mergeCell ref="S198:V198"/>
    <mergeCell ref="S199:V199"/>
    <mergeCell ref="S200:V200"/>
    <mergeCell ref="S201:V201"/>
    <mergeCell ref="S202:V202"/>
    <mergeCell ref="S203:V203"/>
    <mergeCell ref="S204:V204"/>
    <mergeCell ref="S205:V205"/>
    <mergeCell ref="S206:V206"/>
    <mergeCell ref="S207:V207"/>
    <mergeCell ref="S208:V208"/>
    <mergeCell ref="S209:V209"/>
    <mergeCell ref="A203:D203"/>
    <mergeCell ref="E203:G203"/>
    <mergeCell ref="H203:K203"/>
    <mergeCell ref="L203:N203"/>
    <mergeCell ref="O203:Q203"/>
    <mergeCell ref="A204:D204"/>
    <mergeCell ref="E204:G204"/>
    <mergeCell ref="H204:K204"/>
    <mergeCell ref="L204:N204"/>
    <mergeCell ref="O204:Q204"/>
    <mergeCell ref="A205:D205"/>
    <mergeCell ref="E205:G205"/>
    <mergeCell ref="H205:K205"/>
    <mergeCell ref="L205:N205"/>
    <mergeCell ref="O205:Q205"/>
    <mergeCell ref="A206:D206"/>
    <mergeCell ref="E206:G206"/>
    <mergeCell ref="H206:K206"/>
    <mergeCell ref="L206:N206"/>
    <mergeCell ref="O206:Q206"/>
    <mergeCell ref="A199:D199"/>
    <mergeCell ref="E199:G199"/>
    <mergeCell ref="H199:K199"/>
    <mergeCell ref="L199:N199"/>
    <mergeCell ref="O199:Q199"/>
    <mergeCell ref="A200:D200"/>
    <mergeCell ref="E200:G200"/>
    <mergeCell ref="H200:K200"/>
    <mergeCell ref="L200:N200"/>
    <mergeCell ref="O200:Q200"/>
    <mergeCell ref="A201:D201"/>
    <mergeCell ref="E201:G201"/>
    <mergeCell ref="H201:K201"/>
    <mergeCell ref="L201:N201"/>
    <mergeCell ref="O201:Q201"/>
    <mergeCell ref="A202:D202"/>
    <mergeCell ref="E202:G202"/>
    <mergeCell ref="H202:K202"/>
    <mergeCell ref="L202:N202"/>
    <mergeCell ref="O202:Q202"/>
    <mergeCell ref="A194:AF194"/>
    <mergeCell ref="A198:D198"/>
    <mergeCell ref="E198:G198"/>
    <mergeCell ref="H198:K198"/>
    <mergeCell ref="L198:N198"/>
    <mergeCell ref="O198:Q198"/>
    <mergeCell ref="W198:Z198"/>
    <mergeCell ref="E192:H192"/>
    <mergeCell ref="I192:L192"/>
    <mergeCell ref="A178:Q178"/>
    <mergeCell ref="E186:H186"/>
    <mergeCell ref="I186:L186"/>
    <mergeCell ref="E187:H187"/>
    <mergeCell ref="I187:L187"/>
    <mergeCell ref="E189:H189"/>
    <mergeCell ref="I189:L189"/>
    <mergeCell ref="E190:H190"/>
    <mergeCell ref="I190:L190"/>
    <mergeCell ref="E183:H183"/>
    <mergeCell ref="I183:L183"/>
    <mergeCell ref="E184:H184"/>
    <mergeCell ref="I184:L184"/>
    <mergeCell ref="A183:D183"/>
    <mergeCell ref="A184:D184"/>
    <mergeCell ref="A185:D185"/>
    <mergeCell ref="A186:D186"/>
    <mergeCell ref="A187:D187"/>
    <mergeCell ref="A188:D188"/>
    <mergeCell ref="A189:D189"/>
    <mergeCell ref="A190:D190"/>
    <mergeCell ref="A191:D191"/>
    <mergeCell ref="A192:D192"/>
    <mergeCell ref="A193:D193"/>
    <mergeCell ref="E185:H185"/>
    <mergeCell ref="I185:L185"/>
    <mergeCell ref="E188:H188"/>
    <mergeCell ref="I188:L188"/>
    <mergeCell ref="E191:H191"/>
    <mergeCell ref="I191:L191"/>
    <mergeCell ref="E193:H193"/>
    <mergeCell ref="I193:L193"/>
    <mergeCell ref="A181:D182"/>
    <mergeCell ref="E181:H182"/>
    <mergeCell ref="I181:L182"/>
    <mergeCell ref="M189:P189"/>
    <mergeCell ref="O176:Q176"/>
    <mergeCell ref="A177:D177"/>
    <mergeCell ref="L177:N177"/>
    <mergeCell ref="O177:Q177"/>
    <mergeCell ref="H176:K176"/>
    <mergeCell ref="H177:K177"/>
    <mergeCell ref="E173:G173"/>
    <mergeCell ref="E174:G174"/>
    <mergeCell ref="E175:G175"/>
    <mergeCell ref="E176:G176"/>
    <mergeCell ref="E177:G177"/>
    <mergeCell ref="A171:D171"/>
    <mergeCell ref="L171:N171"/>
    <mergeCell ref="O171:Q171"/>
    <mergeCell ref="A172:D172"/>
    <mergeCell ref="L172:N172"/>
    <mergeCell ref="O172:Q172"/>
    <mergeCell ref="A173:D173"/>
    <mergeCell ref="L173:N173"/>
    <mergeCell ref="O173:Q173"/>
    <mergeCell ref="A174:D174"/>
    <mergeCell ref="L174:N174"/>
    <mergeCell ref="O174:Q174"/>
    <mergeCell ref="A175:D175"/>
    <mergeCell ref="L175:N175"/>
    <mergeCell ref="O175:Q175"/>
    <mergeCell ref="O167:Q167"/>
    <mergeCell ref="A168:D168"/>
    <mergeCell ref="L168:N168"/>
    <mergeCell ref="O168:Q168"/>
    <mergeCell ref="A169:D169"/>
    <mergeCell ref="L169:N169"/>
    <mergeCell ref="O169:Q169"/>
    <mergeCell ref="A170:D170"/>
    <mergeCell ref="L170:N170"/>
    <mergeCell ref="O170:Q170"/>
    <mergeCell ref="H166:K166"/>
    <mergeCell ref="H167:K167"/>
    <mergeCell ref="H168:K168"/>
    <mergeCell ref="H169:K169"/>
    <mergeCell ref="H170:K170"/>
    <mergeCell ref="H171:K171"/>
    <mergeCell ref="H172:K172"/>
    <mergeCell ref="L166:N166"/>
    <mergeCell ref="O166:Q166"/>
    <mergeCell ref="E166:G166"/>
    <mergeCell ref="E167:G167"/>
    <mergeCell ref="E168:G168"/>
    <mergeCell ref="E169:G169"/>
    <mergeCell ref="E170:G170"/>
    <mergeCell ref="E171:G171"/>
    <mergeCell ref="E172:G172"/>
    <mergeCell ref="A166:D166"/>
    <mergeCell ref="A167:D167"/>
    <mergeCell ref="L167:N167"/>
    <mergeCell ref="H173:K173"/>
    <mergeCell ref="H174:K174"/>
    <mergeCell ref="H175:K175"/>
    <mergeCell ref="A176:D176"/>
    <mergeCell ref="L176:N176"/>
    <mergeCell ref="A554:F554"/>
    <mergeCell ref="A547:F547"/>
    <mergeCell ref="A553:F553"/>
    <mergeCell ref="A552:F552"/>
    <mergeCell ref="A534:F534"/>
    <mergeCell ref="G534:J534"/>
    <mergeCell ref="K534:N534"/>
    <mergeCell ref="G537:J537"/>
    <mergeCell ref="K537:N537"/>
    <mergeCell ref="A533:F533"/>
    <mergeCell ref="G533:J533"/>
    <mergeCell ref="K533:N533"/>
    <mergeCell ref="K514:N514"/>
    <mergeCell ref="K495:N495"/>
    <mergeCell ref="A503:F503"/>
    <mergeCell ref="G503:J503"/>
    <mergeCell ref="K503:N503"/>
    <mergeCell ref="A405:F405"/>
    <mergeCell ref="G405:J405"/>
    <mergeCell ref="K405:N405"/>
    <mergeCell ref="A410:F410"/>
    <mergeCell ref="A406:F406"/>
    <mergeCell ref="K357:N357"/>
    <mergeCell ref="G282:N282"/>
    <mergeCell ref="A452:F452"/>
    <mergeCell ref="G452:J452"/>
    <mergeCell ref="K452:N452"/>
    <mergeCell ref="S535:V535"/>
    <mergeCell ref="O536:R536"/>
    <mergeCell ref="S536:V536"/>
    <mergeCell ref="O537:R537"/>
    <mergeCell ref="S537:V537"/>
    <mergeCell ref="A549:F549"/>
    <mergeCell ref="A548:F548"/>
    <mergeCell ref="A546:F546"/>
    <mergeCell ref="A519:F519"/>
    <mergeCell ref="G519:J519"/>
    <mergeCell ref="K519:N519"/>
    <mergeCell ref="A535:F535"/>
    <mergeCell ref="G535:J535"/>
    <mergeCell ref="K535:N535"/>
    <mergeCell ref="A536:F536"/>
    <mergeCell ref="AI518:AL518"/>
    <mergeCell ref="G532:J532"/>
    <mergeCell ref="K532:N532"/>
    <mergeCell ref="A522:F522"/>
    <mergeCell ref="G522:J522"/>
    <mergeCell ref="K522:N522"/>
    <mergeCell ref="O522:R522"/>
    <mergeCell ref="S522:V522"/>
    <mergeCell ref="W522:Z522"/>
    <mergeCell ref="AA522:AD522"/>
    <mergeCell ref="AE522:AH522"/>
    <mergeCell ref="AI522:AL522"/>
    <mergeCell ref="A523:F523"/>
    <mergeCell ref="G523:J523"/>
    <mergeCell ref="K523:N523"/>
    <mergeCell ref="O523:R523"/>
    <mergeCell ref="S523:V523"/>
    <mergeCell ref="W514:Z514"/>
    <mergeCell ref="AA514:AD514"/>
    <mergeCell ref="G516:J516"/>
    <mergeCell ref="K516:N516"/>
    <mergeCell ref="W516:Z516"/>
    <mergeCell ref="AE514:AH514"/>
    <mergeCell ref="AI514:AL514"/>
    <mergeCell ref="G514:J514"/>
    <mergeCell ref="AI515:AL515"/>
    <mergeCell ref="AA517:AD517"/>
    <mergeCell ref="AE517:AH517"/>
    <mergeCell ref="AI517:AL517"/>
    <mergeCell ref="AE516:AH516"/>
    <mergeCell ref="AI516:AL516"/>
    <mergeCell ref="G515:J515"/>
    <mergeCell ref="K515:N515"/>
    <mergeCell ref="G531:J531"/>
    <mergeCell ref="K531:N531"/>
    <mergeCell ref="G530:J530"/>
    <mergeCell ref="K530:N530"/>
    <mergeCell ref="G517:J517"/>
    <mergeCell ref="K517:N517"/>
    <mergeCell ref="W523:Z523"/>
    <mergeCell ref="AA523:AD523"/>
    <mergeCell ref="AE523:AH523"/>
    <mergeCell ref="AI523:AL523"/>
    <mergeCell ref="AI481:AL481"/>
    <mergeCell ref="G481:J481"/>
    <mergeCell ref="O503:R503"/>
    <mergeCell ref="S503:V503"/>
    <mergeCell ref="W503:Z503"/>
    <mergeCell ref="AA503:AD503"/>
    <mergeCell ref="A504:F504"/>
    <mergeCell ref="G504:J504"/>
    <mergeCell ref="K504:N504"/>
    <mergeCell ref="O504:R504"/>
    <mergeCell ref="S504:V504"/>
    <mergeCell ref="W504:Z504"/>
    <mergeCell ref="A498:F498"/>
    <mergeCell ref="G498:J498"/>
    <mergeCell ref="K498:N498"/>
    <mergeCell ref="O498:R498"/>
    <mergeCell ref="S498:V498"/>
    <mergeCell ref="A499:F499"/>
    <mergeCell ref="G499:J499"/>
    <mergeCell ref="S499:V499"/>
    <mergeCell ref="AA504:AD504"/>
    <mergeCell ref="O495:R495"/>
    <mergeCell ref="S495:V495"/>
    <mergeCell ref="A496:F496"/>
    <mergeCell ref="A501:F501"/>
    <mergeCell ref="G501:J501"/>
    <mergeCell ref="K501:N501"/>
    <mergeCell ref="O501:R501"/>
    <mergeCell ref="S501:V501"/>
    <mergeCell ref="A502:F502"/>
    <mergeCell ref="G502:J502"/>
    <mergeCell ref="K502:N502"/>
    <mergeCell ref="AI418:AL418"/>
    <mergeCell ref="G410:J410"/>
    <mergeCell ref="K410:N410"/>
    <mergeCell ref="O410:R410"/>
    <mergeCell ref="S481:V481"/>
    <mergeCell ref="W481:Z481"/>
    <mergeCell ref="AA481:AD481"/>
    <mergeCell ref="AE483:AH483"/>
    <mergeCell ref="G496:J496"/>
    <mergeCell ref="K496:N496"/>
    <mergeCell ref="O496:R496"/>
    <mergeCell ref="S496:V496"/>
    <mergeCell ref="AI483:AL483"/>
    <mergeCell ref="A484:F484"/>
    <mergeCell ref="G484:J484"/>
    <mergeCell ref="K484:N484"/>
    <mergeCell ref="O484:R484"/>
    <mergeCell ref="S484:V484"/>
    <mergeCell ref="A483:F483"/>
    <mergeCell ref="G483:J483"/>
    <mergeCell ref="K483:N483"/>
    <mergeCell ref="O483:R483"/>
    <mergeCell ref="S483:V483"/>
    <mergeCell ref="W483:Z483"/>
    <mergeCell ref="AA483:AD483"/>
    <mergeCell ref="AE485:AH485"/>
    <mergeCell ref="AI485:AL485"/>
    <mergeCell ref="G485:J485"/>
    <mergeCell ref="K485:N485"/>
    <mergeCell ref="O485:R485"/>
    <mergeCell ref="S485:V485"/>
    <mergeCell ref="AE481:AH481"/>
    <mergeCell ref="W480:Z480"/>
    <mergeCell ref="AA480:AD480"/>
    <mergeCell ref="AE480:AH480"/>
    <mergeCell ref="AI480:AL480"/>
    <mergeCell ref="AE479:AH479"/>
    <mergeCell ref="AI479:AL479"/>
    <mergeCell ref="G480:J480"/>
    <mergeCell ref="K480:N480"/>
    <mergeCell ref="O480:R480"/>
    <mergeCell ref="S480:V480"/>
    <mergeCell ref="G479:J479"/>
    <mergeCell ref="K479:N479"/>
    <mergeCell ref="O479:R479"/>
    <mergeCell ref="S479:V479"/>
    <mergeCell ref="W479:Z479"/>
    <mergeCell ref="AA479:AD479"/>
    <mergeCell ref="W478:Z478"/>
    <mergeCell ref="AA478:AD478"/>
    <mergeCell ref="AE478:AH478"/>
    <mergeCell ref="AI478:AL478"/>
    <mergeCell ref="G478:J478"/>
    <mergeCell ref="K478:N478"/>
    <mergeCell ref="O478:R478"/>
    <mergeCell ref="S478:V478"/>
    <mergeCell ref="W404:Z404"/>
    <mergeCell ref="AA404:AD404"/>
    <mergeCell ref="AE404:AH404"/>
    <mergeCell ref="AI404:AL404"/>
    <mergeCell ref="AE403:AH403"/>
    <mergeCell ref="AI403:AL403"/>
    <mergeCell ref="G404:J404"/>
    <mergeCell ref="K404:N404"/>
    <mergeCell ref="O404:R404"/>
    <mergeCell ref="S404:V404"/>
    <mergeCell ref="G403:J403"/>
    <mergeCell ref="K403:N403"/>
    <mergeCell ref="O403:R403"/>
    <mergeCell ref="S403:V403"/>
    <mergeCell ref="W403:Z403"/>
    <mergeCell ref="AA403:AD403"/>
    <mergeCell ref="AA407:AD407"/>
    <mergeCell ref="W406:Z406"/>
    <mergeCell ref="AA406:AD406"/>
    <mergeCell ref="AE406:AH406"/>
    <mergeCell ref="AI406:AL406"/>
    <mergeCell ref="AE405:AH405"/>
    <mergeCell ref="AI405:AL405"/>
    <mergeCell ref="G406:J406"/>
    <mergeCell ref="K406:N406"/>
    <mergeCell ref="O406:R406"/>
    <mergeCell ref="S406:V406"/>
    <mergeCell ref="O405:R405"/>
    <mergeCell ref="S405:V405"/>
    <mergeCell ref="W405:Z405"/>
    <mergeCell ref="AA405:AD405"/>
    <mergeCell ref="W402:Z402"/>
    <mergeCell ref="AA402:AD402"/>
    <mergeCell ref="AE402:AH402"/>
    <mergeCell ref="AI402:AL402"/>
    <mergeCell ref="AE401:AH401"/>
    <mergeCell ref="AI401:AL401"/>
    <mergeCell ref="G402:J402"/>
    <mergeCell ref="K402:N402"/>
    <mergeCell ref="O402:R402"/>
    <mergeCell ref="S402:V402"/>
    <mergeCell ref="G401:J401"/>
    <mergeCell ref="K401:N401"/>
    <mergeCell ref="O401:R401"/>
    <mergeCell ref="S401:V401"/>
    <mergeCell ref="W401:Z401"/>
    <mergeCell ref="AA401:AD401"/>
    <mergeCell ref="W393:Z393"/>
    <mergeCell ref="AA393:AD393"/>
    <mergeCell ref="AE393:AH393"/>
    <mergeCell ref="AI393:AL393"/>
    <mergeCell ref="AE392:AH392"/>
    <mergeCell ref="AI392:AL392"/>
    <mergeCell ref="G393:J393"/>
    <mergeCell ref="K393:N393"/>
    <mergeCell ref="O393:R393"/>
    <mergeCell ref="S393:V393"/>
    <mergeCell ref="G392:J392"/>
    <mergeCell ref="K392:N392"/>
    <mergeCell ref="O392:R392"/>
    <mergeCell ref="S392:V392"/>
    <mergeCell ref="W392:Z392"/>
    <mergeCell ref="AA392:AD392"/>
    <mergeCell ref="W391:Z391"/>
    <mergeCell ref="AA391:AD391"/>
    <mergeCell ref="AE391:AH391"/>
    <mergeCell ref="AI391:AL391"/>
    <mergeCell ref="AE390:AH390"/>
    <mergeCell ref="AI390:AL390"/>
    <mergeCell ref="G391:J391"/>
    <mergeCell ref="K391:N391"/>
    <mergeCell ref="O391:R391"/>
    <mergeCell ref="S391:V391"/>
    <mergeCell ref="G390:J390"/>
    <mergeCell ref="K390:N390"/>
    <mergeCell ref="O390:R390"/>
    <mergeCell ref="S390:V390"/>
    <mergeCell ref="W390:Z390"/>
    <mergeCell ref="AA390:AD390"/>
    <mergeCell ref="W389:Z389"/>
    <mergeCell ref="AA389:AD389"/>
    <mergeCell ref="AE389:AH389"/>
    <mergeCell ref="AI389:AL389"/>
    <mergeCell ref="AE388:AH388"/>
    <mergeCell ref="AI388:AL388"/>
    <mergeCell ref="G389:J389"/>
    <mergeCell ref="K389:N389"/>
    <mergeCell ref="O389:R389"/>
    <mergeCell ref="S389:V389"/>
    <mergeCell ref="G388:J388"/>
    <mergeCell ref="K388:N388"/>
    <mergeCell ref="O388:R388"/>
    <mergeCell ref="S388:V388"/>
    <mergeCell ref="W388:Z388"/>
    <mergeCell ref="AA388:AD388"/>
    <mergeCell ref="W387:Z387"/>
    <mergeCell ref="AA387:AD387"/>
    <mergeCell ref="AE387:AH387"/>
    <mergeCell ref="AI387:AL387"/>
    <mergeCell ref="AE386:AH386"/>
    <mergeCell ref="AI386:AL386"/>
    <mergeCell ref="G387:J387"/>
    <mergeCell ref="K387:N387"/>
    <mergeCell ref="O387:R387"/>
    <mergeCell ref="S387:V387"/>
    <mergeCell ref="G386:J386"/>
    <mergeCell ref="K386:N386"/>
    <mergeCell ref="O386:R386"/>
    <mergeCell ref="S386:V386"/>
    <mergeCell ref="W386:Z386"/>
    <mergeCell ref="AA386:AD386"/>
    <mergeCell ref="W385:Z385"/>
    <mergeCell ref="AA385:AD385"/>
    <mergeCell ref="AE385:AH385"/>
    <mergeCell ref="AI385:AL385"/>
    <mergeCell ref="AE384:AH384"/>
    <mergeCell ref="AI384:AL384"/>
    <mergeCell ref="G385:J385"/>
    <mergeCell ref="K385:N385"/>
    <mergeCell ref="O385:R385"/>
    <mergeCell ref="S385:V385"/>
    <mergeCell ref="G384:J384"/>
    <mergeCell ref="K384:N384"/>
    <mergeCell ref="O384:R384"/>
    <mergeCell ref="S384:V384"/>
    <mergeCell ref="W384:Z384"/>
    <mergeCell ref="AA384:AD384"/>
    <mergeCell ref="W383:Z383"/>
    <mergeCell ref="AA383:AD383"/>
    <mergeCell ref="AE383:AH383"/>
    <mergeCell ref="AI383:AL383"/>
    <mergeCell ref="G383:J383"/>
    <mergeCell ref="K383:N383"/>
    <mergeCell ref="O383:R383"/>
    <mergeCell ref="S383:V383"/>
    <mergeCell ref="AA359:AD359"/>
    <mergeCell ref="G359:J359"/>
    <mergeCell ref="K359:N359"/>
    <mergeCell ref="O359:R359"/>
    <mergeCell ref="S359:V359"/>
    <mergeCell ref="W359:Z359"/>
    <mergeCell ref="G366:J366"/>
    <mergeCell ref="K366:N366"/>
    <mergeCell ref="O366:R366"/>
    <mergeCell ref="G376:J376"/>
    <mergeCell ref="O376:R376"/>
    <mergeCell ref="G373:J373"/>
    <mergeCell ref="K373:N373"/>
    <mergeCell ref="O373:R373"/>
    <mergeCell ref="G374:J374"/>
    <mergeCell ref="K374:N374"/>
    <mergeCell ref="O374:R374"/>
    <mergeCell ref="G375:J375"/>
    <mergeCell ref="K375:N375"/>
    <mergeCell ref="O375:R375"/>
    <mergeCell ref="G370:J370"/>
    <mergeCell ref="K370:N370"/>
    <mergeCell ref="O370:R370"/>
    <mergeCell ref="G371:J371"/>
    <mergeCell ref="O357:R357"/>
    <mergeCell ref="S357:V357"/>
    <mergeCell ref="W357:Z357"/>
    <mergeCell ref="AA355:AD355"/>
    <mergeCell ref="G356:J356"/>
    <mergeCell ref="K356:N356"/>
    <mergeCell ref="O356:R356"/>
    <mergeCell ref="S356:V356"/>
    <mergeCell ref="W356:Z356"/>
    <mergeCell ref="AA356:AD356"/>
    <mergeCell ref="G355:J355"/>
    <mergeCell ref="K355:N355"/>
    <mergeCell ref="O355:R355"/>
    <mergeCell ref="S355:V355"/>
    <mergeCell ref="W355:Z355"/>
    <mergeCell ref="AA353:AD353"/>
    <mergeCell ref="G354:J354"/>
    <mergeCell ref="K354:N354"/>
    <mergeCell ref="O354:R354"/>
    <mergeCell ref="S354:V354"/>
    <mergeCell ref="W354:Z354"/>
    <mergeCell ref="AA354:AD354"/>
    <mergeCell ref="G353:J353"/>
    <mergeCell ref="K353:N353"/>
    <mergeCell ref="O353:R353"/>
    <mergeCell ref="S353:V353"/>
    <mergeCell ref="W353:Z353"/>
    <mergeCell ref="AA351:AD351"/>
    <mergeCell ref="G352:J352"/>
    <mergeCell ref="K352:N352"/>
    <mergeCell ref="O352:R352"/>
    <mergeCell ref="S352:V352"/>
    <mergeCell ref="W352:Z352"/>
    <mergeCell ref="AA352:AD352"/>
    <mergeCell ref="G351:J351"/>
    <mergeCell ref="K351:N351"/>
    <mergeCell ref="O351:R351"/>
    <mergeCell ref="S351:V351"/>
    <mergeCell ref="W351:Z351"/>
    <mergeCell ref="G270:R270"/>
    <mergeCell ref="S270:AD270"/>
    <mergeCell ref="G271:R271"/>
    <mergeCell ref="S271:AD271"/>
    <mergeCell ref="AI293:AL293"/>
    <mergeCell ref="G294:J294"/>
    <mergeCell ref="K294:N294"/>
    <mergeCell ref="O294:R294"/>
    <mergeCell ref="S294:V294"/>
    <mergeCell ref="W294:Z294"/>
    <mergeCell ref="AA294:AD294"/>
    <mergeCell ref="AE294:AH294"/>
    <mergeCell ref="AI294:AL294"/>
    <mergeCell ref="AE292:AH292"/>
    <mergeCell ref="AI292:AL292"/>
    <mergeCell ref="G293:J293"/>
    <mergeCell ref="K293:N293"/>
    <mergeCell ref="O293:R293"/>
    <mergeCell ref="S293:V293"/>
    <mergeCell ref="W293:Z293"/>
    <mergeCell ref="AA292:AD292"/>
    <mergeCell ref="G291:J291"/>
    <mergeCell ref="K291:N291"/>
    <mergeCell ref="O291:R291"/>
    <mergeCell ref="S291:V291"/>
    <mergeCell ref="W291:Z291"/>
    <mergeCell ref="AI289:AL289"/>
    <mergeCell ref="G290:J290"/>
    <mergeCell ref="K290:N290"/>
    <mergeCell ref="O290:R290"/>
    <mergeCell ref="S290:V290"/>
    <mergeCell ref="W290:Z290"/>
    <mergeCell ref="AA290:AD290"/>
    <mergeCell ref="AE290:AH290"/>
    <mergeCell ref="AI290:AL290"/>
    <mergeCell ref="AE288:AH288"/>
    <mergeCell ref="AI288:AL288"/>
    <mergeCell ref="G289:J289"/>
    <mergeCell ref="K289:N289"/>
    <mergeCell ref="O289:R289"/>
    <mergeCell ref="S289:V289"/>
    <mergeCell ref="W289:Z289"/>
    <mergeCell ref="AA289:AD289"/>
    <mergeCell ref="AE289:AH289"/>
    <mergeCell ref="AA287:AD287"/>
    <mergeCell ref="AE287:AH287"/>
    <mergeCell ref="AI287:AL287"/>
    <mergeCell ref="G288:J288"/>
    <mergeCell ref="K288:N288"/>
    <mergeCell ref="O288:R288"/>
    <mergeCell ref="S288:V288"/>
    <mergeCell ref="W288:Z288"/>
    <mergeCell ref="AA288:AD288"/>
    <mergeCell ref="G287:J287"/>
    <mergeCell ref="K287:N287"/>
    <mergeCell ref="O287:R287"/>
    <mergeCell ref="S287:V287"/>
    <mergeCell ref="W287:Z287"/>
    <mergeCell ref="AI285:AL285"/>
    <mergeCell ref="G286:J286"/>
    <mergeCell ref="K286:N286"/>
    <mergeCell ref="O286:R286"/>
    <mergeCell ref="S286:V286"/>
    <mergeCell ref="W286:Z286"/>
    <mergeCell ref="AA286:AD286"/>
    <mergeCell ref="AE286:AH286"/>
    <mergeCell ref="AI286:AL286"/>
    <mergeCell ref="AE284:AH284"/>
    <mergeCell ref="AI284:AL284"/>
    <mergeCell ref="G285:J285"/>
    <mergeCell ref="K285:N285"/>
    <mergeCell ref="O285:R285"/>
    <mergeCell ref="S285:V285"/>
    <mergeCell ref="W285:Z285"/>
    <mergeCell ref="AA285:AD285"/>
    <mergeCell ref="AE285:AH285"/>
    <mergeCell ref="AA283:AD283"/>
    <mergeCell ref="AE283:AH283"/>
    <mergeCell ref="AI283:AL283"/>
    <mergeCell ref="G284:J284"/>
    <mergeCell ref="K284:N284"/>
    <mergeCell ref="O284:R284"/>
    <mergeCell ref="S284:V284"/>
    <mergeCell ref="W284:Z284"/>
    <mergeCell ref="AA284:AD284"/>
    <mergeCell ref="G283:J283"/>
    <mergeCell ref="K283:N283"/>
    <mergeCell ref="O283:R283"/>
    <mergeCell ref="S283:V283"/>
    <mergeCell ref="W283:Z283"/>
    <mergeCell ref="O282:V282"/>
    <mergeCell ref="W282:AD282"/>
    <mergeCell ref="AE282:AL282"/>
    <mergeCell ref="S261:V261"/>
    <mergeCell ref="O260:R260"/>
    <mergeCell ref="S260:V260"/>
    <mergeCell ref="G261:J261"/>
    <mergeCell ref="K261:N261"/>
    <mergeCell ref="O261:R261"/>
    <mergeCell ref="K259:N259"/>
    <mergeCell ref="O259:R259"/>
    <mergeCell ref="S259:V259"/>
    <mergeCell ref="G260:J260"/>
    <mergeCell ref="K260:N260"/>
    <mergeCell ref="G259:J259"/>
    <mergeCell ref="S257:V257"/>
    <mergeCell ref="G258:J258"/>
    <mergeCell ref="K258:N258"/>
    <mergeCell ref="O258:R258"/>
    <mergeCell ref="S258:V258"/>
    <mergeCell ref="O256:R256"/>
    <mergeCell ref="S256:V256"/>
    <mergeCell ref="G257:J257"/>
    <mergeCell ref="K257:N257"/>
    <mergeCell ref="O257:R257"/>
    <mergeCell ref="K255:N255"/>
    <mergeCell ref="O255:R255"/>
    <mergeCell ref="S255:V255"/>
    <mergeCell ref="G256:J256"/>
    <mergeCell ref="K256:N256"/>
    <mergeCell ref="G255:J255"/>
    <mergeCell ref="S253:V253"/>
    <mergeCell ref="G254:J254"/>
    <mergeCell ref="K254:N254"/>
    <mergeCell ref="O254:R254"/>
    <mergeCell ref="S254:V254"/>
    <mergeCell ref="G253:J253"/>
    <mergeCell ref="K253:N253"/>
    <mergeCell ref="O253:R253"/>
    <mergeCell ref="AE246:AH246"/>
    <mergeCell ref="AI246:AL246"/>
    <mergeCell ref="AA245:AD245"/>
    <mergeCell ref="AE245:AH245"/>
    <mergeCell ref="AI245:AL245"/>
    <mergeCell ref="G246:J246"/>
    <mergeCell ref="K246:N246"/>
    <mergeCell ref="O246:R246"/>
    <mergeCell ref="S246:V246"/>
    <mergeCell ref="W246:Z246"/>
    <mergeCell ref="AA246:AD246"/>
    <mergeCell ref="G245:J245"/>
    <mergeCell ref="K245:N245"/>
    <mergeCell ref="O245:R245"/>
    <mergeCell ref="S245:V245"/>
    <mergeCell ref="W245:Z245"/>
    <mergeCell ref="AI243:AL243"/>
    <mergeCell ref="G244:J244"/>
    <mergeCell ref="K244:N244"/>
    <mergeCell ref="O244:R244"/>
    <mergeCell ref="S244:V244"/>
    <mergeCell ref="W244:Z244"/>
    <mergeCell ref="AA244:AD244"/>
    <mergeCell ref="AE244:AH244"/>
    <mergeCell ref="AI244:AL244"/>
    <mergeCell ref="AE242:AH242"/>
    <mergeCell ref="AI242:AL242"/>
    <mergeCell ref="G243:J243"/>
    <mergeCell ref="K243:N243"/>
    <mergeCell ref="O243:R243"/>
    <mergeCell ref="S243:V243"/>
    <mergeCell ref="W243:Z243"/>
    <mergeCell ref="AA243:AD243"/>
    <mergeCell ref="AE243:AH243"/>
    <mergeCell ref="AA241:AD241"/>
    <mergeCell ref="AE241:AH241"/>
    <mergeCell ref="AI241:AL241"/>
    <mergeCell ref="G242:J242"/>
    <mergeCell ref="K242:N242"/>
    <mergeCell ref="O242:R242"/>
    <mergeCell ref="S242:V242"/>
    <mergeCell ref="W242:Z242"/>
    <mergeCell ref="AA242:AD242"/>
    <mergeCell ref="G241:J241"/>
    <mergeCell ref="K241:N241"/>
    <mergeCell ref="O241:R241"/>
    <mergeCell ref="S241:V241"/>
    <mergeCell ref="W241:Z241"/>
    <mergeCell ref="AI239:AL239"/>
    <mergeCell ref="G240:J240"/>
    <mergeCell ref="K240:N240"/>
    <mergeCell ref="O240:R240"/>
    <mergeCell ref="S240:V240"/>
    <mergeCell ref="W240:Z240"/>
    <mergeCell ref="AA240:AD240"/>
    <mergeCell ref="AE240:AH240"/>
    <mergeCell ref="AI240:AL240"/>
    <mergeCell ref="W235:Z235"/>
    <mergeCell ref="AA235:AD235"/>
    <mergeCell ref="AE235:AH235"/>
    <mergeCell ref="AE238:AH238"/>
    <mergeCell ref="AI238:AL238"/>
    <mergeCell ref="G239:J239"/>
    <mergeCell ref="K239:N239"/>
    <mergeCell ref="O239:R239"/>
    <mergeCell ref="S239:V239"/>
    <mergeCell ref="W239:Z239"/>
    <mergeCell ref="AA239:AD239"/>
    <mergeCell ref="AE239:AH239"/>
    <mergeCell ref="AA237:AD237"/>
    <mergeCell ref="AE237:AH237"/>
    <mergeCell ref="AI237:AL237"/>
    <mergeCell ref="G238:J238"/>
    <mergeCell ref="K238:N238"/>
    <mergeCell ref="O238:R238"/>
    <mergeCell ref="S238:V238"/>
    <mergeCell ref="W238:Z238"/>
    <mergeCell ref="AA238:AD238"/>
    <mergeCell ref="G237:J237"/>
    <mergeCell ref="K237:N237"/>
    <mergeCell ref="O237:R237"/>
    <mergeCell ref="S237:V237"/>
    <mergeCell ref="W237:Z237"/>
    <mergeCell ref="AD130:AG130"/>
    <mergeCell ref="V131:Y131"/>
    <mergeCell ref="Z131:AC131"/>
    <mergeCell ref="K134:L134"/>
    <mergeCell ref="G135:H135"/>
    <mergeCell ref="I135:J135"/>
    <mergeCell ref="K135:L135"/>
    <mergeCell ref="G136:H136"/>
    <mergeCell ref="I136:J136"/>
    <mergeCell ref="K136:L136"/>
    <mergeCell ref="G137:H137"/>
    <mergeCell ref="I137:J137"/>
    <mergeCell ref="K137:L137"/>
    <mergeCell ref="G138:H138"/>
    <mergeCell ref="I138:J138"/>
    <mergeCell ref="K133:L133"/>
    <mergeCell ref="K138:L138"/>
    <mergeCell ref="AD154:AG154"/>
    <mergeCell ref="N155:Q155"/>
    <mergeCell ref="R155:U155"/>
    <mergeCell ref="V155:Y155"/>
    <mergeCell ref="Z155:AC155"/>
    <mergeCell ref="AD155:AG155"/>
    <mergeCell ref="AD149:AG149"/>
    <mergeCell ref="Z149:AC149"/>
    <mergeCell ref="V149:Y149"/>
    <mergeCell ref="R149:U149"/>
    <mergeCell ref="N149:Q149"/>
    <mergeCell ref="AD148:AG148"/>
    <mergeCell ref="AI235:AL235"/>
    <mergeCell ref="G236:J236"/>
    <mergeCell ref="K236:N236"/>
    <mergeCell ref="O236:R236"/>
    <mergeCell ref="S236:V236"/>
    <mergeCell ref="W236:Z236"/>
    <mergeCell ref="AA236:AD236"/>
    <mergeCell ref="AE236:AH236"/>
    <mergeCell ref="AI236:AL236"/>
    <mergeCell ref="G234:V234"/>
    <mergeCell ref="W234:AL234"/>
    <mergeCell ref="G235:J235"/>
    <mergeCell ref="K235:N235"/>
    <mergeCell ref="O235:R235"/>
    <mergeCell ref="S235:V235"/>
    <mergeCell ref="I128:J128"/>
    <mergeCell ref="K128:L128"/>
    <mergeCell ref="N132:Q132"/>
    <mergeCell ref="N150:Q150"/>
    <mergeCell ref="R150:U150"/>
    <mergeCell ref="N141:AG142"/>
    <mergeCell ref="K147:L147"/>
    <mergeCell ref="G148:H148"/>
    <mergeCell ref="I148:J148"/>
    <mergeCell ref="K148:L148"/>
    <mergeCell ref="G149:H149"/>
    <mergeCell ref="I149:J149"/>
    <mergeCell ref="K149:L149"/>
    <mergeCell ref="G146:H146"/>
    <mergeCell ref="I146:J146"/>
    <mergeCell ref="K146:L146"/>
    <mergeCell ref="A150:L150"/>
    <mergeCell ref="V127:Y127"/>
    <mergeCell ref="Z127:AC127"/>
    <mergeCell ref="AD127:AG127"/>
    <mergeCell ref="V128:Y128"/>
    <mergeCell ref="Z128:AC128"/>
    <mergeCell ref="AD128:AG128"/>
    <mergeCell ref="I122:J122"/>
    <mergeCell ref="K123:L123"/>
    <mergeCell ref="K121:L122"/>
    <mergeCell ref="K124:L124"/>
    <mergeCell ref="K125:L125"/>
    <mergeCell ref="K126:L126"/>
    <mergeCell ref="K127:L127"/>
    <mergeCell ref="A212:AF212"/>
    <mergeCell ref="I129:J129"/>
    <mergeCell ref="K129:L129"/>
    <mergeCell ref="G130:H130"/>
    <mergeCell ref="I130:J130"/>
    <mergeCell ref="K130:L130"/>
    <mergeCell ref="V129:Y129"/>
    <mergeCell ref="Z129:AC129"/>
    <mergeCell ref="AD129:AG129"/>
    <mergeCell ref="V130:Y130"/>
    <mergeCell ref="G131:H131"/>
    <mergeCell ref="I131:J131"/>
    <mergeCell ref="K131:L131"/>
    <mergeCell ref="G132:H132"/>
    <mergeCell ref="I132:J132"/>
    <mergeCell ref="K132:L132"/>
    <mergeCell ref="Z130:AC130"/>
    <mergeCell ref="A132:F132"/>
    <mergeCell ref="A133:F133"/>
    <mergeCell ref="U82:V82"/>
    <mergeCell ref="W82:AF82"/>
    <mergeCell ref="A83:AF83"/>
    <mergeCell ref="A84:AF84"/>
    <mergeCell ref="V123:Y123"/>
    <mergeCell ref="Z123:AC123"/>
    <mergeCell ref="AD123:AG123"/>
    <mergeCell ref="V122:Y122"/>
    <mergeCell ref="Z122:AC122"/>
    <mergeCell ref="AD122:AG122"/>
    <mergeCell ref="V124:Y124"/>
    <mergeCell ref="Z124:AC124"/>
    <mergeCell ref="AD124:AG124"/>
    <mergeCell ref="V125:Y125"/>
    <mergeCell ref="Z125:AC125"/>
    <mergeCell ref="AD125:AG125"/>
    <mergeCell ref="V126:Y126"/>
    <mergeCell ref="Z126:AC126"/>
    <mergeCell ref="AD126:AG126"/>
    <mergeCell ref="A86:AF86"/>
    <mergeCell ref="U94:V94"/>
    <mergeCell ref="U95:V95"/>
    <mergeCell ref="U96:V96"/>
    <mergeCell ref="U97:V97"/>
    <mergeCell ref="U98:V98"/>
    <mergeCell ref="U99:V99"/>
    <mergeCell ref="W91:AA91"/>
    <mergeCell ref="A108:F108"/>
    <mergeCell ref="A109:F109"/>
    <mergeCell ref="A110:F110"/>
    <mergeCell ref="A111:F111"/>
    <mergeCell ref="A113:F113"/>
    <mergeCell ref="A1:AF1"/>
    <mergeCell ref="A34:AF34"/>
    <mergeCell ref="A68:AF68"/>
    <mergeCell ref="A70:D70"/>
    <mergeCell ref="E70:P70"/>
    <mergeCell ref="Q70:T70"/>
    <mergeCell ref="U70:V70"/>
    <mergeCell ref="W70:AF70"/>
    <mergeCell ref="A71:D71"/>
    <mergeCell ref="E71:P71"/>
    <mergeCell ref="Q71:T71"/>
    <mergeCell ref="U71:V71"/>
    <mergeCell ref="W71:AF71"/>
    <mergeCell ref="A69:D69"/>
    <mergeCell ref="E69:P69"/>
    <mergeCell ref="Q69:T69"/>
    <mergeCell ref="U69:V69"/>
    <mergeCell ref="W69:AF69"/>
    <mergeCell ref="A3:AF3"/>
    <mergeCell ref="B5:AF5"/>
    <mergeCell ref="A7:AF7"/>
    <mergeCell ref="B9:I9"/>
    <mergeCell ref="B10:AF10"/>
    <mergeCell ref="B12:I12"/>
    <mergeCell ref="B13:AF13"/>
    <mergeCell ref="B15:AF15"/>
    <mergeCell ref="B19:I19"/>
    <mergeCell ref="B20:AF20"/>
    <mergeCell ref="B22:I22"/>
    <mergeCell ref="B27:AF27"/>
    <mergeCell ref="B32:AF32"/>
    <mergeCell ref="B17:AF17"/>
    <mergeCell ref="B23:AF23"/>
    <mergeCell ref="B25:AF25"/>
    <mergeCell ref="B29:AF29"/>
    <mergeCell ref="A72:D72"/>
    <mergeCell ref="E72:P72"/>
    <mergeCell ref="Q72:T72"/>
    <mergeCell ref="U72:V72"/>
    <mergeCell ref="W72:AF72"/>
    <mergeCell ref="A85:AF85"/>
    <mergeCell ref="A80:D80"/>
    <mergeCell ref="E80:P80"/>
    <mergeCell ref="Q80:T80"/>
    <mergeCell ref="U80:V80"/>
    <mergeCell ref="W80:AF80"/>
    <mergeCell ref="A81:D81"/>
    <mergeCell ref="E81:P81"/>
    <mergeCell ref="Q81:T81"/>
    <mergeCell ref="U81:V81"/>
    <mergeCell ref="W81:AF81"/>
    <mergeCell ref="A73:D73"/>
    <mergeCell ref="E73:P73"/>
    <mergeCell ref="Q73:T73"/>
    <mergeCell ref="U73:V73"/>
    <mergeCell ref="W73:AF73"/>
    <mergeCell ref="A78:D78"/>
    <mergeCell ref="E78:P78"/>
    <mergeCell ref="A74:D74"/>
    <mergeCell ref="E74:P74"/>
    <mergeCell ref="Q74:T74"/>
    <mergeCell ref="U74:V74"/>
    <mergeCell ref="W74:AF74"/>
    <mergeCell ref="A75:D75"/>
    <mergeCell ref="E75:P75"/>
    <mergeCell ref="Q75:T75"/>
    <mergeCell ref="U75:V75"/>
    <mergeCell ref="W75:AF75"/>
    <mergeCell ref="A76:D76"/>
    <mergeCell ref="E76:P76"/>
    <mergeCell ref="Q76:T76"/>
    <mergeCell ref="U76:V76"/>
    <mergeCell ref="W76:AF76"/>
    <mergeCell ref="A77:D77"/>
    <mergeCell ref="E77:P77"/>
    <mergeCell ref="Q77:T77"/>
    <mergeCell ref="U77:V77"/>
    <mergeCell ref="W77:AF77"/>
    <mergeCell ref="Q78:T78"/>
    <mergeCell ref="U78:V78"/>
    <mergeCell ref="W78:AF78"/>
    <mergeCell ref="A79:D79"/>
    <mergeCell ref="E79:P79"/>
    <mergeCell ref="Q79:T79"/>
    <mergeCell ref="U79:V79"/>
    <mergeCell ref="W79:AF79"/>
    <mergeCell ref="A82:D82"/>
    <mergeCell ref="E82:P82"/>
    <mergeCell ref="Q82:T82"/>
    <mergeCell ref="O97:T97"/>
    <mergeCell ref="O98:T98"/>
    <mergeCell ref="O99:T99"/>
    <mergeCell ref="G94:L94"/>
    <mergeCell ref="G95:L95"/>
    <mergeCell ref="G96:L96"/>
    <mergeCell ref="O94:T94"/>
    <mergeCell ref="O95:T95"/>
    <mergeCell ref="O96:T96"/>
    <mergeCell ref="W94:AA94"/>
    <mergeCell ref="W95:AA95"/>
    <mergeCell ref="G93:L93"/>
    <mergeCell ref="O91:T91"/>
    <mergeCell ref="O92:T92"/>
    <mergeCell ref="O93:T93"/>
    <mergeCell ref="W92:AA92"/>
    <mergeCell ref="W93:AA93"/>
    <mergeCell ref="W96:AA96"/>
    <mergeCell ref="W97:AA97"/>
    <mergeCell ref="W98:AA98"/>
    <mergeCell ref="W99:AA99"/>
    <mergeCell ref="U91:V91"/>
    <mergeCell ref="U92:V92"/>
    <mergeCell ref="U93:V93"/>
    <mergeCell ref="A114:F114"/>
    <mergeCell ref="A115:F115"/>
    <mergeCell ref="A116:F116"/>
    <mergeCell ref="A117:F117"/>
    <mergeCell ref="G92:L92"/>
    <mergeCell ref="G91:L91"/>
    <mergeCell ref="A91:F91"/>
    <mergeCell ref="G113:L113"/>
    <mergeCell ref="G114:L114"/>
    <mergeCell ref="O113:T113"/>
    <mergeCell ref="O114:T114"/>
    <mergeCell ref="W113:AA113"/>
    <mergeCell ref="W114:AA114"/>
    <mergeCell ref="G109:L109"/>
    <mergeCell ref="G110:L110"/>
    <mergeCell ref="G111:L111"/>
    <mergeCell ref="O109:T109"/>
    <mergeCell ref="O110:T110"/>
    <mergeCell ref="O111:T111"/>
    <mergeCell ref="G106:L106"/>
    <mergeCell ref="G107:L107"/>
    <mergeCell ref="G108:L108"/>
    <mergeCell ref="O106:T106"/>
    <mergeCell ref="O107:T107"/>
    <mergeCell ref="O108:T108"/>
    <mergeCell ref="G103:L103"/>
    <mergeCell ref="G104:L104"/>
    <mergeCell ref="G102:L102"/>
    <mergeCell ref="A92:F92"/>
    <mergeCell ref="A93:F93"/>
    <mergeCell ref="A94:F94"/>
    <mergeCell ref="A95:F95"/>
    <mergeCell ref="A96:F96"/>
    <mergeCell ref="A97:F97"/>
    <mergeCell ref="A98:F98"/>
    <mergeCell ref="A99:F99"/>
    <mergeCell ref="A100:F100"/>
    <mergeCell ref="A101:F101"/>
    <mergeCell ref="A102:F102"/>
    <mergeCell ref="A103:F103"/>
    <mergeCell ref="A104:F104"/>
    <mergeCell ref="A105:F105"/>
    <mergeCell ref="A106:F106"/>
    <mergeCell ref="A107:F107"/>
    <mergeCell ref="G105:L105"/>
    <mergeCell ref="G97:L97"/>
    <mergeCell ref="G98:L98"/>
    <mergeCell ref="G99:L99"/>
    <mergeCell ref="O100:T100"/>
    <mergeCell ref="G115:L115"/>
    <mergeCell ref="G116:L116"/>
    <mergeCell ref="G117:L117"/>
    <mergeCell ref="M92:N92"/>
    <mergeCell ref="M91:N91"/>
    <mergeCell ref="M93:N93"/>
    <mergeCell ref="M94:N94"/>
    <mergeCell ref="M95:N95"/>
    <mergeCell ref="M96:N96"/>
    <mergeCell ref="M97:N97"/>
    <mergeCell ref="M98:N98"/>
    <mergeCell ref="M99:N99"/>
    <mergeCell ref="M100:N100"/>
    <mergeCell ref="M101:N101"/>
    <mergeCell ref="M102:N102"/>
    <mergeCell ref="M103:N103"/>
    <mergeCell ref="M104:N104"/>
    <mergeCell ref="M105:N105"/>
    <mergeCell ref="M106:N106"/>
    <mergeCell ref="M107:N107"/>
    <mergeCell ref="M108:N108"/>
    <mergeCell ref="M109:N109"/>
    <mergeCell ref="M110:N110"/>
    <mergeCell ref="M111:N111"/>
    <mergeCell ref="M113:N113"/>
    <mergeCell ref="M114:N114"/>
    <mergeCell ref="M115:N115"/>
    <mergeCell ref="M116:N116"/>
    <mergeCell ref="M117:N117"/>
    <mergeCell ref="G100:L100"/>
    <mergeCell ref="G101:L101"/>
    <mergeCell ref="U100:V100"/>
    <mergeCell ref="U101:V101"/>
    <mergeCell ref="U102:V102"/>
    <mergeCell ref="U103:V103"/>
    <mergeCell ref="U104:V104"/>
    <mergeCell ref="U105:V105"/>
    <mergeCell ref="U106:V106"/>
    <mergeCell ref="U107:V107"/>
    <mergeCell ref="W103:AA103"/>
    <mergeCell ref="W104:AA104"/>
    <mergeCell ref="W105:AA105"/>
    <mergeCell ref="W106:AA106"/>
    <mergeCell ref="W107:AA107"/>
    <mergeCell ref="W108:AA108"/>
    <mergeCell ref="W109:AA109"/>
    <mergeCell ref="W110:AA110"/>
    <mergeCell ref="W111:AA111"/>
    <mergeCell ref="W100:AA100"/>
    <mergeCell ref="W102:AA102"/>
    <mergeCell ref="O115:T115"/>
    <mergeCell ref="O101:T101"/>
    <mergeCell ref="O102:T102"/>
    <mergeCell ref="W115:AA115"/>
    <mergeCell ref="O116:T116"/>
    <mergeCell ref="O117:T117"/>
    <mergeCell ref="U108:V108"/>
    <mergeCell ref="U109:V109"/>
    <mergeCell ref="U110:V110"/>
    <mergeCell ref="U111:V111"/>
    <mergeCell ref="U113:V113"/>
    <mergeCell ref="U114:V114"/>
    <mergeCell ref="U115:V115"/>
    <mergeCell ref="U116:V116"/>
    <mergeCell ref="U117:V117"/>
    <mergeCell ref="O103:T103"/>
    <mergeCell ref="O104:T104"/>
    <mergeCell ref="O105:T105"/>
    <mergeCell ref="W116:AA116"/>
    <mergeCell ref="W117:AA117"/>
    <mergeCell ref="AB113:AC113"/>
    <mergeCell ref="AB114:AC114"/>
    <mergeCell ref="AB115:AC115"/>
    <mergeCell ref="AB116:AC116"/>
    <mergeCell ref="AB117:AC117"/>
    <mergeCell ref="W101:AA101"/>
    <mergeCell ref="AB92:AC92"/>
    <mergeCell ref="AB93:AC93"/>
    <mergeCell ref="AB94:AC94"/>
    <mergeCell ref="AB95:AC95"/>
    <mergeCell ref="AB91:AC91"/>
    <mergeCell ref="AB96:AC96"/>
    <mergeCell ref="AB97:AC97"/>
    <mergeCell ref="AB98:AC98"/>
    <mergeCell ref="AB99:AC99"/>
    <mergeCell ref="AB100:AC100"/>
    <mergeCell ref="AB101:AC101"/>
    <mergeCell ref="AB102:AC102"/>
    <mergeCell ref="AB103:AC103"/>
    <mergeCell ref="AB104:AC104"/>
    <mergeCell ref="AB105:AC105"/>
    <mergeCell ref="AB106:AC106"/>
    <mergeCell ref="AB107:AC107"/>
    <mergeCell ref="G90:N90"/>
    <mergeCell ref="O90:V90"/>
    <mergeCell ref="W90:AC90"/>
    <mergeCell ref="A89:F90"/>
    <mergeCell ref="G89:V89"/>
    <mergeCell ref="G128:H128"/>
    <mergeCell ref="A121:F121"/>
    <mergeCell ref="A122:F122"/>
    <mergeCell ref="A123:F123"/>
    <mergeCell ref="A124:F124"/>
    <mergeCell ref="A125:F125"/>
    <mergeCell ref="A126:F126"/>
    <mergeCell ref="A127:F127"/>
    <mergeCell ref="A128:F128"/>
    <mergeCell ref="A129:F129"/>
    <mergeCell ref="A130:F130"/>
    <mergeCell ref="A131:F131"/>
    <mergeCell ref="R123:U123"/>
    <mergeCell ref="R122:U122"/>
    <mergeCell ref="R124:U124"/>
    <mergeCell ref="R125:U125"/>
    <mergeCell ref="R126:U126"/>
    <mergeCell ref="R127:U127"/>
    <mergeCell ref="R128:U128"/>
    <mergeCell ref="R129:U129"/>
    <mergeCell ref="R130:U130"/>
    <mergeCell ref="R131:U131"/>
    <mergeCell ref="N131:Q131"/>
    <mergeCell ref="AB108:AC108"/>
    <mergeCell ref="AB109:AC109"/>
    <mergeCell ref="AB110:AC110"/>
    <mergeCell ref="AB111:AC111"/>
    <mergeCell ref="A134:F134"/>
    <mergeCell ref="A135:F135"/>
    <mergeCell ref="A136:F136"/>
    <mergeCell ref="G129:H129"/>
    <mergeCell ref="G122:H122"/>
    <mergeCell ref="G121:J121"/>
    <mergeCell ref="G123:H123"/>
    <mergeCell ref="I123:J123"/>
    <mergeCell ref="G124:H124"/>
    <mergeCell ref="I124:J124"/>
    <mergeCell ref="G125:H125"/>
    <mergeCell ref="I125:J125"/>
    <mergeCell ref="G126:H126"/>
    <mergeCell ref="I126:J126"/>
    <mergeCell ref="G127:H127"/>
    <mergeCell ref="I127:J127"/>
    <mergeCell ref="G134:H134"/>
    <mergeCell ref="I134:J134"/>
    <mergeCell ref="G133:H133"/>
    <mergeCell ref="I133:J133"/>
    <mergeCell ref="A139:F139"/>
    <mergeCell ref="A137:F137"/>
    <mergeCell ref="A151:L151"/>
    <mergeCell ref="G139:H139"/>
    <mergeCell ref="I139:J139"/>
    <mergeCell ref="K139:L139"/>
    <mergeCell ref="G140:H140"/>
    <mergeCell ref="I140:J140"/>
    <mergeCell ref="K140:L140"/>
    <mergeCell ref="G141:H141"/>
    <mergeCell ref="I141:J141"/>
    <mergeCell ref="K141:L141"/>
    <mergeCell ref="G142:H142"/>
    <mergeCell ref="I142:J142"/>
    <mergeCell ref="K142:L142"/>
    <mergeCell ref="G143:H143"/>
    <mergeCell ref="I143:J143"/>
    <mergeCell ref="K143:L143"/>
    <mergeCell ref="G145:H145"/>
    <mergeCell ref="I145:J145"/>
    <mergeCell ref="K145:L145"/>
    <mergeCell ref="A140:F140"/>
    <mergeCell ref="A141:F141"/>
    <mergeCell ref="A142:F142"/>
    <mergeCell ref="A143:F143"/>
    <mergeCell ref="A145:F145"/>
    <mergeCell ref="A146:F146"/>
    <mergeCell ref="A147:F147"/>
    <mergeCell ref="A148:F148"/>
    <mergeCell ref="A149:F149"/>
    <mergeCell ref="G147:H147"/>
    <mergeCell ref="I147:J147"/>
    <mergeCell ref="A138:F138"/>
    <mergeCell ref="Z153:AC153"/>
    <mergeCell ref="AD153:AG153"/>
    <mergeCell ref="A154:L154"/>
    <mergeCell ref="AD131:AG131"/>
    <mergeCell ref="R132:U132"/>
    <mergeCell ref="V132:Y132"/>
    <mergeCell ref="Z132:AC132"/>
    <mergeCell ref="AD132:AG132"/>
    <mergeCell ref="N133:Q133"/>
    <mergeCell ref="R133:U133"/>
    <mergeCell ref="V133:Y133"/>
    <mergeCell ref="Z133:AC133"/>
    <mergeCell ref="AD133:AG133"/>
    <mergeCell ref="N134:AG134"/>
    <mergeCell ref="N120:AG121"/>
    <mergeCell ref="N135:AG135"/>
    <mergeCell ref="O136:AG136"/>
    <mergeCell ref="O137:AG137"/>
    <mergeCell ref="O138:AG138"/>
    <mergeCell ref="N139:AG139"/>
    <mergeCell ref="A152:L152"/>
    <mergeCell ref="A153:L153"/>
    <mergeCell ref="N122:Q122"/>
    <mergeCell ref="N123:Q123"/>
    <mergeCell ref="N124:Q124"/>
    <mergeCell ref="N125:Q125"/>
    <mergeCell ref="N126:Q126"/>
    <mergeCell ref="N127:Q127"/>
    <mergeCell ref="N128:Q128"/>
    <mergeCell ref="N129:Q129"/>
    <mergeCell ref="N130:Q130"/>
    <mergeCell ref="Z148:AC148"/>
    <mergeCell ref="V148:Y148"/>
    <mergeCell ref="R148:U148"/>
    <mergeCell ref="N148:Q148"/>
    <mergeCell ref="V150:Y150"/>
    <mergeCell ref="Z150:AC150"/>
    <mergeCell ref="AD150:AG150"/>
    <mergeCell ref="N151:Q151"/>
    <mergeCell ref="R151:U151"/>
    <mergeCell ref="V151:Y151"/>
    <mergeCell ref="Z151:AC151"/>
    <mergeCell ref="AD151:AG151"/>
    <mergeCell ref="N152:Q152"/>
    <mergeCell ref="R152:U152"/>
    <mergeCell ref="V152:Y152"/>
    <mergeCell ref="Z152:AC152"/>
    <mergeCell ref="AD152:AG152"/>
    <mergeCell ref="N153:Q153"/>
    <mergeCell ref="R153:U153"/>
    <mergeCell ref="V153:Y153"/>
    <mergeCell ref="N156:Q156"/>
    <mergeCell ref="R156:U156"/>
    <mergeCell ref="V156:Y156"/>
    <mergeCell ref="Z156:AC156"/>
    <mergeCell ref="AD156:AG156"/>
    <mergeCell ref="N143:Q145"/>
    <mergeCell ref="N163:AG163"/>
    <mergeCell ref="N157:AG157"/>
    <mergeCell ref="N158:AG158"/>
    <mergeCell ref="O159:AG159"/>
    <mergeCell ref="O160:AG160"/>
    <mergeCell ref="O161:AG161"/>
    <mergeCell ref="O162:AG162"/>
    <mergeCell ref="A155:L155"/>
    <mergeCell ref="AD147:AG147"/>
    <mergeCell ref="Z147:AC147"/>
    <mergeCell ref="V147:Y147"/>
    <mergeCell ref="R147:U147"/>
    <mergeCell ref="N147:Q147"/>
    <mergeCell ref="AD146:AG146"/>
    <mergeCell ref="Z146:AC146"/>
    <mergeCell ref="V146:Y146"/>
    <mergeCell ref="R146:U146"/>
    <mergeCell ref="N146:Q146"/>
    <mergeCell ref="AD145:AG145"/>
    <mergeCell ref="Z145:AC145"/>
    <mergeCell ref="V145:Y145"/>
    <mergeCell ref="R145:U145"/>
    <mergeCell ref="N154:Q154"/>
    <mergeCell ref="R154:U154"/>
    <mergeCell ref="V154:Y154"/>
    <mergeCell ref="Z154:AC154"/>
    <mergeCell ref="A432:AL432"/>
    <mergeCell ref="A436:AL436"/>
    <mergeCell ref="G442:V442"/>
    <mergeCell ref="W442:AL442"/>
    <mergeCell ref="A443:F443"/>
    <mergeCell ref="G443:J443"/>
    <mergeCell ref="K443:N443"/>
    <mergeCell ref="O443:R443"/>
    <mergeCell ref="S443:V443"/>
    <mergeCell ref="W443:Z443"/>
    <mergeCell ref="AA443:AD443"/>
    <mergeCell ref="AE443:AH443"/>
    <mergeCell ref="AI443:AL443"/>
    <mergeCell ref="A444:F444"/>
    <mergeCell ref="G444:J444"/>
    <mergeCell ref="AA322:AD322"/>
    <mergeCell ref="AA323:AD323"/>
    <mergeCell ref="G324:J324"/>
    <mergeCell ref="K324:N324"/>
    <mergeCell ref="O324:R324"/>
    <mergeCell ref="S324:V324"/>
    <mergeCell ref="W324:Z324"/>
    <mergeCell ref="AA324:AD324"/>
    <mergeCell ref="G325:J325"/>
    <mergeCell ref="K325:N325"/>
    <mergeCell ref="O325:R325"/>
    <mergeCell ref="S325:V325"/>
    <mergeCell ref="W325:Z325"/>
    <mergeCell ref="AA325:AD325"/>
    <mergeCell ref="O449:R449"/>
    <mergeCell ref="S449:V449"/>
    <mergeCell ref="W449:Z449"/>
    <mergeCell ref="AA449:AD449"/>
    <mergeCell ref="AE449:AH449"/>
    <mergeCell ref="AI449:AL449"/>
    <mergeCell ref="A450:F450"/>
    <mergeCell ref="G450:J450"/>
    <mergeCell ref="K450:N450"/>
    <mergeCell ref="O450:R450"/>
    <mergeCell ref="S450:V450"/>
    <mergeCell ref="W450:Z450"/>
    <mergeCell ref="AA450:AD450"/>
    <mergeCell ref="AE450:AH450"/>
    <mergeCell ref="AI450:AL450"/>
    <mergeCell ref="A451:F451"/>
    <mergeCell ref="G451:J451"/>
    <mergeCell ref="K451:N451"/>
    <mergeCell ref="O451:R451"/>
    <mergeCell ref="S451:V451"/>
    <mergeCell ref="W451:Z451"/>
    <mergeCell ref="AA451:AD451"/>
    <mergeCell ref="AE451:AH451"/>
    <mergeCell ref="AI451:AL451"/>
    <mergeCell ref="O452:R452"/>
    <mergeCell ref="S452:V452"/>
    <mergeCell ref="W452:Z452"/>
    <mergeCell ref="AA452:AD452"/>
    <mergeCell ref="AE452:AH452"/>
    <mergeCell ref="AI452:AL452"/>
    <mergeCell ref="A453:F453"/>
    <mergeCell ref="G453:J453"/>
    <mergeCell ref="K453:N453"/>
    <mergeCell ref="O453:R453"/>
    <mergeCell ref="S453:V453"/>
    <mergeCell ref="W453:Z453"/>
    <mergeCell ref="AA453:AD453"/>
    <mergeCell ref="AE453:AH453"/>
    <mergeCell ref="AI453:AL453"/>
    <mergeCell ref="S454:V454"/>
    <mergeCell ref="W454:Z454"/>
    <mergeCell ref="AA454:AD454"/>
    <mergeCell ref="AE454:AH454"/>
    <mergeCell ref="AI454:AL454"/>
    <mergeCell ref="AE513:AH513"/>
    <mergeCell ref="AI513:AL513"/>
    <mergeCell ref="A513:F513"/>
    <mergeCell ref="G513:J513"/>
    <mergeCell ref="K513:N513"/>
    <mergeCell ref="W513:Z513"/>
    <mergeCell ref="AA513:AD513"/>
    <mergeCell ref="A500:F500"/>
    <mergeCell ref="G500:J500"/>
    <mergeCell ref="K500:N500"/>
    <mergeCell ref="O500:R500"/>
    <mergeCell ref="S500:V500"/>
    <mergeCell ref="W482:Z482"/>
    <mergeCell ref="AA482:AD482"/>
    <mergeCell ref="AE482:AH482"/>
    <mergeCell ref="AI482:AL482"/>
    <mergeCell ref="W484:Z484"/>
    <mergeCell ref="AA484:AD484"/>
    <mergeCell ref="AE484:AH484"/>
    <mergeCell ref="AI484:AL484"/>
    <mergeCell ref="G482:J482"/>
    <mergeCell ref="K482:N482"/>
    <mergeCell ref="O482:R482"/>
    <mergeCell ref="S482:V482"/>
    <mergeCell ref="O502:R502"/>
    <mergeCell ref="S502:V502"/>
    <mergeCell ref="A495:F495"/>
    <mergeCell ref="G495:J495"/>
    <mergeCell ref="W502:Z502"/>
    <mergeCell ref="AA502:AD502"/>
    <mergeCell ref="G505:J505"/>
    <mergeCell ref="K505:N505"/>
    <mergeCell ref="A569:F569"/>
    <mergeCell ref="A566:F566"/>
    <mergeCell ref="A567:F567"/>
    <mergeCell ref="A551:F551"/>
    <mergeCell ref="G553:R553"/>
    <mergeCell ref="A572:F572"/>
    <mergeCell ref="A573:F573"/>
    <mergeCell ref="A570:F570"/>
    <mergeCell ref="A571:F571"/>
    <mergeCell ref="A579:F579"/>
    <mergeCell ref="G580:I580"/>
    <mergeCell ref="J580:L580"/>
    <mergeCell ref="M580:O580"/>
    <mergeCell ref="P580:R580"/>
    <mergeCell ref="A454:F454"/>
    <mergeCell ref="G454:J454"/>
    <mergeCell ref="K454:N454"/>
    <mergeCell ref="O454:R454"/>
    <mergeCell ref="K481:N481"/>
    <mergeCell ref="O481:R481"/>
    <mergeCell ref="A497:F497"/>
    <mergeCell ref="G497:J497"/>
    <mergeCell ref="K497:N497"/>
    <mergeCell ref="O497:R497"/>
    <mergeCell ref="A537:F537"/>
    <mergeCell ref="A462:F462"/>
    <mergeCell ref="G462:J462"/>
    <mergeCell ref="K462:N462"/>
    <mergeCell ref="O462:R462"/>
    <mergeCell ref="A467:F467"/>
    <mergeCell ref="G467:J467"/>
    <mergeCell ref="K467:N467"/>
    <mergeCell ref="B616:AF616"/>
    <mergeCell ref="A195:AF195"/>
    <mergeCell ref="G317:J317"/>
    <mergeCell ref="K317:N317"/>
    <mergeCell ref="O317:R317"/>
    <mergeCell ref="S317:V317"/>
    <mergeCell ref="W317:Z317"/>
    <mergeCell ref="AA317:AD317"/>
    <mergeCell ref="AA320:AD320"/>
    <mergeCell ref="G321:J321"/>
    <mergeCell ref="K321:N321"/>
    <mergeCell ref="O321:R321"/>
    <mergeCell ref="S321:V321"/>
    <mergeCell ref="W321:Z321"/>
    <mergeCell ref="AA321:AD321"/>
    <mergeCell ref="G322:J322"/>
    <mergeCell ref="K322:N322"/>
    <mergeCell ref="O322:R322"/>
    <mergeCell ref="S322:V322"/>
    <mergeCell ref="W322:Z322"/>
    <mergeCell ref="A597:F597"/>
    <mergeCell ref="A598:F598"/>
    <mergeCell ref="A599:F599"/>
    <mergeCell ref="A600:F600"/>
    <mergeCell ref="A601:F601"/>
    <mergeCell ref="A602:F602"/>
    <mergeCell ref="A603:F603"/>
    <mergeCell ref="A604:F604"/>
    <mergeCell ref="A605:F605"/>
    <mergeCell ref="A580:F580"/>
    <mergeCell ref="A596:F596"/>
    <mergeCell ref="A581:F581"/>
    <mergeCell ref="G327:J327"/>
    <mergeCell ref="K327:N327"/>
    <mergeCell ref="O327:R327"/>
    <mergeCell ref="S327:V327"/>
    <mergeCell ref="W327:Z327"/>
    <mergeCell ref="AA327:AD327"/>
    <mergeCell ref="A606:F606"/>
    <mergeCell ref="B222:K222"/>
    <mergeCell ref="L222:Q222"/>
    <mergeCell ref="R222:W222"/>
    <mergeCell ref="B223:K223"/>
    <mergeCell ref="L223:Q223"/>
    <mergeCell ref="R223:W223"/>
    <mergeCell ref="B224:K224"/>
    <mergeCell ref="L224:Q224"/>
    <mergeCell ref="R224:W224"/>
    <mergeCell ref="B225:K225"/>
    <mergeCell ref="L225:Q225"/>
    <mergeCell ref="A582:F582"/>
    <mergeCell ref="A583:F583"/>
    <mergeCell ref="A584:F584"/>
    <mergeCell ref="A585:F585"/>
    <mergeCell ref="A586:F586"/>
    <mergeCell ref="A587:F587"/>
    <mergeCell ref="A588:F588"/>
    <mergeCell ref="A589:F589"/>
    <mergeCell ref="A590:F590"/>
    <mergeCell ref="A564:F564"/>
    <mergeCell ref="A565:F565"/>
    <mergeCell ref="A562:F562"/>
    <mergeCell ref="A563:F563"/>
    <mergeCell ref="A568:F568"/>
  </mergeCells>
  <hyperlinks>
    <hyperlink ref="A2" location="TOC!A1" display="Return to TOC" xr:uid="{EC9DC99B-86C6-407F-97D2-097AD8F74C15}"/>
    <hyperlink ref="L216:Q216" location="C_Light_General!B231" display="First Year Savings" xr:uid="{C264208F-C779-4F0F-96A5-17E80C4ECFB4}"/>
    <hyperlink ref="L217:Q217" location="C_Light_General!B267" display="First Year Savings" xr:uid="{9F19A8C4-AE99-4C23-936E-E43003919339}"/>
    <hyperlink ref="L218:Q218" location="C_Light_General!B313" display="First Year Savings" xr:uid="{A1275E1F-B423-4DAE-BEBD-BC1FA674862C}"/>
    <hyperlink ref="L219:Q219" location="C_Light_General!B347" display="First Year Savings" xr:uid="{24DB6A14-7460-46B3-A0B9-BA6A701D08DC}"/>
    <hyperlink ref="L220:Q220" location="C_Light_General!B439" display="First Year Savings" xr:uid="{D8380BC5-9293-4181-BDAC-E2F565AD8415}"/>
    <hyperlink ref="L221:Q221" location="C_Light_General!B473" display="First Year Savings" xr:uid="{7B0945C8-9BA5-431F-9A47-22156938D624}"/>
    <hyperlink ref="L223:Q223" location="C_Light_General!B543" display="First Year Savings" xr:uid="{F6736D71-1D07-4370-9130-9297E3F91973}"/>
    <hyperlink ref="L224:Q224" location="C_Light_General!B575" display="First Year Savings" xr:uid="{510BFB31-1355-4703-9331-5C339CA7EAA0}"/>
    <hyperlink ref="L225:Q225" location="C_Light_General!B279" display="First Year Savings" xr:uid="{C2104DFC-44E7-4AFB-B6AE-FDD4C8AC705E}"/>
    <hyperlink ref="L222:Q222" location="C_Light_General!B509" display="First Year Savings" xr:uid="{FBEE3509-F626-40E6-B970-413285B019C2}"/>
    <hyperlink ref="R216:W216" location="C_Light_General!B249" display="Lifetime Savings" xr:uid="{2903D776-75D7-421F-92CC-FCC0E12B340E}"/>
    <hyperlink ref="R217:W217" location="C_Light_General!B273" display="Lifetime Savings" xr:uid="{FDCFD189-4C36-42C4-B1C5-DB3133DF068C}"/>
    <hyperlink ref="R218:W218" location="C_Light_General!B330" display="Lifetime Savings" xr:uid="{6E539AFE-4AF0-4D36-85AC-E87A485D46FC}"/>
    <hyperlink ref="R219:W219" location="C_Light_General!B379" display="Lifetime Savings" xr:uid="{02038D43-C3EC-4177-B9B6-0E3E5A3FE9C2}"/>
    <hyperlink ref="R220:W220" location="C_Light_General!B456" display="Lifetime Savings" xr:uid="{41EDC2D7-DB31-4AD4-BA90-B9E67130F435}"/>
    <hyperlink ref="R221:W221" location="C_Light_General!B491" display="Lifetime Savings" xr:uid="{F8E1BFFA-2D7D-4F37-98C5-68C792B46093}"/>
    <hyperlink ref="R222:W222" location="C_Light_General!B526" display="Lifetime Savings" xr:uid="{36235002-2CDE-4867-ADD4-012B30EF4A8A}"/>
    <hyperlink ref="R223:W223" location="C_Light_General!B559" display="Lifetime Savings" xr:uid="{350517C0-FFED-415A-B0E5-F9FF8A3C03AB}"/>
    <hyperlink ref="R224:W224" location="C_Light_General!B592" display="Lifetime Savings" xr:uid="{B500C304-6E1E-46A2-8F87-D085547D8B57}"/>
    <hyperlink ref="R225:W225" location="C_Light_General!B296" display="Lifetime Savings" xr:uid="{AC9D8D9F-3791-4D8B-A8E1-CD66C1903567}"/>
    <hyperlink ref="L227:V227" location="C_Light_General!A339" display="First Year kW (Pre-Existing)" xr:uid="{99BBE13C-2618-4979-8095-F0CC150D9AEE}"/>
    <hyperlink ref="W227:AG227" location="C_Light_General!A416" display="First Year kW (Federal Standard)" xr:uid="{345DCDBF-ADC9-420F-ADCD-C8C9A3EDA142}"/>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8:AF66" numberStoredAsText="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tint="0.59999389629810485"/>
    <pageSetUpPr autoPageBreaks="0"/>
  </sheetPr>
  <dimension ref="A1:BO119"/>
  <sheetViews>
    <sheetView workbookViewId="0">
      <selection sqref="A1:AF1"/>
    </sheetView>
  </sheetViews>
  <sheetFormatPr defaultColWidth="2.7109375" defaultRowHeight="15" x14ac:dyDescent="0.25"/>
  <sheetData>
    <row r="1" spans="1:65" ht="18.75" x14ac:dyDescent="0.25">
      <c r="A1" s="1464" t="s">
        <v>5537</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I1" s="844"/>
      <c r="AN1" s="584"/>
    </row>
    <row r="2" spans="1:65" s="1" customFormat="1"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K2" s="262"/>
      <c r="AL2" s="262"/>
    </row>
    <row r="3" spans="1:65"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65"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65" ht="60" customHeight="1" x14ac:dyDescent="0.25">
      <c r="A5" s="262"/>
      <c r="B5" s="1173" t="s">
        <v>6889</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I5" s="692"/>
      <c r="AZ5" s="1020"/>
      <c r="BJ5" s="692"/>
    </row>
    <row r="6" spans="1:65" ht="18.75" x14ac:dyDescent="0.25">
      <c r="A6" s="529"/>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I6" s="950"/>
      <c r="AJ6" s="950"/>
      <c r="AK6" s="950"/>
      <c r="AL6" s="950"/>
      <c r="AM6" s="950"/>
      <c r="AN6" s="950"/>
      <c r="AO6" s="950"/>
      <c r="AP6" s="950"/>
      <c r="AQ6" s="950"/>
      <c r="AR6" s="950"/>
      <c r="AS6" s="950"/>
      <c r="AT6" s="950"/>
      <c r="AU6" s="950"/>
      <c r="AV6" s="950"/>
      <c r="AW6" s="950"/>
      <c r="AX6" s="950"/>
      <c r="AY6" s="950"/>
      <c r="AZ6" s="950"/>
      <c r="BA6" s="950"/>
      <c r="BB6" s="950"/>
      <c r="BC6" s="950"/>
      <c r="BD6" s="950"/>
      <c r="BE6" s="950"/>
      <c r="BF6" s="950"/>
      <c r="BG6" s="950"/>
      <c r="BH6" s="950"/>
      <c r="BI6" s="950"/>
      <c r="BJ6" s="950"/>
      <c r="BK6" s="950"/>
      <c r="BL6" s="950"/>
      <c r="BM6" s="950"/>
    </row>
    <row r="7" spans="1:65"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c r="AI7" s="950"/>
      <c r="AJ7" s="950"/>
      <c r="AK7" s="950"/>
      <c r="AL7" s="950"/>
      <c r="AM7" s="950"/>
      <c r="AN7" s="950"/>
      <c r="AO7" s="950"/>
      <c r="AP7" s="950"/>
      <c r="AQ7" s="950"/>
      <c r="AR7" s="950"/>
      <c r="AS7" s="950"/>
      <c r="AT7" s="950"/>
      <c r="AU7" s="950"/>
      <c r="AV7" s="950"/>
      <c r="AW7" s="950"/>
      <c r="AX7" s="950"/>
      <c r="AY7" s="950"/>
      <c r="AZ7" s="950"/>
      <c r="BA7" s="950"/>
      <c r="BB7" s="950"/>
      <c r="BC7" s="950"/>
      <c r="BD7" s="950"/>
      <c r="BE7" s="950"/>
      <c r="BF7" s="950"/>
      <c r="BG7" s="950"/>
      <c r="BH7" s="950"/>
      <c r="BI7" s="950"/>
      <c r="BJ7" s="950"/>
      <c r="BK7" s="950"/>
      <c r="BL7" s="950"/>
      <c r="BM7" s="950"/>
    </row>
    <row r="8" spans="1:65" x14ac:dyDescent="0.25">
      <c r="A8" s="19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I8" s="950"/>
      <c r="AJ8" s="950"/>
      <c r="AK8" s="950"/>
      <c r="AL8" s="950"/>
      <c r="AM8" s="950"/>
      <c r="AN8" s="950"/>
      <c r="AO8" s="950"/>
      <c r="AP8" s="950"/>
      <c r="AQ8" s="950"/>
      <c r="AR8" s="950"/>
      <c r="AS8" s="950"/>
      <c r="AT8" s="950"/>
      <c r="AU8" s="950"/>
      <c r="AV8" s="950"/>
      <c r="AW8" s="950"/>
      <c r="AX8" s="950"/>
      <c r="AY8" s="950"/>
      <c r="AZ8" s="950"/>
      <c r="BA8" s="950"/>
      <c r="BB8" s="950"/>
      <c r="BC8" s="950"/>
      <c r="BD8" s="950"/>
      <c r="BE8" s="950"/>
      <c r="BF8" s="950"/>
      <c r="BG8" s="950"/>
      <c r="BH8" s="950"/>
      <c r="BI8" s="950"/>
      <c r="BJ8" s="950"/>
      <c r="BK8" s="950"/>
      <c r="BL8" s="950"/>
      <c r="BM8" s="950"/>
    </row>
    <row r="9" spans="1:65"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c r="AI9" s="950"/>
      <c r="AJ9" s="950"/>
      <c r="AK9" s="950"/>
      <c r="AL9" s="950"/>
      <c r="AM9" s="950"/>
      <c r="AN9" s="950"/>
      <c r="AO9" s="950"/>
      <c r="AP9" s="950"/>
      <c r="AQ9" s="950"/>
      <c r="AR9" s="950"/>
      <c r="AS9" s="950"/>
      <c r="AT9" s="950"/>
      <c r="AU9" s="950"/>
      <c r="AV9" s="950"/>
      <c r="AW9" s="950"/>
      <c r="AX9" s="950"/>
      <c r="AY9" s="950"/>
      <c r="AZ9" s="950"/>
      <c r="BA9" s="950"/>
      <c r="BB9" s="950"/>
      <c r="BC9" s="950"/>
      <c r="BD9" s="950"/>
      <c r="BE9" s="950"/>
      <c r="BF9" s="950"/>
      <c r="BG9" s="950"/>
      <c r="BH9" s="950"/>
      <c r="BI9" s="950"/>
      <c r="BJ9" s="950"/>
      <c r="BK9" s="950"/>
      <c r="BL9" s="950"/>
      <c r="BM9" s="950"/>
    </row>
    <row r="10" spans="1:65" ht="46.5" customHeight="1" x14ac:dyDescent="0.25">
      <c r="A10" s="263"/>
      <c r="B10" s="1173" t="s">
        <v>6890</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I10" s="692"/>
      <c r="AJ10" s="950"/>
      <c r="AK10" s="950"/>
      <c r="AL10" s="950"/>
      <c r="AM10" s="950"/>
      <c r="AN10" s="950"/>
      <c r="AO10" s="950"/>
      <c r="AP10" s="950"/>
      <c r="AQ10" s="950"/>
      <c r="AR10" s="950"/>
      <c r="AS10" s="950"/>
      <c r="AT10" s="950"/>
      <c r="AU10" s="950"/>
      <c r="AV10" s="950"/>
      <c r="AW10" s="950"/>
      <c r="AX10" s="950"/>
      <c r="AY10" s="950"/>
      <c r="AZ10" s="950"/>
      <c r="BA10" s="950"/>
      <c r="BB10" s="950"/>
      <c r="BC10" s="950"/>
      <c r="BD10" s="950"/>
      <c r="BE10" s="950"/>
      <c r="BF10" s="950"/>
      <c r="BG10" s="950"/>
      <c r="BH10" s="950"/>
      <c r="BI10" s="950"/>
      <c r="BJ10" s="950"/>
      <c r="BK10" s="950"/>
      <c r="BL10" s="950"/>
      <c r="BM10" s="950"/>
    </row>
    <row r="11" spans="1:65"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row>
    <row r="12" spans="1:65"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row>
    <row r="13" spans="1:65" ht="77.25" customHeight="1" x14ac:dyDescent="0.25">
      <c r="A13" s="262"/>
      <c r="B13" s="1622" t="s">
        <v>6901</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I13" s="692"/>
      <c r="AX13" s="692"/>
    </row>
    <row r="14" spans="1:65" x14ac:dyDescent="0.25">
      <c r="A14" s="262"/>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row>
    <row r="15" spans="1:65" x14ac:dyDescent="0.25">
      <c r="A15" s="262"/>
      <c r="B15" s="1845" t="s">
        <v>12</v>
      </c>
      <c r="C15" s="1845"/>
      <c r="D15" s="1845"/>
      <c r="E15" s="1845"/>
      <c r="F15" s="1845"/>
      <c r="G15" s="1845"/>
      <c r="H15" s="1845"/>
      <c r="I15" s="1845"/>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row>
    <row r="16" spans="1:65" x14ac:dyDescent="0.25">
      <c r="A16" s="262"/>
      <c r="B16" s="1703" t="s">
        <v>5538</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row>
    <row r="17" spans="1:55" x14ac:dyDescent="0.25">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row>
    <row r="18" spans="1:55" x14ac:dyDescent="0.25">
      <c r="A18" s="262"/>
      <c r="B18" s="1845" t="s">
        <v>13</v>
      </c>
      <c r="C18" s="1845"/>
      <c r="D18" s="1845"/>
      <c r="E18" s="1845"/>
      <c r="F18" s="1845"/>
      <c r="G18" s="1845"/>
      <c r="H18" s="1845"/>
      <c r="I18" s="1845"/>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row>
    <row r="19" spans="1:55" ht="64.5" customHeight="1" x14ac:dyDescent="0.25">
      <c r="A19" s="262"/>
      <c r="B19" s="1173" t="s">
        <v>6891</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I19" s="692"/>
    </row>
    <row r="20" spans="1:55" x14ac:dyDescent="0.25">
      <c r="A20" s="262"/>
      <c r="B20" s="414"/>
      <c r="C20" s="414"/>
      <c r="D20" s="414"/>
      <c r="E20" s="414"/>
      <c r="F20" s="414"/>
      <c r="G20" s="414"/>
      <c r="H20" s="414"/>
      <c r="I20" s="414"/>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row>
    <row r="21" spans="1:55" x14ac:dyDescent="0.25">
      <c r="A21" s="262"/>
      <c r="B21" s="414" t="s">
        <v>20</v>
      </c>
      <c r="C21" s="414"/>
      <c r="D21" s="414"/>
      <c r="E21" s="414"/>
      <c r="F21" s="414"/>
      <c r="G21" s="414"/>
      <c r="H21" s="414"/>
      <c r="I21" s="414"/>
      <c r="J21" s="414"/>
      <c r="K21" s="262"/>
      <c r="L21" s="262"/>
      <c r="M21" s="262"/>
      <c r="N21" s="262"/>
      <c r="O21" s="262"/>
      <c r="P21" s="262"/>
      <c r="Q21" s="262"/>
      <c r="R21" s="262"/>
      <c r="S21" s="262"/>
      <c r="T21" s="262"/>
      <c r="U21" s="262"/>
      <c r="V21" s="262"/>
      <c r="W21" s="262"/>
      <c r="X21" s="262"/>
      <c r="Y21" s="262"/>
      <c r="Z21" s="262"/>
      <c r="AA21" s="262"/>
      <c r="AB21" s="262"/>
      <c r="AC21" s="262"/>
      <c r="AD21" s="262"/>
      <c r="AE21" s="262"/>
      <c r="AF21" s="262"/>
    </row>
    <row r="22" spans="1:55" ht="33.75" customHeight="1" x14ac:dyDescent="0.25">
      <c r="A22" s="262"/>
      <c r="B22" s="1589" t="s">
        <v>6892</v>
      </c>
      <c r="C22" s="1703"/>
      <c r="D22" s="1703"/>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1703"/>
      <c r="AB22" s="1703"/>
      <c r="AC22" s="1703"/>
      <c r="AD22" s="1703"/>
      <c r="AE22" s="1703"/>
      <c r="AF22" s="1703"/>
      <c r="AI22" s="692"/>
    </row>
    <row r="23" spans="1:55" ht="15" customHeight="1" x14ac:dyDescent="0.25">
      <c r="A23" s="529"/>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55" x14ac:dyDescent="0.25">
      <c r="A24" s="1472" t="s">
        <v>14</v>
      </c>
      <c r="B24" s="1472"/>
      <c r="C24" s="1472"/>
      <c r="D24" s="1472"/>
      <c r="E24" s="1472"/>
      <c r="F24" s="1472"/>
      <c r="G24" s="1472"/>
      <c r="H24" s="1472"/>
      <c r="I24" s="1472"/>
      <c r="J24" s="1472"/>
      <c r="K24" s="1472"/>
      <c r="L24" s="1472"/>
      <c r="M24" s="1472"/>
      <c r="N24" s="1472"/>
      <c r="O24" s="1472"/>
      <c r="P24" s="1472"/>
      <c r="Q24" s="1472"/>
      <c r="R24" s="1472"/>
      <c r="S24" s="1472"/>
      <c r="T24" s="1472"/>
      <c r="U24" s="1472"/>
      <c r="V24" s="1472"/>
      <c r="W24" s="1472"/>
      <c r="X24" s="1472"/>
      <c r="Y24" s="1472"/>
      <c r="Z24" s="1472"/>
      <c r="AA24" s="1472"/>
      <c r="AB24" s="1472"/>
      <c r="AC24" s="1472"/>
      <c r="AD24" s="1472"/>
      <c r="AE24" s="1472"/>
      <c r="AF24" s="1472"/>
    </row>
    <row r="25" spans="1:55"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row>
    <row r="26" spans="1:55" x14ac:dyDescent="0.25">
      <c r="A26" s="3"/>
      <c r="B26" s="379" t="s">
        <v>2303</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55" x14ac:dyDescent="0.25">
      <c r="A27" s="3"/>
      <c r="B27" s="379"/>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row>
    <row r="28" spans="1:55" x14ac:dyDescent="0.25">
      <c r="A28" s="3"/>
      <c r="B28" s="379"/>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419" t="s">
        <v>1705</v>
      </c>
      <c r="AI28" s="692"/>
      <c r="BC28" s="1004"/>
    </row>
    <row r="29" spans="1:55" x14ac:dyDescent="0.25">
      <c r="A29" s="3"/>
      <c r="B29" s="379"/>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262"/>
    </row>
    <row r="30" spans="1:55" x14ac:dyDescent="0.25">
      <c r="A30" s="3"/>
      <c r="B30" s="171" t="s">
        <v>2194</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262"/>
    </row>
    <row r="31" spans="1:55" x14ac:dyDescent="0.25">
      <c r="A31" s="3"/>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262"/>
    </row>
    <row r="32" spans="1:55" x14ac:dyDescent="0.25">
      <c r="A32" s="3"/>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419" t="s">
        <v>1706</v>
      </c>
      <c r="AI32" s="692"/>
      <c r="BC32" s="1004"/>
    </row>
    <row r="33" spans="1:67" x14ac:dyDescent="0.25">
      <c r="A33" s="3"/>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419"/>
    </row>
    <row r="34" spans="1:67" x14ac:dyDescent="0.25">
      <c r="A34" s="3"/>
      <c r="B34" s="171" t="s">
        <v>1998</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419"/>
    </row>
    <row r="35" spans="1:67" x14ac:dyDescent="0.25">
      <c r="A35" s="3"/>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419"/>
    </row>
    <row r="36" spans="1:67" x14ac:dyDescent="0.25">
      <c r="A36" s="3"/>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419" t="s">
        <v>1707</v>
      </c>
      <c r="AI36" s="692"/>
      <c r="BC36" s="1004"/>
    </row>
    <row r="37" spans="1:67" x14ac:dyDescent="0.25">
      <c r="A37" s="3"/>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204"/>
    </row>
    <row r="38" spans="1:67" x14ac:dyDescent="0.25">
      <c r="A38" s="10"/>
      <c r="B38" s="204"/>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67" x14ac:dyDescent="0.25">
      <c r="A39" s="1472" t="s">
        <v>15</v>
      </c>
      <c r="B39" s="1472"/>
      <c r="C39" s="1472"/>
      <c r="D39" s="1472"/>
      <c r="E39" s="1472"/>
      <c r="F39" s="1472"/>
      <c r="G39" s="1472"/>
      <c r="H39" s="1472"/>
      <c r="I39" s="1472"/>
      <c r="J39" s="1472"/>
      <c r="K39" s="1472"/>
      <c r="L39" s="1472"/>
      <c r="M39" s="1472"/>
      <c r="N39" s="1472"/>
      <c r="O39" s="1472"/>
      <c r="P39" s="1472"/>
      <c r="Q39" s="1472"/>
      <c r="R39" s="1472"/>
      <c r="S39" s="1472"/>
      <c r="T39" s="1472"/>
      <c r="U39" s="1472"/>
      <c r="V39" s="1472"/>
      <c r="W39" s="1472"/>
      <c r="X39" s="1472"/>
      <c r="Y39" s="1472"/>
      <c r="Z39" s="1472"/>
      <c r="AA39" s="1472"/>
      <c r="AB39" s="1472"/>
      <c r="AC39" s="1472"/>
      <c r="AD39" s="1472"/>
      <c r="AE39" s="1472"/>
      <c r="AF39" s="1472"/>
    </row>
    <row r="40" spans="1:67" x14ac:dyDescent="0.25">
      <c r="A40" s="1474" t="s">
        <v>16</v>
      </c>
      <c r="B40" s="1474"/>
      <c r="C40" s="1474"/>
      <c r="D40" s="1474"/>
      <c r="E40" s="1474" t="s">
        <v>10</v>
      </c>
      <c r="F40" s="1474"/>
      <c r="G40" s="1474"/>
      <c r="H40" s="1474"/>
      <c r="I40" s="1474"/>
      <c r="J40" s="1474"/>
      <c r="K40" s="1474"/>
      <c r="L40" s="1474"/>
      <c r="M40" s="1474"/>
      <c r="N40" s="1474"/>
      <c r="O40" s="1474"/>
      <c r="P40" s="1474"/>
      <c r="Q40" s="1474" t="s">
        <v>17</v>
      </c>
      <c r="R40" s="1474"/>
      <c r="S40" s="1474"/>
      <c r="T40" s="1474"/>
      <c r="U40" s="1474" t="s">
        <v>18</v>
      </c>
      <c r="V40" s="1474"/>
      <c r="W40" s="1474" t="s">
        <v>1708</v>
      </c>
      <c r="X40" s="1474"/>
      <c r="Y40" s="1474"/>
      <c r="Z40" s="1474"/>
      <c r="AA40" s="1474"/>
      <c r="AB40" s="1474"/>
      <c r="AC40" s="1474"/>
      <c r="AD40" s="1474"/>
      <c r="AE40" s="1474"/>
      <c r="AF40" s="1474"/>
      <c r="AI40" s="692"/>
    </row>
    <row r="41" spans="1:67" ht="45" customHeight="1" x14ac:dyDescent="0.25">
      <c r="A41" s="1680" t="s">
        <v>6596</v>
      </c>
      <c r="B41" s="1681" t="s">
        <v>294</v>
      </c>
      <c r="C41" s="1681" t="s">
        <v>294</v>
      </c>
      <c r="D41" s="1682" t="s">
        <v>294</v>
      </c>
      <c r="E41" s="2463" t="s">
        <v>1049</v>
      </c>
      <c r="F41" s="2463" t="s">
        <v>254</v>
      </c>
      <c r="G41" s="2463" t="s">
        <v>254</v>
      </c>
      <c r="H41" s="2463" t="s">
        <v>254</v>
      </c>
      <c r="I41" s="2463" t="s">
        <v>254</v>
      </c>
      <c r="J41" s="2463" t="s">
        <v>254</v>
      </c>
      <c r="K41" s="2463" t="s">
        <v>254</v>
      </c>
      <c r="L41" s="2463" t="s">
        <v>254</v>
      </c>
      <c r="M41" s="2463" t="s">
        <v>254</v>
      </c>
      <c r="N41" s="2463" t="s">
        <v>254</v>
      </c>
      <c r="O41" s="2463" t="s">
        <v>254</v>
      </c>
      <c r="P41" s="2463" t="s">
        <v>254</v>
      </c>
      <c r="Q41" s="2464">
        <f>ROUND(815/45,0)/1000</f>
        <v>1.7999999999999999E-2</v>
      </c>
      <c r="R41" s="2465" t="s">
        <v>251</v>
      </c>
      <c r="S41" s="2465" t="s">
        <v>251</v>
      </c>
      <c r="T41" s="2466" t="s">
        <v>251</v>
      </c>
      <c r="U41" s="1841" t="s">
        <v>26</v>
      </c>
      <c r="V41" s="1841"/>
      <c r="W41" s="1494" t="s">
        <v>6902</v>
      </c>
      <c r="X41" s="1495"/>
      <c r="Y41" s="1495"/>
      <c r="Z41" s="1495"/>
      <c r="AA41" s="1495"/>
      <c r="AB41" s="1495"/>
      <c r="AC41" s="1495"/>
      <c r="AD41" s="1495"/>
      <c r="AE41" s="1495"/>
      <c r="AF41" s="1496"/>
      <c r="AI41" s="692"/>
      <c r="BO41" s="1004"/>
    </row>
    <row r="42" spans="1:67" ht="49.5" customHeight="1" x14ac:dyDescent="0.25">
      <c r="A42" s="1680" t="s">
        <v>3925</v>
      </c>
      <c r="B42" s="1681" t="s">
        <v>638</v>
      </c>
      <c r="C42" s="1681" t="s">
        <v>638</v>
      </c>
      <c r="D42" s="1682" t="s">
        <v>638</v>
      </c>
      <c r="E42" s="2463" t="s">
        <v>5539</v>
      </c>
      <c r="F42" s="2463" t="s">
        <v>255</v>
      </c>
      <c r="G42" s="2463" t="s">
        <v>255</v>
      </c>
      <c r="H42" s="2463" t="s">
        <v>255</v>
      </c>
      <c r="I42" s="2463" t="s">
        <v>255</v>
      </c>
      <c r="J42" s="2463" t="s">
        <v>255</v>
      </c>
      <c r="K42" s="2463" t="s">
        <v>255</v>
      </c>
      <c r="L42" s="2463" t="s">
        <v>255</v>
      </c>
      <c r="M42" s="2463" t="s">
        <v>255</v>
      </c>
      <c r="N42" s="2463" t="s">
        <v>255</v>
      </c>
      <c r="O42" s="2463" t="s">
        <v>255</v>
      </c>
      <c r="P42" s="2463" t="s">
        <v>255</v>
      </c>
      <c r="Q42" s="2464">
        <f>ROUND(815/74,0)/1000</f>
        <v>1.0999999999999999E-2</v>
      </c>
      <c r="R42" s="2465" t="s">
        <v>251</v>
      </c>
      <c r="S42" s="2465" t="s">
        <v>251</v>
      </c>
      <c r="T42" s="2466" t="s">
        <v>251</v>
      </c>
      <c r="U42" s="1841" t="s">
        <v>26</v>
      </c>
      <c r="V42" s="1841"/>
      <c r="W42" s="1494" t="s">
        <v>6893</v>
      </c>
      <c r="X42" s="1495"/>
      <c r="Y42" s="1495"/>
      <c r="Z42" s="1495"/>
      <c r="AA42" s="1495"/>
      <c r="AB42" s="1495"/>
      <c r="AC42" s="1495"/>
      <c r="AD42" s="1495"/>
      <c r="AE42" s="1495"/>
      <c r="AF42" s="1496"/>
    </row>
    <row r="43" spans="1:67" ht="31.5" customHeight="1" x14ac:dyDescent="0.25">
      <c r="A43" s="1680" t="s">
        <v>1760</v>
      </c>
      <c r="B43" s="1681"/>
      <c r="C43" s="1681"/>
      <c r="D43" s="1682"/>
      <c r="E43" s="2463" t="s">
        <v>2031</v>
      </c>
      <c r="F43" s="2463"/>
      <c r="G43" s="2463"/>
      <c r="H43" s="2463"/>
      <c r="I43" s="2463"/>
      <c r="J43" s="2463"/>
      <c r="K43" s="2463"/>
      <c r="L43" s="2463"/>
      <c r="M43" s="2463"/>
      <c r="N43" s="2463"/>
      <c r="O43" s="2463"/>
      <c r="P43" s="2463"/>
      <c r="Q43" s="1661">
        <v>0.98</v>
      </c>
      <c r="R43" s="1662"/>
      <c r="S43" s="1662"/>
      <c r="T43" s="1663"/>
      <c r="U43" s="2474" t="s">
        <v>28</v>
      </c>
      <c r="V43" s="1841"/>
      <c r="W43" s="1494" t="s">
        <v>5540</v>
      </c>
      <c r="X43" s="1495"/>
      <c r="Y43" s="1495"/>
      <c r="Z43" s="1495"/>
      <c r="AA43" s="1495"/>
      <c r="AB43" s="1495"/>
      <c r="AC43" s="1495"/>
      <c r="AD43" s="1495"/>
      <c r="AE43" s="1495"/>
      <c r="AF43" s="1496"/>
    </row>
    <row r="44" spans="1:67" ht="77.25" customHeight="1" x14ac:dyDescent="0.25">
      <c r="A44" s="1680" t="s">
        <v>29</v>
      </c>
      <c r="B44" s="1681"/>
      <c r="C44" s="1681"/>
      <c r="D44" s="1682"/>
      <c r="E44" s="2463" t="s">
        <v>1703</v>
      </c>
      <c r="F44" s="2463"/>
      <c r="G44" s="2463"/>
      <c r="H44" s="2463"/>
      <c r="I44" s="2463"/>
      <c r="J44" s="2463"/>
      <c r="K44" s="2463"/>
      <c r="L44" s="2463"/>
      <c r="M44" s="2463"/>
      <c r="N44" s="2463"/>
      <c r="O44" s="2463"/>
      <c r="P44" s="2463"/>
      <c r="Q44" s="2464" t="s">
        <v>626</v>
      </c>
      <c r="R44" s="2465"/>
      <c r="S44" s="2465"/>
      <c r="T44" s="2466"/>
      <c r="U44" s="2474" t="s">
        <v>28</v>
      </c>
      <c r="V44" s="1841"/>
      <c r="W44" s="1494" t="s">
        <v>5541</v>
      </c>
      <c r="X44" s="1495"/>
      <c r="Y44" s="1495"/>
      <c r="Z44" s="1495"/>
      <c r="AA44" s="1495"/>
      <c r="AB44" s="1495"/>
      <c r="AC44" s="1495"/>
      <c r="AD44" s="1495"/>
      <c r="AE44" s="1495"/>
      <c r="AF44" s="1496"/>
    </row>
    <row r="45" spans="1:67" ht="60" customHeight="1" x14ac:dyDescent="0.25">
      <c r="A45" s="1680" t="s">
        <v>3671</v>
      </c>
      <c r="B45" s="1681"/>
      <c r="C45" s="1681"/>
      <c r="D45" s="1682"/>
      <c r="E45" s="2463" t="s">
        <v>1769</v>
      </c>
      <c r="F45" s="2463"/>
      <c r="G45" s="2463"/>
      <c r="H45" s="2463"/>
      <c r="I45" s="2463"/>
      <c r="J45" s="2463"/>
      <c r="K45" s="2463"/>
      <c r="L45" s="2463"/>
      <c r="M45" s="2463"/>
      <c r="N45" s="2463"/>
      <c r="O45" s="2463"/>
      <c r="P45" s="2463"/>
      <c r="Q45" s="2464" t="s">
        <v>626</v>
      </c>
      <c r="R45" s="2465"/>
      <c r="S45" s="2465"/>
      <c r="T45" s="2466"/>
      <c r="U45" s="2474" t="s">
        <v>28</v>
      </c>
      <c r="V45" s="1841"/>
      <c r="W45" s="2475" t="s">
        <v>5542</v>
      </c>
      <c r="X45" s="2476"/>
      <c r="Y45" s="2476"/>
      <c r="Z45" s="2476"/>
      <c r="AA45" s="2476"/>
      <c r="AB45" s="2476"/>
      <c r="AC45" s="2476"/>
      <c r="AD45" s="2476"/>
      <c r="AE45" s="2476"/>
      <c r="AF45" s="2477"/>
    </row>
    <row r="46" spans="1:67" ht="60" customHeight="1" x14ac:dyDescent="0.25">
      <c r="A46" s="1680" t="s">
        <v>3672</v>
      </c>
      <c r="B46" s="1681"/>
      <c r="C46" s="1681"/>
      <c r="D46" s="1682"/>
      <c r="E46" s="2463" t="s">
        <v>1768</v>
      </c>
      <c r="F46" s="2463"/>
      <c r="G46" s="2463"/>
      <c r="H46" s="2463"/>
      <c r="I46" s="2463"/>
      <c r="J46" s="2463"/>
      <c r="K46" s="2463"/>
      <c r="L46" s="2463"/>
      <c r="M46" s="2463"/>
      <c r="N46" s="2463"/>
      <c r="O46" s="2463"/>
      <c r="P46" s="2463"/>
      <c r="Q46" s="2464" t="s">
        <v>626</v>
      </c>
      <c r="R46" s="2465"/>
      <c r="S46" s="2465"/>
      <c r="T46" s="2466"/>
      <c r="U46" s="2474" t="s">
        <v>28</v>
      </c>
      <c r="V46" s="1841"/>
      <c r="W46" s="2478"/>
      <c r="X46" s="2479"/>
      <c r="Y46" s="2479"/>
      <c r="Z46" s="2479"/>
      <c r="AA46" s="2479"/>
      <c r="AB46" s="2479"/>
      <c r="AC46" s="2479"/>
      <c r="AD46" s="2479"/>
      <c r="AE46" s="2479"/>
      <c r="AF46" s="2480"/>
    </row>
    <row r="47" spans="1:67" ht="37.5" customHeight="1" x14ac:dyDescent="0.25">
      <c r="A47" s="1680" t="s">
        <v>3922</v>
      </c>
      <c r="B47" s="1681"/>
      <c r="C47" s="1681"/>
      <c r="D47" s="1682"/>
      <c r="E47" s="2463" t="s">
        <v>1817</v>
      </c>
      <c r="F47" s="2463"/>
      <c r="G47" s="2463"/>
      <c r="H47" s="2463"/>
      <c r="I47" s="2463"/>
      <c r="J47" s="2463"/>
      <c r="K47" s="2463"/>
      <c r="L47" s="2463"/>
      <c r="M47" s="2463"/>
      <c r="N47" s="2463"/>
      <c r="O47" s="2463"/>
      <c r="P47" s="2463"/>
      <c r="Q47" s="2464" t="s">
        <v>626</v>
      </c>
      <c r="R47" s="2465"/>
      <c r="S47" s="2465"/>
      <c r="T47" s="2466"/>
      <c r="U47" s="1841" t="s">
        <v>1818</v>
      </c>
      <c r="V47" s="1841"/>
      <c r="W47" s="1494" t="s">
        <v>5543</v>
      </c>
      <c r="X47" s="1495"/>
      <c r="Y47" s="1495"/>
      <c r="Z47" s="1495"/>
      <c r="AA47" s="1495"/>
      <c r="AB47" s="1495"/>
      <c r="AC47" s="1495"/>
      <c r="AD47" s="1495"/>
      <c r="AE47" s="1495"/>
      <c r="AF47" s="1496"/>
    </row>
    <row r="48" spans="1:67" ht="66" customHeight="1" x14ac:dyDescent="0.25">
      <c r="A48" s="1680" t="s">
        <v>3935</v>
      </c>
      <c r="B48" s="1681" t="s">
        <v>34</v>
      </c>
      <c r="C48" s="1681" t="s">
        <v>34</v>
      </c>
      <c r="D48" s="1682" t="s">
        <v>34</v>
      </c>
      <c r="E48" s="2463" t="s">
        <v>1829</v>
      </c>
      <c r="F48" s="2463"/>
      <c r="G48" s="2463"/>
      <c r="H48" s="2463"/>
      <c r="I48" s="2463"/>
      <c r="J48" s="2463"/>
      <c r="K48" s="2463"/>
      <c r="L48" s="2463"/>
      <c r="M48" s="2463"/>
      <c r="N48" s="2463"/>
      <c r="O48" s="2463"/>
      <c r="P48" s="2463"/>
      <c r="Q48" s="2464" t="s">
        <v>626</v>
      </c>
      <c r="R48" s="2465"/>
      <c r="S48" s="2465"/>
      <c r="T48" s="2466"/>
      <c r="U48" s="1841" t="s">
        <v>46</v>
      </c>
      <c r="V48" s="1841"/>
      <c r="W48" s="1133" t="s">
        <v>6903</v>
      </c>
      <c r="X48" s="1133"/>
      <c r="Y48" s="1133"/>
      <c r="Z48" s="1133"/>
      <c r="AA48" s="1133"/>
      <c r="AB48" s="1133"/>
      <c r="AC48" s="1133"/>
      <c r="AD48" s="1133"/>
      <c r="AE48" s="1133"/>
      <c r="AF48" s="1133"/>
    </row>
    <row r="49" spans="1:51" ht="39.75" customHeight="1" x14ac:dyDescent="0.25">
      <c r="A49" s="2288" t="s">
        <v>6894</v>
      </c>
      <c r="B49" s="2288"/>
      <c r="C49" s="2288"/>
      <c r="D49" s="2288"/>
      <c r="E49" s="2288"/>
      <c r="F49" s="2288"/>
      <c r="G49" s="2288"/>
      <c r="H49" s="2288"/>
      <c r="I49" s="2288"/>
      <c r="J49" s="2288"/>
      <c r="K49" s="2288"/>
      <c r="L49" s="2288"/>
      <c r="M49" s="2288"/>
      <c r="N49" s="2288"/>
      <c r="O49" s="2288"/>
      <c r="P49" s="2288"/>
      <c r="Q49" s="2288"/>
      <c r="R49" s="2288"/>
      <c r="S49" s="2288"/>
      <c r="T49" s="2288"/>
      <c r="U49" s="2288"/>
      <c r="V49" s="2288"/>
      <c r="W49" s="2288"/>
      <c r="X49" s="2288"/>
      <c r="Y49" s="2288"/>
      <c r="Z49" s="2288"/>
      <c r="AA49" s="2288"/>
      <c r="AB49" s="2288"/>
      <c r="AC49" s="2288"/>
      <c r="AD49" s="2288"/>
      <c r="AE49" s="2288"/>
      <c r="AF49" s="2288"/>
      <c r="AI49" s="692"/>
      <c r="AY49" s="584"/>
    </row>
    <row r="50" spans="1:51" ht="27" customHeight="1" x14ac:dyDescent="0.25">
      <c r="A50" s="1686" t="s">
        <v>5544</v>
      </c>
      <c r="B50" s="1686"/>
      <c r="C50" s="1686"/>
      <c r="D50" s="1686"/>
      <c r="E50" s="1686"/>
      <c r="F50" s="1686"/>
      <c r="G50" s="1686"/>
      <c r="H50" s="1686"/>
      <c r="I50" s="1686"/>
      <c r="J50" s="1686"/>
      <c r="K50" s="1686"/>
      <c r="L50" s="1686"/>
      <c r="M50" s="1686"/>
      <c r="N50" s="1686"/>
      <c r="O50" s="1686"/>
      <c r="P50" s="1686"/>
      <c r="Q50" s="1686"/>
      <c r="R50" s="1686"/>
      <c r="S50" s="1686"/>
      <c r="T50" s="1686"/>
      <c r="U50" s="1686"/>
      <c r="V50" s="1686"/>
      <c r="W50" s="1686"/>
      <c r="X50" s="1686"/>
      <c r="Y50" s="1686"/>
      <c r="Z50" s="1686"/>
      <c r="AA50" s="1686"/>
      <c r="AB50" s="1686"/>
      <c r="AC50" s="1686"/>
      <c r="AD50" s="1686"/>
      <c r="AE50" s="1686"/>
      <c r="AF50" s="1686"/>
    </row>
    <row r="51" spans="1:51" ht="39" customHeight="1" x14ac:dyDescent="0.25">
      <c r="A51" s="1686" t="s">
        <v>6895</v>
      </c>
      <c r="B51" s="1686"/>
      <c r="C51" s="1686"/>
      <c r="D51" s="1686"/>
      <c r="E51" s="1686"/>
      <c r="F51" s="1686"/>
      <c r="G51" s="1686"/>
      <c r="H51" s="1686"/>
      <c r="I51" s="1686"/>
      <c r="J51" s="1686"/>
      <c r="K51" s="1686"/>
      <c r="L51" s="1686"/>
      <c r="M51" s="1686"/>
      <c r="N51" s="1686"/>
      <c r="O51" s="1686"/>
      <c r="P51" s="1686"/>
      <c r="Q51" s="1686"/>
      <c r="R51" s="1686"/>
      <c r="S51" s="1686"/>
      <c r="T51" s="1686"/>
      <c r="U51" s="1686"/>
      <c r="V51" s="1686"/>
      <c r="W51" s="1686"/>
      <c r="X51" s="1686"/>
      <c r="Y51" s="1686"/>
      <c r="Z51" s="1686"/>
      <c r="AA51" s="1686"/>
      <c r="AB51" s="1686"/>
      <c r="AC51" s="1686"/>
      <c r="AD51" s="1686"/>
      <c r="AE51" s="1686"/>
      <c r="AF51" s="1686"/>
      <c r="AJ51" s="692"/>
    </row>
    <row r="52" spans="1:51" ht="25.5" customHeight="1" x14ac:dyDescent="0.25">
      <c r="A52" s="1686" t="s">
        <v>5545</v>
      </c>
      <c r="B52" s="1686"/>
      <c r="C52" s="1686"/>
      <c r="D52" s="1686"/>
      <c r="E52" s="1686"/>
      <c r="F52" s="1686"/>
      <c r="G52" s="1686"/>
      <c r="H52" s="1686"/>
      <c r="I52" s="1686"/>
      <c r="J52" s="1686"/>
      <c r="K52" s="1686"/>
      <c r="L52" s="1686"/>
      <c r="M52" s="1686"/>
      <c r="N52" s="1686"/>
      <c r="O52" s="1686"/>
      <c r="P52" s="1686"/>
      <c r="Q52" s="1686"/>
      <c r="R52" s="1686"/>
      <c r="S52" s="1686"/>
      <c r="T52" s="1686"/>
      <c r="U52" s="1686"/>
      <c r="V52" s="1686"/>
      <c r="W52" s="1686"/>
      <c r="X52" s="1686"/>
      <c r="Y52" s="1686"/>
      <c r="Z52" s="1686"/>
      <c r="AA52" s="1686"/>
      <c r="AB52" s="1686"/>
      <c r="AC52" s="1686"/>
      <c r="AD52" s="1686"/>
      <c r="AE52" s="1686"/>
      <c r="AF52" s="1686"/>
    </row>
    <row r="53" spans="1:51" ht="28.5" customHeight="1" x14ac:dyDescent="0.25">
      <c r="A53" s="1686" t="s">
        <v>5546</v>
      </c>
      <c r="B53" s="1686"/>
      <c r="C53" s="1686"/>
      <c r="D53" s="1686"/>
      <c r="E53" s="1686"/>
      <c r="F53" s="1686"/>
      <c r="G53" s="1686"/>
      <c r="H53" s="1686"/>
      <c r="I53" s="1686"/>
      <c r="J53" s="1686"/>
      <c r="K53" s="1686"/>
      <c r="L53" s="1686"/>
      <c r="M53" s="1686"/>
      <c r="N53" s="1686"/>
      <c r="O53" s="1686"/>
      <c r="P53" s="1686"/>
      <c r="Q53" s="1686"/>
      <c r="R53" s="1686"/>
      <c r="S53" s="1686"/>
      <c r="T53" s="1686"/>
      <c r="U53" s="1686"/>
      <c r="V53" s="1686"/>
      <c r="W53" s="1686"/>
      <c r="X53" s="1686"/>
      <c r="Y53" s="1686"/>
      <c r="Z53" s="1686"/>
      <c r="AA53" s="1686"/>
      <c r="AB53" s="1686"/>
      <c r="AC53" s="1686"/>
      <c r="AD53" s="1686"/>
      <c r="AE53" s="1686"/>
      <c r="AF53" s="1686"/>
    </row>
    <row r="54" spans="1:51" ht="39.75" customHeight="1" x14ac:dyDescent="0.25">
      <c r="A54" s="1686" t="s">
        <v>6896</v>
      </c>
      <c r="B54" s="1686"/>
      <c r="C54" s="1686"/>
      <c r="D54" s="1686"/>
      <c r="E54" s="1686"/>
      <c r="F54" s="1686"/>
      <c r="G54" s="1686"/>
      <c r="H54" s="1686"/>
      <c r="I54" s="1686"/>
      <c r="J54" s="1686"/>
      <c r="K54" s="1686"/>
      <c r="L54" s="1686"/>
      <c r="M54" s="1686"/>
      <c r="N54" s="1686"/>
      <c r="O54" s="1686"/>
      <c r="P54" s="1686"/>
      <c r="Q54" s="1686"/>
      <c r="R54" s="1686"/>
      <c r="S54" s="1686"/>
      <c r="T54" s="1686"/>
      <c r="U54" s="1686"/>
      <c r="V54" s="1686"/>
      <c r="W54" s="1686"/>
      <c r="X54" s="1686"/>
      <c r="Y54" s="1686"/>
      <c r="Z54" s="1686"/>
      <c r="AA54" s="1686"/>
      <c r="AB54" s="1686"/>
      <c r="AC54" s="1686"/>
      <c r="AD54" s="1686"/>
      <c r="AE54" s="1686"/>
      <c r="AF54" s="1686"/>
      <c r="AJ54" s="692"/>
    </row>
    <row r="55" spans="1:51" x14ac:dyDescent="0.25">
      <c r="A55" s="227"/>
      <c r="B55" s="227"/>
      <c r="C55" s="227"/>
      <c r="D55" s="227"/>
      <c r="E55" s="227"/>
      <c r="F55" s="227"/>
      <c r="G55" s="227"/>
      <c r="H55" s="227"/>
      <c r="I55" s="227"/>
      <c r="J55" s="227"/>
      <c r="K55" s="227"/>
      <c r="L55" s="227"/>
      <c r="M55" s="227"/>
      <c r="N55" s="227"/>
      <c r="O55" s="227"/>
      <c r="P55" s="227"/>
      <c r="Q55" s="227"/>
      <c r="R55" s="227"/>
      <c r="S55" s="227"/>
      <c r="T55" s="227"/>
      <c r="U55" s="227"/>
      <c r="V55" s="227"/>
      <c r="W55" s="227"/>
      <c r="X55" s="227"/>
      <c r="Y55" s="227"/>
      <c r="Z55" s="227"/>
      <c r="AA55" s="227"/>
      <c r="AB55" s="227"/>
      <c r="AC55" s="227"/>
      <c r="AD55" s="227"/>
      <c r="AE55" s="227"/>
      <c r="AF55" s="227"/>
    </row>
    <row r="56" spans="1:51" x14ac:dyDescent="0.25">
      <c r="A56" s="3" t="s">
        <v>5547</v>
      </c>
    </row>
    <row r="57" spans="1:51" ht="18" x14ac:dyDescent="0.25">
      <c r="A57" s="1426" t="s">
        <v>54</v>
      </c>
      <c r="B57" s="1427"/>
      <c r="C57" s="1427"/>
      <c r="D57" s="1427"/>
      <c r="E57" s="1427"/>
      <c r="F57" s="1427"/>
      <c r="G57" s="1427"/>
      <c r="H57" s="1428"/>
      <c r="I57" s="1423" t="s">
        <v>29</v>
      </c>
      <c r="J57" s="1424"/>
      <c r="K57" s="1424"/>
      <c r="L57" s="1425"/>
      <c r="M57" s="1423" t="s">
        <v>2690</v>
      </c>
      <c r="N57" s="1424"/>
      <c r="O57" s="1424"/>
      <c r="P57" s="1425"/>
      <c r="Q57" s="1423" t="s">
        <v>2691</v>
      </c>
      <c r="R57" s="1424"/>
      <c r="S57" s="1424"/>
      <c r="T57" s="1425"/>
      <c r="U57" s="1423" t="s">
        <v>5548</v>
      </c>
      <c r="V57" s="1424"/>
      <c r="W57" s="1424"/>
      <c r="X57" s="1425"/>
      <c r="Y57" s="1423" t="s">
        <v>5549</v>
      </c>
      <c r="Z57" s="1424"/>
      <c r="AA57" s="1424"/>
      <c r="AB57" s="1425"/>
    </row>
    <row r="58" spans="1:51" x14ac:dyDescent="0.25">
      <c r="A58" s="1409" t="s">
        <v>2683</v>
      </c>
      <c r="B58" s="1410"/>
      <c r="C58" s="1410"/>
      <c r="D58" s="1410"/>
      <c r="E58" s="1410"/>
      <c r="F58" s="1410"/>
      <c r="G58" s="1410"/>
      <c r="H58" s="1411"/>
      <c r="I58" s="1445">
        <f>'[2]EFLH &amp; CF'!N28</f>
        <v>0.31</v>
      </c>
      <c r="J58" s="1446"/>
      <c r="K58" s="1446"/>
      <c r="L58" s="1446"/>
      <c r="M58" s="1412">
        <f>'[2]Savings Factors'!I21</f>
        <v>1.25</v>
      </c>
      <c r="N58" s="1413"/>
      <c r="O58" s="1413"/>
      <c r="P58" s="1414"/>
      <c r="Q58" s="1412">
        <f>'[2]Savings Factors'!M21</f>
        <v>1.1299999999999999</v>
      </c>
      <c r="R58" s="1413"/>
      <c r="S58" s="1413"/>
      <c r="T58" s="1414"/>
      <c r="U58" s="1436">
        <f>'[2]EFLH &amp; CF'!N13</f>
        <v>1831</v>
      </c>
      <c r="V58" s="1437"/>
      <c r="W58" s="1437"/>
      <c r="X58" s="1438"/>
      <c r="Y58" s="1436">
        <f>ROUND(IF(50000/U58&gt;25,25,50000/U58),0)</f>
        <v>25</v>
      </c>
      <c r="Z58" s="1437"/>
      <c r="AA58" s="1437"/>
      <c r="AB58" s="1438"/>
    </row>
    <row r="59" spans="1:51" x14ac:dyDescent="0.25">
      <c r="A59" s="1409" t="s">
        <v>221</v>
      </c>
      <c r="B59" s="1410"/>
      <c r="C59" s="1410"/>
      <c r="D59" s="1410"/>
      <c r="E59" s="1410"/>
      <c r="F59" s="1410"/>
      <c r="G59" s="1410"/>
      <c r="H59" s="1411"/>
      <c r="I59" s="1445">
        <f>'[2]EFLH &amp; CF'!N29</f>
        <v>0.2</v>
      </c>
      <c r="J59" s="1446"/>
      <c r="K59" s="1446"/>
      <c r="L59" s="1446"/>
      <c r="M59" s="1412">
        <f>'[2]Savings Factors'!I22</f>
        <v>1.26</v>
      </c>
      <c r="N59" s="1413"/>
      <c r="O59" s="1413"/>
      <c r="P59" s="1414"/>
      <c r="Q59" s="1412">
        <f>'[2]Savings Factors'!M22</f>
        <v>1.56</v>
      </c>
      <c r="R59" s="1413"/>
      <c r="S59" s="1413"/>
      <c r="T59" s="1414"/>
      <c r="U59" s="1436">
        <f>'[2]EFLH &amp; CF'!N14</f>
        <v>4710</v>
      </c>
      <c r="V59" s="1437"/>
      <c r="W59" s="1437"/>
      <c r="X59" s="1438"/>
      <c r="Y59" s="1436">
        <f t="shared" ref="Y59:Y67" si="0">ROUND(IF(50000/U59&gt;25,25,50000/U59),0)</f>
        <v>11</v>
      </c>
      <c r="Z59" s="1437"/>
      <c r="AA59" s="1437"/>
      <c r="AB59" s="1438"/>
    </row>
    <row r="60" spans="1:51" x14ac:dyDescent="0.25">
      <c r="A60" s="1409" t="s">
        <v>222</v>
      </c>
      <c r="B60" s="1410"/>
      <c r="C60" s="1410"/>
      <c r="D60" s="1410"/>
      <c r="E60" s="1410"/>
      <c r="F60" s="1410"/>
      <c r="G60" s="1410"/>
      <c r="H60" s="1411"/>
      <c r="I60" s="1445">
        <f>'[2]EFLH &amp; CF'!N30</f>
        <v>0.28000000000000003</v>
      </c>
      <c r="J60" s="1446"/>
      <c r="K60" s="1446"/>
      <c r="L60" s="1446"/>
      <c r="M60" s="1412">
        <f>'[2]Savings Factors'!I23</f>
        <v>1.3</v>
      </c>
      <c r="N60" s="1413"/>
      <c r="O60" s="1413"/>
      <c r="P60" s="1414"/>
      <c r="Q60" s="1412">
        <f>'[2]Savings Factors'!M23</f>
        <v>1.25</v>
      </c>
      <c r="R60" s="1413"/>
      <c r="S60" s="1413"/>
      <c r="T60" s="1414"/>
      <c r="U60" s="1436">
        <f>'[2]EFLH &amp; CF'!N15</f>
        <v>1498</v>
      </c>
      <c r="V60" s="1437"/>
      <c r="W60" s="1437"/>
      <c r="X60" s="1438"/>
      <c r="Y60" s="1436">
        <f t="shared" si="0"/>
        <v>25</v>
      </c>
      <c r="Z60" s="1437"/>
      <c r="AA60" s="1437"/>
      <c r="AB60" s="1438"/>
    </row>
    <row r="61" spans="1:51" x14ac:dyDescent="0.25">
      <c r="A61" s="1409" t="s">
        <v>223</v>
      </c>
      <c r="B61" s="1410"/>
      <c r="C61" s="1410"/>
      <c r="D61" s="1410"/>
      <c r="E61" s="1410"/>
      <c r="F61" s="1410"/>
      <c r="G61" s="1410"/>
      <c r="H61" s="1411"/>
      <c r="I61" s="1445">
        <f>'[2]EFLH &amp; CF'!N31</f>
        <v>0.7</v>
      </c>
      <c r="J61" s="1446"/>
      <c r="K61" s="1446"/>
      <c r="L61" s="1446"/>
      <c r="M61" s="1412">
        <f>'[2]Savings Factors'!I24</f>
        <v>1.1100000000000001</v>
      </c>
      <c r="N61" s="1413"/>
      <c r="O61" s="1413"/>
      <c r="P61" s="1414"/>
      <c r="Q61" s="1412">
        <f>'[2]Savings Factors'!M24</f>
        <v>1.1399999999999999</v>
      </c>
      <c r="R61" s="1413"/>
      <c r="S61" s="1413"/>
      <c r="T61" s="1414"/>
      <c r="U61" s="1436">
        <f>'[2]EFLH &amp; CF'!N16</f>
        <v>4900</v>
      </c>
      <c r="V61" s="1437"/>
      <c r="W61" s="1437"/>
      <c r="X61" s="1438"/>
      <c r="Y61" s="1436">
        <f t="shared" si="0"/>
        <v>10</v>
      </c>
      <c r="Z61" s="1437"/>
      <c r="AA61" s="1437"/>
      <c r="AB61" s="1438"/>
    </row>
    <row r="62" spans="1:51" x14ac:dyDescent="0.25">
      <c r="A62" s="1409" t="s">
        <v>224</v>
      </c>
      <c r="B62" s="1410"/>
      <c r="C62" s="1410"/>
      <c r="D62" s="1410"/>
      <c r="E62" s="1410"/>
      <c r="F62" s="1410"/>
      <c r="G62" s="1410"/>
      <c r="H62" s="1411"/>
      <c r="I62" s="1445">
        <f>'[2]EFLH &amp; CF'!N32</f>
        <v>0.66</v>
      </c>
      <c r="J62" s="1446"/>
      <c r="K62" s="1446"/>
      <c r="L62" s="1446"/>
      <c r="M62" s="1412">
        <f>'[2]Savings Factors'!I25</f>
        <v>1.23</v>
      </c>
      <c r="N62" s="1413"/>
      <c r="O62" s="1413"/>
      <c r="P62" s="1414"/>
      <c r="Q62" s="1412">
        <f>'[2]Savings Factors'!M25</f>
        <v>1.1399999999999999</v>
      </c>
      <c r="R62" s="1413"/>
      <c r="S62" s="1413"/>
      <c r="T62" s="1414"/>
      <c r="U62" s="1436">
        <f>'[2]EFLH &amp; CF'!N17</f>
        <v>5370</v>
      </c>
      <c r="V62" s="1437"/>
      <c r="W62" s="1437"/>
      <c r="X62" s="1438"/>
      <c r="Y62" s="1436">
        <f t="shared" si="0"/>
        <v>9</v>
      </c>
      <c r="Z62" s="1437"/>
      <c r="AA62" s="1437"/>
      <c r="AB62" s="1438"/>
    </row>
    <row r="63" spans="1:51" x14ac:dyDescent="0.25">
      <c r="A63" s="1409" t="s">
        <v>225</v>
      </c>
      <c r="B63" s="1410"/>
      <c r="C63" s="1410"/>
      <c r="D63" s="1410"/>
      <c r="E63" s="1410"/>
      <c r="F63" s="1410"/>
      <c r="G63" s="1410"/>
      <c r="H63" s="1411"/>
      <c r="I63" s="1445">
        <f>'[2]EFLH &amp; CF'!N33</f>
        <v>0.26</v>
      </c>
      <c r="J63" s="1446"/>
      <c r="K63" s="1446"/>
      <c r="L63" s="1446"/>
      <c r="M63" s="1412">
        <f>'[2]Savings Factors'!I26</f>
        <v>1.27</v>
      </c>
      <c r="N63" s="1413"/>
      <c r="O63" s="1413"/>
      <c r="P63" s="1414"/>
      <c r="Q63" s="1412">
        <f>'[2]Savings Factors'!M26</f>
        <v>1.38</v>
      </c>
      <c r="R63" s="1413"/>
      <c r="S63" s="1413"/>
      <c r="T63" s="1414"/>
      <c r="U63" s="1436">
        <f>'[2]EFLH &amp; CF'!N18</f>
        <v>1284</v>
      </c>
      <c r="V63" s="1437"/>
      <c r="W63" s="1437"/>
      <c r="X63" s="1438"/>
      <c r="Y63" s="1436">
        <f t="shared" si="0"/>
        <v>25</v>
      </c>
      <c r="Z63" s="1437"/>
      <c r="AA63" s="1437"/>
      <c r="AB63" s="1438"/>
    </row>
    <row r="64" spans="1:51" x14ac:dyDescent="0.25">
      <c r="A64" s="1409" t="s">
        <v>226</v>
      </c>
      <c r="B64" s="1410"/>
      <c r="C64" s="1410"/>
      <c r="D64" s="1410"/>
      <c r="E64" s="1410"/>
      <c r="F64" s="1410"/>
      <c r="G64" s="1410"/>
      <c r="H64" s="1411"/>
      <c r="I64" s="1445">
        <f>'[2]EFLH &amp; CF'!N34</f>
        <v>0.53</v>
      </c>
      <c r="J64" s="1446"/>
      <c r="K64" s="1446"/>
      <c r="L64" s="1446"/>
      <c r="M64" s="1412">
        <f>'[2]Savings Factors'!I27</f>
        <v>1.19</v>
      </c>
      <c r="N64" s="1413"/>
      <c r="O64" s="1413"/>
      <c r="P64" s="1414"/>
      <c r="Q64" s="1412">
        <f>'[2]Savings Factors'!M27</f>
        <v>1.1200000000000001</v>
      </c>
      <c r="R64" s="1413"/>
      <c r="S64" s="1413"/>
      <c r="T64" s="1414"/>
      <c r="U64" s="1436">
        <f>'[2]EFLH &amp; CF'!N19</f>
        <v>2145</v>
      </c>
      <c r="V64" s="1437"/>
      <c r="W64" s="1437"/>
      <c r="X64" s="1438"/>
      <c r="Y64" s="1436">
        <f t="shared" si="0"/>
        <v>23</v>
      </c>
      <c r="Z64" s="1437"/>
      <c r="AA64" s="1437"/>
      <c r="AB64" s="1438"/>
    </row>
    <row r="65" spans="1:61" x14ac:dyDescent="0.25">
      <c r="A65" s="1409" t="s">
        <v>55</v>
      </c>
      <c r="B65" s="1410"/>
      <c r="C65" s="1410"/>
      <c r="D65" s="1410"/>
      <c r="E65" s="1410"/>
      <c r="F65" s="1410"/>
      <c r="G65" s="1410"/>
      <c r="H65" s="1411"/>
      <c r="I65" s="1445">
        <f>'[2]EFLH &amp; CF'!N35</f>
        <v>0.22</v>
      </c>
      <c r="J65" s="1446"/>
      <c r="K65" s="1446"/>
      <c r="L65" s="1446"/>
      <c r="M65" s="1412">
        <f>'[2]Savings Factors'!I28</f>
        <v>1.08</v>
      </c>
      <c r="N65" s="1413"/>
      <c r="O65" s="1413"/>
      <c r="P65" s="1414"/>
      <c r="Q65" s="1412">
        <f>'[2]Savings Factors'!M28</f>
        <v>1.25</v>
      </c>
      <c r="R65" s="1413"/>
      <c r="S65" s="1413"/>
      <c r="T65" s="1414"/>
      <c r="U65" s="1436">
        <f>'[2]EFLH &amp; CF'!N20</f>
        <v>1780</v>
      </c>
      <c r="V65" s="1437"/>
      <c r="W65" s="1437"/>
      <c r="X65" s="1438"/>
      <c r="Y65" s="1436">
        <f t="shared" si="0"/>
        <v>25</v>
      </c>
      <c r="Z65" s="1437"/>
      <c r="AA65" s="1437"/>
      <c r="AB65" s="1438"/>
    </row>
    <row r="66" spans="1:61" x14ac:dyDescent="0.25">
      <c r="A66" s="1409" t="s">
        <v>227</v>
      </c>
      <c r="B66" s="1410"/>
      <c r="C66" s="1410"/>
      <c r="D66" s="1410"/>
      <c r="E66" s="1410"/>
      <c r="F66" s="1410"/>
      <c r="G66" s="1410"/>
      <c r="H66" s="1411"/>
      <c r="I66" s="1445">
        <f>'[2]EFLH &amp; CF'!N36</f>
        <v>0.52</v>
      </c>
      <c r="J66" s="1446"/>
      <c r="K66" s="1446"/>
      <c r="L66" s="1446"/>
      <c r="M66" s="1412">
        <f>'[2]Savings Factors'!I29</f>
        <v>1.22</v>
      </c>
      <c r="N66" s="1413"/>
      <c r="O66" s="1413"/>
      <c r="P66" s="1414"/>
      <c r="Q66" s="1412">
        <f>'[2]Savings Factors'!M29</f>
        <v>1.28</v>
      </c>
      <c r="R66" s="1413"/>
      <c r="S66" s="1413"/>
      <c r="T66" s="1414"/>
      <c r="U66" s="1436">
        <f>'[2]EFLH &amp; CF'!N21</f>
        <v>3700</v>
      </c>
      <c r="V66" s="1437"/>
      <c r="W66" s="1437"/>
      <c r="X66" s="1438"/>
      <c r="Y66" s="1436">
        <f t="shared" si="0"/>
        <v>14</v>
      </c>
      <c r="Z66" s="1437"/>
      <c r="AA66" s="1437"/>
      <c r="AB66" s="1438"/>
    </row>
    <row r="67" spans="1:61" x14ac:dyDescent="0.25">
      <c r="A67" s="1409" t="s">
        <v>228</v>
      </c>
      <c r="B67" s="1410"/>
      <c r="C67" s="1410"/>
      <c r="D67" s="1410"/>
      <c r="E67" s="1410"/>
      <c r="F67" s="1410"/>
      <c r="G67" s="1410"/>
      <c r="H67" s="1411"/>
      <c r="I67" s="1445">
        <f>'[2]EFLH &amp; CF'!N37</f>
        <v>0.32</v>
      </c>
      <c r="J67" s="1446"/>
      <c r="K67" s="1446"/>
      <c r="L67" s="1446"/>
      <c r="M67" s="1412">
        <f>'[2]Savings Factors'!I30</f>
        <v>1.39</v>
      </c>
      <c r="N67" s="1413"/>
      <c r="O67" s="1413"/>
      <c r="P67" s="1414"/>
      <c r="Q67" s="1412">
        <f>'[2]Savings Factors'!M30</f>
        <v>1.1399999999999999</v>
      </c>
      <c r="R67" s="1413"/>
      <c r="S67" s="1413"/>
      <c r="T67" s="1414"/>
      <c r="U67" s="1436">
        <f>'[2]EFLH &amp; CF'!N22</f>
        <v>2363</v>
      </c>
      <c r="V67" s="1437"/>
      <c r="W67" s="1437"/>
      <c r="X67" s="1438"/>
      <c r="Y67" s="1436">
        <f t="shared" si="0"/>
        <v>21</v>
      </c>
      <c r="Z67" s="1437"/>
      <c r="AA67" s="1437"/>
      <c r="AB67" s="1438"/>
    </row>
    <row r="68" spans="1:61" x14ac:dyDescent="0.25">
      <c r="A68" s="1409" t="s">
        <v>229</v>
      </c>
      <c r="B68" s="1410"/>
      <c r="C68" s="1410"/>
      <c r="D68" s="1410"/>
      <c r="E68" s="1410"/>
      <c r="F68" s="1410"/>
      <c r="G68" s="1410"/>
      <c r="H68" s="1411"/>
      <c r="I68" s="1445">
        <f>'[2]EFLH &amp; CF'!N38</f>
        <v>7.0000000000000007E-2</v>
      </c>
      <c r="J68" s="1446"/>
      <c r="K68" s="1446"/>
      <c r="L68" s="1446"/>
      <c r="M68" s="1412">
        <f>'[2]Savings Factors'!I31</f>
        <v>1.1499999999999999</v>
      </c>
      <c r="N68" s="1413"/>
      <c r="O68" s="1413"/>
      <c r="P68" s="1414"/>
      <c r="Q68" s="1412">
        <f>'[2]Savings Factors'!M31</f>
        <v>1.01</v>
      </c>
      <c r="R68" s="1413"/>
      <c r="S68" s="1413"/>
      <c r="T68" s="1414"/>
      <c r="U68" s="1436">
        <f>'[2]EFLH &amp; CF'!N23</f>
        <v>1690</v>
      </c>
      <c r="V68" s="1437"/>
      <c r="W68" s="1437"/>
      <c r="X68" s="1438"/>
      <c r="Y68" s="1436">
        <f>ROUND(IF(50000/U68&gt;25,25,50000/U68),0)</f>
        <v>25</v>
      </c>
      <c r="Z68" s="1437"/>
      <c r="AA68" s="1437"/>
      <c r="AB68" s="1438"/>
    </row>
    <row r="70" spans="1:61" x14ac:dyDescent="0.25">
      <c r="A70" s="1621" t="s">
        <v>6585</v>
      </c>
      <c r="B70" s="1621"/>
      <c r="C70" s="1621"/>
      <c r="D70" s="1621"/>
      <c r="E70" s="1621"/>
      <c r="F70" s="1621"/>
      <c r="G70" s="1621"/>
      <c r="H70" s="1621"/>
      <c r="I70" s="1621"/>
      <c r="J70" s="1621"/>
      <c r="K70" s="1621"/>
      <c r="L70" s="1621"/>
      <c r="M70" s="1621"/>
      <c r="N70" s="1621"/>
      <c r="O70" s="1621"/>
      <c r="P70" s="1621"/>
      <c r="Q70" s="1621"/>
      <c r="R70" s="1621"/>
      <c r="S70" s="1621"/>
      <c r="T70" s="1621"/>
      <c r="U70" s="1621"/>
      <c r="V70" s="1621"/>
      <c r="W70" s="1621"/>
      <c r="X70" s="1621"/>
      <c r="Y70" s="1621"/>
      <c r="Z70" s="1621"/>
      <c r="AA70" s="1621"/>
      <c r="AB70" s="1621"/>
      <c r="AC70" s="1621"/>
      <c r="AD70" s="1621"/>
      <c r="AE70" s="1621"/>
      <c r="AF70" s="1621"/>
      <c r="AI70" s="692"/>
      <c r="BI70" s="692"/>
    </row>
    <row r="71" spans="1:61" x14ac:dyDescent="0.25">
      <c r="A71" s="190"/>
      <c r="B71" s="190"/>
      <c r="C71" s="190"/>
      <c r="D71" s="190"/>
      <c r="E71" s="190"/>
      <c r="F71" s="190"/>
      <c r="G71" s="190"/>
      <c r="H71" s="190"/>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I71" s="692"/>
      <c r="AS71" s="584"/>
    </row>
    <row r="72" spans="1:61" x14ac:dyDescent="0.25">
      <c r="A72" s="262"/>
      <c r="B72" s="642" t="s">
        <v>6897</v>
      </c>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262"/>
      <c r="AF72" s="262"/>
      <c r="AI72" s="692"/>
    </row>
    <row r="73" spans="1:61" ht="15.75" thickBot="1" x14ac:dyDescent="0.3">
      <c r="A73" s="642"/>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62"/>
      <c r="AE73" s="262"/>
      <c r="AF73" s="262"/>
    </row>
    <row r="74" spans="1:61" x14ac:dyDescent="0.25">
      <c r="A74" s="1810" t="s">
        <v>54</v>
      </c>
      <c r="B74" s="1643"/>
      <c r="C74" s="1643"/>
      <c r="D74" s="1643"/>
      <c r="E74" s="1643"/>
      <c r="F74" s="1643"/>
      <c r="G74" s="1643"/>
      <c r="H74" s="1643"/>
      <c r="I74" s="1642" t="s">
        <v>23</v>
      </c>
      <c r="J74" s="1642"/>
      <c r="K74" s="1642"/>
      <c r="L74" s="1642"/>
      <c r="M74" s="1642"/>
      <c r="N74" s="1642"/>
      <c r="O74" s="1642"/>
      <c r="P74" s="1642"/>
      <c r="Q74" s="1642" t="s">
        <v>24</v>
      </c>
      <c r="R74" s="1642"/>
      <c r="S74" s="1642"/>
      <c r="T74" s="1642"/>
      <c r="U74" s="1642"/>
      <c r="V74" s="1642"/>
      <c r="W74" s="1642"/>
      <c r="X74" s="1858"/>
      <c r="Y74" s="1642" t="s">
        <v>2012</v>
      </c>
      <c r="Z74" s="1642"/>
      <c r="AA74" s="1642"/>
      <c r="AB74" s="1642"/>
      <c r="AC74" s="1642"/>
      <c r="AD74" s="1642"/>
      <c r="AE74" s="1642"/>
      <c r="AF74" s="1859"/>
    </row>
    <row r="75" spans="1:61" x14ac:dyDescent="0.25">
      <c r="A75" s="2467" t="s">
        <v>1984</v>
      </c>
      <c r="B75" s="1283"/>
      <c r="C75" s="1283"/>
      <c r="D75" s="1283"/>
      <c r="E75" s="1283"/>
      <c r="F75" s="1283"/>
      <c r="G75" s="1283"/>
      <c r="H75" s="1283"/>
      <c r="I75" s="1624">
        <f t="shared" ref="I75:I85" si="1">ROUND(($Q$41-$Q$42)*$Q$43*$I58*$M58,3)</f>
        <v>3.0000000000000001E-3</v>
      </c>
      <c r="J75" s="1624"/>
      <c r="K75" s="1624"/>
      <c r="L75" s="1624"/>
      <c r="M75" s="1624"/>
      <c r="N75" s="1624"/>
      <c r="O75" s="1624"/>
      <c r="P75" s="1624"/>
      <c r="Q75" s="1882">
        <f>ROUND(($Q$41-$Q$42)*$Q$43*$U58*$Q58,2)</f>
        <v>14.19</v>
      </c>
      <c r="R75" s="1882"/>
      <c r="S75" s="1882"/>
      <c r="T75" s="1882"/>
      <c r="U75" s="1882"/>
      <c r="V75" s="1882"/>
      <c r="W75" s="1882"/>
      <c r="X75" s="1882"/>
      <c r="Y75" s="2468">
        <f t="shared" ref="Y75:Y85" si="2">ROUND($Q75*$Y58,2)</f>
        <v>354.75</v>
      </c>
      <c r="Z75" s="2468"/>
      <c r="AA75" s="2468"/>
      <c r="AB75" s="2468"/>
      <c r="AC75" s="2468"/>
      <c r="AD75" s="2468"/>
      <c r="AE75" s="2468"/>
      <c r="AF75" s="2469"/>
    </row>
    <row r="76" spans="1:61" x14ac:dyDescent="0.25">
      <c r="A76" s="2467" t="s">
        <v>221</v>
      </c>
      <c r="B76" s="1283"/>
      <c r="C76" s="1283"/>
      <c r="D76" s="1283"/>
      <c r="E76" s="1283"/>
      <c r="F76" s="1283"/>
      <c r="G76" s="1283"/>
      <c r="H76" s="1283"/>
      <c r="I76" s="1624">
        <f t="shared" si="1"/>
        <v>2E-3</v>
      </c>
      <c r="J76" s="1624"/>
      <c r="K76" s="1624"/>
      <c r="L76" s="1624"/>
      <c r="M76" s="1624"/>
      <c r="N76" s="1624"/>
      <c r="O76" s="1624"/>
      <c r="P76" s="1624"/>
      <c r="Q76" s="1882">
        <f t="shared" ref="Q76:Q85" si="3">ROUND(($Q$41-$Q$42)*$Q$43*$U59*$Q59,2)</f>
        <v>50.4</v>
      </c>
      <c r="R76" s="1882"/>
      <c r="S76" s="1882"/>
      <c r="T76" s="1882"/>
      <c r="U76" s="1882"/>
      <c r="V76" s="1882"/>
      <c r="W76" s="1882"/>
      <c r="X76" s="1882"/>
      <c r="Y76" s="2468">
        <f t="shared" si="2"/>
        <v>554.4</v>
      </c>
      <c r="Z76" s="2468"/>
      <c r="AA76" s="2468"/>
      <c r="AB76" s="2468"/>
      <c r="AC76" s="2468"/>
      <c r="AD76" s="2468"/>
      <c r="AE76" s="2468"/>
      <c r="AF76" s="2469"/>
    </row>
    <row r="77" spans="1:61" x14ac:dyDescent="0.25">
      <c r="A77" s="2467" t="s">
        <v>222</v>
      </c>
      <c r="B77" s="1283"/>
      <c r="C77" s="1283"/>
      <c r="D77" s="1283"/>
      <c r="E77" s="1283"/>
      <c r="F77" s="1283"/>
      <c r="G77" s="1283"/>
      <c r="H77" s="1283"/>
      <c r="I77" s="1624">
        <f t="shared" si="1"/>
        <v>2E-3</v>
      </c>
      <c r="J77" s="1624"/>
      <c r="K77" s="1624"/>
      <c r="L77" s="1624"/>
      <c r="M77" s="1624"/>
      <c r="N77" s="1624"/>
      <c r="O77" s="1624"/>
      <c r="P77" s="1624"/>
      <c r="Q77" s="1882">
        <f t="shared" si="3"/>
        <v>12.85</v>
      </c>
      <c r="R77" s="1882"/>
      <c r="S77" s="1882"/>
      <c r="T77" s="1882"/>
      <c r="U77" s="1882"/>
      <c r="V77" s="1882"/>
      <c r="W77" s="1882"/>
      <c r="X77" s="1882"/>
      <c r="Y77" s="2468">
        <f t="shared" si="2"/>
        <v>321.25</v>
      </c>
      <c r="Z77" s="2468"/>
      <c r="AA77" s="2468"/>
      <c r="AB77" s="2468"/>
      <c r="AC77" s="2468"/>
      <c r="AD77" s="2468"/>
      <c r="AE77" s="2468"/>
      <c r="AF77" s="2469"/>
    </row>
    <row r="78" spans="1:61" x14ac:dyDescent="0.25">
      <c r="A78" s="2467" t="s">
        <v>223</v>
      </c>
      <c r="B78" s="1283"/>
      <c r="C78" s="1283"/>
      <c r="D78" s="1283"/>
      <c r="E78" s="1283"/>
      <c r="F78" s="1283"/>
      <c r="G78" s="1283"/>
      <c r="H78" s="1283"/>
      <c r="I78" s="1624">
        <f t="shared" si="1"/>
        <v>5.0000000000000001E-3</v>
      </c>
      <c r="J78" s="1624"/>
      <c r="K78" s="1624"/>
      <c r="L78" s="1624"/>
      <c r="M78" s="1624"/>
      <c r="N78" s="1624"/>
      <c r="O78" s="1624"/>
      <c r="P78" s="1624"/>
      <c r="Q78" s="1882">
        <f t="shared" si="3"/>
        <v>38.32</v>
      </c>
      <c r="R78" s="1882"/>
      <c r="S78" s="1882"/>
      <c r="T78" s="1882"/>
      <c r="U78" s="1882"/>
      <c r="V78" s="1882"/>
      <c r="W78" s="1882"/>
      <c r="X78" s="1882"/>
      <c r="Y78" s="2468">
        <f t="shared" si="2"/>
        <v>383.2</v>
      </c>
      <c r="Z78" s="2468"/>
      <c r="AA78" s="2468"/>
      <c r="AB78" s="2468"/>
      <c r="AC78" s="2468"/>
      <c r="AD78" s="2468"/>
      <c r="AE78" s="2468"/>
      <c r="AF78" s="2469"/>
    </row>
    <row r="79" spans="1:61" x14ac:dyDescent="0.25">
      <c r="A79" s="2467" t="s">
        <v>224</v>
      </c>
      <c r="B79" s="1283"/>
      <c r="C79" s="1283"/>
      <c r="D79" s="1283"/>
      <c r="E79" s="1283"/>
      <c r="F79" s="1283"/>
      <c r="G79" s="1283"/>
      <c r="H79" s="1283"/>
      <c r="I79" s="1624">
        <f t="shared" si="1"/>
        <v>6.0000000000000001E-3</v>
      </c>
      <c r="J79" s="1624"/>
      <c r="K79" s="1624"/>
      <c r="L79" s="1624"/>
      <c r="M79" s="1624"/>
      <c r="N79" s="1624"/>
      <c r="O79" s="1624"/>
      <c r="P79" s="1624"/>
      <c r="Q79" s="1882">
        <f t="shared" si="3"/>
        <v>42</v>
      </c>
      <c r="R79" s="1882"/>
      <c r="S79" s="1882"/>
      <c r="T79" s="1882"/>
      <c r="U79" s="1882"/>
      <c r="V79" s="1882"/>
      <c r="W79" s="1882"/>
      <c r="X79" s="1882"/>
      <c r="Y79" s="2468">
        <f t="shared" si="2"/>
        <v>378</v>
      </c>
      <c r="Z79" s="2468"/>
      <c r="AA79" s="2468"/>
      <c r="AB79" s="2468"/>
      <c r="AC79" s="2468"/>
      <c r="AD79" s="2468"/>
      <c r="AE79" s="2468"/>
      <c r="AF79" s="2469"/>
    </row>
    <row r="80" spans="1:61" x14ac:dyDescent="0.25">
      <c r="A80" s="2467" t="s">
        <v>225</v>
      </c>
      <c r="B80" s="1283"/>
      <c r="C80" s="1283"/>
      <c r="D80" s="1283"/>
      <c r="E80" s="1283"/>
      <c r="F80" s="1283"/>
      <c r="G80" s="1283"/>
      <c r="H80" s="1283"/>
      <c r="I80" s="1624">
        <f t="shared" si="1"/>
        <v>2E-3</v>
      </c>
      <c r="J80" s="1624"/>
      <c r="K80" s="1624"/>
      <c r="L80" s="1624"/>
      <c r="M80" s="1624"/>
      <c r="N80" s="1624"/>
      <c r="O80" s="1624"/>
      <c r="P80" s="1624"/>
      <c r="Q80" s="1882">
        <f t="shared" si="3"/>
        <v>12.16</v>
      </c>
      <c r="R80" s="1882"/>
      <c r="S80" s="1882"/>
      <c r="T80" s="1882"/>
      <c r="U80" s="1882"/>
      <c r="V80" s="1882"/>
      <c r="W80" s="1882"/>
      <c r="X80" s="1882"/>
      <c r="Y80" s="2468">
        <f t="shared" si="2"/>
        <v>304</v>
      </c>
      <c r="Z80" s="2468"/>
      <c r="AA80" s="2468"/>
      <c r="AB80" s="2468"/>
      <c r="AC80" s="2468"/>
      <c r="AD80" s="2468"/>
      <c r="AE80" s="2468"/>
      <c r="AF80" s="2469"/>
    </row>
    <row r="81" spans="1:35" x14ac:dyDescent="0.25">
      <c r="A81" s="2467" t="s">
        <v>226</v>
      </c>
      <c r="B81" s="1283"/>
      <c r="C81" s="1283"/>
      <c r="D81" s="1283"/>
      <c r="E81" s="1283"/>
      <c r="F81" s="1283"/>
      <c r="G81" s="1283"/>
      <c r="H81" s="1283"/>
      <c r="I81" s="1624">
        <f t="shared" si="1"/>
        <v>4.0000000000000001E-3</v>
      </c>
      <c r="J81" s="1624"/>
      <c r="K81" s="1624"/>
      <c r="L81" s="1624"/>
      <c r="M81" s="1624"/>
      <c r="N81" s="1624"/>
      <c r="O81" s="1624"/>
      <c r="P81" s="1624"/>
      <c r="Q81" s="1882">
        <f t="shared" si="3"/>
        <v>16.48</v>
      </c>
      <c r="R81" s="1882"/>
      <c r="S81" s="1882"/>
      <c r="T81" s="1882"/>
      <c r="U81" s="1882"/>
      <c r="V81" s="1882"/>
      <c r="W81" s="1882"/>
      <c r="X81" s="1882"/>
      <c r="Y81" s="2468">
        <f t="shared" si="2"/>
        <v>379.04</v>
      </c>
      <c r="Z81" s="2468"/>
      <c r="AA81" s="2468"/>
      <c r="AB81" s="2468"/>
      <c r="AC81" s="2468"/>
      <c r="AD81" s="2468"/>
      <c r="AE81" s="2468"/>
      <c r="AF81" s="2469"/>
    </row>
    <row r="82" spans="1:35" x14ac:dyDescent="0.25">
      <c r="A82" s="2467" t="s">
        <v>55</v>
      </c>
      <c r="B82" s="1283"/>
      <c r="C82" s="1283"/>
      <c r="D82" s="1283"/>
      <c r="E82" s="1283"/>
      <c r="F82" s="1283"/>
      <c r="G82" s="1283"/>
      <c r="H82" s="1283"/>
      <c r="I82" s="1624">
        <f t="shared" si="1"/>
        <v>2E-3</v>
      </c>
      <c r="J82" s="1624"/>
      <c r="K82" s="1624"/>
      <c r="L82" s="1624"/>
      <c r="M82" s="1624"/>
      <c r="N82" s="1624"/>
      <c r="O82" s="1624"/>
      <c r="P82" s="1624"/>
      <c r="Q82" s="1882">
        <f t="shared" si="3"/>
        <v>15.26</v>
      </c>
      <c r="R82" s="1882"/>
      <c r="S82" s="1882"/>
      <c r="T82" s="1882"/>
      <c r="U82" s="1882"/>
      <c r="V82" s="1882"/>
      <c r="W82" s="1882"/>
      <c r="X82" s="1882"/>
      <c r="Y82" s="2468">
        <f t="shared" si="2"/>
        <v>381.5</v>
      </c>
      <c r="Z82" s="2468"/>
      <c r="AA82" s="2468"/>
      <c r="AB82" s="2468"/>
      <c r="AC82" s="2468"/>
      <c r="AD82" s="2468"/>
      <c r="AE82" s="2468"/>
      <c r="AF82" s="2469"/>
    </row>
    <row r="83" spans="1:35" x14ac:dyDescent="0.25">
      <c r="A83" s="2467" t="s">
        <v>227</v>
      </c>
      <c r="B83" s="1283"/>
      <c r="C83" s="1283"/>
      <c r="D83" s="1283"/>
      <c r="E83" s="1283"/>
      <c r="F83" s="1283"/>
      <c r="G83" s="1283"/>
      <c r="H83" s="1283"/>
      <c r="I83" s="1624">
        <f t="shared" si="1"/>
        <v>4.0000000000000001E-3</v>
      </c>
      <c r="J83" s="1624"/>
      <c r="K83" s="1624"/>
      <c r="L83" s="1624"/>
      <c r="M83" s="1624"/>
      <c r="N83" s="1624"/>
      <c r="O83" s="1624"/>
      <c r="P83" s="1624"/>
      <c r="Q83" s="1882">
        <f t="shared" si="3"/>
        <v>32.49</v>
      </c>
      <c r="R83" s="1882"/>
      <c r="S83" s="1882"/>
      <c r="T83" s="1882"/>
      <c r="U83" s="1882"/>
      <c r="V83" s="1882"/>
      <c r="W83" s="1882"/>
      <c r="X83" s="1882"/>
      <c r="Y83" s="2468">
        <f t="shared" si="2"/>
        <v>454.86</v>
      </c>
      <c r="Z83" s="2468"/>
      <c r="AA83" s="2468"/>
      <c r="AB83" s="2468"/>
      <c r="AC83" s="2468"/>
      <c r="AD83" s="2468"/>
      <c r="AE83" s="2468"/>
      <c r="AF83" s="2469"/>
    </row>
    <row r="84" spans="1:35" x14ac:dyDescent="0.25">
      <c r="A84" s="2467" t="s">
        <v>228</v>
      </c>
      <c r="B84" s="1283"/>
      <c r="C84" s="1283"/>
      <c r="D84" s="1283"/>
      <c r="E84" s="1283"/>
      <c r="F84" s="1283"/>
      <c r="G84" s="1283"/>
      <c r="H84" s="1283"/>
      <c r="I84" s="1624">
        <f t="shared" si="1"/>
        <v>3.0000000000000001E-3</v>
      </c>
      <c r="J84" s="1624"/>
      <c r="K84" s="1624"/>
      <c r="L84" s="1624"/>
      <c r="M84" s="1624"/>
      <c r="N84" s="1624"/>
      <c r="O84" s="1624"/>
      <c r="P84" s="1624"/>
      <c r="Q84" s="1882">
        <f t="shared" si="3"/>
        <v>18.48</v>
      </c>
      <c r="R84" s="1882"/>
      <c r="S84" s="1882"/>
      <c r="T84" s="1882"/>
      <c r="U84" s="1882"/>
      <c r="V84" s="1882"/>
      <c r="W84" s="1882"/>
      <c r="X84" s="1882"/>
      <c r="Y84" s="2468">
        <f t="shared" si="2"/>
        <v>388.08</v>
      </c>
      <c r="Z84" s="2468"/>
      <c r="AA84" s="2468"/>
      <c r="AB84" s="2468"/>
      <c r="AC84" s="2468"/>
      <c r="AD84" s="2468"/>
      <c r="AE84" s="2468"/>
      <c r="AF84" s="2469"/>
    </row>
    <row r="85" spans="1:35" ht="15.75" thickBot="1" x14ac:dyDescent="0.3">
      <c r="A85" s="2481" t="s">
        <v>229</v>
      </c>
      <c r="B85" s="1803"/>
      <c r="C85" s="1803"/>
      <c r="D85" s="1803"/>
      <c r="E85" s="1803"/>
      <c r="F85" s="1803"/>
      <c r="G85" s="1803"/>
      <c r="H85" s="1803"/>
      <c r="I85" s="1634">
        <f t="shared" si="1"/>
        <v>1E-3</v>
      </c>
      <c r="J85" s="1634"/>
      <c r="K85" s="1634"/>
      <c r="L85" s="1634"/>
      <c r="M85" s="1634"/>
      <c r="N85" s="1634"/>
      <c r="O85" s="1634"/>
      <c r="P85" s="1634"/>
      <c r="Q85" s="1888">
        <f t="shared" si="3"/>
        <v>11.71</v>
      </c>
      <c r="R85" s="1888"/>
      <c r="S85" s="1888"/>
      <c r="T85" s="1888"/>
      <c r="U85" s="1888"/>
      <c r="V85" s="1888"/>
      <c r="W85" s="1888"/>
      <c r="X85" s="1888"/>
      <c r="Y85" s="2482">
        <f t="shared" si="2"/>
        <v>292.75</v>
      </c>
      <c r="Z85" s="2482"/>
      <c r="AA85" s="2482"/>
      <c r="AB85" s="2482"/>
      <c r="AC85" s="2482"/>
      <c r="AD85" s="2482"/>
      <c r="AE85" s="2482"/>
      <c r="AF85" s="2483"/>
    </row>
    <row r="86" spans="1:35" x14ac:dyDescent="0.25">
      <c r="A86" s="227"/>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row>
    <row r="87" spans="1:35" x14ac:dyDescent="0.25">
      <c r="A87" s="262"/>
      <c r="B87" s="642" t="s">
        <v>6898</v>
      </c>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262"/>
      <c r="AF87" s="262"/>
      <c r="AI87" s="692"/>
    </row>
    <row r="88" spans="1:35" x14ac:dyDescent="0.25">
      <c r="A88" s="262"/>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2"/>
      <c r="AE88" s="262"/>
      <c r="AF88" s="262"/>
    </row>
    <row r="89" spans="1:35" x14ac:dyDescent="0.25">
      <c r="A89" s="1"/>
      <c r="B89" t="s">
        <v>5550</v>
      </c>
      <c r="U89" s="1"/>
      <c r="V89" s="1"/>
      <c r="W89" s="1"/>
      <c r="X89" s="1"/>
      <c r="Y89" s="1"/>
      <c r="Z89" s="1"/>
      <c r="AA89" s="1"/>
      <c r="AB89" s="1"/>
      <c r="AC89" s="1"/>
      <c r="AD89" s="1"/>
      <c r="AE89" s="1"/>
      <c r="AF89" s="1"/>
    </row>
    <row r="90" spans="1:35" x14ac:dyDescent="0.25">
      <c r="A90" s="1"/>
      <c r="D90" s="2109">
        <v>1000</v>
      </c>
      <c r="E90" s="2110"/>
      <c r="F90" s="2110"/>
      <c r="G90" s="2110"/>
      <c r="H90" s="2111"/>
      <c r="I90" t="s">
        <v>5551</v>
      </c>
      <c r="N90" s="1"/>
      <c r="O90" s="1"/>
      <c r="P90" s="1"/>
      <c r="Q90" s="1"/>
      <c r="R90" s="1"/>
      <c r="S90" s="1"/>
      <c r="T90" s="1"/>
      <c r="U90" s="1"/>
      <c r="V90" s="1"/>
      <c r="W90" s="1"/>
      <c r="X90" s="1"/>
      <c r="Y90" s="1"/>
      <c r="Z90" s="1"/>
      <c r="AA90" s="1"/>
      <c r="AB90" s="1"/>
      <c r="AC90" s="1"/>
      <c r="AD90" s="1"/>
      <c r="AE90" s="1"/>
      <c r="AF90" s="1"/>
    </row>
    <row r="91" spans="1:35" ht="15.75" thickBo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row>
    <row r="92" spans="1:35" x14ac:dyDescent="0.25">
      <c r="A92" s="1583" t="s">
        <v>54</v>
      </c>
      <c r="B92" s="1584"/>
      <c r="C92" s="1584"/>
      <c r="D92" s="1584"/>
      <c r="E92" s="1584"/>
      <c r="F92" s="1584"/>
      <c r="G92" s="1584"/>
      <c r="H92" s="1584"/>
      <c r="I92" s="1609" t="s">
        <v>23</v>
      </c>
      <c r="J92" s="1609"/>
      <c r="K92" s="1609"/>
      <c r="L92" s="1609"/>
      <c r="M92" s="1609"/>
      <c r="N92" s="1609"/>
      <c r="O92" s="1609"/>
      <c r="P92" s="1609"/>
      <c r="Q92" s="1609" t="s">
        <v>24</v>
      </c>
      <c r="R92" s="1609"/>
      <c r="S92" s="1609"/>
      <c r="T92" s="1609"/>
      <c r="U92" s="1609"/>
      <c r="V92" s="1609"/>
      <c r="W92" s="1609"/>
      <c r="X92" s="2484"/>
      <c r="Y92" s="1609" t="s">
        <v>2012</v>
      </c>
      <c r="Z92" s="1609"/>
      <c r="AA92" s="1609"/>
      <c r="AB92" s="1609"/>
      <c r="AC92" s="1609"/>
      <c r="AD92" s="1609"/>
      <c r="AE92" s="1609"/>
      <c r="AF92" s="1737"/>
    </row>
    <row r="93" spans="1:35" x14ac:dyDescent="0.25">
      <c r="A93" s="1782" t="s">
        <v>1984</v>
      </c>
      <c r="B93" s="1243"/>
      <c r="C93" s="1243"/>
      <c r="D93" s="1243"/>
      <c r="E93" s="1243"/>
      <c r="F93" s="1243"/>
      <c r="G93" s="1243"/>
      <c r="H93" s="1243"/>
      <c r="I93" s="2470">
        <f t="shared" ref="I93:I103" si="4">ROUND((ROUND($D$90/45,0)-ROUND($D$90/73,0))*$Q$43*$I58*$M58/1000,3)</f>
        <v>3.0000000000000001E-3</v>
      </c>
      <c r="J93" s="2470"/>
      <c r="K93" s="2470"/>
      <c r="L93" s="2470"/>
      <c r="M93" s="2470"/>
      <c r="N93" s="2470"/>
      <c r="O93" s="2470"/>
      <c r="P93" s="2470"/>
      <c r="Q93" s="2471">
        <f t="shared" ref="Q93:Q103" si="5">ROUND((ROUND($D$90/45,0)-ROUND($D$90/73,0))*$Q$43*$U58*$Q58/1000,2)</f>
        <v>16.22</v>
      </c>
      <c r="R93" s="2471"/>
      <c r="S93" s="2471"/>
      <c r="T93" s="2471"/>
      <c r="U93" s="2471"/>
      <c r="V93" s="2471"/>
      <c r="W93" s="2471"/>
      <c r="X93" s="2471"/>
      <c r="Y93" s="2472">
        <f>ROUND($Q93*$Y58,2)</f>
        <v>405.5</v>
      </c>
      <c r="Z93" s="2472"/>
      <c r="AA93" s="2472"/>
      <c r="AB93" s="2472"/>
      <c r="AC93" s="2472"/>
      <c r="AD93" s="2472"/>
      <c r="AE93" s="2472"/>
      <c r="AF93" s="2473"/>
    </row>
    <row r="94" spans="1:35" x14ac:dyDescent="0.25">
      <c r="A94" s="1782" t="s">
        <v>221</v>
      </c>
      <c r="B94" s="1243"/>
      <c r="C94" s="1243"/>
      <c r="D94" s="1243"/>
      <c r="E94" s="1243"/>
      <c r="F94" s="1243"/>
      <c r="G94" s="1243"/>
      <c r="H94" s="1243"/>
      <c r="I94" s="2470">
        <f t="shared" si="4"/>
        <v>2E-3</v>
      </c>
      <c r="J94" s="2470"/>
      <c r="K94" s="2470"/>
      <c r="L94" s="2470"/>
      <c r="M94" s="2470"/>
      <c r="N94" s="2470"/>
      <c r="O94" s="2470"/>
      <c r="P94" s="2470"/>
      <c r="Q94" s="2471">
        <f t="shared" si="5"/>
        <v>57.61</v>
      </c>
      <c r="R94" s="2471"/>
      <c r="S94" s="2471"/>
      <c r="T94" s="2471"/>
      <c r="U94" s="2471"/>
      <c r="V94" s="2471"/>
      <c r="W94" s="2471"/>
      <c r="X94" s="2471"/>
      <c r="Y94" s="2472">
        <f t="shared" ref="Y94:Y103" si="6">ROUND($Q94*$Y59,2)</f>
        <v>633.71</v>
      </c>
      <c r="Z94" s="2472"/>
      <c r="AA94" s="2472"/>
      <c r="AB94" s="2472"/>
      <c r="AC94" s="2472"/>
      <c r="AD94" s="2472"/>
      <c r="AE94" s="2472"/>
      <c r="AF94" s="2473"/>
    </row>
    <row r="95" spans="1:35" x14ac:dyDescent="0.25">
      <c r="A95" s="1782" t="s">
        <v>222</v>
      </c>
      <c r="B95" s="1243"/>
      <c r="C95" s="1243"/>
      <c r="D95" s="1243"/>
      <c r="E95" s="1243"/>
      <c r="F95" s="1243"/>
      <c r="G95" s="1243"/>
      <c r="H95" s="1243"/>
      <c r="I95" s="2470">
        <f t="shared" si="4"/>
        <v>3.0000000000000001E-3</v>
      </c>
      <c r="J95" s="2470"/>
      <c r="K95" s="2470"/>
      <c r="L95" s="2470"/>
      <c r="M95" s="2470"/>
      <c r="N95" s="2470"/>
      <c r="O95" s="2470"/>
      <c r="P95" s="2470"/>
      <c r="Q95" s="2471">
        <f t="shared" si="5"/>
        <v>14.68</v>
      </c>
      <c r="R95" s="2471"/>
      <c r="S95" s="2471"/>
      <c r="T95" s="2471"/>
      <c r="U95" s="2471"/>
      <c r="V95" s="2471"/>
      <c r="W95" s="2471"/>
      <c r="X95" s="2471"/>
      <c r="Y95" s="2472">
        <f t="shared" si="6"/>
        <v>367</v>
      </c>
      <c r="Z95" s="2472"/>
      <c r="AA95" s="2472"/>
      <c r="AB95" s="2472"/>
      <c r="AC95" s="2472"/>
      <c r="AD95" s="2472"/>
      <c r="AE95" s="2472"/>
      <c r="AF95" s="2473"/>
    </row>
    <row r="96" spans="1:35" x14ac:dyDescent="0.25">
      <c r="A96" s="1782" t="s">
        <v>223</v>
      </c>
      <c r="B96" s="1243"/>
      <c r="C96" s="1243"/>
      <c r="D96" s="1243"/>
      <c r="E96" s="1243"/>
      <c r="F96" s="1243"/>
      <c r="G96" s="1243"/>
      <c r="H96" s="1243"/>
      <c r="I96" s="2470">
        <f t="shared" si="4"/>
        <v>6.0000000000000001E-3</v>
      </c>
      <c r="J96" s="2470"/>
      <c r="K96" s="2470"/>
      <c r="L96" s="2470"/>
      <c r="M96" s="2470"/>
      <c r="N96" s="2470"/>
      <c r="O96" s="2470"/>
      <c r="P96" s="2470"/>
      <c r="Q96" s="2471">
        <f t="shared" si="5"/>
        <v>43.79</v>
      </c>
      <c r="R96" s="2471"/>
      <c r="S96" s="2471"/>
      <c r="T96" s="2471"/>
      <c r="U96" s="2471"/>
      <c r="V96" s="2471"/>
      <c r="W96" s="2471"/>
      <c r="X96" s="2471"/>
      <c r="Y96" s="2472">
        <f t="shared" si="6"/>
        <v>437.9</v>
      </c>
      <c r="Z96" s="2472"/>
      <c r="AA96" s="2472"/>
      <c r="AB96" s="2472"/>
      <c r="AC96" s="2472"/>
      <c r="AD96" s="2472"/>
      <c r="AE96" s="2472"/>
      <c r="AF96" s="2473"/>
    </row>
    <row r="97" spans="1:48" x14ac:dyDescent="0.25">
      <c r="A97" s="1782" t="s">
        <v>224</v>
      </c>
      <c r="B97" s="1243"/>
      <c r="C97" s="1243"/>
      <c r="D97" s="1243"/>
      <c r="E97" s="1243"/>
      <c r="F97" s="1243"/>
      <c r="G97" s="1243"/>
      <c r="H97" s="1243"/>
      <c r="I97" s="2470">
        <f t="shared" si="4"/>
        <v>6.0000000000000001E-3</v>
      </c>
      <c r="J97" s="2470"/>
      <c r="K97" s="2470"/>
      <c r="L97" s="2470"/>
      <c r="M97" s="2470"/>
      <c r="N97" s="2470"/>
      <c r="O97" s="2470"/>
      <c r="P97" s="2470"/>
      <c r="Q97" s="2471">
        <f t="shared" si="5"/>
        <v>47.99</v>
      </c>
      <c r="R97" s="2471"/>
      <c r="S97" s="2471"/>
      <c r="T97" s="2471"/>
      <c r="U97" s="2471"/>
      <c r="V97" s="2471"/>
      <c r="W97" s="2471"/>
      <c r="X97" s="2471"/>
      <c r="Y97" s="2472">
        <f t="shared" si="6"/>
        <v>431.91</v>
      </c>
      <c r="Z97" s="2472"/>
      <c r="AA97" s="2472"/>
      <c r="AB97" s="2472"/>
      <c r="AC97" s="2472"/>
      <c r="AD97" s="2472"/>
      <c r="AE97" s="2472"/>
      <c r="AF97" s="2473"/>
    </row>
    <row r="98" spans="1:48" x14ac:dyDescent="0.25">
      <c r="A98" s="1782" t="s">
        <v>225</v>
      </c>
      <c r="B98" s="1243"/>
      <c r="C98" s="1243"/>
      <c r="D98" s="1243"/>
      <c r="E98" s="1243"/>
      <c r="F98" s="1243"/>
      <c r="G98" s="1243"/>
      <c r="H98" s="1243"/>
      <c r="I98" s="2470">
        <f t="shared" si="4"/>
        <v>3.0000000000000001E-3</v>
      </c>
      <c r="J98" s="2470"/>
      <c r="K98" s="2470"/>
      <c r="L98" s="2470"/>
      <c r="M98" s="2470"/>
      <c r="N98" s="2470"/>
      <c r="O98" s="2470"/>
      <c r="P98" s="2470"/>
      <c r="Q98" s="2471">
        <f t="shared" si="5"/>
        <v>13.89</v>
      </c>
      <c r="R98" s="2471"/>
      <c r="S98" s="2471"/>
      <c r="T98" s="2471"/>
      <c r="U98" s="2471"/>
      <c r="V98" s="2471"/>
      <c r="W98" s="2471"/>
      <c r="X98" s="2471"/>
      <c r="Y98" s="2472">
        <f t="shared" si="6"/>
        <v>347.25</v>
      </c>
      <c r="Z98" s="2472"/>
      <c r="AA98" s="2472"/>
      <c r="AB98" s="2472"/>
      <c r="AC98" s="2472"/>
      <c r="AD98" s="2472"/>
      <c r="AE98" s="2472"/>
      <c r="AF98" s="2473"/>
    </row>
    <row r="99" spans="1:48" x14ac:dyDescent="0.25">
      <c r="A99" s="1782" t="s">
        <v>226</v>
      </c>
      <c r="B99" s="1243"/>
      <c r="C99" s="1243"/>
      <c r="D99" s="1243"/>
      <c r="E99" s="1243"/>
      <c r="F99" s="1243"/>
      <c r="G99" s="1243"/>
      <c r="H99" s="1243"/>
      <c r="I99" s="2470">
        <f t="shared" si="4"/>
        <v>5.0000000000000001E-3</v>
      </c>
      <c r="J99" s="2470"/>
      <c r="K99" s="2470"/>
      <c r="L99" s="2470"/>
      <c r="M99" s="2470"/>
      <c r="N99" s="2470"/>
      <c r="O99" s="2470"/>
      <c r="P99" s="2470"/>
      <c r="Q99" s="2471">
        <f t="shared" si="5"/>
        <v>18.829999999999998</v>
      </c>
      <c r="R99" s="2471"/>
      <c r="S99" s="2471"/>
      <c r="T99" s="2471"/>
      <c r="U99" s="2471"/>
      <c r="V99" s="2471"/>
      <c r="W99" s="2471"/>
      <c r="X99" s="2471"/>
      <c r="Y99" s="2472">
        <f t="shared" si="6"/>
        <v>433.09</v>
      </c>
      <c r="Z99" s="2472"/>
      <c r="AA99" s="2472"/>
      <c r="AB99" s="2472"/>
      <c r="AC99" s="2472"/>
      <c r="AD99" s="2472"/>
      <c r="AE99" s="2472"/>
      <c r="AF99" s="2473"/>
    </row>
    <row r="100" spans="1:48" x14ac:dyDescent="0.25">
      <c r="A100" s="1782" t="s">
        <v>55</v>
      </c>
      <c r="B100" s="1243"/>
      <c r="C100" s="1243"/>
      <c r="D100" s="1243"/>
      <c r="E100" s="1243"/>
      <c r="F100" s="1243"/>
      <c r="G100" s="1243"/>
      <c r="H100" s="1243"/>
      <c r="I100" s="2470">
        <f t="shared" si="4"/>
        <v>2E-3</v>
      </c>
      <c r="J100" s="2470"/>
      <c r="K100" s="2470"/>
      <c r="L100" s="2470"/>
      <c r="M100" s="2470"/>
      <c r="N100" s="2470"/>
      <c r="O100" s="2470"/>
      <c r="P100" s="2470"/>
      <c r="Q100" s="2471">
        <f t="shared" si="5"/>
        <v>17.440000000000001</v>
      </c>
      <c r="R100" s="2471"/>
      <c r="S100" s="2471"/>
      <c r="T100" s="2471"/>
      <c r="U100" s="2471"/>
      <c r="V100" s="2471"/>
      <c r="W100" s="2471"/>
      <c r="X100" s="2471"/>
      <c r="Y100" s="2472">
        <f t="shared" si="6"/>
        <v>436</v>
      </c>
      <c r="Z100" s="2472"/>
      <c r="AA100" s="2472"/>
      <c r="AB100" s="2472"/>
      <c r="AC100" s="2472"/>
      <c r="AD100" s="2472"/>
      <c r="AE100" s="2472"/>
      <c r="AF100" s="2473"/>
    </row>
    <row r="101" spans="1:48" x14ac:dyDescent="0.25">
      <c r="A101" s="1782" t="s">
        <v>227</v>
      </c>
      <c r="B101" s="1243"/>
      <c r="C101" s="1243"/>
      <c r="D101" s="1243"/>
      <c r="E101" s="1243"/>
      <c r="F101" s="1243"/>
      <c r="G101" s="1243"/>
      <c r="H101" s="1243"/>
      <c r="I101" s="2470">
        <f t="shared" si="4"/>
        <v>5.0000000000000001E-3</v>
      </c>
      <c r="J101" s="2470"/>
      <c r="K101" s="2470"/>
      <c r="L101" s="2470"/>
      <c r="M101" s="2470"/>
      <c r="N101" s="2470"/>
      <c r="O101" s="2470"/>
      <c r="P101" s="2470"/>
      <c r="Q101" s="2471">
        <f t="shared" si="5"/>
        <v>37.130000000000003</v>
      </c>
      <c r="R101" s="2471"/>
      <c r="S101" s="2471"/>
      <c r="T101" s="2471"/>
      <c r="U101" s="2471"/>
      <c r="V101" s="2471"/>
      <c r="W101" s="2471"/>
      <c r="X101" s="2471"/>
      <c r="Y101" s="2472">
        <f t="shared" si="6"/>
        <v>519.82000000000005</v>
      </c>
      <c r="Z101" s="2472"/>
      <c r="AA101" s="2472"/>
      <c r="AB101" s="2472"/>
      <c r="AC101" s="2472"/>
      <c r="AD101" s="2472"/>
      <c r="AE101" s="2472"/>
      <c r="AF101" s="2473"/>
    </row>
    <row r="102" spans="1:48" x14ac:dyDescent="0.25">
      <c r="A102" s="1782" t="s">
        <v>228</v>
      </c>
      <c r="B102" s="1243"/>
      <c r="C102" s="1243"/>
      <c r="D102" s="1243"/>
      <c r="E102" s="1243"/>
      <c r="F102" s="1243"/>
      <c r="G102" s="1243"/>
      <c r="H102" s="1243"/>
      <c r="I102" s="2470">
        <f t="shared" si="4"/>
        <v>3.0000000000000001E-3</v>
      </c>
      <c r="J102" s="2470"/>
      <c r="K102" s="2470"/>
      <c r="L102" s="2470"/>
      <c r="M102" s="2470"/>
      <c r="N102" s="2470"/>
      <c r="O102" s="2470"/>
      <c r="P102" s="2470"/>
      <c r="Q102" s="2471">
        <f t="shared" si="5"/>
        <v>21.12</v>
      </c>
      <c r="R102" s="2471"/>
      <c r="S102" s="2471"/>
      <c r="T102" s="2471"/>
      <c r="U102" s="2471"/>
      <c r="V102" s="2471"/>
      <c r="W102" s="2471"/>
      <c r="X102" s="2471"/>
      <c r="Y102" s="2472">
        <f t="shared" si="6"/>
        <v>443.52</v>
      </c>
      <c r="Z102" s="2472"/>
      <c r="AA102" s="2472"/>
      <c r="AB102" s="2472"/>
      <c r="AC102" s="2472"/>
      <c r="AD102" s="2472"/>
      <c r="AE102" s="2472"/>
      <c r="AF102" s="2473"/>
    </row>
    <row r="103" spans="1:48" ht="15.75" thickBot="1" x14ac:dyDescent="0.3">
      <c r="A103" s="1578" t="s">
        <v>229</v>
      </c>
      <c r="B103" s="1579"/>
      <c r="C103" s="1579"/>
      <c r="D103" s="1579"/>
      <c r="E103" s="1579"/>
      <c r="F103" s="1579"/>
      <c r="G103" s="1579"/>
      <c r="H103" s="1579"/>
      <c r="I103" s="2485">
        <f t="shared" si="4"/>
        <v>1E-3</v>
      </c>
      <c r="J103" s="2485"/>
      <c r="K103" s="2485"/>
      <c r="L103" s="2485"/>
      <c r="M103" s="2485"/>
      <c r="N103" s="2485"/>
      <c r="O103" s="2485"/>
      <c r="P103" s="2485"/>
      <c r="Q103" s="2486">
        <f t="shared" si="5"/>
        <v>13.38</v>
      </c>
      <c r="R103" s="2486"/>
      <c r="S103" s="2486"/>
      <c r="T103" s="2486"/>
      <c r="U103" s="2486"/>
      <c r="V103" s="2486"/>
      <c r="W103" s="2486"/>
      <c r="X103" s="2486"/>
      <c r="Y103" s="2487">
        <f t="shared" si="6"/>
        <v>334.5</v>
      </c>
      <c r="Z103" s="2487"/>
      <c r="AA103" s="2487"/>
      <c r="AB103" s="2487"/>
      <c r="AC103" s="2487"/>
      <c r="AD103" s="2487"/>
      <c r="AE103" s="2487"/>
      <c r="AF103" s="2488"/>
    </row>
    <row r="104" spans="1:48" x14ac:dyDescent="0.25">
      <c r="A104" s="1"/>
      <c r="B104" s="416" t="s">
        <v>5552</v>
      </c>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row>
    <row r="105" spans="1:48" x14ac:dyDescent="0.25">
      <c r="A105" s="1"/>
      <c r="B105" s="416"/>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I105" s="692"/>
      <c r="AV105" s="584"/>
    </row>
    <row r="106" spans="1:48" x14ac:dyDescent="0.25">
      <c r="A106" s="1"/>
      <c r="B106" s="416"/>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row>
    <row r="107" spans="1:48" x14ac:dyDescent="0.25">
      <c r="A107" s="1472" t="s">
        <v>1753</v>
      </c>
      <c r="B107" s="1472"/>
      <c r="C107" s="1472"/>
      <c r="D107" s="1472"/>
      <c r="E107" s="1472"/>
      <c r="F107" s="1472"/>
      <c r="G107" s="1472"/>
      <c r="H107" s="1472"/>
      <c r="I107" s="1472"/>
      <c r="J107" s="1472"/>
      <c r="K107" s="1472"/>
      <c r="L107" s="1472"/>
      <c r="M107" s="1472"/>
      <c r="N107" s="1472"/>
      <c r="O107" s="1472"/>
      <c r="P107" s="1472"/>
      <c r="Q107" s="1472"/>
      <c r="R107" s="1472"/>
      <c r="S107" s="1472"/>
      <c r="T107" s="1472"/>
      <c r="U107" s="1472"/>
      <c r="V107" s="1472"/>
      <c r="W107" s="1472"/>
      <c r="X107" s="1472"/>
      <c r="Y107" s="1472"/>
      <c r="Z107" s="1472"/>
      <c r="AA107" s="1472"/>
      <c r="AB107" s="1472"/>
      <c r="AC107" s="1472"/>
      <c r="AD107" s="1472"/>
      <c r="AE107" s="1472"/>
      <c r="AF107" s="1472"/>
    </row>
    <row r="109" spans="1:48" ht="29.25" customHeight="1" x14ac:dyDescent="0.25">
      <c r="A109" s="986" t="s">
        <v>1013</v>
      </c>
      <c r="B109" s="1168" t="s">
        <v>6899</v>
      </c>
      <c r="C109" s="1168"/>
      <c r="D109" s="1168"/>
      <c r="E109" s="1168"/>
      <c r="F109" s="1168"/>
      <c r="G109" s="1168"/>
      <c r="H109" s="1168"/>
      <c r="I109" s="1168"/>
      <c r="J109" s="1168"/>
      <c r="K109" s="1168"/>
      <c r="L109" s="1168"/>
      <c r="M109" s="1168"/>
      <c r="N109" s="1168"/>
      <c r="O109" s="1168"/>
      <c r="P109" s="1168"/>
      <c r="Q109" s="1168"/>
      <c r="R109" s="1168"/>
      <c r="S109" s="1168"/>
      <c r="T109" s="1168"/>
      <c r="U109" s="1168"/>
      <c r="V109" s="1168"/>
      <c r="W109" s="1168"/>
      <c r="X109" s="1168"/>
      <c r="Y109" s="1168"/>
      <c r="Z109" s="1168"/>
      <c r="AA109" s="1168"/>
      <c r="AB109" s="1168"/>
      <c r="AC109" s="1168"/>
      <c r="AD109" s="1168"/>
      <c r="AE109" s="1168"/>
      <c r="AF109" s="1168"/>
      <c r="AI109" s="692"/>
    </row>
    <row r="110" spans="1:48" ht="33.75" customHeight="1" x14ac:dyDescent="0.25">
      <c r="A110" s="517" t="s">
        <v>1013</v>
      </c>
      <c r="B110" s="1168" t="s">
        <v>6904</v>
      </c>
      <c r="C110" s="1168"/>
      <c r="D110" s="1168"/>
      <c r="E110" s="1168"/>
      <c r="F110" s="1168"/>
      <c r="G110" s="1168"/>
      <c r="H110" s="1168"/>
      <c r="I110" s="1168"/>
      <c r="J110" s="1168"/>
      <c r="K110" s="1168"/>
      <c r="L110" s="1168"/>
      <c r="M110" s="1168"/>
      <c r="N110" s="1168"/>
      <c r="O110" s="1168"/>
      <c r="P110" s="1168"/>
      <c r="Q110" s="1168"/>
      <c r="R110" s="1168"/>
      <c r="S110" s="1168"/>
      <c r="T110" s="1168"/>
      <c r="U110" s="1168"/>
      <c r="V110" s="1168"/>
      <c r="W110" s="1168"/>
      <c r="X110" s="1168"/>
      <c r="Y110" s="1168"/>
      <c r="Z110" s="1168"/>
      <c r="AA110" s="1168"/>
      <c r="AB110" s="1168"/>
      <c r="AC110" s="1168"/>
      <c r="AD110" s="1168"/>
      <c r="AE110" s="1168"/>
      <c r="AF110" s="1168"/>
    </row>
    <row r="111" spans="1:48" ht="15" customHeight="1" x14ac:dyDescent="0.25">
      <c r="A111" s="515" t="s">
        <v>1013</v>
      </c>
      <c r="B111" s="1168" t="s">
        <v>5622</v>
      </c>
      <c r="C111" s="1168"/>
      <c r="D111" s="1168"/>
      <c r="E111" s="1168"/>
      <c r="F111" s="1168"/>
      <c r="G111" s="1168"/>
      <c r="H111" s="1168"/>
      <c r="I111" s="1168"/>
      <c r="J111" s="1168"/>
      <c r="K111" s="1168"/>
      <c r="L111" s="1168"/>
      <c r="M111" s="1168"/>
      <c r="N111" s="1168"/>
      <c r="O111" s="1168"/>
      <c r="P111" s="1168"/>
      <c r="Q111" s="1168"/>
      <c r="R111" s="1168"/>
      <c r="S111" s="1168"/>
      <c r="T111" s="1168"/>
      <c r="U111" s="1168"/>
      <c r="V111" s="1168"/>
      <c r="W111" s="1168"/>
      <c r="X111" s="1168"/>
      <c r="Y111" s="1168"/>
      <c r="Z111" s="1168"/>
      <c r="AA111" s="1168"/>
      <c r="AB111" s="1168"/>
      <c r="AC111" s="1168"/>
      <c r="AD111" s="1168"/>
      <c r="AE111" s="1168"/>
      <c r="AF111" s="1168"/>
    </row>
    <row r="112" spans="1:48" ht="62.25" customHeight="1" x14ac:dyDescent="0.25">
      <c r="A112" s="515" t="s">
        <v>1013</v>
      </c>
      <c r="B112" s="1168" t="s">
        <v>2954</v>
      </c>
      <c r="C112" s="1168"/>
      <c r="D112" s="1168"/>
      <c r="E112" s="1168"/>
      <c r="F112" s="1168"/>
      <c r="G112" s="1168"/>
      <c r="H112" s="1168"/>
      <c r="I112" s="1168"/>
      <c r="J112" s="1168"/>
      <c r="K112" s="1168"/>
      <c r="L112" s="1168"/>
      <c r="M112" s="1168"/>
      <c r="N112" s="1168"/>
      <c r="O112" s="1168"/>
      <c r="P112" s="1168"/>
      <c r="Q112" s="1168"/>
      <c r="R112" s="1168"/>
      <c r="S112" s="1168"/>
      <c r="T112" s="1168"/>
      <c r="U112" s="1168"/>
      <c r="V112" s="1168"/>
      <c r="W112" s="1168"/>
      <c r="X112" s="1168"/>
      <c r="Y112" s="1168"/>
      <c r="Z112" s="1168"/>
      <c r="AA112" s="1168"/>
      <c r="AB112" s="1168"/>
      <c r="AC112" s="1168"/>
      <c r="AD112" s="1168"/>
      <c r="AE112" s="1168"/>
      <c r="AF112" s="1168"/>
    </row>
    <row r="113" spans="1:35" ht="48" customHeight="1" x14ac:dyDescent="0.25">
      <c r="A113" s="517" t="s">
        <v>1013</v>
      </c>
      <c r="B113" s="1168" t="s">
        <v>2026</v>
      </c>
      <c r="C113" s="1168"/>
      <c r="D113" s="1168"/>
      <c r="E113" s="1168"/>
      <c r="F113" s="1168"/>
      <c r="G113" s="1168"/>
      <c r="H113" s="1168"/>
      <c r="I113" s="1168"/>
      <c r="J113" s="1168"/>
      <c r="K113" s="1168"/>
      <c r="L113" s="1168"/>
      <c r="M113" s="1168"/>
      <c r="N113" s="1168"/>
      <c r="O113" s="1168"/>
      <c r="P113" s="1168"/>
      <c r="Q113" s="1168"/>
      <c r="R113" s="1168"/>
      <c r="S113" s="1168"/>
      <c r="T113" s="1168"/>
      <c r="U113" s="1168"/>
      <c r="V113" s="1168"/>
      <c r="W113" s="1168"/>
      <c r="X113" s="1168"/>
      <c r="Y113" s="1168"/>
      <c r="Z113" s="1168"/>
      <c r="AA113" s="1168"/>
      <c r="AB113" s="1168"/>
      <c r="AC113" s="1168"/>
      <c r="AD113" s="1168"/>
      <c r="AE113" s="1168"/>
      <c r="AF113" s="1168"/>
    </row>
    <row r="114" spans="1:35" ht="63" customHeight="1" x14ac:dyDescent="0.25">
      <c r="A114" s="515" t="s">
        <v>1013</v>
      </c>
      <c r="B114" s="1168" t="s">
        <v>5553</v>
      </c>
      <c r="C114" s="1168"/>
      <c r="D114" s="1168"/>
      <c r="E114" s="1168"/>
      <c r="F114" s="1168"/>
      <c r="G114" s="1168"/>
      <c r="H114" s="1168"/>
      <c r="I114" s="1168"/>
      <c r="J114" s="1168"/>
      <c r="K114" s="1168"/>
      <c r="L114" s="1168"/>
      <c r="M114" s="1168"/>
      <c r="N114" s="1168"/>
      <c r="O114" s="1168"/>
      <c r="P114" s="1168"/>
      <c r="Q114" s="1168"/>
      <c r="R114" s="1168"/>
      <c r="S114" s="1168"/>
      <c r="T114" s="1168"/>
      <c r="U114" s="1168"/>
      <c r="V114" s="1168"/>
      <c r="W114" s="1168"/>
      <c r="X114" s="1168"/>
      <c r="Y114" s="1168"/>
      <c r="Z114" s="1168"/>
      <c r="AA114" s="1168"/>
      <c r="AB114" s="1168"/>
      <c r="AC114" s="1168"/>
      <c r="AD114" s="1168"/>
      <c r="AE114" s="1168"/>
      <c r="AF114" s="1168"/>
    </row>
    <row r="115" spans="1:35" ht="34.5" customHeight="1" x14ac:dyDescent="0.25">
      <c r="A115" s="515" t="s">
        <v>1013</v>
      </c>
      <c r="B115" s="1168" t="s">
        <v>6900</v>
      </c>
      <c r="C115" s="1168"/>
      <c r="D115" s="1168"/>
      <c r="E115" s="1168"/>
      <c r="F115" s="1168"/>
      <c r="G115" s="1168"/>
      <c r="H115" s="1168"/>
      <c r="I115" s="1168"/>
      <c r="J115" s="1168"/>
      <c r="K115" s="1168"/>
      <c r="L115" s="1168"/>
      <c r="M115" s="1168"/>
      <c r="N115" s="1168"/>
      <c r="O115" s="1168"/>
      <c r="P115" s="1168"/>
      <c r="Q115" s="1168"/>
      <c r="R115" s="1168"/>
      <c r="S115" s="1168"/>
      <c r="T115" s="1168"/>
      <c r="U115" s="1168"/>
      <c r="V115" s="1168"/>
      <c r="W115" s="1168"/>
      <c r="X115" s="1168"/>
      <c r="Y115" s="1168"/>
      <c r="Z115" s="1168"/>
      <c r="AA115" s="1168"/>
      <c r="AB115" s="1168"/>
      <c r="AC115" s="1168"/>
      <c r="AD115" s="1168"/>
      <c r="AE115" s="1168"/>
      <c r="AF115" s="1168"/>
      <c r="AI115" s="692"/>
    </row>
    <row r="116" spans="1:35" ht="61.5" customHeight="1" x14ac:dyDescent="0.25">
      <c r="A116" s="515" t="s">
        <v>1013</v>
      </c>
      <c r="B116" s="1168" t="s">
        <v>5554</v>
      </c>
      <c r="C116" s="1168"/>
      <c r="D116" s="1168"/>
      <c r="E116" s="1168"/>
      <c r="F116" s="1168"/>
      <c r="G116" s="1168"/>
      <c r="H116" s="1168"/>
      <c r="I116" s="1168"/>
      <c r="J116" s="1168"/>
      <c r="K116" s="1168"/>
      <c r="L116" s="1168"/>
      <c r="M116" s="1168"/>
      <c r="N116" s="1168"/>
      <c r="O116" s="1168"/>
      <c r="P116" s="1168"/>
      <c r="Q116" s="1168"/>
      <c r="R116" s="1168"/>
      <c r="S116" s="1168"/>
      <c r="T116" s="1168"/>
      <c r="U116" s="1168"/>
      <c r="V116" s="1168"/>
      <c r="W116" s="1168"/>
      <c r="X116" s="1168"/>
      <c r="Y116" s="1168"/>
      <c r="Z116" s="1168"/>
      <c r="AA116" s="1168"/>
      <c r="AB116" s="1168"/>
      <c r="AC116" s="1168"/>
      <c r="AD116" s="1168"/>
      <c r="AE116" s="1168"/>
      <c r="AF116" s="1168"/>
    </row>
    <row r="117" spans="1:35" ht="48.75" customHeight="1" x14ac:dyDescent="0.25">
      <c r="A117" s="515" t="s">
        <v>1013</v>
      </c>
      <c r="B117" s="1168" t="s">
        <v>5555</v>
      </c>
      <c r="C117" s="1168"/>
      <c r="D117" s="1168"/>
      <c r="E117" s="1168"/>
      <c r="F117" s="1168"/>
      <c r="G117" s="1168"/>
      <c r="H117" s="1168"/>
      <c r="I117" s="1168"/>
      <c r="J117" s="1168"/>
      <c r="K117" s="1168"/>
      <c r="L117" s="1168"/>
      <c r="M117" s="1168"/>
      <c r="N117" s="1168"/>
      <c r="O117" s="1168"/>
      <c r="P117" s="1168"/>
      <c r="Q117" s="1168"/>
      <c r="R117" s="1168"/>
      <c r="S117" s="1168"/>
      <c r="T117" s="1168"/>
      <c r="U117" s="1168"/>
      <c r="V117" s="1168"/>
      <c r="W117" s="1168"/>
      <c r="X117" s="1168"/>
      <c r="Y117" s="1168"/>
      <c r="Z117" s="1168"/>
      <c r="AA117" s="1168"/>
      <c r="AB117" s="1168"/>
      <c r="AC117" s="1168"/>
      <c r="AD117" s="1168"/>
      <c r="AE117" s="1168"/>
      <c r="AF117" s="1168"/>
    </row>
    <row r="118" spans="1:35" ht="63" customHeight="1" x14ac:dyDescent="0.25">
      <c r="A118" s="515" t="s">
        <v>1013</v>
      </c>
      <c r="B118" s="1173" t="s">
        <v>5556</v>
      </c>
      <c r="C118" s="1173"/>
      <c r="D118" s="1173"/>
      <c r="E118" s="1173"/>
      <c r="F118" s="1173"/>
      <c r="G118" s="1173"/>
      <c r="H118" s="1173"/>
      <c r="I118" s="1173"/>
      <c r="J118" s="1173"/>
      <c r="K118" s="1173"/>
      <c r="L118" s="1173"/>
      <c r="M118" s="1173"/>
      <c r="N118" s="1173"/>
      <c r="O118" s="1173"/>
      <c r="P118" s="1173"/>
      <c r="Q118" s="1173"/>
      <c r="R118" s="1173"/>
      <c r="S118" s="1173"/>
      <c r="T118" s="1173"/>
      <c r="U118" s="1173"/>
      <c r="V118" s="1173"/>
      <c r="W118" s="1173"/>
      <c r="X118" s="1173"/>
      <c r="Y118" s="1173"/>
      <c r="Z118" s="1173"/>
      <c r="AA118" s="1173"/>
      <c r="AB118" s="1173"/>
      <c r="AC118" s="1173"/>
      <c r="AD118" s="1173"/>
      <c r="AE118" s="1173"/>
      <c r="AF118" s="1173"/>
    </row>
    <row r="119" spans="1:35" ht="49.5" customHeight="1" x14ac:dyDescent="0.25">
      <c r="A119" s="515" t="s">
        <v>1013</v>
      </c>
      <c r="B119" s="1168" t="s">
        <v>5557</v>
      </c>
      <c r="C119" s="1168"/>
      <c r="D119" s="1168"/>
      <c r="E119" s="1168"/>
      <c r="F119" s="1168"/>
      <c r="G119" s="1168"/>
      <c r="H119" s="1168"/>
      <c r="I119" s="1168"/>
      <c r="J119" s="1168"/>
      <c r="K119" s="1168"/>
      <c r="L119" s="1168"/>
      <c r="M119" s="1168"/>
      <c r="N119" s="1168"/>
      <c r="O119" s="1168"/>
      <c r="P119" s="1168"/>
      <c r="Q119" s="1168"/>
      <c r="R119" s="1168"/>
      <c r="S119" s="1168"/>
      <c r="T119" s="1168"/>
      <c r="U119" s="1168"/>
      <c r="V119" s="1168"/>
      <c r="W119" s="1168"/>
      <c r="X119" s="1168"/>
      <c r="Y119" s="1168"/>
      <c r="Z119" s="1168"/>
      <c r="AA119" s="1168"/>
      <c r="AB119" s="1168"/>
      <c r="AC119" s="1168"/>
      <c r="AD119" s="1168"/>
      <c r="AE119" s="1168"/>
      <c r="AF119" s="1168"/>
    </row>
  </sheetData>
  <sheetProtection algorithmName="SHA-512" hashValue="QIMgqIRQyAiEnjMabi2Hh8AUPw03ZBnT01Tgc9StXeZxXpzhTDwNC2WqlgUocTanqGpYV5eejaOEZ5eQvvuhBg==" saltValue="zP7018y+oHZV6Rs/JFnHcg==" spinCount="100000" sheet="1" objects="1" scenarios="1"/>
  <mergeCells count="247">
    <mergeCell ref="B117:AF117"/>
    <mergeCell ref="B118:AF118"/>
    <mergeCell ref="B119:AF119"/>
    <mergeCell ref="Y102:AF102"/>
    <mergeCell ref="A103:H103"/>
    <mergeCell ref="I103:P103"/>
    <mergeCell ref="Q103:X103"/>
    <mergeCell ref="Y103:AF103"/>
    <mergeCell ref="A107:AF107"/>
    <mergeCell ref="B109:AF109"/>
    <mergeCell ref="B110:AF110"/>
    <mergeCell ref="B111:AF111"/>
    <mergeCell ref="B113:AF113"/>
    <mergeCell ref="B114:AF114"/>
    <mergeCell ref="B115:AF115"/>
    <mergeCell ref="B116:AF116"/>
    <mergeCell ref="B112:AF112"/>
    <mergeCell ref="A85:H85"/>
    <mergeCell ref="I85:P85"/>
    <mergeCell ref="Q85:X85"/>
    <mergeCell ref="Y85:AF85"/>
    <mergeCell ref="D90:H90"/>
    <mergeCell ref="A98:H98"/>
    <mergeCell ref="I98:P98"/>
    <mergeCell ref="Q98:X98"/>
    <mergeCell ref="Y98:AF98"/>
    <mergeCell ref="A95:H95"/>
    <mergeCell ref="A94:H94"/>
    <mergeCell ref="I94:P94"/>
    <mergeCell ref="Q94:X94"/>
    <mergeCell ref="Y94:AF94"/>
    <mergeCell ref="I95:P95"/>
    <mergeCell ref="Q95:X95"/>
    <mergeCell ref="Y95:AF95"/>
    <mergeCell ref="A93:H93"/>
    <mergeCell ref="A92:H92"/>
    <mergeCell ref="I92:P92"/>
    <mergeCell ref="Q92:X92"/>
    <mergeCell ref="A77:H77"/>
    <mergeCell ref="I77:P77"/>
    <mergeCell ref="Q77:X77"/>
    <mergeCell ref="Y77:AF77"/>
    <mergeCell ref="A78:H78"/>
    <mergeCell ref="I78:P78"/>
    <mergeCell ref="Q78:X78"/>
    <mergeCell ref="Y78:AF78"/>
    <mergeCell ref="A79:H79"/>
    <mergeCell ref="I79:P79"/>
    <mergeCell ref="Q79:X79"/>
    <mergeCell ref="Y79:AF79"/>
    <mergeCell ref="A64:H64"/>
    <mergeCell ref="I64:L64"/>
    <mergeCell ref="M64:P64"/>
    <mergeCell ref="Q64:T64"/>
    <mergeCell ref="U64:X64"/>
    <mergeCell ref="Y64:AB64"/>
    <mergeCell ref="A65:H65"/>
    <mergeCell ref="I65:L65"/>
    <mergeCell ref="M65:P65"/>
    <mergeCell ref="Q65:T65"/>
    <mergeCell ref="U65:X65"/>
    <mergeCell ref="Y65:AB65"/>
    <mergeCell ref="A62:H62"/>
    <mergeCell ref="I62:L62"/>
    <mergeCell ref="M62:P62"/>
    <mergeCell ref="Q62:T62"/>
    <mergeCell ref="U62:X62"/>
    <mergeCell ref="Y62:AB62"/>
    <mergeCell ref="A63:H63"/>
    <mergeCell ref="I63:L63"/>
    <mergeCell ref="M63:P63"/>
    <mergeCell ref="Q63:T63"/>
    <mergeCell ref="U63:X63"/>
    <mergeCell ref="Y63:AB63"/>
    <mergeCell ref="A60:H60"/>
    <mergeCell ref="I60:L60"/>
    <mergeCell ref="M60:P60"/>
    <mergeCell ref="Q60:T60"/>
    <mergeCell ref="U60:X60"/>
    <mergeCell ref="Y60:AB60"/>
    <mergeCell ref="A61:H61"/>
    <mergeCell ref="I61:L61"/>
    <mergeCell ref="M61:P61"/>
    <mergeCell ref="Q61:T61"/>
    <mergeCell ref="U61:X61"/>
    <mergeCell ref="Y61:AB61"/>
    <mergeCell ref="A58:H58"/>
    <mergeCell ref="I58:L58"/>
    <mergeCell ref="M58:P58"/>
    <mergeCell ref="Q58:T58"/>
    <mergeCell ref="U58:X58"/>
    <mergeCell ref="Y58:AB58"/>
    <mergeCell ref="A59:H59"/>
    <mergeCell ref="I59:L59"/>
    <mergeCell ref="M59:P59"/>
    <mergeCell ref="Q59:T59"/>
    <mergeCell ref="U59:X59"/>
    <mergeCell ref="Y59:AB59"/>
    <mergeCell ref="A49:AF49"/>
    <mergeCell ref="A50:AF50"/>
    <mergeCell ref="A51:AF51"/>
    <mergeCell ref="A52:AF52"/>
    <mergeCell ref="A53:AF53"/>
    <mergeCell ref="A54:AF54"/>
    <mergeCell ref="A57:H57"/>
    <mergeCell ref="I57:L57"/>
    <mergeCell ref="M57:P57"/>
    <mergeCell ref="Q57:T57"/>
    <mergeCell ref="U57:X57"/>
    <mergeCell ref="Y57:AB57"/>
    <mergeCell ref="A47:D47"/>
    <mergeCell ref="E47:P47"/>
    <mergeCell ref="Q47:T47"/>
    <mergeCell ref="U47:V47"/>
    <mergeCell ref="W47:AF47"/>
    <mergeCell ref="A48:D48"/>
    <mergeCell ref="E48:P48"/>
    <mergeCell ref="Q48:T48"/>
    <mergeCell ref="U48:V48"/>
    <mergeCell ref="W48:AF48"/>
    <mergeCell ref="A45:D45"/>
    <mergeCell ref="E45:P45"/>
    <mergeCell ref="Q45:T45"/>
    <mergeCell ref="U45:V45"/>
    <mergeCell ref="W45:AF46"/>
    <mergeCell ref="A46:D46"/>
    <mergeCell ref="E46:P46"/>
    <mergeCell ref="Q46:T46"/>
    <mergeCell ref="U46:V46"/>
    <mergeCell ref="Q42:T42"/>
    <mergeCell ref="U42:V42"/>
    <mergeCell ref="W42:AF42"/>
    <mergeCell ref="A43:D43"/>
    <mergeCell ref="E43:P43"/>
    <mergeCell ref="Q43:T43"/>
    <mergeCell ref="U43:V43"/>
    <mergeCell ref="W43:AF43"/>
    <mergeCell ref="A44:D44"/>
    <mergeCell ref="E44:P44"/>
    <mergeCell ref="Q44:T44"/>
    <mergeCell ref="U44:V44"/>
    <mergeCell ref="W44:AF44"/>
    <mergeCell ref="A42:D42"/>
    <mergeCell ref="E42:P42"/>
    <mergeCell ref="A101:H101"/>
    <mergeCell ref="I101:P101"/>
    <mergeCell ref="Q101:X101"/>
    <mergeCell ref="Y101:AF101"/>
    <mergeCell ref="A102:H102"/>
    <mergeCell ref="I102:P102"/>
    <mergeCell ref="Q102:X102"/>
    <mergeCell ref="A97:H97"/>
    <mergeCell ref="A96:H96"/>
    <mergeCell ref="I96:P96"/>
    <mergeCell ref="Q96:X96"/>
    <mergeCell ref="Y96:AF96"/>
    <mergeCell ref="I97:P97"/>
    <mergeCell ref="Q97:X97"/>
    <mergeCell ref="Y97:AF97"/>
    <mergeCell ref="A99:H99"/>
    <mergeCell ref="I99:P99"/>
    <mergeCell ref="Q99:X99"/>
    <mergeCell ref="Y99:AF99"/>
    <mergeCell ref="A100:H100"/>
    <mergeCell ref="I100:P100"/>
    <mergeCell ref="Q100:X100"/>
    <mergeCell ref="Y100:AF100"/>
    <mergeCell ref="Y92:AF92"/>
    <mergeCell ref="I93:P93"/>
    <mergeCell ref="Q93:X93"/>
    <mergeCell ref="Y93:AF93"/>
    <mergeCell ref="A80:H80"/>
    <mergeCell ref="I80:P80"/>
    <mergeCell ref="Q80:X80"/>
    <mergeCell ref="Y80:AF80"/>
    <mergeCell ref="A81:H81"/>
    <mergeCell ref="I81:P81"/>
    <mergeCell ref="Q81:X81"/>
    <mergeCell ref="Y81:AF81"/>
    <mergeCell ref="A82:H82"/>
    <mergeCell ref="I82:P82"/>
    <mergeCell ref="Q82:X82"/>
    <mergeCell ref="Y82:AF82"/>
    <mergeCell ref="A83:H83"/>
    <mergeCell ref="I83:P83"/>
    <mergeCell ref="Q83:X83"/>
    <mergeCell ref="Y83:AF83"/>
    <mergeCell ref="A84:H84"/>
    <mergeCell ref="I84:P84"/>
    <mergeCell ref="Q84:X84"/>
    <mergeCell ref="Y84:AF84"/>
    <mergeCell ref="A75:H75"/>
    <mergeCell ref="I75:P75"/>
    <mergeCell ref="Q75:X75"/>
    <mergeCell ref="Y75:AF75"/>
    <mergeCell ref="A76:H76"/>
    <mergeCell ref="I76:P76"/>
    <mergeCell ref="Q76:X76"/>
    <mergeCell ref="Y76:AF76"/>
    <mergeCell ref="A74:H74"/>
    <mergeCell ref="I74:P74"/>
    <mergeCell ref="Q74:X74"/>
    <mergeCell ref="Y74:AF74"/>
    <mergeCell ref="A70:AF70"/>
    <mergeCell ref="Q67:T67"/>
    <mergeCell ref="Q68:T68"/>
    <mergeCell ref="A68:H68"/>
    <mergeCell ref="I68:L68"/>
    <mergeCell ref="M68:P68"/>
    <mergeCell ref="U68:X68"/>
    <mergeCell ref="Y68:AB68"/>
    <mergeCell ref="Q66:T66"/>
    <mergeCell ref="A66:H66"/>
    <mergeCell ref="I66:L66"/>
    <mergeCell ref="M66:P66"/>
    <mergeCell ref="U66:X66"/>
    <mergeCell ref="Y66:AB66"/>
    <mergeCell ref="A67:H67"/>
    <mergeCell ref="I67:L67"/>
    <mergeCell ref="M67:P67"/>
    <mergeCell ref="U67:X67"/>
    <mergeCell ref="Y67:AB67"/>
    <mergeCell ref="B22:AF22"/>
    <mergeCell ref="A24:AF24"/>
    <mergeCell ref="A39:AF39"/>
    <mergeCell ref="A40:D40"/>
    <mergeCell ref="E40:P40"/>
    <mergeCell ref="Q40:T40"/>
    <mergeCell ref="U40:V40"/>
    <mergeCell ref="W40:AF40"/>
    <mergeCell ref="A41:D41"/>
    <mergeCell ref="E41:P41"/>
    <mergeCell ref="Q41:T41"/>
    <mergeCell ref="U41:V41"/>
    <mergeCell ref="W41:AF41"/>
    <mergeCell ref="B12:I12"/>
    <mergeCell ref="B13:AF13"/>
    <mergeCell ref="B15:I15"/>
    <mergeCell ref="B16:AF16"/>
    <mergeCell ref="B18:I18"/>
    <mergeCell ref="B19:AF19"/>
    <mergeCell ref="A1:AF1"/>
    <mergeCell ref="A3:AF3"/>
    <mergeCell ref="B5:AF5"/>
    <mergeCell ref="A7:AF7"/>
    <mergeCell ref="B9:I9"/>
    <mergeCell ref="B10:AF10"/>
  </mergeCells>
  <hyperlinks>
    <hyperlink ref="A2" location="TOC!A1" display="Return to TOC" xr:uid="{95E8F761-07CB-435D-ABD4-9F63F926834A}"/>
  </hyperlink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5">
    <tabColor theme="4" tint="0.59999389629810485"/>
    <pageSetUpPr autoPageBreaks="0"/>
  </sheetPr>
  <dimension ref="A1:AP86"/>
  <sheetViews>
    <sheetView zoomScaleNormal="100" workbookViewId="0">
      <selection activeCell="A2" sqref="A2"/>
    </sheetView>
  </sheetViews>
  <sheetFormatPr defaultColWidth="2.7109375" defaultRowHeight="15" x14ac:dyDescent="0.25"/>
  <cols>
    <col min="1" max="1" width="2.7109375" style="8"/>
    <col min="2" max="3" width="2.7109375" style="8" customWidth="1"/>
    <col min="4" max="4" width="2.7109375" style="8"/>
    <col min="5" max="8" width="2.7109375" style="8" customWidth="1"/>
    <col min="9" max="9" width="2.85546875" style="8" customWidth="1"/>
    <col min="10" max="10" width="2.7109375" style="8"/>
    <col min="11" max="12" width="2.7109375" style="8" customWidth="1"/>
    <col min="13" max="14" width="2.7109375" style="8"/>
    <col min="15" max="16" width="2.7109375" style="8" customWidth="1"/>
    <col min="17" max="18" width="2.7109375" style="8"/>
    <col min="19" max="20" width="2.7109375" style="8" customWidth="1"/>
    <col min="21" max="21" width="2.7109375" style="8"/>
    <col min="22" max="24" width="2.7109375" style="8" customWidth="1"/>
    <col min="25" max="26" width="2.7109375" style="8"/>
    <col min="27" max="32" width="2.7109375" style="8" customWidth="1"/>
    <col min="33" max="34" width="2.7109375" style="8"/>
    <col min="35" max="35" width="2.7109375" style="8" customWidth="1"/>
    <col min="36" max="38" width="2.7109375" style="8"/>
    <col min="39" max="39" width="2.7109375" style="8" customWidth="1"/>
    <col min="40" max="41" width="2.7109375" style="8"/>
    <col min="42" max="43" width="2.7109375" style="8" customWidth="1"/>
    <col min="44" max="44" width="2.7109375" style="8"/>
    <col min="45" max="45" width="2.7109375" style="8" customWidth="1"/>
    <col min="46" max="46" width="2.7109375" style="8"/>
    <col min="47" max="47" width="2.7109375" style="8" customWidth="1"/>
    <col min="48" max="48" width="2.7109375" style="8"/>
    <col min="49" max="51" width="2.7109375" style="8" customWidth="1"/>
    <col min="52" max="53" width="2.7109375" style="8"/>
    <col min="54" max="54" width="2.7109375" style="8" customWidth="1"/>
    <col min="55" max="56" width="2.7109375" style="8"/>
    <col min="57" max="57" width="2.7109375" style="8" customWidth="1"/>
    <col min="58" max="60" width="2.7109375" style="8"/>
    <col min="61" max="66" width="2.7109375" style="8" customWidth="1"/>
    <col min="67" max="74" width="2.7109375" style="8"/>
    <col min="75" max="75" width="2.7109375" style="8" customWidth="1"/>
    <col min="76" max="16384" width="2.7109375" style="8"/>
  </cols>
  <sheetData>
    <row r="1" spans="1:32" s="1" customFormat="1" ht="18.75" x14ac:dyDescent="0.25">
      <c r="A1" s="1464" t="s">
        <v>1996</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s="1" customFormat="1"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s="1"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s="1"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x14ac:dyDescent="0.25">
      <c r="A5" s="262"/>
      <c r="B5" s="1589" t="s">
        <v>5687</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2" s="1" customFormat="1" ht="14.45" customHeight="1" x14ac:dyDescent="0.25">
      <c r="A6" s="376"/>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s="1" customFormat="1" ht="14.45" customHeight="1"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s="1" customFormat="1" ht="14.45" customHeigh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ht="14.45" customHeight="1" x14ac:dyDescent="0.25">
      <c r="B9" s="1475" t="s">
        <v>10</v>
      </c>
      <c r="C9" s="1475"/>
      <c r="D9" s="1475"/>
      <c r="E9" s="1475"/>
      <c r="F9" s="1475"/>
      <c r="G9" s="1475"/>
      <c r="H9" s="1475"/>
      <c r="I9" s="1475"/>
    </row>
    <row r="10" spans="1:32" s="1" customFormat="1" ht="48" customHeight="1" x14ac:dyDescent="0.25">
      <c r="A10" s="4"/>
      <c r="B10" s="1151" t="s">
        <v>3071</v>
      </c>
      <c r="C10" s="1151"/>
      <c r="D10" s="1151"/>
      <c r="E10" s="1151"/>
      <c r="F10" s="1151"/>
      <c r="G10" s="1151"/>
      <c r="H10" s="1151"/>
      <c r="I10" s="1151"/>
      <c r="J10" s="1151"/>
      <c r="K10" s="1151"/>
      <c r="L10" s="1151"/>
      <c r="M10" s="1151"/>
      <c r="N10" s="1151"/>
      <c r="O10" s="1151"/>
      <c r="P10" s="1151"/>
      <c r="Q10" s="1151"/>
      <c r="R10" s="1151"/>
      <c r="S10" s="1151"/>
      <c r="T10" s="1151"/>
      <c r="U10" s="1151"/>
      <c r="V10" s="1151"/>
      <c r="W10" s="1151"/>
      <c r="X10" s="1151"/>
      <c r="Y10" s="1151"/>
      <c r="Z10" s="1151"/>
      <c r="AA10" s="1151"/>
      <c r="AB10" s="1151"/>
      <c r="AC10" s="1151"/>
      <c r="AD10" s="1151"/>
      <c r="AE10" s="1151"/>
      <c r="AF10" s="1151"/>
    </row>
    <row r="11" spans="1:32" s="1" customFormat="1" ht="14.45" customHeight="1" x14ac:dyDescent="0.25"/>
    <row r="12" spans="1:32" s="1" customFormat="1" ht="14.45" customHeight="1" x14ac:dyDescent="0.25">
      <c r="B12" s="1475" t="s">
        <v>11</v>
      </c>
      <c r="C12" s="1475"/>
      <c r="D12" s="1475"/>
      <c r="E12" s="1475"/>
      <c r="F12" s="1475"/>
      <c r="G12" s="1475"/>
      <c r="H12" s="1475"/>
      <c r="I12" s="1475"/>
    </row>
    <row r="13" spans="1:32" s="1" customFormat="1" ht="46.5" customHeight="1" x14ac:dyDescent="0.25">
      <c r="B13" s="1151" t="s">
        <v>2010</v>
      </c>
      <c r="C13" s="1151"/>
      <c r="D13" s="1151"/>
      <c r="E13" s="1151"/>
      <c r="F13" s="1151"/>
      <c r="G13" s="1151"/>
      <c r="H13" s="1151"/>
      <c r="I13" s="1151"/>
      <c r="J13" s="1151"/>
      <c r="K13" s="1151"/>
      <c r="L13" s="1151"/>
      <c r="M13" s="1151"/>
      <c r="N13" s="1151"/>
      <c r="O13" s="1151"/>
      <c r="P13" s="1151"/>
      <c r="Q13" s="1151"/>
      <c r="R13" s="1151"/>
      <c r="S13" s="1151"/>
      <c r="T13" s="1151"/>
      <c r="U13" s="1151"/>
      <c r="V13" s="1151"/>
      <c r="W13" s="1151"/>
      <c r="X13" s="1151"/>
      <c r="Y13" s="1151"/>
      <c r="Z13" s="1151"/>
      <c r="AA13" s="1151"/>
      <c r="AB13" s="1151"/>
      <c r="AC13" s="1151"/>
      <c r="AD13" s="1151"/>
      <c r="AE13" s="1151"/>
      <c r="AF13" s="1151"/>
    </row>
    <row r="14" spans="1:32" s="1" customFormat="1" x14ac:dyDescent="0.25">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s="1" customFormat="1" ht="14.45" customHeight="1" x14ac:dyDescent="0.25">
      <c r="B15" s="1475" t="s">
        <v>12</v>
      </c>
      <c r="C15" s="1475"/>
      <c r="D15" s="1475"/>
      <c r="E15" s="1475"/>
      <c r="F15" s="1475"/>
      <c r="G15" s="1475"/>
      <c r="H15" s="1475"/>
      <c r="I15" s="1475"/>
    </row>
    <row r="16" spans="1:32" s="1" customFormat="1" ht="14.45" customHeight="1" x14ac:dyDescent="0.25">
      <c r="B16" s="1473" t="s">
        <v>3402</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row>
    <row r="17" spans="1:32" s="1" customFormat="1" ht="14.45" customHeight="1" x14ac:dyDescent="0.25"/>
    <row r="18" spans="1:32" s="1" customFormat="1" ht="14.45" customHeight="1" x14ac:dyDescent="0.25">
      <c r="B18" s="1475" t="s">
        <v>13</v>
      </c>
      <c r="C18" s="1475"/>
      <c r="D18" s="1475"/>
      <c r="E18" s="1475"/>
      <c r="F18" s="1475"/>
      <c r="G18" s="1475"/>
      <c r="H18" s="1475"/>
      <c r="I18" s="1475"/>
    </row>
    <row r="19" spans="1:32" s="1" customFormat="1" x14ac:dyDescent="0.25">
      <c r="B19" s="1151" t="s">
        <v>1997</v>
      </c>
      <c r="C19" s="1151"/>
      <c r="D19" s="1151"/>
      <c r="E19" s="1151"/>
      <c r="F19" s="1151"/>
      <c r="G19" s="1151"/>
      <c r="H19" s="1151"/>
      <c r="I19" s="1151"/>
      <c r="J19" s="1151"/>
      <c r="K19" s="1151"/>
      <c r="L19" s="1151"/>
      <c r="M19" s="1151"/>
      <c r="N19" s="1151"/>
      <c r="O19" s="1151"/>
      <c r="P19" s="1151"/>
      <c r="Q19" s="1151"/>
      <c r="R19" s="1151"/>
      <c r="S19" s="1151"/>
      <c r="T19" s="1151"/>
      <c r="U19" s="1151"/>
      <c r="V19" s="1151"/>
      <c r="W19" s="1151"/>
      <c r="X19" s="1151"/>
      <c r="Y19" s="1151"/>
      <c r="Z19" s="1151"/>
      <c r="AA19" s="1151"/>
      <c r="AB19" s="1151"/>
      <c r="AC19" s="1151"/>
      <c r="AD19" s="1151"/>
      <c r="AE19" s="1151"/>
      <c r="AF19" s="1151"/>
    </row>
    <row r="20" spans="1:32" s="1" customFormat="1" x14ac:dyDescent="0.25">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row>
    <row r="21" spans="1:32" s="1" customFormat="1" ht="14.45" customHeight="1" x14ac:dyDescent="0.25">
      <c r="B21" s="171" t="s">
        <v>20</v>
      </c>
      <c r="C21" s="171"/>
      <c r="D21" s="171"/>
      <c r="E21" s="171"/>
      <c r="F21" s="171"/>
      <c r="G21" s="171"/>
      <c r="H21" s="171"/>
      <c r="I21" s="171"/>
      <c r="J21" s="171"/>
    </row>
    <row r="22" spans="1:32" s="1" customFormat="1" ht="45.75" customHeight="1" x14ac:dyDescent="0.25">
      <c r="B22" s="1589" t="s">
        <v>5694</v>
      </c>
      <c r="C22" s="1703"/>
      <c r="D22" s="1703"/>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1703"/>
      <c r="AB22" s="1703"/>
      <c r="AC22" s="1703"/>
      <c r="AD22" s="1703"/>
      <c r="AE22" s="1703"/>
      <c r="AF22" s="1703"/>
    </row>
    <row r="23" spans="1:32" s="1" customFormat="1" ht="14.45" customHeight="1" x14ac:dyDescent="0.25">
      <c r="A23" s="376"/>
      <c r="B23" s="284"/>
      <c r="C23" s="284"/>
      <c r="D23" s="284"/>
      <c r="E23" s="284"/>
      <c r="F23" s="284"/>
      <c r="G23" s="284"/>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row>
    <row r="24" spans="1:32" s="1" customFormat="1" x14ac:dyDescent="0.25">
      <c r="A24" s="1472" t="s">
        <v>14</v>
      </c>
      <c r="B24" s="1472"/>
      <c r="C24" s="1472"/>
      <c r="D24" s="1472"/>
      <c r="E24" s="1472"/>
      <c r="F24" s="1472"/>
      <c r="G24" s="1472"/>
      <c r="H24" s="1472"/>
      <c r="I24" s="1472"/>
      <c r="J24" s="1472"/>
      <c r="K24" s="1472"/>
      <c r="L24" s="1472"/>
      <c r="M24" s="1472"/>
      <c r="N24" s="1472"/>
      <c r="O24" s="1472"/>
      <c r="P24" s="1472"/>
      <c r="Q24" s="1472"/>
      <c r="R24" s="1472"/>
      <c r="S24" s="1472"/>
      <c r="T24" s="1472"/>
      <c r="U24" s="1472"/>
      <c r="V24" s="1472"/>
      <c r="W24" s="1472"/>
      <c r="X24" s="1472"/>
      <c r="Y24" s="1472"/>
      <c r="Z24" s="1472"/>
      <c r="AA24" s="1472"/>
      <c r="AB24" s="1472"/>
      <c r="AC24" s="1472"/>
      <c r="AD24" s="1472"/>
      <c r="AE24" s="1472"/>
      <c r="AF24" s="1472"/>
    </row>
    <row r="25" spans="1:32" s="1" customForma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row>
    <row r="26" spans="1:32" s="1" customFormat="1" x14ac:dyDescent="0.25">
      <c r="A26" s="3"/>
      <c r="B26" s="379" t="s">
        <v>2303</v>
      </c>
    </row>
    <row r="27" spans="1:32" s="1" customFormat="1" x14ac:dyDescent="0.25">
      <c r="A27" s="3"/>
    </row>
    <row r="28" spans="1:32" s="1" customFormat="1" x14ac:dyDescent="0.25">
      <c r="A28" s="3"/>
      <c r="AF28" s="204" t="s">
        <v>1705</v>
      </c>
    </row>
    <row r="29" spans="1:32" s="1" customFormat="1" x14ac:dyDescent="0.25">
      <c r="A29" s="3"/>
      <c r="AF29" s="204"/>
    </row>
    <row r="30" spans="1:32" s="1" customFormat="1" x14ac:dyDescent="0.25">
      <c r="A30" s="3"/>
      <c r="B30" s="171" t="s">
        <v>2194</v>
      </c>
    </row>
    <row r="31" spans="1:32" s="1" customFormat="1" x14ac:dyDescent="0.25">
      <c r="A31" s="3"/>
    </row>
    <row r="32" spans="1:32" s="1" customFormat="1" x14ac:dyDescent="0.25">
      <c r="A32" s="3"/>
      <c r="AF32" s="204" t="s">
        <v>1706</v>
      </c>
    </row>
    <row r="33" spans="1:32" s="1" customFormat="1" x14ac:dyDescent="0.25">
      <c r="A33" s="3"/>
    </row>
    <row r="34" spans="1:32" s="1" customFormat="1" x14ac:dyDescent="0.25">
      <c r="A34" s="3"/>
      <c r="B34" s="171" t="s">
        <v>1998</v>
      </c>
      <c r="AF34" s="204"/>
    </row>
    <row r="35" spans="1:32" s="1" customFormat="1" x14ac:dyDescent="0.25">
      <c r="A35" s="3"/>
      <c r="AF35" s="204"/>
    </row>
    <row r="36" spans="1:32" s="1" customFormat="1" x14ac:dyDescent="0.25">
      <c r="A36" s="3"/>
      <c r="AF36" s="204" t="s">
        <v>1707</v>
      </c>
    </row>
    <row r="37" spans="1:32" s="1" customFormat="1" x14ac:dyDescent="0.25">
      <c r="A37" s="3"/>
      <c r="AF37" s="204"/>
    </row>
    <row r="38" spans="1:32" s="1" customFormat="1" x14ac:dyDescent="0.25">
      <c r="A38" s="1472" t="s">
        <v>15</v>
      </c>
      <c r="B38" s="1472"/>
      <c r="C38" s="1472"/>
      <c r="D38" s="1472"/>
      <c r="E38" s="1472"/>
      <c r="F38" s="1472"/>
      <c r="G38" s="1472"/>
      <c r="H38" s="1472"/>
      <c r="I38" s="1472"/>
      <c r="J38" s="1472"/>
      <c r="K38" s="1472"/>
      <c r="L38" s="1472"/>
      <c r="M38" s="1472"/>
      <c r="N38" s="1472"/>
      <c r="O38" s="1472"/>
      <c r="P38" s="1472"/>
      <c r="Q38" s="1472"/>
      <c r="R38" s="1472"/>
      <c r="S38" s="1472"/>
      <c r="T38" s="1472"/>
      <c r="U38" s="1472"/>
      <c r="V38" s="1472"/>
      <c r="W38" s="1472"/>
      <c r="X38" s="1472"/>
      <c r="Y38" s="1472"/>
      <c r="Z38" s="1472"/>
      <c r="AA38" s="1472"/>
      <c r="AB38" s="1472"/>
      <c r="AC38" s="1472"/>
      <c r="AD38" s="1472"/>
      <c r="AE38" s="1472"/>
      <c r="AF38" s="1472"/>
    </row>
    <row r="39" spans="1:32" s="1" customFormat="1" x14ac:dyDescent="0.25">
      <c r="A39" s="1474" t="s">
        <v>16</v>
      </c>
      <c r="B39" s="1474"/>
      <c r="C39" s="1474"/>
      <c r="D39" s="1474"/>
      <c r="E39" s="1474" t="s">
        <v>10</v>
      </c>
      <c r="F39" s="1474"/>
      <c r="G39" s="1474"/>
      <c r="H39" s="1474"/>
      <c r="I39" s="1474"/>
      <c r="J39" s="1474"/>
      <c r="K39" s="1474"/>
      <c r="L39" s="1474"/>
      <c r="M39" s="1474"/>
      <c r="N39" s="1474"/>
      <c r="O39" s="1474"/>
      <c r="P39" s="1474"/>
      <c r="Q39" s="1474" t="s">
        <v>17</v>
      </c>
      <c r="R39" s="1474"/>
      <c r="S39" s="1474"/>
      <c r="T39" s="1474"/>
      <c r="U39" s="1474" t="s">
        <v>18</v>
      </c>
      <c r="V39" s="1474"/>
      <c r="W39" s="1474" t="s">
        <v>1708</v>
      </c>
      <c r="X39" s="1474"/>
      <c r="Y39" s="1474"/>
      <c r="Z39" s="1474"/>
      <c r="AA39" s="1474"/>
      <c r="AB39" s="1474"/>
      <c r="AC39" s="1474"/>
      <c r="AD39" s="1474"/>
      <c r="AE39" s="1474"/>
      <c r="AF39" s="1474"/>
    </row>
    <row r="40" spans="1:32" s="1" customFormat="1" ht="28.9" customHeight="1" x14ac:dyDescent="0.25">
      <c r="A40" s="1485" t="s">
        <v>2195</v>
      </c>
      <c r="B40" s="1486" t="s">
        <v>294</v>
      </c>
      <c r="C40" s="1486" t="s">
        <v>294</v>
      </c>
      <c r="D40" s="1487" t="s">
        <v>294</v>
      </c>
      <c r="E40" s="2489" t="s">
        <v>1049</v>
      </c>
      <c r="F40" s="2489" t="s">
        <v>254</v>
      </c>
      <c r="G40" s="2489" t="s">
        <v>254</v>
      </c>
      <c r="H40" s="2489" t="s">
        <v>254</v>
      </c>
      <c r="I40" s="2489" t="s">
        <v>254</v>
      </c>
      <c r="J40" s="2489" t="s">
        <v>254</v>
      </c>
      <c r="K40" s="2489" t="s">
        <v>254</v>
      </c>
      <c r="L40" s="2489" t="s">
        <v>254</v>
      </c>
      <c r="M40" s="2489" t="s">
        <v>254</v>
      </c>
      <c r="N40" s="2489" t="s">
        <v>254</v>
      </c>
      <c r="O40" s="2489" t="s">
        <v>254</v>
      </c>
      <c r="P40" s="2489" t="s">
        <v>254</v>
      </c>
      <c r="Q40" s="2490" t="s">
        <v>626</v>
      </c>
      <c r="R40" s="2491" t="s">
        <v>251</v>
      </c>
      <c r="S40" s="2491" t="s">
        <v>251</v>
      </c>
      <c r="T40" s="2492" t="s">
        <v>251</v>
      </c>
      <c r="U40" s="1606" t="s">
        <v>26</v>
      </c>
      <c r="V40" s="1606"/>
      <c r="W40" s="1479" t="s">
        <v>1999</v>
      </c>
      <c r="X40" s="1480"/>
      <c r="Y40" s="1480"/>
      <c r="Z40" s="1480"/>
      <c r="AA40" s="1480"/>
      <c r="AB40" s="1480"/>
      <c r="AC40" s="1480"/>
      <c r="AD40" s="1480"/>
      <c r="AE40" s="1480"/>
      <c r="AF40" s="1481"/>
    </row>
    <row r="41" spans="1:32" s="1" customFormat="1" ht="48" customHeight="1" x14ac:dyDescent="0.25">
      <c r="A41" s="1485" t="s">
        <v>2120</v>
      </c>
      <c r="B41" s="1486" t="s">
        <v>638</v>
      </c>
      <c r="C41" s="1486" t="s">
        <v>638</v>
      </c>
      <c r="D41" s="1487" t="s">
        <v>638</v>
      </c>
      <c r="E41" s="2489" t="s">
        <v>1050</v>
      </c>
      <c r="F41" s="2489" t="s">
        <v>255</v>
      </c>
      <c r="G41" s="2489" t="s">
        <v>255</v>
      </c>
      <c r="H41" s="2489" t="s">
        <v>255</v>
      </c>
      <c r="I41" s="2489" t="s">
        <v>255</v>
      </c>
      <c r="J41" s="2489" t="s">
        <v>255</v>
      </c>
      <c r="K41" s="2489" t="s">
        <v>255</v>
      </c>
      <c r="L41" s="2489" t="s">
        <v>255</v>
      </c>
      <c r="M41" s="2489" t="s">
        <v>255</v>
      </c>
      <c r="N41" s="2489" t="s">
        <v>255</v>
      </c>
      <c r="O41" s="2489" t="s">
        <v>255</v>
      </c>
      <c r="P41" s="2489" t="s">
        <v>255</v>
      </c>
      <c r="Q41" s="2490" t="s">
        <v>626</v>
      </c>
      <c r="R41" s="2491"/>
      <c r="S41" s="2491"/>
      <c r="T41" s="2492"/>
      <c r="U41" s="1606" t="s">
        <v>26</v>
      </c>
      <c r="V41" s="1606"/>
      <c r="W41" s="1479" t="s">
        <v>1814</v>
      </c>
      <c r="X41" s="1480"/>
      <c r="Y41" s="1480"/>
      <c r="Z41" s="1480"/>
      <c r="AA41" s="1480"/>
      <c r="AB41" s="1480"/>
      <c r="AC41" s="1480"/>
      <c r="AD41" s="1480"/>
      <c r="AE41" s="1480"/>
      <c r="AF41" s="1481"/>
    </row>
    <row r="42" spans="1:32" s="1" customFormat="1" ht="31.5" customHeight="1" x14ac:dyDescent="0.25">
      <c r="A42" s="1485" t="s">
        <v>1760</v>
      </c>
      <c r="B42" s="1486"/>
      <c r="C42" s="1486"/>
      <c r="D42" s="1487"/>
      <c r="E42" s="2489" t="s">
        <v>1761</v>
      </c>
      <c r="F42" s="2489"/>
      <c r="G42" s="2489"/>
      <c r="H42" s="2489"/>
      <c r="I42" s="2489"/>
      <c r="J42" s="2489"/>
      <c r="K42" s="2489"/>
      <c r="L42" s="2489"/>
      <c r="M42" s="2489"/>
      <c r="N42" s="2489"/>
      <c r="O42" s="2489"/>
      <c r="P42" s="2489"/>
      <c r="Q42" s="2493">
        <v>1</v>
      </c>
      <c r="R42" s="2494"/>
      <c r="S42" s="2494"/>
      <c r="T42" s="2495"/>
      <c r="U42" s="2496" t="s">
        <v>28</v>
      </c>
      <c r="V42" s="1606"/>
      <c r="W42" s="1479" t="s">
        <v>1757</v>
      </c>
      <c r="X42" s="1480"/>
      <c r="Y42" s="1480"/>
      <c r="Z42" s="1480"/>
      <c r="AA42" s="1480"/>
      <c r="AB42" s="1480"/>
      <c r="AC42" s="1480"/>
      <c r="AD42" s="1480"/>
      <c r="AE42" s="1480"/>
      <c r="AF42" s="1481"/>
    </row>
    <row r="43" spans="1:32" s="1" customFormat="1" ht="66.75" customHeight="1" x14ac:dyDescent="0.25">
      <c r="A43" s="1485" t="s">
        <v>29</v>
      </c>
      <c r="B43" s="1486"/>
      <c r="C43" s="1486"/>
      <c r="D43" s="1487"/>
      <c r="E43" s="2489" t="s">
        <v>1703</v>
      </c>
      <c r="F43" s="2489"/>
      <c r="G43" s="2489"/>
      <c r="H43" s="2489"/>
      <c r="I43" s="2489"/>
      <c r="J43" s="2489"/>
      <c r="K43" s="2489"/>
      <c r="L43" s="2489"/>
      <c r="M43" s="2489"/>
      <c r="N43" s="2489"/>
      <c r="O43" s="2489"/>
      <c r="P43" s="2489"/>
      <c r="Q43" s="2493">
        <f>ROUND(2.47/4,2)</f>
        <v>0.62</v>
      </c>
      <c r="R43" s="2494"/>
      <c r="S43" s="2494"/>
      <c r="T43" s="2495"/>
      <c r="U43" s="2496" t="s">
        <v>28</v>
      </c>
      <c r="V43" s="1606"/>
      <c r="W43" s="1479" t="s">
        <v>2000</v>
      </c>
      <c r="X43" s="1480"/>
      <c r="Y43" s="1480"/>
      <c r="Z43" s="1480"/>
      <c r="AA43" s="1480"/>
      <c r="AB43" s="1480"/>
      <c r="AC43" s="1480"/>
      <c r="AD43" s="1480"/>
      <c r="AE43" s="1480"/>
      <c r="AF43" s="1481"/>
    </row>
    <row r="44" spans="1:32" s="1" customFormat="1" ht="28.9" customHeight="1" x14ac:dyDescent="0.25">
      <c r="A44" s="1485" t="s">
        <v>2127</v>
      </c>
      <c r="B44" s="1486"/>
      <c r="C44" s="1486"/>
      <c r="D44" s="1487"/>
      <c r="E44" s="2489" t="s">
        <v>1817</v>
      </c>
      <c r="F44" s="2489"/>
      <c r="G44" s="2489"/>
      <c r="H44" s="2489"/>
      <c r="I44" s="2489"/>
      <c r="J44" s="2489"/>
      <c r="K44" s="2489"/>
      <c r="L44" s="2489"/>
      <c r="M44" s="2489"/>
      <c r="N44" s="2489"/>
      <c r="O44" s="2489"/>
      <c r="P44" s="2489"/>
      <c r="Q44" s="2497">
        <v>4100</v>
      </c>
      <c r="R44" s="2497"/>
      <c r="S44" s="2497"/>
      <c r="T44" s="2497"/>
      <c r="U44" s="1606" t="s">
        <v>1818</v>
      </c>
      <c r="V44" s="1606"/>
      <c r="W44" s="1494" t="s">
        <v>2009</v>
      </c>
      <c r="X44" s="1495"/>
      <c r="Y44" s="1495"/>
      <c r="Z44" s="1495"/>
      <c r="AA44" s="1495"/>
      <c r="AB44" s="1495"/>
      <c r="AC44" s="1495"/>
      <c r="AD44" s="1495"/>
      <c r="AE44" s="1495"/>
      <c r="AF44" s="1496"/>
    </row>
    <row r="45" spans="1:32" s="1" customFormat="1" ht="28.9" customHeight="1" x14ac:dyDescent="0.25">
      <c r="A45" s="1134" t="s">
        <v>42</v>
      </c>
      <c r="B45" s="1134" t="s">
        <v>42</v>
      </c>
      <c r="C45" s="1134" t="s">
        <v>42</v>
      </c>
      <c r="D45" s="1134" t="s">
        <v>42</v>
      </c>
      <c r="E45" s="2489" t="s">
        <v>865</v>
      </c>
      <c r="F45" s="2489" t="s">
        <v>256</v>
      </c>
      <c r="G45" s="2489" t="s">
        <v>256</v>
      </c>
      <c r="H45" s="2489" t="s">
        <v>256</v>
      </c>
      <c r="I45" s="2489" t="s">
        <v>256</v>
      </c>
      <c r="J45" s="2489" t="s">
        <v>256</v>
      </c>
      <c r="K45" s="2489" t="s">
        <v>256</v>
      </c>
      <c r="L45" s="2489" t="s">
        <v>256</v>
      </c>
      <c r="M45" s="2489" t="s">
        <v>256</v>
      </c>
      <c r="N45" s="2489" t="s">
        <v>256</v>
      </c>
      <c r="O45" s="2489" t="s">
        <v>256</v>
      </c>
      <c r="P45" s="2489" t="s">
        <v>256</v>
      </c>
      <c r="Q45" s="2493">
        <v>1</v>
      </c>
      <c r="R45" s="2494">
        <v>1</v>
      </c>
      <c r="S45" s="2494">
        <v>1</v>
      </c>
      <c r="T45" s="2495">
        <v>1</v>
      </c>
      <c r="U45" s="1606" t="s">
        <v>28</v>
      </c>
      <c r="V45" s="1606"/>
      <c r="W45" s="1134" t="s">
        <v>1765</v>
      </c>
      <c r="X45" s="1134"/>
      <c r="Y45" s="1134"/>
      <c r="Z45" s="1134"/>
      <c r="AA45" s="1134"/>
      <c r="AB45" s="1134"/>
      <c r="AC45" s="1134"/>
      <c r="AD45" s="1134"/>
      <c r="AE45" s="1134"/>
      <c r="AF45" s="1134"/>
    </row>
    <row r="46" spans="1:32" s="1" customFormat="1" ht="54" customHeight="1" x14ac:dyDescent="0.25">
      <c r="A46" s="1485" t="s">
        <v>2052</v>
      </c>
      <c r="B46" s="1486" t="s">
        <v>34</v>
      </c>
      <c r="C46" s="1486" t="s">
        <v>34</v>
      </c>
      <c r="D46" s="1487" t="s">
        <v>34</v>
      </c>
      <c r="E46" s="2489" t="s">
        <v>1829</v>
      </c>
      <c r="F46" s="2489"/>
      <c r="G46" s="2489"/>
      <c r="H46" s="2489"/>
      <c r="I46" s="2489"/>
      <c r="J46" s="2489"/>
      <c r="K46" s="2489"/>
      <c r="L46" s="2489"/>
      <c r="M46" s="2489"/>
      <c r="N46" s="2489"/>
      <c r="O46" s="2489"/>
      <c r="P46" s="2489"/>
      <c r="Q46" s="1913">
        <f>ROUND(50000/$Q$44,0)</f>
        <v>12</v>
      </c>
      <c r="R46" s="1913"/>
      <c r="S46" s="1913"/>
      <c r="T46" s="1913"/>
      <c r="U46" s="1606" t="s">
        <v>46</v>
      </c>
      <c r="V46" s="1606"/>
      <c r="W46" s="1135" t="s">
        <v>3060</v>
      </c>
      <c r="X46" s="1135"/>
      <c r="Y46" s="1135"/>
      <c r="Z46" s="1135"/>
      <c r="AA46" s="1135"/>
      <c r="AB46" s="1135"/>
      <c r="AC46" s="1135"/>
      <c r="AD46" s="1135"/>
      <c r="AE46" s="1135"/>
      <c r="AF46" s="1135"/>
    </row>
    <row r="47" spans="1:32" s="1" customFormat="1" x14ac:dyDescent="0.25">
      <c r="A47" s="2229" t="s">
        <v>2001</v>
      </c>
      <c r="B47" s="2229"/>
      <c r="C47" s="2229"/>
      <c r="D47" s="2229"/>
      <c r="E47" s="2229"/>
      <c r="F47" s="2229"/>
      <c r="G47" s="2229"/>
      <c r="H47" s="2229"/>
      <c r="I47" s="2229"/>
      <c r="J47" s="2229"/>
      <c r="K47" s="2229"/>
      <c r="L47" s="2229"/>
      <c r="M47" s="2229"/>
      <c r="N47" s="2229"/>
      <c r="O47" s="2229"/>
      <c r="P47" s="2229"/>
      <c r="Q47" s="2229"/>
      <c r="R47" s="2229"/>
      <c r="S47" s="2229"/>
      <c r="T47" s="2229"/>
      <c r="U47" s="2229"/>
      <c r="V47" s="2229"/>
      <c r="W47" s="2229"/>
      <c r="X47" s="2229"/>
      <c r="Y47" s="2229"/>
      <c r="Z47" s="2229"/>
      <c r="AA47" s="2229"/>
      <c r="AB47" s="2229"/>
      <c r="AC47" s="2229"/>
      <c r="AD47" s="2229"/>
      <c r="AE47" s="2229"/>
      <c r="AF47" s="2229"/>
    </row>
    <row r="48" spans="1:32" s="1" customFormat="1" x14ac:dyDescent="0.25">
      <c r="A48" s="2229" t="s">
        <v>2002</v>
      </c>
      <c r="B48" s="2229"/>
      <c r="C48" s="2229"/>
      <c r="D48" s="2229"/>
      <c r="E48" s="2229"/>
      <c r="F48" s="2229"/>
      <c r="G48" s="2229"/>
      <c r="H48" s="2229"/>
      <c r="I48" s="2229"/>
      <c r="J48" s="2229"/>
      <c r="K48" s="2229"/>
      <c r="L48" s="2229"/>
      <c r="M48" s="2229"/>
      <c r="N48" s="2229"/>
      <c r="O48" s="2229"/>
      <c r="P48" s="2229"/>
      <c r="Q48" s="2229"/>
      <c r="R48" s="2229"/>
      <c r="S48" s="2229"/>
      <c r="T48" s="2229"/>
      <c r="U48" s="2229"/>
      <c r="V48" s="2229"/>
      <c r="W48" s="2229"/>
      <c r="X48" s="2229"/>
      <c r="Y48" s="2229"/>
      <c r="Z48" s="2229"/>
      <c r="AA48" s="2229"/>
      <c r="AB48" s="2229"/>
      <c r="AC48" s="2229"/>
      <c r="AD48" s="2229"/>
      <c r="AE48" s="2229"/>
      <c r="AF48" s="2229"/>
    </row>
    <row r="49" spans="1:42" x14ac:dyDescent="0.25">
      <c r="A49" s="3"/>
    </row>
    <row r="50" spans="1:42" ht="18.95" customHeight="1" x14ac:dyDescent="0.25">
      <c r="A50" s="190" t="s">
        <v>2003</v>
      </c>
      <c r="AH50" s="293"/>
    </row>
    <row r="51" spans="1:42" ht="35.25" customHeight="1" x14ac:dyDescent="0.25">
      <c r="A51" s="499" t="s">
        <v>259</v>
      </c>
      <c r="B51" s="500"/>
      <c r="C51" s="500"/>
      <c r="D51" s="500"/>
      <c r="E51" s="500"/>
      <c r="F51" s="501"/>
      <c r="G51" s="1514" t="s">
        <v>2704</v>
      </c>
      <c r="H51" s="1515"/>
      <c r="I51" s="1515"/>
      <c r="J51" s="1515"/>
      <c r="K51" s="1515"/>
      <c r="L51" s="1515"/>
      <c r="M51" s="1515"/>
      <c r="N51" s="1516"/>
      <c r="O51" s="1514" t="s">
        <v>2705</v>
      </c>
      <c r="P51" s="1515"/>
      <c r="Q51" s="1515"/>
      <c r="R51" s="1515"/>
      <c r="S51" s="1515"/>
      <c r="T51" s="1515"/>
      <c r="U51" s="1516"/>
      <c r="V51" s="1590" t="s">
        <v>1888</v>
      </c>
      <c r="W51" s="1591"/>
      <c r="X51" s="1591"/>
      <c r="Y51" s="1591"/>
      <c r="Z51" s="1751"/>
    </row>
    <row r="52" spans="1:42" ht="48" customHeight="1" x14ac:dyDescent="0.25">
      <c r="A52" s="1135" t="s">
        <v>1859</v>
      </c>
      <c r="B52" s="1135"/>
      <c r="C52" s="1135"/>
      <c r="D52" s="1135"/>
      <c r="E52" s="1135"/>
      <c r="F52" s="1135"/>
      <c r="G52" s="1135" t="s">
        <v>2707</v>
      </c>
      <c r="H52" s="1135"/>
      <c r="I52" s="1135"/>
      <c r="J52" s="1135"/>
      <c r="K52" s="1135"/>
      <c r="L52" s="1135"/>
      <c r="M52" s="2502">
        <v>9.2999999999999999E-2</v>
      </c>
      <c r="N52" s="2502"/>
      <c r="O52" s="2498" t="s">
        <v>1989</v>
      </c>
      <c r="P52" s="2499"/>
      <c r="Q52" s="2499"/>
      <c r="R52" s="2499"/>
      <c r="S52" s="2500"/>
      <c r="T52" s="2501">
        <v>2.8000000000000001E-2</v>
      </c>
      <c r="U52" s="2502"/>
      <c r="V52" s="1517" t="s">
        <v>1889</v>
      </c>
      <c r="W52" s="1517"/>
      <c r="X52" s="1517"/>
      <c r="Y52" s="1517"/>
      <c r="Z52" s="1517"/>
      <c r="AK52" s="397"/>
      <c r="AL52" s="397"/>
      <c r="AM52" s="397"/>
      <c r="AN52" s="397"/>
      <c r="AO52" s="397"/>
      <c r="AP52" s="397"/>
    </row>
    <row r="53" spans="1:42" ht="60" customHeight="1" x14ac:dyDescent="0.25">
      <c r="A53" s="1135" t="s">
        <v>1860</v>
      </c>
      <c r="B53" s="1135"/>
      <c r="C53" s="1135"/>
      <c r="D53" s="1135"/>
      <c r="E53" s="1135"/>
      <c r="F53" s="1135"/>
      <c r="G53" s="1135" t="s">
        <v>2708</v>
      </c>
      <c r="H53" s="1135"/>
      <c r="I53" s="1135"/>
      <c r="J53" s="1135"/>
      <c r="K53" s="1135"/>
      <c r="L53" s="1135"/>
      <c r="M53" s="2502">
        <v>0.24099999999999999</v>
      </c>
      <c r="N53" s="2502"/>
      <c r="O53" s="2498" t="s">
        <v>1987</v>
      </c>
      <c r="P53" s="2499"/>
      <c r="Q53" s="2499"/>
      <c r="R53" s="2499"/>
      <c r="S53" s="2500"/>
      <c r="T53" s="2501">
        <v>7.8E-2</v>
      </c>
      <c r="U53" s="2502"/>
      <c r="V53" s="1517" t="s">
        <v>1889</v>
      </c>
      <c r="W53" s="1517"/>
      <c r="X53" s="1517"/>
      <c r="Y53" s="1517"/>
      <c r="Z53" s="1517"/>
      <c r="AK53" s="397"/>
      <c r="AL53" s="397"/>
      <c r="AM53" s="397"/>
      <c r="AN53" s="397"/>
      <c r="AO53" s="397"/>
      <c r="AP53" s="397"/>
    </row>
    <row r="54" spans="1:42" ht="54.75" customHeight="1" x14ac:dyDescent="0.25">
      <c r="A54" s="1135" t="s">
        <v>1861</v>
      </c>
      <c r="B54" s="1135"/>
      <c r="C54" s="1135"/>
      <c r="D54" s="1135"/>
      <c r="E54" s="1135"/>
      <c r="F54" s="1135"/>
      <c r="G54" s="1135" t="s">
        <v>2706</v>
      </c>
      <c r="H54" s="1135"/>
      <c r="I54" s="1135"/>
      <c r="J54" s="1135"/>
      <c r="K54" s="1135"/>
      <c r="L54" s="1135"/>
      <c r="M54" s="2502">
        <v>0.496</v>
      </c>
      <c r="N54" s="2502"/>
      <c r="O54" s="2498" t="s">
        <v>1988</v>
      </c>
      <c r="P54" s="2499"/>
      <c r="Q54" s="2499"/>
      <c r="R54" s="2499"/>
      <c r="S54" s="2500"/>
      <c r="T54" s="2501">
        <v>0.17</v>
      </c>
      <c r="U54" s="2502"/>
      <c r="V54" s="1517" t="s">
        <v>1889</v>
      </c>
      <c r="W54" s="1517"/>
      <c r="X54" s="1517"/>
      <c r="Y54" s="1517"/>
      <c r="Z54" s="1517"/>
      <c r="AK54" s="397"/>
      <c r="AL54" s="397"/>
      <c r="AM54" s="397"/>
      <c r="AN54" s="397"/>
      <c r="AO54" s="397"/>
      <c r="AP54" s="397"/>
    </row>
    <row r="55" spans="1:42" ht="47.25" customHeight="1" x14ac:dyDescent="0.25">
      <c r="A55" s="1135" t="s">
        <v>1862</v>
      </c>
      <c r="B55" s="1135"/>
      <c r="C55" s="1135"/>
      <c r="D55" s="1135"/>
      <c r="E55" s="1135"/>
      <c r="F55" s="1135"/>
      <c r="G55" s="1135" t="s">
        <v>2709</v>
      </c>
      <c r="H55" s="1135"/>
      <c r="I55" s="1135"/>
      <c r="J55" s="1135"/>
      <c r="K55" s="1135"/>
      <c r="L55" s="1135"/>
      <c r="M55" s="2502">
        <v>0.97</v>
      </c>
      <c r="N55" s="2502"/>
      <c r="O55" s="2498" t="s">
        <v>1990</v>
      </c>
      <c r="P55" s="2499"/>
      <c r="Q55" s="2499"/>
      <c r="R55" s="2499"/>
      <c r="S55" s="2500"/>
      <c r="T55" s="2501">
        <v>0.27</v>
      </c>
      <c r="U55" s="2502"/>
      <c r="V55" s="1517" t="s">
        <v>1889</v>
      </c>
      <c r="W55" s="1517"/>
      <c r="X55" s="1517"/>
      <c r="Y55" s="1517"/>
      <c r="Z55" s="1517"/>
      <c r="AK55" s="397"/>
      <c r="AL55" s="397"/>
      <c r="AM55" s="397"/>
      <c r="AN55" s="397"/>
      <c r="AO55" s="397"/>
      <c r="AP55" s="397"/>
    </row>
    <row r="56" spans="1:42" x14ac:dyDescent="0.25">
      <c r="A56" s="190"/>
      <c r="AH56" s="293"/>
    </row>
    <row r="57" spans="1:42" x14ac:dyDescent="0.25">
      <c r="A57" s="1472" t="s">
        <v>21</v>
      </c>
      <c r="B57" s="1472"/>
      <c r="C57" s="1472"/>
      <c r="D57" s="1472"/>
      <c r="E57" s="1472"/>
      <c r="F57" s="1472"/>
      <c r="G57" s="1472"/>
      <c r="H57" s="1472"/>
      <c r="I57" s="1472"/>
      <c r="J57" s="1472"/>
      <c r="K57" s="1472"/>
      <c r="L57" s="1472"/>
      <c r="M57" s="1472"/>
      <c r="N57" s="1472"/>
      <c r="O57" s="1472"/>
      <c r="P57" s="1472"/>
      <c r="Q57" s="1472"/>
      <c r="R57" s="1472"/>
      <c r="S57" s="1472"/>
      <c r="T57" s="1472"/>
      <c r="U57" s="1472"/>
      <c r="V57" s="1472"/>
      <c r="W57" s="1472"/>
      <c r="X57" s="1472"/>
      <c r="Y57" s="1472"/>
      <c r="Z57" s="1472"/>
      <c r="AA57" s="1472"/>
      <c r="AB57" s="1472"/>
      <c r="AC57" s="1472"/>
      <c r="AD57" s="1472"/>
      <c r="AE57" s="1472"/>
      <c r="AF57" s="1472"/>
      <c r="AJ57" s="192"/>
    </row>
    <row r="59" spans="1:42" x14ac:dyDescent="0.25">
      <c r="B59" s="379" t="s">
        <v>2004</v>
      </c>
    </row>
    <row r="61" spans="1:42" x14ac:dyDescent="0.25">
      <c r="A61" s="280" t="s">
        <v>2008</v>
      </c>
      <c r="B61" s="280"/>
      <c r="C61" s="280"/>
      <c r="D61" s="280"/>
      <c r="E61" s="280"/>
      <c r="F61" s="280"/>
      <c r="G61" s="280"/>
      <c r="H61" s="280"/>
      <c r="I61" s="280"/>
      <c r="J61" s="280"/>
      <c r="K61" s="280"/>
      <c r="L61" s="280"/>
      <c r="M61" s="280"/>
      <c r="N61" s="280"/>
      <c r="O61" s="280"/>
      <c r="P61" s="280"/>
      <c r="Q61" s="280"/>
      <c r="R61" s="280"/>
      <c r="S61" s="1"/>
      <c r="T61" s="1"/>
      <c r="U61" s="1"/>
      <c r="V61" s="1"/>
      <c r="W61" s="280"/>
      <c r="X61" s="280"/>
      <c r="Y61" s="280"/>
      <c r="Z61" s="280"/>
      <c r="AA61" s="280"/>
      <c r="AB61" s="280"/>
      <c r="AC61" s="280"/>
      <c r="AD61" s="280"/>
      <c r="AE61" s="280"/>
      <c r="AF61" s="280"/>
      <c r="AG61" s="280"/>
      <c r="AH61" s="280"/>
      <c r="AI61" s="1"/>
      <c r="AJ61" s="1"/>
      <c r="AK61" s="1"/>
      <c r="AL61" s="1"/>
    </row>
    <row r="62" spans="1:42" x14ac:dyDescent="0.25">
      <c r="B62" s="294"/>
      <c r="C62" s="294"/>
      <c r="D62" s="294"/>
      <c r="E62" s="294"/>
      <c r="F62" s="294"/>
      <c r="G62" s="2504" t="s">
        <v>2919</v>
      </c>
      <c r="H62" s="2504"/>
      <c r="I62" s="2504"/>
      <c r="J62" s="2504"/>
      <c r="K62" s="2504"/>
      <c r="L62" s="2504"/>
      <c r="M62" s="2504"/>
      <c r="N62" s="2504"/>
      <c r="O62" s="2504"/>
      <c r="P62" s="2504"/>
      <c r="Q62" s="2504"/>
      <c r="R62" s="2504"/>
      <c r="S62" s="2504"/>
      <c r="T62" s="2504"/>
      <c r="U62" s="2504"/>
      <c r="V62" s="2504"/>
      <c r="W62" s="294"/>
      <c r="X62" s="294"/>
      <c r="Y62" s="294"/>
      <c r="Z62" s="294"/>
      <c r="AA62" s="294"/>
      <c r="AB62" s="294"/>
      <c r="AC62" s="294"/>
      <c r="AD62" s="294"/>
      <c r="AE62" s="294"/>
      <c r="AF62" s="294"/>
      <c r="AG62" s="294"/>
      <c r="AH62" s="294"/>
      <c r="AI62" s="294"/>
      <c r="AJ62" s="294"/>
      <c r="AK62" s="294"/>
      <c r="AL62" s="294"/>
    </row>
    <row r="63" spans="1:42" x14ac:dyDescent="0.25">
      <c r="A63" s="2503" t="s">
        <v>259</v>
      </c>
      <c r="B63" s="2503"/>
      <c r="C63" s="2503"/>
      <c r="D63" s="2503"/>
      <c r="E63" s="2503"/>
      <c r="F63" s="2503"/>
      <c r="G63" s="2295" t="s">
        <v>1459</v>
      </c>
      <c r="H63" s="2295"/>
      <c r="I63" s="2295"/>
      <c r="J63" s="2295"/>
      <c r="K63" s="2289" t="s">
        <v>1467</v>
      </c>
      <c r="L63" s="2289"/>
      <c r="M63" s="2289"/>
      <c r="N63" s="2289"/>
      <c r="O63" s="2295" t="s">
        <v>1468</v>
      </c>
      <c r="P63" s="2295"/>
      <c r="Q63" s="2295"/>
      <c r="R63" s="2295"/>
      <c r="S63" s="2289" t="s">
        <v>1460</v>
      </c>
      <c r="T63" s="2289"/>
      <c r="U63" s="2289"/>
      <c r="V63" s="2289"/>
      <c r="W63" s="294"/>
      <c r="X63" s="294"/>
      <c r="Y63" s="294"/>
      <c r="Z63" s="294"/>
      <c r="AA63" s="294"/>
      <c r="AB63" s="294"/>
      <c r="AC63" s="294"/>
      <c r="AD63" s="294"/>
      <c r="AE63" s="294"/>
      <c r="AF63" s="294"/>
      <c r="AG63" s="294"/>
      <c r="AH63" s="294"/>
      <c r="AI63" s="294"/>
      <c r="AJ63" s="294"/>
      <c r="AK63" s="294"/>
      <c r="AL63" s="294"/>
    </row>
    <row r="64" spans="1:42" x14ac:dyDescent="0.25">
      <c r="A64" s="2505" t="s">
        <v>274</v>
      </c>
      <c r="B64" s="2505"/>
      <c r="C64" s="2505"/>
      <c r="D64" s="2505"/>
      <c r="E64" s="2505"/>
      <c r="F64" s="2505"/>
      <c r="G64" s="2188">
        <f>ROUND(($M$52-$T$52)*$Q$42*$Q$43*$Q$45,3)</f>
        <v>0.04</v>
      </c>
      <c r="H64" s="2188"/>
      <c r="I64" s="2188"/>
      <c r="J64" s="2188"/>
      <c r="K64" s="2188">
        <f>ROUND(($M$53-$T$53)*$Q$42*$Q$43*$Q$45,3)</f>
        <v>0.10100000000000001</v>
      </c>
      <c r="L64" s="2188"/>
      <c r="M64" s="2188"/>
      <c r="N64" s="2188"/>
      <c r="O64" s="2188">
        <f>ROUND(($M$54-$T$54)*$Q$42*$Q$43*$Q$45,3)</f>
        <v>0.20200000000000001</v>
      </c>
      <c r="P64" s="2188"/>
      <c r="Q64" s="2188"/>
      <c r="R64" s="2188"/>
      <c r="S64" s="2188">
        <f>ROUND(($M$55-$T$55)*$Q$42*$Q$43*$Q$45,3)</f>
        <v>0.434</v>
      </c>
      <c r="T64" s="2188"/>
      <c r="U64" s="2188"/>
      <c r="V64" s="2188"/>
      <c r="W64" s="403"/>
      <c r="X64" s="403"/>
      <c r="Y64" s="403"/>
      <c r="Z64" s="403"/>
      <c r="AA64" s="403"/>
      <c r="AB64" s="403"/>
      <c r="AC64" s="403"/>
      <c r="AD64" s="403"/>
      <c r="AE64" s="403"/>
      <c r="AF64" s="403"/>
      <c r="AG64" s="403"/>
      <c r="AH64" s="403"/>
      <c r="AI64" s="403"/>
      <c r="AJ64" s="403"/>
      <c r="AK64" s="403"/>
      <c r="AL64" s="403"/>
    </row>
    <row r="66" spans="1:38" x14ac:dyDescent="0.25">
      <c r="A66" s="280" t="s">
        <v>2006</v>
      </c>
      <c r="B66" s="280"/>
      <c r="C66" s="280"/>
      <c r="D66" s="280"/>
      <c r="E66" s="280"/>
      <c r="F66" s="280"/>
      <c r="G66" s="280"/>
      <c r="H66" s="280"/>
      <c r="I66" s="280"/>
      <c r="J66" s="280"/>
      <c r="K66" s="280"/>
      <c r="L66" s="280"/>
      <c r="M66" s="280"/>
      <c r="N66" s="280"/>
      <c r="O66" s="280"/>
      <c r="P66" s="280"/>
      <c r="Q66" s="280"/>
      <c r="R66" s="280"/>
      <c r="S66" s="1"/>
      <c r="T66" s="1"/>
      <c r="U66" s="1"/>
      <c r="V66" s="1"/>
      <c r="W66" s="280"/>
      <c r="X66" s="280"/>
      <c r="Y66" s="280"/>
      <c r="Z66" s="280"/>
      <c r="AA66" s="280"/>
      <c r="AB66" s="280"/>
      <c r="AC66" s="280"/>
      <c r="AD66" s="280"/>
      <c r="AE66" s="280"/>
      <c r="AF66" s="280"/>
      <c r="AG66" s="280"/>
      <c r="AH66" s="280"/>
      <c r="AI66" s="1"/>
      <c r="AJ66" s="1"/>
      <c r="AK66" s="1"/>
      <c r="AL66" s="1"/>
    </row>
    <row r="67" spans="1:38" x14ac:dyDescent="0.25">
      <c r="B67" s="294"/>
      <c r="C67" s="294"/>
      <c r="D67" s="294"/>
      <c r="E67" s="294"/>
      <c r="F67" s="294"/>
      <c r="G67" s="2211" t="s">
        <v>2920</v>
      </c>
      <c r="H67" s="2211"/>
      <c r="I67" s="2211"/>
      <c r="J67" s="2211"/>
      <c r="K67" s="2211"/>
      <c r="L67" s="2211"/>
      <c r="M67" s="2211"/>
      <c r="N67" s="2211"/>
      <c r="O67" s="2211"/>
      <c r="P67" s="2211"/>
      <c r="Q67" s="2211"/>
      <c r="R67" s="2211"/>
      <c r="S67" s="2211"/>
      <c r="T67" s="2211"/>
      <c r="U67" s="2211"/>
      <c r="V67" s="2211"/>
    </row>
    <row r="68" spans="1:38" x14ac:dyDescent="0.25">
      <c r="A68" s="2503" t="s">
        <v>259</v>
      </c>
      <c r="B68" s="2503"/>
      <c r="C68" s="2503"/>
      <c r="D68" s="2503"/>
      <c r="E68" s="2503"/>
      <c r="F68" s="2503"/>
      <c r="G68" s="2295" t="s">
        <v>1459</v>
      </c>
      <c r="H68" s="2295"/>
      <c r="I68" s="2295"/>
      <c r="J68" s="2295"/>
      <c r="K68" s="2289" t="s">
        <v>1467</v>
      </c>
      <c r="L68" s="2289"/>
      <c r="M68" s="2289"/>
      <c r="N68" s="2289"/>
      <c r="O68" s="2295" t="s">
        <v>1468</v>
      </c>
      <c r="P68" s="2295"/>
      <c r="Q68" s="2295"/>
      <c r="R68" s="2295"/>
      <c r="S68" s="2289" t="s">
        <v>1460</v>
      </c>
      <c r="T68" s="2289"/>
      <c r="U68" s="2289"/>
      <c r="V68" s="2289"/>
    </row>
    <row r="69" spans="1:38" x14ac:dyDescent="0.25">
      <c r="A69" s="2505" t="s">
        <v>274</v>
      </c>
      <c r="B69" s="2505"/>
      <c r="C69" s="2505"/>
      <c r="D69" s="2505"/>
      <c r="E69" s="2505"/>
      <c r="F69" s="2505"/>
      <c r="G69" s="2294">
        <f>ROUND(($M$52-$T$52)*$Q$42*$Q$44*$Q$45,2)</f>
        <v>266.5</v>
      </c>
      <c r="H69" s="2294"/>
      <c r="I69" s="2294"/>
      <c r="J69" s="2294"/>
      <c r="K69" s="2294">
        <f>ROUND(($M$53-$T$53)*$Q$42*$Q$44*$Q$45,2)</f>
        <v>668.3</v>
      </c>
      <c r="L69" s="2294"/>
      <c r="M69" s="2294"/>
      <c r="N69" s="2294"/>
      <c r="O69" s="2294">
        <f>ROUND(($M$54-$T$54)*$Q$42*$Q$44*$Q$45,2)</f>
        <v>1336.6</v>
      </c>
      <c r="P69" s="2294"/>
      <c r="Q69" s="2294"/>
      <c r="R69" s="2294"/>
      <c r="S69" s="2294">
        <f>ROUND(($M$55-$T$55)*$Q$42*$Q$44*$Q$45,2)</f>
        <v>2870</v>
      </c>
      <c r="T69" s="2294"/>
      <c r="U69" s="2294"/>
      <c r="V69" s="2294"/>
    </row>
    <row r="71" spans="1:38" x14ac:dyDescent="0.25">
      <c r="B71" s="379" t="s">
        <v>2005</v>
      </c>
    </row>
    <row r="73" spans="1:38" x14ac:dyDescent="0.25">
      <c r="A73" s="280" t="s">
        <v>2007</v>
      </c>
      <c r="B73" s="280"/>
      <c r="C73" s="280"/>
      <c r="D73" s="280"/>
      <c r="E73" s="280"/>
      <c r="F73" s="280"/>
      <c r="G73" s="280"/>
      <c r="H73" s="280"/>
      <c r="I73" s="280"/>
      <c r="J73" s="280"/>
      <c r="K73" s="280"/>
      <c r="L73" s="280"/>
      <c r="M73" s="280"/>
      <c r="N73" s="280"/>
      <c r="O73" s="280"/>
      <c r="P73" s="280"/>
      <c r="Q73" s="280"/>
      <c r="R73" s="280"/>
      <c r="S73" s="1"/>
      <c r="T73" s="1"/>
      <c r="U73" s="1"/>
      <c r="V73" s="1"/>
      <c r="W73" s="280"/>
      <c r="X73" s="280"/>
      <c r="Y73" s="280"/>
      <c r="Z73" s="280"/>
      <c r="AA73" s="280"/>
      <c r="AB73" s="280"/>
      <c r="AC73" s="280"/>
      <c r="AD73" s="280"/>
      <c r="AE73" s="280"/>
      <c r="AF73" s="280"/>
      <c r="AG73" s="280"/>
      <c r="AH73" s="280"/>
      <c r="AI73" s="1"/>
      <c r="AJ73" s="1"/>
      <c r="AK73" s="1"/>
      <c r="AL73" s="1"/>
    </row>
    <row r="74" spans="1:38" x14ac:dyDescent="0.25">
      <c r="B74" s="294"/>
      <c r="C74" s="294"/>
      <c r="D74" s="294"/>
      <c r="E74" s="294"/>
      <c r="F74" s="294"/>
      <c r="G74" s="2506" t="s">
        <v>1945</v>
      </c>
      <c r="H74" s="2506"/>
      <c r="I74" s="2506"/>
      <c r="J74" s="2506"/>
      <c r="K74" s="2506"/>
      <c r="L74" s="2506"/>
      <c r="M74" s="2506"/>
      <c r="N74" s="2506"/>
      <c r="O74" s="2506"/>
      <c r="P74" s="2506"/>
      <c r="Q74" s="2506"/>
      <c r="R74" s="2506"/>
      <c r="S74" s="2506"/>
      <c r="T74" s="2506"/>
      <c r="U74" s="2506"/>
      <c r="V74" s="2506"/>
    </row>
    <row r="75" spans="1:38" x14ac:dyDescent="0.25">
      <c r="A75" s="2503" t="s">
        <v>259</v>
      </c>
      <c r="B75" s="2503"/>
      <c r="C75" s="2503"/>
      <c r="D75" s="2503"/>
      <c r="E75" s="2503"/>
      <c r="F75" s="2503"/>
      <c r="G75" s="2304" t="s">
        <v>1459</v>
      </c>
      <c r="H75" s="2304"/>
      <c r="I75" s="2304"/>
      <c r="J75" s="2304"/>
      <c r="K75" s="2303" t="s">
        <v>1467</v>
      </c>
      <c r="L75" s="2303"/>
      <c r="M75" s="2303"/>
      <c r="N75" s="2303"/>
      <c r="O75" s="2304" t="s">
        <v>1468</v>
      </c>
      <c r="P75" s="2304"/>
      <c r="Q75" s="2304"/>
      <c r="R75" s="2304"/>
      <c r="S75" s="2303" t="s">
        <v>1460</v>
      </c>
      <c r="T75" s="2303"/>
      <c r="U75" s="2303"/>
      <c r="V75" s="2303"/>
    </row>
    <row r="76" spans="1:38" x14ac:dyDescent="0.25">
      <c r="A76" s="2505" t="s">
        <v>274</v>
      </c>
      <c r="B76" s="2505"/>
      <c r="C76" s="2505"/>
      <c r="D76" s="2505"/>
      <c r="E76" s="2505"/>
      <c r="F76" s="2505"/>
      <c r="G76" s="2294">
        <f>ROUND(G69*$Q$46,2)</f>
        <v>3198</v>
      </c>
      <c r="H76" s="2294"/>
      <c r="I76" s="2294"/>
      <c r="J76" s="2294"/>
      <c r="K76" s="2294">
        <f t="shared" ref="K76" si="0">ROUND(K69*$Q$46,2)</f>
        <v>8019.6</v>
      </c>
      <c r="L76" s="2294"/>
      <c r="M76" s="2294"/>
      <c r="N76" s="2294"/>
      <c r="O76" s="2294">
        <f>ROUND(O69*$Q$46,2)</f>
        <v>16039.2</v>
      </c>
      <c r="P76" s="2294"/>
      <c r="Q76" s="2294"/>
      <c r="R76" s="2294"/>
      <c r="S76" s="2294">
        <f t="shared" ref="S76" si="1">ROUND(S69*$Q$46,2)</f>
        <v>34440</v>
      </c>
      <c r="T76" s="2294"/>
      <c r="U76" s="2294"/>
      <c r="V76" s="2294"/>
    </row>
    <row r="78" spans="1:38" x14ac:dyDescent="0.25">
      <c r="A78" s="1472" t="s">
        <v>1753</v>
      </c>
      <c r="B78" s="1472"/>
      <c r="C78" s="1472"/>
      <c r="D78" s="1472"/>
      <c r="E78" s="1472"/>
      <c r="F78" s="1472"/>
      <c r="G78" s="1472"/>
      <c r="H78" s="1472"/>
      <c r="I78" s="1472"/>
      <c r="J78" s="1472"/>
      <c r="K78" s="1472"/>
      <c r="L78" s="1472"/>
      <c r="M78" s="1472"/>
      <c r="N78" s="1472"/>
      <c r="O78" s="1472"/>
      <c r="P78" s="1472"/>
      <c r="Q78" s="1472"/>
      <c r="R78" s="1472"/>
      <c r="S78" s="1472"/>
      <c r="T78" s="1472"/>
      <c r="U78" s="1472"/>
      <c r="V78" s="1472"/>
      <c r="W78" s="1472"/>
      <c r="X78" s="1472"/>
      <c r="Y78" s="1472"/>
      <c r="Z78" s="1472"/>
      <c r="AA78" s="1472"/>
      <c r="AB78" s="1472"/>
      <c r="AC78" s="1472"/>
      <c r="AD78" s="1472"/>
      <c r="AE78" s="1472"/>
      <c r="AF78" s="1472"/>
    </row>
    <row r="80" spans="1:38" ht="30.95" customHeight="1" x14ac:dyDescent="0.25">
      <c r="A80" s="515" t="s">
        <v>1013</v>
      </c>
      <c r="B80" s="1168" t="s">
        <v>2019</v>
      </c>
      <c r="C80" s="1168"/>
      <c r="D80" s="1168"/>
      <c r="E80" s="1168"/>
      <c r="F80" s="1168"/>
      <c r="G80" s="1168"/>
      <c r="H80" s="1168"/>
      <c r="I80" s="1168"/>
      <c r="J80" s="1168"/>
      <c r="K80" s="1168"/>
      <c r="L80" s="1168"/>
      <c r="M80" s="1168"/>
      <c r="N80" s="1168"/>
      <c r="O80" s="1168"/>
      <c r="P80" s="1168"/>
      <c r="Q80" s="1168"/>
      <c r="R80" s="1168"/>
      <c r="S80" s="1168"/>
      <c r="T80" s="1168"/>
      <c r="U80" s="1168"/>
      <c r="V80" s="1168"/>
      <c r="W80" s="1168"/>
      <c r="X80" s="1168"/>
      <c r="Y80" s="1168"/>
      <c r="Z80" s="1168"/>
      <c r="AA80" s="1168"/>
      <c r="AB80" s="1168"/>
      <c r="AC80" s="1168"/>
      <c r="AD80" s="1168"/>
      <c r="AE80" s="1168"/>
      <c r="AF80" s="1168"/>
    </row>
    <row r="81" spans="1:32" x14ac:dyDescent="0.25">
      <c r="A81" s="517" t="s">
        <v>1013</v>
      </c>
      <c r="B81" s="1168" t="s">
        <v>5692</v>
      </c>
      <c r="C81" s="1168"/>
      <c r="D81" s="1168"/>
      <c r="E81" s="1168"/>
      <c r="F81" s="1168"/>
      <c r="G81" s="1168"/>
      <c r="H81" s="1168"/>
      <c r="I81" s="1168"/>
      <c r="J81" s="1168"/>
      <c r="K81" s="1168"/>
      <c r="L81" s="1168"/>
      <c r="M81" s="1168"/>
      <c r="N81" s="1168"/>
      <c r="O81" s="1168"/>
      <c r="P81" s="1168"/>
      <c r="Q81" s="1168"/>
      <c r="R81" s="1168"/>
      <c r="S81" s="1168"/>
      <c r="T81" s="1168"/>
      <c r="U81" s="1168"/>
      <c r="V81" s="1168"/>
      <c r="W81" s="1168"/>
      <c r="X81" s="1168"/>
      <c r="Y81" s="1168"/>
      <c r="Z81" s="1168"/>
      <c r="AA81" s="1168"/>
      <c r="AB81" s="1168"/>
      <c r="AC81" s="1168"/>
      <c r="AD81" s="1168"/>
      <c r="AE81" s="1168"/>
      <c r="AF81" s="1168"/>
    </row>
    <row r="82" spans="1:32" ht="15" customHeight="1" x14ac:dyDescent="0.25">
      <c r="A82" s="515" t="s">
        <v>1013</v>
      </c>
      <c r="B82" s="1168" t="s">
        <v>5622</v>
      </c>
      <c r="C82" s="1168"/>
      <c r="D82" s="1168"/>
      <c r="E82" s="1168"/>
      <c r="F82" s="1168"/>
      <c r="G82" s="1168"/>
      <c r="H82" s="1168"/>
      <c r="I82" s="1168"/>
      <c r="J82" s="1168"/>
      <c r="K82" s="1168"/>
      <c r="L82" s="1168"/>
      <c r="M82" s="1168"/>
      <c r="N82" s="1168"/>
      <c r="O82" s="1168"/>
      <c r="P82" s="1168"/>
      <c r="Q82" s="1168"/>
      <c r="R82" s="1168"/>
      <c r="S82" s="1168"/>
      <c r="T82" s="1168"/>
      <c r="U82" s="1168"/>
      <c r="V82" s="1168"/>
      <c r="W82" s="1168"/>
      <c r="X82" s="1168"/>
      <c r="Y82" s="1168"/>
      <c r="Z82" s="1168"/>
      <c r="AA82" s="1168"/>
      <c r="AB82" s="1168"/>
      <c r="AC82" s="1168"/>
      <c r="AD82" s="1168"/>
      <c r="AE82" s="1168"/>
      <c r="AF82" s="1168"/>
    </row>
    <row r="83" spans="1:32" ht="31.5" customHeight="1" x14ac:dyDescent="0.25">
      <c r="A83" s="515" t="s">
        <v>1013</v>
      </c>
      <c r="B83" s="1168" t="s">
        <v>2660</v>
      </c>
      <c r="C83" s="1168"/>
      <c r="D83" s="1168"/>
      <c r="E83" s="1168"/>
      <c r="F83" s="1168"/>
      <c r="G83" s="1168"/>
      <c r="H83" s="1168"/>
      <c r="I83" s="1168"/>
      <c r="J83" s="1168"/>
      <c r="K83" s="1168"/>
      <c r="L83" s="1168"/>
      <c r="M83" s="1168"/>
      <c r="N83" s="1168"/>
      <c r="O83" s="1168"/>
      <c r="P83" s="1168"/>
      <c r="Q83" s="1168"/>
      <c r="R83" s="1168"/>
      <c r="S83" s="1168"/>
      <c r="T83" s="1168"/>
      <c r="U83" s="1168"/>
      <c r="V83" s="1168"/>
      <c r="W83" s="1168"/>
      <c r="X83" s="1168"/>
      <c r="Y83" s="1168"/>
      <c r="Z83" s="1168"/>
      <c r="AA83" s="1168"/>
      <c r="AB83" s="1168"/>
      <c r="AC83" s="1168"/>
      <c r="AD83" s="1168"/>
      <c r="AE83" s="1168"/>
      <c r="AF83" s="1168"/>
    </row>
    <row r="84" spans="1:32" ht="50.25" customHeight="1" x14ac:dyDescent="0.25">
      <c r="A84" s="515" t="s">
        <v>1013</v>
      </c>
      <c r="B84" s="1168" t="s">
        <v>2023</v>
      </c>
      <c r="C84" s="1168"/>
      <c r="D84" s="1168"/>
      <c r="E84" s="1168"/>
      <c r="F84" s="1168"/>
      <c r="G84" s="1168"/>
      <c r="H84" s="1168"/>
      <c r="I84" s="1168"/>
      <c r="J84" s="1168"/>
      <c r="K84" s="1168"/>
      <c r="L84" s="1168"/>
      <c r="M84" s="1168"/>
      <c r="N84" s="1168"/>
      <c r="O84" s="1168"/>
      <c r="P84" s="1168"/>
      <c r="Q84" s="1168"/>
      <c r="R84" s="1168"/>
      <c r="S84" s="1168"/>
      <c r="T84" s="1168"/>
      <c r="U84" s="1168"/>
      <c r="V84" s="1168"/>
      <c r="W84" s="1168"/>
      <c r="X84" s="1168"/>
      <c r="Y84" s="1168"/>
      <c r="Z84" s="1168"/>
      <c r="AA84" s="1168"/>
      <c r="AB84" s="1168"/>
      <c r="AC84" s="1168"/>
      <c r="AD84" s="1168"/>
      <c r="AE84" s="1168"/>
      <c r="AF84" s="1168"/>
    </row>
    <row r="85" spans="1:32" ht="30.6" customHeight="1" x14ac:dyDescent="0.25">
      <c r="A85" s="515" t="s">
        <v>1013</v>
      </c>
      <c r="B85" s="1168" t="s">
        <v>2015</v>
      </c>
      <c r="C85" s="1168"/>
      <c r="D85" s="1168"/>
      <c r="E85" s="1168"/>
      <c r="F85" s="1168"/>
      <c r="G85" s="1168"/>
      <c r="H85" s="1168"/>
      <c r="I85" s="1168"/>
      <c r="J85" s="1168"/>
      <c r="K85" s="1168"/>
      <c r="L85" s="1168"/>
      <c r="M85" s="1168"/>
      <c r="N85" s="1168"/>
      <c r="O85" s="1168"/>
      <c r="P85" s="1168"/>
      <c r="Q85" s="1168"/>
      <c r="R85" s="1168"/>
      <c r="S85" s="1168"/>
      <c r="T85" s="1168"/>
      <c r="U85" s="1168"/>
      <c r="V85" s="1168"/>
      <c r="W85" s="1168"/>
      <c r="X85" s="1168"/>
      <c r="Y85" s="1168"/>
      <c r="Z85" s="1168"/>
      <c r="AA85" s="1168"/>
      <c r="AB85" s="1168"/>
      <c r="AC85" s="1168"/>
      <c r="AD85" s="1168"/>
      <c r="AE85" s="1168"/>
      <c r="AF85" s="1168"/>
    </row>
    <row r="86" spans="1:32" x14ac:dyDescent="0.25">
      <c r="A86" s="515" t="s">
        <v>1013</v>
      </c>
      <c r="B86" s="1168" t="s">
        <v>1798</v>
      </c>
      <c r="C86" s="1168"/>
      <c r="D86" s="1168"/>
      <c r="E86" s="1168"/>
      <c r="F86" s="1168"/>
      <c r="G86" s="1168"/>
      <c r="H86" s="1168"/>
      <c r="I86" s="1168"/>
      <c r="J86" s="1168"/>
      <c r="K86" s="1168"/>
      <c r="L86" s="1168"/>
      <c r="M86" s="1168"/>
      <c r="N86" s="1168"/>
      <c r="O86" s="1168"/>
      <c r="P86" s="1168"/>
      <c r="Q86" s="1168"/>
      <c r="R86" s="1168"/>
      <c r="S86" s="1168"/>
      <c r="T86" s="1168"/>
      <c r="U86" s="1168"/>
      <c r="V86" s="1168"/>
      <c r="W86" s="1168"/>
      <c r="X86" s="1168"/>
      <c r="Y86" s="1168"/>
      <c r="Z86" s="1168"/>
      <c r="AA86" s="1168"/>
      <c r="AB86" s="1168"/>
      <c r="AC86" s="1168"/>
      <c r="AD86" s="1168"/>
      <c r="AE86" s="1168"/>
      <c r="AF86" s="1168"/>
    </row>
  </sheetData>
  <sheetProtection algorithmName="SHA-512" hashValue="0XIY8HqJqJu+X6WIknJB4Zays8GxX1FzwUZJgykcj+mShcLEBkKK2yIrqkGfL17HFOi4Zl57IoRh3DgcvowPpQ==" saltValue="wxg10ZOtrHaaXOruV22Lig==" spinCount="100000" sheet="1" objects="1" scenarios="1"/>
  <mergeCells count="126">
    <mergeCell ref="B82:AF82"/>
    <mergeCell ref="S64:V64"/>
    <mergeCell ref="K69:N69"/>
    <mergeCell ref="O69:R69"/>
    <mergeCell ref="S69:V69"/>
    <mergeCell ref="A69:F69"/>
    <mergeCell ref="A63:F63"/>
    <mergeCell ref="G63:J63"/>
    <mergeCell ref="K63:N63"/>
    <mergeCell ref="O63:R63"/>
    <mergeCell ref="S63:V63"/>
    <mergeCell ref="G67:V67"/>
    <mergeCell ref="A78:AF78"/>
    <mergeCell ref="B80:AF80"/>
    <mergeCell ref="A64:F64"/>
    <mergeCell ref="G64:J64"/>
    <mergeCell ref="K64:N64"/>
    <mergeCell ref="O64:R64"/>
    <mergeCell ref="B81:AF81"/>
    <mergeCell ref="O53:S53"/>
    <mergeCell ref="T53:U53"/>
    <mergeCell ref="V53:Z53"/>
    <mergeCell ref="T52:U52"/>
    <mergeCell ref="V52:Z52"/>
    <mergeCell ref="A53:F53"/>
    <mergeCell ref="G53:L53"/>
    <mergeCell ref="M53:N53"/>
    <mergeCell ref="A76:F76"/>
    <mergeCell ref="G76:J76"/>
    <mergeCell ref="K76:N76"/>
    <mergeCell ref="O76:R76"/>
    <mergeCell ref="S76:V76"/>
    <mergeCell ref="G74:V74"/>
    <mergeCell ref="A75:F75"/>
    <mergeCell ref="G75:J75"/>
    <mergeCell ref="K75:N75"/>
    <mergeCell ref="O75:R75"/>
    <mergeCell ref="S75:V75"/>
    <mergeCell ref="A52:F52"/>
    <mergeCell ref="G52:L52"/>
    <mergeCell ref="M52:N52"/>
    <mergeCell ref="O52:S52"/>
    <mergeCell ref="B86:AF86"/>
    <mergeCell ref="A57:AF57"/>
    <mergeCell ref="B83:AF83"/>
    <mergeCell ref="B84:AF84"/>
    <mergeCell ref="B85:AF85"/>
    <mergeCell ref="O55:S55"/>
    <mergeCell ref="T55:U55"/>
    <mergeCell ref="V55:Z55"/>
    <mergeCell ref="T54:U54"/>
    <mergeCell ref="V54:Z54"/>
    <mergeCell ref="A55:F55"/>
    <mergeCell ref="G55:L55"/>
    <mergeCell ref="M55:N55"/>
    <mergeCell ref="A54:F54"/>
    <mergeCell ref="G54:L54"/>
    <mergeCell ref="M54:N54"/>
    <mergeCell ref="O54:S54"/>
    <mergeCell ref="G69:J69"/>
    <mergeCell ref="A68:F68"/>
    <mergeCell ref="G68:J68"/>
    <mergeCell ref="K68:N68"/>
    <mergeCell ref="O68:R68"/>
    <mergeCell ref="S68:V68"/>
    <mergeCell ref="G62:V62"/>
    <mergeCell ref="G51:N51"/>
    <mergeCell ref="O51:U51"/>
    <mergeCell ref="A47:AF47"/>
    <mergeCell ref="A48:AF48"/>
    <mergeCell ref="A46:D46"/>
    <mergeCell ref="E46:P46"/>
    <mergeCell ref="Q46:T46"/>
    <mergeCell ref="U46:V46"/>
    <mergeCell ref="W46:AF46"/>
    <mergeCell ref="V51:Z51"/>
    <mergeCell ref="A45:D45"/>
    <mergeCell ref="E45:P45"/>
    <mergeCell ref="Q45:T45"/>
    <mergeCell ref="U45:V45"/>
    <mergeCell ref="W45:AF45"/>
    <mergeCell ref="A44:D44"/>
    <mergeCell ref="E44:P44"/>
    <mergeCell ref="Q44:T44"/>
    <mergeCell ref="U44:V44"/>
    <mergeCell ref="W44:AF44"/>
    <mergeCell ref="A43:D43"/>
    <mergeCell ref="E43:P43"/>
    <mergeCell ref="Q43:T43"/>
    <mergeCell ref="U43:V43"/>
    <mergeCell ref="W43:AF43"/>
    <mergeCell ref="A41:D41"/>
    <mergeCell ref="E41:P41"/>
    <mergeCell ref="Q41:T41"/>
    <mergeCell ref="U41:V41"/>
    <mergeCell ref="W41:AF41"/>
    <mergeCell ref="A42:D42"/>
    <mergeCell ref="E42:P42"/>
    <mergeCell ref="Q42:T42"/>
    <mergeCell ref="U42:V42"/>
    <mergeCell ref="W42:AF42"/>
    <mergeCell ref="A40:D40"/>
    <mergeCell ref="E40:P40"/>
    <mergeCell ref="Q40:T40"/>
    <mergeCell ref="U40:V40"/>
    <mergeCell ref="W40:AF40"/>
    <mergeCell ref="B22:AF22"/>
    <mergeCell ref="A24:AF24"/>
    <mergeCell ref="A38:AF38"/>
    <mergeCell ref="A39:D39"/>
    <mergeCell ref="E39:P39"/>
    <mergeCell ref="Q39:T39"/>
    <mergeCell ref="U39:V39"/>
    <mergeCell ref="W39:AF39"/>
    <mergeCell ref="B18:I18"/>
    <mergeCell ref="B19:AF19"/>
    <mergeCell ref="B12:I12"/>
    <mergeCell ref="B13:AF13"/>
    <mergeCell ref="B15:I15"/>
    <mergeCell ref="B16:AF16"/>
    <mergeCell ref="A1:AF1"/>
    <mergeCell ref="A3:AF3"/>
    <mergeCell ref="B5:AF5"/>
    <mergeCell ref="A7:AF7"/>
    <mergeCell ref="B9:I9"/>
    <mergeCell ref="B10:AF10"/>
  </mergeCells>
  <hyperlinks>
    <hyperlink ref="A2" location="TOC!A1" display="Return to TOC" xr:uid="{00000000-0004-0000-2C00-000000000000}"/>
  </hyperlinks>
  <pageMargins left="0.7" right="0.7" top="0.75" bottom="0.75" header="0.3" footer="0.3"/>
  <pageSetup fitToWidth="0"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2">
    <tabColor theme="4" tint="0.59999389629810485"/>
    <pageSetUpPr autoPageBreaks="0" fitToPage="1"/>
  </sheetPr>
  <dimension ref="A1:AK210"/>
  <sheetViews>
    <sheetView zoomScaleNormal="100" workbookViewId="0">
      <selection sqref="A1:AF1"/>
    </sheetView>
  </sheetViews>
  <sheetFormatPr defaultColWidth="2.7109375" defaultRowHeight="15" x14ac:dyDescent="0.25"/>
  <cols>
    <col min="1" max="3" width="2.7109375" style="8"/>
    <col min="4" max="4" width="3" style="8" customWidth="1"/>
    <col min="5" max="18" width="2.7109375" style="8"/>
    <col min="19" max="30" width="2.85546875" style="8" customWidth="1"/>
    <col min="31" max="16384" width="2.7109375" style="8"/>
  </cols>
  <sheetData>
    <row r="1" spans="1:37" s="1" customFormat="1" ht="18.75" x14ac:dyDescent="0.25">
      <c r="A1" s="1464" t="s">
        <v>1309</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7" s="1" customFormat="1"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7" s="1" customFormat="1" ht="14.45" customHeight="1"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c r="AG3" s="262"/>
      <c r="AH3" s="262"/>
      <c r="AI3" s="262"/>
      <c r="AJ3" s="262"/>
      <c r="AK3" s="262"/>
    </row>
    <row r="4" spans="1:37" s="1" customFormat="1" ht="14.45" customHeight="1"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262"/>
      <c r="AH4" s="262"/>
      <c r="AI4" s="262"/>
      <c r="AJ4" s="262"/>
      <c r="AK4" s="262"/>
    </row>
    <row r="5" spans="1:37" s="1" customFormat="1" ht="63" customHeight="1" x14ac:dyDescent="0.25">
      <c r="A5" s="262"/>
      <c r="B5" s="1589" t="s">
        <v>6567</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262"/>
      <c r="AH5" s="262"/>
      <c r="AI5" s="262"/>
      <c r="AJ5" s="262"/>
      <c r="AK5" s="262"/>
    </row>
    <row r="6" spans="1:37" s="1" customFormat="1" ht="14.45" customHeight="1" x14ac:dyDescent="0.2">
      <c r="A6" s="529"/>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62"/>
      <c r="AH6" s="262"/>
      <c r="AI6" s="262"/>
      <c r="AJ6" s="443"/>
      <c r="AK6" s="262"/>
    </row>
    <row r="7" spans="1:37" s="1" customFormat="1"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c r="AG7" s="262"/>
      <c r="AH7" s="262"/>
      <c r="AI7" s="262"/>
      <c r="AJ7" s="262"/>
      <c r="AK7" s="262"/>
    </row>
    <row r="8" spans="1:37" s="1" customFormat="1" x14ac:dyDescent="0.25">
      <c r="A8" s="19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G8" s="262"/>
      <c r="AH8" s="262"/>
      <c r="AI8" s="262"/>
      <c r="AJ8" s="262"/>
      <c r="AK8" s="262"/>
    </row>
    <row r="9" spans="1:37" s="1" customFormat="1" x14ac:dyDescent="0.25">
      <c r="A9" s="262"/>
      <c r="B9" s="414" t="s">
        <v>10</v>
      </c>
      <c r="C9" s="414"/>
      <c r="D9" s="414"/>
      <c r="E9" s="414"/>
      <c r="F9" s="414"/>
      <c r="G9" s="414"/>
      <c r="H9" s="414"/>
      <c r="I9" s="414"/>
      <c r="J9" s="262"/>
      <c r="K9" s="262"/>
      <c r="L9" s="262"/>
      <c r="M9" s="262"/>
      <c r="N9" s="262"/>
      <c r="O9" s="262"/>
      <c r="P9" s="262"/>
      <c r="Q9" s="262"/>
      <c r="R9" s="262"/>
      <c r="S9" s="262"/>
      <c r="T9" s="262"/>
      <c r="U9" s="262"/>
      <c r="V9" s="262"/>
      <c r="W9" s="262"/>
      <c r="X9" s="262"/>
      <c r="Y9" s="262"/>
      <c r="Z9" s="262"/>
      <c r="AA9" s="262"/>
      <c r="AB9" s="262"/>
      <c r="AC9" s="262"/>
      <c r="AD9" s="262"/>
      <c r="AE9" s="262"/>
      <c r="AF9" s="262"/>
      <c r="AG9" s="262"/>
      <c r="AH9" s="262"/>
      <c r="AI9" s="262"/>
      <c r="AJ9" s="262"/>
      <c r="AK9" s="262"/>
    </row>
    <row r="10" spans="1:37" s="1" customFormat="1" ht="51.75" customHeight="1" x14ac:dyDescent="0.25">
      <c r="A10" s="262"/>
      <c r="B10" s="1589" t="s">
        <v>2040</v>
      </c>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G10" s="262"/>
      <c r="AH10" s="262"/>
      <c r="AI10" s="262"/>
      <c r="AJ10" s="262"/>
      <c r="AK10" s="262"/>
    </row>
    <row r="11" spans="1:37" s="1" customFormat="1"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G11" s="262"/>
      <c r="AH11" s="262"/>
      <c r="AI11" s="262"/>
      <c r="AJ11" s="262"/>
      <c r="AK11" s="262"/>
    </row>
    <row r="12" spans="1:37" s="1" customFormat="1" x14ac:dyDescent="0.25">
      <c r="A12" s="262"/>
      <c r="B12" s="414" t="s">
        <v>11</v>
      </c>
      <c r="C12" s="414"/>
      <c r="D12" s="414"/>
      <c r="E12" s="414"/>
      <c r="F12" s="414"/>
      <c r="G12" s="414"/>
      <c r="H12" s="414"/>
      <c r="I12" s="414"/>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row>
    <row r="13" spans="1:37" s="1" customFormat="1" x14ac:dyDescent="0.25">
      <c r="A13" s="262"/>
      <c r="B13" s="1589" t="s">
        <v>1807</v>
      </c>
      <c r="C13" s="1703"/>
      <c r="D13" s="1703"/>
      <c r="E13" s="1703"/>
      <c r="F13" s="1703"/>
      <c r="G13" s="1703"/>
      <c r="H13" s="1703"/>
      <c r="I13" s="1703"/>
      <c r="J13" s="1703"/>
      <c r="K13" s="1703"/>
      <c r="L13" s="1703"/>
      <c r="M13" s="1703"/>
      <c r="N13" s="1703"/>
      <c r="O13" s="1703"/>
      <c r="P13" s="1703"/>
      <c r="Q13" s="1703"/>
      <c r="R13" s="1703"/>
      <c r="S13" s="1703"/>
      <c r="T13" s="1703"/>
      <c r="U13" s="1703"/>
      <c r="V13" s="1703"/>
      <c r="W13" s="1703"/>
      <c r="X13" s="1703"/>
      <c r="Y13" s="1703"/>
      <c r="Z13" s="1703"/>
      <c r="AA13" s="1703"/>
      <c r="AB13" s="1703"/>
      <c r="AC13" s="1703"/>
      <c r="AD13" s="1703"/>
      <c r="AE13" s="1703"/>
      <c r="AF13" s="1703"/>
      <c r="AG13" s="262"/>
      <c r="AH13" s="262"/>
      <c r="AI13" s="262"/>
      <c r="AJ13" s="262"/>
      <c r="AK13" s="262"/>
    </row>
    <row r="14" spans="1:37" s="1" customFormat="1" x14ac:dyDescent="0.25">
      <c r="A14" s="262"/>
      <c r="B14" s="1589" t="s">
        <v>2038</v>
      </c>
      <c r="C14" s="1703"/>
      <c r="D14" s="1703"/>
      <c r="E14" s="1703"/>
      <c r="F14" s="1703"/>
      <c r="G14" s="1703"/>
      <c r="H14" s="1703"/>
      <c r="I14" s="1703"/>
      <c r="J14" s="1703"/>
      <c r="K14" s="1703"/>
      <c r="L14" s="1703"/>
      <c r="M14" s="1703"/>
      <c r="N14" s="1703"/>
      <c r="O14" s="1703"/>
      <c r="P14" s="1703"/>
      <c r="Q14" s="1703"/>
      <c r="R14" s="1703"/>
      <c r="S14" s="1703"/>
      <c r="T14" s="1703"/>
      <c r="U14" s="1703"/>
      <c r="V14" s="1703"/>
      <c r="W14" s="1703"/>
      <c r="X14" s="1703"/>
      <c r="Y14" s="1703"/>
      <c r="Z14" s="1703"/>
      <c r="AA14" s="1703"/>
      <c r="AB14" s="1703"/>
      <c r="AC14" s="1703"/>
      <c r="AD14" s="1703"/>
      <c r="AE14" s="1703"/>
      <c r="AF14" s="1703"/>
      <c r="AG14" s="262"/>
      <c r="AH14" s="262"/>
      <c r="AI14" s="262"/>
      <c r="AJ14" s="262"/>
      <c r="AK14" s="262"/>
    </row>
    <row r="15" spans="1:37" s="1" customFormat="1" ht="29.25" customHeight="1" x14ac:dyDescent="0.25">
      <c r="A15" s="262"/>
      <c r="B15" s="1589" t="s">
        <v>6568</v>
      </c>
      <c r="C15" s="1589"/>
      <c r="D15" s="1589"/>
      <c r="E15" s="1589"/>
      <c r="F15" s="1589"/>
      <c r="G15" s="1589"/>
      <c r="H15" s="1589"/>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262"/>
      <c r="AH15" s="262"/>
      <c r="AI15" s="262"/>
      <c r="AJ15" s="262"/>
      <c r="AK15" s="262"/>
    </row>
    <row r="16" spans="1:37" s="1" customFormat="1" x14ac:dyDescent="0.25">
      <c r="A16" s="262"/>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row>
    <row r="17" spans="1:37" s="1" customFormat="1" x14ac:dyDescent="0.25">
      <c r="A17" s="262"/>
      <c r="B17" s="414" t="s">
        <v>12</v>
      </c>
      <c r="C17" s="414"/>
      <c r="D17" s="414"/>
      <c r="E17" s="414"/>
      <c r="F17" s="414"/>
      <c r="G17" s="414"/>
      <c r="H17" s="414"/>
      <c r="I17" s="414"/>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row>
    <row r="18" spans="1:37" s="1" customFormat="1" x14ac:dyDescent="0.25">
      <c r="A18" s="262"/>
      <c r="B18" s="1703" t="s">
        <v>3172</v>
      </c>
      <c r="C18" s="1703"/>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3"/>
      <c r="Z18" s="1703"/>
      <c r="AA18" s="1703"/>
      <c r="AB18" s="1703"/>
      <c r="AC18" s="1703"/>
      <c r="AD18" s="1703"/>
      <c r="AE18" s="1703"/>
      <c r="AF18" s="1703"/>
      <c r="AG18" s="262"/>
      <c r="AH18" s="262"/>
      <c r="AI18" s="262"/>
      <c r="AJ18" s="262"/>
      <c r="AK18" s="262"/>
    </row>
    <row r="19" spans="1:37" s="1" customFormat="1" x14ac:dyDescent="0.25">
      <c r="A19" s="262"/>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row>
    <row r="20" spans="1:37" s="1" customFormat="1" x14ac:dyDescent="0.25">
      <c r="A20" s="262"/>
      <c r="B20" s="414" t="s">
        <v>13</v>
      </c>
      <c r="C20" s="414"/>
      <c r="D20" s="414"/>
      <c r="E20" s="414"/>
      <c r="F20" s="414"/>
      <c r="G20" s="414"/>
      <c r="H20" s="414"/>
      <c r="I20" s="414"/>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row>
    <row r="21" spans="1:37" s="1" customFormat="1" ht="63" customHeight="1" x14ac:dyDescent="0.25">
      <c r="A21" s="262"/>
      <c r="B21" s="1173" t="s">
        <v>6569</v>
      </c>
      <c r="C21" s="1173"/>
      <c r="D21" s="1173"/>
      <c r="E21" s="1173"/>
      <c r="F21" s="1173"/>
      <c r="G21" s="1173"/>
      <c r="H21" s="1173"/>
      <c r="I21" s="1173"/>
      <c r="J21" s="1173"/>
      <c r="K21" s="1173"/>
      <c r="L21" s="1173"/>
      <c r="M21" s="1173"/>
      <c r="N21" s="1173"/>
      <c r="O21" s="1173"/>
      <c r="P21" s="1173"/>
      <c r="Q21" s="1173"/>
      <c r="R21" s="1173"/>
      <c r="S21" s="1173"/>
      <c r="T21" s="1173"/>
      <c r="U21" s="1173"/>
      <c r="V21" s="1173"/>
      <c r="W21" s="1173"/>
      <c r="X21" s="1173"/>
      <c r="Y21" s="1173"/>
      <c r="Z21" s="1173"/>
      <c r="AA21" s="1173"/>
      <c r="AB21" s="1173"/>
      <c r="AC21" s="1173"/>
      <c r="AD21" s="1173"/>
      <c r="AE21" s="1173"/>
      <c r="AF21" s="1173"/>
      <c r="AG21" s="262"/>
      <c r="AH21" s="262"/>
      <c r="AI21" s="262"/>
      <c r="AJ21" s="262"/>
      <c r="AK21" s="262"/>
    </row>
    <row r="22" spans="1:37" s="4" customFormat="1" x14ac:dyDescent="0.25">
      <c r="A22" s="263"/>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row>
    <row r="23" spans="1:37" s="4" customFormat="1" x14ac:dyDescent="0.25">
      <c r="A23" s="263"/>
      <c r="B23" s="1589" t="s">
        <v>4612</v>
      </c>
      <c r="C23" s="1589"/>
      <c r="D23" s="1589"/>
      <c r="E23" s="1589"/>
      <c r="F23" s="1589"/>
      <c r="G23" s="1589"/>
      <c r="H23" s="1589"/>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263"/>
      <c r="AH23" s="263"/>
      <c r="AI23" s="263"/>
      <c r="AJ23" s="263"/>
      <c r="AK23" s="263"/>
    </row>
    <row r="24" spans="1:37" s="1" customFormat="1" x14ac:dyDescent="0.25">
      <c r="A24" s="262"/>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row>
    <row r="25" spans="1:37" s="1" customFormat="1" x14ac:dyDescent="0.25">
      <c r="A25" s="262"/>
      <c r="B25" s="414" t="s">
        <v>20</v>
      </c>
      <c r="C25" s="414"/>
      <c r="D25" s="414"/>
      <c r="E25" s="414"/>
      <c r="F25" s="414"/>
      <c r="G25" s="414"/>
      <c r="H25" s="414"/>
      <c r="I25" s="414"/>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row>
    <row r="26" spans="1:37" s="1" customFormat="1" ht="90.75" customHeight="1" x14ac:dyDescent="0.25">
      <c r="A26" s="262"/>
      <c r="B26" s="1173" t="s">
        <v>6589</v>
      </c>
      <c r="C26" s="1173"/>
      <c r="D26" s="1173"/>
      <c r="E26" s="1173"/>
      <c r="F26" s="1173"/>
      <c r="G26" s="1173"/>
      <c r="H26" s="1173"/>
      <c r="I26" s="1173"/>
      <c r="J26" s="1173"/>
      <c r="K26" s="1173"/>
      <c r="L26" s="1173"/>
      <c r="M26" s="1173"/>
      <c r="N26" s="1173"/>
      <c r="O26" s="1173"/>
      <c r="P26" s="1173"/>
      <c r="Q26" s="1173"/>
      <c r="R26" s="1173"/>
      <c r="S26" s="1173"/>
      <c r="T26" s="1173"/>
      <c r="U26" s="1173"/>
      <c r="V26" s="1173"/>
      <c r="W26" s="1173"/>
      <c r="X26" s="1173"/>
      <c r="Y26" s="1173"/>
      <c r="Z26" s="1173"/>
      <c r="AA26" s="1173"/>
      <c r="AB26" s="1173"/>
      <c r="AC26" s="1173"/>
      <c r="AD26" s="1173"/>
      <c r="AE26" s="1173"/>
      <c r="AF26" s="1173"/>
      <c r="AG26" s="262"/>
      <c r="AH26" s="262"/>
      <c r="AI26" s="262"/>
      <c r="AJ26" s="262"/>
      <c r="AK26" s="262"/>
    </row>
    <row r="27" spans="1:37" s="1" customFormat="1" x14ac:dyDescent="0.25">
      <c r="A27" s="262"/>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row>
    <row r="28" spans="1:37" s="1" customFormat="1" x14ac:dyDescent="0.25">
      <c r="A28" s="262"/>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row>
    <row r="29" spans="1:37" s="1" customFormat="1" x14ac:dyDescent="0.25">
      <c r="A29" s="1621" t="s">
        <v>14</v>
      </c>
      <c r="B29" s="1621"/>
      <c r="C29" s="1621"/>
      <c r="D29" s="1621"/>
      <c r="E29" s="1621"/>
      <c r="F29" s="1621"/>
      <c r="G29" s="1621"/>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1"/>
      <c r="AE29" s="1621"/>
      <c r="AF29" s="1621"/>
      <c r="AG29" s="262"/>
      <c r="AH29" s="262"/>
      <c r="AI29" s="262"/>
      <c r="AJ29" s="262"/>
      <c r="AK29" s="262"/>
    </row>
    <row r="30" spans="1:37" ht="14.45" customHeight="1" x14ac:dyDescent="0.25">
      <c r="A30" s="960"/>
      <c r="B30" s="192"/>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row>
    <row r="31" spans="1:37" ht="14.45" customHeight="1" x14ac:dyDescent="0.25">
      <c r="A31" s="960"/>
      <c r="B31" s="519" t="s">
        <v>2042</v>
      </c>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row>
    <row r="32" spans="1:37" ht="14.45" customHeight="1" x14ac:dyDescent="0.25">
      <c r="A32" s="960"/>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row>
    <row r="33" spans="1:37" ht="14.45" customHeight="1" x14ac:dyDescent="0.25">
      <c r="A33" s="960"/>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419" t="s">
        <v>1705</v>
      </c>
      <c r="AG33" s="192"/>
      <c r="AH33" s="192"/>
      <c r="AI33" s="192"/>
      <c r="AJ33" s="192"/>
      <c r="AK33" s="192"/>
    </row>
    <row r="34" spans="1:37" ht="14.45" customHeight="1" x14ac:dyDescent="0.25">
      <c r="A34" s="960"/>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419"/>
      <c r="AG34" s="192"/>
      <c r="AH34" s="192"/>
      <c r="AI34" s="192"/>
      <c r="AJ34" s="192"/>
      <c r="AK34" s="192"/>
    </row>
    <row r="35" spans="1:37" ht="14.45" customHeight="1" x14ac:dyDescent="0.25">
      <c r="A35" s="190"/>
      <c r="B35" s="519" t="s">
        <v>2303</v>
      </c>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262"/>
    </row>
    <row r="36" spans="1:37" ht="14.45" customHeight="1" x14ac:dyDescent="0.25">
      <c r="A36" s="190"/>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row>
    <row r="37" spans="1:37" ht="14.45" customHeight="1" x14ac:dyDescent="0.25">
      <c r="A37" s="190"/>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419" t="s">
        <v>1706</v>
      </c>
      <c r="AG37" s="262"/>
      <c r="AH37" s="262"/>
      <c r="AI37" s="262"/>
      <c r="AJ37" s="262"/>
      <c r="AK37" s="262"/>
    </row>
    <row r="38" spans="1:37" ht="14.45" customHeight="1" x14ac:dyDescent="0.25">
      <c r="A38" s="190"/>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419"/>
      <c r="AG38" s="262"/>
      <c r="AH38" s="262"/>
      <c r="AI38" s="262"/>
      <c r="AJ38" s="262"/>
      <c r="AK38" s="262"/>
    </row>
    <row r="39" spans="1:37" ht="14.45" customHeight="1" x14ac:dyDescent="0.25">
      <c r="A39" s="190"/>
      <c r="B39" s="414" t="s">
        <v>2194</v>
      </c>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row>
    <row r="40" spans="1:37" ht="14.45" customHeight="1" x14ac:dyDescent="0.25">
      <c r="A40" s="190"/>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row>
    <row r="41" spans="1:37" ht="14.45" customHeight="1" x14ac:dyDescent="0.25">
      <c r="A41" s="190"/>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419" t="s">
        <v>1707</v>
      </c>
      <c r="AG41" s="262"/>
      <c r="AH41" s="262"/>
      <c r="AI41" s="262"/>
      <c r="AJ41" s="262"/>
      <c r="AK41" s="262"/>
    </row>
    <row r="42" spans="1:37" ht="14.45" customHeight="1" x14ac:dyDescent="0.25">
      <c r="A42" s="190"/>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419"/>
      <c r="AG42" s="262"/>
      <c r="AH42" s="262"/>
      <c r="AI42" s="262"/>
      <c r="AJ42" s="262"/>
      <c r="AK42" s="262"/>
    </row>
    <row r="43" spans="1:37" s="1" customFormat="1" x14ac:dyDescent="0.25">
      <c r="A43" s="190"/>
      <c r="B43" s="414" t="s">
        <v>3870</v>
      </c>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row>
    <row r="44" spans="1:37" s="1" customFormat="1" x14ac:dyDescent="0.25">
      <c r="A44" s="190"/>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row>
    <row r="45" spans="1:37" s="1" customFormat="1" x14ac:dyDescent="0.25">
      <c r="A45" s="190"/>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419" t="s">
        <v>1756</v>
      </c>
      <c r="AG45" s="262"/>
      <c r="AH45" s="262"/>
      <c r="AI45" s="262"/>
      <c r="AJ45" s="262"/>
      <c r="AK45" s="262"/>
    </row>
    <row r="46" spans="1:37" ht="14.45" customHeight="1" x14ac:dyDescent="0.25">
      <c r="A46" s="960"/>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row>
    <row r="47" spans="1:37" x14ac:dyDescent="0.25">
      <c r="A47" s="192"/>
      <c r="B47" s="339"/>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row>
    <row r="48" spans="1:37" x14ac:dyDescent="0.25">
      <c r="A48" s="1621" t="s">
        <v>15</v>
      </c>
      <c r="B48" s="1621"/>
      <c r="C48" s="1621"/>
      <c r="D48" s="1621"/>
      <c r="E48" s="1621"/>
      <c r="F48" s="1621"/>
      <c r="G48" s="1621"/>
      <c r="H48" s="1621"/>
      <c r="I48" s="1621"/>
      <c r="J48" s="1621"/>
      <c r="K48" s="1621"/>
      <c r="L48" s="1621"/>
      <c r="M48" s="1621"/>
      <c r="N48" s="1621"/>
      <c r="O48" s="1621"/>
      <c r="P48" s="1621"/>
      <c r="Q48" s="1621"/>
      <c r="R48" s="1621"/>
      <c r="S48" s="1621"/>
      <c r="T48" s="1621"/>
      <c r="U48" s="1621"/>
      <c r="V48" s="1621"/>
      <c r="W48" s="1621"/>
      <c r="X48" s="1621"/>
      <c r="Y48" s="1621"/>
      <c r="Z48" s="1621"/>
      <c r="AA48" s="1621"/>
      <c r="AB48" s="1621"/>
      <c r="AC48" s="1621"/>
      <c r="AD48" s="1621"/>
      <c r="AE48" s="1621"/>
      <c r="AF48" s="1621"/>
      <c r="AG48" s="192"/>
      <c r="AH48" s="192"/>
      <c r="AI48" s="192"/>
      <c r="AJ48" s="192"/>
      <c r="AK48" s="192"/>
    </row>
    <row r="49" spans="1:37" x14ac:dyDescent="0.25">
      <c r="A49" s="1735" t="s">
        <v>16</v>
      </c>
      <c r="B49" s="1735"/>
      <c r="C49" s="1735"/>
      <c r="D49" s="1735"/>
      <c r="E49" s="1735" t="s">
        <v>10</v>
      </c>
      <c r="F49" s="1735"/>
      <c r="G49" s="1735"/>
      <c r="H49" s="1735"/>
      <c r="I49" s="1735"/>
      <c r="J49" s="1735"/>
      <c r="K49" s="1735"/>
      <c r="L49" s="1735"/>
      <c r="M49" s="1735"/>
      <c r="N49" s="1735"/>
      <c r="O49" s="1735"/>
      <c r="P49" s="1735"/>
      <c r="Q49" s="1735" t="s">
        <v>17</v>
      </c>
      <c r="R49" s="1735"/>
      <c r="S49" s="1735"/>
      <c r="T49" s="1735"/>
      <c r="U49" s="1735" t="s">
        <v>18</v>
      </c>
      <c r="V49" s="1735"/>
      <c r="W49" s="1735"/>
      <c r="X49" s="1735" t="s">
        <v>1708</v>
      </c>
      <c r="Y49" s="1735"/>
      <c r="Z49" s="1735"/>
      <c r="AA49" s="1735"/>
      <c r="AB49" s="1735"/>
      <c r="AC49" s="1735"/>
      <c r="AD49" s="1735"/>
      <c r="AE49" s="1735"/>
      <c r="AF49" s="1735"/>
      <c r="AG49" s="192"/>
      <c r="AH49" s="192"/>
      <c r="AI49" s="192"/>
      <c r="AJ49" s="192"/>
      <c r="AK49" s="192"/>
    </row>
    <row r="50" spans="1:37" ht="44.25" customHeight="1" x14ac:dyDescent="0.25">
      <c r="A50" s="2529" t="s">
        <v>6590</v>
      </c>
      <c r="B50" s="1132"/>
      <c r="C50" s="1132"/>
      <c r="D50" s="1132"/>
      <c r="E50" s="1133" t="s">
        <v>2043</v>
      </c>
      <c r="F50" s="1133"/>
      <c r="G50" s="1133"/>
      <c r="H50" s="1133"/>
      <c r="I50" s="1133"/>
      <c r="J50" s="1133"/>
      <c r="K50" s="1133"/>
      <c r="L50" s="1133"/>
      <c r="M50" s="1133"/>
      <c r="N50" s="1133"/>
      <c r="O50" s="1133"/>
      <c r="P50" s="1133"/>
      <c r="Q50" s="2528" t="s">
        <v>626</v>
      </c>
      <c r="R50" s="2528"/>
      <c r="S50" s="2528"/>
      <c r="T50" s="2528"/>
      <c r="U50" s="1841" t="s">
        <v>26</v>
      </c>
      <c r="V50" s="1841"/>
      <c r="W50" s="1841"/>
      <c r="X50" s="1715"/>
      <c r="Y50" s="1715"/>
      <c r="Z50" s="1715"/>
      <c r="AA50" s="1715"/>
      <c r="AB50" s="1715"/>
      <c r="AC50" s="1715"/>
      <c r="AD50" s="1715"/>
      <c r="AE50" s="1715"/>
      <c r="AF50" s="1715"/>
      <c r="AG50" s="192"/>
      <c r="AH50" s="192"/>
      <c r="AI50" s="192"/>
      <c r="AJ50" s="192"/>
      <c r="AK50" s="192"/>
    </row>
    <row r="51" spans="1:37" ht="29.1" customHeight="1" x14ac:dyDescent="0.25">
      <c r="A51" s="2529" t="s">
        <v>6591</v>
      </c>
      <c r="B51" s="1132"/>
      <c r="C51" s="1132"/>
      <c r="D51" s="1132"/>
      <c r="E51" s="1133" t="s">
        <v>2044</v>
      </c>
      <c r="F51" s="1133"/>
      <c r="G51" s="1133"/>
      <c r="H51" s="1133"/>
      <c r="I51" s="1133"/>
      <c r="J51" s="1133"/>
      <c r="K51" s="1133"/>
      <c r="L51" s="1133"/>
      <c r="M51" s="1133"/>
      <c r="N51" s="1133"/>
      <c r="O51" s="1133"/>
      <c r="P51" s="1133"/>
      <c r="Q51" s="2528" t="s">
        <v>626</v>
      </c>
      <c r="R51" s="2528"/>
      <c r="S51" s="2528"/>
      <c r="T51" s="2528"/>
      <c r="U51" s="1841" t="s">
        <v>26</v>
      </c>
      <c r="V51" s="1841"/>
      <c r="W51" s="1841"/>
      <c r="X51" s="1715"/>
      <c r="Y51" s="1715"/>
      <c r="Z51" s="1715"/>
      <c r="AA51" s="1715"/>
      <c r="AB51" s="1715"/>
      <c r="AC51" s="1715"/>
      <c r="AD51" s="1715"/>
      <c r="AE51" s="1715"/>
      <c r="AF51" s="1715"/>
      <c r="AG51" s="192"/>
      <c r="AH51" s="192"/>
      <c r="AI51" s="192"/>
      <c r="AJ51" s="192"/>
      <c r="AK51" s="192"/>
    </row>
    <row r="52" spans="1:37" ht="28.5" customHeight="1" x14ac:dyDescent="0.25">
      <c r="A52" s="1132" t="s">
        <v>6592</v>
      </c>
      <c r="B52" s="1132"/>
      <c r="C52" s="1132"/>
      <c r="D52" s="1132"/>
      <c r="E52" s="1133" t="s">
        <v>283</v>
      </c>
      <c r="F52" s="1133"/>
      <c r="G52" s="1133"/>
      <c r="H52" s="1133"/>
      <c r="I52" s="1133"/>
      <c r="J52" s="1133"/>
      <c r="K52" s="1133"/>
      <c r="L52" s="1133"/>
      <c r="M52" s="1133"/>
      <c r="N52" s="1133"/>
      <c r="O52" s="1133"/>
      <c r="P52" s="1133"/>
      <c r="Q52" s="2528" t="s">
        <v>626</v>
      </c>
      <c r="R52" s="2528"/>
      <c r="S52" s="2528"/>
      <c r="T52" s="2528"/>
      <c r="U52" s="1841" t="s">
        <v>28</v>
      </c>
      <c r="V52" s="1841"/>
      <c r="W52" s="1841"/>
      <c r="X52" s="1715" t="s">
        <v>864</v>
      </c>
      <c r="Y52" s="1715"/>
      <c r="Z52" s="1715"/>
      <c r="AA52" s="1715"/>
      <c r="AB52" s="1715"/>
      <c r="AC52" s="1715"/>
      <c r="AD52" s="1715"/>
      <c r="AE52" s="1715"/>
      <c r="AF52" s="1715"/>
      <c r="AG52" s="192"/>
      <c r="AH52" s="192"/>
      <c r="AI52" s="192"/>
      <c r="AJ52" s="192"/>
      <c r="AK52" s="192"/>
    </row>
    <row r="53" spans="1:37" ht="28.5" customHeight="1" x14ac:dyDescent="0.25">
      <c r="A53" s="1132" t="s">
        <v>6593</v>
      </c>
      <c r="B53" s="1132"/>
      <c r="C53" s="1132"/>
      <c r="D53" s="1132"/>
      <c r="E53" s="1133" t="s">
        <v>284</v>
      </c>
      <c r="F53" s="1133"/>
      <c r="G53" s="1133"/>
      <c r="H53" s="1133"/>
      <c r="I53" s="1133"/>
      <c r="J53" s="1133"/>
      <c r="K53" s="1133"/>
      <c r="L53" s="1133"/>
      <c r="M53" s="1133"/>
      <c r="N53" s="1133"/>
      <c r="O53" s="1133"/>
      <c r="P53" s="1133"/>
      <c r="Q53" s="2528" t="s">
        <v>626</v>
      </c>
      <c r="R53" s="2528"/>
      <c r="S53" s="2528"/>
      <c r="T53" s="2528"/>
      <c r="U53" s="1841" t="s">
        <v>28</v>
      </c>
      <c r="V53" s="1841"/>
      <c r="W53" s="1841"/>
      <c r="X53" s="1715" t="s">
        <v>864</v>
      </c>
      <c r="Y53" s="1715"/>
      <c r="Z53" s="1715"/>
      <c r="AA53" s="1715"/>
      <c r="AB53" s="1715"/>
      <c r="AC53" s="1715"/>
      <c r="AD53" s="1715"/>
      <c r="AE53" s="1715"/>
      <c r="AF53" s="1715"/>
      <c r="AG53" s="192"/>
      <c r="AH53" s="192"/>
      <c r="AI53" s="192"/>
      <c r="AJ53" s="192"/>
      <c r="AK53" s="192"/>
    </row>
    <row r="54" spans="1:37" ht="88.5" customHeight="1" x14ac:dyDescent="0.25">
      <c r="A54" s="1132" t="s">
        <v>6594</v>
      </c>
      <c r="B54" s="1132"/>
      <c r="C54" s="1132"/>
      <c r="D54" s="1132"/>
      <c r="E54" s="1133" t="s">
        <v>2045</v>
      </c>
      <c r="F54" s="1133"/>
      <c r="G54" s="1133"/>
      <c r="H54" s="1133"/>
      <c r="I54" s="1133"/>
      <c r="J54" s="1133"/>
      <c r="K54" s="1133"/>
      <c r="L54" s="1133"/>
      <c r="M54" s="1133"/>
      <c r="N54" s="1133"/>
      <c r="O54" s="1133"/>
      <c r="P54" s="1133"/>
      <c r="Q54" s="2528">
        <v>0.34</v>
      </c>
      <c r="R54" s="2528"/>
      <c r="S54" s="2528"/>
      <c r="T54" s="2528"/>
      <c r="U54" s="1841" t="s">
        <v>28</v>
      </c>
      <c r="V54" s="1841"/>
      <c r="W54" s="1841"/>
      <c r="X54" s="1715" t="s">
        <v>6595</v>
      </c>
      <c r="Y54" s="1715"/>
      <c r="Z54" s="1715"/>
      <c r="AA54" s="1715"/>
      <c r="AB54" s="1715"/>
      <c r="AC54" s="1715"/>
      <c r="AD54" s="1715"/>
      <c r="AE54" s="1715"/>
      <c r="AF54" s="1715"/>
      <c r="AG54" s="192"/>
      <c r="AH54" s="192"/>
      <c r="AI54" s="192"/>
      <c r="AJ54" s="192"/>
      <c r="AK54" s="192"/>
    </row>
    <row r="55" spans="1:37" ht="29.1" customHeight="1" x14ac:dyDescent="0.25">
      <c r="A55" s="1132" t="s">
        <v>6596</v>
      </c>
      <c r="B55" s="1132"/>
      <c r="C55" s="1132"/>
      <c r="D55" s="1132"/>
      <c r="E55" s="1133" t="s">
        <v>1049</v>
      </c>
      <c r="F55" s="1133"/>
      <c r="G55" s="1133"/>
      <c r="H55" s="1133"/>
      <c r="I55" s="1133"/>
      <c r="J55" s="1133"/>
      <c r="K55" s="1133"/>
      <c r="L55" s="1133"/>
      <c r="M55" s="1133"/>
      <c r="N55" s="1133"/>
      <c r="O55" s="1133"/>
      <c r="P55" s="1133"/>
      <c r="Q55" s="2528" t="s">
        <v>626</v>
      </c>
      <c r="R55" s="2528"/>
      <c r="S55" s="2528"/>
      <c r="T55" s="2528"/>
      <c r="U55" s="1841" t="s">
        <v>26</v>
      </c>
      <c r="V55" s="1841"/>
      <c r="W55" s="1841"/>
      <c r="X55" s="1715"/>
      <c r="Y55" s="1715"/>
      <c r="Z55" s="1715"/>
      <c r="AA55" s="1715"/>
      <c r="AB55" s="1715"/>
      <c r="AC55" s="1715"/>
      <c r="AD55" s="1715"/>
      <c r="AE55" s="1715"/>
      <c r="AF55" s="1715"/>
      <c r="AG55" s="192"/>
      <c r="AH55" s="192"/>
      <c r="AI55" s="192"/>
      <c r="AJ55" s="192"/>
      <c r="AK55" s="192"/>
    </row>
    <row r="56" spans="1:37" ht="29.1" customHeight="1" x14ac:dyDescent="0.25">
      <c r="A56" s="2522" t="s">
        <v>1760</v>
      </c>
      <c r="B56" s="2523"/>
      <c r="C56" s="2523"/>
      <c r="D56" s="2524"/>
      <c r="E56" s="1494" t="s">
        <v>2031</v>
      </c>
      <c r="F56" s="1495"/>
      <c r="G56" s="1495"/>
      <c r="H56" s="1495"/>
      <c r="I56" s="1495"/>
      <c r="J56" s="1495"/>
      <c r="K56" s="1495"/>
      <c r="L56" s="1495"/>
      <c r="M56" s="1495"/>
      <c r="N56" s="1495"/>
      <c r="O56" s="1495"/>
      <c r="P56" s="1496"/>
      <c r="Q56" s="2525">
        <v>0.98</v>
      </c>
      <c r="R56" s="2526"/>
      <c r="S56" s="2526"/>
      <c r="T56" s="2527"/>
      <c r="U56" s="1841" t="s">
        <v>28</v>
      </c>
      <c r="V56" s="1841"/>
      <c r="W56" s="1841"/>
      <c r="X56" s="1715" t="s">
        <v>1757</v>
      </c>
      <c r="Y56" s="1715"/>
      <c r="Z56" s="1715"/>
      <c r="AA56" s="1715"/>
      <c r="AB56" s="1715"/>
      <c r="AC56" s="1715"/>
      <c r="AD56" s="1715"/>
      <c r="AE56" s="1715"/>
      <c r="AF56" s="1715"/>
      <c r="AG56" s="192"/>
      <c r="AH56" s="192"/>
      <c r="AI56" s="192"/>
      <c r="AJ56" s="192"/>
      <c r="AK56" s="192"/>
    </row>
    <row r="57" spans="1:37" ht="94.5" customHeight="1" x14ac:dyDescent="0.25">
      <c r="A57" s="1577" t="s">
        <v>29</v>
      </c>
      <c r="B57" s="2515"/>
      <c r="C57" s="2515"/>
      <c r="D57" s="2516"/>
      <c r="E57" s="1479" t="s">
        <v>1703</v>
      </c>
      <c r="F57" s="1480"/>
      <c r="G57" s="1480"/>
      <c r="H57" s="1480"/>
      <c r="I57" s="1480"/>
      <c r="J57" s="1480"/>
      <c r="K57" s="1480"/>
      <c r="L57" s="1480"/>
      <c r="M57" s="1480"/>
      <c r="N57" s="1480"/>
      <c r="O57" s="1480"/>
      <c r="P57" s="1481"/>
      <c r="Q57" s="2517" t="s">
        <v>2049</v>
      </c>
      <c r="R57" s="2517"/>
      <c r="S57" s="2517"/>
      <c r="T57" s="2517"/>
      <c r="U57" s="1606" t="s">
        <v>28</v>
      </c>
      <c r="V57" s="1606"/>
      <c r="W57" s="1606"/>
      <c r="X57" s="1517" t="s">
        <v>2951</v>
      </c>
      <c r="Y57" s="1517"/>
      <c r="Z57" s="1517"/>
      <c r="AA57" s="1517"/>
      <c r="AB57" s="1517"/>
      <c r="AC57" s="1517"/>
      <c r="AD57" s="1517"/>
      <c r="AE57" s="1517"/>
      <c r="AF57" s="1517"/>
      <c r="AI57" s="843"/>
    </row>
    <row r="58" spans="1:37" ht="78.75" customHeight="1" x14ac:dyDescent="0.25">
      <c r="A58" s="2521" t="s">
        <v>2046</v>
      </c>
      <c r="B58" s="1134"/>
      <c r="C58" s="1134"/>
      <c r="D58" s="1134"/>
      <c r="E58" s="2489" t="s">
        <v>1769</v>
      </c>
      <c r="F58" s="1135"/>
      <c r="G58" s="1135"/>
      <c r="H58" s="1135"/>
      <c r="I58" s="1135"/>
      <c r="J58" s="1135"/>
      <c r="K58" s="1135"/>
      <c r="L58" s="1135"/>
      <c r="M58" s="1135"/>
      <c r="N58" s="1135"/>
      <c r="O58" s="1135"/>
      <c r="P58" s="1135"/>
      <c r="Q58" s="2517" t="s">
        <v>2048</v>
      </c>
      <c r="R58" s="2517"/>
      <c r="S58" s="2517"/>
      <c r="T58" s="2517"/>
      <c r="U58" s="1606" t="s">
        <v>28</v>
      </c>
      <c r="V58" s="1606"/>
      <c r="W58" s="1606"/>
      <c r="X58" s="1715" t="s">
        <v>5695</v>
      </c>
      <c r="Y58" s="1715"/>
      <c r="Z58" s="1715"/>
      <c r="AA58" s="1715"/>
      <c r="AB58" s="1715"/>
      <c r="AC58" s="1715"/>
      <c r="AD58" s="1715"/>
      <c r="AE58" s="1715"/>
      <c r="AF58" s="1715"/>
      <c r="AI58" s="843"/>
    </row>
    <row r="59" spans="1:37" ht="79.5" customHeight="1" x14ac:dyDescent="0.25">
      <c r="A59" s="2521" t="s">
        <v>2047</v>
      </c>
      <c r="B59" s="1134"/>
      <c r="C59" s="1134"/>
      <c r="D59" s="1134"/>
      <c r="E59" s="2489" t="s">
        <v>1768</v>
      </c>
      <c r="F59" s="1135"/>
      <c r="G59" s="1135"/>
      <c r="H59" s="1135"/>
      <c r="I59" s="1135"/>
      <c r="J59" s="1135"/>
      <c r="K59" s="1135"/>
      <c r="L59" s="1135"/>
      <c r="M59" s="1135"/>
      <c r="N59" s="1135"/>
      <c r="O59" s="1135"/>
      <c r="P59" s="1135"/>
      <c r="Q59" s="2517" t="s">
        <v>2048</v>
      </c>
      <c r="R59" s="2517"/>
      <c r="S59" s="2517"/>
      <c r="T59" s="2517"/>
      <c r="U59" s="1606" t="s">
        <v>28</v>
      </c>
      <c r="V59" s="1606"/>
      <c r="W59" s="1606"/>
      <c r="X59" s="1715" t="s">
        <v>5695</v>
      </c>
      <c r="Y59" s="1715"/>
      <c r="Z59" s="1715"/>
      <c r="AA59" s="1715"/>
      <c r="AB59" s="1715"/>
      <c r="AC59" s="1715"/>
      <c r="AD59" s="1715"/>
      <c r="AE59" s="1715"/>
      <c r="AF59" s="1715"/>
      <c r="AI59" s="843"/>
    </row>
    <row r="60" spans="1:37" ht="78" customHeight="1" x14ac:dyDescent="0.25">
      <c r="A60" s="1577" t="s">
        <v>2050</v>
      </c>
      <c r="B60" s="2515"/>
      <c r="C60" s="2515"/>
      <c r="D60" s="2516"/>
      <c r="E60" s="1479" t="s">
        <v>1817</v>
      </c>
      <c r="F60" s="1480"/>
      <c r="G60" s="1480"/>
      <c r="H60" s="1480"/>
      <c r="I60" s="1480"/>
      <c r="J60" s="1480"/>
      <c r="K60" s="1480"/>
      <c r="L60" s="1480"/>
      <c r="M60" s="1480"/>
      <c r="N60" s="1480"/>
      <c r="O60" s="1480"/>
      <c r="P60" s="1481"/>
      <c r="Q60" s="2517" t="s">
        <v>2051</v>
      </c>
      <c r="R60" s="2517"/>
      <c r="S60" s="2517"/>
      <c r="T60" s="2517"/>
      <c r="U60" s="1606" t="s">
        <v>1818</v>
      </c>
      <c r="V60" s="1606"/>
      <c r="W60" s="1606"/>
      <c r="X60" s="1517" t="s">
        <v>2061</v>
      </c>
      <c r="Y60" s="1517"/>
      <c r="Z60" s="1517"/>
      <c r="AA60" s="1517"/>
      <c r="AB60" s="1517"/>
      <c r="AC60" s="1517"/>
      <c r="AD60" s="1517"/>
      <c r="AE60" s="1517"/>
      <c r="AF60" s="1517"/>
      <c r="AI60" s="843"/>
    </row>
    <row r="61" spans="1:37" ht="29.1" customHeight="1" x14ac:dyDescent="0.25">
      <c r="A61" s="1485" t="s">
        <v>42</v>
      </c>
      <c r="B61" s="1486"/>
      <c r="C61" s="1486"/>
      <c r="D61" s="1487"/>
      <c r="E61" s="1479" t="s">
        <v>865</v>
      </c>
      <c r="F61" s="1480"/>
      <c r="G61" s="1480"/>
      <c r="H61" s="1480"/>
      <c r="I61" s="1480"/>
      <c r="J61" s="1480"/>
      <c r="K61" s="1480"/>
      <c r="L61" s="1480"/>
      <c r="M61" s="1480"/>
      <c r="N61" s="1480"/>
      <c r="O61" s="1480"/>
      <c r="P61" s="1481"/>
      <c r="Q61" s="2518">
        <v>1</v>
      </c>
      <c r="R61" s="2519"/>
      <c r="S61" s="2519"/>
      <c r="T61" s="2520"/>
      <c r="U61" s="1574" t="s">
        <v>28</v>
      </c>
      <c r="V61" s="1575"/>
      <c r="W61" s="1576"/>
      <c r="X61" s="2121" t="s">
        <v>2063</v>
      </c>
      <c r="Y61" s="2122"/>
      <c r="Z61" s="2122"/>
      <c r="AA61" s="2122"/>
      <c r="AB61" s="2122"/>
      <c r="AC61" s="2122"/>
      <c r="AD61" s="2122"/>
      <c r="AE61" s="2122"/>
      <c r="AF61" s="2123"/>
    </row>
    <row r="62" spans="1:37" ht="78" customHeight="1" x14ac:dyDescent="0.25">
      <c r="A62" s="1134" t="s">
        <v>2052</v>
      </c>
      <c r="B62" s="1134"/>
      <c r="C62" s="1134"/>
      <c r="D62" s="1134"/>
      <c r="E62" s="1135" t="s">
        <v>1829</v>
      </c>
      <c r="F62" s="1135"/>
      <c r="G62" s="1135"/>
      <c r="H62" s="1135"/>
      <c r="I62" s="1135"/>
      <c r="J62" s="1135"/>
      <c r="K62" s="1135"/>
      <c r="L62" s="1135"/>
      <c r="M62" s="1135"/>
      <c r="N62" s="1135"/>
      <c r="O62" s="1135"/>
      <c r="P62" s="1135"/>
      <c r="Q62" s="2517" t="s">
        <v>2053</v>
      </c>
      <c r="R62" s="2517"/>
      <c r="S62" s="2517"/>
      <c r="T62" s="2517"/>
      <c r="U62" s="1606" t="s">
        <v>46</v>
      </c>
      <c r="V62" s="1606"/>
      <c r="W62" s="1606"/>
      <c r="X62" s="2121" t="s">
        <v>2062</v>
      </c>
      <c r="Y62" s="2122"/>
      <c r="Z62" s="2122"/>
      <c r="AA62" s="2122"/>
      <c r="AB62" s="2122"/>
      <c r="AC62" s="2122"/>
      <c r="AD62" s="2122"/>
      <c r="AE62" s="2122"/>
      <c r="AF62" s="2123"/>
      <c r="AI62" s="843"/>
    </row>
    <row r="63" spans="1:37" ht="45.75" customHeight="1" x14ac:dyDescent="0.25">
      <c r="A63" s="2288" t="s">
        <v>6574</v>
      </c>
      <c r="B63" s="2288"/>
      <c r="C63" s="2288"/>
      <c r="D63" s="2288"/>
      <c r="E63" s="2288"/>
      <c r="F63" s="2288"/>
      <c r="G63" s="2288"/>
      <c r="H63" s="2288"/>
      <c r="I63" s="2288"/>
      <c r="J63" s="2288"/>
      <c r="K63" s="2288"/>
      <c r="L63" s="2288"/>
      <c r="M63" s="2288"/>
      <c r="N63" s="2288"/>
      <c r="O63" s="2288"/>
      <c r="P63" s="2288"/>
      <c r="Q63" s="2288"/>
      <c r="R63" s="2288"/>
      <c r="S63" s="2288"/>
      <c r="T63" s="2288"/>
      <c r="U63" s="2288"/>
      <c r="V63" s="2288"/>
      <c r="W63" s="2288"/>
      <c r="X63" s="2288"/>
      <c r="Y63" s="2288"/>
      <c r="Z63" s="2288"/>
      <c r="AA63" s="2288"/>
      <c r="AB63" s="2288"/>
      <c r="AC63" s="2288"/>
      <c r="AD63" s="2288"/>
      <c r="AE63" s="2288"/>
      <c r="AF63" s="2288"/>
      <c r="AG63" s="192"/>
      <c r="AH63" s="192"/>
      <c r="AI63" s="192"/>
      <c r="AJ63" s="192"/>
      <c r="AK63" s="192"/>
    </row>
    <row r="64" spans="1:37" ht="30.75" customHeight="1" x14ac:dyDescent="0.25">
      <c r="A64" s="1686" t="s">
        <v>6575</v>
      </c>
      <c r="B64" s="1686"/>
      <c r="C64" s="1686"/>
      <c r="D64" s="1686"/>
      <c r="E64" s="1686"/>
      <c r="F64" s="1686"/>
      <c r="G64" s="1686"/>
      <c r="H64" s="1686"/>
      <c r="I64" s="1686"/>
      <c r="J64" s="1686"/>
      <c r="K64" s="1686"/>
      <c r="L64" s="1686"/>
      <c r="M64" s="1686"/>
      <c r="N64" s="1686"/>
      <c r="O64" s="1686"/>
      <c r="P64" s="1686"/>
      <c r="Q64" s="1686"/>
      <c r="R64" s="1686"/>
      <c r="S64" s="1686"/>
      <c r="T64" s="1686"/>
      <c r="U64" s="1686"/>
      <c r="V64" s="1686"/>
      <c r="W64" s="1686"/>
      <c r="X64" s="1686"/>
      <c r="Y64" s="1686"/>
      <c r="Z64" s="1686"/>
      <c r="AA64" s="1686"/>
      <c r="AB64" s="1686"/>
      <c r="AC64" s="1686"/>
      <c r="AD64" s="1686"/>
      <c r="AE64" s="1686"/>
      <c r="AF64" s="1686"/>
      <c r="AG64" s="192"/>
      <c r="AH64" s="192"/>
      <c r="AI64" s="192"/>
      <c r="AJ64" s="192"/>
      <c r="AK64" s="192"/>
    </row>
    <row r="65" spans="1:37" ht="33.75" customHeight="1" x14ac:dyDescent="0.25">
      <c r="A65" s="1686" t="s">
        <v>6576</v>
      </c>
      <c r="B65" s="1686"/>
      <c r="C65" s="1686"/>
      <c r="D65" s="1686"/>
      <c r="E65" s="1686"/>
      <c r="F65" s="1686"/>
      <c r="G65" s="1686"/>
      <c r="H65" s="1686"/>
      <c r="I65" s="1686"/>
      <c r="J65" s="1686"/>
      <c r="K65" s="1686"/>
      <c r="L65" s="1686"/>
      <c r="M65" s="1686"/>
      <c r="N65" s="1686"/>
      <c r="O65" s="1686"/>
      <c r="P65" s="1686"/>
      <c r="Q65" s="1686"/>
      <c r="R65" s="1686"/>
      <c r="S65" s="1686"/>
      <c r="T65" s="1686"/>
      <c r="U65" s="1686"/>
      <c r="V65" s="1686"/>
      <c r="W65" s="1686"/>
      <c r="X65" s="1686"/>
      <c r="Y65" s="1686"/>
      <c r="Z65" s="1686"/>
      <c r="AA65" s="1686"/>
      <c r="AB65" s="1686"/>
      <c r="AC65" s="1686"/>
      <c r="AD65" s="1686"/>
      <c r="AE65" s="1686"/>
      <c r="AF65" s="1686"/>
      <c r="AG65" s="192"/>
      <c r="AH65" s="192"/>
      <c r="AI65" s="192"/>
      <c r="AJ65" s="192"/>
      <c r="AK65" s="192"/>
    </row>
    <row r="66" spans="1:37" ht="20.25" customHeight="1" x14ac:dyDescent="0.25">
      <c r="A66" s="1686" t="s">
        <v>6577</v>
      </c>
      <c r="B66" s="1686"/>
      <c r="C66" s="1686"/>
      <c r="D66" s="1686"/>
      <c r="E66" s="1686"/>
      <c r="F66" s="1686"/>
      <c r="G66" s="1686"/>
      <c r="H66" s="1686"/>
      <c r="I66" s="1686"/>
      <c r="J66" s="1686"/>
      <c r="K66" s="1686"/>
      <c r="L66" s="1686"/>
      <c r="M66" s="1686"/>
      <c r="N66" s="1686"/>
      <c r="O66" s="1686"/>
      <c r="P66" s="1686"/>
      <c r="Q66" s="1686"/>
      <c r="R66" s="1686"/>
      <c r="S66" s="1686"/>
      <c r="T66" s="1686"/>
      <c r="U66" s="1686"/>
      <c r="V66" s="1686"/>
      <c r="W66" s="1686"/>
      <c r="X66" s="1686"/>
      <c r="Y66" s="1686"/>
      <c r="Z66" s="1686"/>
      <c r="AA66" s="1686"/>
      <c r="AB66" s="1686"/>
      <c r="AC66" s="1686"/>
      <c r="AD66" s="1686"/>
      <c r="AE66" s="1686"/>
      <c r="AF66" s="1686"/>
      <c r="AG66" s="192"/>
      <c r="AH66" s="192"/>
      <c r="AI66" s="192"/>
      <c r="AJ66" s="192"/>
      <c r="AK66" s="192"/>
    </row>
    <row r="67" spans="1:37" ht="20.25" customHeight="1" x14ac:dyDescent="0.25">
      <c r="A67" s="1686" t="s">
        <v>6578</v>
      </c>
      <c r="B67" s="1686"/>
      <c r="C67" s="1686"/>
      <c r="D67" s="1686"/>
      <c r="E67" s="1686"/>
      <c r="F67" s="1686"/>
      <c r="G67" s="1686"/>
      <c r="H67" s="1686"/>
      <c r="I67" s="1686"/>
      <c r="J67" s="1686"/>
      <c r="K67" s="1686"/>
      <c r="L67" s="1686"/>
      <c r="M67" s="1686"/>
      <c r="N67" s="1686"/>
      <c r="O67" s="1686"/>
      <c r="P67" s="1686"/>
      <c r="Q67" s="1686"/>
      <c r="R67" s="1686"/>
      <c r="S67" s="1686"/>
      <c r="T67" s="1686"/>
      <c r="U67" s="1686"/>
      <c r="V67" s="1686"/>
      <c r="W67" s="1686"/>
      <c r="X67" s="1686"/>
      <c r="Y67" s="1686"/>
      <c r="Z67" s="1686"/>
      <c r="AA67" s="1686"/>
      <c r="AB67" s="1686"/>
      <c r="AC67" s="1686"/>
      <c r="AD67" s="1686"/>
      <c r="AE67" s="1686"/>
      <c r="AF67" s="1686"/>
      <c r="AG67" s="192"/>
      <c r="AH67" s="192"/>
      <c r="AI67" s="192"/>
      <c r="AJ67" s="192"/>
      <c r="AK67" s="192"/>
    </row>
    <row r="68" spans="1:37" x14ac:dyDescent="0.25">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row>
    <row r="69" spans="1:37" x14ac:dyDescent="0.25">
      <c r="A69" s="190" t="s">
        <v>258</v>
      </c>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8"/>
      <c r="Z69" s="192"/>
      <c r="AA69" s="192"/>
      <c r="AB69" s="192"/>
      <c r="AC69" s="192"/>
      <c r="AD69" s="192"/>
      <c r="AE69" s="192"/>
      <c r="AF69" s="192"/>
      <c r="AG69" s="192"/>
      <c r="AH69" s="192"/>
      <c r="AI69" s="192"/>
      <c r="AJ69" s="192"/>
      <c r="AK69" s="192"/>
    </row>
    <row r="70" spans="1:37" ht="28.9" customHeight="1" x14ac:dyDescent="0.25">
      <c r="A70" s="2349" t="s">
        <v>259</v>
      </c>
      <c r="B70" s="2349"/>
      <c r="C70" s="2349"/>
      <c r="D70" s="2349"/>
      <c r="E70" s="2349"/>
      <c r="F70" s="2349"/>
      <c r="G70" s="2349" t="s">
        <v>6579</v>
      </c>
      <c r="H70" s="2349"/>
      <c r="I70" s="2349"/>
      <c r="J70" s="2349" t="s">
        <v>6580</v>
      </c>
      <c r="K70" s="2349"/>
      <c r="L70" s="2349"/>
      <c r="M70" s="2349" t="s">
        <v>6581</v>
      </c>
      <c r="N70" s="2349"/>
      <c r="O70" s="2349"/>
      <c r="P70" s="2359" t="s">
        <v>6582</v>
      </c>
      <c r="Q70" s="2359"/>
      <c r="R70" s="2359"/>
      <c r="S70" s="2359" t="s">
        <v>6583</v>
      </c>
      <c r="T70" s="2359"/>
      <c r="U70" s="2359"/>
      <c r="V70" s="2349" t="s">
        <v>19</v>
      </c>
      <c r="W70" s="2349"/>
      <c r="X70" s="2349"/>
      <c r="Y70" s="2349"/>
      <c r="Z70" s="2349"/>
      <c r="AA70" s="2349"/>
      <c r="AB70" s="2349"/>
      <c r="AC70" s="2349"/>
      <c r="AD70" s="192"/>
      <c r="AE70" s="192"/>
      <c r="AF70" s="192"/>
      <c r="AG70" s="192"/>
      <c r="AH70" s="192"/>
      <c r="AI70" s="192"/>
      <c r="AJ70" s="192"/>
      <c r="AK70" s="192"/>
    </row>
    <row r="71" spans="1:37" ht="58.5" customHeight="1" x14ac:dyDescent="0.25">
      <c r="A71" s="2262" t="s">
        <v>862</v>
      </c>
      <c r="B71" s="2262"/>
      <c r="C71" s="2262"/>
      <c r="D71" s="2262"/>
      <c r="E71" s="2262"/>
      <c r="F71" s="2262"/>
      <c r="G71" s="2380">
        <v>2.3839999999999997E-2</v>
      </c>
      <c r="H71" s="2380"/>
      <c r="I71" s="2380"/>
      <c r="J71" s="2380">
        <v>1.005E-2</v>
      </c>
      <c r="K71" s="2380"/>
      <c r="L71" s="2380"/>
      <c r="M71" s="2511">
        <v>0.12</v>
      </c>
      <c r="N71" s="2511"/>
      <c r="O71" s="2511"/>
      <c r="P71" s="2512">
        <f t="shared" ref="P71:P76" si="0">1-M71</f>
        <v>0.88</v>
      </c>
      <c r="Q71" s="2512"/>
      <c r="R71" s="2512"/>
      <c r="S71" s="2380">
        <f>J71*M71*(1-$Q$54)+J71*P71</f>
        <v>9.6399599999999995E-3</v>
      </c>
      <c r="T71" s="2380"/>
      <c r="U71" s="2380"/>
      <c r="V71" s="2263" t="s">
        <v>2054</v>
      </c>
      <c r="W71" s="2263"/>
      <c r="X71" s="2263"/>
      <c r="Y71" s="2263"/>
      <c r="Z71" s="2263"/>
      <c r="AA71" s="2263"/>
      <c r="AB71" s="2263"/>
      <c r="AC71" s="2263"/>
      <c r="AD71" s="192"/>
      <c r="AE71" s="192"/>
      <c r="AF71" s="192"/>
      <c r="AG71" s="192"/>
      <c r="AH71" s="192"/>
      <c r="AI71" s="192"/>
      <c r="AJ71" s="192"/>
      <c r="AK71" s="192"/>
    </row>
    <row r="72" spans="1:37" ht="39.75" customHeight="1" x14ac:dyDescent="0.25">
      <c r="A72" s="2262" t="s">
        <v>863</v>
      </c>
      <c r="B72" s="2262"/>
      <c r="C72" s="2262"/>
      <c r="D72" s="2262"/>
      <c r="E72" s="2262"/>
      <c r="F72" s="2262"/>
      <c r="G72" s="2380">
        <v>2.5999999999999999E-2</v>
      </c>
      <c r="H72" s="2380"/>
      <c r="I72" s="2380"/>
      <c r="J72" s="2380">
        <v>8.9999999999999993E-3</v>
      </c>
      <c r="K72" s="2380"/>
      <c r="L72" s="2380"/>
      <c r="M72" s="2511">
        <v>0.12</v>
      </c>
      <c r="N72" s="2511"/>
      <c r="O72" s="2511"/>
      <c r="P72" s="2512">
        <f t="shared" si="0"/>
        <v>0.88</v>
      </c>
      <c r="Q72" s="2512"/>
      <c r="R72" s="2512"/>
      <c r="S72" s="2380">
        <f t="shared" ref="S72:S75" si="1">J72*M72*(1-$Q$54)+J72*P72</f>
        <v>8.6327999999999995E-3</v>
      </c>
      <c r="T72" s="2380"/>
      <c r="U72" s="2380"/>
      <c r="V72" s="2263" t="s">
        <v>2055</v>
      </c>
      <c r="W72" s="2263"/>
      <c r="X72" s="2263"/>
      <c r="Y72" s="2263"/>
      <c r="Z72" s="2263"/>
      <c r="AA72" s="2263"/>
      <c r="AB72" s="2263"/>
      <c r="AC72" s="2263"/>
      <c r="AD72" s="192"/>
      <c r="AE72" s="192"/>
      <c r="AF72" s="192"/>
      <c r="AG72" s="192"/>
      <c r="AH72" s="192"/>
      <c r="AI72" s="192"/>
      <c r="AJ72" s="192"/>
      <c r="AK72" s="192"/>
    </row>
    <row r="73" spans="1:37" ht="72" customHeight="1" x14ac:dyDescent="0.25">
      <c r="A73" s="2262" t="s">
        <v>268</v>
      </c>
      <c r="B73" s="2262"/>
      <c r="C73" s="2262"/>
      <c r="D73" s="2262"/>
      <c r="E73" s="2262"/>
      <c r="F73" s="2262"/>
      <c r="G73" s="2380">
        <v>1.0999999999999999E-2</v>
      </c>
      <c r="H73" s="2380"/>
      <c r="I73" s="2380"/>
      <c r="J73" s="2380">
        <v>6.4999999999999997E-3</v>
      </c>
      <c r="K73" s="2380"/>
      <c r="L73" s="2380"/>
      <c r="M73" s="2511">
        <v>0.66</v>
      </c>
      <c r="N73" s="2511"/>
      <c r="O73" s="2511"/>
      <c r="P73" s="2512">
        <f t="shared" si="0"/>
        <v>0.33999999999999997</v>
      </c>
      <c r="Q73" s="2512"/>
      <c r="R73" s="2512"/>
      <c r="S73" s="2380">
        <f t="shared" si="1"/>
        <v>5.0413999999999997E-3</v>
      </c>
      <c r="T73" s="2380"/>
      <c r="U73" s="2380"/>
      <c r="V73" s="2263" t="s">
        <v>6584</v>
      </c>
      <c r="W73" s="2263"/>
      <c r="X73" s="2263"/>
      <c r="Y73" s="2263"/>
      <c r="Z73" s="2263"/>
      <c r="AA73" s="2263"/>
      <c r="AB73" s="2263"/>
      <c r="AC73" s="2263"/>
      <c r="AD73" s="192"/>
      <c r="AE73" s="192"/>
      <c r="AF73" s="192"/>
      <c r="AG73" s="192"/>
      <c r="AH73" s="192"/>
      <c r="AI73" s="192"/>
      <c r="AJ73" s="192"/>
      <c r="AK73" s="192"/>
    </row>
    <row r="74" spans="1:37" ht="72" customHeight="1" x14ac:dyDescent="0.25">
      <c r="A74" s="2262" t="s">
        <v>269</v>
      </c>
      <c r="B74" s="2262"/>
      <c r="C74" s="2262"/>
      <c r="D74" s="2262"/>
      <c r="E74" s="2262"/>
      <c r="F74" s="2262"/>
      <c r="G74" s="2380">
        <v>1.2E-2</v>
      </c>
      <c r="H74" s="2380"/>
      <c r="I74" s="2380"/>
      <c r="J74" s="2380">
        <v>7.0000000000000001E-3</v>
      </c>
      <c r="K74" s="2380"/>
      <c r="L74" s="2380"/>
      <c r="M74" s="2511">
        <v>0.08</v>
      </c>
      <c r="N74" s="2511"/>
      <c r="O74" s="2511"/>
      <c r="P74" s="2512">
        <f t="shared" si="0"/>
        <v>0.92</v>
      </c>
      <c r="Q74" s="2512"/>
      <c r="R74" s="2512"/>
      <c r="S74" s="2380">
        <f t="shared" si="1"/>
        <v>6.8096000000000007E-3</v>
      </c>
      <c r="T74" s="2380"/>
      <c r="U74" s="2380"/>
      <c r="V74" s="2263" t="s">
        <v>6584</v>
      </c>
      <c r="W74" s="2263"/>
      <c r="X74" s="2263"/>
      <c r="Y74" s="2263"/>
      <c r="Z74" s="2263"/>
      <c r="AA74" s="2263"/>
      <c r="AB74" s="2263"/>
      <c r="AC74" s="2263"/>
      <c r="AD74" s="192"/>
      <c r="AE74" s="192"/>
      <c r="AF74" s="192"/>
      <c r="AG74" s="192"/>
      <c r="AH74" s="192"/>
      <c r="AI74" s="192"/>
      <c r="AJ74" s="192"/>
      <c r="AK74" s="192"/>
    </row>
    <row r="75" spans="1:37" ht="72" customHeight="1" x14ac:dyDescent="0.25">
      <c r="A75" s="2262" t="s">
        <v>270</v>
      </c>
      <c r="B75" s="2262"/>
      <c r="C75" s="2262"/>
      <c r="D75" s="2262"/>
      <c r="E75" s="2262"/>
      <c r="F75" s="2262"/>
      <c r="G75" s="2380">
        <v>0.02</v>
      </c>
      <c r="H75" s="2380"/>
      <c r="I75" s="2380"/>
      <c r="J75" s="2380">
        <v>1.2999999999999999E-2</v>
      </c>
      <c r="K75" s="2380"/>
      <c r="L75" s="2380"/>
      <c r="M75" s="2511">
        <v>0.27</v>
      </c>
      <c r="N75" s="2511"/>
      <c r="O75" s="2511"/>
      <c r="P75" s="2512">
        <f t="shared" si="0"/>
        <v>0.73</v>
      </c>
      <c r="Q75" s="2512"/>
      <c r="R75" s="2512"/>
      <c r="S75" s="2380">
        <f t="shared" si="1"/>
        <v>1.18066E-2</v>
      </c>
      <c r="T75" s="2380"/>
      <c r="U75" s="2380"/>
      <c r="V75" s="2263" t="s">
        <v>6584</v>
      </c>
      <c r="W75" s="2263"/>
      <c r="X75" s="2263"/>
      <c r="Y75" s="2263"/>
      <c r="Z75" s="2263"/>
      <c r="AA75" s="2263"/>
      <c r="AB75" s="2263"/>
      <c r="AC75" s="2263"/>
      <c r="AD75" s="192"/>
      <c r="AE75" s="192"/>
      <c r="AF75" s="192"/>
      <c r="AG75" s="192"/>
      <c r="AH75" s="192"/>
      <c r="AI75" s="192"/>
      <c r="AJ75" s="192"/>
      <c r="AK75" s="192"/>
    </row>
    <row r="76" spans="1:37" ht="72" customHeight="1" x14ac:dyDescent="0.25">
      <c r="A76" s="2262" t="s">
        <v>271</v>
      </c>
      <c r="B76" s="2262"/>
      <c r="C76" s="2262"/>
      <c r="D76" s="2262"/>
      <c r="E76" s="2262"/>
      <c r="F76" s="2262"/>
      <c r="G76" s="2380">
        <v>2.4E-2</v>
      </c>
      <c r="H76" s="2380"/>
      <c r="I76" s="2380"/>
      <c r="J76" s="2380">
        <v>1.4999999999999999E-2</v>
      </c>
      <c r="K76" s="2380"/>
      <c r="L76" s="2380"/>
      <c r="M76" s="2511">
        <v>0.39</v>
      </c>
      <c r="N76" s="2511"/>
      <c r="O76" s="2511"/>
      <c r="P76" s="2512">
        <f t="shared" si="0"/>
        <v>0.61</v>
      </c>
      <c r="Q76" s="2512"/>
      <c r="R76" s="2512"/>
      <c r="S76" s="2380">
        <f>J76*M76*(1-$Q$54)+J76*P76</f>
        <v>1.3011E-2</v>
      </c>
      <c r="T76" s="2380"/>
      <c r="U76" s="2380"/>
      <c r="V76" s="2263" t="s">
        <v>6584</v>
      </c>
      <c r="W76" s="2263"/>
      <c r="X76" s="2263"/>
      <c r="Y76" s="2263"/>
      <c r="Z76" s="2263"/>
      <c r="AA76" s="2263"/>
      <c r="AB76" s="2263"/>
      <c r="AC76" s="2263"/>
      <c r="AD76" s="192"/>
      <c r="AE76" s="192"/>
      <c r="AF76" s="192"/>
      <c r="AG76" s="192"/>
      <c r="AH76" s="192"/>
      <c r="AI76" s="192"/>
      <c r="AJ76" s="192"/>
      <c r="AK76" s="192"/>
    </row>
    <row r="77" spans="1:37" x14ac:dyDescent="0.25">
      <c r="A77" s="192"/>
      <c r="B77" s="955"/>
      <c r="C77" s="955"/>
      <c r="D77" s="955"/>
      <c r="E77" s="955"/>
      <c r="F77" s="955"/>
      <c r="G77" s="955"/>
      <c r="H77" s="955"/>
      <c r="I77" s="955"/>
      <c r="J77" s="955"/>
      <c r="K77" s="955"/>
      <c r="L77" s="955"/>
      <c r="M77" s="955"/>
      <c r="N77" s="955"/>
      <c r="O77" s="955"/>
      <c r="P77" s="955"/>
      <c r="Q77" s="955"/>
      <c r="R77" s="955"/>
      <c r="S77" s="955"/>
      <c r="T77" s="955"/>
      <c r="U77" s="955"/>
      <c r="V77" s="955"/>
      <c r="W77" s="955"/>
      <c r="X77" s="955"/>
      <c r="Y77" s="955"/>
      <c r="Z77" s="955"/>
      <c r="AA77" s="955"/>
      <c r="AB77" s="955"/>
      <c r="AC77" s="955"/>
      <c r="AD77" s="955"/>
      <c r="AE77" s="955"/>
      <c r="AF77" s="955"/>
      <c r="AG77" s="192"/>
      <c r="AH77" s="192"/>
      <c r="AI77" s="192"/>
      <c r="AJ77" s="192"/>
      <c r="AK77" s="192"/>
    </row>
    <row r="78" spans="1:37" x14ac:dyDescent="0.25">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row>
    <row r="79" spans="1:37" s="1" customFormat="1" x14ac:dyDescent="0.25">
      <c r="A79" s="1621" t="s">
        <v>6585</v>
      </c>
      <c r="B79" s="1621"/>
      <c r="C79" s="1621"/>
      <c r="D79" s="1621"/>
      <c r="E79" s="1621"/>
      <c r="F79" s="1621"/>
      <c r="G79" s="1621"/>
      <c r="H79" s="1621"/>
      <c r="I79" s="1621"/>
      <c r="J79" s="1621"/>
      <c r="K79" s="1621"/>
      <c r="L79" s="1621"/>
      <c r="M79" s="1621"/>
      <c r="N79" s="1621"/>
      <c r="O79" s="1621"/>
      <c r="P79" s="1621"/>
      <c r="Q79" s="1621"/>
      <c r="R79" s="1621"/>
      <c r="S79" s="1621"/>
      <c r="T79" s="1621"/>
      <c r="U79" s="1621"/>
      <c r="V79" s="1621"/>
      <c r="W79" s="1621"/>
      <c r="X79" s="1621"/>
      <c r="Y79" s="1621"/>
      <c r="Z79" s="1621"/>
      <c r="AA79" s="1621"/>
      <c r="AB79" s="1621"/>
      <c r="AC79" s="1621"/>
      <c r="AD79" s="1621"/>
      <c r="AE79" s="1621"/>
      <c r="AF79" s="1621"/>
      <c r="AG79" s="262"/>
      <c r="AH79" s="262"/>
      <c r="AI79" s="262"/>
      <c r="AJ79" s="262"/>
      <c r="AK79" s="262"/>
    </row>
    <row r="80" spans="1:37" s="1" customFormat="1" x14ac:dyDescent="0.25">
      <c r="A80" s="190"/>
      <c r="B80" s="190"/>
      <c r="C80" s="190"/>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262"/>
      <c r="AH80" s="262"/>
      <c r="AI80" s="262"/>
      <c r="AJ80" s="262"/>
      <c r="AK80" s="262"/>
    </row>
    <row r="81" spans="1:37" s="1" customFormat="1" x14ac:dyDescent="0.25">
      <c r="A81" s="192" t="s">
        <v>6570</v>
      </c>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262"/>
      <c r="AH81" s="262"/>
      <c r="AI81" s="338"/>
      <c r="AJ81" s="262"/>
      <c r="AK81" s="262"/>
    </row>
    <row r="82" spans="1:37" s="1" customFormat="1" x14ac:dyDescent="0.25">
      <c r="A82" s="190"/>
      <c r="B82" s="190"/>
      <c r="C82" s="190"/>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262"/>
      <c r="AH82" s="262"/>
      <c r="AI82" s="262"/>
      <c r="AJ82" s="262"/>
      <c r="AK82" s="262"/>
    </row>
    <row r="83" spans="1:37" x14ac:dyDescent="0.25">
      <c r="A83" s="192"/>
      <c r="B83" s="519" t="s">
        <v>2056</v>
      </c>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row>
    <row r="84" spans="1:37" x14ac:dyDescent="0.25">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row>
    <row r="85" spans="1:37" x14ac:dyDescent="0.25">
      <c r="A85" s="956" t="s">
        <v>2057</v>
      </c>
      <c r="B85" s="192"/>
      <c r="C85" s="192"/>
      <c r="D85" s="192"/>
      <c r="E85" s="192"/>
      <c r="F85" s="192"/>
      <c r="G85" s="190"/>
      <c r="H85" s="192"/>
      <c r="I85" s="192"/>
      <c r="J85" s="192"/>
      <c r="K85" s="190"/>
      <c r="L85" s="192"/>
      <c r="M85" s="192"/>
      <c r="N85" s="192"/>
      <c r="O85" s="192"/>
      <c r="P85" s="192"/>
      <c r="Q85" s="192"/>
      <c r="R85" s="192"/>
      <c r="S85" s="192"/>
      <c r="T85" s="192"/>
      <c r="U85" s="192"/>
      <c r="V85" s="192"/>
      <c r="W85" s="192"/>
      <c r="X85" s="192"/>
      <c r="Y85" s="192"/>
      <c r="Z85" s="192"/>
      <c r="AA85" s="197"/>
      <c r="AB85" s="197"/>
      <c r="AC85" s="197"/>
      <c r="AD85" s="197"/>
      <c r="AE85" s="192"/>
      <c r="AF85" s="192"/>
      <c r="AG85" s="192"/>
      <c r="AH85" s="192"/>
      <c r="AI85" s="192"/>
      <c r="AJ85" s="192"/>
      <c r="AK85" s="192"/>
    </row>
    <row r="86" spans="1:37" x14ac:dyDescent="0.25">
      <c r="A86" s="2509" t="s">
        <v>54</v>
      </c>
      <c r="B86" s="2509"/>
      <c r="C86" s="2509"/>
      <c r="D86" s="2509"/>
      <c r="E86" s="2509"/>
      <c r="F86" s="2509"/>
      <c r="G86" s="2513" t="s">
        <v>2919</v>
      </c>
      <c r="H86" s="2513"/>
      <c r="I86" s="2513"/>
      <c r="J86" s="2513"/>
      <c r="K86" s="2513"/>
      <c r="L86" s="2513"/>
      <c r="M86" s="2513"/>
      <c r="N86" s="2513"/>
      <c r="O86" s="2513"/>
      <c r="P86" s="2513"/>
      <c r="Q86" s="2513"/>
      <c r="R86" s="2513"/>
      <c r="S86" s="2514" t="s">
        <v>2920</v>
      </c>
      <c r="T86" s="2514"/>
      <c r="U86" s="2514"/>
      <c r="V86" s="2514"/>
      <c r="W86" s="2514"/>
      <c r="X86" s="2514"/>
      <c r="Y86" s="2514"/>
      <c r="Z86" s="2514"/>
      <c r="AA86" s="2514"/>
      <c r="AB86" s="2514"/>
      <c r="AC86" s="2514"/>
      <c r="AD86" s="2514"/>
      <c r="AE86" s="192"/>
      <c r="AF86" s="192"/>
      <c r="AG86" s="192"/>
      <c r="AH86" s="192"/>
      <c r="AI86" s="192"/>
      <c r="AJ86" s="192"/>
      <c r="AK86" s="192"/>
    </row>
    <row r="87" spans="1:37" x14ac:dyDescent="0.25">
      <c r="A87" s="2507" t="s">
        <v>1984</v>
      </c>
      <c r="B87" s="2507"/>
      <c r="C87" s="2507"/>
      <c r="D87" s="2507"/>
      <c r="E87" s="2507"/>
      <c r="F87" s="2507"/>
      <c r="G87" s="1833">
        <v>7.0000000000000001E-3</v>
      </c>
      <c r="H87" s="1833"/>
      <c r="I87" s="1833"/>
      <c r="J87" s="1833"/>
      <c r="K87" s="1833"/>
      <c r="L87" s="1833"/>
      <c r="M87" s="1833"/>
      <c r="N87" s="1833"/>
      <c r="O87" s="1833"/>
      <c r="P87" s="1833"/>
      <c r="Q87" s="1833"/>
      <c r="R87" s="1833"/>
      <c r="S87" s="2508">
        <v>35.21</v>
      </c>
      <c r="T87" s="2508"/>
      <c r="U87" s="2508"/>
      <c r="V87" s="2508"/>
      <c r="W87" s="2508"/>
      <c r="X87" s="2508"/>
      <c r="Y87" s="2508"/>
      <c r="Z87" s="2508"/>
      <c r="AA87" s="2508"/>
      <c r="AB87" s="2508"/>
      <c r="AC87" s="2508"/>
      <c r="AD87" s="2508"/>
      <c r="AE87" s="192"/>
      <c r="AF87" s="192"/>
      <c r="AG87" s="192"/>
      <c r="AH87" s="192"/>
      <c r="AI87" s="192"/>
      <c r="AJ87" s="192"/>
      <c r="AK87" s="192"/>
    </row>
    <row r="88" spans="1:37" x14ac:dyDescent="0.25">
      <c r="A88" s="2507" t="s">
        <v>221</v>
      </c>
      <c r="B88" s="2507"/>
      <c r="C88" s="2507"/>
      <c r="D88" s="2507"/>
      <c r="E88" s="2507"/>
      <c r="F88" s="2507"/>
      <c r="G88" s="1833">
        <v>4.0000000000000001E-3</v>
      </c>
      <c r="H88" s="1833"/>
      <c r="I88" s="1833"/>
      <c r="J88" s="1833"/>
      <c r="K88" s="1833"/>
      <c r="L88" s="1833"/>
      <c r="M88" s="1833"/>
      <c r="N88" s="1833"/>
      <c r="O88" s="1833"/>
      <c r="P88" s="1833"/>
      <c r="Q88" s="1833"/>
      <c r="R88" s="1833"/>
      <c r="S88" s="2508">
        <v>125.06</v>
      </c>
      <c r="T88" s="2508"/>
      <c r="U88" s="2508"/>
      <c r="V88" s="2508"/>
      <c r="W88" s="2508"/>
      <c r="X88" s="2508"/>
      <c r="Y88" s="2508"/>
      <c r="Z88" s="2508"/>
      <c r="AA88" s="2508"/>
      <c r="AB88" s="2508"/>
      <c r="AC88" s="2508"/>
      <c r="AD88" s="2508"/>
      <c r="AE88" s="192"/>
      <c r="AF88" s="192"/>
      <c r="AG88" s="192"/>
      <c r="AH88" s="192"/>
      <c r="AI88" s="192"/>
      <c r="AJ88" s="192"/>
      <c r="AK88" s="192"/>
    </row>
    <row r="89" spans="1:37" x14ac:dyDescent="0.25">
      <c r="A89" s="2507" t="s">
        <v>222</v>
      </c>
      <c r="B89" s="2507"/>
      <c r="C89" s="2507"/>
      <c r="D89" s="2507"/>
      <c r="E89" s="2507"/>
      <c r="F89" s="2507"/>
      <c r="G89" s="1833">
        <v>6.0000000000000001E-3</v>
      </c>
      <c r="H89" s="1833"/>
      <c r="I89" s="1833"/>
      <c r="J89" s="1833"/>
      <c r="K89" s="1833"/>
      <c r="L89" s="1833"/>
      <c r="M89" s="1833"/>
      <c r="N89" s="1833"/>
      <c r="O89" s="1833"/>
      <c r="P89" s="1833"/>
      <c r="Q89" s="1833"/>
      <c r="R89" s="1833"/>
      <c r="S89" s="2508">
        <v>31.87</v>
      </c>
      <c r="T89" s="2508"/>
      <c r="U89" s="2508"/>
      <c r="V89" s="2508"/>
      <c r="W89" s="2508"/>
      <c r="X89" s="2508"/>
      <c r="Y89" s="2508"/>
      <c r="Z89" s="2508"/>
      <c r="AA89" s="2508"/>
      <c r="AB89" s="2508"/>
      <c r="AC89" s="2508"/>
      <c r="AD89" s="2508"/>
      <c r="AE89" s="192"/>
      <c r="AF89" s="192"/>
      <c r="AG89" s="192"/>
      <c r="AH89" s="192"/>
      <c r="AI89" s="192"/>
      <c r="AJ89" s="192"/>
      <c r="AK89" s="192"/>
    </row>
    <row r="90" spans="1:37" x14ac:dyDescent="0.25">
      <c r="A90" s="2507" t="s">
        <v>223</v>
      </c>
      <c r="B90" s="2507"/>
      <c r="C90" s="2507"/>
      <c r="D90" s="2507"/>
      <c r="E90" s="2507"/>
      <c r="F90" s="2507"/>
      <c r="G90" s="1833">
        <v>1.2999999999999999E-2</v>
      </c>
      <c r="H90" s="1833"/>
      <c r="I90" s="1833"/>
      <c r="J90" s="1833"/>
      <c r="K90" s="1833"/>
      <c r="L90" s="1833"/>
      <c r="M90" s="1833"/>
      <c r="N90" s="1833"/>
      <c r="O90" s="1833"/>
      <c r="P90" s="1833"/>
      <c r="Q90" s="1833"/>
      <c r="R90" s="1833"/>
      <c r="S90" s="2508">
        <v>95.07</v>
      </c>
      <c r="T90" s="2508"/>
      <c r="U90" s="2508"/>
      <c r="V90" s="2508"/>
      <c r="W90" s="2508"/>
      <c r="X90" s="2508"/>
      <c r="Y90" s="2508"/>
      <c r="Z90" s="2508"/>
      <c r="AA90" s="2508"/>
      <c r="AB90" s="2508"/>
      <c r="AC90" s="2508"/>
      <c r="AD90" s="2508"/>
      <c r="AE90" s="192"/>
      <c r="AF90" s="192"/>
      <c r="AG90" s="192"/>
      <c r="AH90" s="192"/>
      <c r="AI90" s="192"/>
      <c r="AJ90" s="192"/>
      <c r="AK90" s="192"/>
    </row>
    <row r="91" spans="1:37" x14ac:dyDescent="0.25">
      <c r="A91" s="2507" t="s">
        <v>224</v>
      </c>
      <c r="B91" s="2507"/>
      <c r="C91" s="2507"/>
      <c r="D91" s="2507"/>
      <c r="E91" s="2507"/>
      <c r="F91" s="2507"/>
      <c r="G91" s="1833">
        <v>1.4E-2</v>
      </c>
      <c r="H91" s="1833"/>
      <c r="I91" s="1833"/>
      <c r="J91" s="1833"/>
      <c r="K91" s="1833"/>
      <c r="L91" s="1833"/>
      <c r="M91" s="1833"/>
      <c r="N91" s="1833"/>
      <c r="O91" s="1833"/>
      <c r="P91" s="1833"/>
      <c r="Q91" s="1833"/>
      <c r="R91" s="1833"/>
      <c r="S91" s="2508">
        <v>104.19</v>
      </c>
      <c r="T91" s="2508"/>
      <c r="U91" s="2508"/>
      <c r="V91" s="2508"/>
      <c r="W91" s="2508"/>
      <c r="X91" s="2508"/>
      <c r="Y91" s="2508"/>
      <c r="Z91" s="2508"/>
      <c r="AA91" s="2508"/>
      <c r="AB91" s="2508"/>
      <c r="AC91" s="2508"/>
      <c r="AD91" s="2508"/>
      <c r="AE91" s="192"/>
      <c r="AF91" s="192"/>
      <c r="AG91" s="192"/>
      <c r="AH91" s="192"/>
      <c r="AI91" s="192"/>
      <c r="AJ91" s="192"/>
      <c r="AK91" s="192"/>
    </row>
    <row r="92" spans="1:37" x14ac:dyDescent="0.25">
      <c r="A92" s="2507" t="s">
        <v>225</v>
      </c>
      <c r="B92" s="2507"/>
      <c r="C92" s="2507"/>
      <c r="D92" s="2507"/>
      <c r="E92" s="2507"/>
      <c r="F92" s="2507"/>
      <c r="G92" s="1833">
        <v>6.0000000000000001E-3</v>
      </c>
      <c r="H92" s="1833"/>
      <c r="I92" s="1833"/>
      <c r="J92" s="1833"/>
      <c r="K92" s="1833"/>
      <c r="L92" s="1833"/>
      <c r="M92" s="1833"/>
      <c r="N92" s="1833"/>
      <c r="O92" s="1833"/>
      <c r="P92" s="1833"/>
      <c r="Q92" s="1833"/>
      <c r="R92" s="1833"/>
      <c r="S92" s="2508">
        <v>30.16</v>
      </c>
      <c r="T92" s="2508"/>
      <c r="U92" s="2508"/>
      <c r="V92" s="2508"/>
      <c r="W92" s="2508"/>
      <c r="X92" s="2508"/>
      <c r="Y92" s="2508"/>
      <c r="Z92" s="2508"/>
      <c r="AA92" s="2508"/>
      <c r="AB92" s="2508"/>
      <c r="AC92" s="2508"/>
      <c r="AD92" s="2508"/>
      <c r="AE92" s="192"/>
      <c r="AF92" s="192"/>
      <c r="AG92" s="192"/>
      <c r="AH92" s="192"/>
      <c r="AI92" s="192"/>
      <c r="AJ92" s="192"/>
      <c r="AK92" s="192"/>
    </row>
    <row r="93" spans="1:37" x14ac:dyDescent="0.25">
      <c r="A93" s="2507" t="s">
        <v>226</v>
      </c>
      <c r="B93" s="2507"/>
      <c r="C93" s="2507"/>
      <c r="D93" s="2507"/>
      <c r="E93" s="2507"/>
      <c r="F93" s="2507"/>
      <c r="G93" s="1833">
        <v>1.0999999999999999E-2</v>
      </c>
      <c r="H93" s="1833"/>
      <c r="I93" s="1833"/>
      <c r="J93" s="1833"/>
      <c r="K93" s="1833"/>
      <c r="L93" s="1833"/>
      <c r="M93" s="1833"/>
      <c r="N93" s="1833"/>
      <c r="O93" s="1833"/>
      <c r="P93" s="1833"/>
      <c r="Q93" s="1833"/>
      <c r="R93" s="1833"/>
      <c r="S93" s="2508">
        <v>40.89</v>
      </c>
      <c r="T93" s="2508"/>
      <c r="U93" s="2508"/>
      <c r="V93" s="2508"/>
      <c r="W93" s="2508"/>
      <c r="X93" s="2508"/>
      <c r="Y93" s="2508"/>
      <c r="Z93" s="2508"/>
      <c r="AA93" s="2508"/>
      <c r="AB93" s="2508"/>
      <c r="AC93" s="2508"/>
      <c r="AD93" s="2508"/>
      <c r="AE93" s="192"/>
      <c r="AF93" s="192"/>
      <c r="AG93" s="192"/>
      <c r="AH93" s="192"/>
      <c r="AI93" s="192"/>
      <c r="AJ93" s="192"/>
      <c r="AK93" s="192"/>
    </row>
    <row r="94" spans="1:37" x14ac:dyDescent="0.25">
      <c r="A94" s="2507" t="s">
        <v>55</v>
      </c>
      <c r="B94" s="2507"/>
      <c r="C94" s="2507"/>
      <c r="D94" s="2507"/>
      <c r="E94" s="2507"/>
      <c r="F94" s="2507"/>
      <c r="G94" s="1833">
        <v>4.0000000000000001E-3</v>
      </c>
      <c r="H94" s="1833"/>
      <c r="I94" s="1833"/>
      <c r="J94" s="1833"/>
      <c r="K94" s="1833"/>
      <c r="L94" s="1833"/>
      <c r="M94" s="1833"/>
      <c r="N94" s="1833"/>
      <c r="O94" s="1833"/>
      <c r="P94" s="1833"/>
      <c r="Q94" s="1833"/>
      <c r="R94" s="1833"/>
      <c r="S94" s="2508">
        <v>37.869999999999997</v>
      </c>
      <c r="T94" s="2508"/>
      <c r="U94" s="2508"/>
      <c r="V94" s="2508"/>
      <c r="W94" s="2508"/>
      <c r="X94" s="2508"/>
      <c r="Y94" s="2508"/>
      <c r="Z94" s="2508"/>
      <c r="AA94" s="2508"/>
      <c r="AB94" s="2508"/>
      <c r="AC94" s="2508"/>
      <c r="AD94" s="2508"/>
      <c r="AE94" s="192"/>
      <c r="AF94" s="192"/>
      <c r="AG94" s="192"/>
      <c r="AH94" s="192"/>
      <c r="AI94" s="192"/>
      <c r="AJ94" s="192"/>
      <c r="AK94" s="192"/>
    </row>
    <row r="95" spans="1:37" x14ac:dyDescent="0.25">
      <c r="A95" s="2507" t="s">
        <v>227</v>
      </c>
      <c r="B95" s="2507"/>
      <c r="C95" s="2507"/>
      <c r="D95" s="2507"/>
      <c r="E95" s="2507"/>
      <c r="F95" s="2507"/>
      <c r="G95" s="1833">
        <v>1.0999999999999999E-2</v>
      </c>
      <c r="H95" s="1833"/>
      <c r="I95" s="1833"/>
      <c r="J95" s="1833"/>
      <c r="K95" s="1833"/>
      <c r="L95" s="1833"/>
      <c r="M95" s="1833"/>
      <c r="N95" s="1833"/>
      <c r="O95" s="1833"/>
      <c r="P95" s="1833"/>
      <c r="Q95" s="1833"/>
      <c r="R95" s="1833"/>
      <c r="S95" s="2508">
        <v>80.61</v>
      </c>
      <c r="T95" s="2508"/>
      <c r="U95" s="2508"/>
      <c r="V95" s="2508"/>
      <c r="W95" s="2508"/>
      <c r="X95" s="2508"/>
      <c r="Y95" s="2508"/>
      <c r="Z95" s="2508"/>
      <c r="AA95" s="2508"/>
      <c r="AB95" s="2508"/>
      <c r="AC95" s="2508"/>
      <c r="AD95" s="2508"/>
      <c r="AE95" s="192"/>
      <c r="AF95" s="192"/>
      <c r="AG95" s="192"/>
      <c r="AH95" s="192"/>
      <c r="AI95" s="192"/>
      <c r="AJ95" s="192"/>
      <c r="AK95" s="192"/>
    </row>
    <row r="96" spans="1:37" x14ac:dyDescent="0.25">
      <c r="A96" s="2507" t="s">
        <v>228</v>
      </c>
      <c r="B96" s="2507"/>
      <c r="C96" s="2507"/>
      <c r="D96" s="2507"/>
      <c r="E96" s="2507"/>
      <c r="F96" s="2507"/>
      <c r="G96" s="1833">
        <v>8.0000000000000002E-3</v>
      </c>
      <c r="H96" s="1833"/>
      <c r="I96" s="1833"/>
      <c r="J96" s="1833"/>
      <c r="K96" s="1833"/>
      <c r="L96" s="1833"/>
      <c r="M96" s="1833"/>
      <c r="N96" s="1833"/>
      <c r="O96" s="1833"/>
      <c r="P96" s="1833"/>
      <c r="Q96" s="1833"/>
      <c r="R96" s="1833"/>
      <c r="S96" s="2508">
        <v>45.85</v>
      </c>
      <c r="T96" s="2508"/>
      <c r="U96" s="2508"/>
      <c r="V96" s="2508"/>
      <c r="W96" s="2508"/>
      <c r="X96" s="2508"/>
      <c r="Y96" s="2508"/>
      <c r="Z96" s="2508"/>
      <c r="AA96" s="2508"/>
      <c r="AB96" s="2508"/>
      <c r="AC96" s="2508"/>
      <c r="AD96" s="2508"/>
      <c r="AE96" s="192"/>
      <c r="AF96" s="192"/>
      <c r="AG96" s="192"/>
      <c r="AH96" s="192"/>
      <c r="AI96" s="192"/>
      <c r="AJ96" s="192"/>
      <c r="AK96" s="192"/>
    </row>
    <row r="97" spans="1:37" x14ac:dyDescent="0.25">
      <c r="A97" s="2507" t="s">
        <v>229</v>
      </c>
      <c r="B97" s="2507"/>
      <c r="C97" s="2507"/>
      <c r="D97" s="2507"/>
      <c r="E97" s="2507"/>
      <c r="F97" s="2507"/>
      <c r="G97" s="1833">
        <v>1E-3</v>
      </c>
      <c r="H97" s="1833"/>
      <c r="I97" s="1833"/>
      <c r="J97" s="1833"/>
      <c r="K97" s="1833"/>
      <c r="L97" s="1833"/>
      <c r="M97" s="1833"/>
      <c r="N97" s="1833"/>
      <c r="O97" s="1833"/>
      <c r="P97" s="1833"/>
      <c r="Q97" s="1833"/>
      <c r="R97" s="1833"/>
      <c r="S97" s="2508">
        <v>29.05</v>
      </c>
      <c r="T97" s="2508"/>
      <c r="U97" s="2508"/>
      <c r="V97" s="2508"/>
      <c r="W97" s="2508"/>
      <c r="X97" s="2508"/>
      <c r="Y97" s="2508"/>
      <c r="Z97" s="2508"/>
      <c r="AA97" s="2508"/>
      <c r="AB97" s="2508"/>
      <c r="AC97" s="2508"/>
      <c r="AD97" s="2508"/>
      <c r="AE97" s="192"/>
      <c r="AF97" s="192"/>
      <c r="AG97" s="192"/>
      <c r="AH97" s="192"/>
      <c r="AI97" s="192"/>
      <c r="AJ97" s="192"/>
      <c r="AK97" s="192"/>
    </row>
    <row r="98" spans="1:37" x14ac:dyDescent="0.25">
      <c r="A98" s="957"/>
      <c r="B98" s="957"/>
      <c r="C98" s="957"/>
      <c r="D98" s="957"/>
      <c r="E98" s="957"/>
      <c r="F98" s="957"/>
      <c r="G98" s="451"/>
      <c r="H98" s="451"/>
      <c r="I98" s="451"/>
      <c r="J98" s="451"/>
      <c r="K98" s="451"/>
      <c r="L98" s="451"/>
      <c r="M98" s="451"/>
      <c r="N98" s="451"/>
      <c r="O98" s="451"/>
      <c r="P98" s="451"/>
      <c r="Q98" s="451"/>
      <c r="R98" s="451"/>
      <c r="S98" s="958"/>
      <c r="T98" s="958"/>
      <c r="U98" s="958"/>
      <c r="V98" s="958"/>
      <c r="W98" s="958"/>
      <c r="X98" s="958"/>
      <c r="Y98" s="958"/>
      <c r="Z98" s="958"/>
      <c r="AA98" s="958"/>
      <c r="AB98" s="958"/>
      <c r="AC98" s="958"/>
      <c r="AD98" s="958"/>
      <c r="AE98" s="192"/>
      <c r="AF98" s="192"/>
      <c r="AG98" s="192"/>
      <c r="AH98" s="192"/>
      <c r="AI98" s="192"/>
      <c r="AJ98" s="192"/>
      <c r="AK98" s="192"/>
    </row>
    <row r="99" spans="1:37" x14ac:dyDescent="0.25">
      <c r="A99" s="192"/>
      <c r="B99" s="519" t="s">
        <v>6586</v>
      </c>
      <c r="C99" s="742"/>
      <c r="D99" s="192"/>
      <c r="E99" s="192"/>
      <c r="F99" s="192"/>
      <c r="G99" s="959"/>
      <c r="H99" s="192"/>
      <c r="I99" s="192"/>
      <c r="J99" s="192"/>
      <c r="K99" s="959"/>
      <c r="L99" s="192"/>
      <c r="M99" s="192"/>
      <c r="N99" s="192"/>
      <c r="O99" s="959"/>
      <c r="P99" s="192"/>
      <c r="Q99" s="192"/>
      <c r="R99" s="192"/>
      <c r="S99" s="959"/>
      <c r="T99" s="192"/>
      <c r="U99" s="192"/>
      <c r="V99" s="192"/>
      <c r="W99" s="192"/>
      <c r="X99" s="192"/>
      <c r="Y99" s="192"/>
      <c r="Z99" s="192"/>
      <c r="AA99" s="959"/>
      <c r="AB99" s="192"/>
      <c r="AC99" s="192"/>
      <c r="AD99" s="192"/>
      <c r="AE99" s="192"/>
      <c r="AF99" s="192"/>
      <c r="AG99" s="192"/>
      <c r="AH99" s="192"/>
      <c r="AI99" s="192"/>
      <c r="AJ99" s="192"/>
      <c r="AK99" s="192"/>
    </row>
    <row r="100" spans="1:37" x14ac:dyDescent="0.25">
      <c r="A100" s="672"/>
      <c r="B100" s="742"/>
      <c r="C100" s="742"/>
      <c r="D100" s="192"/>
      <c r="E100" s="192"/>
      <c r="F100" s="192"/>
      <c r="G100" s="959"/>
      <c r="H100" s="192"/>
      <c r="I100" s="192"/>
      <c r="J100" s="192"/>
      <c r="K100" s="959"/>
      <c r="L100" s="192"/>
      <c r="M100" s="192"/>
      <c r="N100" s="192"/>
      <c r="O100" s="959"/>
      <c r="P100" s="192"/>
      <c r="Q100" s="192"/>
      <c r="R100" s="192"/>
      <c r="S100" s="959"/>
      <c r="T100" s="192"/>
      <c r="U100" s="192"/>
      <c r="V100" s="192"/>
      <c r="W100" s="192"/>
      <c r="X100" s="192"/>
      <c r="Y100" s="192"/>
      <c r="Z100" s="192"/>
      <c r="AA100" s="959"/>
      <c r="AB100" s="192"/>
      <c r="AC100" s="192"/>
      <c r="AD100" s="192"/>
      <c r="AE100" s="192"/>
      <c r="AF100" s="192"/>
      <c r="AG100" s="192"/>
      <c r="AH100" s="192"/>
      <c r="AI100" s="192"/>
      <c r="AJ100" s="192"/>
      <c r="AK100" s="192"/>
    </row>
    <row r="101" spans="1:37" x14ac:dyDescent="0.25">
      <c r="A101" s="956" t="s">
        <v>2699</v>
      </c>
      <c r="B101" s="192"/>
      <c r="C101" s="192"/>
      <c r="D101" s="192"/>
      <c r="E101" s="192"/>
      <c r="F101" s="192"/>
      <c r="G101" s="190"/>
      <c r="H101" s="192"/>
      <c r="I101" s="192"/>
      <c r="J101" s="192"/>
      <c r="K101" s="190"/>
      <c r="L101" s="192"/>
      <c r="M101" s="192"/>
      <c r="N101" s="192"/>
      <c r="O101" s="192"/>
      <c r="P101" s="192"/>
      <c r="Q101" s="192"/>
      <c r="R101" s="192"/>
      <c r="S101" s="192"/>
      <c r="T101" s="192"/>
      <c r="U101" s="192"/>
      <c r="V101" s="192"/>
      <c r="W101" s="192"/>
      <c r="X101" s="192"/>
      <c r="Y101" s="192"/>
      <c r="Z101" s="192"/>
      <c r="AA101" s="197"/>
      <c r="AB101" s="197"/>
      <c r="AC101" s="197"/>
      <c r="AD101" s="197"/>
      <c r="AE101" s="192"/>
      <c r="AF101" s="192"/>
      <c r="AG101" s="192"/>
      <c r="AH101" s="192"/>
      <c r="AI101" s="192"/>
      <c r="AJ101" s="192"/>
      <c r="AK101" s="192"/>
    </row>
    <row r="102" spans="1:37" x14ac:dyDescent="0.25">
      <c r="A102" s="2509" t="s">
        <v>54</v>
      </c>
      <c r="B102" s="2509"/>
      <c r="C102" s="2509"/>
      <c r="D102" s="2509"/>
      <c r="E102" s="2509"/>
      <c r="F102" s="2509"/>
      <c r="G102" s="2510" t="s">
        <v>1945</v>
      </c>
      <c r="H102" s="2510"/>
      <c r="I102" s="2510"/>
      <c r="J102" s="2510"/>
      <c r="K102" s="2510"/>
      <c r="L102" s="2510"/>
      <c r="M102" s="2510"/>
      <c r="N102" s="2510"/>
      <c r="O102" s="2510"/>
      <c r="P102" s="2510"/>
      <c r="Q102" s="2510"/>
      <c r="R102" s="2510"/>
      <c r="S102" s="192"/>
      <c r="T102" s="192"/>
      <c r="U102" s="959"/>
      <c r="V102" s="192"/>
      <c r="W102" s="192"/>
      <c r="X102" s="192"/>
      <c r="Y102" s="959"/>
      <c r="Z102" s="192"/>
      <c r="AA102" s="338"/>
      <c r="AB102" s="338"/>
      <c r="AC102" s="338"/>
      <c r="AD102" s="338"/>
      <c r="AE102" s="192"/>
      <c r="AF102" s="192"/>
      <c r="AG102" s="192"/>
      <c r="AH102" s="192"/>
      <c r="AI102" s="192"/>
      <c r="AJ102" s="192"/>
      <c r="AK102" s="192"/>
    </row>
    <row r="103" spans="1:37" x14ac:dyDescent="0.25">
      <c r="A103" s="2507" t="s">
        <v>1984</v>
      </c>
      <c r="B103" s="2507"/>
      <c r="C103" s="2507"/>
      <c r="D103" s="2507"/>
      <c r="E103" s="2507"/>
      <c r="F103" s="2507"/>
      <c r="G103" s="2508">
        <v>281.68</v>
      </c>
      <c r="H103" s="2508"/>
      <c r="I103" s="2508"/>
      <c r="J103" s="2508"/>
      <c r="K103" s="2508"/>
      <c r="L103" s="2508"/>
      <c r="M103" s="2508"/>
      <c r="N103" s="2508"/>
      <c r="O103" s="2508"/>
      <c r="P103" s="2508"/>
      <c r="Q103" s="2508"/>
      <c r="R103" s="2508"/>
      <c r="S103" s="192"/>
      <c r="T103" s="192"/>
      <c r="U103" s="959"/>
      <c r="V103" s="192"/>
      <c r="W103" s="192"/>
      <c r="X103" s="192"/>
      <c r="Y103" s="959"/>
      <c r="Z103" s="192"/>
      <c r="AA103" s="338"/>
      <c r="AB103" s="338"/>
      <c r="AC103" s="338"/>
      <c r="AD103" s="338"/>
      <c r="AE103" s="192"/>
      <c r="AF103" s="192"/>
      <c r="AG103" s="192"/>
      <c r="AH103" s="192"/>
      <c r="AI103" s="192"/>
      <c r="AJ103" s="192"/>
      <c r="AK103" s="192"/>
    </row>
    <row r="104" spans="1:37" x14ac:dyDescent="0.25">
      <c r="A104" s="2507" t="s">
        <v>221</v>
      </c>
      <c r="B104" s="2507"/>
      <c r="C104" s="2507"/>
      <c r="D104" s="2507"/>
      <c r="E104" s="2507"/>
      <c r="F104" s="2507"/>
      <c r="G104" s="2508">
        <v>375.18</v>
      </c>
      <c r="H104" s="2508"/>
      <c r="I104" s="2508"/>
      <c r="J104" s="2508"/>
      <c r="K104" s="2508"/>
      <c r="L104" s="2508"/>
      <c r="M104" s="2508"/>
      <c r="N104" s="2508"/>
      <c r="O104" s="2508"/>
      <c r="P104" s="2508"/>
      <c r="Q104" s="2508"/>
      <c r="R104" s="2508"/>
      <c r="S104" s="192"/>
      <c r="T104" s="192"/>
      <c r="U104" s="192"/>
      <c r="V104" s="192"/>
      <c r="W104" s="192"/>
      <c r="X104" s="192"/>
      <c r="Y104" s="192"/>
      <c r="Z104" s="192"/>
      <c r="AA104" s="192"/>
      <c r="AB104" s="192"/>
      <c r="AC104" s="192"/>
      <c r="AD104" s="192"/>
      <c r="AE104" s="192"/>
      <c r="AF104" s="192"/>
      <c r="AG104" s="192"/>
      <c r="AH104" s="192"/>
      <c r="AI104" s="192"/>
      <c r="AJ104" s="192"/>
      <c r="AK104" s="192"/>
    </row>
    <row r="105" spans="1:37" x14ac:dyDescent="0.25">
      <c r="A105" s="2507" t="s">
        <v>222</v>
      </c>
      <c r="B105" s="2507"/>
      <c r="C105" s="2507"/>
      <c r="D105" s="2507"/>
      <c r="E105" s="2507"/>
      <c r="F105" s="2507"/>
      <c r="G105" s="2508">
        <v>318.7</v>
      </c>
      <c r="H105" s="2508"/>
      <c r="I105" s="2508"/>
      <c r="J105" s="2508"/>
      <c r="K105" s="2508"/>
      <c r="L105" s="2508"/>
      <c r="M105" s="2508"/>
      <c r="N105" s="2508"/>
      <c r="O105" s="2508"/>
      <c r="P105" s="2508"/>
      <c r="Q105" s="2508"/>
      <c r="R105" s="2508"/>
      <c r="S105" s="192"/>
      <c r="T105" s="192"/>
      <c r="U105" s="192"/>
      <c r="V105" s="192"/>
      <c r="W105" s="192"/>
      <c r="X105" s="192"/>
      <c r="Y105" s="192"/>
      <c r="Z105" s="192"/>
      <c r="AA105" s="192"/>
      <c r="AB105" s="192"/>
      <c r="AC105" s="192"/>
      <c r="AD105" s="192"/>
      <c r="AE105" s="192"/>
      <c r="AF105" s="192"/>
      <c r="AG105" s="192"/>
      <c r="AH105" s="192"/>
      <c r="AI105" s="192"/>
      <c r="AJ105" s="192"/>
      <c r="AK105" s="192"/>
    </row>
    <row r="106" spans="1:37" x14ac:dyDescent="0.25">
      <c r="A106" s="2507" t="s">
        <v>223</v>
      </c>
      <c r="B106" s="2507"/>
      <c r="C106" s="2507"/>
      <c r="D106" s="2507"/>
      <c r="E106" s="2507"/>
      <c r="F106" s="2507"/>
      <c r="G106" s="2508">
        <v>285.20999999999998</v>
      </c>
      <c r="H106" s="2508"/>
      <c r="I106" s="2508"/>
      <c r="J106" s="2508"/>
      <c r="K106" s="2508"/>
      <c r="L106" s="2508"/>
      <c r="M106" s="2508"/>
      <c r="N106" s="2508"/>
      <c r="O106" s="2508"/>
      <c r="P106" s="2508"/>
      <c r="Q106" s="2508"/>
      <c r="R106" s="2508"/>
      <c r="S106" s="192"/>
      <c r="T106" s="192"/>
      <c r="U106" s="192"/>
      <c r="V106" s="192"/>
      <c r="W106" s="192"/>
      <c r="X106" s="192"/>
      <c r="Y106" s="192"/>
      <c r="Z106" s="192"/>
      <c r="AA106" s="192"/>
      <c r="AB106" s="192"/>
      <c r="AC106" s="192"/>
      <c r="AD106" s="192"/>
      <c r="AE106" s="192"/>
      <c r="AF106" s="192"/>
      <c r="AG106" s="192"/>
      <c r="AH106" s="192"/>
      <c r="AI106" s="192"/>
      <c r="AJ106" s="192"/>
      <c r="AK106" s="192"/>
    </row>
    <row r="107" spans="1:37" x14ac:dyDescent="0.25">
      <c r="A107" s="2507" t="s">
        <v>224</v>
      </c>
      <c r="B107" s="2507"/>
      <c r="C107" s="2507"/>
      <c r="D107" s="2507"/>
      <c r="E107" s="2507"/>
      <c r="F107" s="2507"/>
      <c r="G107" s="2508">
        <v>312.57</v>
      </c>
      <c r="H107" s="2508"/>
      <c r="I107" s="2508"/>
      <c r="J107" s="2508"/>
      <c r="K107" s="2508"/>
      <c r="L107" s="2508"/>
      <c r="M107" s="2508"/>
      <c r="N107" s="2508"/>
      <c r="O107" s="2508"/>
      <c r="P107" s="2508"/>
      <c r="Q107" s="2508"/>
      <c r="R107" s="2508"/>
      <c r="S107" s="192"/>
      <c r="T107" s="192"/>
      <c r="U107" s="192"/>
      <c r="V107" s="192"/>
      <c r="W107" s="192"/>
      <c r="X107" s="192"/>
      <c r="Y107" s="192"/>
      <c r="Z107" s="192"/>
      <c r="AA107" s="192"/>
      <c r="AB107" s="192"/>
      <c r="AC107" s="192"/>
      <c r="AD107" s="192"/>
      <c r="AE107" s="192"/>
      <c r="AF107" s="192"/>
      <c r="AG107" s="192"/>
      <c r="AH107" s="192"/>
      <c r="AI107" s="192"/>
      <c r="AJ107" s="192"/>
      <c r="AK107" s="192"/>
    </row>
    <row r="108" spans="1:37" x14ac:dyDescent="0.25">
      <c r="A108" s="2507" t="s">
        <v>225</v>
      </c>
      <c r="B108" s="2507"/>
      <c r="C108" s="2507"/>
      <c r="D108" s="2507"/>
      <c r="E108" s="2507"/>
      <c r="F108" s="2507"/>
      <c r="G108" s="2508">
        <v>361.92</v>
      </c>
      <c r="H108" s="2508"/>
      <c r="I108" s="2508"/>
      <c r="J108" s="2508"/>
      <c r="K108" s="2508"/>
      <c r="L108" s="2508"/>
      <c r="M108" s="2508"/>
      <c r="N108" s="2508"/>
      <c r="O108" s="2508"/>
      <c r="P108" s="2508"/>
      <c r="Q108" s="2508"/>
      <c r="R108" s="2508"/>
      <c r="S108" s="192"/>
      <c r="T108" s="192"/>
      <c r="U108" s="192"/>
      <c r="V108" s="192"/>
      <c r="W108" s="192"/>
      <c r="X108" s="192"/>
      <c r="Y108" s="192"/>
      <c r="Z108" s="192"/>
      <c r="AA108" s="192"/>
      <c r="AB108" s="192"/>
      <c r="AC108" s="192"/>
      <c r="AD108" s="192"/>
      <c r="AE108" s="192"/>
      <c r="AF108" s="192"/>
      <c r="AG108" s="192"/>
      <c r="AH108" s="192"/>
      <c r="AI108" s="192"/>
      <c r="AJ108" s="192"/>
      <c r="AK108" s="192"/>
    </row>
    <row r="109" spans="1:37" x14ac:dyDescent="0.25">
      <c r="A109" s="2507" t="s">
        <v>226</v>
      </c>
      <c r="B109" s="2507"/>
      <c r="C109" s="2507"/>
      <c r="D109" s="2507"/>
      <c r="E109" s="2507"/>
      <c r="F109" s="2507"/>
      <c r="G109" s="2508">
        <v>286.23</v>
      </c>
      <c r="H109" s="2508"/>
      <c r="I109" s="2508"/>
      <c r="J109" s="2508"/>
      <c r="K109" s="2508"/>
      <c r="L109" s="2508"/>
      <c r="M109" s="2508"/>
      <c r="N109" s="2508"/>
      <c r="O109" s="2508"/>
      <c r="P109" s="2508"/>
      <c r="Q109" s="2508"/>
      <c r="R109" s="2508"/>
      <c r="S109" s="192"/>
      <c r="T109" s="192"/>
      <c r="U109" s="192"/>
      <c r="V109" s="192"/>
      <c r="W109" s="192"/>
      <c r="X109" s="192"/>
      <c r="Y109" s="192"/>
      <c r="Z109" s="192"/>
      <c r="AA109" s="192"/>
      <c r="AB109" s="192"/>
      <c r="AC109" s="192"/>
      <c r="AD109" s="192"/>
      <c r="AE109" s="192"/>
      <c r="AF109" s="192"/>
      <c r="AG109" s="192"/>
      <c r="AH109" s="192"/>
      <c r="AI109" s="192"/>
      <c r="AJ109" s="192"/>
      <c r="AK109" s="192"/>
    </row>
    <row r="110" spans="1:37" x14ac:dyDescent="0.25">
      <c r="A110" s="2507" t="s">
        <v>55</v>
      </c>
      <c r="B110" s="2507"/>
      <c r="C110" s="2507"/>
      <c r="D110" s="2507"/>
      <c r="E110" s="2507"/>
      <c r="F110" s="2507"/>
      <c r="G110" s="2508">
        <v>302.95999999999998</v>
      </c>
      <c r="H110" s="2508"/>
      <c r="I110" s="2508"/>
      <c r="J110" s="2508"/>
      <c r="K110" s="2508"/>
      <c r="L110" s="2508"/>
      <c r="M110" s="2508"/>
      <c r="N110" s="2508"/>
      <c r="O110" s="2508"/>
      <c r="P110" s="2508"/>
      <c r="Q110" s="2508"/>
      <c r="R110" s="2508"/>
      <c r="S110" s="192"/>
      <c r="T110" s="192"/>
      <c r="U110" s="192"/>
      <c r="V110" s="192"/>
      <c r="W110" s="192"/>
      <c r="X110" s="192"/>
      <c r="Y110" s="192"/>
      <c r="Z110" s="192"/>
      <c r="AA110" s="192"/>
      <c r="AB110" s="192"/>
      <c r="AC110" s="192"/>
      <c r="AD110" s="192"/>
      <c r="AE110" s="192"/>
      <c r="AF110" s="192"/>
      <c r="AG110" s="192"/>
      <c r="AH110" s="192"/>
      <c r="AI110" s="192"/>
      <c r="AJ110" s="192"/>
      <c r="AK110" s="192"/>
    </row>
    <row r="111" spans="1:37" x14ac:dyDescent="0.25">
      <c r="A111" s="2507" t="s">
        <v>227</v>
      </c>
      <c r="B111" s="2507"/>
      <c r="C111" s="2507"/>
      <c r="D111" s="2507"/>
      <c r="E111" s="2507"/>
      <c r="F111" s="2507"/>
      <c r="G111" s="2508">
        <v>322.44</v>
      </c>
      <c r="H111" s="2508"/>
      <c r="I111" s="2508"/>
      <c r="J111" s="2508"/>
      <c r="K111" s="2508"/>
      <c r="L111" s="2508"/>
      <c r="M111" s="2508"/>
      <c r="N111" s="2508"/>
      <c r="O111" s="2508"/>
      <c r="P111" s="2508"/>
      <c r="Q111" s="2508"/>
      <c r="R111" s="2508"/>
      <c r="S111" s="192"/>
      <c r="T111" s="192"/>
      <c r="U111" s="192"/>
      <c r="V111" s="192"/>
      <c r="W111" s="192"/>
      <c r="X111" s="192"/>
      <c r="Y111" s="192"/>
      <c r="Z111" s="192"/>
      <c r="AA111" s="192"/>
      <c r="AB111" s="192"/>
      <c r="AC111" s="192"/>
      <c r="AD111" s="192"/>
      <c r="AE111" s="192"/>
      <c r="AF111" s="192"/>
      <c r="AG111" s="192"/>
      <c r="AH111" s="192"/>
      <c r="AI111" s="192"/>
      <c r="AJ111" s="192"/>
      <c r="AK111" s="192"/>
    </row>
    <row r="112" spans="1:37" x14ac:dyDescent="0.25">
      <c r="A112" s="2507" t="s">
        <v>228</v>
      </c>
      <c r="B112" s="2507"/>
      <c r="C112" s="2507"/>
      <c r="D112" s="2507"/>
      <c r="E112" s="2507"/>
      <c r="F112" s="2507"/>
      <c r="G112" s="2508">
        <v>275.10000000000002</v>
      </c>
      <c r="H112" s="2508"/>
      <c r="I112" s="2508"/>
      <c r="J112" s="2508"/>
      <c r="K112" s="2508"/>
      <c r="L112" s="2508"/>
      <c r="M112" s="2508"/>
      <c r="N112" s="2508"/>
      <c r="O112" s="2508"/>
      <c r="P112" s="2508"/>
      <c r="Q112" s="2508"/>
      <c r="R112" s="2508"/>
      <c r="S112" s="192"/>
      <c r="T112" s="192"/>
      <c r="U112" s="192"/>
      <c r="V112" s="192"/>
      <c r="W112" s="192"/>
      <c r="X112" s="192"/>
      <c r="Y112" s="192"/>
      <c r="Z112" s="192"/>
      <c r="AA112" s="192"/>
      <c r="AB112" s="192"/>
      <c r="AC112" s="192"/>
      <c r="AD112" s="192"/>
      <c r="AE112" s="192"/>
      <c r="AF112" s="192"/>
      <c r="AG112" s="192"/>
      <c r="AH112" s="192"/>
      <c r="AI112" s="192"/>
      <c r="AJ112" s="192"/>
      <c r="AK112" s="192"/>
    </row>
    <row r="113" spans="1:37" x14ac:dyDescent="0.25">
      <c r="A113" s="2507" t="s">
        <v>229</v>
      </c>
      <c r="B113" s="2507"/>
      <c r="C113" s="2507"/>
      <c r="D113" s="2507"/>
      <c r="E113" s="2507"/>
      <c r="F113" s="2507"/>
      <c r="G113" s="2508">
        <v>261.45</v>
      </c>
      <c r="H113" s="2508"/>
      <c r="I113" s="2508"/>
      <c r="J113" s="2508"/>
      <c r="K113" s="2508"/>
      <c r="L113" s="2508"/>
      <c r="M113" s="2508"/>
      <c r="N113" s="2508"/>
      <c r="O113" s="2508"/>
      <c r="P113" s="2508"/>
      <c r="Q113" s="2508"/>
      <c r="R113" s="2508"/>
      <c r="S113" s="192"/>
      <c r="T113" s="192"/>
      <c r="U113" s="192"/>
      <c r="V113" s="192"/>
      <c r="W113" s="192"/>
      <c r="X113" s="192"/>
      <c r="Y113" s="192"/>
      <c r="Z113" s="192"/>
      <c r="AA113" s="192"/>
      <c r="AB113" s="192"/>
      <c r="AC113" s="192"/>
      <c r="AD113" s="192"/>
      <c r="AE113" s="192"/>
      <c r="AF113" s="192"/>
      <c r="AG113" s="192"/>
      <c r="AH113" s="192"/>
      <c r="AI113" s="192"/>
      <c r="AJ113" s="192"/>
      <c r="AK113" s="192"/>
    </row>
    <row r="114" spans="1:37" x14ac:dyDescent="0.25">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row>
    <row r="115" spans="1:37" x14ac:dyDescent="0.25">
      <c r="A115" s="672"/>
      <c r="B115" s="519" t="s">
        <v>6587</v>
      </c>
      <c r="C115" s="742"/>
      <c r="D115" s="192"/>
      <c r="E115" s="192"/>
      <c r="F115" s="192"/>
      <c r="G115" s="959"/>
      <c r="H115" s="192"/>
      <c r="I115" s="192"/>
      <c r="J115" s="192"/>
      <c r="K115" s="959"/>
      <c r="L115" s="192"/>
      <c r="M115" s="192"/>
      <c r="N115" s="192"/>
      <c r="O115" s="959"/>
      <c r="P115" s="192"/>
      <c r="Q115" s="192"/>
      <c r="R115" s="192"/>
      <c r="S115" s="959"/>
      <c r="T115" s="192"/>
      <c r="U115" s="192"/>
      <c r="V115" s="192"/>
      <c r="W115" s="192"/>
      <c r="X115" s="192"/>
      <c r="Y115" s="192"/>
      <c r="Z115" s="192"/>
      <c r="AA115" s="959"/>
      <c r="AB115" s="192"/>
      <c r="AC115" s="192"/>
      <c r="AD115" s="192"/>
      <c r="AE115" s="192"/>
      <c r="AF115" s="192"/>
      <c r="AG115" s="959"/>
      <c r="AH115" s="192"/>
      <c r="AI115" s="192"/>
      <c r="AJ115" s="192"/>
      <c r="AK115" s="959"/>
    </row>
    <row r="116" spans="1:37" x14ac:dyDescent="0.25">
      <c r="A116" s="672"/>
      <c r="B116" s="742"/>
      <c r="C116" s="742"/>
      <c r="D116" s="192"/>
      <c r="E116" s="192"/>
      <c r="F116" s="192"/>
      <c r="G116" s="959"/>
      <c r="H116" s="192"/>
      <c r="I116" s="192"/>
      <c r="J116" s="192"/>
      <c r="K116" s="959"/>
      <c r="L116" s="192"/>
      <c r="M116" s="192"/>
      <c r="N116" s="192"/>
      <c r="O116" s="959"/>
      <c r="P116" s="192"/>
      <c r="Q116" s="192"/>
      <c r="R116" s="192"/>
      <c r="S116" s="959"/>
      <c r="T116" s="192"/>
      <c r="U116" s="192"/>
      <c r="V116" s="192"/>
      <c r="W116" s="192"/>
      <c r="X116" s="192"/>
      <c r="Y116" s="192"/>
      <c r="Z116" s="192"/>
      <c r="AA116" s="959"/>
      <c r="AB116" s="192"/>
      <c r="AC116" s="192"/>
      <c r="AD116" s="192"/>
      <c r="AE116" s="192"/>
      <c r="AF116" s="192"/>
      <c r="AG116" s="959"/>
      <c r="AH116" s="192"/>
      <c r="AI116" s="192"/>
      <c r="AJ116" s="192"/>
      <c r="AK116" s="959"/>
    </row>
    <row r="117" spans="1:37" x14ac:dyDescent="0.25">
      <c r="A117" s="740" t="s">
        <v>6571</v>
      </c>
      <c r="B117" s="740"/>
      <c r="C117" s="740"/>
      <c r="D117" s="740"/>
      <c r="E117" s="740"/>
      <c r="F117" s="740"/>
      <c r="G117" s="740"/>
      <c r="H117" s="740"/>
      <c r="I117" s="740"/>
      <c r="J117" s="740"/>
      <c r="K117" s="740"/>
      <c r="L117" s="740"/>
      <c r="M117" s="740"/>
      <c r="N117" s="740"/>
      <c r="O117" s="740"/>
      <c r="P117" s="740"/>
      <c r="Q117" s="740"/>
      <c r="R117" s="740"/>
      <c r="S117" s="740"/>
      <c r="T117" s="740"/>
      <c r="U117" s="740"/>
      <c r="V117" s="740"/>
      <c r="W117" s="740"/>
      <c r="X117" s="740"/>
      <c r="Y117" s="740"/>
      <c r="Z117" s="740"/>
      <c r="AA117" s="740"/>
      <c r="AB117" s="740"/>
      <c r="AC117" s="740"/>
      <c r="AD117" s="740"/>
      <c r="AE117" s="740"/>
      <c r="AF117" s="740"/>
      <c r="AG117" s="740"/>
      <c r="AH117" s="740"/>
      <c r="AI117" s="197"/>
      <c r="AJ117" s="197"/>
      <c r="AK117" s="197"/>
    </row>
    <row r="118" spans="1:37" x14ac:dyDescent="0.25">
      <c r="A118" s="197"/>
      <c r="B118" s="197"/>
      <c r="C118" s="197"/>
      <c r="D118" s="197"/>
      <c r="E118" s="197"/>
      <c r="F118" s="197"/>
      <c r="G118" s="2308" t="s">
        <v>2919</v>
      </c>
      <c r="H118" s="2309"/>
      <c r="I118" s="2309"/>
      <c r="J118" s="2309"/>
      <c r="K118" s="2309"/>
      <c r="L118" s="2309"/>
      <c r="M118" s="2309"/>
      <c r="N118" s="2309"/>
      <c r="O118" s="2309"/>
      <c r="P118" s="2309"/>
      <c r="Q118" s="2309"/>
      <c r="R118" s="2309"/>
      <c r="S118" s="2309"/>
      <c r="T118" s="2309"/>
      <c r="U118" s="2309"/>
      <c r="V118" s="2346" t="s">
        <v>2921</v>
      </c>
      <c r="W118" s="2347"/>
      <c r="X118" s="2347"/>
      <c r="Y118" s="2347"/>
      <c r="Z118" s="2347"/>
      <c r="AA118" s="2347"/>
      <c r="AB118" s="2347"/>
      <c r="AC118" s="2347"/>
      <c r="AD118" s="2347"/>
      <c r="AE118" s="2347"/>
      <c r="AF118" s="2347"/>
      <c r="AG118" s="2347"/>
      <c r="AH118" s="2347"/>
      <c r="AI118" s="2347"/>
      <c r="AJ118" s="2348"/>
      <c r="AK118" s="192"/>
    </row>
    <row r="119" spans="1:37" ht="33.75" customHeight="1" x14ac:dyDescent="0.25">
      <c r="A119" s="2287" t="s">
        <v>54</v>
      </c>
      <c r="B119" s="2287"/>
      <c r="C119" s="2287"/>
      <c r="D119" s="2287"/>
      <c r="E119" s="2287"/>
      <c r="F119" s="2287"/>
      <c r="G119" s="2315" t="s">
        <v>277</v>
      </c>
      <c r="H119" s="2316"/>
      <c r="I119" s="2317"/>
      <c r="J119" s="2426" t="s">
        <v>281</v>
      </c>
      <c r="K119" s="2427"/>
      <c r="L119" s="2428"/>
      <c r="M119" s="2315" t="s">
        <v>282</v>
      </c>
      <c r="N119" s="2316"/>
      <c r="O119" s="2317"/>
      <c r="P119" s="2426" t="s">
        <v>285</v>
      </c>
      <c r="Q119" s="2427"/>
      <c r="R119" s="2428"/>
      <c r="S119" s="2429" t="s">
        <v>1977</v>
      </c>
      <c r="T119" s="2430"/>
      <c r="U119" s="2431"/>
      <c r="V119" s="2426" t="s">
        <v>277</v>
      </c>
      <c r="W119" s="2427"/>
      <c r="X119" s="2428"/>
      <c r="Y119" s="2315" t="s">
        <v>281</v>
      </c>
      <c r="Z119" s="2316"/>
      <c r="AA119" s="2317"/>
      <c r="AB119" s="2426" t="s">
        <v>282</v>
      </c>
      <c r="AC119" s="2427"/>
      <c r="AD119" s="2428"/>
      <c r="AE119" s="2315" t="s">
        <v>285</v>
      </c>
      <c r="AF119" s="2316"/>
      <c r="AG119" s="2317"/>
      <c r="AH119" s="2432" t="s">
        <v>1977</v>
      </c>
      <c r="AI119" s="2433"/>
      <c r="AJ119" s="2434"/>
      <c r="AK119" s="192"/>
    </row>
    <row r="120" spans="1:37" x14ac:dyDescent="0.25">
      <c r="A120" s="2507" t="s">
        <v>1984</v>
      </c>
      <c r="B120" s="2507"/>
      <c r="C120" s="2507"/>
      <c r="D120" s="2507"/>
      <c r="E120" s="2507"/>
      <c r="F120" s="2507"/>
      <c r="G120" s="2154">
        <v>2E-3</v>
      </c>
      <c r="H120" s="2155"/>
      <c r="I120" s="2156"/>
      <c r="J120" s="2154">
        <v>2E-3</v>
      </c>
      <c r="K120" s="2155"/>
      <c r="L120" s="2156"/>
      <c r="M120" s="2154">
        <v>3.0000000000000001E-3</v>
      </c>
      <c r="N120" s="2155"/>
      <c r="O120" s="2156"/>
      <c r="P120" s="2154">
        <v>4.0000000000000001E-3</v>
      </c>
      <c r="Q120" s="2155"/>
      <c r="R120" s="2156"/>
      <c r="S120" s="2154">
        <v>5.0000000000000001E-3</v>
      </c>
      <c r="T120" s="2155"/>
      <c r="U120" s="2156"/>
      <c r="V120" s="2157">
        <v>12.08</v>
      </c>
      <c r="W120" s="2158"/>
      <c r="X120" s="2159"/>
      <c r="Y120" s="2157">
        <v>10.52</v>
      </c>
      <c r="Z120" s="2158"/>
      <c r="AA120" s="2159"/>
      <c r="AB120" s="2157">
        <v>16.61</v>
      </c>
      <c r="AC120" s="2158"/>
      <c r="AD120" s="2159"/>
      <c r="AE120" s="2157">
        <v>22.28</v>
      </c>
      <c r="AF120" s="2158"/>
      <c r="AG120" s="2159"/>
      <c r="AH120" s="2157">
        <v>28.79</v>
      </c>
      <c r="AI120" s="2158"/>
      <c r="AJ120" s="2159"/>
      <c r="AK120" s="192"/>
    </row>
    <row r="121" spans="1:37" x14ac:dyDescent="0.25">
      <c r="A121" s="2507" t="s">
        <v>221</v>
      </c>
      <c r="B121" s="2507"/>
      <c r="C121" s="2507"/>
      <c r="D121" s="2507"/>
      <c r="E121" s="2507"/>
      <c r="F121" s="2507"/>
      <c r="G121" s="2154">
        <v>1E-3</v>
      </c>
      <c r="H121" s="2155"/>
      <c r="I121" s="2156"/>
      <c r="J121" s="2154">
        <v>1E-3</v>
      </c>
      <c r="K121" s="2155"/>
      <c r="L121" s="2156"/>
      <c r="M121" s="2154">
        <v>2E-3</v>
      </c>
      <c r="N121" s="2155"/>
      <c r="O121" s="2156"/>
      <c r="P121" s="2154">
        <v>3.0000000000000001E-3</v>
      </c>
      <c r="Q121" s="2155"/>
      <c r="R121" s="2156"/>
      <c r="S121" s="2154">
        <v>4.0000000000000001E-3</v>
      </c>
      <c r="T121" s="2155"/>
      <c r="U121" s="2156"/>
      <c r="V121" s="2157">
        <v>42.91</v>
      </c>
      <c r="W121" s="2158"/>
      <c r="X121" s="2159"/>
      <c r="Y121" s="2157">
        <v>37.369999999999997</v>
      </c>
      <c r="Z121" s="2158"/>
      <c r="AA121" s="2159"/>
      <c r="AB121" s="2157">
        <v>59</v>
      </c>
      <c r="AC121" s="2158"/>
      <c r="AD121" s="2159"/>
      <c r="AE121" s="2157">
        <v>79.13</v>
      </c>
      <c r="AF121" s="2158"/>
      <c r="AG121" s="2159"/>
      <c r="AH121" s="2157">
        <v>102.25</v>
      </c>
      <c r="AI121" s="2158"/>
      <c r="AJ121" s="2159"/>
      <c r="AK121" s="192"/>
    </row>
    <row r="122" spans="1:37" x14ac:dyDescent="0.25">
      <c r="A122" s="2507" t="s">
        <v>222</v>
      </c>
      <c r="B122" s="2507"/>
      <c r="C122" s="2507"/>
      <c r="D122" s="2507"/>
      <c r="E122" s="2507"/>
      <c r="F122" s="2507"/>
      <c r="G122" s="2154">
        <v>2E-3</v>
      </c>
      <c r="H122" s="2155"/>
      <c r="I122" s="2156"/>
      <c r="J122" s="2154">
        <v>2E-3</v>
      </c>
      <c r="K122" s="2155"/>
      <c r="L122" s="2156"/>
      <c r="M122" s="2154">
        <v>3.0000000000000001E-3</v>
      </c>
      <c r="N122" s="2155"/>
      <c r="O122" s="2156"/>
      <c r="P122" s="2154">
        <v>4.0000000000000001E-3</v>
      </c>
      <c r="Q122" s="2155"/>
      <c r="R122" s="2156"/>
      <c r="S122" s="2154">
        <v>5.0000000000000001E-3</v>
      </c>
      <c r="T122" s="2155"/>
      <c r="U122" s="2156"/>
      <c r="V122" s="2157">
        <v>10.93</v>
      </c>
      <c r="W122" s="2158"/>
      <c r="X122" s="2159"/>
      <c r="Y122" s="2157">
        <v>9.52</v>
      </c>
      <c r="Z122" s="2158"/>
      <c r="AA122" s="2159"/>
      <c r="AB122" s="2157">
        <v>15.04</v>
      </c>
      <c r="AC122" s="2158"/>
      <c r="AD122" s="2159"/>
      <c r="AE122" s="2157">
        <v>20.170000000000002</v>
      </c>
      <c r="AF122" s="2158"/>
      <c r="AG122" s="2159"/>
      <c r="AH122" s="2157">
        <v>26.06</v>
      </c>
      <c r="AI122" s="2158"/>
      <c r="AJ122" s="2159"/>
      <c r="AK122" s="192"/>
    </row>
    <row r="123" spans="1:37" x14ac:dyDescent="0.25">
      <c r="A123" s="2507" t="s">
        <v>223</v>
      </c>
      <c r="B123" s="2507"/>
      <c r="C123" s="2507"/>
      <c r="D123" s="2507"/>
      <c r="E123" s="2507"/>
      <c r="F123" s="2507"/>
      <c r="G123" s="2154">
        <v>5.0000000000000001E-3</v>
      </c>
      <c r="H123" s="2155"/>
      <c r="I123" s="2156"/>
      <c r="J123" s="2154">
        <v>4.0000000000000001E-3</v>
      </c>
      <c r="K123" s="2155"/>
      <c r="L123" s="2156"/>
      <c r="M123" s="2154">
        <v>6.0000000000000001E-3</v>
      </c>
      <c r="N123" s="2155"/>
      <c r="O123" s="2156"/>
      <c r="P123" s="2154">
        <v>8.0000000000000002E-3</v>
      </c>
      <c r="Q123" s="2155"/>
      <c r="R123" s="2156"/>
      <c r="S123" s="2154">
        <v>1.0999999999999999E-2</v>
      </c>
      <c r="T123" s="2155"/>
      <c r="U123" s="2156"/>
      <c r="V123" s="2157">
        <v>32.619999999999997</v>
      </c>
      <c r="W123" s="2158"/>
      <c r="X123" s="2159"/>
      <c r="Y123" s="2157">
        <v>28.41</v>
      </c>
      <c r="Z123" s="2158"/>
      <c r="AA123" s="2159"/>
      <c r="AB123" s="2157">
        <v>44.85</v>
      </c>
      <c r="AC123" s="2158"/>
      <c r="AD123" s="2159"/>
      <c r="AE123" s="2157">
        <v>60.16</v>
      </c>
      <c r="AF123" s="2158"/>
      <c r="AG123" s="2159"/>
      <c r="AH123" s="2157">
        <v>77.73</v>
      </c>
      <c r="AI123" s="2158"/>
      <c r="AJ123" s="2159"/>
      <c r="AK123" s="192"/>
    </row>
    <row r="124" spans="1:37" x14ac:dyDescent="0.25">
      <c r="A124" s="2507" t="s">
        <v>224</v>
      </c>
      <c r="B124" s="2507"/>
      <c r="C124" s="2507"/>
      <c r="D124" s="2507"/>
      <c r="E124" s="2507"/>
      <c r="F124" s="2507"/>
      <c r="G124" s="2154">
        <v>5.0000000000000001E-3</v>
      </c>
      <c r="H124" s="2155"/>
      <c r="I124" s="2156"/>
      <c r="J124" s="2154">
        <v>4.0000000000000001E-3</v>
      </c>
      <c r="K124" s="2155"/>
      <c r="L124" s="2156"/>
      <c r="M124" s="2154">
        <v>7.0000000000000001E-3</v>
      </c>
      <c r="N124" s="2155"/>
      <c r="O124" s="2156"/>
      <c r="P124" s="2154">
        <v>8.9999999999999993E-3</v>
      </c>
      <c r="Q124" s="2155"/>
      <c r="R124" s="2156"/>
      <c r="S124" s="2154">
        <v>1.0999999999999999E-2</v>
      </c>
      <c r="T124" s="2155"/>
      <c r="U124" s="2156"/>
      <c r="V124" s="2157">
        <v>35.75</v>
      </c>
      <c r="W124" s="2158"/>
      <c r="X124" s="2159"/>
      <c r="Y124" s="2157">
        <v>31.14</v>
      </c>
      <c r="Z124" s="2158"/>
      <c r="AA124" s="2159"/>
      <c r="AB124" s="2157">
        <v>49.16</v>
      </c>
      <c r="AC124" s="2158"/>
      <c r="AD124" s="2159"/>
      <c r="AE124" s="2157">
        <v>65.930000000000007</v>
      </c>
      <c r="AF124" s="2158"/>
      <c r="AG124" s="2159"/>
      <c r="AH124" s="2157">
        <v>85.19</v>
      </c>
      <c r="AI124" s="2158"/>
      <c r="AJ124" s="2159"/>
      <c r="AK124" s="192"/>
    </row>
    <row r="125" spans="1:37" x14ac:dyDescent="0.25">
      <c r="A125" s="2507" t="s">
        <v>225</v>
      </c>
      <c r="B125" s="2507"/>
      <c r="C125" s="2507"/>
      <c r="D125" s="2507"/>
      <c r="E125" s="2507"/>
      <c r="F125" s="2507"/>
      <c r="G125" s="2154">
        <v>2E-3</v>
      </c>
      <c r="H125" s="2155"/>
      <c r="I125" s="2156"/>
      <c r="J125" s="2154">
        <v>2E-3</v>
      </c>
      <c r="K125" s="2155"/>
      <c r="L125" s="2156"/>
      <c r="M125" s="2154">
        <v>3.0000000000000001E-3</v>
      </c>
      <c r="N125" s="2155"/>
      <c r="O125" s="2156"/>
      <c r="P125" s="2154">
        <v>4.0000000000000001E-3</v>
      </c>
      <c r="Q125" s="2155"/>
      <c r="R125" s="2156"/>
      <c r="S125" s="2154">
        <v>5.0000000000000001E-3</v>
      </c>
      <c r="T125" s="2155"/>
      <c r="U125" s="2156"/>
      <c r="V125" s="2157">
        <v>10.35</v>
      </c>
      <c r="W125" s="2158"/>
      <c r="X125" s="2159"/>
      <c r="Y125" s="2157">
        <v>9.01</v>
      </c>
      <c r="Z125" s="2158"/>
      <c r="AA125" s="2159"/>
      <c r="AB125" s="2157">
        <v>14.23</v>
      </c>
      <c r="AC125" s="2158"/>
      <c r="AD125" s="2159"/>
      <c r="AE125" s="2157">
        <v>19.079999999999998</v>
      </c>
      <c r="AF125" s="2158"/>
      <c r="AG125" s="2159"/>
      <c r="AH125" s="2157">
        <v>24.66</v>
      </c>
      <c r="AI125" s="2158"/>
      <c r="AJ125" s="2159"/>
      <c r="AK125" s="192"/>
    </row>
    <row r="126" spans="1:37" x14ac:dyDescent="0.25">
      <c r="A126" s="2507" t="s">
        <v>226</v>
      </c>
      <c r="B126" s="2507"/>
      <c r="C126" s="2507"/>
      <c r="D126" s="2507"/>
      <c r="E126" s="2507"/>
      <c r="F126" s="2507"/>
      <c r="G126" s="2154">
        <v>4.0000000000000001E-3</v>
      </c>
      <c r="H126" s="2155"/>
      <c r="I126" s="2156"/>
      <c r="J126" s="2154">
        <v>3.0000000000000001E-3</v>
      </c>
      <c r="K126" s="2155"/>
      <c r="L126" s="2156"/>
      <c r="M126" s="2154">
        <v>5.0000000000000001E-3</v>
      </c>
      <c r="N126" s="2155"/>
      <c r="O126" s="2156"/>
      <c r="P126" s="2154">
        <v>7.0000000000000001E-3</v>
      </c>
      <c r="Q126" s="2155"/>
      <c r="R126" s="2156"/>
      <c r="S126" s="2154">
        <v>8.9999999999999993E-3</v>
      </c>
      <c r="T126" s="2155"/>
      <c r="U126" s="2156"/>
      <c r="V126" s="2157">
        <v>14.03</v>
      </c>
      <c r="W126" s="2158"/>
      <c r="X126" s="2159"/>
      <c r="Y126" s="2157">
        <v>12.22</v>
      </c>
      <c r="Z126" s="2158"/>
      <c r="AA126" s="2159"/>
      <c r="AB126" s="2157">
        <v>19.29</v>
      </c>
      <c r="AC126" s="2158"/>
      <c r="AD126" s="2159"/>
      <c r="AE126" s="2157">
        <v>25.87</v>
      </c>
      <c r="AF126" s="2158"/>
      <c r="AG126" s="2159"/>
      <c r="AH126" s="2157">
        <v>33.43</v>
      </c>
      <c r="AI126" s="2158"/>
      <c r="AJ126" s="2159"/>
      <c r="AK126" s="192"/>
    </row>
    <row r="127" spans="1:37" x14ac:dyDescent="0.25">
      <c r="A127" s="2507" t="s">
        <v>55</v>
      </c>
      <c r="B127" s="2507"/>
      <c r="C127" s="2507"/>
      <c r="D127" s="2507"/>
      <c r="E127" s="2507"/>
      <c r="F127" s="2507"/>
      <c r="G127" s="2154">
        <v>1E-3</v>
      </c>
      <c r="H127" s="2155"/>
      <c r="I127" s="2156"/>
      <c r="J127" s="2154">
        <v>1E-3</v>
      </c>
      <c r="K127" s="2155"/>
      <c r="L127" s="2156"/>
      <c r="M127" s="2154">
        <v>2E-3</v>
      </c>
      <c r="N127" s="2155"/>
      <c r="O127" s="2156"/>
      <c r="P127" s="2154">
        <v>3.0000000000000001E-3</v>
      </c>
      <c r="Q127" s="2155"/>
      <c r="R127" s="2156"/>
      <c r="S127" s="2154">
        <v>3.0000000000000001E-3</v>
      </c>
      <c r="T127" s="2155"/>
      <c r="U127" s="2156"/>
      <c r="V127" s="2157">
        <v>12.99</v>
      </c>
      <c r="W127" s="2158"/>
      <c r="X127" s="2159"/>
      <c r="Y127" s="2157">
        <v>11.32</v>
      </c>
      <c r="Z127" s="2158"/>
      <c r="AA127" s="2159"/>
      <c r="AB127" s="2157">
        <v>17.87</v>
      </c>
      <c r="AC127" s="2158"/>
      <c r="AD127" s="2159"/>
      <c r="AE127" s="2157">
        <v>23.96</v>
      </c>
      <c r="AF127" s="2158"/>
      <c r="AG127" s="2159"/>
      <c r="AH127" s="2157">
        <v>30.96</v>
      </c>
      <c r="AI127" s="2158"/>
      <c r="AJ127" s="2159"/>
      <c r="AK127" s="192"/>
    </row>
    <row r="128" spans="1:37" x14ac:dyDescent="0.25">
      <c r="A128" s="2507" t="s">
        <v>227</v>
      </c>
      <c r="B128" s="2507"/>
      <c r="C128" s="2507"/>
      <c r="D128" s="2507"/>
      <c r="E128" s="2507"/>
      <c r="F128" s="2507"/>
      <c r="G128" s="2154">
        <v>4.0000000000000001E-3</v>
      </c>
      <c r="H128" s="2155"/>
      <c r="I128" s="2156"/>
      <c r="J128" s="2154">
        <v>3.0000000000000001E-3</v>
      </c>
      <c r="K128" s="2155"/>
      <c r="L128" s="2156"/>
      <c r="M128" s="2154">
        <v>5.0000000000000001E-3</v>
      </c>
      <c r="N128" s="2155"/>
      <c r="O128" s="2156"/>
      <c r="P128" s="2154">
        <v>7.0000000000000001E-3</v>
      </c>
      <c r="Q128" s="2155"/>
      <c r="R128" s="2156"/>
      <c r="S128" s="2154">
        <v>8.9999999999999993E-3</v>
      </c>
      <c r="T128" s="2155"/>
      <c r="U128" s="2156"/>
      <c r="V128" s="2157">
        <v>27.66</v>
      </c>
      <c r="W128" s="2158"/>
      <c r="X128" s="2159"/>
      <c r="Y128" s="2157">
        <v>24.09</v>
      </c>
      <c r="Z128" s="2158"/>
      <c r="AA128" s="2159"/>
      <c r="AB128" s="2157">
        <v>38.03</v>
      </c>
      <c r="AC128" s="2158"/>
      <c r="AD128" s="2159"/>
      <c r="AE128" s="2157">
        <v>51</v>
      </c>
      <c r="AF128" s="2158"/>
      <c r="AG128" s="2159"/>
      <c r="AH128" s="2157">
        <v>65.91</v>
      </c>
      <c r="AI128" s="2158"/>
      <c r="AJ128" s="2159"/>
      <c r="AK128" s="192"/>
    </row>
    <row r="129" spans="1:37" x14ac:dyDescent="0.25">
      <c r="A129" s="2507" t="s">
        <v>228</v>
      </c>
      <c r="B129" s="2507"/>
      <c r="C129" s="2507"/>
      <c r="D129" s="2507"/>
      <c r="E129" s="2507"/>
      <c r="F129" s="2507"/>
      <c r="G129" s="2154">
        <v>3.0000000000000001E-3</v>
      </c>
      <c r="H129" s="2155"/>
      <c r="I129" s="2156"/>
      <c r="J129" s="2154">
        <v>2E-3</v>
      </c>
      <c r="K129" s="2155"/>
      <c r="L129" s="2156"/>
      <c r="M129" s="2154">
        <v>4.0000000000000001E-3</v>
      </c>
      <c r="N129" s="2155"/>
      <c r="O129" s="2156"/>
      <c r="P129" s="2154">
        <v>5.0000000000000001E-3</v>
      </c>
      <c r="Q129" s="2155"/>
      <c r="R129" s="2156"/>
      <c r="S129" s="2154">
        <v>6.0000000000000001E-3</v>
      </c>
      <c r="T129" s="2155"/>
      <c r="U129" s="2156"/>
      <c r="V129" s="2157">
        <v>15.73</v>
      </c>
      <c r="W129" s="2158"/>
      <c r="X129" s="2159"/>
      <c r="Y129" s="2157">
        <v>13.7</v>
      </c>
      <c r="Z129" s="2158"/>
      <c r="AA129" s="2159"/>
      <c r="AB129" s="2157">
        <v>21.63</v>
      </c>
      <c r="AC129" s="2158"/>
      <c r="AD129" s="2159"/>
      <c r="AE129" s="2157">
        <v>29.01</v>
      </c>
      <c r="AF129" s="2158"/>
      <c r="AG129" s="2159"/>
      <c r="AH129" s="2157">
        <v>37.49</v>
      </c>
      <c r="AI129" s="2158"/>
      <c r="AJ129" s="2159"/>
      <c r="AK129" s="192"/>
    </row>
    <row r="130" spans="1:37" x14ac:dyDescent="0.25">
      <c r="A130" s="2507" t="s">
        <v>229</v>
      </c>
      <c r="B130" s="2507"/>
      <c r="C130" s="2507"/>
      <c r="D130" s="2507"/>
      <c r="E130" s="2507"/>
      <c r="F130" s="2507"/>
      <c r="G130" s="2154">
        <v>0</v>
      </c>
      <c r="H130" s="2155"/>
      <c r="I130" s="2156"/>
      <c r="J130" s="2154">
        <v>0</v>
      </c>
      <c r="K130" s="2155"/>
      <c r="L130" s="2156"/>
      <c r="M130" s="2154">
        <v>1E-3</v>
      </c>
      <c r="N130" s="2155"/>
      <c r="O130" s="2156"/>
      <c r="P130" s="2154">
        <v>1E-3</v>
      </c>
      <c r="Q130" s="2155"/>
      <c r="R130" s="2156"/>
      <c r="S130" s="2154">
        <v>1E-3</v>
      </c>
      <c r="T130" s="2155"/>
      <c r="U130" s="2156"/>
      <c r="V130" s="2157">
        <v>9.9700000000000006</v>
      </c>
      <c r="W130" s="2158"/>
      <c r="X130" s="2159"/>
      <c r="Y130" s="2157">
        <v>8.68</v>
      </c>
      <c r="Z130" s="2158"/>
      <c r="AA130" s="2159"/>
      <c r="AB130" s="2157">
        <v>13.71</v>
      </c>
      <c r="AC130" s="2158"/>
      <c r="AD130" s="2159"/>
      <c r="AE130" s="2157">
        <v>18.38</v>
      </c>
      <c r="AF130" s="2158"/>
      <c r="AG130" s="2159"/>
      <c r="AH130" s="2157">
        <v>23.75</v>
      </c>
      <c r="AI130" s="2158"/>
      <c r="AJ130" s="2159"/>
      <c r="AK130" s="192"/>
    </row>
    <row r="131" spans="1:37" x14ac:dyDescent="0.25">
      <c r="A131" s="742"/>
      <c r="B131" s="742"/>
      <c r="C131" s="743"/>
      <c r="D131" s="743"/>
      <c r="E131" s="743"/>
      <c r="F131" s="743"/>
      <c r="G131" s="743"/>
      <c r="H131" s="743"/>
      <c r="I131" s="743"/>
      <c r="J131" s="743"/>
      <c r="K131" s="743"/>
      <c r="L131" s="743"/>
      <c r="M131" s="743"/>
      <c r="N131" s="743"/>
      <c r="O131" s="743"/>
      <c r="P131" s="743"/>
      <c r="Q131" s="743"/>
      <c r="R131" s="743"/>
      <c r="S131" s="743"/>
      <c r="T131" s="743"/>
      <c r="U131" s="743"/>
      <c r="V131" s="743"/>
      <c r="W131" s="743"/>
      <c r="X131" s="743"/>
      <c r="Y131" s="743"/>
      <c r="Z131" s="743"/>
      <c r="AA131" s="743"/>
      <c r="AB131" s="743"/>
      <c r="AC131" s="743"/>
      <c r="AD131" s="743"/>
      <c r="AE131" s="743"/>
      <c r="AF131" s="743"/>
      <c r="AG131" s="743"/>
      <c r="AH131" s="743"/>
      <c r="AI131" s="743"/>
      <c r="AJ131" s="743"/>
      <c r="AK131" s="743"/>
    </row>
    <row r="132" spans="1:37" x14ac:dyDescent="0.25">
      <c r="A132" s="672"/>
      <c r="B132" s="519" t="s">
        <v>6588</v>
      </c>
      <c r="C132" s="742"/>
      <c r="D132" s="192"/>
      <c r="E132" s="192"/>
      <c r="F132" s="192"/>
      <c r="G132" s="959"/>
      <c r="H132" s="192"/>
      <c r="I132" s="192"/>
      <c r="J132" s="192"/>
      <c r="K132" s="959"/>
      <c r="L132" s="192"/>
      <c r="M132" s="192"/>
      <c r="N132" s="192"/>
      <c r="O132" s="959"/>
      <c r="P132" s="192"/>
      <c r="Q132" s="192"/>
      <c r="R132" s="192"/>
      <c r="S132" s="959"/>
      <c r="T132" s="192"/>
      <c r="U132" s="192"/>
      <c r="V132" s="192"/>
      <c r="W132" s="192"/>
      <c r="X132" s="192"/>
      <c r="Y132" s="192"/>
      <c r="Z132" s="192"/>
      <c r="AA132" s="959"/>
      <c r="AB132" s="192"/>
      <c r="AC132" s="192"/>
      <c r="AD132" s="192"/>
      <c r="AE132" s="192"/>
      <c r="AF132" s="192"/>
      <c r="AG132" s="959"/>
      <c r="AH132" s="192"/>
      <c r="AI132" s="192"/>
      <c r="AJ132" s="192"/>
      <c r="AK132" s="959"/>
    </row>
    <row r="133" spans="1:37" x14ac:dyDescent="0.25">
      <c r="A133" s="742"/>
      <c r="B133" s="742"/>
      <c r="C133" s="743"/>
      <c r="D133" s="743"/>
      <c r="E133" s="743"/>
      <c r="F133" s="743"/>
      <c r="G133" s="743"/>
      <c r="H133" s="743"/>
      <c r="I133" s="743"/>
      <c r="J133" s="743"/>
      <c r="K133" s="743"/>
      <c r="L133" s="743"/>
      <c r="M133" s="743"/>
      <c r="N133" s="743"/>
      <c r="O133" s="743"/>
      <c r="P133" s="743"/>
      <c r="Q133" s="743"/>
      <c r="R133" s="743"/>
      <c r="S133" s="743"/>
      <c r="T133" s="743"/>
      <c r="U133" s="743"/>
      <c r="V133" s="743"/>
      <c r="W133" s="743"/>
      <c r="X133" s="743"/>
      <c r="Y133" s="743"/>
      <c r="Z133" s="743"/>
      <c r="AA133" s="743"/>
      <c r="AB133" s="743"/>
      <c r="AC133" s="743"/>
      <c r="AD133" s="743"/>
      <c r="AE133" s="743"/>
      <c r="AF133" s="743"/>
      <c r="AG133" s="743"/>
      <c r="AH133" s="743"/>
      <c r="AI133" s="743"/>
      <c r="AJ133" s="743"/>
      <c r="AK133" s="743"/>
    </row>
    <row r="134" spans="1:37" x14ac:dyDescent="0.25">
      <c r="A134" s="740" t="s">
        <v>6572</v>
      </c>
      <c r="B134" s="740"/>
      <c r="C134" s="740"/>
      <c r="D134" s="740"/>
      <c r="E134" s="740"/>
      <c r="F134" s="740"/>
      <c r="G134" s="740"/>
      <c r="H134" s="740"/>
      <c r="I134" s="740"/>
      <c r="J134" s="740"/>
      <c r="K134" s="740"/>
      <c r="L134" s="740"/>
      <c r="M134" s="740"/>
      <c r="N134" s="740"/>
      <c r="O134" s="740"/>
      <c r="P134" s="740"/>
      <c r="Q134" s="740"/>
      <c r="R134" s="740"/>
      <c r="S134" s="740"/>
      <c r="T134" s="740"/>
      <c r="U134" s="740"/>
      <c r="V134" s="740"/>
      <c r="W134" s="740"/>
      <c r="X134" s="740"/>
      <c r="Y134" s="740"/>
      <c r="Z134" s="740"/>
      <c r="AA134" s="740"/>
      <c r="AB134" s="740"/>
      <c r="AC134" s="740"/>
      <c r="AD134" s="740"/>
      <c r="AE134" s="740"/>
      <c r="AF134" s="740"/>
      <c r="AG134" s="740"/>
      <c r="AH134" s="740"/>
      <c r="AI134" s="197"/>
      <c r="AJ134" s="197"/>
      <c r="AK134" s="197"/>
    </row>
    <row r="135" spans="1:37" x14ac:dyDescent="0.25">
      <c r="A135" s="197"/>
      <c r="B135" s="197"/>
      <c r="C135" s="197"/>
      <c r="D135" s="197"/>
      <c r="E135" s="197"/>
      <c r="F135" s="197"/>
      <c r="G135" s="2363" t="s">
        <v>1945</v>
      </c>
      <c r="H135" s="2364"/>
      <c r="I135" s="2364"/>
      <c r="J135" s="2364"/>
      <c r="K135" s="2364"/>
      <c r="L135" s="2364"/>
      <c r="M135" s="2364"/>
      <c r="N135" s="2364"/>
      <c r="O135" s="2364"/>
      <c r="P135" s="2364"/>
      <c r="Q135" s="2364"/>
      <c r="R135" s="2364"/>
      <c r="S135" s="2364"/>
      <c r="T135" s="2364"/>
      <c r="U135" s="2364"/>
      <c r="V135" s="2364"/>
      <c r="W135" s="2364"/>
      <c r="X135" s="2364"/>
      <c r="Y135" s="2364"/>
      <c r="Z135" s="2364"/>
      <c r="AA135" s="2364"/>
      <c r="AB135" s="2364"/>
      <c r="AC135" s="2364"/>
      <c r="AD135" s="2364"/>
      <c r="AE135" s="2364"/>
      <c r="AF135" s="2364"/>
      <c r="AG135" s="2364"/>
      <c r="AH135" s="2364"/>
      <c r="AI135" s="2364"/>
      <c r="AJ135" s="2365"/>
      <c r="AK135" s="192"/>
    </row>
    <row r="136" spans="1:37" x14ac:dyDescent="0.25">
      <c r="A136" s="2287" t="s">
        <v>54</v>
      </c>
      <c r="B136" s="2287"/>
      <c r="C136" s="2287"/>
      <c r="D136" s="2287"/>
      <c r="E136" s="2287"/>
      <c r="F136" s="2287"/>
      <c r="G136" s="2366" t="s">
        <v>277</v>
      </c>
      <c r="H136" s="2367"/>
      <c r="I136" s="2367"/>
      <c r="J136" s="2367"/>
      <c r="K136" s="2367"/>
      <c r="L136" s="2368"/>
      <c r="M136" s="2369" t="s">
        <v>281</v>
      </c>
      <c r="N136" s="2370"/>
      <c r="O136" s="2370"/>
      <c r="P136" s="2370"/>
      <c r="Q136" s="2370"/>
      <c r="R136" s="2371"/>
      <c r="S136" s="2366" t="s">
        <v>282</v>
      </c>
      <c r="T136" s="2367"/>
      <c r="U136" s="2367"/>
      <c r="V136" s="2367"/>
      <c r="W136" s="2367"/>
      <c r="X136" s="2368"/>
      <c r="Y136" s="2369" t="s">
        <v>285</v>
      </c>
      <c r="Z136" s="2370"/>
      <c r="AA136" s="2370"/>
      <c r="AB136" s="2370"/>
      <c r="AC136" s="2370"/>
      <c r="AD136" s="2371"/>
      <c r="AE136" s="2366" t="s">
        <v>1977</v>
      </c>
      <c r="AF136" s="2367"/>
      <c r="AG136" s="2367"/>
      <c r="AH136" s="2367"/>
      <c r="AI136" s="2367"/>
      <c r="AJ136" s="2368"/>
      <c r="AK136" s="192"/>
    </row>
    <row r="137" spans="1:37" x14ac:dyDescent="0.25">
      <c r="A137" s="2507" t="s">
        <v>1984</v>
      </c>
      <c r="B137" s="2507"/>
      <c r="C137" s="2507"/>
      <c r="D137" s="2507"/>
      <c r="E137" s="2507"/>
      <c r="F137" s="2507"/>
      <c r="G137" s="2154">
        <v>96.64</v>
      </c>
      <c r="H137" s="2155"/>
      <c r="I137" s="2155"/>
      <c r="J137" s="2155"/>
      <c r="K137" s="2155"/>
      <c r="L137" s="2156"/>
      <c r="M137" s="2154">
        <v>84.16</v>
      </c>
      <c r="N137" s="2155"/>
      <c r="O137" s="2155"/>
      <c r="P137" s="2155"/>
      <c r="Q137" s="2155"/>
      <c r="R137" s="2156"/>
      <c r="S137" s="2154">
        <v>132.88</v>
      </c>
      <c r="T137" s="2155"/>
      <c r="U137" s="2155"/>
      <c r="V137" s="2155"/>
      <c r="W137" s="2155"/>
      <c r="X137" s="2156"/>
      <c r="Y137" s="2154">
        <v>178.24</v>
      </c>
      <c r="Z137" s="2155"/>
      <c r="AA137" s="2155"/>
      <c r="AB137" s="2155"/>
      <c r="AC137" s="2155"/>
      <c r="AD137" s="2156"/>
      <c r="AE137" s="2154">
        <v>230.32</v>
      </c>
      <c r="AF137" s="2155"/>
      <c r="AG137" s="2155"/>
      <c r="AH137" s="2155"/>
      <c r="AI137" s="2155"/>
      <c r="AJ137" s="2156"/>
      <c r="AK137" s="192"/>
    </row>
    <row r="138" spans="1:37" x14ac:dyDescent="0.25">
      <c r="A138" s="2507" t="s">
        <v>221</v>
      </c>
      <c r="B138" s="2507"/>
      <c r="C138" s="2507"/>
      <c r="D138" s="2507"/>
      <c r="E138" s="2507"/>
      <c r="F138" s="2507"/>
      <c r="G138" s="2154">
        <v>128.72999999999999</v>
      </c>
      <c r="H138" s="2155"/>
      <c r="I138" s="2155"/>
      <c r="J138" s="2155"/>
      <c r="K138" s="2155"/>
      <c r="L138" s="2156"/>
      <c r="M138" s="2154">
        <v>112.11</v>
      </c>
      <c r="N138" s="2155"/>
      <c r="O138" s="2155"/>
      <c r="P138" s="2155"/>
      <c r="Q138" s="2155"/>
      <c r="R138" s="2156"/>
      <c r="S138" s="2154">
        <v>177</v>
      </c>
      <c r="T138" s="2155"/>
      <c r="U138" s="2155"/>
      <c r="V138" s="2155"/>
      <c r="W138" s="2155"/>
      <c r="X138" s="2156"/>
      <c r="Y138" s="2154">
        <v>237.39</v>
      </c>
      <c r="Z138" s="2155"/>
      <c r="AA138" s="2155"/>
      <c r="AB138" s="2155"/>
      <c r="AC138" s="2155"/>
      <c r="AD138" s="2156"/>
      <c r="AE138" s="2154">
        <v>306.75</v>
      </c>
      <c r="AF138" s="2155"/>
      <c r="AG138" s="2155"/>
      <c r="AH138" s="2155"/>
      <c r="AI138" s="2155"/>
      <c r="AJ138" s="2156"/>
      <c r="AK138" s="192"/>
    </row>
    <row r="139" spans="1:37" x14ac:dyDescent="0.25">
      <c r="A139" s="2507" t="s">
        <v>222</v>
      </c>
      <c r="B139" s="2507"/>
      <c r="C139" s="2507"/>
      <c r="D139" s="2507"/>
      <c r="E139" s="2507"/>
      <c r="F139" s="2507"/>
      <c r="G139" s="2154">
        <v>109.3</v>
      </c>
      <c r="H139" s="2155"/>
      <c r="I139" s="2155"/>
      <c r="J139" s="2155"/>
      <c r="K139" s="2155"/>
      <c r="L139" s="2156"/>
      <c r="M139" s="2154">
        <v>95.2</v>
      </c>
      <c r="N139" s="2155"/>
      <c r="O139" s="2155"/>
      <c r="P139" s="2155"/>
      <c r="Q139" s="2155"/>
      <c r="R139" s="2156"/>
      <c r="S139" s="2154">
        <v>150.4</v>
      </c>
      <c r="T139" s="2155"/>
      <c r="U139" s="2155"/>
      <c r="V139" s="2155"/>
      <c r="W139" s="2155"/>
      <c r="X139" s="2156"/>
      <c r="Y139" s="2154">
        <v>201.7</v>
      </c>
      <c r="Z139" s="2155"/>
      <c r="AA139" s="2155"/>
      <c r="AB139" s="2155"/>
      <c r="AC139" s="2155"/>
      <c r="AD139" s="2156"/>
      <c r="AE139" s="2154">
        <v>260.60000000000002</v>
      </c>
      <c r="AF139" s="2155"/>
      <c r="AG139" s="2155"/>
      <c r="AH139" s="2155"/>
      <c r="AI139" s="2155"/>
      <c r="AJ139" s="2156"/>
      <c r="AK139" s="192"/>
    </row>
    <row r="140" spans="1:37" x14ac:dyDescent="0.25">
      <c r="A140" s="2507" t="s">
        <v>223</v>
      </c>
      <c r="B140" s="2507"/>
      <c r="C140" s="2507"/>
      <c r="D140" s="2507"/>
      <c r="E140" s="2507"/>
      <c r="F140" s="2507"/>
      <c r="G140" s="2154">
        <v>97.86</v>
      </c>
      <c r="H140" s="2155"/>
      <c r="I140" s="2155"/>
      <c r="J140" s="2155"/>
      <c r="K140" s="2155"/>
      <c r="L140" s="2156"/>
      <c r="M140" s="2154">
        <v>85.23</v>
      </c>
      <c r="N140" s="2155"/>
      <c r="O140" s="2155"/>
      <c r="P140" s="2155"/>
      <c r="Q140" s="2155"/>
      <c r="R140" s="2156"/>
      <c r="S140" s="2154">
        <v>134.55000000000001</v>
      </c>
      <c r="T140" s="2155"/>
      <c r="U140" s="2155"/>
      <c r="V140" s="2155"/>
      <c r="W140" s="2155"/>
      <c r="X140" s="2156"/>
      <c r="Y140" s="2154">
        <v>180.48</v>
      </c>
      <c r="Z140" s="2155"/>
      <c r="AA140" s="2155"/>
      <c r="AB140" s="2155"/>
      <c r="AC140" s="2155"/>
      <c r="AD140" s="2156"/>
      <c r="AE140" s="2154">
        <v>233.19</v>
      </c>
      <c r="AF140" s="2155"/>
      <c r="AG140" s="2155"/>
      <c r="AH140" s="2155"/>
      <c r="AI140" s="2155"/>
      <c r="AJ140" s="2156"/>
      <c r="AK140" s="192"/>
    </row>
    <row r="141" spans="1:37" x14ac:dyDescent="0.25">
      <c r="A141" s="2507" t="s">
        <v>224</v>
      </c>
      <c r="B141" s="2507"/>
      <c r="C141" s="2507"/>
      <c r="D141" s="2507"/>
      <c r="E141" s="2507"/>
      <c r="F141" s="2507"/>
      <c r="G141" s="2154">
        <v>107.25</v>
      </c>
      <c r="H141" s="2155"/>
      <c r="I141" s="2155"/>
      <c r="J141" s="2155"/>
      <c r="K141" s="2155"/>
      <c r="L141" s="2156"/>
      <c r="M141" s="2154">
        <v>93.42</v>
      </c>
      <c r="N141" s="2155"/>
      <c r="O141" s="2155"/>
      <c r="P141" s="2155"/>
      <c r="Q141" s="2155"/>
      <c r="R141" s="2156"/>
      <c r="S141" s="2154">
        <v>147.47999999999999</v>
      </c>
      <c r="T141" s="2155"/>
      <c r="U141" s="2155"/>
      <c r="V141" s="2155"/>
      <c r="W141" s="2155"/>
      <c r="X141" s="2156"/>
      <c r="Y141" s="2154">
        <v>197.79</v>
      </c>
      <c r="Z141" s="2155"/>
      <c r="AA141" s="2155"/>
      <c r="AB141" s="2155"/>
      <c r="AC141" s="2155"/>
      <c r="AD141" s="2156"/>
      <c r="AE141" s="2154">
        <v>255.57</v>
      </c>
      <c r="AF141" s="2155"/>
      <c r="AG141" s="2155"/>
      <c r="AH141" s="2155"/>
      <c r="AI141" s="2155"/>
      <c r="AJ141" s="2156"/>
      <c r="AK141" s="192"/>
    </row>
    <row r="142" spans="1:37" x14ac:dyDescent="0.25">
      <c r="A142" s="2507" t="s">
        <v>225</v>
      </c>
      <c r="B142" s="2507"/>
      <c r="C142" s="2507"/>
      <c r="D142" s="2507"/>
      <c r="E142" s="2507"/>
      <c r="F142" s="2507"/>
      <c r="G142" s="2154">
        <v>124.2</v>
      </c>
      <c r="H142" s="2155"/>
      <c r="I142" s="2155"/>
      <c r="J142" s="2155"/>
      <c r="K142" s="2155"/>
      <c r="L142" s="2156"/>
      <c r="M142" s="2154">
        <v>108.12</v>
      </c>
      <c r="N142" s="2155"/>
      <c r="O142" s="2155"/>
      <c r="P142" s="2155"/>
      <c r="Q142" s="2155"/>
      <c r="R142" s="2156"/>
      <c r="S142" s="2154">
        <v>170.76</v>
      </c>
      <c r="T142" s="2155"/>
      <c r="U142" s="2155"/>
      <c r="V142" s="2155"/>
      <c r="W142" s="2155"/>
      <c r="X142" s="2156"/>
      <c r="Y142" s="2154">
        <v>228.96</v>
      </c>
      <c r="Z142" s="2155"/>
      <c r="AA142" s="2155"/>
      <c r="AB142" s="2155"/>
      <c r="AC142" s="2155"/>
      <c r="AD142" s="2156"/>
      <c r="AE142" s="2154">
        <v>295.92</v>
      </c>
      <c r="AF142" s="2155"/>
      <c r="AG142" s="2155"/>
      <c r="AH142" s="2155"/>
      <c r="AI142" s="2155"/>
      <c r="AJ142" s="2156"/>
      <c r="AK142" s="192"/>
    </row>
    <row r="143" spans="1:37" x14ac:dyDescent="0.25">
      <c r="A143" s="2507" t="s">
        <v>226</v>
      </c>
      <c r="B143" s="2507"/>
      <c r="C143" s="2507"/>
      <c r="D143" s="2507"/>
      <c r="E143" s="2507"/>
      <c r="F143" s="2507"/>
      <c r="G143" s="2154">
        <v>98.21</v>
      </c>
      <c r="H143" s="2155"/>
      <c r="I143" s="2155"/>
      <c r="J143" s="2155"/>
      <c r="K143" s="2155"/>
      <c r="L143" s="2156"/>
      <c r="M143" s="2154">
        <v>85.54</v>
      </c>
      <c r="N143" s="2155"/>
      <c r="O143" s="2155"/>
      <c r="P143" s="2155"/>
      <c r="Q143" s="2155"/>
      <c r="R143" s="2156"/>
      <c r="S143" s="2154">
        <v>135.03</v>
      </c>
      <c r="T143" s="2155"/>
      <c r="U143" s="2155"/>
      <c r="V143" s="2155"/>
      <c r="W143" s="2155"/>
      <c r="X143" s="2156"/>
      <c r="Y143" s="2154">
        <v>181.09</v>
      </c>
      <c r="Z143" s="2155"/>
      <c r="AA143" s="2155"/>
      <c r="AB143" s="2155"/>
      <c r="AC143" s="2155"/>
      <c r="AD143" s="2156"/>
      <c r="AE143" s="2154">
        <v>234.01</v>
      </c>
      <c r="AF143" s="2155"/>
      <c r="AG143" s="2155"/>
      <c r="AH143" s="2155"/>
      <c r="AI143" s="2155"/>
      <c r="AJ143" s="2156"/>
      <c r="AK143" s="192"/>
    </row>
    <row r="144" spans="1:37" x14ac:dyDescent="0.25">
      <c r="A144" s="2507" t="s">
        <v>55</v>
      </c>
      <c r="B144" s="2507"/>
      <c r="C144" s="2507"/>
      <c r="D144" s="2507"/>
      <c r="E144" s="2507"/>
      <c r="F144" s="2507"/>
      <c r="G144" s="2154">
        <v>103.92</v>
      </c>
      <c r="H144" s="2155"/>
      <c r="I144" s="2155"/>
      <c r="J144" s="2155"/>
      <c r="K144" s="2155"/>
      <c r="L144" s="2156"/>
      <c r="M144" s="2154">
        <v>90.56</v>
      </c>
      <c r="N144" s="2155"/>
      <c r="O144" s="2155"/>
      <c r="P144" s="2155"/>
      <c r="Q144" s="2155"/>
      <c r="R144" s="2156"/>
      <c r="S144" s="2154">
        <v>142.96</v>
      </c>
      <c r="T144" s="2155"/>
      <c r="U144" s="2155"/>
      <c r="V144" s="2155"/>
      <c r="W144" s="2155"/>
      <c r="X144" s="2156"/>
      <c r="Y144" s="2154">
        <v>191.68</v>
      </c>
      <c r="Z144" s="2155"/>
      <c r="AA144" s="2155"/>
      <c r="AB144" s="2155"/>
      <c r="AC144" s="2155"/>
      <c r="AD144" s="2156"/>
      <c r="AE144" s="2154">
        <v>247.68</v>
      </c>
      <c r="AF144" s="2155"/>
      <c r="AG144" s="2155"/>
      <c r="AH144" s="2155"/>
      <c r="AI144" s="2155"/>
      <c r="AJ144" s="2156"/>
      <c r="AK144" s="192"/>
    </row>
    <row r="145" spans="1:37" x14ac:dyDescent="0.25">
      <c r="A145" s="2507" t="s">
        <v>227</v>
      </c>
      <c r="B145" s="2507"/>
      <c r="C145" s="2507"/>
      <c r="D145" s="2507"/>
      <c r="E145" s="2507"/>
      <c r="F145" s="2507"/>
      <c r="G145" s="2154">
        <v>110.64</v>
      </c>
      <c r="H145" s="2155"/>
      <c r="I145" s="2155"/>
      <c r="J145" s="2155"/>
      <c r="K145" s="2155"/>
      <c r="L145" s="2156"/>
      <c r="M145" s="2154">
        <v>96.36</v>
      </c>
      <c r="N145" s="2155"/>
      <c r="O145" s="2155"/>
      <c r="P145" s="2155"/>
      <c r="Q145" s="2155"/>
      <c r="R145" s="2156"/>
      <c r="S145" s="2154">
        <v>152.12</v>
      </c>
      <c r="T145" s="2155"/>
      <c r="U145" s="2155"/>
      <c r="V145" s="2155"/>
      <c r="W145" s="2155"/>
      <c r="X145" s="2156"/>
      <c r="Y145" s="2154">
        <v>204</v>
      </c>
      <c r="Z145" s="2155"/>
      <c r="AA145" s="2155"/>
      <c r="AB145" s="2155"/>
      <c r="AC145" s="2155"/>
      <c r="AD145" s="2156"/>
      <c r="AE145" s="2154">
        <v>263.64</v>
      </c>
      <c r="AF145" s="2155"/>
      <c r="AG145" s="2155"/>
      <c r="AH145" s="2155"/>
      <c r="AI145" s="2155"/>
      <c r="AJ145" s="2156"/>
      <c r="AK145" s="192"/>
    </row>
    <row r="146" spans="1:37" x14ac:dyDescent="0.25">
      <c r="A146" s="2507" t="s">
        <v>228</v>
      </c>
      <c r="B146" s="2507"/>
      <c r="C146" s="2507"/>
      <c r="D146" s="2507"/>
      <c r="E146" s="2507"/>
      <c r="F146" s="2507"/>
      <c r="G146" s="2154">
        <v>94.38</v>
      </c>
      <c r="H146" s="2155"/>
      <c r="I146" s="2155"/>
      <c r="J146" s="2155"/>
      <c r="K146" s="2155"/>
      <c r="L146" s="2156"/>
      <c r="M146" s="2154">
        <v>82.2</v>
      </c>
      <c r="N146" s="2155"/>
      <c r="O146" s="2155"/>
      <c r="P146" s="2155"/>
      <c r="Q146" s="2155"/>
      <c r="R146" s="2156"/>
      <c r="S146" s="2154">
        <v>129.78</v>
      </c>
      <c r="T146" s="2155"/>
      <c r="U146" s="2155"/>
      <c r="V146" s="2155"/>
      <c r="W146" s="2155"/>
      <c r="X146" s="2156"/>
      <c r="Y146" s="2154">
        <v>174.06</v>
      </c>
      <c r="Z146" s="2155"/>
      <c r="AA146" s="2155"/>
      <c r="AB146" s="2155"/>
      <c r="AC146" s="2155"/>
      <c r="AD146" s="2156"/>
      <c r="AE146" s="2154">
        <v>224.94</v>
      </c>
      <c r="AF146" s="2155"/>
      <c r="AG146" s="2155"/>
      <c r="AH146" s="2155"/>
      <c r="AI146" s="2155"/>
      <c r="AJ146" s="2156"/>
      <c r="AK146" s="192"/>
    </row>
    <row r="147" spans="1:37" x14ac:dyDescent="0.25">
      <c r="A147" s="2507" t="s">
        <v>229</v>
      </c>
      <c r="B147" s="2507"/>
      <c r="C147" s="2507"/>
      <c r="D147" s="2507"/>
      <c r="E147" s="2507"/>
      <c r="F147" s="2507"/>
      <c r="G147" s="2154">
        <v>89.73</v>
      </c>
      <c r="H147" s="2155"/>
      <c r="I147" s="2155"/>
      <c r="J147" s="2155"/>
      <c r="K147" s="2155"/>
      <c r="L147" s="2156"/>
      <c r="M147" s="2154">
        <v>78.12</v>
      </c>
      <c r="N147" s="2155"/>
      <c r="O147" s="2155"/>
      <c r="P147" s="2155"/>
      <c r="Q147" s="2155"/>
      <c r="R147" s="2156"/>
      <c r="S147" s="2154">
        <v>123.39</v>
      </c>
      <c r="T147" s="2155"/>
      <c r="U147" s="2155"/>
      <c r="V147" s="2155"/>
      <c r="W147" s="2155"/>
      <c r="X147" s="2156"/>
      <c r="Y147" s="2154">
        <v>165.42</v>
      </c>
      <c r="Z147" s="2155"/>
      <c r="AA147" s="2155"/>
      <c r="AB147" s="2155"/>
      <c r="AC147" s="2155"/>
      <c r="AD147" s="2156"/>
      <c r="AE147" s="2154">
        <v>213.75</v>
      </c>
      <c r="AF147" s="2155"/>
      <c r="AG147" s="2155"/>
      <c r="AH147" s="2155"/>
      <c r="AI147" s="2155"/>
      <c r="AJ147" s="2156"/>
      <c r="AK147" s="192"/>
    </row>
    <row r="148" spans="1:37" x14ac:dyDescent="0.25">
      <c r="A148" s="742"/>
      <c r="B148" s="742"/>
      <c r="C148" s="743"/>
      <c r="D148" s="743"/>
      <c r="E148" s="743"/>
      <c r="F148" s="743"/>
      <c r="G148" s="743"/>
      <c r="H148" s="743"/>
      <c r="I148" s="743"/>
      <c r="J148" s="743"/>
      <c r="K148" s="743"/>
      <c r="L148" s="743"/>
      <c r="M148" s="743"/>
      <c r="N148" s="743"/>
      <c r="O148" s="743"/>
      <c r="P148" s="743"/>
      <c r="Q148" s="743"/>
      <c r="R148" s="743"/>
      <c r="S148" s="743"/>
      <c r="T148" s="743"/>
      <c r="U148" s="743"/>
      <c r="V148" s="743"/>
      <c r="W148" s="743"/>
      <c r="X148" s="743"/>
      <c r="Y148" s="743"/>
      <c r="Z148" s="743"/>
      <c r="AA148" s="743"/>
      <c r="AB148" s="743"/>
      <c r="AC148" s="743"/>
      <c r="AD148" s="743"/>
      <c r="AE148" s="743"/>
      <c r="AF148" s="743"/>
      <c r="AG148" s="743"/>
      <c r="AH148" s="743"/>
      <c r="AI148" s="743"/>
      <c r="AJ148" s="743"/>
      <c r="AK148" s="743"/>
    </row>
    <row r="149" spans="1:37" x14ac:dyDescent="0.25">
      <c r="A149" s="1621" t="s">
        <v>1753</v>
      </c>
      <c r="B149" s="1621"/>
      <c r="C149" s="1621"/>
      <c r="D149" s="1621"/>
      <c r="E149" s="1621"/>
      <c r="F149" s="1621"/>
      <c r="G149" s="1621"/>
      <c r="H149" s="1621"/>
      <c r="I149" s="1621"/>
      <c r="J149" s="1621"/>
      <c r="K149" s="1621"/>
      <c r="L149" s="1621"/>
      <c r="M149" s="1621"/>
      <c r="N149" s="1621"/>
      <c r="O149" s="1621"/>
      <c r="P149" s="1621"/>
      <c r="Q149" s="1621"/>
      <c r="R149" s="1621"/>
      <c r="S149" s="1621"/>
      <c r="T149" s="1621"/>
      <c r="U149" s="1621"/>
      <c r="V149" s="1621"/>
      <c r="W149" s="1621"/>
      <c r="X149" s="1621"/>
      <c r="Y149" s="1621"/>
      <c r="Z149" s="1621"/>
      <c r="AA149" s="1621"/>
      <c r="AB149" s="1621"/>
      <c r="AC149" s="1621"/>
      <c r="AD149" s="1621"/>
      <c r="AE149" s="1621"/>
      <c r="AF149" s="1621"/>
      <c r="AG149" s="192"/>
      <c r="AH149" s="192"/>
      <c r="AI149" s="192"/>
      <c r="AJ149" s="192"/>
      <c r="AK149" s="192"/>
    </row>
    <row r="150" spans="1:37" x14ac:dyDescent="0.25">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row>
    <row r="151" spans="1:37" ht="30" customHeight="1" x14ac:dyDescent="0.25">
      <c r="A151" s="517" t="s">
        <v>1013</v>
      </c>
      <c r="B151" s="1168" t="s">
        <v>6573</v>
      </c>
      <c r="C151" s="1168"/>
      <c r="D151" s="1168"/>
      <c r="E151" s="1168"/>
      <c r="F151" s="1168"/>
      <c r="G151" s="1168"/>
      <c r="H151" s="1168"/>
      <c r="I151" s="1168"/>
      <c r="J151" s="1168"/>
      <c r="K151" s="1168"/>
      <c r="L151" s="1168"/>
      <c r="M151" s="1168"/>
      <c r="N151" s="1168"/>
      <c r="O151" s="1168"/>
      <c r="P151" s="1168"/>
      <c r="Q151" s="1168"/>
      <c r="R151" s="1168"/>
      <c r="S151" s="1168"/>
      <c r="T151" s="1168"/>
      <c r="U151" s="1168"/>
      <c r="V151" s="1168"/>
      <c r="W151" s="1168"/>
      <c r="X151" s="1168"/>
      <c r="Y151" s="1168"/>
      <c r="Z151" s="1168"/>
      <c r="AA151" s="1168"/>
      <c r="AB151" s="1168"/>
      <c r="AC151" s="1168"/>
      <c r="AD151" s="1168"/>
      <c r="AE151" s="1168"/>
      <c r="AF151" s="1168"/>
      <c r="AG151" s="192"/>
      <c r="AH151" s="192"/>
      <c r="AI151" s="192"/>
      <c r="AJ151" s="192"/>
      <c r="AK151" s="192"/>
    </row>
    <row r="152" spans="1:37" x14ac:dyDescent="0.25">
      <c r="A152" s="517" t="s">
        <v>1013</v>
      </c>
      <c r="B152" s="1168" t="s">
        <v>5692</v>
      </c>
      <c r="C152" s="1168"/>
      <c r="D152" s="1168"/>
      <c r="E152" s="1168"/>
      <c r="F152" s="1168"/>
      <c r="G152" s="1168"/>
      <c r="H152" s="1168"/>
      <c r="I152" s="1168"/>
      <c r="J152" s="1168"/>
      <c r="K152" s="1168"/>
      <c r="L152" s="1168"/>
      <c r="M152" s="1168"/>
      <c r="N152" s="1168"/>
      <c r="O152" s="1168"/>
      <c r="P152" s="1168"/>
      <c r="Q152" s="1168"/>
      <c r="R152" s="1168"/>
      <c r="S152" s="1168"/>
      <c r="T152" s="1168"/>
      <c r="U152" s="1168"/>
      <c r="V152" s="1168"/>
      <c r="W152" s="1168"/>
      <c r="X152" s="1168"/>
      <c r="Y152" s="1168"/>
      <c r="Z152" s="1168"/>
      <c r="AA152" s="1168"/>
      <c r="AB152" s="1168"/>
      <c r="AC152" s="1168"/>
      <c r="AD152" s="1168"/>
      <c r="AE152" s="1168"/>
      <c r="AF152" s="1168"/>
      <c r="AG152" s="192"/>
      <c r="AH152" s="192"/>
      <c r="AI152" s="192"/>
      <c r="AJ152" s="192"/>
      <c r="AK152" s="192"/>
    </row>
    <row r="153" spans="1:37" ht="15" customHeight="1" x14ac:dyDescent="0.25">
      <c r="A153" s="517" t="s">
        <v>1013</v>
      </c>
      <c r="B153" s="1168" t="s">
        <v>5693</v>
      </c>
      <c r="C153" s="1168"/>
      <c r="D153" s="1168"/>
      <c r="E153" s="1168"/>
      <c r="F153" s="1168"/>
      <c r="G153" s="1168"/>
      <c r="H153" s="1168"/>
      <c r="I153" s="1168"/>
      <c r="J153" s="1168"/>
      <c r="K153" s="1168"/>
      <c r="L153" s="1168"/>
      <c r="M153" s="1168"/>
      <c r="N153" s="1168"/>
      <c r="O153" s="1168"/>
      <c r="P153" s="1168"/>
      <c r="Q153" s="1168"/>
      <c r="R153" s="1168"/>
      <c r="S153" s="1168"/>
      <c r="T153" s="1168"/>
      <c r="U153" s="1168"/>
      <c r="V153" s="1168"/>
      <c r="W153" s="1168"/>
      <c r="X153" s="1168"/>
      <c r="Y153" s="1168"/>
      <c r="Z153" s="1168"/>
      <c r="AA153" s="1168"/>
      <c r="AB153" s="1168"/>
      <c r="AC153" s="1168"/>
      <c r="AD153" s="1168"/>
      <c r="AE153" s="1168"/>
      <c r="AF153" s="1168"/>
    </row>
    <row r="154" spans="1:37" ht="15" customHeight="1" x14ac:dyDescent="0.25">
      <c r="A154" s="515" t="s">
        <v>1013</v>
      </c>
      <c r="B154" s="1168" t="s">
        <v>5622</v>
      </c>
      <c r="C154" s="1168"/>
      <c r="D154" s="1168"/>
      <c r="E154" s="1168"/>
      <c r="F154" s="1168"/>
      <c r="G154" s="1168"/>
      <c r="H154" s="1168"/>
      <c r="I154" s="1168"/>
      <c r="J154" s="1168"/>
      <c r="K154" s="1168"/>
      <c r="L154" s="1168"/>
      <c r="M154" s="1168"/>
      <c r="N154" s="1168"/>
      <c r="O154" s="1168"/>
      <c r="P154" s="1168"/>
      <c r="Q154" s="1168"/>
      <c r="R154" s="1168"/>
      <c r="S154" s="1168"/>
      <c r="T154" s="1168"/>
      <c r="U154" s="1168"/>
      <c r="V154" s="1168"/>
      <c r="W154" s="1168"/>
      <c r="X154" s="1168"/>
      <c r="Y154" s="1168"/>
      <c r="Z154" s="1168"/>
      <c r="AA154" s="1168"/>
      <c r="AB154" s="1168"/>
      <c r="AC154" s="1168"/>
      <c r="AD154" s="1168"/>
      <c r="AE154" s="1168"/>
      <c r="AF154" s="1168"/>
    </row>
    <row r="155" spans="1:37" ht="64.5" customHeight="1" x14ac:dyDescent="0.25">
      <c r="A155" s="515" t="s">
        <v>1013</v>
      </c>
      <c r="B155" s="1173" t="s">
        <v>2954</v>
      </c>
      <c r="C155" s="1173"/>
      <c r="D155" s="1173"/>
      <c r="E155" s="1173"/>
      <c r="F155" s="1173"/>
      <c r="G155" s="1173"/>
      <c r="H155" s="1173"/>
      <c r="I155" s="1173"/>
      <c r="J155" s="1173"/>
      <c r="K155" s="1173"/>
      <c r="L155" s="1173"/>
      <c r="M155" s="1173"/>
      <c r="N155" s="1173"/>
      <c r="O155" s="1173"/>
      <c r="P155" s="1173"/>
      <c r="Q155" s="1173"/>
      <c r="R155" s="1173"/>
      <c r="S155" s="1173"/>
      <c r="T155" s="1173"/>
      <c r="U155" s="1173"/>
      <c r="V155" s="1173"/>
      <c r="W155" s="1173"/>
      <c r="X155" s="1173"/>
      <c r="Y155" s="1173"/>
      <c r="Z155" s="1173"/>
      <c r="AA155" s="1173"/>
      <c r="AB155" s="1173"/>
      <c r="AC155" s="1173"/>
      <c r="AD155" s="1173"/>
      <c r="AE155" s="1173"/>
      <c r="AF155" s="1173"/>
    </row>
    <row r="156" spans="1:37" ht="69" customHeight="1" x14ac:dyDescent="0.25">
      <c r="A156" s="515" t="s">
        <v>1013</v>
      </c>
      <c r="B156" s="1247" t="s">
        <v>2025</v>
      </c>
      <c r="C156" s="1247"/>
      <c r="D156" s="1247"/>
      <c r="E156" s="1247"/>
      <c r="F156" s="1247"/>
      <c r="G156" s="1247"/>
      <c r="H156" s="1247"/>
      <c r="I156" s="1247"/>
      <c r="J156" s="1247"/>
      <c r="K156" s="1247"/>
      <c r="L156" s="1247"/>
      <c r="M156" s="1247"/>
      <c r="N156" s="1247"/>
      <c r="O156" s="1247"/>
      <c r="P156" s="1247"/>
      <c r="Q156" s="1247"/>
      <c r="R156" s="1247"/>
      <c r="S156" s="1247"/>
      <c r="T156" s="1247"/>
      <c r="U156" s="1247"/>
      <c r="V156" s="1247"/>
      <c r="W156" s="1247"/>
      <c r="X156" s="1247"/>
      <c r="Y156" s="1247"/>
      <c r="Z156" s="1247"/>
      <c r="AA156" s="1247"/>
      <c r="AB156" s="1247"/>
      <c r="AC156" s="1247"/>
      <c r="AD156" s="1247"/>
      <c r="AE156" s="1247"/>
      <c r="AF156" s="1247"/>
    </row>
    <row r="157" spans="1:37" ht="37.5" customHeight="1" x14ac:dyDescent="0.25">
      <c r="A157" s="515" t="s">
        <v>1013</v>
      </c>
      <c r="B157" s="1247" t="s">
        <v>2024</v>
      </c>
      <c r="C157" s="1247"/>
      <c r="D157" s="1247"/>
      <c r="E157" s="1247"/>
      <c r="F157" s="1247"/>
      <c r="G157" s="1247"/>
      <c r="H157" s="1247"/>
      <c r="I157" s="1247"/>
      <c r="J157" s="1247"/>
      <c r="K157" s="1247"/>
      <c r="L157" s="1247"/>
      <c r="M157" s="1247"/>
      <c r="N157" s="1247"/>
      <c r="O157" s="1247"/>
      <c r="P157" s="1247"/>
      <c r="Q157" s="1247"/>
      <c r="R157" s="1247"/>
      <c r="S157" s="1247"/>
      <c r="T157" s="1247"/>
      <c r="U157" s="1247"/>
      <c r="V157" s="1247"/>
      <c r="W157" s="1247"/>
      <c r="X157" s="1247"/>
      <c r="Y157" s="1247"/>
      <c r="Z157" s="1247"/>
      <c r="AA157" s="1247"/>
      <c r="AB157" s="1247"/>
      <c r="AC157" s="1247"/>
      <c r="AD157" s="1247"/>
      <c r="AE157" s="1247"/>
      <c r="AF157" s="1247"/>
    </row>
    <row r="158" spans="1:37" x14ac:dyDescent="0.25">
      <c r="A158" s="515" t="s">
        <v>1013</v>
      </c>
      <c r="B158" s="1247" t="s">
        <v>2020</v>
      </c>
      <c r="C158" s="1247"/>
      <c r="D158" s="1247"/>
      <c r="E158" s="1247"/>
      <c r="F158" s="1247"/>
      <c r="G158" s="1247"/>
      <c r="H158" s="1247"/>
      <c r="I158" s="1247"/>
      <c r="J158" s="1247"/>
      <c r="K158" s="1247"/>
      <c r="L158" s="1247"/>
      <c r="M158" s="1247"/>
      <c r="N158" s="1247"/>
      <c r="O158" s="1247"/>
      <c r="P158" s="1247"/>
      <c r="Q158" s="1247"/>
      <c r="R158" s="1247"/>
      <c r="S158" s="1247"/>
      <c r="T158" s="1247"/>
      <c r="U158" s="1247"/>
      <c r="V158" s="1247"/>
      <c r="W158" s="1247"/>
      <c r="X158" s="1247"/>
      <c r="Y158" s="1247"/>
      <c r="Z158" s="1247"/>
      <c r="AA158" s="1247"/>
      <c r="AB158" s="1247"/>
      <c r="AC158" s="1247"/>
      <c r="AD158" s="1247"/>
      <c r="AE158" s="1247"/>
      <c r="AF158" s="1247"/>
    </row>
    <row r="159" spans="1:37" ht="35.25" customHeight="1" x14ac:dyDescent="0.25">
      <c r="A159" s="515" t="s">
        <v>1013</v>
      </c>
      <c r="B159" s="1247" t="s">
        <v>2029</v>
      </c>
      <c r="C159" s="1247"/>
      <c r="D159" s="1247"/>
      <c r="E159" s="1247"/>
      <c r="F159" s="1247"/>
      <c r="G159" s="1247"/>
      <c r="H159" s="1247"/>
      <c r="I159" s="1247"/>
      <c r="J159" s="1247"/>
      <c r="K159" s="1247"/>
      <c r="L159" s="1247"/>
      <c r="M159" s="1247"/>
      <c r="N159" s="1247"/>
      <c r="O159" s="1247"/>
      <c r="P159" s="1247"/>
      <c r="Q159" s="1247"/>
      <c r="R159" s="1247"/>
      <c r="S159" s="1247"/>
      <c r="T159" s="1247"/>
      <c r="U159" s="1247"/>
      <c r="V159" s="1247"/>
      <c r="W159" s="1247"/>
      <c r="X159" s="1247"/>
      <c r="Y159" s="1247"/>
      <c r="Z159" s="1247"/>
      <c r="AA159" s="1247"/>
      <c r="AB159" s="1247"/>
      <c r="AC159" s="1247"/>
      <c r="AD159" s="1247"/>
      <c r="AE159" s="1247"/>
      <c r="AF159" s="1247"/>
    </row>
    <row r="160" spans="1:37" ht="51.75" customHeight="1" x14ac:dyDescent="0.25">
      <c r="A160" s="515" t="s">
        <v>1013</v>
      </c>
      <c r="B160" s="1247" t="s">
        <v>2059</v>
      </c>
      <c r="C160" s="1247"/>
      <c r="D160" s="1247"/>
      <c r="E160" s="1247"/>
      <c r="F160" s="1247"/>
      <c r="G160" s="1247"/>
      <c r="H160" s="1247"/>
      <c r="I160" s="1247"/>
      <c r="J160" s="1247"/>
      <c r="K160" s="1247"/>
      <c r="L160" s="1247"/>
      <c r="M160" s="1247"/>
      <c r="N160" s="1247"/>
      <c r="O160" s="1247"/>
      <c r="P160" s="1247"/>
      <c r="Q160" s="1247"/>
      <c r="R160" s="1247"/>
      <c r="S160" s="1247"/>
      <c r="T160" s="1247"/>
      <c r="U160" s="1247"/>
      <c r="V160" s="1247"/>
      <c r="W160" s="1247"/>
      <c r="X160" s="1247"/>
      <c r="Y160" s="1247"/>
      <c r="Z160" s="1247"/>
      <c r="AA160" s="1247"/>
      <c r="AB160" s="1247"/>
      <c r="AC160" s="1247"/>
      <c r="AD160" s="1247"/>
      <c r="AE160" s="1247"/>
      <c r="AF160" s="1247"/>
    </row>
    <row r="161" spans="1:32" x14ac:dyDescent="0.25">
      <c r="A161" s="515" t="s">
        <v>1013</v>
      </c>
      <c r="B161" s="1247" t="s">
        <v>2956</v>
      </c>
      <c r="C161" s="1247"/>
      <c r="D161" s="1247"/>
      <c r="E161" s="1247"/>
      <c r="F161" s="1247"/>
      <c r="G161" s="1247"/>
      <c r="H161" s="1247"/>
      <c r="I161" s="1247"/>
      <c r="J161" s="1247"/>
      <c r="K161" s="1247"/>
      <c r="L161" s="1247"/>
      <c r="M161" s="1247"/>
      <c r="N161" s="1247"/>
      <c r="O161" s="1247"/>
      <c r="P161" s="1247"/>
      <c r="Q161" s="1247"/>
      <c r="R161" s="1247"/>
      <c r="S161" s="1247"/>
      <c r="T161" s="1247"/>
      <c r="U161" s="1247"/>
      <c r="V161" s="1247"/>
      <c r="W161" s="1247"/>
      <c r="X161" s="1247"/>
      <c r="Y161" s="1247"/>
      <c r="Z161" s="1247"/>
      <c r="AA161" s="1247"/>
      <c r="AB161" s="1247"/>
      <c r="AC161" s="1247"/>
      <c r="AD161" s="1247"/>
      <c r="AE161" s="1247"/>
      <c r="AF161" s="1247"/>
    </row>
    <row r="162" spans="1:32" ht="36" customHeight="1" x14ac:dyDescent="0.25">
      <c r="A162" s="515" t="s">
        <v>1013</v>
      </c>
      <c r="B162" s="1247" t="s">
        <v>2060</v>
      </c>
      <c r="C162" s="1247"/>
      <c r="D162" s="1247"/>
      <c r="E162" s="1247"/>
      <c r="F162" s="1247"/>
      <c r="G162" s="1247"/>
      <c r="H162" s="1247"/>
      <c r="I162" s="1247"/>
      <c r="J162" s="1247"/>
      <c r="K162" s="1247"/>
      <c r="L162" s="1247"/>
      <c r="M162" s="1247"/>
      <c r="N162" s="1247"/>
      <c r="O162" s="1247"/>
      <c r="P162" s="1247"/>
      <c r="Q162" s="1247"/>
      <c r="R162" s="1247"/>
      <c r="S162" s="1247"/>
      <c r="T162" s="1247"/>
      <c r="U162" s="1247"/>
      <c r="V162" s="1247"/>
      <c r="W162" s="1247"/>
      <c r="X162" s="1247"/>
      <c r="Y162" s="1247"/>
      <c r="Z162" s="1247"/>
      <c r="AA162" s="1247"/>
      <c r="AB162" s="1247"/>
      <c r="AC162" s="1247"/>
      <c r="AD162" s="1247"/>
      <c r="AE162" s="1247"/>
      <c r="AF162" s="1247"/>
    </row>
    <row r="163" spans="1:32" ht="49.5" customHeight="1" x14ac:dyDescent="0.25">
      <c r="A163" s="515" t="s">
        <v>1013</v>
      </c>
      <c r="B163" s="1168" t="s">
        <v>2113</v>
      </c>
      <c r="C163" s="1168"/>
      <c r="D163" s="1168"/>
      <c r="E163" s="1168"/>
      <c r="F163" s="1168"/>
      <c r="G163" s="1168"/>
      <c r="H163" s="1168"/>
      <c r="I163" s="1168"/>
      <c r="J163" s="1168"/>
      <c r="K163" s="1168"/>
      <c r="L163" s="1168"/>
      <c r="M163" s="1168"/>
      <c r="N163" s="1168"/>
      <c r="O163" s="1168"/>
      <c r="P163" s="1168"/>
      <c r="Q163" s="1168"/>
      <c r="R163" s="1168"/>
      <c r="S163" s="1168"/>
      <c r="T163" s="1168"/>
      <c r="U163" s="1168"/>
      <c r="V163" s="1168"/>
      <c r="W163" s="1168"/>
      <c r="X163" s="1168"/>
      <c r="Y163" s="1168"/>
      <c r="Z163" s="1168"/>
      <c r="AA163" s="1168"/>
      <c r="AB163" s="1168"/>
      <c r="AC163" s="1168"/>
      <c r="AD163" s="1168"/>
      <c r="AE163" s="1168"/>
      <c r="AF163" s="1168"/>
    </row>
    <row r="164" spans="1:32" ht="37.5" customHeight="1" x14ac:dyDescent="0.25">
      <c r="A164" s="515" t="s">
        <v>1013</v>
      </c>
      <c r="B164" s="1247" t="s">
        <v>2066</v>
      </c>
      <c r="C164" s="1247"/>
      <c r="D164" s="1247"/>
      <c r="E164" s="1247"/>
      <c r="F164" s="1247"/>
      <c r="G164" s="1247"/>
      <c r="H164" s="1247"/>
      <c r="I164" s="1247"/>
      <c r="J164" s="1247"/>
      <c r="K164" s="1247"/>
      <c r="L164" s="1247"/>
      <c r="M164" s="1247"/>
      <c r="N164" s="1247"/>
      <c r="O164" s="1247"/>
      <c r="P164" s="1247"/>
      <c r="Q164" s="1247"/>
      <c r="R164" s="1247"/>
      <c r="S164" s="1247"/>
      <c r="T164" s="1247"/>
      <c r="U164" s="1247"/>
      <c r="V164" s="1247"/>
      <c r="W164" s="1247"/>
      <c r="X164" s="1247"/>
      <c r="Y164" s="1247"/>
      <c r="Z164" s="1247"/>
      <c r="AA164" s="1247"/>
      <c r="AB164" s="1247"/>
      <c r="AC164" s="1247"/>
      <c r="AD164" s="1247"/>
      <c r="AE164" s="1247"/>
      <c r="AF164" s="1247"/>
    </row>
    <row r="165" spans="1:32" ht="51.75" customHeight="1" x14ac:dyDescent="0.25">
      <c r="A165" s="515" t="s">
        <v>1013</v>
      </c>
      <c r="B165" s="1247" t="s">
        <v>2067</v>
      </c>
      <c r="C165" s="1247"/>
      <c r="D165" s="1247"/>
      <c r="E165" s="1247"/>
      <c r="F165" s="1247"/>
      <c r="G165" s="1247"/>
      <c r="H165" s="1247"/>
      <c r="I165" s="1247"/>
      <c r="J165" s="1247"/>
      <c r="K165" s="1247"/>
      <c r="L165" s="1247"/>
      <c r="M165" s="1247"/>
      <c r="N165" s="1247"/>
      <c r="O165" s="1247"/>
      <c r="P165" s="1247"/>
      <c r="Q165" s="1247"/>
      <c r="R165" s="1247"/>
      <c r="S165" s="1247"/>
      <c r="T165" s="1247"/>
      <c r="U165" s="1247"/>
      <c r="V165" s="1247"/>
      <c r="W165" s="1247"/>
      <c r="X165" s="1247"/>
      <c r="Y165" s="1247"/>
      <c r="Z165" s="1247"/>
      <c r="AA165" s="1247"/>
      <c r="AB165" s="1247"/>
      <c r="AC165" s="1247"/>
      <c r="AD165" s="1247"/>
      <c r="AE165" s="1247"/>
      <c r="AF165" s="1247"/>
    </row>
    <row r="179" spans="37:37" x14ac:dyDescent="0.25">
      <c r="AK179" s="296"/>
    </row>
    <row r="180" spans="37:37" x14ac:dyDescent="0.25">
      <c r="AK180" s="184"/>
    </row>
    <row r="194" spans="37:37" x14ac:dyDescent="0.25">
      <c r="AK194" s="296"/>
    </row>
    <row r="197" spans="37:37" ht="15" customHeight="1" x14ac:dyDescent="0.25"/>
    <row r="198" spans="37:37" ht="15" customHeight="1" x14ac:dyDescent="0.25"/>
    <row r="199" spans="37:37" ht="15" customHeight="1" x14ac:dyDescent="0.25"/>
    <row r="200" spans="37:37" ht="64.5" customHeight="1" x14ac:dyDescent="0.25"/>
    <row r="201" spans="37:37" ht="69" customHeight="1" x14ac:dyDescent="0.25"/>
    <row r="202" spans="37:37" ht="37.5" customHeight="1" x14ac:dyDescent="0.25"/>
    <row r="203" spans="37:37" ht="15" customHeight="1" x14ac:dyDescent="0.25"/>
    <row r="204" spans="37:37" ht="35.25" customHeight="1" x14ac:dyDescent="0.25"/>
    <row r="205" spans="37:37" ht="51.75" customHeight="1" x14ac:dyDescent="0.25"/>
    <row r="206" spans="37:37" ht="15" customHeight="1" x14ac:dyDescent="0.25"/>
    <row r="207" spans="37:37" ht="36" customHeight="1" x14ac:dyDescent="0.25"/>
    <row r="208" spans="37:37" ht="49.5" customHeight="1" x14ac:dyDescent="0.25"/>
    <row r="209" ht="37.5" customHeight="1" x14ac:dyDescent="0.25"/>
    <row r="210" ht="51.75" customHeight="1" x14ac:dyDescent="0.25"/>
  </sheetData>
  <sheetProtection algorithmName="SHA-512" hashValue="Dk/ZjN2gQpK/8xhynzyFgpJdBk6sp78WXWggXtS3qp5dJI3e/S9oK4IsrS8bNqNTC4k9++zPqyeAwNS5cPcTYw==" saltValue="FtPDJX29kHgCUVnKl+4f6A==" spinCount="100000" sheet="1" objects="1" scenarios="1"/>
  <mergeCells count="422">
    <mergeCell ref="A1:AF1"/>
    <mergeCell ref="A7:AF7"/>
    <mergeCell ref="B10:AF10"/>
    <mergeCell ref="B14:AF14"/>
    <mergeCell ref="A89:F89"/>
    <mergeCell ref="A90:F90"/>
    <mergeCell ref="A86:F86"/>
    <mergeCell ref="A87:F87"/>
    <mergeCell ref="A88:F88"/>
    <mergeCell ref="E62:P62"/>
    <mergeCell ref="Q62:T62"/>
    <mergeCell ref="U62:W62"/>
    <mergeCell ref="X62:AF62"/>
    <mergeCell ref="B13:AF13"/>
    <mergeCell ref="G87:R87"/>
    <mergeCell ref="S87:AD87"/>
    <mergeCell ref="G88:R88"/>
    <mergeCell ref="S88:AD88"/>
    <mergeCell ref="G89:R89"/>
    <mergeCell ref="S89:AD89"/>
    <mergeCell ref="A79:AF79"/>
    <mergeCell ref="A73:F73"/>
    <mergeCell ref="G73:I73"/>
    <mergeCell ref="J73:L73"/>
    <mergeCell ref="M73:O73"/>
    <mergeCell ref="P73:R73"/>
    <mergeCell ref="S73:U73"/>
    <mergeCell ref="V73:AC73"/>
    <mergeCell ref="A74:F74"/>
    <mergeCell ref="A3:AF3"/>
    <mergeCell ref="B5:AF5"/>
    <mergeCell ref="A62:D62"/>
    <mergeCell ref="A71:F71"/>
    <mergeCell ref="G71:I71"/>
    <mergeCell ref="J71:L71"/>
    <mergeCell ref="M71:O71"/>
    <mergeCell ref="P71:R71"/>
    <mergeCell ref="S71:U71"/>
    <mergeCell ref="V71:AC71"/>
    <mergeCell ref="A72:F72"/>
    <mergeCell ref="G72:I72"/>
    <mergeCell ref="J72:L72"/>
    <mergeCell ref="M72:O72"/>
    <mergeCell ref="P72:R72"/>
    <mergeCell ref="S72:U72"/>
    <mergeCell ref="V72:AC72"/>
    <mergeCell ref="A121:F121"/>
    <mergeCell ref="A122:F122"/>
    <mergeCell ref="A123:F123"/>
    <mergeCell ref="G120:I120"/>
    <mergeCell ref="J120:L120"/>
    <mergeCell ref="M120:O120"/>
    <mergeCell ref="P120:R120"/>
    <mergeCell ref="G122:I122"/>
    <mergeCell ref="J122:L122"/>
    <mergeCell ref="M122:O122"/>
    <mergeCell ref="P122:R122"/>
    <mergeCell ref="G121:I121"/>
    <mergeCell ref="J121:L121"/>
    <mergeCell ref="M121:O121"/>
    <mergeCell ref="P121:R121"/>
    <mergeCell ref="G123:I123"/>
    <mergeCell ref="J123:L123"/>
    <mergeCell ref="M123:O123"/>
    <mergeCell ref="P123:R123"/>
    <mergeCell ref="A140:F140"/>
    <mergeCell ref="A139:F139"/>
    <mergeCell ref="A138:F138"/>
    <mergeCell ref="A137:F137"/>
    <mergeCell ref="G138:L138"/>
    <mergeCell ref="M138:R138"/>
    <mergeCell ref="S138:X138"/>
    <mergeCell ref="A136:F136"/>
    <mergeCell ref="A124:F124"/>
    <mergeCell ref="A125:F125"/>
    <mergeCell ref="A126:F126"/>
    <mergeCell ref="A127:F127"/>
    <mergeCell ref="A128:F128"/>
    <mergeCell ref="G124:I124"/>
    <mergeCell ref="J124:L124"/>
    <mergeCell ref="M124:O124"/>
    <mergeCell ref="P124:R124"/>
    <mergeCell ref="G126:I126"/>
    <mergeCell ref="J126:L126"/>
    <mergeCell ref="M126:O126"/>
    <mergeCell ref="P126:R126"/>
    <mergeCell ref="G128:I128"/>
    <mergeCell ref="J128:L128"/>
    <mergeCell ref="M128:O128"/>
    <mergeCell ref="A143:F143"/>
    <mergeCell ref="G144:L144"/>
    <mergeCell ref="M144:R144"/>
    <mergeCell ref="S144:X144"/>
    <mergeCell ref="A142:F142"/>
    <mergeCell ref="A141:F141"/>
    <mergeCell ref="G141:L141"/>
    <mergeCell ref="M141:R141"/>
    <mergeCell ref="S141:X141"/>
    <mergeCell ref="B15:AF15"/>
    <mergeCell ref="B18:AF18"/>
    <mergeCell ref="B21:AF21"/>
    <mergeCell ref="B23:AF23"/>
    <mergeCell ref="B26:AF26"/>
    <mergeCell ref="A29:AF29"/>
    <mergeCell ref="A48:AF48"/>
    <mergeCell ref="A49:D49"/>
    <mergeCell ref="E49:P49"/>
    <mergeCell ref="Q49:T49"/>
    <mergeCell ref="U49:W49"/>
    <mergeCell ref="X49:AF49"/>
    <mergeCell ref="A50:D50"/>
    <mergeCell ref="E50:P50"/>
    <mergeCell ref="Q50:T50"/>
    <mergeCell ref="U50:W50"/>
    <mergeCell ref="X50:AF50"/>
    <mergeCell ref="A51:D51"/>
    <mergeCell ref="E51:P51"/>
    <mergeCell ref="Q51:T51"/>
    <mergeCell ref="U51:W51"/>
    <mergeCell ref="X51:AF51"/>
    <mergeCell ref="A52:D52"/>
    <mergeCell ref="E52:P52"/>
    <mergeCell ref="Q52:T52"/>
    <mergeCell ref="U52:W52"/>
    <mergeCell ref="X52:AF52"/>
    <mergeCell ref="A53:D53"/>
    <mergeCell ref="E53:P53"/>
    <mergeCell ref="Q53:T53"/>
    <mergeCell ref="U53:W53"/>
    <mergeCell ref="X53:AF53"/>
    <mergeCell ref="A54:D54"/>
    <mergeCell ref="E54:P54"/>
    <mergeCell ref="Q54:T54"/>
    <mergeCell ref="U54:W54"/>
    <mergeCell ref="X54:AF54"/>
    <mergeCell ref="A55:D55"/>
    <mergeCell ref="E55:P55"/>
    <mergeCell ref="Q55:T55"/>
    <mergeCell ref="U55:W55"/>
    <mergeCell ref="X55:AF55"/>
    <mergeCell ref="A56:D56"/>
    <mergeCell ref="E56:P56"/>
    <mergeCell ref="Q56:T56"/>
    <mergeCell ref="U56:W56"/>
    <mergeCell ref="X56:AF56"/>
    <mergeCell ref="A57:D57"/>
    <mergeCell ref="E57:P57"/>
    <mergeCell ref="Q57:T57"/>
    <mergeCell ref="U57:W57"/>
    <mergeCell ref="X57:AF57"/>
    <mergeCell ref="A58:D58"/>
    <mergeCell ref="E58:P58"/>
    <mergeCell ref="Q58:T58"/>
    <mergeCell ref="U58:W58"/>
    <mergeCell ref="X58:AF58"/>
    <mergeCell ref="A59:D59"/>
    <mergeCell ref="E59:P59"/>
    <mergeCell ref="Q59:T59"/>
    <mergeCell ref="U59:W59"/>
    <mergeCell ref="X59:AF59"/>
    <mergeCell ref="A60:D60"/>
    <mergeCell ref="E60:P60"/>
    <mergeCell ref="Q60:T60"/>
    <mergeCell ref="U60:W60"/>
    <mergeCell ref="X60:AF60"/>
    <mergeCell ref="A61:D61"/>
    <mergeCell ref="E61:P61"/>
    <mergeCell ref="Q61:T61"/>
    <mergeCell ref="U61:W61"/>
    <mergeCell ref="X61:AF61"/>
    <mergeCell ref="A63:AF63"/>
    <mergeCell ref="A64:AF64"/>
    <mergeCell ref="A65:AF65"/>
    <mergeCell ref="A66:AF66"/>
    <mergeCell ref="A67:AF67"/>
    <mergeCell ref="A70:F70"/>
    <mergeCell ref="G70:I70"/>
    <mergeCell ref="J70:L70"/>
    <mergeCell ref="M70:O70"/>
    <mergeCell ref="P70:R70"/>
    <mergeCell ref="S70:U70"/>
    <mergeCell ref="V70:AC70"/>
    <mergeCell ref="G74:I74"/>
    <mergeCell ref="J74:L74"/>
    <mergeCell ref="M74:O74"/>
    <mergeCell ref="P74:R74"/>
    <mergeCell ref="S74:U74"/>
    <mergeCell ref="V74:AC74"/>
    <mergeCell ref="A75:F75"/>
    <mergeCell ref="G75:I75"/>
    <mergeCell ref="J75:L75"/>
    <mergeCell ref="M75:O75"/>
    <mergeCell ref="P75:R75"/>
    <mergeCell ref="S75:U75"/>
    <mergeCell ref="V75:AC75"/>
    <mergeCell ref="A76:F76"/>
    <mergeCell ref="G76:I76"/>
    <mergeCell ref="J76:L76"/>
    <mergeCell ref="M76:O76"/>
    <mergeCell ref="P76:R76"/>
    <mergeCell ref="S76:U76"/>
    <mergeCell ref="V76:AC76"/>
    <mergeCell ref="G86:R86"/>
    <mergeCell ref="S86:AD86"/>
    <mergeCell ref="G90:R90"/>
    <mergeCell ref="S90:AD90"/>
    <mergeCell ref="G91:R91"/>
    <mergeCell ref="S91:AD91"/>
    <mergeCell ref="A92:F92"/>
    <mergeCell ref="G92:R92"/>
    <mergeCell ref="S92:AD92"/>
    <mergeCell ref="A93:F93"/>
    <mergeCell ref="G93:R93"/>
    <mergeCell ref="S93:AD93"/>
    <mergeCell ref="A91:F91"/>
    <mergeCell ref="A94:F94"/>
    <mergeCell ref="G94:R94"/>
    <mergeCell ref="S94:AD94"/>
    <mergeCell ref="A95:F95"/>
    <mergeCell ref="G95:R95"/>
    <mergeCell ref="S95:AD95"/>
    <mergeCell ref="A96:F96"/>
    <mergeCell ref="G96:R96"/>
    <mergeCell ref="S96:AD96"/>
    <mergeCell ref="A97:F97"/>
    <mergeCell ref="G97:R97"/>
    <mergeCell ref="S97:AD97"/>
    <mergeCell ref="A113:F113"/>
    <mergeCell ref="G113:R113"/>
    <mergeCell ref="G118:U118"/>
    <mergeCell ref="V118:AJ118"/>
    <mergeCell ref="A109:F109"/>
    <mergeCell ref="G109:R109"/>
    <mergeCell ref="A110:F110"/>
    <mergeCell ref="G110:R110"/>
    <mergeCell ref="G107:R107"/>
    <mergeCell ref="A102:F102"/>
    <mergeCell ref="G102:R102"/>
    <mergeCell ref="A103:F103"/>
    <mergeCell ref="G103:R103"/>
    <mergeCell ref="A104:F104"/>
    <mergeCell ref="G104:R104"/>
    <mergeCell ref="A105:F105"/>
    <mergeCell ref="G105:R105"/>
    <mergeCell ref="A106:F106"/>
    <mergeCell ref="G106:R106"/>
    <mergeCell ref="A107:F107"/>
    <mergeCell ref="AH119:AJ119"/>
    <mergeCell ref="A119:F119"/>
    <mergeCell ref="A111:F111"/>
    <mergeCell ref="G111:R111"/>
    <mergeCell ref="A112:F112"/>
    <mergeCell ref="G112:R112"/>
    <mergeCell ref="A108:F108"/>
    <mergeCell ref="G108:R108"/>
    <mergeCell ref="S120:U120"/>
    <mergeCell ref="V120:X120"/>
    <mergeCell ref="Y120:AA120"/>
    <mergeCell ref="AB120:AD120"/>
    <mergeCell ref="AE120:AG120"/>
    <mergeCell ref="AH120:AJ120"/>
    <mergeCell ref="G119:I119"/>
    <mergeCell ref="J119:L119"/>
    <mergeCell ref="M119:O119"/>
    <mergeCell ref="P119:R119"/>
    <mergeCell ref="S119:U119"/>
    <mergeCell ref="V119:X119"/>
    <mergeCell ref="Y119:AA119"/>
    <mergeCell ref="AB119:AD119"/>
    <mergeCell ref="AE119:AG119"/>
    <mergeCell ref="A120:F120"/>
    <mergeCell ref="S121:U121"/>
    <mergeCell ref="V121:X121"/>
    <mergeCell ref="Y121:AA121"/>
    <mergeCell ref="AB121:AD121"/>
    <mergeCell ref="AE121:AG121"/>
    <mergeCell ref="AH121:AJ121"/>
    <mergeCell ref="S122:U122"/>
    <mergeCell ref="V122:X122"/>
    <mergeCell ref="Y122:AA122"/>
    <mergeCell ref="AB122:AD122"/>
    <mergeCell ref="AE122:AG122"/>
    <mergeCell ref="AH122:AJ122"/>
    <mergeCell ref="AB125:AD125"/>
    <mergeCell ref="AE125:AG125"/>
    <mergeCell ref="S123:U123"/>
    <mergeCell ref="V123:X123"/>
    <mergeCell ref="Y123:AA123"/>
    <mergeCell ref="AB123:AD123"/>
    <mergeCell ref="AE123:AG123"/>
    <mergeCell ref="AH123:AJ123"/>
    <mergeCell ref="S124:U124"/>
    <mergeCell ref="V124:X124"/>
    <mergeCell ref="Y124:AA124"/>
    <mergeCell ref="AB124:AD124"/>
    <mergeCell ref="AE124:AG124"/>
    <mergeCell ref="AH124:AJ124"/>
    <mergeCell ref="AH125:AJ125"/>
    <mergeCell ref="AB126:AD126"/>
    <mergeCell ref="AE126:AG126"/>
    <mergeCell ref="AH126:AJ126"/>
    <mergeCell ref="G127:I127"/>
    <mergeCell ref="J127:L127"/>
    <mergeCell ref="M127:O127"/>
    <mergeCell ref="P127:R127"/>
    <mergeCell ref="S127:U127"/>
    <mergeCell ref="V127:X127"/>
    <mergeCell ref="Y127:AA127"/>
    <mergeCell ref="AB127:AD127"/>
    <mergeCell ref="AE127:AG127"/>
    <mergeCell ref="AH127:AJ127"/>
    <mergeCell ref="G125:I125"/>
    <mergeCell ref="J125:L125"/>
    <mergeCell ref="M125:O125"/>
    <mergeCell ref="P125:R125"/>
    <mergeCell ref="S125:U125"/>
    <mergeCell ref="V125:X125"/>
    <mergeCell ref="Y125:AA125"/>
    <mergeCell ref="S128:U128"/>
    <mergeCell ref="V128:X128"/>
    <mergeCell ref="Y128:AA128"/>
    <mergeCell ref="S126:U126"/>
    <mergeCell ref="V126:X126"/>
    <mergeCell ref="Y126:AA126"/>
    <mergeCell ref="AB128:AD128"/>
    <mergeCell ref="AE128:AG128"/>
    <mergeCell ref="AH128:AJ128"/>
    <mergeCell ref="A129:F129"/>
    <mergeCell ref="G129:I129"/>
    <mergeCell ref="J129:L129"/>
    <mergeCell ref="M129:O129"/>
    <mergeCell ref="P129:R129"/>
    <mergeCell ref="S129:U129"/>
    <mergeCell ref="V129:X129"/>
    <mergeCell ref="Y129:AA129"/>
    <mergeCell ref="AB129:AD129"/>
    <mergeCell ref="AE129:AG129"/>
    <mergeCell ref="AH129:AJ129"/>
    <mergeCell ref="P128:R128"/>
    <mergeCell ref="A130:F130"/>
    <mergeCell ref="G130:I130"/>
    <mergeCell ref="J130:L130"/>
    <mergeCell ref="M130:O130"/>
    <mergeCell ref="P130:R130"/>
    <mergeCell ref="S130:U130"/>
    <mergeCell ref="V130:X130"/>
    <mergeCell ref="Y130:AA130"/>
    <mergeCell ref="AB130:AD130"/>
    <mergeCell ref="AE130:AG130"/>
    <mergeCell ref="AH130:AJ130"/>
    <mergeCell ref="G135:AJ135"/>
    <mergeCell ref="G136:L136"/>
    <mergeCell ref="M136:R136"/>
    <mergeCell ref="S136:X136"/>
    <mergeCell ref="Y136:AD136"/>
    <mergeCell ref="AE136:AJ136"/>
    <mergeCell ref="G137:L137"/>
    <mergeCell ref="M137:R137"/>
    <mergeCell ref="S137:X137"/>
    <mergeCell ref="Y137:AD137"/>
    <mergeCell ref="AE137:AJ137"/>
    <mergeCell ref="Y138:AD138"/>
    <mergeCell ref="AE138:AJ138"/>
    <mergeCell ref="G139:L139"/>
    <mergeCell ref="M139:R139"/>
    <mergeCell ref="S139:X139"/>
    <mergeCell ref="Y139:AD139"/>
    <mergeCell ref="AE139:AJ139"/>
    <mergeCell ref="G140:L140"/>
    <mergeCell ref="M140:R140"/>
    <mergeCell ref="S140:X140"/>
    <mergeCell ref="Y140:AD140"/>
    <mergeCell ref="AE140:AJ140"/>
    <mergeCell ref="Y141:AD141"/>
    <mergeCell ref="AE141:AJ141"/>
    <mergeCell ref="G142:L142"/>
    <mergeCell ref="M142:R142"/>
    <mergeCell ref="S142:X142"/>
    <mergeCell ref="Y142:AD142"/>
    <mergeCell ref="AE142:AJ142"/>
    <mergeCell ref="G143:L143"/>
    <mergeCell ref="M143:R143"/>
    <mergeCell ref="S143:X143"/>
    <mergeCell ref="Y143:AD143"/>
    <mergeCell ref="AE143:AJ143"/>
    <mergeCell ref="Y144:AD144"/>
    <mergeCell ref="AE144:AJ144"/>
    <mergeCell ref="G145:L145"/>
    <mergeCell ref="M145:R145"/>
    <mergeCell ref="S145:X145"/>
    <mergeCell ref="Y145:AD145"/>
    <mergeCell ref="AE145:AJ145"/>
    <mergeCell ref="A146:F146"/>
    <mergeCell ref="G146:L146"/>
    <mergeCell ref="M146:R146"/>
    <mergeCell ref="S146:X146"/>
    <mergeCell ref="Y146:AD146"/>
    <mergeCell ref="AE146:AJ146"/>
    <mergeCell ref="A145:F145"/>
    <mergeCell ref="A144:F144"/>
    <mergeCell ref="B160:AF160"/>
    <mergeCell ref="B161:AF161"/>
    <mergeCell ref="B162:AF162"/>
    <mergeCell ref="B163:AF163"/>
    <mergeCell ref="B164:AF164"/>
    <mergeCell ref="B165:AF165"/>
    <mergeCell ref="G147:L147"/>
    <mergeCell ref="M147:R147"/>
    <mergeCell ref="S147:X147"/>
    <mergeCell ref="Y147:AD147"/>
    <mergeCell ref="AE147:AJ147"/>
    <mergeCell ref="A149:AF149"/>
    <mergeCell ref="B151:AF151"/>
    <mergeCell ref="B152:AF152"/>
    <mergeCell ref="B153:AF153"/>
    <mergeCell ref="B158:AF158"/>
    <mergeCell ref="B159:AF159"/>
    <mergeCell ref="B156:AF156"/>
    <mergeCell ref="B157:AF157"/>
    <mergeCell ref="B154:AF154"/>
    <mergeCell ref="B155:AF155"/>
    <mergeCell ref="A147:F147"/>
  </mergeCells>
  <hyperlinks>
    <hyperlink ref="Q58:T58" location="C_Light_General!A1" display="C_Light_General!A1" xr:uid="{F20CEFAC-D91B-43B6-9380-F3C515F1337B}"/>
    <hyperlink ref="Q59:T59" location="C_Light_General!A1" display="C_Light_General!A1" xr:uid="{3161999C-38F0-44C0-858E-D6A994AC21E3}"/>
    <hyperlink ref="Q57:T57" location="C_Light_General!A1" display="C_Light_General!A1" xr:uid="{1BE33F5A-3D77-4ED3-A979-AC26649F80C9}"/>
    <hyperlink ref="Q60:T60" location="C_Light_General!A1" display="C_Light_General!A1" xr:uid="{2273BE6C-09EE-4AD3-89B8-E0D447171588}"/>
    <hyperlink ref="Q62:T62" location="C_Light_General!A1" display="C_Light_General!A1" xr:uid="{B9636D5A-BC29-42D1-9E56-A4D6D97A2321}"/>
    <hyperlink ref="A2" location="TOC!A1" display="Return to TOC" xr:uid="{47C136EB-737D-4B9F-BD53-FD4B95CAFEE6}"/>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3:AF45" numberStoredAsText="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0">
    <tabColor theme="4" tint="0.59999389629810485"/>
    <pageSetUpPr autoPageBreaks="0"/>
  </sheetPr>
  <dimension ref="A1:CA163"/>
  <sheetViews>
    <sheetView workbookViewId="0">
      <selection sqref="A1:AF1"/>
    </sheetView>
  </sheetViews>
  <sheetFormatPr defaultColWidth="2.7109375" defaultRowHeight="15" x14ac:dyDescent="0.25"/>
  <sheetData>
    <row r="1" spans="1:32" s="1" customFormat="1" ht="18.75" x14ac:dyDescent="0.25">
      <c r="A1" s="1464" t="s">
        <v>1140</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s="1" customFormat="1"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s="1"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s="1"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ht="14.45" customHeight="1" x14ac:dyDescent="0.25">
      <c r="A5" s="262"/>
      <c r="B5" s="1589" t="s">
        <v>5687</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2" s="1" customFormat="1" ht="14.45" customHeight="1" x14ac:dyDescent="0.25">
      <c r="A6" s="376"/>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s="1" customFormat="1"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s="1" customForma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s="1" customFormat="1" x14ac:dyDescent="0.25">
      <c r="B9" s="1475" t="s">
        <v>10</v>
      </c>
      <c r="C9" s="1475"/>
      <c r="D9" s="1475"/>
      <c r="E9" s="1475"/>
      <c r="F9" s="1475"/>
      <c r="G9" s="1475"/>
      <c r="H9" s="1475"/>
      <c r="I9" s="1475"/>
    </row>
    <row r="10" spans="1:32" s="1" customFormat="1" ht="37.5" customHeight="1" x14ac:dyDescent="0.25">
      <c r="B10" s="1247" t="s">
        <v>3056</v>
      </c>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c r="AE10" s="1247"/>
      <c r="AF10" s="1247"/>
    </row>
    <row r="11" spans="1:32" s="1" customFormat="1" ht="15" customHeight="1" x14ac:dyDescent="0.25"/>
    <row r="12" spans="1:32" s="1" customFormat="1" x14ac:dyDescent="0.25">
      <c r="B12" s="1475" t="s">
        <v>11</v>
      </c>
      <c r="C12" s="1475"/>
      <c r="D12" s="1475"/>
      <c r="E12" s="1475"/>
      <c r="F12" s="1475"/>
      <c r="G12" s="1475"/>
      <c r="H12" s="1475"/>
      <c r="I12" s="1475"/>
    </row>
    <row r="13" spans="1:32" s="1" customFormat="1" ht="65.25" customHeight="1" x14ac:dyDescent="0.25">
      <c r="B13" s="1151" t="s">
        <v>3057</v>
      </c>
      <c r="C13" s="1473"/>
      <c r="D13" s="1473"/>
      <c r="E13" s="1473"/>
      <c r="F13" s="1473"/>
      <c r="G13" s="1473"/>
      <c r="H13" s="1473"/>
      <c r="I13" s="1473"/>
      <c r="J13" s="1473"/>
      <c r="K13" s="1473"/>
      <c r="L13" s="1473"/>
      <c r="M13" s="1473"/>
      <c r="N13" s="1473"/>
      <c r="O13" s="1473"/>
      <c r="P13" s="1473"/>
      <c r="Q13" s="1473"/>
      <c r="R13" s="1473"/>
      <c r="S13" s="1473"/>
      <c r="T13" s="1473"/>
      <c r="U13" s="1473"/>
      <c r="V13" s="1473"/>
      <c r="W13" s="1473"/>
      <c r="X13" s="1473"/>
      <c r="Y13" s="1473"/>
      <c r="Z13" s="1473"/>
      <c r="AA13" s="1473"/>
      <c r="AB13" s="1473"/>
      <c r="AC13" s="1473"/>
      <c r="AD13" s="1473"/>
      <c r="AE13" s="1473"/>
      <c r="AF13" s="1473"/>
    </row>
    <row r="14" spans="1:32" s="1" customFormat="1" x14ac:dyDescent="0.25"/>
    <row r="15" spans="1:32" s="1" customFormat="1" ht="15" customHeight="1" x14ac:dyDescent="0.25">
      <c r="B15" s="1475" t="s">
        <v>12</v>
      </c>
      <c r="C15" s="1475"/>
      <c r="D15" s="1475"/>
      <c r="E15" s="1475"/>
      <c r="F15" s="1475"/>
      <c r="G15" s="1475"/>
      <c r="H15" s="1475"/>
      <c r="I15" s="1475"/>
    </row>
    <row r="16" spans="1:32" s="1" customFormat="1" x14ac:dyDescent="0.25">
      <c r="B16" s="1473" t="s">
        <v>3403</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row>
    <row r="17" spans="1:79" s="1" customFormat="1" x14ac:dyDescent="0.25"/>
    <row r="18" spans="1:79" s="1" customFormat="1" x14ac:dyDescent="0.25">
      <c r="B18" s="1475" t="s">
        <v>13</v>
      </c>
      <c r="C18" s="1475"/>
      <c r="D18" s="1475"/>
      <c r="E18" s="1475"/>
      <c r="F18" s="1475"/>
      <c r="G18" s="1475"/>
      <c r="H18" s="1475"/>
      <c r="I18" s="1475"/>
    </row>
    <row r="19" spans="1:79" s="1" customFormat="1" ht="129" customHeight="1" x14ac:dyDescent="0.25">
      <c r="B19" s="1151" t="s">
        <v>3115</v>
      </c>
      <c r="C19" s="1151"/>
      <c r="D19" s="1151"/>
      <c r="E19" s="1151"/>
      <c r="F19" s="1151"/>
      <c r="G19" s="1151"/>
      <c r="H19" s="1151"/>
      <c r="I19" s="1151"/>
      <c r="J19" s="1151"/>
      <c r="K19" s="1151"/>
      <c r="L19" s="1151"/>
      <c r="M19" s="1151"/>
      <c r="N19" s="1151"/>
      <c r="O19" s="1151"/>
      <c r="P19" s="1151"/>
      <c r="Q19" s="1151"/>
      <c r="R19" s="1151"/>
      <c r="S19" s="1151"/>
      <c r="T19" s="1151"/>
      <c r="U19" s="1151"/>
      <c r="V19" s="1151"/>
      <c r="W19" s="1151"/>
      <c r="X19" s="1151"/>
      <c r="Y19" s="1151"/>
      <c r="Z19" s="1151"/>
      <c r="AA19" s="1151"/>
      <c r="AB19" s="1151"/>
      <c r="AC19" s="1151"/>
      <c r="AD19" s="1151"/>
      <c r="AE19" s="1151"/>
      <c r="AF19" s="1151"/>
    </row>
    <row r="20" spans="1:79" s="1" customFormat="1" x14ac:dyDescent="0.25"/>
    <row r="21" spans="1:79" s="1" customFormat="1" ht="33" customHeight="1" x14ac:dyDescent="0.25">
      <c r="B21" s="1151" t="s">
        <v>3117</v>
      </c>
      <c r="C21" s="1151"/>
      <c r="D21" s="1151"/>
      <c r="E21" s="1151"/>
      <c r="F21" s="1151"/>
      <c r="G21" s="1151"/>
      <c r="H21" s="1151"/>
      <c r="I21" s="1151"/>
      <c r="J21" s="1151"/>
      <c r="K21" s="1151"/>
      <c r="L21" s="1151"/>
      <c r="M21" s="1151"/>
      <c r="N21" s="1151"/>
      <c r="O21" s="1151"/>
      <c r="P21" s="1151"/>
      <c r="Q21" s="1151"/>
      <c r="R21" s="1151"/>
      <c r="S21" s="1151"/>
      <c r="T21" s="1151"/>
      <c r="U21" s="1151"/>
      <c r="V21" s="1151"/>
      <c r="W21" s="1151"/>
      <c r="X21" s="1151"/>
      <c r="Y21" s="1151"/>
      <c r="Z21" s="1151"/>
      <c r="AA21" s="1151"/>
      <c r="AB21" s="1151"/>
      <c r="AC21" s="1151"/>
      <c r="AD21" s="1151"/>
      <c r="AE21" s="1151"/>
      <c r="AF21" s="1151"/>
    </row>
    <row r="22" spans="1:79" s="1" customFormat="1" x14ac:dyDescent="0.25"/>
    <row r="23" spans="1:79" s="1" customFormat="1" x14ac:dyDescent="0.25">
      <c r="B23" s="171" t="s">
        <v>20</v>
      </c>
      <c r="C23" s="171"/>
      <c r="D23" s="171"/>
      <c r="E23" s="171"/>
      <c r="F23" s="171"/>
      <c r="G23" s="171"/>
      <c r="H23" s="171"/>
      <c r="I23" s="171"/>
    </row>
    <row r="24" spans="1:79" ht="46.5" customHeight="1" x14ac:dyDescent="0.25">
      <c r="A24" s="22"/>
      <c r="B24" s="1173" t="s">
        <v>5697</v>
      </c>
      <c r="C24" s="1173"/>
      <c r="D24" s="1173"/>
      <c r="E24" s="1173"/>
      <c r="F24" s="1173"/>
      <c r="G24" s="1173"/>
      <c r="H24" s="1173"/>
      <c r="I24" s="1173"/>
      <c r="J24" s="1173"/>
      <c r="K24" s="1173"/>
      <c r="L24" s="1173"/>
      <c r="M24" s="1173"/>
      <c r="N24" s="1173"/>
      <c r="O24" s="1173"/>
      <c r="P24" s="1173"/>
      <c r="Q24" s="1173"/>
      <c r="R24" s="1173"/>
      <c r="S24" s="1173"/>
      <c r="T24" s="1173"/>
      <c r="U24" s="1173"/>
      <c r="V24" s="1173"/>
      <c r="W24" s="1173"/>
      <c r="X24" s="1173"/>
      <c r="Y24" s="1173"/>
      <c r="Z24" s="1173"/>
      <c r="AA24" s="1173"/>
      <c r="AB24" s="1173"/>
      <c r="AC24" s="1173"/>
      <c r="AD24" s="1173"/>
      <c r="AE24" s="1173"/>
      <c r="AF24" s="1173"/>
    </row>
    <row r="25" spans="1:79" x14ac:dyDescent="0.25">
      <c r="A25" s="22"/>
    </row>
    <row r="26" spans="1:79" x14ac:dyDescent="0.25">
      <c r="A26" s="22"/>
    </row>
    <row r="27" spans="1:79" s="1" customFormat="1" x14ac:dyDescent="0.25">
      <c r="A27" s="1472" t="s">
        <v>14</v>
      </c>
      <c r="B27" s="1472"/>
      <c r="C27" s="1472"/>
      <c r="D27" s="1472"/>
      <c r="E27" s="1472"/>
      <c r="F27" s="1472"/>
      <c r="G27" s="1472"/>
      <c r="H27" s="1472"/>
      <c r="I27" s="1472"/>
      <c r="J27" s="1472"/>
      <c r="K27" s="1472"/>
      <c r="L27" s="1472"/>
      <c r="M27" s="1472"/>
      <c r="N27" s="1472"/>
      <c r="O27" s="1472"/>
      <c r="P27" s="1472"/>
      <c r="Q27" s="1472"/>
      <c r="R27" s="1472"/>
      <c r="S27" s="1472"/>
      <c r="T27" s="1472"/>
      <c r="U27" s="1472"/>
      <c r="V27" s="1472"/>
      <c r="W27" s="1472"/>
      <c r="X27" s="1472"/>
      <c r="Y27" s="1472"/>
      <c r="Z27" s="1472"/>
      <c r="AA27" s="1472"/>
      <c r="AB27" s="1472"/>
      <c r="AC27" s="1472"/>
      <c r="AD27" s="1472"/>
      <c r="AE27" s="1472"/>
      <c r="AF27" s="1472"/>
      <c r="AR27" s="3"/>
      <c r="BW27" s="204"/>
      <c r="BZ27" s="8"/>
      <c r="CA27" s="8"/>
    </row>
    <row r="28" spans="1:79" s="8" customFormat="1" ht="14.45" customHeight="1" x14ac:dyDescent="0.25">
      <c r="A28" s="185"/>
      <c r="AR28" s="3"/>
      <c r="AS28" s="17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row>
    <row r="29" spans="1:79" s="8" customFormat="1" ht="14.45" customHeight="1" x14ac:dyDescent="0.25">
      <c r="B29" s="379" t="s">
        <v>2301</v>
      </c>
      <c r="C29" s="1"/>
      <c r="D29" s="1"/>
      <c r="E29" s="1"/>
      <c r="F29" s="1"/>
      <c r="G29" s="1"/>
      <c r="H29" s="1"/>
      <c r="I29" s="1"/>
      <c r="J29" s="1"/>
      <c r="K29" s="1"/>
      <c r="L29" s="1"/>
      <c r="M29" s="1"/>
      <c r="N29" s="1"/>
      <c r="O29" s="1"/>
      <c r="P29" s="1"/>
      <c r="Q29" s="1"/>
      <c r="R29" s="1"/>
      <c r="S29" s="1"/>
      <c r="T29" s="1"/>
      <c r="U29" s="1"/>
      <c r="V29" s="1"/>
      <c r="W29" s="1"/>
      <c r="X29" s="1"/>
      <c r="Y29" s="1"/>
      <c r="Z29" s="1"/>
      <c r="AA29" s="1"/>
      <c r="AB29" s="1"/>
      <c r="AR29" s="3"/>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row>
    <row r="30" spans="1:79" s="8" customFormat="1" ht="14.45" customHeight="1" x14ac:dyDescent="0.25">
      <c r="B30" s="1"/>
      <c r="C30" s="1"/>
      <c r="D30" s="1"/>
      <c r="E30" s="1"/>
      <c r="F30" s="1"/>
      <c r="G30" s="1"/>
      <c r="H30" s="1"/>
      <c r="I30" s="1"/>
      <c r="J30" s="1"/>
      <c r="K30" s="1"/>
      <c r="L30" s="1"/>
      <c r="M30" s="1"/>
      <c r="N30" s="1"/>
      <c r="O30" s="1"/>
      <c r="P30" s="1"/>
      <c r="Q30" s="1"/>
      <c r="R30" s="1"/>
      <c r="S30" s="1"/>
      <c r="T30" s="1"/>
      <c r="U30" s="1"/>
      <c r="V30" s="1"/>
      <c r="W30" s="1"/>
      <c r="X30" s="1"/>
      <c r="Y30" s="1"/>
      <c r="Z30" s="1"/>
      <c r="AA30" s="1"/>
      <c r="AB30" s="1"/>
      <c r="AR30" s="3"/>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204"/>
      <c r="BX30" s="1"/>
      <c r="BY30" s="1"/>
    </row>
    <row r="31" spans="1:79" s="8" customFormat="1" ht="14.45" customHeight="1" x14ac:dyDescent="0.25">
      <c r="B31" s="1"/>
      <c r="C31" s="1"/>
      <c r="D31" s="1"/>
      <c r="E31" s="1"/>
      <c r="F31" s="1"/>
      <c r="G31" s="1"/>
      <c r="H31" s="1"/>
      <c r="I31" s="1"/>
      <c r="J31" s="1"/>
      <c r="K31" s="1"/>
      <c r="L31" s="1"/>
      <c r="M31" s="1"/>
      <c r="N31" s="1"/>
      <c r="O31" s="1"/>
      <c r="P31" s="1"/>
      <c r="Q31" s="1"/>
      <c r="R31" s="1"/>
      <c r="S31" s="1"/>
      <c r="T31" s="1"/>
      <c r="U31" s="1"/>
      <c r="V31" s="1"/>
      <c r="W31" s="1"/>
      <c r="X31" s="1"/>
      <c r="Y31" s="1"/>
      <c r="Z31" s="1"/>
      <c r="AA31" s="1"/>
      <c r="AB31" s="1"/>
      <c r="AF31" s="304" t="s">
        <v>1705</v>
      </c>
      <c r="AR31" s="3"/>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row>
    <row r="32" spans="1:79" s="8" customFormat="1" ht="14.45" customHeight="1" x14ac:dyDescent="0.25">
      <c r="B32" s="1"/>
      <c r="C32" s="1"/>
      <c r="D32" s="1"/>
      <c r="E32" s="1"/>
      <c r="F32" s="1"/>
      <c r="G32" s="1"/>
      <c r="H32" s="1"/>
      <c r="I32" s="1"/>
      <c r="J32" s="1"/>
      <c r="K32" s="1"/>
      <c r="L32" s="1"/>
      <c r="M32" s="1"/>
      <c r="N32" s="1"/>
      <c r="O32" s="1"/>
      <c r="P32" s="1"/>
      <c r="Q32" s="1"/>
      <c r="R32" s="1"/>
      <c r="S32" s="1"/>
      <c r="T32" s="1"/>
      <c r="U32" s="1"/>
      <c r="V32" s="1"/>
      <c r="W32" s="1"/>
      <c r="X32" s="1"/>
      <c r="Y32" s="1"/>
      <c r="Z32" s="1"/>
      <c r="AA32" s="1"/>
      <c r="AB32" s="1"/>
      <c r="AR32" s="3"/>
      <c r="AS32" s="17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row>
    <row r="33" spans="1:79" s="8" customFormat="1" ht="14.45" customHeight="1" x14ac:dyDescent="0.25">
      <c r="B33" s="379" t="s">
        <v>2302</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R33" s="3"/>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row>
    <row r="34" spans="1:79" s="8" customFormat="1" ht="14.45" customHeight="1" x14ac:dyDescent="0.25">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R34" s="3"/>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204"/>
      <c r="BX34" s="1"/>
      <c r="BY34" s="1"/>
    </row>
    <row r="35" spans="1:79" s="8" customFormat="1" ht="14.45" customHeight="1" x14ac:dyDescent="0.25">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204" t="s">
        <v>1706</v>
      </c>
      <c r="AR35" s="3"/>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204"/>
      <c r="BX35" s="1"/>
      <c r="BY35" s="1"/>
    </row>
    <row r="36" spans="1:79" s="8" customFormat="1" ht="14.45" customHeight="1" x14ac:dyDescent="0.25">
      <c r="B36" s="185"/>
      <c r="AR36" s="3"/>
      <c r="AS36" s="17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204"/>
      <c r="BX36" s="1"/>
      <c r="BY36" s="1"/>
    </row>
    <row r="37" spans="1:79" s="8" customFormat="1" ht="14.45" customHeight="1" x14ac:dyDescent="0.25">
      <c r="A37" s="185"/>
      <c r="B37" s="171" t="s">
        <v>2192</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R37" s="3"/>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204"/>
      <c r="BX37" s="1"/>
      <c r="BY37" s="1"/>
    </row>
    <row r="38" spans="1:79" s="8" customFormat="1" ht="14.45" customHeight="1" x14ac:dyDescent="0.25">
      <c r="A38" s="185"/>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R38" s="3"/>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204"/>
      <c r="BX38" s="1"/>
      <c r="BY38" s="1"/>
      <c r="BZ38"/>
      <c r="CA38"/>
    </row>
    <row r="39" spans="1:79" s="8" customFormat="1" ht="14.45" customHeight="1" x14ac:dyDescent="0.25">
      <c r="A39" s="185"/>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204" t="s">
        <v>1707</v>
      </c>
      <c r="AR39" s="3"/>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204"/>
      <c r="BX39" s="1"/>
      <c r="BY39" s="1"/>
      <c r="BZ39"/>
      <c r="CA39"/>
    </row>
    <row r="40" spans="1:79" s="8" customFormat="1" ht="14.45" customHeight="1" x14ac:dyDescent="0.25">
      <c r="A40" s="185"/>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R40" s="3"/>
      <c r="AS40" s="17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204"/>
      <c r="BX40" s="1"/>
      <c r="BY40" s="1"/>
      <c r="BZ40"/>
      <c r="CA40"/>
    </row>
    <row r="41" spans="1:79" s="8" customFormat="1" ht="14.45" customHeight="1" x14ac:dyDescent="0.25">
      <c r="A41" s="185"/>
      <c r="B41" s="171" t="s">
        <v>2193</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R41" s="3"/>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204"/>
      <c r="BX41" s="1"/>
      <c r="BY41" s="1"/>
      <c r="BZ41"/>
      <c r="CA41"/>
    </row>
    <row r="42" spans="1:79" s="8" customFormat="1" ht="14.45" customHeight="1" x14ac:dyDescent="0.25">
      <c r="A42" s="185"/>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R42" s="3"/>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204"/>
      <c r="BX42" s="1"/>
      <c r="BY42" s="1"/>
      <c r="BZ42"/>
      <c r="CA42"/>
    </row>
    <row r="43" spans="1:79" s="8" customFormat="1" ht="14.45" customHeight="1" x14ac:dyDescent="0.25">
      <c r="A43" s="185"/>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204" t="s">
        <v>1756</v>
      </c>
      <c r="AR43" s="3"/>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204"/>
      <c r="BX43" s="1"/>
      <c r="BY43" s="1"/>
      <c r="BZ43"/>
      <c r="CA43"/>
    </row>
    <row r="44" spans="1:79" s="8" customFormat="1" ht="14.45" customHeight="1" x14ac:dyDescent="0.25">
      <c r="A44" s="185"/>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204"/>
      <c r="AR44" s="3"/>
      <c r="AS44" s="17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204"/>
      <c r="BX44" s="1"/>
      <c r="BY44" s="1"/>
      <c r="BZ44"/>
      <c r="CA44"/>
    </row>
    <row r="45" spans="1:79" s="8" customFormat="1" ht="14.45" customHeight="1" x14ac:dyDescent="0.25">
      <c r="A45" s="3"/>
      <c r="B45" s="171" t="s">
        <v>1825</v>
      </c>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204"/>
      <c r="AG45" s="1"/>
      <c r="AR45" s="3"/>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204"/>
      <c r="BX45" s="1"/>
      <c r="BY45" s="1"/>
      <c r="BZ45"/>
      <c r="CA45"/>
    </row>
    <row r="46" spans="1:79" s="8" customForma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204"/>
      <c r="AG46" s="1"/>
      <c r="AR46" s="3"/>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204"/>
      <c r="BX46" s="1"/>
      <c r="BY46" s="1"/>
      <c r="BZ46"/>
      <c r="CA46"/>
    </row>
    <row r="47" spans="1:79" s="8" customForma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204" t="s">
        <v>1788</v>
      </c>
      <c r="AG47" s="1"/>
      <c r="AR47" s="3"/>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204"/>
      <c r="BX47" s="1"/>
      <c r="BY47" s="1"/>
      <c r="BZ47" s="1"/>
      <c r="CA47" s="1"/>
    </row>
    <row r="48" spans="1:79" s="8" customForma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204"/>
      <c r="AG48" s="1"/>
      <c r="AR48" s="3"/>
      <c r="AS48" s="17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204"/>
      <c r="BX48" s="1"/>
      <c r="BY48" s="1"/>
      <c r="BZ48" s="1"/>
      <c r="CA48" s="1"/>
    </row>
    <row r="49" spans="1:79" s="8" customFormat="1" ht="15.75" x14ac:dyDescent="0.25">
      <c r="A49" s="185"/>
      <c r="B49" s="171" t="s">
        <v>2114</v>
      </c>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204"/>
      <c r="AG49" s="1"/>
      <c r="AR49" s="3"/>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204"/>
      <c r="BX49" s="1"/>
      <c r="BY49" s="1"/>
      <c r="BZ49"/>
      <c r="CA49"/>
    </row>
    <row r="50" spans="1:79" s="8" customFormat="1" ht="15.75" x14ac:dyDescent="0.25">
      <c r="A50" s="185"/>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204"/>
      <c r="AG50" s="1"/>
      <c r="AR50" s="3"/>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204"/>
      <c r="BX50" s="1"/>
      <c r="BY50" s="1"/>
      <c r="BZ50"/>
      <c r="CA50"/>
    </row>
    <row r="51" spans="1:79" s="8" customFormat="1" ht="15.75" x14ac:dyDescent="0.25">
      <c r="A51" s="185"/>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204" t="s">
        <v>1789</v>
      </c>
      <c r="AG51" s="1"/>
      <c r="AR51" s="3"/>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204"/>
      <c r="BX51" s="1"/>
      <c r="BY51" s="1"/>
      <c r="BZ51"/>
      <c r="CA51"/>
    </row>
    <row r="52" spans="1:79" s="8" customFormat="1" ht="15.75" x14ac:dyDescent="0.25">
      <c r="A52" s="185"/>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204"/>
      <c r="AG52" s="1"/>
      <c r="AR52" s="3"/>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204"/>
      <c r="BX52" s="1"/>
      <c r="BY52" s="1"/>
      <c r="BZ52"/>
      <c r="CA52"/>
    </row>
    <row r="53" spans="1:79" s="8" customFormat="1" ht="15.75" x14ac:dyDescent="0.25">
      <c r="A53" s="185"/>
      <c r="B53" s="171" t="s">
        <v>1823</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204"/>
      <c r="AG53" s="1"/>
      <c r="AR53" s="3"/>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204"/>
      <c r="BX53" s="1"/>
      <c r="BY53" s="1"/>
      <c r="BZ53"/>
      <c r="CA53"/>
    </row>
    <row r="54" spans="1:79" s="8" customFormat="1" ht="15.75" x14ac:dyDescent="0.25">
      <c r="A54" s="185"/>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204"/>
      <c r="AG54" s="1"/>
      <c r="AR54" s="3"/>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204"/>
      <c r="BX54" s="1"/>
      <c r="BY54" s="1"/>
      <c r="BZ54"/>
      <c r="CA54"/>
    </row>
    <row r="55" spans="1:79" s="8" customFormat="1" ht="15.75" x14ac:dyDescent="0.25">
      <c r="A55" s="185"/>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204" t="s">
        <v>1826</v>
      </c>
      <c r="AG55" s="1"/>
      <c r="AR55" s="3"/>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204"/>
      <c r="BX55" s="1"/>
      <c r="BY55" s="1"/>
      <c r="BZ55"/>
      <c r="CA55"/>
    </row>
    <row r="56" spans="1:79" s="8" customFormat="1" ht="15.75" x14ac:dyDescent="0.25">
      <c r="A56" s="185"/>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204"/>
      <c r="AG56" s="1"/>
      <c r="AR56" s="3"/>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204"/>
      <c r="BX56" s="1"/>
      <c r="BY56" s="1"/>
      <c r="BZ56"/>
      <c r="CA56"/>
    </row>
    <row r="57" spans="1:79" s="8" customFormat="1" ht="15.75" x14ac:dyDescent="0.25">
      <c r="A57" s="185"/>
      <c r="B57" s="171" t="s">
        <v>2115</v>
      </c>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204"/>
      <c r="AG57" s="1"/>
      <c r="AR57" s="3"/>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204"/>
      <c r="BX57" s="1"/>
      <c r="BY57" s="1"/>
      <c r="BZ57"/>
      <c r="CA57"/>
    </row>
    <row r="58" spans="1:79" s="8" customFormat="1" ht="15.75" x14ac:dyDescent="0.25">
      <c r="A58" s="185"/>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204"/>
      <c r="AG58" s="1"/>
      <c r="AR58" s="3"/>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204"/>
      <c r="BX58" s="1"/>
      <c r="BY58" s="1"/>
      <c r="BZ58"/>
      <c r="CA58"/>
    </row>
    <row r="59" spans="1:79" s="8" customFormat="1" ht="15.75" x14ac:dyDescent="0.25">
      <c r="A59" s="185"/>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204" t="s">
        <v>1827</v>
      </c>
      <c r="AG59" s="1"/>
      <c r="AR59" s="3"/>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204"/>
      <c r="BX59" s="1"/>
      <c r="BY59" s="1"/>
      <c r="BZ59"/>
      <c r="CA59"/>
    </row>
    <row r="60" spans="1:79" s="8" customFormat="1" ht="15.75" x14ac:dyDescent="0.25">
      <c r="A60" s="185"/>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204"/>
      <c r="AG60" s="1"/>
      <c r="AR60" s="3"/>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204"/>
      <c r="BX60" s="1"/>
      <c r="BY60" s="1"/>
      <c r="BZ60"/>
      <c r="CA60"/>
    </row>
    <row r="61" spans="1:79" s="8" customFormat="1" ht="15.75" x14ac:dyDescent="0.25">
      <c r="A61" s="185"/>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204" t="s">
        <v>2116</v>
      </c>
      <c r="AG61" s="1"/>
      <c r="AR61" s="3"/>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204"/>
      <c r="BX61" s="1"/>
      <c r="BY61" s="1"/>
      <c r="BZ61"/>
      <c r="CA61"/>
    </row>
    <row r="62" spans="1:79" s="8" customFormat="1" ht="15.75" x14ac:dyDescent="0.25">
      <c r="A62" s="185"/>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204"/>
      <c r="AG62" s="1"/>
      <c r="AR62" s="3"/>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204"/>
      <c r="BX62" s="1"/>
      <c r="BY62" s="1"/>
      <c r="BZ62"/>
      <c r="CA62"/>
    </row>
    <row r="63" spans="1:79" s="8" customFormat="1" ht="15.75" x14ac:dyDescent="0.25">
      <c r="A63" s="185"/>
      <c r="B63" s="171" t="s">
        <v>2117</v>
      </c>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204"/>
      <c r="AG63" s="1"/>
      <c r="AR63" s="3"/>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204"/>
      <c r="BX63" s="1"/>
      <c r="BY63" s="1"/>
      <c r="BZ63"/>
      <c r="CA63"/>
    </row>
    <row r="64" spans="1:79" s="8" customFormat="1" ht="15.75" x14ac:dyDescent="0.25">
      <c r="A64" s="185"/>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204"/>
      <c r="AG64" s="1"/>
      <c r="AR64" s="3"/>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204"/>
      <c r="BX64" s="1"/>
      <c r="BY64" s="1"/>
      <c r="BZ64"/>
      <c r="CA64"/>
    </row>
    <row r="65" spans="1:79" s="8" customFormat="1" ht="15.75" x14ac:dyDescent="0.25">
      <c r="A65" s="185"/>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204" t="s">
        <v>2118</v>
      </c>
      <c r="AG65" s="1"/>
      <c r="AR65" s="3"/>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204"/>
      <c r="BX65" s="1"/>
      <c r="BY65" s="1"/>
      <c r="BZ65"/>
      <c r="CA65"/>
    </row>
    <row r="66" spans="1:79" s="8" customFormat="1" ht="15.75" x14ac:dyDescent="0.25">
      <c r="A66" s="185"/>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204"/>
      <c r="AG66" s="1"/>
      <c r="AR66" s="3"/>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204"/>
      <c r="BX66" s="1"/>
      <c r="BY66" s="1"/>
      <c r="BZ66"/>
      <c r="CA66"/>
    </row>
    <row r="67" spans="1:79" s="8" customFormat="1" ht="15.75" x14ac:dyDescent="0.25">
      <c r="A67" s="185"/>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204" t="s">
        <v>2119</v>
      </c>
      <c r="AG67" s="1"/>
      <c r="AR67" s="3"/>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204"/>
      <c r="BX67" s="1"/>
      <c r="BY67" s="1"/>
      <c r="BZ67"/>
      <c r="CA67"/>
    </row>
    <row r="68" spans="1:79" s="8" customFormat="1" x14ac:dyDescent="0.25">
      <c r="B68" s="304"/>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row>
    <row r="69" spans="1:79" s="8" customFormat="1" x14ac:dyDescent="0.25">
      <c r="A69" s="1472" t="s">
        <v>15</v>
      </c>
      <c r="B69" s="1472"/>
      <c r="C69" s="1472"/>
      <c r="D69" s="1472"/>
      <c r="E69" s="1472"/>
      <c r="F69" s="1472"/>
      <c r="G69" s="1472"/>
      <c r="H69" s="1472"/>
      <c r="I69" s="1472"/>
      <c r="J69" s="1472"/>
      <c r="K69" s="1472"/>
      <c r="L69" s="1472"/>
      <c r="M69" s="1472"/>
      <c r="N69" s="1472"/>
      <c r="O69" s="1472"/>
      <c r="P69" s="1472"/>
      <c r="Q69" s="1472"/>
      <c r="R69" s="1472"/>
      <c r="S69" s="1472"/>
      <c r="T69" s="1472"/>
      <c r="U69" s="1472"/>
      <c r="V69" s="1472"/>
      <c r="W69" s="1472"/>
      <c r="X69" s="1472"/>
      <c r="Y69" s="1472"/>
      <c r="Z69" s="1472"/>
      <c r="AA69" s="1472"/>
      <c r="AB69" s="1472"/>
      <c r="AC69" s="1472"/>
      <c r="AD69" s="1472"/>
      <c r="AE69" s="1472"/>
      <c r="AF69" s="1472"/>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row>
    <row r="70" spans="1:79" x14ac:dyDescent="0.25">
      <c r="A70" s="1474" t="s">
        <v>16</v>
      </c>
      <c r="B70" s="1474"/>
      <c r="C70" s="1474"/>
      <c r="D70" s="1474"/>
      <c r="E70" s="1474" t="s">
        <v>10</v>
      </c>
      <c r="F70" s="1474"/>
      <c r="G70" s="1474"/>
      <c r="H70" s="1474"/>
      <c r="I70" s="1474"/>
      <c r="J70" s="1474"/>
      <c r="K70" s="1474"/>
      <c r="L70" s="1474"/>
      <c r="M70" s="1474"/>
      <c r="N70" s="1474"/>
      <c r="O70" s="1474"/>
      <c r="P70" s="1474"/>
      <c r="Q70" s="1474" t="s">
        <v>17</v>
      </c>
      <c r="R70" s="1474"/>
      <c r="S70" s="1474"/>
      <c r="T70" s="1474"/>
      <c r="U70" s="1474" t="s">
        <v>18</v>
      </c>
      <c r="V70" s="1474"/>
      <c r="W70" s="1474"/>
      <c r="X70" s="1474" t="s">
        <v>1708</v>
      </c>
      <c r="Y70" s="1474"/>
      <c r="Z70" s="1474"/>
      <c r="AA70" s="1474"/>
      <c r="AB70" s="1474"/>
      <c r="AC70" s="1474"/>
      <c r="AD70" s="1474"/>
      <c r="AE70" s="1474"/>
      <c r="AF70" s="1474"/>
      <c r="AG70" s="8"/>
    </row>
    <row r="71" spans="1:79" ht="78" customHeight="1" x14ac:dyDescent="0.25">
      <c r="A71" s="1485" t="s">
        <v>1758</v>
      </c>
      <c r="B71" s="1486" t="s">
        <v>294</v>
      </c>
      <c r="C71" s="1486" t="s">
        <v>294</v>
      </c>
      <c r="D71" s="1487" t="s">
        <v>294</v>
      </c>
      <c r="E71" s="2489" t="s">
        <v>1810</v>
      </c>
      <c r="F71" s="2489" t="s">
        <v>254</v>
      </c>
      <c r="G71" s="2489" t="s">
        <v>254</v>
      </c>
      <c r="H71" s="2489" t="s">
        <v>254</v>
      </c>
      <c r="I71" s="2489" t="s">
        <v>254</v>
      </c>
      <c r="J71" s="2489" t="s">
        <v>254</v>
      </c>
      <c r="K71" s="2489" t="s">
        <v>254</v>
      </c>
      <c r="L71" s="2489" t="s">
        <v>254</v>
      </c>
      <c r="M71" s="2489" t="s">
        <v>254</v>
      </c>
      <c r="N71" s="2489" t="s">
        <v>254</v>
      </c>
      <c r="O71" s="2489" t="s">
        <v>254</v>
      </c>
      <c r="P71" s="2489" t="s">
        <v>254</v>
      </c>
      <c r="Q71" s="2627" t="s">
        <v>326</v>
      </c>
      <c r="R71" s="2627"/>
      <c r="S71" s="2627"/>
      <c r="T71" s="2627"/>
      <c r="U71" s="1606" t="s">
        <v>26</v>
      </c>
      <c r="V71" s="1606"/>
      <c r="W71" s="1606"/>
      <c r="X71" s="1135" t="s">
        <v>2150</v>
      </c>
      <c r="Y71" s="1135"/>
      <c r="Z71" s="1135"/>
      <c r="AA71" s="1135"/>
      <c r="AB71" s="1135"/>
      <c r="AC71" s="1135"/>
      <c r="AD71" s="1135"/>
      <c r="AE71" s="1135"/>
      <c r="AF71" s="1135"/>
      <c r="AG71" s="8"/>
    </row>
    <row r="72" spans="1:79" ht="70.5" customHeight="1" x14ac:dyDescent="0.25">
      <c r="A72" s="1485" t="s">
        <v>1759</v>
      </c>
      <c r="B72" s="1486" t="s">
        <v>294</v>
      </c>
      <c r="C72" s="1486" t="s">
        <v>294</v>
      </c>
      <c r="D72" s="1487" t="s">
        <v>294</v>
      </c>
      <c r="E72" s="2489" t="s">
        <v>1811</v>
      </c>
      <c r="F72" s="2489" t="s">
        <v>255</v>
      </c>
      <c r="G72" s="2489" t="s">
        <v>255</v>
      </c>
      <c r="H72" s="2489" t="s">
        <v>255</v>
      </c>
      <c r="I72" s="2489" t="s">
        <v>255</v>
      </c>
      <c r="J72" s="2489" t="s">
        <v>255</v>
      </c>
      <c r="K72" s="2489" t="s">
        <v>255</v>
      </c>
      <c r="L72" s="2489" t="s">
        <v>255</v>
      </c>
      <c r="M72" s="2489" t="s">
        <v>255</v>
      </c>
      <c r="N72" s="2489" t="s">
        <v>255</v>
      </c>
      <c r="O72" s="2489" t="s">
        <v>255</v>
      </c>
      <c r="P72" s="2489" t="s">
        <v>255</v>
      </c>
      <c r="Q72" s="2627" t="s">
        <v>326</v>
      </c>
      <c r="R72" s="2627"/>
      <c r="S72" s="2627"/>
      <c r="T72" s="2627"/>
      <c r="U72" s="1606" t="s">
        <v>26</v>
      </c>
      <c r="V72" s="1606"/>
      <c r="W72" s="1606"/>
      <c r="X72" s="1135" t="s">
        <v>2151</v>
      </c>
      <c r="Y72" s="1135"/>
      <c r="Z72" s="1135"/>
      <c r="AA72" s="1135"/>
      <c r="AB72" s="1135"/>
      <c r="AC72" s="1135"/>
      <c r="AD72" s="1135"/>
      <c r="AE72" s="1135"/>
      <c r="AF72" s="1135"/>
      <c r="AG72" s="8"/>
    </row>
    <row r="73" spans="1:79" ht="80.25" customHeight="1" x14ac:dyDescent="0.25">
      <c r="A73" s="1485" t="s">
        <v>2120</v>
      </c>
      <c r="B73" s="1486" t="s">
        <v>638</v>
      </c>
      <c r="C73" s="1486" t="s">
        <v>638</v>
      </c>
      <c r="D73" s="1487" t="s">
        <v>638</v>
      </c>
      <c r="E73" s="2489" t="s">
        <v>1050</v>
      </c>
      <c r="F73" s="2489" t="s">
        <v>255</v>
      </c>
      <c r="G73" s="2489" t="s">
        <v>255</v>
      </c>
      <c r="H73" s="2489" t="s">
        <v>255</v>
      </c>
      <c r="I73" s="2489" t="s">
        <v>255</v>
      </c>
      <c r="J73" s="2489" t="s">
        <v>255</v>
      </c>
      <c r="K73" s="2489" t="s">
        <v>255</v>
      </c>
      <c r="L73" s="2489" t="s">
        <v>255</v>
      </c>
      <c r="M73" s="2489" t="s">
        <v>255</v>
      </c>
      <c r="N73" s="2489" t="s">
        <v>255</v>
      </c>
      <c r="O73" s="2489" t="s">
        <v>255</v>
      </c>
      <c r="P73" s="2489" t="s">
        <v>255</v>
      </c>
      <c r="Q73" s="2627" t="s">
        <v>326</v>
      </c>
      <c r="R73" s="2627"/>
      <c r="S73" s="2627"/>
      <c r="T73" s="2627"/>
      <c r="U73" s="1606" t="s">
        <v>26</v>
      </c>
      <c r="V73" s="1606"/>
      <c r="W73" s="1606"/>
      <c r="X73" s="1135" t="s">
        <v>3076</v>
      </c>
      <c r="Y73" s="1135"/>
      <c r="Z73" s="1135"/>
      <c r="AA73" s="1135"/>
      <c r="AB73" s="1135"/>
      <c r="AC73" s="1135"/>
      <c r="AD73" s="1135"/>
      <c r="AE73" s="1135"/>
      <c r="AF73" s="1135"/>
      <c r="AG73" s="8"/>
    </row>
    <row r="74" spans="1:79" ht="31.5" customHeight="1" x14ac:dyDescent="0.25">
      <c r="A74" s="1485" t="s">
        <v>1760</v>
      </c>
      <c r="B74" s="1486"/>
      <c r="C74" s="1486"/>
      <c r="D74" s="1487"/>
      <c r="E74" s="2489" t="s">
        <v>2031</v>
      </c>
      <c r="F74" s="2489"/>
      <c r="G74" s="2489"/>
      <c r="H74" s="2489"/>
      <c r="I74" s="2489"/>
      <c r="J74" s="2489"/>
      <c r="K74" s="2489"/>
      <c r="L74" s="2489"/>
      <c r="M74" s="2489"/>
      <c r="N74" s="2489"/>
      <c r="O74" s="2489"/>
      <c r="P74" s="2489"/>
      <c r="Q74" s="2626">
        <v>1</v>
      </c>
      <c r="R74" s="2626"/>
      <c r="S74" s="2626"/>
      <c r="T74" s="2626"/>
      <c r="U74" s="2496" t="s">
        <v>28</v>
      </c>
      <c r="V74" s="1606"/>
      <c r="W74" s="1606"/>
      <c r="X74" s="1135" t="s">
        <v>1757</v>
      </c>
      <c r="Y74" s="1135"/>
      <c r="Z74" s="1135"/>
      <c r="AA74" s="1135"/>
      <c r="AB74" s="1135"/>
      <c r="AC74" s="1135"/>
      <c r="AD74" s="1135"/>
      <c r="AE74" s="1135"/>
      <c r="AF74" s="1135"/>
      <c r="AG74" s="8"/>
    </row>
    <row r="75" spans="1:79" ht="69" customHeight="1" x14ac:dyDescent="0.25">
      <c r="A75" s="1485" t="s">
        <v>29</v>
      </c>
      <c r="B75" s="1486"/>
      <c r="C75" s="1486"/>
      <c r="D75" s="1487"/>
      <c r="E75" s="2489" t="s">
        <v>1703</v>
      </c>
      <c r="F75" s="2489"/>
      <c r="G75" s="2489"/>
      <c r="H75" s="2489"/>
      <c r="I75" s="2489"/>
      <c r="J75" s="2489"/>
      <c r="K75" s="2489"/>
      <c r="L75" s="2489"/>
      <c r="M75" s="2489"/>
      <c r="N75" s="2489"/>
      <c r="O75" s="2489"/>
      <c r="P75" s="2489"/>
      <c r="Q75" s="2626">
        <f>C_Light_General!$AD$126*$Q$76/C_Light_General!$O$170</f>
        <v>0.88457023060796658</v>
      </c>
      <c r="R75" s="2626"/>
      <c r="S75" s="2626"/>
      <c r="T75" s="2626"/>
      <c r="U75" s="2496" t="s">
        <v>28</v>
      </c>
      <c r="V75" s="1606"/>
      <c r="W75" s="1606"/>
      <c r="X75" s="1135" t="s">
        <v>2133</v>
      </c>
      <c r="Y75" s="1135"/>
      <c r="Z75" s="1135"/>
      <c r="AA75" s="1135"/>
      <c r="AB75" s="1135"/>
      <c r="AC75" s="1135"/>
      <c r="AD75" s="1135"/>
      <c r="AE75" s="1135"/>
      <c r="AF75" s="1135"/>
      <c r="AG75" s="8"/>
    </row>
    <row r="76" spans="1:79" ht="29.1" customHeight="1" x14ac:dyDescent="0.25">
      <c r="A76" s="1485" t="s">
        <v>2127</v>
      </c>
      <c r="B76" s="1486"/>
      <c r="C76" s="1486"/>
      <c r="D76" s="1487"/>
      <c r="E76" s="2489" t="s">
        <v>1817</v>
      </c>
      <c r="F76" s="2489"/>
      <c r="G76" s="2489"/>
      <c r="H76" s="2489"/>
      <c r="I76" s="2489"/>
      <c r="J76" s="2489"/>
      <c r="K76" s="2489"/>
      <c r="L76" s="2489"/>
      <c r="M76" s="2489"/>
      <c r="N76" s="2489"/>
      <c r="O76" s="2489"/>
      <c r="P76" s="2489"/>
      <c r="Q76" s="2628">
        <v>6205</v>
      </c>
      <c r="R76" s="2628"/>
      <c r="S76" s="2628"/>
      <c r="T76" s="2628"/>
      <c r="U76" s="1606" t="s">
        <v>1818</v>
      </c>
      <c r="V76" s="1606"/>
      <c r="W76" s="1606"/>
      <c r="X76" s="1135" t="s">
        <v>2134</v>
      </c>
      <c r="Y76" s="1135"/>
      <c r="Z76" s="1135"/>
      <c r="AA76" s="1135"/>
      <c r="AB76" s="1135"/>
      <c r="AC76" s="1135"/>
      <c r="AD76" s="1135"/>
      <c r="AE76" s="1135"/>
      <c r="AF76" s="1135"/>
      <c r="AG76" s="8"/>
    </row>
    <row r="77" spans="1:79" ht="29.1" customHeight="1" x14ac:dyDescent="0.25">
      <c r="A77" s="1485" t="s">
        <v>42</v>
      </c>
      <c r="B77" s="1486" t="s">
        <v>42</v>
      </c>
      <c r="C77" s="1486" t="s">
        <v>42</v>
      </c>
      <c r="D77" s="1487" t="s">
        <v>42</v>
      </c>
      <c r="E77" s="2489" t="s">
        <v>865</v>
      </c>
      <c r="F77" s="2489" t="s">
        <v>256</v>
      </c>
      <c r="G77" s="2489" t="s">
        <v>256</v>
      </c>
      <c r="H77" s="2489" t="s">
        <v>256</v>
      </c>
      <c r="I77" s="2489" t="s">
        <v>256</v>
      </c>
      <c r="J77" s="2489" t="s">
        <v>256</v>
      </c>
      <c r="K77" s="2489" t="s">
        <v>256</v>
      </c>
      <c r="L77" s="2489" t="s">
        <v>256</v>
      </c>
      <c r="M77" s="2489" t="s">
        <v>256</v>
      </c>
      <c r="N77" s="2489" t="s">
        <v>256</v>
      </c>
      <c r="O77" s="2489" t="s">
        <v>256</v>
      </c>
      <c r="P77" s="2489" t="s">
        <v>256</v>
      </c>
      <c r="Q77" s="2626">
        <v>1</v>
      </c>
      <c r="R77" s="2626"/>
      <c r="S77" s="2626"/>
      <c r="T77" s="2626"/>
      <c r="U77" s="2496" t="s">
        <v>28</v>
      </c>
      <c r="V77" s="1606"/>
      <c r="W77" s="1606"/>
      <c r="X77" s="1135" t="s">
        <v>1821</v>
      </c>
      <c r="Y77" s="1135"/>
      <c r="Z77" s="1135"/>
      <c r="AA77" s="1135"/>
      <c r="AB77" s="1135"/>
      <c r="AC77" s="1135"/>
      <c r="AD77" s="1135"/>
      <c r="AE77" s="1135"/>
      <c r="AF77" s="1135"/>
      <c r="AG77" s="8"/>
    </row>
    <row r="78" spans="1:79" ht="48" customHeight="1" x14ac:dyDescent="0.25">
      <c r="A78" s="1485" t="s">
        <v>2128</v>
      </c>
      <c r="B78" s="1486"/>
      <c r="C78" s="1486"/>
      <c r="D78" s="1487"/>
      <c r="E78" s="2489" t="s">
        <v>2123</v>
      </c>
      <c r="F78" s="2489"/>
      <c r="G78" s="2489"/>
      <c r="H78" s="2489"/>
      <c r="I78" s="2489"/>
      <c r="J78" s="2489"/>
      <c r="K78" s="2489"/>
      <c r="L78" s="2489"/>
      <c r="M78" s="2489"/>
      <c r="N78" s="2489"/>
      <c r="O78" s="2489"/>
      <c r="P78" s="2489"/>
      <c r="Q78" s="2626">
        <f>($Q$80-1)*0.5</f>
        <v>4.500000000000004E-2</v>
      </c>
      <c r="R78" s="2626"/>
      <c r="S78" s="2626"/>
      <c r="T78" s="2626"/>
      <c r="U78" s="2496" t="s">
        <v>28</v>
      </c>
      <c r="V78" s="1606"/>
      <c r="W78" s="1606"/>
      <c r="X78" s="1135" t="s">
        <v>2139</v>
      </c>
      <c r="Y78" s="1135"/>
      <c r="Z78" s="1135"/>
      <c r="AA78" s="1135"/>
      <c r="AB78" s="1135"/>
      <c r="AC78" s="1135"/>
      <c r="AD78" s="1135"/>
      <c r="AE78" s="1135"/>
      <c r="AF78" s="1135"/>
      <c r="AG78" s="8"/>
    </row>
    <row r="79" spans="1:79" ht="48" customHeight="1" x14ac:dyDescent="0.25">
      <c r="A79" s="1485" t="s">
        <v>2129</v>
      </c>
      <c r="B79" s="1486"/>
      <c r="C79" s="1486"/>
      <c r="D79" s="1487"/>
      <c r="E79" s="2489" t="s">
        <v>2136</v>
      </c>
      <c r="F79" s="2489"/>
      <c r="G79" s="2489"/>
      <c r="H79" s="2489"/>
      <c r="I79" s="2489"/>
      <c r="J79" s="2489"/>
      <c r="K79" s="2489"/>
      <c r="L79" s="2489"/>
      <c r="M79" s="2489"/>
      <c r="N79" s="2489"/>
      <c r="O79" s="2489"/>
      <c r="P79" s="2489"/>
      <c r="Q79" s="2626">
        <f>($Q$81-1)*0.5</f>
        <v>6.9999999999999951E-2</v>
      </c>
      <c r="R79" s="2626"/>
      <c r="S79" s="2626"/>
      <c r="T79" s="2626"/>
      <c r="U79" s="2496" t="s">
        <v>28</v>
      </c>
      <c r="V79" s="1606"/>
      <c r="W79" s="1606"/>
      <c r="X79" s="1135" t="s">
        <v>2140</v>
      </c>
      <c r="Y79" s="1135"/>
      <c r="Z79" s="1135"/>
      <c r="AA79" s="1135"/>
      <c r="AB79" s="1135"/>
      <c r="AC79" s="1135"/>
      <c r="AD79" s="1135"/>
      <c r="AE79" s="1135"/>
      <c r="AF79" s="1135"/>
      <c r="AG79" s="8"/>
    </row>
    <row r="80" spans="1:79" ht="48.75" customHeight="1" x14ac:dyDescent="0.25">
      <c r="A80" s="1485" t="s">
        <v>1766</v>
      </c>
      <c r="B80" s="1486"/>
      <c r="C80" s="1486"/>
      <c r="D80" s="1487"/>
      <c r="E80" s="2489" t="s">
        <v>1769</v>
      </c>
      <c r="F80" s="2489"/>
      <c r="G80" s="2489"/>
      <c r="H80" s="2489"/>
      <c r="I80" s="2489"/>
      <c r="J80" s="2489"/>
      <c r="K80" s="2489"/>
      <c r="L80" s="2489"/>
      <c r="M80" s="2489"/>
      <c r="N80" s="2489"/>
      <c r="O80" s="2489"/>
      <c r="P80" s="2489"/>
      <c r="Q80" s="2626">
        <f>C_Light_General!$Z$149</f>
        <v>1.0900000000000001</v>
      </c>
      <c r="R80" s="2626"/>
      <c r="S80" s="2626"/>
      <c r="T80" s="2626"/>
      <c r="U80" s="2496" t="s">
        <v>28</v>
      </c>
      <c r="V80" s="1606"/>
      <c r="W80" s="1606"/>
      <c r="X80" s="1135" t="s">
        <v>2138</v>
      </c>
      <c r="Y80" s="1135"/>
      <c r="Z80" s="1135"/>
      <c r="AA80" s="1135"/>
      <c r="AB80" s="1135"/>
      <c r="AC80" s="1135"/>
      <c r="AD80" s="1135"/>
      <c r="AE80" s="1135"/>
      <c r="AF80" s="1135"/>
      <c r="AG80" s="8"/>
    </row>
    <row r="81" spans="1:79" ht="44.25" customHeight="1" x14ac:dyDescent="0.25">
      <c r="A81" s="1485" t="s">
        <v>1767</v>
      </c>
      <c r="B81" s="1486"/>
      <c r="C81" s="1486"/>
      <c r="D81" s="1487"/>
      <c r="E81" s="2489" t="s">
        <v>1768</v>
      </c>
      <c r="F81" s="2489"/>
      <c r="G81" s="2489"/>
      <c r="H81" s="2489"/>
      <c r="I81" s="2489"/>
      <c r="J81" s="2489"/>
      <c r="K81" s="2489"/>
      <c r="L81" s="2489"/>
      <c r="M81" s="2489"/>
      <c r="N81" s="2489"/>
      <c r="O81" s="2489"/>
      <c r="P81" s="2489"/>
      <c r="Q81" s="2626">
        <f>C_Light_General!$AD$149</f>
        <v>1.1399999999999999</v>
      </c>
      <c r="R81" s="2626"/>
      <c r="S81" s="2626"/>
      <c r="T81" s="2626"/>
      <c r="U81" s="2496" t="s">
        <v>28</v>
      </c>
      <c r="V81" s="1606"/>
      <c r="W81" s="1606"/>
      <c r="X81" s="1135" t="s">
        <v>2138</v>
      </c>
      <c r="Y81" s="1135"/>
      <c r="Z81" s="1135"/>
      <c r="AA81" s="1135"/>
      <c r="AB81" s="1135"/>
      <c r="AC81" s="1135"/>
      <c r="AD81" s="1135"/>
      <c r="AE81" s="1135"/>
      <c r="AF81" s="1135"/>
      <c r="AG81" s="8"/>
    </row>
    <row r="82" spans="1:79" ht="47.25" customHeight="1" x14ac:dyDescent="0.25">
      <c r="A82" s="1485" t="s">
        <v>2130</v>
      </c>
      <c r="B82" s="1486"/>
      <c r="C82" s="1486"/>
      <c r="D82" s="1487"/>
      <c r="E82" s="2489" t="s">
        <v>2124</v>
      </c>
      <c r="F82" s="2489"/>
      <c r="G82" s="2489"/>
      <c r="H82" s="2489"/>
      <c r="I82" s="2489"/>
      <c r="J82" s="2489"/>
      <c r="K82" s="2489"/>
      <c r="L82" s="2489"/>
      <c r="M82" s="2489"/>
      <c r="N82" s="2489"/>
      <c r="O82" s="2489"/>
      <c r="P82" s="2489"/>
      <c r="Q82" s="2626" t="s">
        <v>1106</v>
      </c>
      <c r="R82" s="2626"/>
      <c r="S82" s="2626"/>
      <c r="T82" s="2626"/>
      <c r="U82" s="2496" t="s">
        <v>28</v>
      </c>
      <c r="V82" s="1606"/>
      <c r="W82" s="1606"/>
      <c r="X82" s="1135" t="s">
        <v>2141</v>
      </c>
      <c r="Y82" s="1135"/>
      <c r="Z82" s="1135"/>
      <c r="AA82" s="1135"/>
      <c r="AB82" s="1135"/>
      <c r="AC82" s="1135"/>
      <c r="AD82" s="1135"/>
      <c r="AE82" s="1135"/>
      <c r="AF82" s="1135"/>
      <c r="AG82" s="8"/>
    </row>
    <row r="83" spans="1:79" ht="45.75" customHeight="1" x14ac:dyDescent="0.25">
      <c r="A83" s="1485" t="s">
        <v>2131</v>
      </c>
      <c r="B83" s="1486"/>
      <c r="C83" s="1486"/>
      <c r="D83" s="1487"/>
      <c r="E83" s="2489" t="s">
        <v>2137</v>
      </c>
      <c r="F83" s="2489"/>
      <c r="G83" s="2489"/>
      <c r="H83" s="2489"/>
      <c r="I83" s="2489"/>
      <c r="J83" s="2489"/>
      <c r="K83" s="2489"/>
      <c r="L83" s="2489"/>
      <c r="M83" s="2489"/>
      <c r="N83" s="2489"/>
      <c r="O83" s="2489"/>
      <c r="P83" s="2489"/>
      <c r="Q83" s="2626" t="s">
        <v>1106</v>
      </c>
      <c r="R83" s="2626"/>
      <c r="S83" s="2626"/>
      <c r="T83" s="2626"/>
      <c r="U83" s="2496" t="s">
        <v>28</v>
      </c>
      <c r="V83" s="1606"/>
      <c r="W83" s="1606"/>
      <c r="X83" s="1135" t="s">
        <v>2142</v>
      </c>
      <c r="Y83" s="1135"/>
      <c r="Z83" s="1135"/>
      <c r="AA83" s="1135"/>
      <c r="AB83" s="1135"/>
      <c r="AC83" s="1135"/>
      <c r="AD83" s="1135"/>
      <c r="AE83" s="1135"/>
      <c r="AF83" s="1135"/>
      <c r="AG83" s="8"/>
    </row>
    <row r="84" spans="1:79" ht="33.75" customHeight="1" x14ac:dyDescent="0.25">
      <c r="A84" s="1485" t="s">
        <v>2121</v>
      </c>
      <c r="B84" s="1486"/>
      <c r="C84" s="1486"/>
      <c r="D84" s="1487"/>
      <c r="E84" s="2489" t="s">
        <v>2125</v>
      </c>
      <c r="F84" s="2489"/>
      <c r="G84" s="2489"/>
      <c r="H84" s="2489"/>
      <c r="I84" s="2489"/>
      <c r="J84" s="2489"/>
      <c r="K84" s="2489"/>
      <c r="L84" s="2489"/>
      <c r="M84" s="2489"/>
      <c r="N84" s="2489"/>
      <c r="O84" s="2489"/>
      <c r="P84" s="2489"/>
      <c r="Q84" s="2626" t="s">
        <v>1106</v>
      </c>
      <c r="R84" s="2626"/>
      <c r="S84" s="2626"/>
      <c r="T84" s="2626"/>
      <c r="U84" s="2629" t="s">
        <v>2126</v>
      </c>
      <c r="V84" s="1913"/>
      <c r="W84" s="1913"/>
      <c r="X84" s="1135" t="s">
        <v>2143</v>
      </c>
      <c r="Y84" s="1135"/>
      <c r="Z84" s="1135"/>
      <c r="AA84" s="1135"/>
      <c r="AB84" s="1135"/>
      <c r="AC84" s="1135"/>
      <c r="AD84" s="1135"/>
      <c r="AE84" s="1135"/>
      <c r="AF84" s="1135"/>
      <c r="AG84" s="8"/>
    </row>
    <row r="85" spans="1:79" ht="53.25" customHeight="1" x14ac:dyDescent="0.25">
      <c r="A85" s="1485" t="s">
        <v>1828</v>
      </c>
      <c r="B85" s="1486" t="s">
        <v>34</v>
      </c>
      <c r="C85" s="1486" t="s">
        <v>34</v>
      </c>
      <c r="D85" s="1487" t="s">
        <v>34</v>
      </c>
      <c r="E85" s="2489" t="s">
        <v>1831</v>
      </c>
      <c r="F85" s="2489"/>
      <c r="G85" s="2489"/>
      <c r="H85" s="2489"/>
      <c r="I85" s="2489"/>
      <c r="J85" s="2489"/>
      <c r="K85" s="2489"/>
      <c r="L85" s="2489"/>
      <c r="M85" s="2489"/>
      <c r="N85" s="2489"/>
      <c r="O85" s="2489"/>
      <c r="P85" s="2489"/>
      <c r="Q85" s="2627">
        <f>ROUND(Q86/3,0)</f>
        <v>1</v>
      </c>
      <c r="R85" s="2627"/>
      <c r="S85" s="2627"/>
      <c r="T85" s="2627"/>
      <c r="U85" s="2496" t="s">
        <v>46</v>
      </c>
      <c r="V85" s="1606"/>
      <c r="W85" s="1606"/>
      <c r="X85" s="1135" t="s">
        <v>2144</v>
      </c>
      <c r="Y85" s="1135"/>
      <c r="Z85" s="1135"/>
      <c r="AA85" s="1135"/>
      <c r="AB85" s="1135"/>
      <c r="AC85" s="1135"/>
      <c r="AD85" s="1135"/>
      <c r="AE85" s="1135"/>
      <c r="AF85" s="1135"/>
      <c r="AG85" s="8"/>
    </row>
    <row r="86" spans="1:79" ht="29.1" customHeight="1" x14ac:dyDescent="0.25">
      <c r="A86" s="1485" t="s">
        <v>2122</v>
      </c>
      <c r="B86" s="1486" t="s">
        <v>34</v>
      </c>
      <c r="C86" s="1486" t="s">
        <v>34</v>
      </c>
      <c r="D86" s="1487" t="s">
        <v>34</v>
      </c>
      <c r="E86" s="2489" t="s">
        <v>1832</v>
      </c>
      <c r="F86" s="2489"/>
      <c r="G86" s="2489"/>
      <c r="H86" s="2489"/>
      <c r="I86" s="2489"/>
      <c r="J86" s="2489"/>
      <c r="K86" s="2489"/>
      <c r="L86" s="2489"/>
      <c r="M86" s="2489"/>
      <c r="N86" s="2489"/>
      <c r="O86" s="2489"/>
      <c r="P86" s="2489"/>
      <c r="Q86" s="2627">
        <f>ROUND(24000/$Q$76,0)</f>
        <v>4</v>
      </c>
      <c r="R86" s="2627"/>
      <c r="S86" s="2627"/>
      <c r="T86" s="2627"/>
      <c r="U86" s="2496" t="s">
        <v>46</v>
      </c>
      <c r="V86" s="1606"/>
      <c r="W86" s="1606"/>
      <c r="X86" s="1135" t="s">
        <v>2145</v>
      </c>
      <c r="Y86" s="1135"/>
      <c r="Z86" s="1135"/>
      <c r="AA86" s="1135"/>
      <c r="AB86" s="1135"/>
      <c r="AC86" s="1135"/>
      <c r="AD86" s="1135"/>
      <c r="AE86" s="1135"/>
      <c r="AF86" s="1135"/>
      <c r="AG86" s="8"/>
    </row>
    <row r="87" spans="1:79" ht="29.1" customHeight="1" x14ac:dyDescent="0.25">
      <c r="A87" s="1485" t="s">
        <v>2052</v>
      </c>
      <c r="B87" s="1486" t="s">
        <v>34</v>
      </c>
      <c r="C87" s="1486" t="s">
        <v>34</v>
      </c>
      <c r="D87" s="1487" t="s">
        <v>34</v>
      </c>
      <c r="E87" s="2489" t="s">
        <v>1829</v>
      </c>
      <c r="F87" s="2489"/>
      <c r="G87" s="2489"/>
      <c r="H87" s="2489"/>
      <c r="I87" s="2489"/>
      <c r="J87" s="2489"/>
      <c r="K87" s="2489"/>
      <c r="L87" s="2489"/>
      <c r="M87" s="2489"/>
      <c r="N87" s="2489"/>
      <c r="O87" s="2489"/>
      <c r="P87" s="2489"/>
      <c r="Q87" s="2627">
        <f>ROUND(50000/$Q$76,0)</f>
        <v>8</v>
      </c>
      <c r="R87" s="2627"/>
      <c r="S87" s="2627"/>
      <c r="T87" s="2627"/>
      <c r="U87" s="2496" t="s">
        <v>46</v>
      </c>
      <c r="V87" s="1606"/>
      <c r="W87" s="1606"/>
      <c r="X87" s="1135" t="s">
        <v>2146</v>
      </c>
      <c r="Y87" s="1135"/>
      <c r="Z87" s="1135"/>
      <c r="AA87" s="1135"/>
      <c r="AB87" s="1135"/>
      <c r="AC87" s="1135"/>
      <c r="AD87" s="1135"/>
      <c r="AE87" s="1135"/>
      <c r="AF87" s="1135"/>
      <c r="AG87" s="8"/>
    </row>
    <row r="88" spans="1:79" ht="30" customHeight="1" x14ac:dyDescent="0.25">
      <c r="A88" s="1601" t="s">
        <v>2132</v>
      </c>
      <c r="B88" s="1601"/>
      <c r="C88" s="1601"/>
      <c r="D88" s="1601"/>
      <c r="E88" s="1601"/>
      <c r="F88" s="1601"/>
      <c r="G88" s="1601"/>
      <c r="H88" s="1601"/>
      <c r="I88" s="1601"/>
      <c r="J88" s="1601"/>
      <c r="K88" s="1601"/>
      <c r="L88" s="1601"/>
      <c r="M88" s="1601"/>
      <c r="N88" s="1601"/>
      <c r="O88" s="1601"/>
      <c r="P88" s="1601"/>
      <c r="Q88" s="1601"/>
      <c r="R88" s="1601"/>
      <c r="S88" s="1601"/>
      <c r="T88" s="1601"/>
      <c r="U88" s="1601"/>
      <c r="V88" s="1601"/>
      <c r="W88" s="1601"/>
      <c r="X88" s="1601"/>
      <c r="Y88" s="1601"/>
      <c r="Z88" s="1601"/>
      <c r="AA88" s="1601"/>
      <c r="AB88" s="1601"/>
      <c r="AC88" s="1601"/>
      <c r="AD88" s="1601"/>
      <c r="AE88" s="1601"/>
      <c r="AF88" s="1601"/>
      <c r="AG88" s="8"/>
    </row>
    <row r="89" spans="1:79" ht="55.5" customHeight="1" x14ac:dyDescent="0.25">
      <c r="A89" s="1415" t="s">
        <v>2135</v>
      </c>
      <c r="B89" s="1415"/>
      <c r="C89" s="1415"/>
      <c r="D89" s="1415"/>
      <c r="E89" s="1415"/>
      <c r="F89" s="1415"/>
      <c r="G89" s="1415"/>
      <c r="H89" s="1415"/>
      <c r="I89" s="1415"/>
      <c r="J89" s="1415"/>
      <c r="K89" s="1415"/>
      <c r="L89" s="1415"/>
      <c r="M89" s="1415"/>
      <c r="N89" s="1415"/>
      <c r="O89" s="1415"/>
      <c r="P89" s="1415"/>
      <c r="Q89" s="1415"/>
      <c r="R89" s="1415"/>
      <c r="S89" s="1415"/>
      <c r="T89" s="1415"/>
      <c r="U89" s="1415"/>
      <c r="V89" s="1415"/>
      <c r="W89" s="1415"/>
      <c r="X89" s="1415"/>
      <c r="Y89" s="1415"/>
      <c r="Z89" s="1415"/>
      <c r="AA89" s="1415"/>
      <c r="AB89" s="1415"/>
      <c r="AC89" s="1415"/>
      <c r="AD89" s="1415"/>
      <c r="AE89" s="1415"/>
      <c r="AF89" s="1415"/>
      <c r="AG89" s="8"/>
    </row>
    <row r="90" spans="1:79" x14ac:dyDescent="0.25">
      <c r="A90" s="1417" t="s">
        <v>1822</v>
      </c>
      <c r="B90" s="1417"/>
      <c r="C90" s="1417"/>
      <c r="D90" s="1417"/>
      <c r="E90" s="1417"/>
      <c r="F90" s="1417"/>
      <c r="G90" s="1417"/>
      <c r="H90" s="1417"/>
      <c r="I90" s="1417"/>
      <c r="J90" s="1417"/>
      <c r="K90" s="1417"/>
      <c r="L90" s="1417"/>
      <c r="M90" s="1417"/>
      <c r="N90" s="1417"/>
      <c r="O90" s="1417"/>
      <c r="P90" s="1417"/>
      <c r="Q90" s="1417"/>
      <c r="R90" s="1417"/>
      <c r="S90" s="1417"/>
      <c r="T90" s="1417"/>
      <c r="U90" s="1417"/>
      <c r="V90" s="1417"/>
      <c r="W90" s="1417"/>
      <c r="X90" s="1417"/>
      <c r="Y90" s="1417"/>
      <c r="Z90" s="1417"/>
      <c r="AA90" s="1417"/>
      <c r="AB90" s="1417"/>
      <c r="AC90" s="1417"/>
      <c r="AD90" s="1417"/>
      <c r="AE90" s="1417"/>
      <c r="AF90" s="1417"/>
      <c r="AG90" s="8"/>
    </row>
    <row r="91" spans="1:79" ht="84.75" customHeight="1" x14ac:dyDescent="0.25">
      <c r="A91" s="1415" t="s">
        <v>2417</v>
      </c>
      <c r="B91" s="1415"/>
      <c r="C91" s="1415"/>
      <c r="D91" s="1415"/>
      <c r="E91" s="1415"/>
      <c r="F91" s="1415"/>
      <c r="G91" s="1415"/>
      <c r="H91" s="1415"/>
      <c r="I91" s="1415"/>
      <c r="J91" s="1415"/>
      <c r="K91" s="1415"/>
      <c r="L91" s="1415"/>
      <c r="M91" s="1415"/>
      <c r="N91" s="1415"/>
      <c r="O91" s="1415"/>
      <c r="P91" s="1415"/>
      <c r="Q91" s="1415"/>
      <c r="R91" s="1415"/>
      <c r="S91" s="1415"/>
      <c r="T91" s="1415"/>
      <c r="U91" s="1415"/>
      <c r="V91" s="1415"/>
      <c r="W91" s="1415"/>
      <c r="X91" s="1415"/>
      <c r="Y91" s="1415"/>
      <c r="Z91" s="1415"/>
      <c r="AA91" s="1415"/>
      <c r="AB91" s="1415"/>
      <c r="AC91" s="1415"/>
      <c r="AD91" s="1415"/>
      <c r="AE91" s="1415"/>
      <c r="AF91" s="1415"/>
      <c r="AG91" s="8"/>
    </row>
    <row r="92" spans="1:79" s="1" customFormat="1" x14ac:dyDescent="0.25">
      <c r="A92"/>
      <c r="B92"/>
      <c r="C92"/>
      <c r="D92"/>
      <c r="E92"/>
      <c r="F92"/>
      <c r="G92"/>
      <c r="H92"/>
      <c r="I92"/>
      <c r="J92"/>
      <c r="K92"/>
      <c r="L92"/>
      <c r="M92"/>
      <c r="N92"/>
      <c r="O92"/>
      <c r="P92"/>
      <c r="Q92"/>
      <c r="R92"/>
      <c r="S92"/>
      <c r="T92"/>
      <c r="U92"/>
      <c r="V92"/>
      <c r="W92"/>
      <c r="X92"/>
      <c r="Y92"/>
      <c r="Z92"/>
      <c r="AA92"/>
      <c r="AB92"/>
      <c r="AC92"/>
      <c r="AD92"/>
      <c r="AE92"/>
      <c r="AF92"/>
      <c r="AG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row>
    <row r="93" spans="1:79" x14ac:dyDescent="0.25">
      <c r="A93" s="275" t="s">
        <v>2152</v>
      </c>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row>
    <row r="94" spans="1:79" x14ac:dyDescent="0.25">
      <c r="A94" s="1603" t="s">
        <v>259</v>
      </c>
      <c r="B94" s="1603"/>
      <c r="C94" s="1603"/>
      <c r="D94" s="1603"/>
      <c r="E94" s="1603"/>
      <c r="F94" s="1603"/>
      <c r="G94" s="1603" t="s">
        <v>2149</v>
      </c>
      <c r="H94" s="1603"/>
      <c r="I94" s="1603"/>
      <c r="J94" s="1603"/>
      <c r="K94" s="1603" t="s">
        <v>2148</v>
      </c>
      <c r="L94" s="1603"/>
      <c r="M94" s="1603"/>
      <c r="N94" s="1603"/>
      <c r="O94" s="1603" t="s">
        <v>2147</v>
      </c>
      <c r="P94" s="1603"/>
      <c r="Q94" s="1603"/>
      <c r="R94" s="1603"/>
      <c r="S94" s="409"/>
      <c r="T94" s="410"/>
      <c r="U94" s="410"/>
      <c r="V94" s="410"/>
      <c r="W94" s="410"/>
      <c r="X94" s="410"/>
      <c r="Y94" s="410"/>
      <c r="Z94" s="410"/>
    </row>
    <row r="95" spans="1:79" x14ac:dyDescent="0.25">
      <c r="A95" s="2625" t="s">
        <v>264</v>
      </c>
      <c r="B95" s="2625"/>
      <c r="C95" s="2625"/>
      <c r="D95" s="2625"/>
      <c r="E95" s="2625"/>
      <c r="F95" s="2625"/>
      <c r="G95" s="2634">
        <f>(0.6*9.56+0.4*13.31)*4/1000</f>
        <v>4.4240000000000002E-2</v>
      </c>
      <c r="H95" s="2634"/>
      <c r="I95" s="2634"/>
      <c r="J95" s="2634"/>
      <c r="K95" s="2634">
        <f>9.56*4/1000</f>
        <v>3.8240000000000003E-2</v>
      </c>
      <c r="L95" s="2634"/>
      <c r="M95" s="2634"/>
      <c r="N95" s="2634"/>
      <c r="O95" s="2634">
        <f>4.7*4/1000</f>
        <v>1.8800000000000001E-2</v>
      </c>
      <c r="P95" s="2634"/>
      <c r="Q95" s="2634"/>
      <c r="R95" s="2634"/>
      <c r="S95" s="411"/>
      <c r="T95" s="412"/>
      <c r="U95" s="412"/>
      <c r="V95" s="412"/>
      <c r="W95" s="412"/>
      <c r="X95" s="412"/>
      <c r="Y95" s="412"/>
      <c r="Z95" s="412"/>
    </row>
    <row r="96" spans="1:79" x14ac:dyDescent="0.25">
      <c r="A96" s="2625" t="s">
        <v>265</v>
      </c>
      <c r="B96" s="2625" t="s">
        <v>265</v>
      </c>
      <c r="C96" s="2625" t="s">
        <v>265</v>
      </c>
      <c r="D96" s="2625" t="s">
        <v>265</v>
      </c>
      <c r="E96" s="2625" t="s">
        <v>265</v>
      </c>
      <c r="F96" s="2625" t="s">
        <v>265</v>
      </c>
      <c r="G96" s="2634">
        <f>(0.6*9.56+0.4*13.31)*5/1000</f>
        <v>5.5300000000000002E-2</v>
      </c>
      <c r="H96" s="2634"/>
      <c r="I96" s="2634"/>
      <c r="J96" s="2634"/>
      <c r="K96" s="2634">
        <f>9.56*5/1000</f>
        <v>4.7800000000000002E-2</v>
      </c>
      <c r="L96" s="2634"/>
      <c r="M96" s="2634"/>
      <c r="N96" s="2634"/>
      <c r="O96" s="2634">
        <f>4.5*5/1000</f>
        <v>2.2499999999999999E-2</v>
      </c>
      <c r="P96" s="2634"/>
      <c r="Q96" s="2634"/>
      <c r="R96" s="2634"/>
      <c r="S96" s="411"/>
      <c r="T96" s="412"/>
      <c r="U96" s="412"/>
      <c r="V96" s="412"/>
      <c r="W96" s="412"/>
      <c r="X96" s="412"/>
      <c r="Y96" s="412"/>
      <c r="Z96" s="412"/>
    </row>
    <row r="97" spans="1:36" x14ac:dyDescent="0.25">
      <c r="A97" s="2625" t="s">
        <v>266</v>
      </c>
      <c r="B97" s="2625" t="s">
        <v>266</v>
      </c>
      <c r="C97" s="2625" t="s">
        <v>266</v>
      </c>
      <c r="D97" s="2625" t="s">
        <v>266</v>
      </c>
      <c r="E97" s="2625" t="s">
        <v>266</v>
      </c>
      <c r="F97" s="2625" t="s">
        <v>266</v>
      </c>
      <c r="G97" s="2634">
        <f>(0.6*9.56+0.4*13.31)*6/1000</f>
        <v>6.6360000000000002E-2</v>
      </c>
      <c r="H97" s="2634"/>
      <c r="I97" s="2634"/>
      <c r="J97" s="2634"/>
      <c r="K97" s="2634">
        <f>9.56*6/1000</f>
        <v>5.7360000000000001E-2</v>
      </c>
      <c r="L97" s="2634"/>
      <c r="M97" s="2634"/>
      <c r="N97" s="2634"/>
      <c r="O97" s="2634">
        <f>4.2*6/1000</f>
        <v>2.5200000000000004E-2</v>
      </c>
      <c r="P97" s="2634"/>
      <c r="Q97" s="2634"/>
      <c r="R97" s="2634"/>
      <c r="S97" s="411"/>
      <c r="T97" s="412"/>
      <c r="U97" s="412"/>
      <c r="V97" s="412"/>
      <c r="W97" s="412"/>
      <c r="X97" s="412"/>
      <c r="Y97" s="412"/>
      <c r="Z97" s="412"/>
    </row>
    <row r="98" spans="1:36" x14ac:dyDescent="0.25">
      <c r="A98" s="2579" t="s">
        <v>3058</v>
      </c>
      <c r="B98" s="2579"/>
      <c r="C98" s="2579"/>
      <c r="D98" s="2579"/>
      <c r="E98" s="2579"/>
      <c r="F98" s="2579"/>
      <c r="G98" s="2579"/>
      <c r="H98" s="2579"/>
      <c r="I98" s="2579"/>
      <c r="J98" s="2579"/>
      <c r="K98" s="2579"/>
      <c r="L98" s="2579"/>
      <c r="M98" s="2579"/>
      <c r="N98" s="2579"/>
      <c r="O98" s="2579"/>
      <c r="P98" s="2579"/>
      <c r="Q98" s="2579"/>
      <c r="R98" s="2579"/>
      <c r="S98" s="2579"/>
      <c r="T98" s="2579"/>
      <c r="U98" s="2579"/>
      <c r="V98" s="2579"/>
      <c r="W98" s="2579"/>
      <c r="X98" s="2579"/>
      <c r="Y98" s="2579"/>
      <c r="Z98" s="2579"/>
      <c r="AA98" s="2579"/>
      <c r="AB98" s="2579"/>
      <c r="AC98" s="2579"/>
      <c r="AD98" s="2579"/>
      <c r="AE98" s="2579"/>
      <c r="AF98" s="2579"/>
    </row>
    <row r="99" spans="1:36" x14ac:dyDescent="0.25">
      <c r="A99" s="541"/>
      <c r="B99" s="541"/>
      <c r="C99" s="408"/>
      <c r="D99" s="408"/>
      <c r="E99" s="408"/>
      <c r="F99" s="408"/>
      <c r="G99" s="408"/>
      <c r="H99" s="408"/>
      <c r="I99" s="408"/>
      <c r="J99" s="408"/>
      <c r="K99" s="408"/>
      <c r="L99" s="408"/>
      <c r="M99" s="408"/>
      <c r="N99" s="408"/>
      <c r="O99" s="408"/>
      <c r="P99" s="408"/>
      <c r="Q99" s="408"/>
      <c r="R99" s="408"/>
      <c r="S99" s="408"/>
      <c r="T99" s="408"/>
      <c r="U99" s="408"/>
      <c r="V99" s="408"/>
      <c r="W99" s="408"/>
      <c r="X99" s="408"/>
      <c r="Y99" s="408"/>
      <c r="Z99" s="408"/>
      <c r="AA99" s="408"/>
      <c r="AB99" s="408"/>
      <c r="AC99" s="408"/>
      <c r="AD99" s="408"/>
      <c r="AE99" s="408"/>
      <c r="AF99" s="408"/>
      <c r="AG99" s="148"/>
    </row>
    <row r="100" spans="1:36" x14ac:dyDescent="0.25">
      <c r="A100" s="275" t="s">
        <v>2153</v>
      </c>
      <c r="B100" s="148"/>
      <c r="C100" s="148"/>
      <c r="D100" s="148"/>
      <c r="E100" s="148"/>
      <c r="F100" s="148"/>
      <c r="G100" s="148"/>
      <c r="H100" s="148"/>
      <c r="I100" s="148"/>
      <c r="J100" s="148"/>
      <c r="K100" s="148"/>
      <c r="L100" s="148"/>
      <c r="M100" s="148"/>
      <c r="N100" s="148"/>
      <c r="O100" s="148"/>
      <c r="P100" s="148"/>
      <c r="Q100" s="148"/>
      <c r="R100" s="148"/>
      <c r="S100" s="408"/>
      <c r="T100" s="408"/>
      <c r="U100" s="408"/>
      <c r="V100" s="408"/>
      <c r="W100" s="408"/>
      <c r="X100" s="408"/>
      <c r="Y100" s="408"/>
      <c r="Z100" s="408"/>
      <c r="AA100" s="408"/>
      <c r="AB100" s="408"/>
      <c r="AC100" s="408"/>
      <c r="AD100" s="408"/>
      <c r="AE100" s="408"/>
      <c r="AF100" s="408"/>
      <c r="AG100" s="148"/>
    </row>
    <row r="101" spans="1:36" ht="17.25" customHeight="1" x14ac:dyDescent="0.25">
      <c r="A101" s="1603" t="s">
        <v>2154</v>
      </c>
      <c r="B101" s="1603"/>
      <c r="C101" s="1603"/>
      <c r="D101" s="1603"/>
      <c r="E101" s="1603"/>
      <c r="F101" s="1603"/>
      <c r="G101" s="1603" t="s">
        <v>2159</v>
      </c>
      <c r="H101" s="1603"/>
      <c r="I101" s="1603"/>
      <c r="J101" s="1603"/>
      <c r="K101" s="1603" t="s">
        <v>2158</v>
      </c>
      <c r="L101" s="1603"/>
      <c r="M101" s="1603"/>
      <c r="N101" s="1603"/>
      <c r="O101" s="1514" t="s">
        <v>2160</v>
      </c>
      <c r="P101" s="1515"/>
      <c r="Q101" s="1515"/>
      <c r="R101" s="1516"/>
      <c r="S101" s="408"/>
      <c r="T101" s="408"/>
      <c r="U101" s="408"/>
      <c r="V101" s="408"/>
      <c r="W101" s="408"/>
      <c r="X101" s="408"/>
      <c r="Y101" s="408"/>
      <c r="Z101" s="408"/>
      <c r="AA101" s="408"/>
      <c r="AB101" s="408"/>
      <c r="AC101" s="408"/>
      <c r="AD101" s="408"/>
      <c r="AE101" s="408"/>
      <c r="AF101" s="408"/>
      <c r="AG101" s="148"/>
    </row>
    <row r="102" spans="1:36" ht="61.5" customHeight="1" x14ac:dyDescent="0.25">
      <c r="A102" s="2625" t="s">
        <v>2157</v>
      </c>
      <c r="B102" s="2625"/>
      <c r="C102" s="2625"/>
      <c r="D102" s="2625"/>
      <c r="E102" s="2625"/>
      <c r="F102" s="2625"/>
      <c r="G102" s="2626">
        <v>10.6</v>
      </c>
      <c r="H102" s="2626"/>
      <c r="I102" s="2626"/>
      <c r="J102" s="2626"/>
      <c r="K102" s="2626">
        <f>(3.412/$G102)*0.5</f>
        <v>0.1609433962264151</v>
      </c>
      <c r="L102" s="2626"/>
      <c r="M102" s="2626"/>
      <c r="N102" s="2626"/>
      <c r="O102" s="2626">
        <f>(3.412/$G102)*0.5</f>
        <v>0.1609433962264151</v>
      </c>
      <c r="P102" s="2626"/>
      <c r="Q102" s="2626"/>
      <c r="R102" s="2626"/>
      <c r="S102" s="408"/>
      <c r="T102" s="408"/>
      <c r="U102" s="408"/>
      <c r="V102" s="408"/>
      <c r="W102" s="408"/>
      <c r="X102" s="408"/>
      <c r="Y102" s="408"/>
      <c r="Z102" s="408"/>
      <c r="AA102" s="408"/>
      <c r="AB102" s="408"/>
      <c r="AC102" s="408"/>
      <c r="AD102" s="408"/>
      <c r="AE102" s="408"/>
      <c r="AF102" s="408"/>
      <c r="AG102" s="148"/>
    </row>
    <row r="103" spans="1:36" ht="40.5" customHeight="1" x14ac:dyDescent="0.25">
      <c r="A103" s="2625" t="s">
        <v>2156</v>
      </c>
      <c r="B103" s="2625"/>
      <c r="C103" s="2625"/>
      <c r="D103" s="2625"/>
      <c r="E103" s="2625"/>
      <c r="F103" s="2625"/>
      <c r="G103" s="2626">
        <v>4.0999999999999996</v>
      </c>
      <c r="H103" s="2626"/>
      <c r="I103" s="2626"/>
      <c r="J103" s="2626"/>
      <c r="K103" s="2626">
        <f>(3.412/$G103)*0.5</f>
        <v>0.41609756097560979</v>
      </c>
      <c r="L103" s="2626"/>
      <c r="M103" s="2626"/>
      <c r="N103" s="2626"/>
      <c r="O103" s="2626">
        <f>(3.412/$G103)*0.5</f>
        <v>0.41609756097560979</v>
      </c>
      <c r="P103" s="2626"/>
      <c r="Q103" s="2626"/>
      <c r="R103" s="2626"/>
      <c r="S103" s="408"/>
      <c r="T103" s="408"/>
      <c r="U103" s="408"/>
      <c r="V103" s="408"/>
      <c r="W103" s="408"/>
      <c r="X103" s="408"/>
      <c r="Y103" s="408"/>
      <c r="Z103" s="408"/>
      <c r="AA103" s="408"/>
      <c r="AB103" s="408"/>
      <c r="AC103" s="408"/>
      <c r="AD103" s="408"/>
      <c r="AE103" s="408"/>
      <c r="AF103" s="408"/>
      <c r="AG103" s="148"/>
    </row>
    <row r="104" spans="1:36" ht="30.75" customHeight="1" x14ac:dyDescent="0.25">
      <c r="A104" s="2579" t="s">
        <v>3059</v>
      </c>
      <c r="B104" s="2579"/>
      <c r="C104" s="2579"/>
      <c r="D104" s="2579"/>
      <c r="E104" s="2579"/>
      <c r="F104" s="2579"/>
      <c r="G104" s="2579"/>
      <c r="H104" s="2579"/>
      <c r="I104" s="2579"/>
      <c r="J104" s="2579"/>
      <c r="K104" s="2579"/>
      <c r="L104" s="2579"/>
      <c r="M104" s="2579"/>
      <c r="N104" s="2579"/>
      <c r="O104" s="2579"/>
      <c r="P104" s="2579"/>
      <c r="Q104" s="2579"/>
      <c r="R104" s="2579"/>
      <c r="S104" s="2579"/>
      <c r="T104" s="2579"/>
      <c r="U104" s="2579"/>
      <c r="V104" s="2579"/>
      <c r="W104" s="2579"/>
      <c r="X104" s="2579"/>
      <c r="Y104" s="2579"/>
      <c r="Z104" s="2579"/>
      <c r="AA104" s="2579"/>
      <c r="AB104" s="2579"/>
      <c r="AC104" s="2579"/>
      <c r="AD104" s="2579"/>
      <c r="AE104" s="2579"/>
      <c r="AF104" s="2579"/>
    </row>
    <row r="105" spans="1:36" ht="28.5" customHeight="1" x14ac:dyDescent="0.25">
      <c r="A105" s="2579" t="s">
        <v>2166</v>
      </c>
      <c r="B105" s="2579"/>
      <c r="C105" s="2579"/>
      <c r="D105" s="2579"/>
      <c r="E105" s="2579"/>
      <c r="F105" s="2579"/>
      <c r="G105" s="2579"/>
      <c r="H105" s="2579"/>
      <c r="I105" s="2579"/>
      <c r="J105" s="2579"/>
      <c r="K105" s="2579"/>
      <c r="L105" s="2579"/>
      <c r="M105" s="2579"/>
      <c r="N105" s="2579"/>
      <c r="O105" s="2579"/>
      <c r="P105" s="2579"/>
      <c r="Q105" s="2579"/>
      <c r="R105" s="2579"/>
      <c r="S105" s="2579"/>
      <c r="T105" s="2579"/>
      <c r="U105" s="2579"/>
      <c r="V105" s="2579"/>
      <c r="W105" s="2579"/>
      <c r="X105" s="2579"/>
      <c r="Y105" s="2579"/>
      <c r="Z105" s="2579"/>
      <c r="AA105" s="2579"/>
      <c r="AB105" s="2579"/>
      <c r="AC105" s="2579"/>
      <c r="AD105" s="2579"/>
      <c r="AE105" s="2579"/>
      <c r="AF105" s="2579"/>
    </row>
    <row r="107" spans="1:36" x14ac:dyDescent="0.25">
      <c r="A107" s="1472" t="s">
        <v>21</v>
      </c>
      <c r="B107" s="1472"/>
      <c r="C107" s="1472"/>
      <c r="D107" s="1472"/>
      <c r="E107" s="1472"/>
      <c r="F107" s="1472"/>
      <c r="G107" s="1472"/>
      <c r="H107" s="1472"/>
      <c r="I107" s="1472"/>
      <c r="J107" s="1472"/>
      <c r="K107" s="1472"/>
      <c r="L107" s="1472"/>
      <c r="M107" s="1472"/>
      <c r="N107" s="1472"/>
      <c r="O107" s="1472"/>
      <c r="P107" s="1472"/>
      <c r="Q107" s="1472"/>
      <c r="R107" s="1472"/>
      <c r="S107" s="1472"/>
      <c r="T107" s="1472"/>
      <c r="U107" s="1472"/>
      <c r="V107" s="1472"/>
      <c r="W107" s="1472"/>
      <c r="X107" s="1472"/>
      <c r="Y107" s="1472"/>
      <c r="Z107" s="1472"/>
      <c r="AA107" s="1472"/>
      <c r="AB107" s="1472"/>
      <c r="AC107" s="1472"/>
      <c r="AD107" s="1472"/>
      <c r="AE107" s="1472"/>
      <c r="AF107" s="1472"/>
      <c r="AG107" s="1"/>
    </row>
    <row r="108" spans="1:36"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1"/>
    </row>
    <row r="109" spans="1:36" x14ac:dyDescent="0.25">
      <c r="A109" s="3"/>
      <c r="B109" s="379" t="s">
        <v>3859</v>
      </c>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1"/>
    </row>
    <row r="110" spans="1:36" ht="15.75" thickBot="1" x14ac:dyDescent="0.3">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1"/>
    </row>
    <row r="111" spans="1:36" ht="15.75" customHeight="1" x14ac:dyDescent="0.25">
      <c r="A111" s="2586" t="s">
        <v>2154</v>
      </c>
      <c r="B111" s="2587"/>
      <c r="C111" s="2587"/>
      <c r="D111" s="2587"/>
      <c r="E111" s="2587"/>
      <c r="F111" s="2587"/>
      <c r="G111" s="2587"/>
      <c r="H111" s="2588"/>
      <c r="I111" s="2592" t="s">
        <v>22</v>
      </c>
      <c r="J111" s="2587"/>
      <c r="K111" s="2587"/>
      <c r="L111" s="2587"/>
      <c r="M111" s="2587"/>
      <c r="N111" s="2587"/>
      <c r="O111" s="2587"/>
      <c r="P111" s="2588"/>
      <c r="Q111" s="2631" t="s">
        <v>23</v>
      </c>
      <c r="R111" s="2631"/>
      <c r="S111" s="2631"/>
      <c r="T111" s="2631"/>
      <c r="U111" s="2631"/>
      <c r="V111" s="2631"/>
      <c r="W111" s="2631"/>
      <c r="X111" s="2631"/>
      <c r="Y111" s="2632" t="s">
        <v>24</v>
      </c>
      <c r="Z111" s="2632"/>
      <c r="AA111" s="2632"/>
      <c r="AB111" s="2632"/>
      <c r="AC111" s="2632"/>
      <c r="AD111" s="2632"/>
      <c r="AE111" s="2632"/>
      <c r="AF111" s="2633"/>
      <c r="AG111" s="249"/>
      <c r="AH111" s="249"/>
      <c r="AI111" s="249"/>
      <c r="AJ111" s="249"/>
    </row>
    <row r="112" spans="1:36" ht="15.75" thickBot="1" x14ac:dyDescent="0.3">
      <c r="A112" s="2589"/>
      <c r="B112" s="2590"/>
      <c r="C112" s="2590"/>
      <c r="D112" s="2590"/>
      <c r="E112" s="2590"/>
      <c r="F112" s="2590"/>
      <c r="G112" s="2590"/>
      <c r="H112" s="2591"/>
      <c r="I112" s="2593"/>
      <c r="J112" s="2590"/>
      <c r="K112" s="2590"/>
      <c r="L112" s="2590"/>
      <c r="M112" s="2590"/>
      <c r="N112" s="2590"/>
      <c r="O112" s="2590"/>
      <c r="P112" s="2591"/>
      <c r="Q112" s="2594" t="s">
        <v>3715</v>
      </c>
      <c r="R112" s="2595"/>
      <c r="S112" s="2595"/>
      <c r="T112" s="2596"/>
      <c r="U112" s="2594" t="s">
        <v>3716</v>
      </c>
      <c r="V112" s="2595"/>
      <c r="W112" s="2595"/>
      <c r="X112" s="2596"/>
      <c r="Y112" s="2597" t="s">
        <v>3715</v>
      </c>
      <c r="Z112" s="2598"/>
      <c r="AA112" s="2598"/>
      <c r="AB112" s="2599"/>
      <c r="AC112" s="2597" t="s">
        <v>3716</v>
      </c>
      <c r="AD112" s="2598"/>
      <c r="AE112" s="2598"/>
      <c r="AF112" s="2600"/>
      <c r="AG112" s="249"/>
      <c r="AH112" s="249"/>
      <c r="AI112" s="249"/>
      <c r="AJ112" s="249"/>
    </row>
    <row r="113" spans="1:43" ht="15" customHeight="1" x14ac:dyDescent="0.25">
      <c r="A113" s="2580" t="s">
        <v>2155</v>
      </c>
      <c r="B113" s="2581"/>
      <c r="C113" s="2581"/>
      <c r="D113" s="2581"/>
      <c r="E113" s="2581"/>
      <c r="F113" s="2581"/>
      <c r="G113" s="2581"/>
      <c r="H113" s="2581"/>
      <c r="I113" s="2630">
        <v>4</v>
      </c>
      <c r="J113" s="2630"/>
      <c r="K113" s="2630"/>
      <c r="L113" s="2630"/>
      <c r="M113" s="2630"/>
      <c r="N113" s="2630"/>
      <c r="O113" s="2630"/>
      <c r="P113" s="2630"/>
      <c r="Q113" s="2601">
        <f>ROUND((G95-O95)*$Q$74*$Q$75*(1+$Q$78+$K$102)*$Q$77,3)</f>
        <v>2.7E-2</v>
      </c>
      <c r="R113" s="2602"/>
      <c r="S113" s="2602"/>
      <c r="T113" s="2603"/>
      <c r="U113" s="2601">
        <f>Q123</f>
        <v>2.1000000000000001E-2</v>
      </c>
      <c r="V113" s="2602"/>
      <c r="W113" s="2602"/>
      <c r="X113" s="2603"/>
      <c r="Y113" s="2604">
        <f>ROUND((G95-O95)*$Q$74*$Q$76*(1+$Q$79+$O$102)*$Q$77,2)</f>
        <v>194.31</v>
      </c>
      <c r="Z113" s="2605"/>
      <c r="AA113" s="2605"/>
      <c r="AB113" s="2606"/>
      <c r="AC113" s="2604">
        <f>Y123</f>
        <v>148.47999999999999</v>
      </c>
      <c r="AD113" s="2605"/>
      <c r="AE113" s="2605"/>
      <c r="AF113" s="2607"/>
      <c r="AQ113" s="227"/>
    </row>
    <row r="114" spans="1:43" x14ac:dyDescent="0.25">
      <c r="A114" s="2582"/>
      <c r="B114" s="2583"/>
      <c r="C114" s="2583"/>
      <c r="D114" s="2583"/>
      <c r="E114" s="2583"/>
      <c r="F114" s="2583"/>
      <c r="G114" s="2583"/>
      <c r="H114" s="2583"/>
      <c r="I114" s="2608">
        <v>5</v>
      </c>
      <c r="J114" s="2608"/>
      <c r="K114" s="2608"/>
      <c r="L114" s="2608"/>
      <c r="M114" s="2608"/>
      <c r="N114" s="2608"/>
      <c r="O114" s="2608"/>
      <c r="P114" s="2608"/>
      <c r="Q114" s="2610">
        <f>ROUND((G96-O96)*$Q$74*$Q$75*(1+$Q$78+$K$102)*$Q$77,3)</f>
        <v>3.5000000000000003E-2</v>
      </c>
      <c r="R114" s="2611"/>
      <c r="S114" s="2611"/>
      <c r="T114" s="2612"/>
      <c r="U114" s="2610">
        <f t="shared" ref="U114:U118" si="0">Q124</f>
        <v>2.7E-2</v>
      </c>
      <c r="V114" s="2611"/>
      <c r="W114" s="2611"/>
      <c r="X114" s="2612"/>
      <c r="Y114" s="2613">
        <f>ROUND((G96-O96)*$Q$74*$Q$76*(1+$Q$79+$O$102)*$Q$77,2)</f>
        <v>250.53</v>
      </c>
      <c r="Z114" s="2614"/>
      <c r="AA114" s="2614"/>
      <c r="AB114" s="2615"/>
      <c r="AC114" s="2616">
        <f t="shared" ref="AC114:AC118" si="1">Y124</f>
        <v>193.24</v>
      </c>
      <c r="AD114" s="2617"/>
      <c r="AE114" s="2617"/>
      <c r="AF114" s="2618"/>
    </row>
    <row r="115" spans="1:43" ht="15.75" thickBot="1" x14ac:dyDescent="0.3">
      <c r="A115" s="2584"/>
      <c r="B115" s="2585"/>
      <c r="C115" s="2585"/>
      <c r="D115" s="2585"/>
      <c r="E115" s="2585"/>
      <c r="F115" s="2585"/>
      <c r="G115" s="2585"/>
      <c r="H115" s="2585"/>
      <c r="I115" s="2609">
        <v>6</v>
      </c>
      <c r="J115" s="2609"/>
      <c r="K115" s="2609"/>
      <c r="L115" s="2609"/>
      <c r="M115" s="2609"/>
      <c r="N115" s="2609"/>
      <c r="O115" s="2609"/>
      <c r="P115" s="2609"/>
      <c r="Q115" s="2619">
        <f>ROUND((G97-O97)*$Q$74*$Q$75*(1+$Q$78+$K$102)*$Q$77,3)</f>
        <v>4.3999999999999997E-2</v>
      </c>
      <c r="R115" s="2620"/>
      <c r="S115" s="2620"/>
      <c r="T115" s="2621"/>
      <c r="U115" s="2619">
        <f t="shared" si="0"/>
        <v>3.4000000000000002E-2</v>
      </c>
      <c r="V115" s="2620"/>
      <c r="W115" s="2620"/>
      <c r="X115" s="2621"/>
      <c r="Y115" s="2622">
        <f>ROUND((G97-O97)*$Q$74*$Q$76*(1+$Q$79+$O$102)*$Q$77,2)</f>
        <v>314.38</v>
      </c>
      <c r="Z115" s="2623"/>
      <c r="AA115" s="2623"/>
      <c r="AB115" s="2624"/>
      <c r="AC115" s="2616">
        <f t="shared" si="1"/>
        <v>245.64</v>
      </c>
      <c r="AD115" s="2617"/>
      <c r="AE115" s="2617"/>
      <c r="AF115" s="2618"/>
    </row>
    <row r="116" spans="1:43" ht="15" customHeight="1" x14ac:dyDescent="0.25">
      <c r="A116" s="2635" t="s">
        <v>2156</v>
      </c>
      <c r="B116" s="1723"/>
      <c r="C116" s="1723"/>
      <c r="D116" s="1723"/>
      <c r="E116" s="1723"/>
      <c r="F116" s="1723"/>
      <c r="G116" s="1723"/>
      <c r="H116" s="1723"/>
      <c r="I116" s="2639">
        <v>4</v>
      </c>
      <c r="J116" s="2639"/>
      <c r="K116" s="2639"/>
      <c r="L116" s="2639"/>
      <c r="M116" s="2639"/>
      <c r="N116" s="2639"/>
      <c r="O116" s="2639"/>
      <c r="P116" s="2639"/>
      <c r="Q116" s="2601">
        <f>ROUND((G95-O95)*$Q$74*$Q$75*(1+$Q$78+$K$103)*$Q$77,3)</f>
        <v>3.3000000000000002E-2</v>
      </c>
      <c r="R116" s="2602"/>
      <c r="S116" s="2602"/>
      <c r="T116" s="2603"/>
      <c r="U116" s="2601">
        <f t="shared" si="0"/>
        <v>2.5000000000000001E-2</v>
      </c>
      <c r="V116" s="2602"/>
      <c r="W116" s="2602"/>
      <c r="X116" s="2603"/>
      <c r="Y116" s="2604">
        <f>ROUND((G95-O95)*$Q$74*$Q$76*(1+$Q$79+$O$103)*$Q$77,2)</f>
        <v>234.59</v>
      </c>
      <c r="Z116" s="2605"/>
      <c r="AA116" s="2605"/>
      <c r="AB116" s="2606"/>
      <c r="AC116" s="2604">
        <f t="shared" si="1"/>
        <v>179.26</v>
      </c>
      <c r="AD116" s="2605"/>
      <c r="AE116" s="2605"/>
      <c r="AF116" s="2607"/>
    </row>
    <row r="117" spans="1:43" x14ac:dyDescent="0.25">
      <c r="A117" s="1811"/>
      <c r="B117" s="1670"/>
      <c r="C117" s="1670"/>
      <c r="D117" s="1670"/>
      <c r="E117" s="1670"/>
      <c r="F117" s="1670"/>
      <c r="G117" s="1670"/>
      <c r="H117" s="1670"/>
      <c r="I117" s="2608">
        <v>5</v>
      </c>
      <c r="J117" s="2608"/>
      <c r="K117" s="2608"/>
      <c r="L117" s="2608"/>
      <c r="M117" s="2608"/>
      <c r="N117" s="2608"/>
      <c r="O117" s="2608"/>
      <c r="P117" s="2608"/>
      <c r="Q117" s="2610">
        <f>ROUND((G96-O96)*$Q$74*$Q$75*(1+$Q$78+$K$103)*$Q$77,3)</f>
        <v>4.2000000000000003E-2</v>
      </c>
      <c r="R117" s="2611"/>
      <c r="S117" s="2611"/>
      <c r="T117" s="2612"/>
      <c r="U117" s="2610">
        <f t="shared" si="0"/>
        <v>3.3000000000000002E-2</v>
      </c>
      <c r="V117" s="2611"/>
      <c r="W117" s="2611"/>
      <c r="X117" s="2612"/>
      <c r="Y117" s="2613">
        <f>ROUND((G96-O96)*$Q$74*$Q$76*(1+$Q$79+$O$103)*$Q$77,2)</f>
        <v>302.45999999999998</v>
      </c>
      <c r="Z117" s="2614"/>
      <c r="AA117" s="2614"/>
      <c r="AB117" s="2615"/>
      <c r="AC117" s="2616">
        <f t="shared" si="1"/>
        <v>233.3</v>
      </c>
      <c r="AD117" s="2617"/>
      <c r="AE117" s="2617"/>
      <c r="AF117" s="2618"/>
    </row>
    <row r="118" spans="1:43" ht="15.75" thickBot="1" x14ac:dyDescent="0.3">
      <c r="A118" s="2636"/>
      <c r="B118" s="2637"/>
      <c r="C118" s="2637"/>
      <c r="D118" s="2637"/>
      <c r="E118" s="2637"/>
      <c r="F118" s="2637"/>
      <c r="G118" s="2637"/>
      <c r="H118" s="2637"/>
      <c r="I118" s="2609">
        <v>6</v>
      </c>
      <c r="J118" s="2609"/>
      <c r="K118" s="2609"/>
      <c r="L118" s="2609"/>
      <c r="M118" s="2609"/>
      <c r="N118" s="2609"/>
      <c r="O118" s="2609"/>
      <c r="P118" s="2609"/>
      <c r="Q118" s="2619">
        <f>ROUND((G97-O97)*$Q$74*$Q$75*(1+$Q$78+$K$103)*$Q$77,3)</f>
        <v>5.2999999999999999E-2</v>
      </c>
      <c r="R118" s="2620"/>
      <c r="S118" s="2620"/>
      <c r="T118" s="2621"/>
      <c r="U118" s="2619">
        <f t="shared" si="0"/>
        <v>4.2000000000000003E-2</v>
      </c>
      <c r="V118" s="2620"/>
      <c r="W118" s="2620"/>
      <c r="X118" s="2621"/>
      <c r="Y118" s="2622">
        <f>ROUND((G97-O97)*$Q$74*$Q$76*(1+$Q$79+$O$103)*$Q$77,2)</f>
        <v>379.55</v>
      </c>
      <c r="Z118" s="2623"/>
      <c r="AA118" s="2623"/>
      <c r="AB118" s="2624"/>
      <c r="AC118" s="2622">
        <f t="shared" si="1"/>
        <v>296.55</v>
      </c>
      <c r="AD118" s="2623"/>
      <c r="AE118" s="2623"/>
      <c r="AF118" s="2638"/>
    </row>
    <row r="120" spans="1:43" x14ac:dyDescent="0.25">
      <c r="A120" s="3"/>
      <c r="B120" s="379" t="s">
        <v>3860</v>
      </c>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row>
    <row r="121" spans="1:43" ht="15.75" thickBot="1"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row>
    <row r="122" spans="1:43" ht="33" customHeight="1" thickBot="1" x14ac:dyDescent="0.3">
      <c r="A122" s="2567" t="s">
        <v>2154</v>
      </c>
      <c r="B122" s="2568"/>
      <c r="C122" s="2568"/>
      <c r="D122" s="2568"/>
      <c r="E122" s="2568"/>
      <c r="F122" s="2568"/>
      <c r="G122" s="2568"/>
      <c r="H122" s="2569"/>
      <c r="I122" s="2568" t="s">
        <v>22</v>
      </c>
      <c r="J122" s="2568"/>
      <c r="K122" s="2568"/>
      <c r="L122" s="2568"/>
      <c r="M122" s="2568"/>
      <c r="N122" s="2568"/>
      <c r="O122" s="2568"/>
      <c r="P122" s="2568"/>
      <c r="Q122" s="2570" t="s">
        <v>23</v>
      </c>
      <c r="R122" s="2570"/>
      <c r="S122" s="2570"/>
      <c r="T122" s="2570"/>
      <c r="U122" s="2570"/>
      <c r="V122" s="2570"/>
      <c r="W122" s="2570"/>
      <c r="X122" s="2570"/>
      <c r="Y122" s="2571" t="s">
        <v>24</v>
      </c>
      <c r="Z122" s="2571"/>
      <c r="AA122" s="2571"/>
      <c r="AB122" s="2571"/>
      <c r="AC122" s="2571"/>
      <c r="AD122" s="2571"/>
      <c r="AE122" s="2571"/>
      <c r="AF122" s="2572"/>
    </row>
    <row r="123" spans="1:43" ht="15" customHeight="1" x14ac:dyDescent="0.25">
      <c r="A123" s="2535" t="s">
        <v>2155</v>
      </c>
      <c r="B123" s="2536"/>
      <c r="C123" s="2536"/>
      <c r="D123" s="2536"/>
      <c r="E123" s="2536"/>
      <c r="F123" s="2536"/>
      <c r="G123" s="2536"/>
      <c r="H123" s="2536"/>
      <c r="I123" s="2540">
        <v>4</v>
      </c>
      <c r="J123" s="2540"/>
      <c r="K123" s="2540"/>
      <c r="L123" s="2540"/>
      <c r="M123" s="2540"/>
      <c r="N123" s="2540"/>
      <c r="O123" s="2540"/>
      <c r="P123" s="2540"/>
      <c r="Q123" s="2573">
        <f>ROUND((K95-O95)*$Q$74*$Q$75*(1+$Q$78+$K$102)*$Q$77,3)</f>
        <v>2.1000000000000001E-2</v>
      </c>
      <c r="R123" s="2573"/>
      <c r="S123" s="2573"/>
      <c r="T123" s="2573"/>
      <c r="U123" s="2573"/>
      <c r="V123" s="2573"/>
      <c r="W123" s="2573"/>
      <c r="X123" s="2573"/>
      <c r="Y123" s="2574">
        <f>ROUND((K95-O95)*$Q$74*$Q$76*(1+$Q$79+$O$102)*$Q$77,2)</f>
        <v>148.47999999999999</v>
      </c>
      <c r="Z123" s="2574"/>
      <c r="AA123" s="2574"/>
      <c r="AB123" s="2574"/>
      <c r="AC123" s="2574"/>
      <c r="AD123" s="2574"/>
      <c r="AE123" s="2574"/>
      <c r="AF123" s="2575"/>
    </row>
    <row r="124" spans="1:43" x14ac:dyDescent="0.25">
      <c r="A124" s="2537"/>
      <c r="B124" s="1353"/>
      <c r="C124" s="1353"/>
      <c r="D124" s="1353"/>
      <c r="E124" s="1353"/>
      <c r="F124" s="1353"/>
      <c r="G124" s="1353"/>
      <c r="H124" s="1353"/>
      <c r="I124" s="2543">
        <v>5</v>
      </c>
      <c r="J124" s="2543"/>
      <c r="K124" s="2543"/>
      <c r="L124" s="2543"/>
      <c r="M124" s="2543"/>
      <c r="N124" s="2543"/>
      <c r="O124" s="2543"/>
      <c r="P124" s="2543"/>
      <c r="Q124" s="2576">
        <f>ROUND((K96-O96)*$Q$74*$Q$75*(1+$Q$78+$K$102)*$Q$77,3)</f>
        <v>2.7E-2</v>
      </c>
      <c r="R124" s="2576"/>
      <c r="S124" s="2576"/>
      <c r="T124" s="2576"/>
      <c r="U124" s="2576"/>
      <c r="V124" s="2576"/>
      <c r="W124" s="2576"/>
      <c r="X124" s="2576"/>
      <c r="Y124" s="2577">
        <f>ROUND((K96-O96)*$Q$74*$Q$76*(1+$Q$79+$O$102)*$Q$77,2)</f>
        <v>193.24</v>
      </c>
      <c r="Z124" s="2577"/>
      <c r="AA124" s="2577"/>
      <c r="AB124" s="2577"/>
      <c r="AC124" s="2577"/>
      <c r="AD124" s="2577"/>
      <c r="AE124" s="2577"/>
      <c r="AF124" s="2578"/>
    </row>
    <row r="125" spans="1:43" ht="15.75" thickBot="1" x14ac:dyDescent="0.3">
      <c r="A125" s="2538"/>
      <c r="B125" s="2539"/>
      <c r="C125" s="2539"/>
      <c r="D125" s="2539"/>
      <c r="E125" s="2539"/>
      <c r="F125" s="2539"/>
      <c r="G125" s="2539"/>
      <c r="H125" s="2539"/>
      <c r="I125" s="2546">
        <v>6</v>
      </c>
      <c r="J125" s="2546"/>
      <c r="K125" s="2546"/>
      <c r="L125" s="2546"/>
      <c r="M125" s="2546"/>
      <c r="N125" s="2546"/>
      <c r="O125" s="2546"/>
      <c r="P125" s="2546"/>
      <c r="Q125" s="2564">
        <f>ROUND((K97-O97)*$Q$74*$Q$75*(1+$Q$78+$K$102)*$Q$77,3)</f>
        <v>3.4000000000000002E-2</v>
      </c>
      <c r="R125" s="2564"/>
      <c r="S125" s="2564"/>
      <c r="T125" s="2564"/>
      <c r="U125" s="2564"/>
      <c r="V125" s="2564"/>
      <c r="W125" s="2564"/>
      <c r="X125" s="2564"/>
      <c r="Y125" s="2565">
        <f>ROUND((K97-O97)*$Q$74*$Q$76*(1+$Q$79+$O$102)*$Q$77,2)</f>
        <v>245.64</v>
      </c>
      <c r="Z125" s="2565"/>
      <c r="AA125" s="2565"/>
      <c r="AB125" s="2565"/>
      <c r="AC125" s="2565"/>
      <c r="AD125" s="2565"/>
      <c r="AE125" s="2565"/>
      <c r="AF125" s="2566"/>
    </row>
    <row r="126" spans="1:43" x14ac:dyDescent="0.25">
      <c r="A126" s="2549" t="s">
        <v>2156</v>
      </c>
      <c r="B126" s="1356"/>
      <c r="C126" s="1356"/>
      <c r="D126" s="1356"/>
      <c r="E126" s="1356"/>
      <c r="F126" s="1356"/>
      <c r="G126" s="1356"/>
      <c r="H126" s="1356"/>
      <c r="I126" s="2553">
        <v>4</v>
      </c>
      <c r="J126" s="2553"/>
      <c r="K126" s="2553"/>
      <c r="L126" s="2553"/>
      <c r="M126" s="2553"/>
      <c r="N126" s="2553"/>
      <c r="O126" s="2553"/>
      <c r="P126" s="2553"/>
      <c r="Q126" s="2561">
        <f>ROUND((K95-O95)*$Q$74*$Q$75*(1+$Q$78+$K$103)*$Q$77,3)</f>
        <v>2.5000000000000001E-2</v>
      </c>
      <c r="R126" s="2561"/>
      <c r="S126" s="2561"/>
      <c r="T126" s="2561"/>
      <c r="U126" s="2561"/>
      <c r="V126" s="2561"/>
      <c r="W126" s="2561"/>
      <c r="X126" s="2561"/>
      <c r="Y126" s="2562">
        <f>ROUND((K95-O95)*$Q$74*$Q$76*(1+$Q$79+$O$103)*$Q$77,2)</f>
        <v>179.26</v>
      </c>
      <c r="Z126" s="2562"/>
      <c r="AA126" s="2562"/>
      <c r="AB126" s="2562"/>
      <c r="AC126" s="2562"/>
      <c r="AD126" s="2562"/>
      <c r="AE126" s="2562"/>
      <c r="AF126" s="2563"/>
    </row>
    <row r="127" spans="1:43" x14ac:dyDescent="0.25">
      <c r="A127" s="2550"/>
      <c r="B127" s="1907"/>
      <c r="C127" s="1907"/>
      <c r="D127" s="1907"/>
      <c r="E127" s="1907"/>
      <c r="F127" s="1907"/>
      <c r="G127" s="1907"/>
      <c r="H127" s="1907"/>
      <c r="I127" s="2543">
        <v>5</v>
      </c>
      <c r="J127" s="2543"/>
      <c r="K127" s="2543"/>
      <c r="L127" s="2543"/>
      <c r="M127" s="2543"/>
      <c r="N127" s="2543"/>
      <c r="O127" s="2543"/>
      <c r="P127" s="2543"/>
      <c r="Q127" s="2561">
        <f>ROUND((K96-O96)*$Q$74*$Q$75*(1+$Q$78+$K$103)*$Q$77,3)</f>
        <v>3.3000000000000002E-2</v>
      </c>
      <c r="R127" s="2561"/>
      <c r="S127" s="2561"/>
      <c r="T127" s="2561"/>
      <c r="U127" s="2561"/>
      <c r="V127" s="2561"/>
      <c r="W127" s="2561"/>
      <c r="X127" s="2561"/>
      <c r="Y127" s="2562">
        <f>ROUND((K96-O96)*$Q$74*$Q$76*(1+$Q$79+$O$103)*$Q$77,2)</f>
        <v>233.3</v>
      </c>
      <c r="Z127" s="2562"/>
      <c r="AA127" s="2562"/>
      <c r="AB127" s="2562"/>
      <c r="AC127" s="2562"/>
      <c r="AD127" s="2562"/>
      <c r="AE127" s="2562"/>
      <c r="AF127" s="2563"/>
    </row>
    <row r="128" spans="1:43" ht="15.75" thickBot="1" x14ac:dyDescent="0.3">
      <c r="A128" s="2551"/>
      <c r="B128" s="2552"/>
      <c r="C128" s="2552"/>
      <c r="D128" s="2552"/>
      <c r="E128" s="2552"/>
      <c r="F128" s="2552"/>
      <c r="G128" s="2552"/>
      <c r="H128" s="2552"/>
      <c r="I128" s="2546">
        <v>6</v>
      </c>
      <c r="J128" s="2546"/>
      <c r="K128" s="2546"/>
      <c r="L128" s="2546"/>
      <c r="M128" s="2546"/>
      <c r="N128" s="2546"/>
      <c r="O128" s="2546"/>
      <c r="P128" s="2546"/>
      <c r="Q128" s="2564">
        <f>ROUND((K97-O97)*$Q$74*$Q$75*(1+$Q$78+$K$103)*$Q$77,3)</f>
        <v>4.2000000000000003E-2</v>
      </c>
      <c r="R128" s="2564"/>
      <c r="S128" s="2564"/>
      <c r="T128" s="2564"/>
      <c r="U128" s="2564"/>
      <c r="V128" s="2564"/>
      <c r="W128" s="2564"/>
      <c r="X128" s="2564"/>
      <c r="Y128" s="2565">
        <f>ROUND((K97-O97)*$Q$74*$Q$76*(1+$Q$79+$O$103)*$Q$77,2)</f>
        <v>296.55</v>
      </c>
      <c r="Z128" s="2565"/>
      <c r="AA128" s="2565"/>
      <c r="AB128" s="2565"/>
      <c r="AC128" s="2565"/>
      <c r="AD128" s="2565"/>
      <c r="AE128" s="2565"/>
      <c r="AF128" s="2566"/>
    </row>
    <row r="130" spans="1:32" x14ac:dyDescent="0.25">
      <c r="A130" s="3"/>
      <c r="B130" s="379" t="s">
        <v>2161</v>
      </c>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row>
    <row r="131" spans="1:32" ht="15.75" thickBot="1" x14ac:dyDescent="0.3">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row>
    <row r="132" spans="1:32" ht="15.75" thickBot="1" x14ac:dyDescent="0.3">
      <c r="A132" s="2556" t="s">
        <v>2154</v>
      </c>
      <c r="B132" s="2557"/>
      <c r="C132" s="2557"/>
      <c r="D132" s="2557"/>
      <c r="E132" s="2557"/>
      <c r="F132" s="2557"/>
      <c r="G132" s="2557"/>
      <c r="H132" s="2558"/>
      <c r="I132" s="2557" t="s">
        <v>22</v>
      </c>
      <c r="J132" s="2557"/>
      <c r="K132" s="2557"/>
      <c r="L132" s="2557"/>
      <c r="M132" s="2557"/>
      <c r="N132" s="2557"/>
      <c r="O132" s="2557"/>
      <c r="P132" s="2557"/>
      <c r="Q132" s="2559" t="s">
        <v>2012</v>
      </c>
      <c r="R132" s="2559"/>
      <c r="S132" s="2559"/>
      <c r="T132" s="2559"/>
      <c r="U132" s="2559"/>
      <c r="V132" s="2559"/>
      <c r="W132" s="2559"/>
      <c r="X132" s="2560"/>
    </row>
    <row r="133" spans="1:32" x14ac:dyDescent="0.25">
      <c r="A133" s="2535" t="s">
        <v>2155</v>
      </c>
      <c r="B133" s="2536"/>
      <c r="C133" s="2536"/>
      <c r="D133" s="2536"/>
      <c r="E133" s="2536"/>
      <c r="F133" s="2536"/>
      <c r="G133" s="2536"/>
      <c r="H133" s="2536"/>
      <c r="I133" s="2540">
        <v>4</v>
      </c>
      <c r="J133" s="2540"/>
      <c r="K133" s="2540"/>
      <c r="L133" s="2540"/>
      <c r="M133" s="2540"/>
      <c r="N133" s="2540"/>
      <c r="O133" s="2540"/>
      <c r="P133" s="2540"/>
      <c r="Q133" s="2541">
        <f t="shared" ref="Q133:Q138" si="2">ROUND(Y113*$Q$85+Y123*($Q$87-$Q$85),2)</f>
        <v>1233.67</v>
      </c>
      <c r="R133" s="2541"/>
      <c r="S133" s="2541"/>
      <c r="T133" s="2541"/>
      <c r="U133" s="2541"/>
      <c r="V133" s="2541"/>
      <c r="W133" s="2541"/>
      <c r="X133" s="2542"/>
    </row>
    <row r="134" spans="1:32" x14ac:dyDescent="0.25">
      <c r="A134" s="2537"/>
      <c r="B134" s="1353"/>
      <c r="C134" s="1353"/>
      <c r="D134" s="1353"/>
      <c r="E134" s="1353"/>
      <c r="F134" s="1353"/>
      <c r="G134" s="1353"/>
      <c r="H134" s="1353"/>
      <c r="I134" s="2543">
        <v>5</v>
      </c>
      <c r="J134" s="2543"/>
      <c r="K134" s="2543"/>
      <c r="L134" s="2543"/>
      <c r="M134" s="2543"/>
      <c r="N134" s="2543"/>
      <c r="O134" s="2543"/>
      <c r="P134" s="2543"/>
      <c r="Q134" s="2544">
        <f t="shared" si="2"/>
        <v>1603.21</v>
      </c>
      <c r="R134" s="2544"/>
      <c r="S134" s="2544"/>
      <c r="T134" s="2544"/>
      <c r="U134" s="2544"/>
      <c r="V134" s="2544"/>
      <c r="W134" s="2544"/>
      <c r="X134" s="2545"/>
    </row>
    <row r="135" spans="1:32" ht="15.75" thickBot="1" x14ac:dyDescent="0.3">
      <c r="A135" s="2538"/>
      <c r="B135" s="2539"/>
      <c r="C135" s="2539"/>
      <c r="D135" s="2539"/>
      <c r="E135" s="2539"/>
      <c r="F135" s="2539"/>
      <c r="G135" s="2539"/>
      <c r="H135" s="2539"/>
      <c r="I135" s="2546">
        <v>6</v>
      </c>
      <c r="J135" s="2546"/>
      <c r="K135" s="2546"/>
      <c r="L135" s="2546"/>
      <c r="M135" s="2546"/>
      <c r="N135" s="2546"/>
      <c r="O135" s="2546"/>
      <c r="P135" s="2546"/>
      <c r="Q135" s="2547">
        <f t="shared" si="2"/>
        <v>2033.86</v>
      </c>
      <c r="R135" s="2547"/>
      <c r="S135" s="2547"/>
      <c r="T135" s="2547"/>
      <c r="U135" s="2547"/>
      <c r="V135" s="2547"/>
      <c r="W135" s="2547"/>
      <c r="X135" s="2548"/>
    </row>
    <row r="136" spans="1:32" x14ac:dyDescent="0.25">
      <c r="A136" s="2549" t="s">
        <v>2156</v>
      </c>
      <c r="B136" s="1356"/>
      <c r="C136" s="1356"/>
      <c r="D136" s="1356"/>
      <c r="E136" s="1356"/>
      <c r="F136" s="1356"/>
      <c r="G136" s="1356"/>
      <c r="H136" s="1356"/>
      <c r="I136" s="2553">
        <v>4</v>
      </c>
      <c r="J136" s="2553"/>
      <c r="K136" s="2553"/>
      <c r="L136" s="2553"/>
      <c r="M136" s="2553"/>
      <c r="N136" s="2553"/>
      <c r="O136" s="2553"/>
      <c r="P136" s="2553"/>
      <c r="Q136" s="2554">
        <f t="shared" si="2"/>
        <v>1489.41</v>
      </c>
      <c r="R136" s="2554"/>
      <c r="S136" s="2554"/>
      <c r="T136" s="2554"/>
      <c r="U136" s="2554"/>
      <c r="V136" s="2554"/>
      <c r="W136" s="2554"/>
      <c r="X136" s="2555"/>
    </row>
    <row r="137" spans="1:32" x14ac:dyDescent="0.25">
      <c r="A137" s="2550"/>
      <c r="B137" s="1907"/>
      <c r="C137" s="1907"/>
      <c r="D137" s="1907"/>
      <c r="E137" s="1907"/>
      <c r="F137" s="1907"/>
      <c r="G137" s="1907"/>
      <c r="H137" s="1907"/>
      <c r="I137" s="2543">
        <v>5</v>
      </c>
      <c r="J137" s="2543"/>
      <c r="K137" s="2543"/>
      <c r="L137" s="2543"/>
      <c r="M137" s="2543"/>
      <c r="N137" s="2543"/>
      <c r="O137" s="2543"/>
      <c r="P137" s="2543"/>
      <c r="Q137" s="2554">
        <f t="shared" si="2"/>
        <v>1935.56</v>
      </c>
      <c r="R137" s="2554"/>
      <c r="S137" s="2554"/>
      <c r="T137" s="2554"/>
      <c r="U137" s="2554"/>
      <c r="V137" s="2554"/>
      <c r="W137" s="2554"/>
      <c r="X137" s="2555"/>
    </row>
    <row r="138" spans="1:32" ht="15.75" thickBot="1" x14ac:dyDescent="0.3">
      <c r="A138" s="2551"/>
      <c r="B138" s="2552"/>
      <c r="C138" s="2552"/>
      <c r="D138" s="2552"/>
      <c r="E138" s="2552"/>
      <c r="F138" s="2552"/>
      <c r="G138" s="2552"/>
      <c r="H138" s="2552"/>
      <c r="I138" s="2546">
        <v>6</v>
      </c>
      <c r="J138" s="2546"/>
      <c r="K138" s="2546"/>
      <c r="L138" s="2546"/>
      <c r="M138" s="2546"/>
      <c r="N138" s="2546"/>
      <c r="O138" s="2546"/>
      <c r="P138" s="2546"/>
      <c r="Q138" s="2547">
        <f t="shared" si="2"/>
        <v>2455.4</v>
      </c>
      <c r="R138" s="2547"/>
      <c r="S138" s="2547"/>
      <c r="T138" s="2547"/>
      <c r="U138" s="2547"/>
      <c r="V138" s="2547"/>
      <c r="W138" s="2547"/>
      <c r="X138" s="2548"/>
    </row>
    <row r="140" spans="1:32" x14ac:dyDescent="0.25">
      <c r="A140" s="3"/>
      <c r="B140" s="379" t="s">
        <v>2162</v>
      </c>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row>
    <row r="141" spans="1:32" ht="15.75" thickBot="1" x14ac:dyDescent="0.3">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row>
    <row r="142" spans="1:32" ht="15.75" thickBot="1" x14ac:dyDescent="0.3">
      <c r="A142" s="2530" t="s">
        <v>2154</v>
      </c>
      <c r="B142" s="2531"/>
      <c r="C142" s="2531"/>
      <c r="D142" s="2531"/>
      <c r="E142" s="2531"/>
      <c r="F142" s="2531"/>
      <c r="G142" s="2531"/>
      <c r="H142" s="2532"/>
      <c r="I142" s="2531" t="s">
        <v>22</v>
      </c>
      <c r="J142" s="2531"/>
      <c r="K142" s="2531"/>
      <c r="L142" s="2531"/>
      <c r="M142" s="2531"/>
      <c r="N142" s="2531"/>
      <c r="O142" s="2531"/>
      <c r="P142" s="2531"/>
      <c r="Q142" s="2533" t="s">
        <v>2012</v>
      </c>
      <c r="R142" s="2533"/>
      <c r="S142" s="2533"/>
      <c r="T142" s="2533"/>
      <c r="U142" s="2533"/>
      <c r="V142" s="2533"/>
      <c r="W142" s="2533"/>
      <c r="X142" s="2534"/>
    </row>
    <row r="143" spans="1:32" x14ac:dyDescent="0.25">
      <c r="A143" s="2535" t="s">
        <v>2155</v>
      </c>
      <c r="B143" s="2536"/>
      <c r="C143" s="2536"/>
      <c r="D143" s="2536"/>
      <c r="E143" s="2536"/>
      <c r="F143" s="2536"/>
      <c r="G143" s="2536"/>
      <c r="H143" s="2536"/>
      <c r="I143" s="2540">
        <v>4</v>
      </c>
      <c r="J143" s="2540"/>
      <c r="K143" s="2540"/>
      <c r="L143" s="2540"/>
      <c r="M143" s="2540"/>
      <c r="N143" s="2540"/>
      <c r="O143" s="2540"/>
      <c r="P143" s="2540"/>
      <c r="Q143" s="2541">
        <f t="shared" ref="Q143:Q148" si="3">ROUND(Y123*$Q$87,2)</f>
        <v>1187.8399999999999</v>
      </c>
      <c r="R143" s="2541"/>
      <c r="S143" s="2541"/>
      <c r="T143" s="2541"/>
      <c r="U143" s="2541"/>
      <c r="V143" s="2541"/>
      <c r="W143" s="2541"/>
      <c r="X143" s="2542"/>
    </row>
    <row r="144" spans="1:32" x14ac:dyDescent="0.25">
      <c r="A144" s="2537"/>
      <c r="B144" s="1353"/>
      <c r="C144" s="1353"/>
      <c r="D144" s="1353"/>
      <c r="E144" s="1353"/>
      <c r="F144" s="1353"/>
      <c r="G144" s="1353"/>
      <c r="H144" s="1353"/>
      <c r="I144" s="2543">
        <v>5</v>
      </c>
      <c r="J144" s="2543"/>
      <c r="K144" s="2543"/>
      <c r="L144" s="2543"/>
      <c r="M144" s="2543"/>
      <c r="N144" s="2543"/>
      <c r="O144" s="2543"/>
      <c r="P144" s="2543"/>
      <c r="Q144" s="2544">
        <f t="shared" si="3"/>
        <v>1545.92</v>
      </c>
      <c r="R144" s="2544"/>
      <c r="S144" s="2544"/>
      <c r="T144" s="2544"/>
      <c r="U144" s="2544"/>
      <c r="V144" s="2544"/>
      <c r="W144" s="2544"/>
      <c r="X144" s="2545"/>
    </row>
    <row r="145" spans="1:32" ht="15.75" thickBot="1" x14ac:dyDescent="0.3">
      <c r="A145" s="2538"/>
      <c r="B145" s="2539"/>
      <c r="C145" s="2539"/>
      <c r="D145" s="2539"/>
      <c r="E145" s="2539"/>
      <c r="F145" s="2539"/>
      <c r="G145" s="2539"/>
      <c r="H145" s="2539"/>
      <c r="I145" s="2546">
        <v>6</v>
      </c>
      <c r="J145" s="2546"/>
      <c r="K145" s="2546"/>
      <c r="L145" s="2546"/>
      <c r="M145" s="2546"/>
      <c r="N145" s="2546"/>
      <c r="O145" s="2546"/>
      <c r="P145" s="2546"/>
      <c r="Q145" s="2547">
        <f>ROUND(Y125*$Q$87,2)</f>
        <v>1965.12</v>
      </c>
      <c r="R145" s="2547"/>
      <c r="S145" s="2547"/>
      <c r="T145" s="2547"/>
      <c r="U145" s="2547"/>
      <c r="V145" s="2547"/>
      <c r="W145" s="2547"/>
      <c r="X145" s="2548"/>
    </row>
    <row r="146" spans="1:32" x14ac:dyDescent="0.25">
      <c r="A146" s="2549" t="s">
        <v>2156</v>
      </c>
      <c r="B146" s="1356"/>
      <c r="C146" s="1356"/>
      <c r="D146" s="1356"/>
      <c r="E146" s="1356"/>
      <c r="F146" s="1356"/>
      <c r="G146" s="1356"/>
      <c r="H146" s="1356"/>
      <c r="I146" s="2553">
        <v>4</v>
      </c>
      <c r="J146" s="2553"/>
      <c r="K146" s="2553"/>
      <c r="L146" s="2553"/>
      <c r="M146" s="2553"/>
      <c r="N146" s="2553"/>
      <c r="O146" s="2553"/>
      <c r="P146" s="2553"/>
      <c r="Q146" s="2554">
        <f t="shared" si="3"/>
        <v>1434.08</v>
      </c>
      <c r="R146" s="2554"/>
      <c r="S146" s="2554"/>
      <c r="T146" s="2554"/>
      <c r="U146" s="2554"/>
      <c r="V146" s="2554"/>
      <c r="W146" s="2554"/>
      <c r="X146" s="2555"/>
    </row>
    <row r="147" spans="1:32" x14ac:dyDescent="0.25">
      <c r="A147" s="2550"/>
      <c r="B147" s="1907"/>
      <c r="C147" s="1907"/>
      <c r="D147" s="1907"/>
      <c r="E147" s="1907"/>
      <c r="F147" s="1907"/>
      <c r="G147" s="1907"/>
      <c r="H147" s="1907"/>
      <c r="I147" s="2543">
        <v>5</v>
      </c>
      <c r="J147" s="2543"/>
      <c r="K147" s="2543"/>
      <c r="L147" s="2543"/>
      <c r="M147" s="2543"/>
      <c r="N147" s="2543"/>
      <c r="O147" s="2543"/>
      <c r="P147" s="2543"/>
      <c r="Q147" s="2554">
        <f t="shared" si="3"/>
        <v>1866.4</v>
      </c>
      <c r="R147" s="2554"/>
      <c r="S147" s="2554"/>
      <c r="T147" s="2554"/>
      <c r="U147" s="2554"/>
      <c r="V147" s="2554"/>
      <c r="W147" s="2554"/>
      <c r="X147" s="2555"/>
    </row>
    <row r="148" spans="1:32" ht="15.75" thickBot="1" x14ac:dyDescent="0.3">
      <c r="A148" s="2551"/>
      <c r="B148" s="2552"/>
      <c r="C148" s="2552"/>
      <c r="D148" s="2552"/>
      <c r="E148" s="2552"/>
      <c r="F148" s="2552"/>
      <c r="G148" s="2552"/>
      <c r="H148" s="2552"/>
      <c r="I148" s="2546">
        <v>6</v>
      </c>
      <c r="J148" s="2546"/>
      <c r="K148" s="2546"/>
      <c r="L148" s="2546"/>
      <c r="M148" s="2546"/>
      <c r="N148" s="2546"/>
      <c r="O148" s="2546"/>
      <c r="P148" s="2546"/>
      <c r="Q148" s="2547">
        <f t="shared" si="3"/>
        <v>2372.4</v>
      </c>
      <c r="R148" s="2547"/>
      <c r="S148" s="2547"/>
      <c r="T148" s="2547"/>
      <c r="U148" s="2547"/>
      <c r="V148" s="2547"/>
      <c r="W148" s="2547"/>
      <c r="X148" s="2548"/>
    </row>
    <row r="150" spans="1:32" x14ac:dyDescent="0.25">
      <c r="A150" s="1472" t="s">
        <v>1753</v>
      </c>
      <c r="B150" s="1472"/>
      <c r="C150" s="1472"/>
      <c r="D150" s="1472"/>
      <c r="E150" s="1472"/>
      <c r="F150" s="1472"/>
      <c r="G150" s="1472"/>
      <c r="H150" s="1472"/>
      <c r="I150" s="1472"/>
      <c r="J150" s="1472"/>
      <c r="K150" s="1472"/>
      <c r="L150" s="1472"/>
      <c r="M150" s="1472"/>
      <c r="N150" s="1472"/>
      <c r="O150" s="1472"/>
      <c r="P150" s="1472"/>
      <c r="Q150" s="1472"/>
      <c r="R150" s="1472"/>
      <c r="S150" s="1472"/>
      <c r="T150" s="1472"/>
      <c r="U150" s="1472"/>
      <c r="V150" s="1472"/>
      <c r="W150" s="1472"/>
      <c r="X150" s="1472"/>
      <c r="Y150" s="1472"/>
      <c r="Z150" s="1472"/>
      <c r="AA150" s="1472"/>
      <c r="AB150" s="1472"/>
      <c r="AC150" s="1472"/>
      <c r="AD150" s="1472"/>
      <c r="AE150" s="1472"/>
      <c r="AF150" s="1472"/>
    </row>
    <row r="152" spans="1:32" x14ac:dyDescent="0.25">
      <c r="A152" s="517" t="s">
        <v>1013</v>
      </c>
      <c r="B152" s="1168" t="s">
        <v>5692</v>
      </c>
      <c r="C152" s="1168"/>
      <c r="D152" s="1168"/>
      <c r="E152" s="1168"/>
      <c r="F152" s="1168"/>
      <c r="G152" s="1168"/>
      <c r="H152" s="1168"/>
      <c r="I152" s="1168"/>
      <c r="J152" s="1168"/>
      <c r="K152" s="1168"/>
      <c r="L152" s="1168"/>
      <c r="M152" s="1168"/>
      <c r="N152" s="1168"/>
      <c r="O152" s="1168"/>
      <c r="P152" s="1168"/>
      <c r="Q152" s="1168"/>
      <c r="R152" s="1168"/>
      <c r="S152" s="1168"/>
      <c r="T152" s="1168"/>
      <c r="U152" s="1168"/>
      <c r="V152" s="1168"/>
      <c r="W152" s="1168"/>
      <c r="X152" s="1168"/>
      <c r="Y152" s="1168"/>
      <c r="Z152" s="1168"/>
      <c r="AA152" s="1168"/>
      <c r="AB152" s="1168"/>
      <c r="AC152" s="1168"/>
      <c r="AD152" s="1168"/>
      <c r="AE152" s="1168"/>
      <c r="AF152" s="1168"/>
    </row>
    <row r="153" spans="1:32" s="8" customFormat="1" ht="36" customHeight="1" x14ac:dyDescent="0.25">
      <c r="A153" s="517" t="s">
        <v>1013</v>
      </c>
      <c r="B153" s="1168" t="s">
        <v>5696</v>
      </c>
      <c r="C153" s="1168"/>
      <c r="D153" s="1168"/>
      <c r="E153" s="1168"/>
      <c r="F153" s="1168"/>
      <c r="G153" s="1168"/>
      <c r="H153" s="1168"/>
      <c r="I153" s="1168"/>
      <c r="J153" s="1168"/>
      <c r="K153" s="1168"/>
      <c r="L153" s="1168"/>
      <c r="M153" s="1168"/>
      <c r="N153" s="1168"/>
      <c r="O153" s="1168"/>
      <c r="P153" s="1168"/>
      <c r="Q153" s="1168"/>
      <c r="R153" s="1168"/>
      <c r="S153" s="1168"/>
      <c r="T153" s="1168"/>
      <c r="U153" s="1168"/>
      <c r="V153" s="1168"/>
      <c r="W153" s="1168"/>
      <c r="X153" s="1168"/>
      <c r="Y153" s="1168"/>
      <c r="Z153" s="1168"/>
      <c r="AA153" s="1168"/>
      <c r="AB153" s="1168"/>
      <c r="AC153" s="1168"/>
      <c r="AD153" s="1168"/>
      <c r="AE153" s="1168"/>
      <c r="AF153" s="1168"/>
    </row>
    <row r="154" spans="1:32" ht="52.5" customHeight="1" x14ac:dyDescent="0.25">
      <c r="A154" s="515" t="s">
        <v>1013</v>
      </c>
      <c r="B154" s="1173" t="s">
        <v>2163</v>
      </c>
      <c r="C154" s="1173"/>
      <c r="D154" s="1173"/>
      <c r="E154" s="1173"/>
      <c r="F154" s="1173"/>
      <c r="G154" s="1173"/>
      <c r="H154" s="1173"/>
      <c r="I154" s="1173"/>
      <c r="J154" s="1173"/>
      <c r="K154" s="1173"/>
      <c r="L154" s="1173"/>
      <c r="M154" s="1173"/>
      <c r="N154" s="1173"/>
      <c r="O154" s="1173"/>
      <c r="P154" s="1173"/>
      <c r="Q154" s="1173"/>
      <c r="R154" s="1173"/>
      <c r="S154" s="1173"/>
      <c r="T154" s="1173"/>
      <c r="U154" s="1173"/>
      <c r="V154" s="1173"/>
      <c r="W154" s="1173"/>
      <c r="X154" s="1173"/>
      <c r="Y154" s="1173"/>
      <c r="Z154" s="1173"/>
      <c r="AA154" s="1173"/>
      <c r="AB154" s="1173"/>
      <c r="AC154" s="1173"/>
      <c r="AD154" s="1173"/>
      <c r="AE154" s="1173"/>
      <c r="AF154" s="1173"/>
    </row>
    <row r="155" spans="1:32" ht="66.75" customHeight="1" x14ac:dyDescent="0.25">
      <c r="A155" s="515" t="s">
        <v>1013</v>
      </c>
      <c r="B155" s="1173" t="s">
        <v>2165</v>
      </c>
      <c r="C155" s="1173"/>
      <c r="D155" s="1173"/>
      <c r="E155" s="1173"/>
      <c r="F155" s="1173"/>
      <c r="G155" s="1173"/>
      <c r="H155" s="1173"/>
      <c r="I155" s="1173"/>
      <c r="J155" s="1173"/>
      <c r="K155" s="1173"/>
      <c r="L155" s="1173"/>
      <c r="M155" s="1173"/>
      <c r="N155" s="1173"/>
      <c r="O155" s="1173"/>
      <c r="P155" s="1173"/>
      <c r="Q155" s="1173"/>
      <c r="R155" s="1173"/>
      <c r="S155" s="1173"/>
      <c r="T155" s="1173"/>
      <c r="U155" s="1173"/>
      <c r="V155" s="1173"/>
      <c r="W155" s="1173"/>
      <c r="X155" s="1173"/>
      <c r="Y155" s="1173"/>
      <c r="Z155" s="1173"/>
      <c r="AA155" s="1173"/>
      <c r="AB155" s="1173"/>
      <c r="AC155" s="1173"/>
      <c r="AD155" s="1173"/>
      <c r="AE155" s="1173"/>
      <c r="AF155" s="1173"/>
    </row>
    <row r="156" spans="1:32" ht="35.25" customHeight="1" x14ac:dyDescent="0.25">
      <c r="A156" s="515" t="s">
        <v>1013</v>
      </c>
      <c r="B156" s="1173" t="s">
        <v>2088</v>
      </c>
      <c r="C156" s="1173"/>
      <c r="D156" s="1173"/>
      <c r="E156" s="1173"/>
      <c r="F156" s="1173"/>
      <c r="G156" s="1173"/>
      <c r="H156" s="1173"/>
      <c r="I156" s="1173"/>
      <c r="J156" s="1173"/>
      <c r="K156" s="1173"/>
      <c r="L156" s="1173"/>
      <c r="M156" s="1173"/>
      <c r="N156" s="1173"/>
      <c r="O156" s="1173"/>
      <c r="P156" s="1173"/>
      <c r="Q156" s="1173"/>
      <c r="R156" s="1173"/>
      <c r="S156" s="1173"/>
      <c r="T156" s="1173"/>
      <c r="U156" s="1173"/>
      <c r="V156" s="1173"/>
      <c r="W156" s="1173"/>
      <c r="X156" s="1173"/>
      <c r="Y156" s="1173"/>
      <c r="Z156" s="1173"/>
      <c r="AA156" s="1173"/>
      <c r="AB156" s="1173"/>
      <c r="AC156" s="1173"/>
      <c r="AD156" s="1173"/>
      <c r="AE156" s="1173"/>
      <c r="AF156" s="1173"/>
    </row>
    <row r="157" spans="1:32" x14ac:dyDescent="0.25">
      <c r="A157" s="515" t="s">
        <v>1013</v>
      </c>
      <c r="B157" s="1173" t="s">
        <v>1798</v>
      </c>
      <c r="C157" s="1173"/>
      <c r="D157" s="1173"/>
      <c r="E157" s="1173"/>
      <c r="F157" s="1173"/>
      <c r="G157" s="1173"/>
      <c r="H157" s="1173"/>
      <c r="I157" s="1173"/>
      <c r="J157" s="1173"/>
      <c r="K157" s="1173"/>
      <c r="L157" s="1173"/>
      <c r="M157" s="1173"/>
      <c r="N157" s="1173"/>
      <c r="O157" s="1173"/>
      <c r="P157" s="1173"/>
      <c r="Q157" s="1173"/>
      <c r="R157" s="1173"/>
      <c r="S157" s="1173"/>
      <c r="T157" s="1173"/>
      <c r="U157" s="1173"/>
      <c r="V157" s="1173"/>
      <c r="W157" s="1173"/>
      <c r="X157" s="1173"/>
      <c r="Y157" s="1173"/>
      <c r="Z157" s="1173"/>
      <c r="AA157" s="1173"/>
      <c r="AB157" s="1173"/>
      <c r="AC157" s="1173"/>
      <c r="AD157" s="1173"/>
      <c r="AE157" s="1173"/>
      <c r="AF157" s="1173"/>
    </row>
    <row r="158" spans="1:32" ht="33.75" customHeight="1" x14ac:dyDescent="0.25">
      <c r="A158" s="515" t="s">
        <v>1013</v>
      </c>
      <c r="B158" s="1173" t="s">
        <v>2957</v>
      </c>
      <c r="C158" s="1173"/>
      <c r="D158" s="1173"/>
      <c r="E158" s="1173"/>
      <c r="F158" s="1173"/>
      <c r="G158" s="1173"/>
      <c r="H158" s="1173"/>
      <c r="I158" s="1173"/>
      <c r="J158" s="1173"/>
      <c r="K158" s="1173"/>
      <c r="L158" s="1173"/>
      <c r="M158" s="1173"/>
      <c r="N158" s="1173"/>
      <c r="O158" s="1173"/>
      <c r="P158" s="1173"/>
      <c r="Q158" s="1173"/>
      <c r="R158" s="1173"/>
      <c r="S158" s="1173"/>
      <c r="T158" s="1173"/>
      <c r="U158" s="1173"/>
      <c r="V158" s="1173"/>
      <c r="W158" s="1173"/>
      <c r="X158" s="1173"/>
      <c r="Y158" s="1173"/>
      <c r="Z158" s="1173"/>
      <c r="AA158" s="1173"/>
      <c r="AB158" s="1173"/>
      <c r="AC158" s="1173"/>
      <c r="AD158" s="1173"/>
      <c r="AE158" s="1173"/>
      <c r="AF158" s="1173"/>
    </row>
    <row r="159" spans="1:32" ht="34.5" customHeight="1" x14ac:dyDescent="0.25">
      <c r="A159" s="515" t="s">
        <v>1013</v>
      </c>
      <c r="B159" s="1173" t="s">
        <v>2096</v>
      </c>
      <c r="C159" s="1173"/>
      <c r="D159" s="1173"/>
      <c r="E159" s="1173"/>
      <c r="F159" s="1173"/>
      <c r="G159" s="1173"/>
      <c r="H159" s="1173"/>
      <c r="I159" s="1173"/>
      <c r="J159" s="1173"/>
      <c r="K159" s="1173"/>
      <c r="L159" s="1173"/>
      <c r="M159" s="1173"/>
      <c r="N159" s="1173"/>
      <c r="O159" s="1173"/>
      <c r="P159" s="1173"/>
      <c r="Q159" s="1173"/>
      <c r="R159" s="1173"/>
      <c r="S159" s="1173"/>
      <c r="T159" s="1173"/>
      <c r="U159" s="1173"/>
      <c r="V159" s="1173"/>
      <c r="W159" s="1173"/>
      <c r="X159" s="1173"/>
      <c r="Y159" s="1173"/>
      <c r="Z159" s="1173"/>
      <c r="AA159" s="1173"/>
      <c r="AB159" s="1173"/>
      <c r="AC159" s="1173"/>
      <c r="AD159" s="1173"/>
      <c r="AE159" s="1173"/>
      <c r="AF159" s="1173"/>
    </row>
    <row r="160" spans="1:32" ht="33" customHeight="1" x14ac:dyDescent="0.25">
      <c r="A160" s="515" t="s">
        <v>1013</v>
      </c>
      <c r="B160" s="1173" t="s">
        <v>1613</v>
      </c>
      <c r="C160" s="1173"/>
      <c r="D160" s="1173"/>
      <c r="E160" s="1173"/>
      <c r="F160" s="1173"/>
      <c r="G160" s="1173"/>
      <c r="H160" s="1173"/>
      <c r="I160" s="1173"/>
      <c r="J160" s="1173"/>
      <c r="K160" s="1173"/>
      <c r="L160" s="1173"/>
      <c r="M160" s="1173"/>
      <c r="N160" s="1173"/>
      <c r="O160" s="1173"/>
      <c r="P160" s="1173"/>
      <c r="Q160" s="1173"/>
      <c r="R160" s="1173"/>
      <c r="S160" s="1173"/>
      <c r="T160" s="1173"/>
      <c r="U160" s="1173"/>
      <c r="V160" s="1173"/>
      <c r="W160" s="1173"/>
      <c r="X160" s="1173"/>
      <c r="Y160" s="1173"/>
      <c r="Z160" s="1173"/>
      <c r="AA160" s="1173"/>
      <c r="AB160" s="1173"/>
      <c r="AC160" s="1173"/>
      <c r="AD160" s="1173"/>
      <c r="AE160" s="1173"/>
      <c r="AF160" s="1173"/>
    </row>
    <row r="161" spans="1:32" ht="31.5" customHeight="1" x14ac:dyDescent="0.25">
      <c r="A161" s="515" t="s">
        <v>1013</v>
      </c>
      <c r="B161" s="1173" t="s">
        <v>2066</v>
      </c>
      <c r="C161" s="1173"/>
      <c r="D161" s="1173"/>
      <c r="E161" s="1173"/>
      <c r="F161" s="1173"/>
      <c r="G161" s="1173"/>
      <c r="H161" s="1173"/>
      <c r="I161" s="1173"/>
      <c r="J161" s="1173"/>
      <c r="K161" s="1173"/>
      <c r="L161" s="1173"/>
      <c r="M161" s="1173"/>
      <c r="N161" s="1173"/>
      <c r="O161" s="1173"/>
      <c r="P161" s="1173"/>
      <c r="Q161" s="1173"/>
      <c r="R161" s="1173"/>
      <c r="S161" s="1173"/>
      <c r="T161" s="1173"/>
      <c r="U161" s="1173"/>
      <c r="V161" s="1173"/>
      <c r="W161" s="1173"/>
      <c r="X161" s="1173"/>
      <c r="Y161" s="1173"/>
      <c r="Z161" s="1173"/>
      <c r="AA161" s="1173"/>
      <c r="AB161" s="1173"/>
      <c r="AC161" s="1173"/>
      <c r="AD161" s="1173"/>
      <c r="AE161" s="1173"/>
      <c r="AF161" s="1173"/>
    </row>
    <row r="162" spans="1:32" x14ac:dyDescent="0.25">
      <c r="A162" s="515" t="s">
        <v>1013</v>
      </c>
      <c r="B162" s="1173" t="s">
        <v>1749</v>
      </c>
      <c r="C162" s="1173"/>
      <c r="D162" s="1173"/>
      <c r="E162" s="1173"/>
      <c r="F162" s="1173"/>
      <c r="G162" s="1173"/>
      <c r="H162" s="1173"/>
      <c r="I162" s="1173"/>
      <c r="J162" s="1173"/>
      <c r="K162" s="1173"/>
      <c r="L162" s="1173"/>
      <c r="M162" s="1173"/>
      <c r="N162" s="1173"/>
      <c r="O162" s="1173"/>
      <c r="P162" s="1173"/>
      <c r="Q162" s="1173"/>
      <c r="R162" s="1173"/>
      <c r="S162" s="1173"/>
      <c r="T162" s="1173"/>
      <c r="U162" s="1173"/>
      <c r="V162" s="1173"/>
      <c r="W162" s="1173"/>
      <c r="X162" s="1173"/>
      <c r="Y162" s="1173"/>
      <c r="Z162" s="1173"/>
      <c r="AA162" s="1173"/>
      <c r="AB162" s="1173"/>
      <c r="AC162" s="1173"/>
      <c r="AD162" s="1173"/>
      <c r="AE162" s="1173"/>
      <c r="AF162" s="1173"/>
    </row>
    <row r="163" spans="1:32" ht="48" customHeight="1" x14ac:dyDescent="0.25">
      <c r="A163" s="515" t="s">
        <v>1013</v>
      </c>
      <c r="B163" s="1173" t="s">
        <v>2164</v>
      </c>
      <c r="C163" s="1173"/>
      <c r="D163" s="1173"/>
      <c r="E163" s="1173"/>
      <c r="F163" s="1173"/>
      <c r="G163" s="1173"/>
      <c r="H163" s="1173"/>
      <c r="I163" s="1173"/>
      <c r="J163" s="1173"/>
      <c r="K163" s="1173"/>
      <c r="L163" s="1173"/>
      <c r="M163" s="1173"/>
      <c r="N163" s="1173"/>
      <c r="O163" s="1173"/>
      <c r="P163" s="1173"/>
      <c r="Q163" s="1173"/>
      <c r="R163" s="1173"/>
      <c r="S163" s="1173"/>
      <c r="T163" s="1173"/>
      <c r="U163" s="1173"/>
      <c r="V163" s="1173"/>
      <c r="W163" s="1173"/>
      <c r="X163" s="1173"/>
      <c r="Y163" s="1173"/>
      <c r="Z163" s="1173"/>
      <c r="AA163" s="1173"/>
      <c r="AB163" s="1173"/>
      <c r="AC163" s="1173"/>
      <c r="AD163" s="1173"/>
      <c r="AE163" s="1173"/>
      <c r="AF163" s="1173"/>
    </row>
  </sheetData>
  <sheetProtection algorithmName="SHA-512" hashValue="MEYp4n+eEskGNOk63wZ7W+dYfJnyIqWa7Vw/7yi8ie2HBVOEyeFtZ6WWo3YgA5FFBkSJu984P1hGHOIDnMHgYg==" saltValue="F6aB6xKhUGPzcH691/65Ew==" spinCount="100000" sheet="1" objects="1" scenarios="1"/>
  <mergeCells count="253">
    <mergeCell ref="A116:H118"/>
    <mergeCell ref="Q116:T116"/>
    <mergeCell ref="U116:X116"/>
    <mergeCell ref="Y116:AB116"/>
    <mergeCell ref="AC116:AF116"/>
    <mergeCell ref="Q117:T117"/>
    <mergeCell ref="U117:X117"/>
    <mergeCell ref="Y117:AB117"/>
    <mergeCell ref="AC117:AF117"/>
    <mergeCell ref="I118:P118"/>
    <mergeCell ref="Q118:T118"/>
    <mergeCell ref="U118:X118"/>
    <mergeCell ref="Y118:AB118"/>
    <mergeCell ref="AC118:AF118"/>
    <mergeCell ref="I116:P116"/>
    <mergeCell ref="I117:P117"/>
    <mergeCell ref="A1:AF1"/>
    <mergeCell ref="O97:R97"/>
    <mergeCell ref="G96:J96"/>
    <mergeCell ref="G97:J97"/>
    <mergeCell ref="A107:AF107"/>
    <mergeCell ref="A94:F94"/>
    <mergeCell ref="K95:N95"/>
    <mergeCell ref="K96:N96"/>
    <mergeCell ref="K97:N97"/>
    <mergeCell ref="G95:J95"/>
    <mergeCell ref="O95:R95"/>
    <mergeCell ref="O96:R96"/>
    <mergeCell ref="A27:AF27"/>
    <mergeCell ref="A69:AF69"/>
    <mergeCell ref="A70:D70"/>
    <mergeCell ref="E70:P70"/>
    <mergeCell ref="Q70:T70"/>
    <mergeCell ref="U70:W70"/>
    <mergeCell ref="X70:AF70"/>
    <mergeCell ref="A7:AF7"/>
    <mergeCell ref="B9:I9"/>
    <mergeCell ref="B10:AF10"/>
    <mergeCell ref="B12:I12"/>
    <mergeCell ref="B13:AF13"/>
    <mergeCell ref="A3:AF3"/>
    <mergeCell ref="B5:AF5"/>
    <mergeCell ref="B21:AF21"/>
    <mergeCell ref="A71:D71"/>
    <mergeCell ref="E71:P71"/>
    <mergeCell ref="Q71:T71"/>
    <mergeCell ref="U71:W71"/>
    <mergeCell ref="X71:AF71"/>
    <mergeCell ref="I113:P113"/>
    <mergeCell ref="Q111:X111"/>
    <mergeCell ref="Y111:AF111"/>
    <mergeCell ref="B15:I15"/>
    <mergeCell ref="B16:AF16"/>
    <mergeCell ref="B18:I18"/>
    <mergeCell ref="B19:AF19"/>
    <mergeCell ref="A72:D72"/>
    <mergeCell ref="E72:P72"/>
    <mergeCell ref="Q72:T72"/>
    <mergeCell ref="U72:W72"/>
    <mergeCell ref="X72:AF72"/>
    <mergeCell ref="A73:D73"/>
    <mergeCell ref="E73:P73"/>
    <mergeCell ref="Q73:T73"/>
    <mergeCell ref="U73:W73"/>
    <mergeCell ref="X73:AF73"/>
    <mergeCell ref="A74:D74"/>
    <mergeCell ref="E74:P74"/>
    <mergeCell ref="Q74:T74"/>
    <mergeCell ref="U74:W74"/>
    <mergeCell ref="X74:AF74"/>
    <mergeCell ref="A75:D75"/>
    <mergeCell ref="E75:P75"/>
    <mergeCell ref="Q75:T75"/>
    <mergeCell ref="U75:W75"/>
    <mergeCell ref="X75:AF75"/>
    <mergeCell ref="X77:AF77"/>
    <mergeCell ref="A85:D85"/>
    <mergeCell ref="E85:P85"/>
    <mergeCell ref="Q85:T85"/>
    <mergeCell ref="U85:W85"/>
    <mergeCell ref="X85:AF85"/>
    <mergeCell ref="A86:D86"/>
    <mergeCell ref="E86:P86"/>
    <mergeCell ref="Q86:T86"/>
    <mergeCell ref="U86:W86"/>
    <mergeCell ref="X86:AF86"/>
    <mergeCell ref="A78:D78"/>
    <mergeCell ref="E78:P78"/>
    <mergeCell ref="Q78:T78"/>
    <mergeCell ref="U78:W78"/>
    <mergeCell ref="X78:AF78"/>
    <mergeCell ref="A79:D79"/>
    <mergeCell ref="E79:P79"/>
    <mergeCell ref="Q79:T79"/>
    <mergeCell ref="U79:W79"/>
    <mergeCell ref="X79:AF79"/>
    <mergeCell ref="A76:D76"/>
    <mergeCell ref="E76:P76"/>
    <mergeCell ref="Q76:T76"/>
    <mergeCell ref="U76:W76"/>
    <mergeCell ref="X76:AF76"/>
    <mergeCell ref="A84:D84"/>
    <mergeCell ref="E84:P84"/>
    <mergeCell ref="Q84:T84"/>
    <mergeCell ref="U84:W84"/>
    <mergeCell ref="X84:AF84"/>
    <mergeCell ref="A82:D82"/>
    <mergeCell ref="E82:P82"/>
    <mergeCell ref="Q82:T82"/>
    <mergeCell ref="U82:W82"/>
    <mergeCell ref="X82:AF82"/>
    <mergeCell ref="A83:D83"/>
    <mergeCell ref="E83:P83"/>
    <mergeCell ref="Q83:T83"/>
    <mergeCell ref="U83:W83"/>
    <mergeCell ref="X83:AF83"/>
    <mergeCell ref="A77:D77"/>
    <mergeCell ref="E77:P77"/>
    <mergeCell ref="Q77:T77"/>
    <mergeCell ref="U77:W77"/>
    <mergeCell ref="X87:AF87"/>
    <mergeCell ref="A80:D80"/>
    <mergeCell ref="E80:P80"/>
    <mergeCell ref="Q80:T80"/>
    <mergeCell ref="U80:W80"/>
    <mergeCell ref="X80:AF80"/>
    <mergeCell ref="A81:D81"/>
    <mergeCell ref="E81:P81"/>
    <mergeCell ref="Q81:T81"/>
    <mergeCell ref="U81:W81"/>
    <mergeCell ref="X81:AF81"/>
    <mergeCell ref="A87:D87"/>
    <mergeCell ref="E87:P87"/>
    <mergeCell ref="Q87:T87"/>
    <mergeCell ref="U87:W87"/>
    <mergeCell ref="A103:F103"/>
    <mergeCell ref="G103:J103"/>
    <mergeCell ref="K103:N103"/>
    <mergeCell ref="O103:R103"/>
    <mergeCell ref="A104:AF104"/>
    <mergeCell ref="A88:AF88"/>
    <mergeCell ref="A89:AF89"/>
    <mergeCell ref="A90:AF90"/>
    <mergeCell ref="A91:AF91"/>
    <mergeCell ref="A101:F101"/>
    <mergeCell ref="G101:J101"/>
    <mergeCell ref="K101:N101"/>
    <mergeCell ref="O101:R101"/>
    <mergeCell ref="A102:F102"/>
    <mergeCell ref="G102:J102"/>
    <mergeCell ref="K102:N102"/>
    <mergeCell ref="O102:R102"/>
    <mergeCell ref="A95:F95"/>
    <mergeCell ref="A96:F96"/>
    <mergeCell ref="A97:F97"/>
    <mergeCell ref="O94:R94"/>
    <mergeCell ref="G94:J94"/>
    <mergeCell ref="K94:N94"/>
    <mergeCell ref="A98:AF98"/>
    <mergeCell ref="A105:AF105"/>
    <mergeCell ref="A113:H115"/>
    <mergeCell ref="A111:H112"/>
    <mergeCell ref="I111:P112"/>
    <mergeCell ref="Q112:T112"/>
    <mergeCell ref="U112:X112"/>
    <mergeCell ref="Y112:AB112"/>
    <mergeCell ref="AC112:AF112"/>
    <mergeCell ref="Q113:T113"/>
    <mergeCell ref="U113:X113"/>
    <mergeCell ref="Y113:AB113"/>
    <mergeCell ref="AC113:AF113"/>
    <mergeCell ref="I114:P114"/>
    <mergeCell ref="I115:P115"/>
    <mergeCell ref="Q114:T114"/>
    <mergeCell ref="U114:X114"/>
    <mergeCell ref="Y114:AB114"/>
    <mergeCell ref="AC114:AF114"/>
    <mergeCell ref="Q115:T115"/>
    <mergeCell ref="U115:X115"/>
    <mergeCell ref="Y115:AB115"/>
    <mergeCell ref="AC115:AF115"/>
    <mergeCell ref="A122:H122"/>
    <mergeCell ref="I122:P122"/>
    <mergeCell ref="Q122:X122"/>
    <mergeCell ref="Y122:AF122"/>
    <mergeCell ref="A123:H125"/>
    <mergeCell ref="I123:P123"/>
    <mergeCell ref="Q123:X123"/>
    <mergeCell ref="Y123:AF123"/>
    <mergeCell ref="I124:P124"/>
    <mergeCell ref="Q124:X124"/>
    <mergeCell ref="Y124:AF124"/>
    <mergeCell ref="I125:P125"/>
    <mergeCell ref="Q125:X125"/>
    <mergeCell ref="Y125:AF125"/>
    <mergeCell ref="A126:H128"/>
    <mergeCell ref="I126:P126"/>
    <mergeCell ref="Q126:X126"/>
    <mergeCell ref="Y126:AF126"/>
    <mergeCell ref="I127:P127"/>
    <mergeCell ref="Q127:X127"/>
    <mergeCell ref="Y127:AF127"/>
    <mergeCell ref="I128:P128"/>
    <mergeCell ref="Q128:X128"/>
    <mergeCell ref="Y128:AF128"/>
    <mergeCell ref="I138:P138"/>
    <mergeCell ref="Q138:X138"/>
    <mergeCell ref="A132:H132"/>
    <mergeCell ref="I132:P132"/>
    <mergeCell ref="Q132:X132"/>
    <mergeCell ref="A133:H135"/>
    <mergeCell ref="I133:P133"/>
    <mergeCell ref="Q133:X133"/>
    <mergeCell ref="I134:P134"/>
    <mergeCell ref="Q134:X134"/>
    <mergeCell ref="I135:P135"/>
    <mergeCell ref="Q135:X135"/>
    <mergeCell ref="B162:AF162"/>
    <mergeCell ref="B163:AF163"/>
    <mergeCell ref="A146:H148"/>
    <mergeCell ref="I146:P146"/>
    <mergeCell ref="Q146:X146"/>
    <mergeCell ref="I147:P147"/>
    <mergeCell ref="Q147:X147"/>
    <mergeCell ref="I148:P148"/>
    <mergeCell ref="Q148:X148"/>
    <mergeCell ref="A150:AF150"/>
    <mergeCell ref="B154:AF154"/>
    <mergeCell ref="B153:AF153"/>
    <mergeCell ref="B24:AF24"/>
    <mergeCell ref="B152:AF152"/>
    <mergeCell ref="B155:AF155"/>
    <mergeCell ref="B156:AF156"/>
    <mergeCell ref="B157:AF157"/>
    <mergeCell ref="B158:AF158"/>
    <mergeCell ref="B159:AF159"/>
    <mergeCell ref="B160:AF160"/>
    <mergeCell ref="B161:AF161"/>
    <mergeCell ref="A142:H142"/>
    <mergeCell ref="I142:P142"/>
    <mergeCell ref="Q142:X142"/>
    <mergeCell ref="A143:H145"/>
    <mergeCell ref="I143:P143"/>
    <mergeCell ref="Q143:X143"/>
    <mergeCell ref="I144:P144"/>
    <mergeCell ref="Q144:X144"/>
    <mergeCell ref="I145:P145"/>
    <mergeCell ref="Q145:X145"/>
    <mergeCell ref="A136:H138"/>
    <mergeCell ref="I136:P136"/>
    <mergeCell ref="Q136:X136"/>
    <mergeCell ref="I137:P137"/>
    <mergeCell ref="Q137:X137"/>
  </mergeCells>
  <hyperlinks>
    <hyperlink ref="A2" location="TOC!A1" display="Return to TOC" xr:uid="{00000000-0004-0000-2E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1:AF67" numberStoredAsText="1"/>
    <ignoredError sqref="Y113:AB118" formula="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theme="4" tint="0.59999389629810485"/>
    <pageSetUpPr autoPageBreaks="0"/>
  </sheetPr>
  <dimension ref="A1:BG137"/>
  <sheetViews>
    <sheetView workbookViewId="0">
      <selection sqref="A1:AF1"/>
    </sheetView>
  </sheetViews>
  <sheetFormatPr defaultColWidth="2.7109375" defaultRowHeight="15" x14ac:dyDescent="0.25"/>
  <cols>
    <col min="1" max="20" width="2.7109375" style="1"/>
    <col min="21" max="21" width="2.7109375" style="1" customWidth="1"/>
    <col min="22" max="16384" width="2.7109375" style="1"/>
  </cols>
  <sheetData>
    <row r="1" spans="1:32" ht="18.75" x14ac:dyDescent="0.25">
      <c r="A1" s="1464" t="s">
        <v>1141</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5" customHeight="1" x14ac:dyDescent="0.25">
      <c r="A5" s="262"/>
      <c r="B5" s="1151" t="s">
        <v>2713</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ht="14.45" customHeight="1" x14ac:dyDescent="0.25">
      <c r="A6" s="376"/>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25">
      <c r="B9" s="171" t="s">
        <v>10</v>
      </c>
      <c r="C9" s="171"/>
      <c r="D9" s="171"/>
      <c r="E9" s="171"/>
      <c r="F9" s="171"/>
      <c r="G9" s="171"/>
      <c r="H9" s="171"/>
      <c r="I9" s="171"/>
    </row>
    <row r="10" spans="1:32" ht="34.5" customHeight="1" x14ac:dyDescent="0.25">
      <c r="B10" s="1151" t="s">
        <v>3072</v>
      </c>
      <c r="C10" s="1473"/>
      <c r="D10" s="1473"/>
      <c r="E10" s="1473"/>
      <c r="F10" s="1473"/>
      <c r="G10" s="1473"/>
      <c r="H10" s="1473"/>
      <c r="I10" s="1473"/>
      <c r="J10" s="1473"/>
      <c r="K10" s="1473"/>
      <c r="L10" s="1473"/>
      <c r="M10" s="1473"/>
      <c r="N10" s="1473"/>
      <c r="O10" s="1473"/>
      <c r="P10" s="1473"/>
      <c r="Q10" s="1473"/>
      <c r="R10" s="1473"/>
      <c r="S10" s="1473"/>
      <c r="T10" s="1473"/>
      <c r="U10" s="1473"/>
      <c r="V10" s="1473"/>
      <c r="W10" s="1473"/>
      <c r="X10" s="1473"/>
      <c r="Y10" s="1473"/>
      <c r="Z10" s="1473"/>
      <c r="AA10" s="1473"/>
      <c r="AB10" s="1473"/>
      <c r="AC10" s="1473"/>
      <c r="AD10" s="1473"/>
      <c r="AE10" s="1473"/>
      <c r="AF10" s="1473"/>
    </row>
    <row r="12" spans="1:32" x14ac:dyDescent="0.25">
      <c r="B12" s="171" t="s">
        <v>11</v>
      </c>
      <c r="C12" s="171"/>
      <c r="D12" s="171"/>
      <c r="E12" s="171"/>
      <c r="F12" s="171"/>
      <c r="G12" s="171"/>
      <c r="H12" s="171"/>
      <c r="I12" s="171"/>
    </row>
    <row r="13" spans="1:32" ht="51.75" customHeight="1" x14ac:dyDescent="0.25">
      <c r="B13" s="1247" t="s">
        <v>2299</v>
      </c>
      <c r="C13" s="1247"/>
      <c r="D13" s="1247"/>
      <c r="E13" s="1247"/>
      <c r="F13" s="1247"/>
      <c r="G13" s="1247"/>
      <c r="H13" s="1247"/>
      <c r="I13" s="1247"/>
      <c r="J13" s="1247"/>
      <c r="K13" s="1247"/>
      <c r="L13" s="1247"/>
      <c r="M13" s="1247"/>
      <c r="N13" s="1247"/>
      <c r="O13" s="1247"/>
      <c r="P13" s="1247"/>
      <c r="Q13" s="1247"/>
      <c r="R13" s="1247"/>
      <c r="S13" s="1247"/>
      <c r="T13" s="1247"/>
      <c r="U13" s="1247"/>
      <c r="V13" s="1247"/>
      <c r="W13" s="1247"/>
      <c r="X13" s="1247"/>
      <c r="Y13" s="1247"/>
      <c r="Z13" s="1247"/>
      <c r="AA13" s="1247"/>
      <c r="AB13" s="1247"/>
      <c r="AC13" s="1247"/>
      <c r="AD13" s="1247"/>
      <c r="AE13" s="1247"/>
      <c r="AF13" s="1247"/>
    </row>
    <row r="14" spans="1:32" x14ac:dyDescent="0.25">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x14ac:dyDescent="0.25">
      <c r="B15" s="1247" t="s">
        <v>2300</v>
      </c>
      <c r="C15" s="1247"/>
      <c r="D15" s="1247"/>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row>
    <row r="17" spans="1:32" x14ac:dyDescent="0.25">
      <c r="B17" s="171" t="s">
        <v>12</v>
      </c>
      <c r="C17" s="171"/>
      <c r="D17" s="171"/>
      <c r="E17" s="171"/>
      <c r="F17" s="171"/>
      <c r="G17" s="171"/>
      <c r="H17" s="171"/>
      <c r="I17" s="171"/>
    </row>
    <row r="18" spans="1:32" x14ac:dyDescent="0.25">
      <c r="B18" s="1473" t="s">
        <v>3404</v>
      </c>
      <c r="C18" s="1473"/>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row>
    <row r="20" spans="1:32" x14ac:dyDescent="0.25">
      <c r="B20" s="171" t="s">
        <v>13</v>
      </c>
      <c r="C20" s="171"/>
      <c r="D20" s="171"/>
      <c r="E20" s="171"/>
      <c r="F20" s="171"/>
      <c r="G20" s="171"/>
      <c r="H20" s="171"/>
      <c r="I20" s="171"/>
    </row>
    <row r="21" spans="1:32" x14ac:dyDescent="0.25">
      <c r="B21" s="1473" t="s">
        <v>3405</v>
      </c>
      <c r="C21" s="1473"/>
      <c r="D21" s="1473"/>
      <c r="E21" s="1473"/>
      <c r="F21" s="1473"/>
      <c r="G21" s="1473"/>
      <c r="H21" s="1473"/>
      <c r="I21" s="1473"/>
      <c r="J21" s="1473"/>
      <c r="K21" s="1473"/>
      <c r="L21" s="1473"/>
      <c r="M21" s="1473"/>
      <c r="N21" s="1473"/>
      <c r="O21" s="1473"/>
      <c r="P21" s="1473"/>
      <c r="Q21" s="1473"/>
      <c r="R21" s="1473"/>
      <c r="S21" s="1473"/>
      <c r="T21" s="1473"/>
      <c r="U21" s="1473"/>
      <c r="V21" s="1473"/>
      <c r="W21" s="1473"/>
      <c r="X21" s="1473"/>
      <c r="Y21" s="1473"/>
      <c r="Z21" s="1473"/>
      <c r="AA21" s="1473"/>
      <c r="AB21" s="1473"/>
      <c r="AC21" s="1473"/>
      <c r="AD21" s="1473"/>
      <c r="AE21" s="1473"/>
      <c r="AF21" s="1473"/>
    </row>
    <row r="23" spans="1:32" x14ac:dyDescent="0.25">
      <c r="B23" s="171" t="s">
        <v>20</v>
      </c>
      <c r="C23" s="171"/>
      <c r="D23" s="171"/>
      <c r="E23" s="171"/>
      <c r="F23" s="171"/>
      <c r="G23" s="171"/>
      <c r="H23" s="171"/>
      <c r="I23" s="171"/>
    </row>
    <row r="24" spans="1:32" x14ac:dyDescent="0.25">
      <c r="B24" s="1473" t="s">
        <v>3406</v>
      </c>
      <c r="C24" s="1473"/>
      <c r="D24" s="1473"/>
      <c r="E24" s="1473"/>
      <c r="F24" s="1473"/>
      <c r="G24" s="1473"/>
      <c r="H24" s="1473"/>
      <c r="I24" s="1473"/>
      <c r="J24" s="1473"/>
      <c r="K24" s="1473"/>
      <c r="L24" s="1473"/>
      <c r="M24" s="1473"/>
      <c r="N24" s="1473"/>
      <c r="O24" s="1473"/>
      <c r="P24" s="1473"/>
      <c r="Q24" s="1473"/>
      <c r="R24" s="1473"/>
      <c r="S24" s="1473"/>
      <c r="T24" s="1473"/>
      <c r="U24" s="1473"/>
      <c r="V24" s="1473"/>
      <c r="W24" s="1473"/>
      <c r="X24" s="1473"/>
      <c r="Y24" s="1473"/>
      <c r="Z24" s="1473"/>
      <c r="AA24" s="1473"/>
      <c r="AB24" s="1473"/>
      <c r="AC24" s="1473"/>
      <c r="AD24" s="1473"/>
      <c r="AE24" s="1473"/>
      <c r="AF24" s="1473"/>
    </row>
    <row r="27" spans="1:32" x14ac:dyDescent="0.25">
      <c r="A27" s="1472" t="s">
        <v>14</v>
      </c>
      <c r="B27" s="1472"/>
      <c r="C27" s="1472"/>
      <c r="D27" s="1472"/>
      <c r="E27" s="1472"/>
      <c r="F27" s="1472"/>
      <c r="G27" s="1472"/>
      <c r="H27" s="1472"/>
      <c r="I27" s="1472"/>
      <c r="J27" s="1472"/>
      <c r="K27" s="1472"/>
      <c r="L27" s="1472"/>
      <c r="M27" s="1472"/>
      <c r="N27" s="1472"/>
      <c r="O27" s="1472"/>
      <c r="P27" s="1472"/>
      <c r="Q27" s="1472"/>
      <c r="R27" s="1472"/>
      <c r="S27" s="1472"/>
      <c r="T27" s="1472"/>
      <c r="U27" s="1472"/>
      <c r="V27" s="1472"/>
      <c r="W27" s="1472"/>
      <c r="X27" s="1472"/>
      <c r="Y27" s="1472"/>
      <c r="Z27" s="1472"/>
      <c r="AA27" s="1472"/>
      <c r="AB27" s="1472"/>
      <c r="AC27" s="1472"/>
      <c r="AD27" s="1472"/>
      <c r="AE27" s="1472"/>
      <c r="AF27" s="1472"/>
    </row>
    <row r="29" spans="1:32" x14ac:dyDescent="0.25">
      <c r="B29" s="171" t="s">
        <v>2303</v>
      </c>
    </row>
    <row r="31" spans="1:32" x14ac:dyDescent="0.25">
      <c r="AF31" s="204" t="s">
        <v>1705</v>
      </c>
    </row>
    <row r="33" spans="1:32" x14ac:dyDescent="0.25">
      <c r="A33" s="243"/>
      <c r="B33" s="171" t="s">
        <v>2194</v>
      </c>
      <c r="H33" s="204"/>
    </row>
    <row r="34" spans="1:32" x14ac:dyDescent="0.25">
      <c r="A34" s="243"/>
      <c r="B34" s="171"/>
      <c r="H34" s="204"/>
    </row>
    <row r="35" spans="1:32" x14ac:dyDescent="0.25">
      <c r="A35" s="243"/>
      <c r="B35" s="171"/>
      <c r="H35" s="204"/>
      <c r="AF35" s="204" t="s">
        <v>1706</v>
      </c>
    </row>
    <row r="36" spans="1:32" x14ac:dyDescent="0.25">
      <c r="A36" s="243"/>
      <c r="B36" s="171"/>
      <c r="H36" s="204"/>
    </row>
    <row r="37" spans="1:32" x14ac:dyDescent="0.25">
      <c r="A37" s="243"/>
      <c r="B37" s="171" t="s">
        <v>1998</v>
      </c>
      <c r="H37" s="204"/>
    </row>
    <row r="38" spans="1:32" x14ac:dyDescent="0.25">
      <c r="A38" s="243"/>
      <c r="B38" s="171"/>
      <c r="H38" s="204"/>
    </row>
    <row r="39" spans="1:32" x14ac:dyDescent="0.25">
      <c r="AF39" s="204" t="s">
        <v>1707</v>
      </c>
    </row>
    <row r="41" spans="1:32" x14ac:dyDescent="0.25">
      <c r="A41" s="1472" t="s">
        <v>15</v>
      </c>
      <c r="B41" s="1472"/>
      <c r="C41" s="1472"/>
      <c r="D41" s="1472"/>
      <c r="E41" s="1472"/>
      <c r="F41" s="1472"/>
      <c r="G41" s="1472"/>
      <c r="H41" s="1472"/>
      <c r="I41" s="1472"/>
      <c r="J41" s="1472"/>
      <c r="K41" s="1472"/>
      <c r="L41" s="1472"/>
      <c r="M41" s="1472"/>
      <c r="N41" s="1472"/>
      <c r="O41" s="1472"/>
      <c r="P41" s="1472"/>
      <c r="Q41" s="1472"/>
      <c r="R41" s="1472"/>
      <c r="S41" s="1472"/>
      <c r="T41" s="1472"/>
      <c r="U41" s="1472"/>
      <c r="V41" s="1472"/>
      <c r="W41" s="1472"/>
      <c r="X41" s="1472"/>
      <c r="Y41" s="1472"/>
      <c r="Z41" s="1472"/>
      <c r="AA41" s="1472"/>
      <c r="AB41" s="1472"/>
      <c r="AC41" s="1472"/>
      <c r="AD41" s="1472"/>
      <c r="AE41" s="1472"/>
      <c r="AF41" s="1472"/>
    </row>
    <row r="42" spans="1:32" x14ac:dyDescent="0.25">
      <c r="A42" s="1474" t="s">
        <v>16</v>
      </c>
      <c r="B42" s="1474"/>
      <c r="C42" s="1474"/>
      <c r="D42" s="1474"/>
      <c r="E42" s="1474" t="s">
        <v>10</v>
      </c>
      <c r="F42" s="1474"/>
      <c r="G42" s="1474"/>
      <c r="H42" s="1474"/>
      <c r="I42" s="1474"/>
      <c r="J42" s="1474"/>
      <c r="K42" s="1474"/>
      <c r="L42" s="1474"/>
      <c r="M42" s="1474"/>
      <c r="N42" s="1474"/>
      <c r="O42" s="1474"/>
      <c r="P42" s="1474"/>
      <c r="Q42" s="1474" t="s">
        <v>17</v>
      </c>
      <c r="R42" s="1474"/>
      <c r="S42" s="1474"/>
      <c r="T42" s="1474"/>
      <c r="U42" s="1474" t="s">
        <v>18</v>
      </c>
      <c r="V42" s="1474"/>
      <c r="W42" s="1474" t="s">
        <v>1708</v>
      </c>
      <c r="X42" s="1474"/>
      <c r="Y42" s="1474"/>
      <c r="Z42" s="1474"/>
      <c r="AA42" s="1474"/>
      <c r="AB42" s="1474"/>
      <c r="AC42" s="1474"/>
      <c r="AD42" s="1474"/>
      <c r="AE42" s="1474"/>
      <c r="AF42" s="1474"/>
    </row>
    <row r="43" spans="1:32" ht="55.5" customHeight="1" x14ac:dyDescent="0.25">
      <c r="A43" s="1485" t="s">
        <v>2306</v>
      </c>
      <c r="B43" s="1486"/>
      <c r="C43" s="1486"/>
      <c r="D43" s="1487"/>
      <c r="E43" s="1479" t="s">
        <v>287</v>
      </c>
      <c r="F43" s="1480"/>
      <c r="G43" s="1480"/>
      <c r="H43" s="1480"/>
      <c r="I43" s="1480"/>
      <c r="J43" s="1480"/>
      <c r="K43" s="1480"/>
      <c r="L43" s="1480"/>
      <c r="M43" s="1480"/>
      <c r="N43" s="1480"/>
      <c r="O43" s="1480"/>
      <c r="P43" s="1481"/>
      <c r="Q43" s="1482" t="s">
        <v>2304</v>
      </c>
      <c r="R43" s="1483"/>
      <c r="S43" s="1483"/>
      <c r="T43" s="1484"/>
      <c r="U43" s="1574" t="s">
        <v>291</v>
      </c>
      <c r="V43" s="1576"/>
      <c r="W43" s="1479" t="s">
        <v>2308</v>
      </c>
      <c r="X43" s="1480"/>
      <c r="Y43" s="1480"/>
      <c r="Z43" s="1480"/>
      <c r="AA43" s="1480"/>
      <c r="AB43" s="1480"/>
      <c r="AC43" s="1480"/>
      <c r="AD43" s="1480"/>
      <c r="AE43" s="1480"/>
      <c r="AF43" s="1481"/>
    </row>
    <row r="44" spans="1:32" ht="14.45" customHeight="1" x14ac:dyDescent="0.25">
      <c r="A44" s="1485" t="s">
        <v>167</v>
      </c>
      <c r="B44" s="1486"/>
      <c r="C44" s="1486"/>
      <c r="D44" s="1487"/>
      <c r="E44" s="1479" t="s">
        <v>292</v>
      </c>
      <c r="F44" s="1480"/>
      <c r="G44" s="1480"/>
      <c r="H44" s="1480"/>
      <c r="I44" s="1480"/>
      <c r="J44" s="1480"/>
      <c r="K44" s="1480"/>
      <c r="L44" s="1480"/>
      <c r="M44" s="1480"/>
      <c r="N44" s="1480"/>
      <c r="O44" s="1480"/>
      <c r="P44" s="1481"/>
      <c r="Q44" s="1733">
        <v>1000</v>
      </c>
      <c r="R44" s="1917"/>
      <c r="S44" s="1917"/>
      <c r="T44" s="1918"/>
      <c r="U44" s="1574" t="s">
        <v>293</v>
      </c>
      <c r="V44" s="1576"/>
      <c r="W44" s="1485"/>
      <c r="X44" s="1486"/>
      <c r="Y44" s="1486"/>
      <c r="Z44" s="1486"/>
      <c r="AA44" s="1486"/>
      <c r="AB44" s="1486"/>
      <c r="AC44" s="1486"/>
      <c r="AD44" s="1486"/>
      <c r="AE44" s="1486"/>
      <c r="AF44" s="1487"/>
    </row>
    <row r="45" spans="1:32" ht="33.75" customHeight="1" x14ac:dyDescent="0.25">
      <c r="A45" s="1485" t="s">
        <v>286</v>
      </c>
      <c r="B45" s="1486"/>
      <c r="C45" s="1486"/>
      <c r="D45" s="1487"/>
      <c r="E45" s="1479" t="s">
        <v>2356</v>
      </c>
      <c r="F45" s="1480"/>
      <c r="G45" s="1480"/>
      <c r="H45" s="1480"/>
      <c r="I45" s="1480"/>
      <c r="J45" s="1480"/>
      <c r="K45" s="1480"/>
      <c r="L45" s="1480"/>
      <c r="M45" s="1480"/>
      <c r="N45" s="1480"/>
      <c r="O45" s="1480"/>
      <c r="P45" s="1481"/>
      <c r="Q45" s="2518">
        <v>0.24</v>
      </c>
      <c r="R45" s="2519"/>
      <c r="S45" s="2519"/>
      <c r="T45" s="2520"/>
      <c r="U45" s="1574" t="s">
        <v>28</v>
      </c>
      <c r="V45" s="1576"/>
      <c r="W45" s="1479" t="s">
        <v>2305</v>
      </c>
      <c r="X45" s="1480"/>
      <c r="Y45" s="1480"/>
      <c r="Z45" s="1480"/>
      <c r="AA45" s="1480"/>
      <c r="AB45" s="1480"/>
      <c r="AC45" s="1480"/>
      <c r="AD45" s="1480"/>
      <c r="AE45" s="1480"/>
      <c r="AF45" s="1481"/>
    </row>
    <row r="46" spans="1:32" ht="33.75" customHeight="1" x14ac:dyDescent="0.25">
      <c r="A46" s="1485" t="s">
        <v>1760</v>
      </c>
      <c r="B46" s="1486"/>
      <c r="C46" s="1486"/>
      <c r="D46" s="1487"/>
      <c r="E46" s="2489" t="s">
        <v>2031</v>
      </c>
      <c r="F46" s="2489"/>
      <c r="G46" s="2489"/>
      <c r="H46" s="2489"/>
      <c r="I46" s="2489"/>
      <c r="J46" s="2489"/>
      <c r="K46" s="2489"/>
      <c r="L46" s="2489"/>
      <c r="M46" s="2489"/>
      <c r="N46" s="2489"/>
      <c r="O46" s="2489"/>
      <c r="P46" s="2489"/>
      <c r="Q46" s="2493">
        <f>C_Light_General!$Q$73</f>
        <v>0.98</v>
      </c>
      <c r="R46" s="2494"/>
      <c r="S46" s="2494"/>
      <c r="T46" s="2495"/>
      <c r="U46" s="2496" t="s">
        <v>28</v>
      </c>
      <c r="V46" s="1606"/>
      <c r="W46" s="1479" t="s">
        <v>1757</v>
      </c>
      <c r="X46" s="1480"/>
      <c r="Y46" s="1480"/>
      <c r="Z46" s="1480"/>
      <c r="AA46" s="1480"/>
      <c r="AB46" s="1480"/>
      <c r="AC46" s="1480"/>
      <c r="AD46" s="1480"/>
      <c r="AE46" s="1480"/>
      <c r="AF46" s="1481"/>
    </row>
    <row r="47" spans="1:32" ht="96" customHeight="1" x14ac:dyDescent="0.25">
      <c r="A47" s="1485" t="s">
        <v>29</v>
      </c>
      <c r="B47" s="1486"/>
      <c r="C47" s="1486"/>
      <c r="D47" s="1487"/>
      <c r="E47" s="1479" t="s">
        <v>104</v>
      </c>
      <c r="F47" s="1480"/>
      <c r="G47" s="1480"/>
      <c r="H47" s="1480"/>
      <c r="I47" s="1480"/>
      <c r="J47" s="1480"/>
      <c r="K47" s="1480"/>
      <c r="L47" s="1480"/>
      <c r="M47" s="1480"/>
      <c r="N47" s="1480"/>
      <c r="O47" s="1480"/>
      <c r="P47" s="1481"/>
      <c r="Q47" s="2518" t="s">
        <v>626</v>
      </c>
      <c r="R47" s="2519"/>
      <c r="S47" s="2519"/>
      <c r="T47" s="2520"/>
      <c r="U47" s="1574" t="s">
        <v>28</v>
      </c>
      <c r="V47" s="1576"/>
      <c r="W47" s="1479" t="s">
        <v>3062</v>
      </c>
      <c r="X47" s="1480"/>
      <c r="Y47" s="1480"/>
      <c r="Z47" s="1480"/>
      <c r="AA47" s="1480"/>
      <c r="AB47" s="1480"/>
      <c r="AC47" s="1480"/>
      <c r="AD47" s="1480"/>
      <c r="AE47" s="1480"/>
      <c r="AF47" s="1481"/>
    </row>
    <row r="48" spans="1:32" ht="49.5" customHeight="1" x14ac:dyDescent="0.25">
      <c r="A48" s="1485" t="s">
        <v>32</v>
      </c>
      <c r="B48" s="1486"/>
      <c r="C48" s="1486"/>
      <c r="D48" s="1487"/>
      <c r="E48" s="1479" t="s">
        <v>288</v>
      </c>
      <c r="F48" s="1480"/>
      <c r="G48" s="1480"/>
      <c r="H48" s="1480"/>
      <c r="I48" s="1480"/>
      <c r="J48" s="1480"/>
      <c r="K48" s="1480"/>
      <c r="L48" s="1480"/>
      <c r="M48" s="1480"/>
      <c r="N48" s="1480"/>
      <c r="O48" s="1480"/>
      <c r="P48" s="1481"/>
      <c r="Q48" s="1733" t="s">
        <v>626</v>
      </c>
      <c r="R48" s="1917"/>
      <c r="S48" s="1917"/>
      <c r="T48" s="1918"/>
      <c r="U48" s="1574" t="s">
        <v>45</v>
      </c>
      <c r="V48" s="1576"/>
      <c r="W48" s="1479" t="s">
        <v>3063</v>
      </c>
      <c r="X48" s="1480"/>
      <c r="Y48" s="1480"/>
      <c r="Z48" s="1480"/>
      <c r="AA48" s="1480"/>
      <c r="AB48" s="1480"/>
      <c r="AC48" s="1480"/>
      <c r="AD48" s="1480"/>
      <c r="AE48" s="1480"/>
      <c r="AF48" s="1481"/>
    </row>
    <row r="49" spans="1:32" ht="105" customHeight="1" x14ac:dyDescent="0.25">
      <c r="A49" s="1485" t="s">
        <v>1766</v>
      </c>
      <c r="B49" s="1486"/>
      <c r="C49" s="1486"/>
      <c r="D49" s="1487"/>
      <c r="E49" s="2498" t="s">
        <v>1769</v>
      </c>
      <c r="F49" s="1480"/>
      <c r="G49" s="1480"/>
      <c r="H49" s="1480"/>
      <c r="I49" s="1480"/>
      <c r="J49" s="1480"/>
      <c r="K49" s="1480"/>
      <c r="L49" s="1480"/>
      <c r="M49" s="1480"/>
      <c r="N49" s="1480"/>
      <c r="O49" s="1480"/>
      <c r="P49" s="1481"/>
      <c r="Q49" s="1574" t="s">
        <v>626</v>
      </c>
      <c r="R49" s="1575"/>
      <c r="S49" s="1575"/>
      <c r="T49" s="1576"/>
      <c r="U49" s="1574" t="s">
        <v>28</v>
      </c>
      <c r="V49" s="1576"/>
      <c r="W49" s="1479" t="s">
        <v>3061</v>
      </c>
      <c r="X49" s="1480"/>
      <c r="Y49" s="1480"/>
      <c r="Z49" s="1480"/>
      <c r="AA49" s="1480"/>
      <c r="AB49" s="1480"/>
      <c r="AC49" s="1480"/>
      <c r="AD49" s="1480"/>
      <c r="AE49" s="1480"/>
      <c r="AF49" s="1481"/>
    </row>
    <row r="50" spans="1:32" ht="106.5" customHeight="1" x14ac:dyDescent="0.25">
      <c r="A50" s="1485" t="s">
        <v>1767</v>
      </c>
      <c r="B50" s="1486"/>
      <c r="C50" s="1486"/>
      <c r="D50" s="1487"/>
      <c r="E50" s="1479" t="s">
        <v>289</v>
      </c>
      <c r="F50" s="1480"/>
      <c r="G50" s="1480"/>
      <c r="H50" s="1480"/>
      <c r="I50" s="1480"/>
      <c r="J50" s="1480"/>
      <c r="K50" s="1480"/>
      <c r="L50" s="1480"/>
      <c r="M50" s="1480"/>
      <c r="N50" s="1480"/>
      <c r="O50" s="1480"/>
      <c r="P50" s="1481"/>
      <c r="Q50" s="1574" t="s">
        <v>626</v>
      </c>
      <c r="R50" s="1575"/>
      <c r="S50" s="1575"/>
      <c r="T50" s="1576"/>
      <c r="U50" s="1574" t="s">
        <v>28</v>
      </c>
      <c r="V50" s="1576"/>
      <c r="W50" s="1479" t="s">
        <v>3061</v>
      </c>
      <c r="X50" s="1480"/>
      <c r="Y50" s="1480"/>
      <c r="Z50" s="1480"/>
      <c r="AA50" s="1480"/>
      <c r="AB50" s="1480"/>
      <c r="AC50" s="1480"/>
      <c r="AD50" s="1480"/>
      <c r="AE50" s="1480"/>
      <c r="AF50" s="1481"/>
    </row>
    <row r="51" spans="1:32" ht="30.75" customHeight="1" x14ac:dyDescent="0.25">
      <c r="A51" s="1485" t="s">
        <v>42</v>
      </c>
      <c r="B51" s="1486"/>
      <c r="C51" s="1486"/>
      <c r="D51" s="1487"/>
      <c r="E51" s="1479" t="s">
        <v>865</v>
      </c>
      <c r="F51" s="1480"/>
      <c r="G51" s="1480"/>
      <c r="H51" s="1480"/>
      <c r="I51" s="1480"/>
      <c r="J51" s="1480"/>
      <c r="K51" s="1480"/>
      <c r="L51" s="1480"/>
      <c r="M51" s="1480"/>
      <c r="N51" s="1480"/>
      <c r="O51" s="1480"/>
      <c r="P51" s="1481"/>
      <c r="Q51" s="2518">
        <v>1</v>
      </c>
      <c r="R51" s="2519"/>
      <c r="S51" s="2519"/>
      <c r="T51" s="2520"/>
      <c r="U51" s="1574" t="s">
        <v>28</v>
      </c>
      <c r="V51" s="1576"/>
      <c r="W51" s="1479" t="s">
        <v>2206</v>
      </c>
      <c r="X51" s="1480"/>
      <c r="Y51" s="1480"/>
      <c r="Z51" s="1480"/>
      <c r="AA51" s="1480"/>
      <c r="AB51" s="1480"/>
      <c r="AC51" s="1480"/>
      <c r="AD51" s="1480"/>
      <c r="AE51" s="1480"/>
      <c r="AF51" s="1481"/>
    </row>
    <row r="52" spans="1:32" ht="39" customHeight="1" x14ac:dyDescent="0.25">
      <c r="A52" s="1485" t="s">
        <v>2052</v>
      </c>
      <c r="B52" s="1486" t="s">
        <v>34</v>
      </c>
      <c r="C52" s="1486" t="s">
        <v>34</v>
      </c>
      <c r="D52" s="1487" t="s">
        <v>34</v>
      </c>
      <c r="E52" s="2489" t="s">
        <v>2307</v>
      </c>
      <c r="F52" s="2489"/>
      <c r="G52" s="2489"/>
      <c r="H52" s="2489"/>
      <c r="I52" s="2489"/>
      <c r="J52" s="2489"/>
      <c r="K52" s="2489"/>
      <c r="L52" s="2489"/>
      <c r="M52" s="2489"/>
      <c r="N52" s="2489"/>
      <c r="O52" s="2489"/>
      <c r="P52" s="2489"/>
      <c r="Q52" s="1574">
        <f>'Master EUL'!X73</f>
        <v>8</v>
      </c>
      <c r="R52" s="1575"/>
      <c r="S52" s="1575"/>
      <c r="T52" s="1576"/>
      <c r="U52" s="1574" t="s">
        <v>46</v>
      </c>
      <c r="V52" s="1576"/>
      <c r="W52" s="1479" t="s">
        <v>2305</v>
      </c>
      <c r="X52" s="1480"/>
      <c r="Y52" s="1480"/>
      <c r="Z52" s="1480"/>
      <c r="AA52" s="1480"/>
      <c r="AB52" s="1480"/>
      <c r="AC52" s="1480"/>
      <c r="AD52" s="1480"/>
      <c r="AE52" s="1480"/>
      <c r="AF52" s="1481"/>
    </row>
    <row r="53" spans="1:32" ht="39" customHeight="1" x14ac:dyDescent="0.25">
      <c r="A53" s="1601" t="s">
        <v>3064</v>
      </c>
      <c r="B53" s="1601"/>
      <c r="C53" s="1601"/>
      <c r="D53" s="1601"/>
      <c r="E53" s="1601"/>
      <c r="F53" s="1601"/>
      <c r="G53" s="1601"/>
      <c r="H53" s="1601"/>
      <c r="I53" s="1601"/>
      <c r="J53" s="1601"/>
      <c r="K53" s="1601"/>
      <c r="L53" s="1601"/>
      <c r="M53" s="1601"/>
      <c r="N53" s="1601"/>
      <c r="O53" s="1601"/>
      <c r="P53" s="1601"/>
      <c r="Q53" s="1601"/>
      <c r="R53" s="1601"/>
      <c r="S53" s="1601"/>
      <c r="T53" s="1601"/>
      <c r="U53" s="1601"/>
      <c r="V53" s="1601"/>
      <c r="W53" s="1601"/>
      <c r="X53" s="1601"/>
      <c r="Y53" s="1601"/>
      <c r="Z53" s="1601"/>
      <c r="AA53" s="1601"/>
      <c r="AB53" s="1601"/>
      <c r="AC53" s="1601"/>
      <c r="AD53" s="1601"/>
      <c r="AE53" s="1601"/>
      <c r="AF53" s="1601"/>
    </row>
    <row r="54" spans="1:32" ht="30.75" customHeight="1" x14ac:dyDescent="0.25">
      <c r="A54" s="1238" t="s">
        <v>2064</v>
      </c>
      <c r="B54" s="1238"/>
      <c r="C54" s="1238"/>
      <c r="D54" s="1238"/>
      <c r="E54" s="1238"/>
      <c r="F54" s="1238"/>
      <c r="G54" s="1238"/>
      <c r="H54" s="1238"/>
      <c r="I54" s="1238"/>
      <c r="J54" s="1238"/>
      <c r="K54" s="1238"/>
      <c r="L54" s="1238"/>
      <c r="M54" s="1238"/>
      <c r="N54" s="1238"/>
      <c r="O54" s="1238"/>
      <c r="P54" s="1238"/>
      <c r="Q54" s="1238"/>
      <c r="R54" s="1238"/>
      <c r="S54" s="1238"/>
      <c r="T54" s="1238"/>
      <c r="U54" s="1238"/>
      <c r="V54" s="1238"/>
      <c r="W54" s="1238"/>
      <c r="X54" s="1238"/>
      <c r="Y54" s="1238"/>
      <c r="Z54" s="1238"/>
      <c r="AA54" s="1238"/>
      <c r="AB54" s="1238"/>
      <c r="AC54" s="1238"/>
      <c r="AD54" s="1238"/>
      <c r="AE54" s="1238"/>
      <c r="AF54" s="1238"/>
    </row>
    <row r="55" spans="1:32" ht="30.75" customHeight="1" x14ac:dyDescent="0.25">
      <c r="A55" s="1415" t="s">
        <v>2065</v>
      </c>
      <c r="B55" s="1415"/>
      <c r="C55" s="1415"/>
      <c r="D55" s="1415"/>
      <c r="E55" s="1415"/>
      <c r="F55" s="1415"/>
      <c r="G55" s="1415"/>
      <c r="H55" s="1415"/>
      <c r="I55" s="1415"/>
      <c r="J55" s="1415"/>
      <c r="K55" s="1415"/>
      <c r="L55" s="1415"/>
      <c r="M55" s="1415"/>
      <c r="N55" s="1415"/>
      <c r="O55" s="1415"/>
      <c r="P55" s="1415"/>
      <c r="Q55" s="1415"/>
      <c r="R55" s="1415"/>
      <c r="S55" s="1415"/>
      <c r="T55" s="1415"/>
      <c r="U55" s="1415"/>
      <c r="V55" s="1415"/>
      <c r="W55" s="1415"/>
      <c r="X55" s="1415"/>
      <c r="Y55" s="1415"/>
      <c r="Z55" s="1415"/>
      <c r="AA55" s="1415"/>
      <c r="AB55" s="1415"/>
      <c r="AC55" s="1415"/>
      <c r="AD55" s="1415"/>
      <c r="AE55" s="1415"/>
      <c r="AF55" s="1415"/>
    </row>
    <row r="56" spans="1:32" x14ac:dyDescent="0.25">
      <c r="A56" s="463"/>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c r="AA56" s="463"/>
      <c r="AB56" s="463"/>
      <c r="AC56" s="463"/>
      <c r="AD56" s="463"/>
      <c r="AE56" s="463"/>
      <c r="AF56" s="463"/>
    </row>
    <row r="57" spans="1:32" x14ac:dyDescent="0.25">
      <c r="A57" s="1687" t="s">
        <v>2958</v>
      </c>
      <c r="B57" s="1687"/>
      <c r="C57" s="1687"/>
      <c r="D57" s="1687"/>
      <c r="E57" s="1687"/>
      <c r="F57" s="1687"/>
      <c r="G57" s="1687"/>
      <c r="H57" s="1687"/>
      <c r="I57" s="1687"/>
      <c r="J57" s="1687"/>
      <c r="K57" s="1687"/>
      <c r="L57" s="1687"/>
      <c r="M57" s="1687"/>
      <c r="N57" s="1687"/>
      <c r="O57" s="1687"/>
      <c r="P57" s="1687"/>
      <c r="Q57" s="1687"/>
      <c r="R57" s="1687"/>
      <c r="S57" s="1687"/>
      <c r="T57" s="1687"/>
    </row>
    <row r="58" spans="1:32" ht="17.25" customHeight="1" x14ac:dyDescent="0.25">
      <c r="A58" s="2240"/>
      <c r="B58" s="2240"/>
      <c r="C58" s="2240"/>
      <c r="D58" s="2240"/>
      <c r="E58" s="2240"/>
      <c r="F58" s="2240"/>
      <c r="G58" s="2240"/>
      <c r="H58" s="2240"/>
      <c r="I58" s="2240"/>
      <c r="J58" s="2240"/>
      <c r="K58" s="2240"/>
      <c r="L58" s="2240"/>
      <c r="M58" s="2240"/>
      <c r="N58" s="2240"/>
      <c r="O58" s="2240"/>
      <c r="P58" s="2240"/>
      <c r="Q58" s="2240"/>
      <c r="R58" s="2240"/>
      <c r="S58" s="2240"/>
      <c r="T58" s="2240"/>
    </row>
    <row r="59" spans="1:32" ht="33.75" customHeight="1" x14ac:dyDescent="0.25">
      <c r="A59" s="1603" t="s">
        <v>54</v>
      </c>
      <c r="B59" s="1603"/>
      <c r="C59" s="1603"/>
      <c r="D59" s="1603"/>
      <c r="E59" s="1603" t="s">
        <v>29</v>
      </c>
      <c r="F59" s="1603"/>
      <c r="G59" s="1603"/>
      <c r="H59" s="1603"/>
      <c r="I59" s="1603" t="s">
        <v>32</v>
      </c>
      <c r="J59" s="1603"/>
      <c r="K59" s="1603"/>
      <c r="L59" s="1603"/>
      <c r="M59" s="1603" t="s">
        <v>2311</v>
      </c>
      <c r="N59" s="1603"/>
      <c r="O59" s="1603"/>
      <c r="P59" s="1603"/>
      <c r="Q59" s="1603" t="s">
        <v>2314</v>
      </c>
      <c r="R59" s="1603"/>
      <c r="S59" s="1603"/>
      <c r="T59" s="1603"/>
      <c r="U59" s="1603" t="s">
        <v>2312</v>
      </c>
      <c r="V59" s="1603"/>
      <c r="W59" s="1603"/>
      <c r="X59" s="1603"/>
      <c r="Y59" s="1590" t="s">
        <v>1888</v>
      </c>
      <c r="Z59" s="1591"/>
      <c r="AA59" s="1591"/>
      <c r="AB59" s="1591"/>
      <c r="AC59" s="1591"/>
      <c r="AD59" s="1591"/>
      <c r="AE59" s="1591"/>
      <c r="AF59" s="1751"/>
    </row>
    <row r="60" spans="1:32" ht="91.5" customHeight="1" x14ac:dyDescent="0.25">
      <c r="A60" s="2657" t="s">
        <v>1984</v>
      </c>
      <c r="B60" s="2657"/>
      <c r="C60" s="2657"/>
      <c r="D60" s="2657"/>
      <c r="E60" s="1604">
        <f>SUMPRODUCT(E61:H70,$U$61:$X$70)</f>
        <v>0.34348080241173395</v>
      </c>
      <c r="F60" s="1604"/>
      <c r="G60" s="1604"/>
      <c r="H60" s="1604"/>
      <c r="I60" s="1600">
        <f>SUMPRODUCT(I61:L70,$U$61:$X$70)</f>
        <v>2427.7497378053185</v>
      </c>
      <c r="J60" s="1600"/>
      <c r="K60" s="1600"/>
      <c r="L60" s="1600"/>
      <c r="M60" s="1604">
        <f>SUMPRODUCT(M61:P70,$U$61:$X$70)</f>
        <v>1.0993977568753528</v>
      </c>
      <c r="N60" s="1604"/>
      <c r="O60" s="1604"/>
      <c r="P60" s="1604"/>
      <c r="Q60" s="1604">
        <f>SUMPRODUCT(Q61:T70,$U$61:$X$70)</f>
        <v>1.1332276233869427</v>
      </c>
      <c r="R60" s="1604"/>
      <c r="S60" s="1604"/>
      <c r="T60" s="1604"/>
      <c r="U60" s="2658" t="s">
        <v>28</v>
      </c>
      <c r="V60" s="1604"/>
      <c r="W60" s="1604"/>
      <c r="X60" s="1604"/>
      <c r="Y60" s="1479" t="s">
        <v>2310</v>
      </c>
      <c r="Z60" s="1480"/>
      <c r="AA60" s="1480"/>
      <c r="AB60" s="1480"/>
      <c r="AC60" s="1480"/>
      <c r="AD60" s="1480"/>
      <c r="AE60" s="1480"/>
      <c r="AF60" s="1481"/>
    </row>
    <row r="61" spans="1:32" ht="15" customHeight="1" x14ac:dyDescent="0.25">
      <c r="A61" s="2657" t="s">
        <v>221</v>
      </c>
      <c r="B61" s="2657"/>
      <c r="C61" s="2657"/>
      <c r="D61" s="2657"/>
      <c r="E61" s="1604">
        <f>C_Light_General!AD124</f>
        <v>0.2</v>
      </c>
      <c r="F61" s="1604"/>
      <c r="G61" s="1604"/>
      <c r="H61" s="1604"/>
      <c r="I61" s="1600">
        <f>C_Light_General!O168</f>
        <v>4700</v>
      </c>
      <c r="J61" s="1600"/>
      <c r="K61" s="1600"/>
      <c r="L61" s="1600"/>
      <c r="M61" s="1604">
        <f>(C_Light_General!Z147-1)*0.5+1</f>
        <v>1.125</v>
      </c>
      <c r="N61" s="1604"/>
      <c r="O61" s="1604"/>
      <c r="P61" s="1604"/>
      <c r="Q61" s="1604">
        <f>(C_Light_General!AD147-1)*0.5+1</f>
        <v>1.31</v>
      </c>
      <c r="R61" s="1604"/>
      <c r="S61" s="1604"/>
      <c r="T61" s="1604"/>
      <c r="U61" s="2644">
        <v>0</v>
      </c>
      <c r="V61" s="2645"/>
      <c r="W61" s="2645"/>
      <c r="X61" s="2646"/>
      <c r="Y61" s="2647" t="s">
        <v>2309</v>
      </c>
      <c r="Z61" s="2648"/>
      <c r="AA61" s="2648"/>
      <c r="AB61" s="2648"/>
      <c r="AC61" s="2648"/>
      <c r="AD61" s="2648"/>
      <c r="AE61" s="2648"/>
      <c r="AF61" s="2649"/>
    </row>
    <row r="62" spans="1:32" x14ac:dyDescent="0.25">
      <c r="A62" s="2657" t="s">
        <v>222</v>
      </c>
      <c r="B62" s="2657"/>
      <c r="C62" s="2657"/>
      <c r="D62" s="2657"/>
      <c r="E62" s="1604">
        <f>C_Light_General!AD125</f>
        <v>0.32</v>
      </c>
      <c r="F62" s="1604"/>
      <c r="G62" s="1604"/>
      <c r="H62" s="1604"/>
      <c r="I62" s="1600">
        <f>C_Light_General!O169</f>
        <v>1702</v>
      </c>
      <c r="J62" s="1600"/>
      <c r="K62" s="1600"/>
      <c r="L62" s="1600"/>
      <c r="M62" s="1604">
        <f>(C_Light_General!Z148-1)*0.5+1</f>
        <v>1.155</v>
      </c>
      <c r="N62" s="1604"/>
      <c r="O62" s="1604"/>
      <c r="P62" s="1604"/>
      <c r="Q62" s="1604">
        <f>(C_Light_General!AD148-1)*0.5+1</f>
        <v>1.125</v>
      </c>
      <c r="R62" s="1604"/>
      <c r="S62" s="1604"/>
      <c r="T62" s="1604"/>
      <c r="U62" s="2644">
        <v>1.8609193226736456E-2</v>
      </c>
      <c r="V62" s="2645"/>
      <c r="W62" s="2645"/>
      <c r="X62" s="2646"/>
      <c r="Y62" s="2650"/>
      <c r="Z62" s="2651"/>
      <c r="AA62" s="2651"/>
      <c r="AB62" s="2651"/>
      <c r="AC62" s="2651"/>
      <c r="AD62" s="2651"/>
      <c r="AE62" s="2651"/>
      <c r="AF62" s="2652"/>
    </row>
    <row r="63" spans="1:32" x14ac:dyDescent="0.25">
      <c r="A63" s="2657" t="s">
        <v>223</v>
      </c>
      <c r="B63" s="2657"/>
      <c r="C63" s="2657"/>
      <c r="D63" s="2657"/>
      <c r="E63" s="1604">
        <f>C_Light_General!AD126</f>
        <v>0.68</v>
      </c>
      <c r="F63" s="1604"/>
      <c r="G63" s="1604"/>
      <c r="H63" s="1604"/>
      <c r="I63" s="1600">
        <f>C_Light_General!O170</f>
        <v>4770</v>
      </c>
      <c r="J63" s="1600"/>
      <c r="K63" s="1600"/>
      <c r="L63" s="1600"/>
      <c r="M63" s="1604">
        <f>(C_Light_General!Z149-1)*0.5+1</f>
        <v>1.0449999999999999</v>
      </c>
      <c r="N63" s="1604"/>
      <c r="O63" s="1604"/>
      <c r="P63" s="1604"/>
      <c r="Q63" s="1604">
        <f>(C_Light_General!AD149-1)*0.5+1</f>
        <v>1.0699999999999998</v>
      </c>
      <c r="R63" s="1604"/>
      <c r="S63" s="1604"/>
      <c r="T63" s="1604"/>
      <c r="U63" s="2644">
        <v>2.171072543119253E-2</v>
      </c>
      <c r="V63" s="2645"/>
      <c r="W63" s="2645"/>
      <c r="X63" s="2646"/>
      <c r="Y63" s="2650"/>
      <c r="Z63" s="2651"/>
      <c r="AA63" s="2651"/>
      <c r="AB63" s="2651"/>
      <c r="AC63" s="2651"/>
      <c r="AD63" s="2651"/>
      <c r="AE63" s="2651"/>
      <c r="AF63" s="2652"/>
    </row>
    <row r="64" spans="1:32" x14ac:dyDescent="0.25">
      <c r="A64" s="2657" t="s">
        <v>224</v>
      </c>
      <c r="B64" s="2657"/>
      <c r="C64" s="2657"/>
      <c r="D64" s="2657"/>
      <c r="E64" s="1604">
        <f>C_Light_General!AD127</f>
        <v>0.63</v>
      </c>
      <c r="F64" s="1604"/>
      <c r="G64" s="1604"/>
      <c r="H64" s="1604"/>
      <c r="I64" s="1600">
        <f>C_Light_General!O171</f>
        <v>5100</v>
      </c>
      <c r="J64" s="1600"/>
      <c r="K64" s="1600"/>
      <c r="L64" s="1600"/>
      <c r="M64" s="1604">
        <f>(C_Light_General!Z150-1)*0.5+1</f>
        <v>1.1200000000000001</v>
      </c>
      <c r="N64" s="1604"/>
      <c r="O64" s="1604"/>
      <c r="P64" s="1604"/>
      <c r="Q64" s="1604">
        <f>(C_Light_General!AD150-1)*0.5+1</f>
        <v>1.075</v>
      </c>
      <c r="R64" s="1604"/>
      <c r="S64" s="1604"/>
      <c r="T64" s="1604"/>
      <c r="U64" s="2644">
        <v>0.20780265769855705</v>
      </c>
      <c r="V64" s="2645"/>
      <c r="W64" s="2645"/>
      <c r="X64" s="2646"/>
      <c r="Y64" s="2650"/>
      <c r="Z64" s="2651"/>
      <c r="AA64" s="2651"/>
      <c r="AB64" s="2651"/>
      <c r="AC64" s="2651"/>
      <c r="AD64" s="2651"/>
      <c r="AE64" s="2651"/>
      <c r="AF64" s="2652"/>
    </row>
    <row r="65" spans="1:59" x14ac:dyDescent="0.25">
      <c r="A65" s="2657" t="s">
        <v>225</v>
      </c>
      <c r="B65" s="2657"/>
      <c r="C65" s="2657"/>
      <c r="D65" s="2657"/>
      <c r="E65" s="1604">
        <f>C_Light_General!AD128</f>
        <v>0.23</v>
      </c>
      <c r="F65" s="1604"/>
      <c r="G65" s="1604"/>
      <c r="H65" s="1604"/>
      <c r="I65" s="1600">
        <f>C_Light_General!O172</f>
        <v>1130</v>
      </c>
      <c r="J65" s="1600"/>
      <c r="K65" s="1600"/>
      <c r="L65" s="1600"/>
      <c r="M65" s="1604">
        <f>(C_Light_General!Z151-1)*0.5+1</f>
        <v>1.135</v>
      </c>
      <c r="N65" s="1604"/>
      <c r="O65" s="1604"/>
      <c r="P65" s="1604"/>
      <c r="Q65" s="1604">
        <f>(C_Light_General!AD151-1)*0.5+1</f>
        <v>1.1800000000000002</v>
      </c>
      <c r="R65" s="1604"/>
      <c r="S65" s="1604"/>
      <c r="T65" s="1604"/>
      <c r="U65" s="2644">
        <v>0.38136593599615237</v>
      </c>
      <c r="V65" s="2645"/>
      <c r="W65" s="2645"/>
      <c r="X65" s="2646"/>
      <c r="Y65" s="2650"/>
      <c r="Z65" s="2651"/>
      <c r="AA65" s="2651"/>
      <c r="AB65" s="2651"/>
      <c r="AC65" s="2651"/>
      <c r="AD65" s="2651"/>
      <c r="AE65" s="2651"/>
      <c r="AF65" s="2652"/>
    </row>
    <row r="66" spans="1:59" x14ac:dyDescent="0.25">
      <c r="A66" s="2657" t="s">
        <v>226</v>
      </c>
      <c r="B66" s="2657"/>
      <c r="C66" s="2657"/>
      <c r="D66" s="2657"/>
      <c r="E66" s="1604">
        <f>C_Light_General!AD129</f>
        <v>0.59</v>
      </c>
      <c r="F66" s="1604"/>
      <c r="G66" s="1604"/>
      <c r="H66" s="1604"/>
      <c r="I66" s="1600">
        <f>C_Light_General!O173</f>
        <v>2305</v>
      </c>
      <c r="J66" s="1600"/>
      <c r="K66" s="1600"/>
      <c r="L66" s="1600"/>
      <c r="M66" s="1604">
        <f>(C_Light_General!Z152-1)*0.5+1</f>
        <v>1.1000000000000001</v>
      </c>
      <c r="N66" s="1604"/>
      <c r="O66" s="1604"/>
      <c r="P66" s="1604"/>
      <c r="Q66" s="1604">
        <f>(C_Light_General!AD152-1)*0.5+1</f>
        <v>1.0649999999999999</v>
      </c>
      <c r="R66" s="1604"/>
      <c r="S66" s="1604"/>
      <c r="T66" s="1604"/>
      <c r="U66" s="2644">
        <v>7.753830511140189E-3</v>
      </c>
      <c r="V66" s="2645"/>
      <c r="W66" s="2645"/>
      <c r="X66" s="2646"/>
      <c r="Y66" s="2650"/>
      <c r="Z66" s="2651"/>
      <c r="AA66" s="2651"/>
      <c r="AB66" s="2651"/>
      <c r="AC66" s="2651"/>
      <c r="AD66" s="2651"/>
      <c r="AE66" s="2651"/>
      <c r="AF66" s="2652"/>
    </row>
    <row r="67" spans="1:59" x14ac:dyDescent="0.25">
      <c r="A67" s="2657" t="s">
        <v>55</v>
      </c>
      <c r="B67" s="2657"/>
      <c r="C67" s="2657"/>
      <c r="D67" s="2657"/>
      <c r="E67" s="1604">
        <f>C_Light_General!AD130</f>
        <v>0.25</v>
      </c>
      <c r="F67" s="1604"/>
      <c r="G67" s="1604"/>
      <c r="H67" s="1604"/>
      <c r="I67" s="1600">
        <f>C_Light_General!O174</f>
        <v>1980</v>
      </c>
      <c r="J67" s="1600"/>
      <c r="K67" s="1600"/>
      <c r="L67" s="1600"/>
      <c r="M67" s="1604">
        <f>(C_Light_General!Z153-1)*0.5+1</f>
        <v>1.0350000000000001</v>
      </c>
      <c r="N67" s="1604"/>
      <c r="O67" s="1604"/>
      <c r="P67" s="1604"/>
      <c r="Q67" s="1604">
        <f>(C_Light_General!AD153-1)*0.5+1</f>
        <v>1.1299999999999999</v>
      </c>
      <c r="R67" s="1604"/>
      <c r="S67" s="1604"/>
      <c r="T67" s="1604"/>
      <c r="U67" s="2644">
        <v>0.31934352120828086</v>
      </c>
      <c r="V67" s="2645"/>
      <c r="W67" s="2645"/>
      <c r="X67" s="2646"/>
      <c r="Y67" s="2650"/>
      <c r="Z67" s="2651"/>
      <c r="AA67" s="2651"/>
      <c r="AB67" s="2651"/>
      <c r="AC67" s="2651"/>
      <c r="AD67" s="2651"/>
      <c r="AE67" s="2651"/>
      <c r="AF67" s="2652"/>
    </row>
    <row r="68" spans="1:59" x14ac:dyDescent="0.25">
      <c r="A68" s="2657" t="s">
        <v>227</v>
      </c>
      <c r="B68" s="2657"/>
      <c r="C68" s="2657"/>
      <c r="D68" s="2657"/>
      <c r="E68" s="1604">
        <f>C_Light_General!AD131</f>
        <v>0.49</v>
      </c>
      <c r="F68" s="1604"/>
      <c r="G68" s="1604"/>
      <c r="H68" s="1604"/>
      <c r="I68" s="1600">
        <f>C_Light_General!O175</f>
        <v>3500</v>
      </c>
      <c r="J68" s="1600"/>
      <c r="K68" s="1600"/>
      <c r="L68" s="1600"/>
      <c r="M68" s="1604">
        <f>(C_Light_General!Z154-1)*0.5+1</f>
        <v>1.1200000000000001</v>
      </c>
      <c r="N68" s="1604"/>
      <c r="O68" s="1604"/>
      <c r="P68" s="1604"/>
      <c r="Q68" s="1604">
        <f>(C_Light_General!AD154-1)*0.5+1</f>
        <v>1.1400000000000001</v>
      </c>
      <c r="R68" s="1604"/>
      <c r="S68" s="1604"/>
      <c r="T68" s="1604"/>
      <c r="U68" s="2644">
        <v>3.1015322044560755E-3</v>
      </c>
      <c r="V68" s="2645"/>
      <c r="W68" s="2645"/>
      <c r="X68" s="2646"/>
      <c r="Y68" s="2650"/>
      <c r="Z68" s="2651"/>
      <c r="AA68" s="2651"/>
      <c r="AB68" s="2651"/>
      <c r="AC68" s="2651"/>
      <c r="AD68" s="2651"/>
      <c r="AE68" s="2651"/>
      <c r="AF68" s="2652"/>
    </row>
    <row r="69" spans="1:59" x14ac:dyDescent="0.25">
      <c r="A69" s="2657" t="s">
        <v>228</v>
      </c>
      <c r="B69" s="2657"/>
      <c r="C69" s="2657"/>
      <c r="D69" s="2657"/>
      <c r="E69" s="1604">
        <f>C_Light_General!AD132</f>
        <v>0.5</v>
      </c>
      <c r="F69" s="1604"/>
      <c r="G69" s="1604"/>
      <c r="H69" s="1604"/>
      <c r="I69" s="1600">
        <f>C_Light_General!O176</f>
        <v>3690</v>
      </c>
      <c r="J69" s="1600"/>
      <c r="K69" s="1600"/>
      <c r="L69" s="1600"/>
      <c r="M69" s="1604">
        <f>(C_Light_General!Z155-1)*0.5+1</f>
        <v>1.1800000000000002</v>
      </c>
      <c r="N69" s="1604"/>
      <c r="O69" s="1604"/>
      <c r="P69" s="1604"/>
      <c r="Q69" s="1604">
        <f>(C_Light_General!AD155-1)*0.5+1</f>
        <v>1.075</v>
      </c>
      <c r="R69" s="1604"/>
      <c r="S69" s="1604"/>
      <c r="T69" s="1604"/>
      <c r="U69" s="2644">
        <v>3.5660305416800396E-2</v>
      </c>
      <c r="V69" s="2645"/>
      <c r="W69" s="2645"/>
      <c r="X69" s="2646"/>
      <c r="Y69" s="2650"/>
      <c r="Z69" s="2651"/>
      <c r="AA69" s="2651"/>
      <c r="AB69" s="2651"/>
      <c r="AC69" s="2651"/>
      <c r="AD69" s="2651"/>
      <c r="AE69" s="2651"/>
      <c r="AF69" s="2652"/>
    </row>
    <row r="70" spans="1:59" x14ac:dyDescent="0.25">
      <c r="A70" s="2657" t="s">
        <v>229</v>
      </c>
      <c r="B70" s="2657"/>
      <c r="C70" s="2657"/>
      <c r="D70" s="2657"/>
      <c r="E70" s="1604">
        <f>C_Light_General!AD133</f>
        <v>0.08</v>
      </c>
      <c r="F70" s="1604"/>
      <c r="G70" s="1604"/>
      <c r="H70" s="1604"/>
      <c r="I70" s="1600">
        <f>C_Light_General!O177</f>
        <v>1970</v>
      </c>
      <c r="J70" s="1600"/>
      <c r="K70" s="1600"/>
      <c r="L70" s="1600"/>
      <c r="M70" s="1604">
        <f>(C_Light_General!Z156-1)*0.5+1</f>
        <v>1.08</v>
      </c>
      <c r="N70" s="1604"/>
      <c r="O70" s="1604"/>
      <c r="P70" s="1604"/>
      <c r="Q70" s="1604">
        <f>(C_Light_General!AD156-1)*0.5+1</f>
        <v>1.0049999999999999</v>
      </c>
      <c r="R70" s="1604"/>
      <c r="S70" s="1604"/>
      <c r="T70" s="1604"/>
      <c r="U70" s="2644">
        <v>4.6522983066841139E-3</v>
      </c>
      <c r="V70" s="2645"/>
      <c r="W70" s="2645"/>
      <c r="X70" s="2646"/>
      <c r="Y70" s="2653"/>
      <c r="Z70" s="2654"/>
      <c r="AA70" s="2654"/>
      <c r="AB70" s="2654"/>
      <c r="AC70" s="2654"/>
      <c r="AD70" s="2654"/>
      <c r="AE70" s="2654"/>
      <c r="AF70" s="2655"/>
    </row>
    <row r="71" spans="1:59" ht="15" customHeight="1" x14ac:dyDescent="0.25">
      <c r="A71" s="2656" t="s">
        <v>1047</v>
      </c>
      <c r="B71" s="2656"/>
      <c r="C71" s="2656"/>
      <c r="D71" s="2656"/>
      <c r="E71" s="2656"/>
      <c r="F71" s="2656"/>
      <c r="G71" s="2656"/>
      <c r="H71" s="2656"/>
      <c r="I71" s="2656"/>
      <c r="J71" s="2656"/>
      <c r="K71" s="2656"/>
      <c r="L71" s="2656"/>
      <c r="M71" s="2656"/>
      <c r="N71" s="2656"/>
      <c r="O71" s="2656"/>
      <c r="P71" s="2656"/>
      <c r="Q71" s="2656"/>
      <c r="R71" s="2656"/>
      <c r="S71" s="2656"/>
      <c r="T71" s="2656"/>
      <c r="U71" s="2656"/>
      <c r="V71" s="2656"/>
      <c r="W71" s="2656"/>
      <c r="X71" s="2656"/>
      <c r="Y71" s="2656"/>
      <c r="Z71" s="2656"/>
      <c r="AA71" s="2656"/>
      <c r="AB71" s="2656"/>
      <c r="AC71" s="2656"/>
      <c r="AD71" s="2656"/>
      <c r="AE71" s="2656"/>
      <c r="AF71" s="2656"/>
    </row>
    <row r="72" spans="1:59" ht="27" customHeight="1" x14ac:dyDescent="0.25">
      <c r="A72" s="2242" t="s">
        <v>2313</v>
      </c>
      <c r="B72" s="2242"/>
      <c r="C72" s="2242"/>
      <c r="D72" s="2242"/>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2242"/>
      <c r="AB72" s="2242"/>
      <c r="AC72" s="2242"/>
      <c r="AD72" s="2242"/>
      <c r="AE72" s="2242"/>
      <c r="AF72" s="2242"/>
    </row>
    <row r="73" spans="1:59" ht="15" customHeight="1" x14ac:dyDescent="0.25">
      <c r="A73" s="2242" t="s">
        <v>2318</v>
      </c>
      <c r="B73" s="2242"/>
      <c r="C73" s="2242"/>
      <c r="D73" s="2242"/>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2242"/>
      <c r="AB73" s="2242"/>
      <c r="AC73" s="2242"/>
      <c r="AD73" s="2242"/>
      <c r="AE73" s="2242"/>
      <c r="AF73" s="2242"/>
    </row>
    <row r="74" spans="1:59" x14ac:dyDescent="0.25">
      <c r="A74" s="2242" t="s">
        <v>2320</v>
      </c>
      <c r="B74" s="2242"/>
      <c r="C74" s="2242"/>
      <c r="D74" s="2242"/>
      <c r="E74" s="2242"/>
      <c r="F74" s="2242"/>
      <c r="G74" s="2242"/>
      <c r="H74" s="2242"/>
      <c r="I74" s="2242"/>
      <c r="J74" s="2242"/>
      <c r="K74" s="2242"/>
      <c r="L74" s="2242"/>
      <c r="M74" s="2242"/>
      <c r="N74" s="2242"/>
      <c r="O74" s="2242"/>
      <c r="P74" s="2242"/>
      <c r="Q74" s="2242"/>
      <c r="R74" s="2242"/>
      <c r="S74" s="2242"/>
      <c r="T74" s="2242"/>
      <c r="U74" s="2242"/>
      <c r="V74" s="2242"/>
      <c r="W74" s="2242"/>
      <c r="X74" s="2242"/>
      <c r="Y74" s="2242"/>
      <c r="Z74" s="2242"/>
      <c r="AA74" s="2242"/>
      <c r="AB74" s="2242"/>
      <c r="AC74" s="2242"/>
      <c r="AD74" s="2242"/>
      <c r="AE74" s="2242"/>
      <c r="AF74" s="2242"/>
    </row>
    <row r="75" spans="1:59" x14ac:dyDescent="0.25">
      <c r="A75" s="2242" t="s">
        <v>2319</v>
      </c>
      <c r="B75" s="2242"/>
      <c r="C75" s="2242"/>
      <c r="D75" s="2242"/>
      <c r="E75" s="2242"/>
      <c r="F75" s="2242"/>
      <c r="G75" s="2242"/>
      <c r="H75" s="2242"/>
      <c r="I75" s="2242"/>
      <c r="J75" s="2242"/>
      <c r="K75" s="2242"/>
      <c r="L75" s="2242"/>
      <c r="M75" s="2242"/>
      <c r="N75" s="2242"/>
      <c r="O75" s="2242"/>
      <c r="P75" s="2242"/>
      <c r="Q75" s="2242"/>
      <c r="R75" s="2242"/>
      <c r="S75" s="2242"/>
      <c r="T75" s="2242"/>
      <c r="U75" s="2242"/>
      <c r="V75" s="2242"/>
      <c r="W75" s="2242"/>
      <c r="X75" s="2242"/>
      <c r="Y75" s="2242"/>
      <c r="Z75" s="2242"/>
      <c r="AA75" s="2242"/>
      <c r="AB75" s="2242"/>
      <c r="AC75" s="2242"/>
      <c r="AD75" s="2242"/>
      <c r="AE75" s="2242"/>
      <c r="AF75" s="2242"/>
      <c r="AN75" s="401"/>
      <c r="AO75" s="401"/>
      <c r="AP75" s="401"/>
      <c r="AQ75" s="401"/>
      <c r="AR75" s="401"/>
      <c r="AS75" s="401"/>
      <c r="AT75" s="401"/>
      <c r="AU75" s="401"/>
      <c r="AV75" s="401"/>
      <c r="AW75" s="401"/>
      <c r="AX75" s="401"/>
      <c r="AY75" s="401"/>
      <c r="AZ75" s="401"/>
      <c r="BA75" s="401"/>
      <c r="BB75" s="401"/>
      <c r="BC75" s="401"/>
      <c r="BD75" s="401"/>
      <c r="BE75" s="401"/>
      <c r="BF75" s="401"/>
      <c r="BG75" s="401"/>
    </row>
    <row r="76" spans="1:59" x14ac:dyDescent="0.25">
      <c r="AN76" s="401"/>
      <c r="AO76" s="401"/>
      <c r="AP76" s="401"/>
      <c r="AQ76" s="401"/>
      <c r="AR76" s="401"/>
      <c r="AS76" s="401"/>
      <c r="AT76" s="401"/>
      <c r="AU76" s="401"/>
      <c r="AV76" s="401"/>
      <c r="AW76" s="401"/>
      <c r="AX76" s="401"/>
      <c r="AY76" s="401"/>
      <c r="AZ76" s="401"/>
      <c r="BA76" s="401"/>
      <c r="BB76" s="401"/>
      <c r="BC76" s="401"/>
      <c r="BD76" s="401"/>
      <c r="BE76" s="401"/>
      <c r="BF76" s="401"/>
      <c r="BG76" s="401"/>
    </row>
    <row r="77" spans="1:59" x14ac:dyDescent="0.25">
      <c r="A77" s="1472" t="s">
        <v>21</v>
      </c>
      <c r="B77" s="1472"/>
      <c r="C77" s="1472"/>
      <c r="D77" s="1472"/>
      <c r="E77" s="1472"/>
      <c r="F77" s="1472"/>
      <c r="G77" s="1472"/>
      <c r="H77" s="1472"/>
      <c r="I77" s="1472"/>
      <c r="J77" s="1472"/>
      <c r="K77" s="1472"/>
      <c r="L77" s="1472"/>
      <c r="M77" s="1472"/>
      <c r="N77" s="1472"/>
      <c r="O77" s="1472"/>
      <c r="P77" s="1472"/>
      <c r="Q77" s="1472"/>
      <c r="R77" s="1472"/>
      <c r="S77" s="1472"/>
      <c r="T77" s="1472"/>
      <c r="U77" s="1472"/>
      <c r="V77" s="1472"/>
      <c r="W77" s="1472"/>
      <c r="X77" s="1472"/>
      <c r="Y77" s="1472"/>
      <c r="Z77" s="1472"/>
      <c r="AA77" s="1472"/>
      <c r="AB77" s="1472"/>
      <c r="AC77" s="1472"/>
      <c r="AD77" s="1472"/>
      <c r="AE77" s="1472"/>
      <c r="AF77" s="1472"/>
    </row>
    <row r="78" spans="1:59" x14ac:dyDescent="0.25">
      <c r="A78" s="190"/>
      <c r="B78" s="190"/>
      <c r="C78" s="190"/>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row>
    <row r="79" spans="1:59" ht="18" x14ac:dyDescent="0.35">
      <c r="B79" s="380" t="s">
        <v>2316</v>
      </c>
    </row>
    <row r="80" spans="1:59" ht="15.75" thickBot="1" x14ac:dyDescent="0.3">
      <c r="A80" s="380"/>
    </row>
    <row r="81" spans="1:45" ht="33" customHeight="1" x14ac:dyDescent="0.25">
      <c r="A81" s="1583" t="s">
        <v>54</v>
      </c>
      <c r="B81" s="1584"/>
      <c r="C81" s="1584"/>
      <c r="D81" s="1584"/>
      <c r="E81" s="1584"/>
      <c r="F81" s="1584"/>
      <c r="G81" s="1584"/>
      <c r="H81" s="1584"/>
      <c r="I81" s="1609" t="s">
        <v>23</v>
      </c>
      <c r="J81" s="1609"/>
      <c r="K81" s="1609"/>
      <c r="L81" s="1609"/>
      <c r="M81" s="1609"/>
      <c r="N81" s="1609"/>
      <c r="O81" s="1609"/>
      <c r="P81" s="1609"/>
      <c r="Q81" s="1609" t="s">
        <v>24</v>
      </c>
      <c r="R81" s="1609"/>
      <c r="S81" s="1609"/>
      <c r="T81" s="1609"/>
      <c r="U81" s="1609"/>
      <c r="V81" s="1609"/>
      <c r="W81" s="1609"/>
      <c r="X81" s="2484"/>
      <c r="Y81" s="1609" t="s">
        <v>2012</v>
      </c>
      <c r="Z81" s="1609"/>
      <c r="AA81" s="1609"/>
      <c r="AB81" s="1609"/>
      <c r="AC81" s="1609"/>
      <c r="AD81" s="1609"/>
      <c r="AE81" s="1609"/>
      <c r="AF81" s="1737"/>
    </row>
    <row r="82" spans="1:45" x14ac:dyDescent="0.25">
      <c r="A82" s="1782" t="s">
        <v>1984</v>
      </c>
      <c r="B82" s="1243"/>
      <c r="C82" s="1243"/>
      <c r="D82" s="1243"/>
      <c r="E82" s="1243"/>
      <c r="F82" s="1243"/>
      <c r="G82" s="1243"/>
      <c r="H82" s="1243"/>
      <c r="I82" s="1783">
        <f>ROUND((56.32/1000)*$Q$45*$Q$46*$E60*$M60*$Q$51,3)</f>
        <v>5.0000000000000001E-3</v>
      </c>
      <c r="J82" s="1783"/>
      <c r="K82" s="1783"/>
      <c r="L82" s="1783"/>
      <c r="M82" s="1783"/>
      <c r="N82" s="1783"/>
      <c r="O82" s="1783"/>
      <c r="P82" s="1783"/>
      <c r="Q82" s="1784">
        <f t="shared" ref="Q82:Q92" si="0">ROUND((56.32/1000)*$Q$45*$Q$46*$I60*$Q60*$Q$51,2)</f>
        <v>36.44</v>
      </c>
      <c r="R82" s="1784"/>
      <c r="S82" s="1784"/>
      <c r="T82" s="1784"/>
      <c r="U82" s="1784"/>
      <c r="V82" s="1784"/>
      <c r="W82" s="1784"/>
      <c r="X82" s="1784"/>
      <c r="Y82" s="2642">
        <f>ROUND(Q82*$Q$52,2)</f>
        <v>291.52</v>
      </c>
      <c r="Z82" s="2642"/>
      <c r="AA82" s="2642"/>
      <c r="AB82" s="2642"/>
      <c r="AC82" s="2642"/>
      <c r="AD82" s="2642"/>
      <c r="AE82" s="2642"/>
      <c r="AF82" s="2643"/>
    </row>
    <row r="83" spans="1:45" ht="15" customHeight="1" x14ac:dyDescent="0.25">
      <c r="A83" s="1782" t="s">
        <v>221</v>
      </c>
      <c r="B83" s="1243"/>
      <c r="C83" s="1243"/>
      <c r="D83" s="1243"/>
      <c r="E83" s="1243"/>
      <c r="F83" s="1243"/>
      <c r="G83" s="1243"/>
      <c r="H83" s="1243"/>
      <c r="I83" s="1783">
        <f t="shared" ref="I83:I92" si="1">ROUND((56.32/1000)*$Q$45*$Q$46*$E61*$M61*$Q$51,3)</f>
        <v>3.0000000000000001E-3</v>
      </c>
      <c r="J83" s="1783"/>
      <c r="K83" s="1783"/>
      <c r="L83" s="1783"/>
      <c r="M83" s="1783"/>
      <c r="N83" s="1783"/>
      <c r="O83" s="1783"/>
      <c r="P83" s="1783"/>
      <c r="Q83" s="1784">
        <f t="shared" si="0"/>
        <v>81.56</v>
      </c>
      <c r="R83" s="1784"/>
      <c r="S83" s="1784"/>
      <c r="T83" s="1784"/>
      <c r="U83" s="1784"/>
      <c r="V83" s="1784"/>
      <c r="W83" s="1784"/>
      <c r="X83" s="1784"/>
      <c r="Y83" s="2642">
        <f t="shared" ref="Y83:Y92" si="2">ROUND(Q83*$Q$52,2)</f>
        <v>652.48</v>
      </c>
      <c r="Z83" s="2642"/>
      <c r="AA83" s="2642"/>
      <c r="AB83" s="2642"/>
      <c r="AC83" s="2642"/>
      <c r="AD83" s="2642"/>
      <c r="AE83" s="2642"/>
      <c r="AF83" s="2643"/>
    </row>
    <row r="84" spans="1:45" ht="15" customHeight="1" x14ac:dyDescent="0.25">
      <c r="A84" s="1782" t="s">
        <v>222</v>
      </c>
      <c r="B84" s="1243"/>
      <c r="C84" s="1243"/>
      <c r="D84" s="1243"/>
      <c r="E84" s="1243"/>
      <c r="F84" s="1243"/>
      <c r="G84" s="1243"/>
      <c r="H84" s="1243"/>
      <c r="I84" s="1783">
        <f t="shared" si="1"/>
        <v>5.0000000000000001E-3</v>
      </c>
      <c r="J84" s="1783"/>
      <c r="K84" s="1783"/>
      <c r="L84" s="1783"/>
      <c r="M84" s="1783"/>
      <c r="N84" s="1783"/>
      <c r="O84" s="1783"/>
      <c r="P84" s="1783"/>
      <c r="Q84" s="1784">
        <f t="shared" si="0"/>
        <v>25.36</v>
      </c>
      <c r="R84" s="1784"/>
      <c r="S84" s="1784"/>
      <c r="T84" s="1784"/>
      <c r="U84" s="1784"/>
      <c r="V84" s="1784"/>
      <c r="W84" s="1784"/>
      <c r="X84" s="1784"/>
      <c r="Y84" s="2642">
        <f t="shared" si="2"/>
        <v>202.88</v>
      </c>
      <c r="Z84" s="2642"/>
      <c r="AA84" s="2642"/>
      <c r="AB84" s="2642"/>
      <c r="AC84" s="2642"/>
      <c r="AD84" s="2642"/>
      <c r="AE84" s="2642"/>
      <c r="AF84" s="2643"/>
      <c r="AS84" s="4"/>
    </row>
    <row r="85" spans="1:45" ht="15" customHeight="1" x14ac:dyDescent="0.25">
      <c r="A85" s="1782" t="s">
        <v>223</v>
      </c>
      <c r="B85" s="1243"/>
      <c r="C85" s="1243"/>
      <c r="D85" s="1243"/>
      <c r="E85" s="1243"/>
      <c r="F85" s="1243"/>
      <c r="G85" s="1243"/>
      <c r="H85" s="1243"/>
      <c r="I85" s="1783">
        <f>ROUND((56.32/1000)*$Q$45*$Q$46*$E63*$M63*$Q$51,3)</f>
        <v>8.9999999999999993E-3</v>
      </c>
      <c r="J85" s="1783"/>
      <c r="K85" s="1783"/>
      <c r="L85" s="1783"/>
      <c r="M85" s="1783"/>
      <c r="N85" s="1783"/>
      <c r="O85" s="1783"/>
      <c r="P85" s="1783"/>
      <c r="Q85" s="1784">
        <f>ROUND((56.32/1000)*$Q$45*$Q$46*$I63*$Q63*$Q$51,2)</f>
        <v>67.61</v>
      </c>
      <c r="R85" s="1784"/>
      <c r="S85" s="1784"/>
      <c r="T85" s="1784"/>
      <c r="U85" s="1784"/>
      <c r="V85" s="1784"/>
      <c r="W85" s="1784"/>
      <c r="X85" s="1784"/>
      <c r="Y85" s="2642">
        <f>ROUND(Q85*$Q$52,2)</f>
        <v>540.88</v>
      </c>
      <c r="Z85" s="2642"/>
      <c r="AA85" s="2642"/>
      <c r="AB85" s="2642"/>
      <c r="AC85" s="2642"/>
      <c r="AD85" s="2642"/>
      <c r="AE85" s="2642"/>
      <c r="AF85" s="2643"/>
    </row>
    <row r="86" spans="1:45" ht="15" customHeight="1" x14ac:dyDescent="0.25">
      <c r="A86" s="1782" t="s">
        <v>224</v>
      </c>
      <c r="B86" s="1243"/>
      <c r="C86" s="1243"/>
      <c r="D86" s="1243"/>
      <c r="E86" s="1243"/>
      <c r="F86" s="1243"/>
      <c r="G86" s="1243"/>
      <c r="H86" s="1243"/>
      <c r="I86" s="1783">
        <f>ROUND((56.32/1000)*$Q$45*$Q$46*$E64*$M64*$Q$51,3)</f>
        <v>8.9999999999999993E-3</v>
      </c>
      <c r="J86" s="1783"/>
      <c r="K86" s="1783"/>
      <c r="L86" s="1783"/>
      <c r="M86" s="1783"/>
      <c r="N86" s="1783"/>
      <c r="O86" s="1783"/>
      <c r="P86" s="1783"/>
      <c r="Q86" s="1784">
        <f t="shared" si="0"/>
        <v>72.62</v>
      </c>
      <c r="R86" s="1784"/>
      <c r="S86" s="1784"/>
      <c r="T86" s="1784"/>
      <c r="U86" s="1784"/>
      <c r="V86" s="1784"/>
      <c r="W86" s="1784"/>
      <c r="X86" s="1784"/>
      <c r="Y86" s="2642">
        <f t="shared" si="2"/>
        <v>580.96</v>
      </c>
      <c r="Z86" s="2642"/>
      <c r="AA86" s="2642"/>
      <c r="AB86" s="2642"/>
      <c r="AC86" s="2642"/>
      <c r="AD86" s="2642"/>
      <c r="AE86" s="2642"/>
      <c r="AF86" s="2643"/>
    </row>
    <row r="87" spans="1:45" ht="15" customHeight="1" x14ac:dyDescent="0.25">
      <c r="A87" s="1782" t="s">
        <v>225</v>
      </c>
      <c r="B87" s="1243"/>
      <c r="C87" s="1243"/>
      <c r="D87" s="1243"/>
      <c r="E87" s="1243"/>
      <c r="F87" s="1243"/>
      <c r="G87" s="1243"/>
      <c r="H87" s="1243"/>
      <c r="I87" s="1783">
        <f t="shared" si="1"/>
        <v>3.0000000000000001E-3</v>
      </c>
      <c r="J87" s="1783"/>
      <c r="K87" s="1783"/>
      <c r="L87" s="1783"/>
      <c r="M87" s="1783"/>
      <c r="N87" s="1783"/>
      <c r="O87" s="1783"/>
      <c r="P87" s="1783"/>
      <c r="Q87" s="1784">
        <f t="shared" si="0"/>
        <v>17.66</v>
      </c>
      <c r="R87" s="1784"/>
      <c r="S87" s="1784"/>
      <c r="T87" s="1784"/>
      <c r="U87" s="1784"/>
      <c r="V87" s="1784"/>
      <c r="W87" s="1784"/>
      <c r="X87" s="1784"/>
      <c r="Y87" s="2642">
        <f t="shared" si="2"/>
        <v>141.28</v>
      </c>
      <c r="Z87" s="2642"/>
      <c r="AA87" s="2642"/>
      <c r="AB87" s="2642"/>
      <c r="AC87" s="2642"/>
      <c r="AD87" s="2642"/>
      <c r="AE87" s="2642"/>
      <c r="AF87" s="2643"/>
    </row>
    <row r="88" spans="1:45" ht="15" customHeight="1" x14ac:dyDescent="0.25">
      <c r="A88" s="1782" t="s">
        <v>226</v>
      </c>
      <c r="B88" s="1243"/>
      <c r="C88" s="1243"/>
      <c r="D88" s="1243"/>
      <c r="E88" s="1243"/>
      <c r="F88" s="1243"/>
      <c r="G88" s="1243"/>
      <c r="H88" s="1243"/>
      <c r="I88" s="1783">
        <f t="shared" si="1"/>
        <v>8.9999999999999993E-3</v>
      </c>
      <c r="J88" s="1783"/>
      <c r="K88" s="1783"/>
      <c r="L88" s="1783"/>
      <c r="M88" s="1783"/>
      <c r="N88" s="1783"/>
      <c r="O88" s="1783"/>
      <c r="P88" s="1783"/>
      <c r="Q88" s="1784">
        <f t="shared" si="0"/>
        <v>32.520000000000003</v>
      </c>
      <c r="R88" s="1784"/>
      <c r="S88" s="1784"/>
      <c r="T88" s="1784"/>
      <c r="U88" s="1784"/>
      <c r="V88" s="1784"/>
      <c r="W88" s="1784"/>
      <c r="X88" s="1784"/>
      <c r="Y88" s="2642">
        <f t="shared" si="2"/>
        <v>260.16000000000003</v>
      </c>
      <c r="Z88" s="2642"/>
      <c r="AA88" s="2642"/>
      <c r="AB88" s="2642"/>
      <c r="AC88" s="2642"/>
      <c r="AD88" s="2642"/>
      <c r="AE88" s="2642"/>
      <c r="AF88" s="2643"/>
    </row>
    <row r="89" spans="1:45" ht="15" customHeight="1" x14ac:dyDescent="0.25">
      <c r="A89" s="1782" t="s">
        <v>55</v>
      </c>
      <c r="B89" s="1243"/>
      <c r="C89" s="1243"/>
      <c r="D89" s="1243"/>
      <c r="E89" s="1243"/>
      <c r="F89" s="1243"/>
      <c r="G89" s="1243"/>
      <c r="H89" s="1243"/>
      <c r="I89" s="1783">
        <f t="shared" si="1"/>
        <v>3.0000000000000001E-3</v>
      </c>
      <c r="J89" s="1783"/>
      <c r="K89" s="1783"/>
      <c r="L89" s="1783"/>
      <c r="M89" s="1783"/>
      <c r="N89" s="1783"/>
      <c r="O89" s="1783"/>
      <c r="P89" s="1783"/>
      <c r="Q89" s="1784">
        <f t="shared" si="0"/>
        <v>29.64</v>
      </c>
      <c r="R89" s="1784"/>
      <c r="S89" s="1784"/>
      <c r="T89" s="1784"/>
      <c r="U89" s="1784"/>
      <c r="V89" s="1784"/>
      <c r="W89" s="1784"/>
      <c r="X89" s="1784"/>
      <c r="Y89" s="2642">
        <f t="shared" si="2"/>
        <v>237.12</v>
      </c>
      <c r="Z89" s="2642"/>
      <c r="AA89" s="2642"/>
      <c r="AB89" s="2642"/>
      <c r="AC89" s="2642"/>
      <c r="AD89" s="2642"/>
      <c r="AE89" s="2642"/>
      <c r="AF89" s="2643"/>
    </row>
    <row r="90" spans="1:45" ht="15" customHeight="1" x14ac:dyDescent="0.25">
      <c r="A90" s="1782" t="s">
        <v>227</v>
      </c>
      <c r="B90" s="1243"/>
      <c r="C90" s="1243"/>
      <c r="D90" s="1243"/>
      <c r="E90" s="1243"/>
      <c r="F90" s="1243"/>
      <c r="G90" s="1243"/>
      <c r="H90" s="1243"/>
      <c r="I90" s="1783">
        <f t="shared" si="1"/>
        <v>7.0000000000000001E-3</v>
      </c>
      <c r="J90" s="1783"/>
      <c r="K90" s="1783"/>
      <c r="L90" s="1783"/>
      <c r="M90" s="1783"/>
      <c r="N90" s="1783"/>
      <c r="O90" s="1783"/>
      <c r="P90" s="1783"/>
      <c r="Q90" s="1784">
        <f t="shared" si="0"/>
        <v>52.85</v>
      </c>
      <c r="R90" s="1784"/>
      <c r="S90" s="1784"/>
      <c r="T90" s="1784"/>
      <c r="U90" s="1784"/>
      <c r="V90" s="1784"/>
      <c r="W90" s="1784"/>
      <c r="X90" s="1784"/>
      <c r="Y90" s="2642">
        <f t="shared" si="2"/>
        <v>422.8</v>
      </c>
      <c r="Z90" s="2642"/>
      <c r="AA90" s="2642"/>
      <c r="AB90" s="2642"/>
      <c r="AC90" s="2642"/>
      <c r="AD90" s="2642"/>
      <c r="AE90" s="2642"/>
      <c r="AF90" s="2643"/>
    </row>
    <row r="91" spans="1:45" ht="15" customHeight="1" x14ac:dyDescent="0.25">
      <c r="A91" s="1782" t="s">
        <v>228</v>
      </c>
      <c r="B91" s="1243"/>
      <c r="C91" s="1243"/>
      <c r="D91" s="1243"/>
      <c r="E91" s="1243"/>
      <c r="F91" s="1243"/>
      <c r="G91" s="1243"/>
      <c r="H91" s="1243"/>
      <c r="I91" s="1783">
        <f t="shared" si="1"/>
        <v>8.0000000000000002E-3</v>
      </c>
      <c r="J91" s="1783"/>
      <c r="K91" s="1783"/>
      <c r="L91" s="1783"/>
      <c r="M91" s="1783"/>
      <c r="N91" s="1783"/>
      <c r="O91" s="1783"/>
      <c r="P91" s="1783"/>
      <c r="Q91" s="1784">
        <f t="shared" si="0"/>
        <v>52.55</v>
      </c>
      <c r="R91" s="1784"/>
      <c r="S91" s="1784"/>
      <c r="T91" s="1784"/>
      <c r="U91" s="1784"/>
      <c r="V91" s="1784"/>
      <c r="W91" s="1784"/>
      <c r="X91" s="1784"/>
      <c r="Y91" s="2642">
        <f t="shared" si="2"/>
        <v>420.4</v>
      </c>
      <c r="Z91" s="2642"/>
      <c r="AA91" s="2642"/>
      <c r="AB91" s="2642"/>
      <c r="AC91" s="2642"/>
      <c r="AD91" s="2642"/>
      <c r="AE91" s="2642"/>
      <c r="AF91" s="2643"/>
    </row>
    <row r="92" spans="1:45" ht="15" customHeight="1" thickBot="1" x14ac:dyDescent="0.3">
      <c r="A92" s="1578" t="s">
        <v>229</v>
      </c>
      <c r="B92" s="1579"/>
      <c r="C92" s="1579"/>
      <c r="D92" s="1579"/>
      <c r="E92" s="1579"/>
      <c r="F92" s="1579"/>
      <c r="G92" s="1579"/>
      <c r="H92" s="1579"/>
      <c r="I92" s="1744">
        <f t="shared" si="1"/>
        <v>1E-3</v>
      </c>
      <c r="J92" s="1744"/>
      <c r="K92" s="1744"/>
      <c r="L92" s="1744"/>
      <c r="M92" s="1744"/>
      <c r="N92" s="1744"/>
      <c r="O92" s="1744"/>
      <c r="P92" s="1744"/>
      <c r="Q92" s="1745">
        <f t="shared" si="0"/>
        <v>26.23</v>
      </c>
      <c r="R92" s="1745"/>
      <c r="S92" s="1745"/>
      <c r="T92" s="1745"/>
      <c r="U92" s="1745"/>
      <c r="V92" s="1745"/>
      <c r="W92" s="1745"/>
      <c r="X92" s="1745"/>
      <c r="Y92" s="2640">
        <f t="shared" si="2"/>
        <v>209.84</v>
      </c>
      <c r="Z92" s="2640"/>
      <c r="AA92" s="2640"/>
      <c r="AB92" s="2640"/>
      <c r="AC92" s="2640"/>
      <c r="AD92" s="2640"/>
      <c r="AE92" s="2640"/>
      <c r="AF92" s="2641"/>
    </row>
    <row r="93" spans="1:45" ht="15" customHeight="1" x14ac:dyDescent="0.25"/>
    <row r="94" spans="1:45" ht="15" customHeight="1" x14ac:dyDescent="0.25"/>
    <row r="95" spans="1:45" ht="18" x14ac:dyDescent="0.35">
      <c r="B95" s="380" t="s">
        <v>2315</v>
      </c>
    </row>
    <row r="97" spans="1:32" ht="18" x14ac:dyDescent="0.35">
      <c r="B97" t="s">
        <v>2317</v>
      </c>
      <c r="C97"/>
      <c r="D97"/>
      <c r="E97"/>
      <c r="F97"/>
      <c r="G97"/>
      <c r="H97"/>
      <c r="I97"/>
      <c r="J97"/>
      <c r="K97"/>
      <c r="L97"/>
      <c r="M97"/>
      <c r="N97"/>
      <c r="O97"/>
      <c r="P97"/>
      <c r="Q97"/>
      <c r="R97"/>
      <c r="S97"/>
      <c r="T97"/>
    </row>
    <row r="98" spans="1:32" x14ac:dyDescent="0.25">
      <c r="B98"/>
      <c r="C98"/>
      <c r="D98" s="2109">
        <v>56.32</v>
      </c>
      <c r="E98" s="2110"/>
      <c r="F98" s="2110"/>
      <c r="G98" s="2110"/>
      <c r="H98" s="2111"/>
      <c r="I98"/>
      <c r="J98"/>
      <c r="K98"/>
      <c r="L98"/>
      <c r="M98"/>
    </row>
    <row r="99" spans="1:32" ht="15.75" thickBot="1" x14ac:dyDescent="0.3"/>
    <row r="100" spans="1:32" ht="31.5" customHeight="1" x14ac:dyDescent="0.25">
      <c r="A100" s="1583" t="s">
        <v>54</v>
      </c>
      <c r="B100" s="1584"/>
      <c r="C100" s="1584"/>
      <c r="D100" s="1584"/>
      <c r="E100" s="1584"/>
      <c r="F100" s="1584"/>
      <c r="G100" s="1584"/>
      <c r="H100" s="1584"/>
      <c r="I100" s="1609" t="s">
        <v>23</v>
      </c>
      <c r="J100" s="1609"/>
      <c r="K100" s="1609"/>
      <c r="L100" s="1609"/>
      <c r="M100" s="1609"/>
      <c r="N100" s="1609"/>
      <c r="O100" s="1609"/>
      <c r="P100" s="1609"/>
      <c r="Q100" s="1609" t="s">
        <v>24</v>
      </c>
      <c r="R100" s="1609"/>
      <c r="S100" s="1609"/>
      <c r="T100" s="1609"/>
      <c r="U100" s="1609"/>
      <c r="V100" s="1609"/>
      <c r="W100" s="1609"/>
      <c r="X100" s="2484"/>
      <c r="Y100" s="1609" t="s">
        <v>2012</v>
      </c>
      <c r="Z100" s="1609"/>
      <c r="AA100" s="1609"/>
      <c r="AB100" s="1609"/>
      <c r="AC100" s="1609"/>
      <c r="AD100" s="1609"/>
      <c r="AE100" s="1609"/>
      <c r="AF100" s="1737"/>
    </row>
    <row r="101" spans="1:32" x14ac:dyDescent="0.25">
      <c r="A101" s="1782" t="s">
        <v>1984</v>
      </c>
      <c r="B101" s="1243"/>
      <c r="C101" s="1243"/>
      <c r="D101" s="1243"/>
      <c r="E101" s="1243"/>
      <c r="F101" s="1243"/>
      <c r="G101" s="1243"/>
      <c r="H101" s="1243"/>
      <c r="I101" s="1624">
        <f t="shared" ref="I101:I111" si="3">ROUND(($D$98/1000)*$Q$45*$Q$46*$E60*$M60*$Q$51,3)</f>
        <v>5.0000000000000001E-3</v>
      </c>
      <c r="J101" s="1624"/>
      <c r="K101" s="1624"/>
      <c r="L101" s="1624"/>
      <c r="M101" s="1624"/>
      <c r="N101" s="1624"/>
      <c r="O101" s="1624"/>
      <c r="P101" s="1624"/>
      <c r="Q101" s="1882">
        <f t="shared" ref="Q101:Q111" si="4">ROUND(($D$98/1000)*$Q$45*$Q$46*$I60*$Q60*$Q$51,2)</f>
        <v>36.44</v>
      </c>
      <c r="R101" s="1882"/>
      <c r="S101" s="1882"/>
      <c r="T101" s="1882"/>
      <c r="U101" s="1882"/>
      <c r="V101" s="1882"/>
      <c r="W101" s="1882"/>
      <c r="X101" s="1882"/>
      <c r="Y101" s="2468">
        <f t="shared" ref="Y101:Y111" si="5">ROUND(Q101*$Q$52,2)</f>
        <v>291.52</v>
      </c>
      <c r="Z101" s="2468"/>
      <c r="AA101" s="2468"/>
      <c r="AB101" s="2468"/>
      <c r="AC101" s="2468"/>
      <c r="AD101" s="2468"/>
      <c r="AE101" s="2468"/>
      <c r="AF101" s="2469"/>
    </row>
    <row r="102" spans="1:32" x14ac:dyDescent="0.25">
      <c r="A102" s="1782" t="s">
        <v>221</v>
      </c>
      <c r="B102" s="1243"/>
      <c r="C102" s="1243"/>
      <c r="D102" s="1243"/>
      <c r="E102" s="1243"/>
      <c r="F102" s="1243"/>
      <c r="G102" s="1243"/>
      <c r="H102" s="1243"/>
      <c r="I102" s="1624">
        <f t="shared" si="3"/>
        <v>3.0000000000000001E-3</v>
      </c>
      <c r="J102" s="1624"/>
      <c r="K102" s="1624"/>
      <c r="L102" s="1624"/>
      <c r="M102" s="1624"/>
      <c r="N102" s="1624"/>
      <c r="O102" s="1624"/>
      <c r="P102" s="1624"/>
      <c r="Q102" s="1882">
        <f t="shared" si="4"/>
        <v>81.56</v>
      </c>
      <c r="R102" s="1882"/>
      <c r="S102" s="1882"/>
      <c r="T102" s="1882"/>
      <c r="U102" s="1882"/>
      <c r="V102" s="1882"/>
      <c r="W102" s="1882"/>
      <c r="X102" s="1882"/>
      <c r="Y102" s="2468">
        <f t="shared" si="5"/>
        <v>652.48</v>
      </c>
      <c r="Z102" s="2468"/>
      <c r="AA102" s="2468"/>
      <c r="AB102" s="2468"/>
      <c r="AC102" s="2468"/>
      <c r="AD102" s="2468"/>
      <c r="AE102" s="2468"/>
      <c r="AF102" s="2469"/>
    </row>
    <row r="103" spans="1:32" x14ac:dyDescent="0.25">
      <c r="A103" s="1782" t="s">
        <v>222</v>
      </c>
      <c r="B103" s="1243"/>
      <c r="C103" s="1243"/>
      <c r="D103" s="1243"/>
      <c r="E103" s="1243"/>
      <c r="F103" s="1243"/>
      <c r="G103" s="1243"/>
      <c r="H103" s="1243"/>
      <c r="I103" s="1624">
        <f t="shared" si="3"/>
        <v>5.0000000000000001E-3</v>
      </c>
      <c r="J103" s="1624"/>
      <c r="K103" s="1624"/>
      <c r="L103" s="1624"/>
      <c r="M103" s="1624"/>
      <c r="N103" s="1624"/>
      <c r="O103" s="1624"/>
      <c r="P103" s="1624"/>
      <c r="Q103" s="1882">
        <f t="shared" si="4"/>
        <v>25.36</v>
      </c>
      <c r="R103" s="1882"/>
      <c r="S103" s="1882"/>
      <c r="T103" s="1882"/>
      <c r="U103" s="1882"/>
      <c r="V103" s="1882"/>
      <c r="W103" s="1882"/>
      <c r="X103" s="1882"/>
      <c r="Y103" s="2468">
        <f t="shared" si="5"/>
        <v>202.88</v>
      </c>
      <c r="Z103" s="2468"/>
      <c r="AA103" s="2468"/>
      <c r="AB103" s="2468"/>
      <c r="AC103" s="2468"/>
      <c r="AD103" s="2468"/>
      <c r="AE103" s="2468"/>
      <c r="AF103" s="2469"/>
    </row>
    <row r="104" spans="1:32" x14ac:dyDescent="0.25">
      <c r="A104" s="1782" t="s">
        <v>223</v>
      </c>
      <c r="B104" s="1243"/>
      <c r="C104" s="1243"/>
      <c r="D104" s="1243"/>
      <c r="E104" s="1243"/>
      <c r="F104" s="1243"/>
      <c r="G104" s="1243"/>
      <c r="H104" s="1243"/>
      <c r="I104" s="1624">
        <f t="shared" si="3"/>
        <v>8.9999999999999993E-3</v>
      </c>
      <c r="J104" s="1624"/>
      <c r="K104" s="1624"/>
      <c r="L104" s="1624"/>
      <c r="M104" s="1624"/>
      <c r="N104" s="1624"/>
      <c r="O104" s="1624"/>
      <c r="P104" s="1624"/>
      <c r="Q104" s="1882">
        <f t="shared" si="4"/>
        <v>67.61</v>
      </c>
      <c r="R104" s="1882"/>
      <c r="S104" s="1882"/>
      <c r="T104" s="1882"/>
      <c r="U104" s="1882"/>
      <c r="V104" s="1882"/>
      <c r="W104" s="1882"/>
      <c r="X104" s="1882"/>
      <c r="Y104" s="2468">
        <f t="shared" si="5"/>
        <v>540.88</v>
      </c>
      <c r="Z104" s="2468"/>
      <c r="AA104" s="2468"/>
      <c r="AB104" s="2468"/>
      <c r="AC104" s="2468"/>
      <c r="AD104" s="2468"/>
      <c r="AE104" s="2468"/>
      <c r="AF104" s="2469"/>
    </row>
    <row r="105" spans="1:32" x14ac:dyDescent="0.25">
      <c r="A105" s="1782" t="s">
        <v>224</v>
      </c>
      <c r="B105" s="1243"/>
      <c r="C105" s="1243"/>
      <c r="D105" s="1243"/>
      <c r="E105" s="1243"/>
      <c r="F105" s="1243"/>
      <c r="G105" s="1243"/>
      <c r="H105" s="1243"/>
      <c r="I105" s="1624">
        <f t="shared" si="3"/>
        <v>8.9999999999999993E-3</v>
      </c>
      <c r="J105" s="1624"/>
      <c r="K105" s="1624"/>
      <c r="L105" s="1624"/>
      <c r="M105" s="1624"/>
      <c r="N105" s="1624"/>
      <c r="O105" s="1624"/>
      <c r="P105" s="1624"/>
      <c r="Q105" s="1882">
        <f t="shared" si="4"/>
        <v>72.62</v>
      </c>
      <c r="R105" s="1882"/>
      <c r="S105" s="1882"/>
      <c r="T105" s="1882"/>
      <c r="U105" s="1882"/>
      <c r="V105" s="1882"/>
      <c r="W105" s="1882"/>
      <c r="X105" s="1882"/>
      <c r="Y105" s="2468">
        <f t="shared" si="5"/>
        <v>580.96</v>
      </c>
      <c r="Z105" s="2468"/>
      <c r="AA105" s="2468"/>
      <c r="AB105" s="2468"/>
      <c r="AC105" s="2468"/>
      <c r="AD105" s="2468"/>
      <c r="AE105" s="2468"/>
      <c r="AF105" s="2469"/>
    </row>
    <row r="106" spans="1:32" x14ac:dyDescent="0.25">
      <c r="A106" s="1782" t="s">
        <v>225</v>
      </c>
      <c r="B106" s="1243"/>
      <c r="C106" s="1243"/>
      <c r="D106" s="1243"/>
      <c r="E106" s="1243"/>
      <c r="F106" s="1243"/>
      <c r="G106" s="1243"/>
      <c r="H106" s="1243"/>
      <c r="I106" s="1624">
        <f t="shared" si="3"/>
        <v>3.0000000000000001E-3</v>
      </c>
      <c r="J106" s="1624"/>
      <c r="K106" s="1624"/>
      <c r="L106" s="1624"/>
      <c r="M106" s="1624"/>
      <c r="N106" s="1624"/>
      <c r="O106" s="1624"/>
      <c r="P106" s="1624"/>
      <c r="Q106" s="1882">
        <f t="shared" si="4"/>
        <v>17.66</v>
      </c>
      <c r="R106" s="1882"/>
      <c r="S106" s="1882"/>
      <c r="T106" s="1882"/>
      <c r="U106" s="1882"/>
      <c r="V106" s="1882"/>
      <c r="W106" s="1882"/>
      <c r="X106" s="1882"/>
      <c r="Y106" s="2468">
        <f t="shared" si="5"/>
        <v>141.28</v>
      </c>
      <c r="Z106" s="2468"/>
      <c r="AA106" s="2468"/>
      <c r="AB106" s="2468"/>
      <c r="AC106" s="2468"/>
      <c r="AD106" s="2468"/>
      <c r="AE106" s="2468"/>
      <c r="AF106" s="2469"/>
    </row>
    <row r="107" spans="1:32" x14ac:dyDescent="0.25">
      <c r="A107" s="1782" t="s">
        <v>226</v>
      </c>
      <c r="B107" s="1243"/>
      <c r="C107" s="1243"/>
      <c r="D107" s="1243"/>
      <c r="E107" s="1243"/>
      <c r="F107" s="1243"/>
      <c r="G107" s="1243"/>
      <c r="H107" s="1243"/>
      <c r="I107" s="1624">
        <f t="shared" si="3"/>
        <v>8.9999999999999993E-3</v>
      </c>
      <c r="J107" s="1624"/>
      <c r="K107" s="1624"/>
      <c r="L107" s="1624"/>
      <c r="M107" s="1624"/>
      <c r="N107" s="1624"/>
      <c r="O107" s="1624"/>
      <c r="P107" s="1624"/>
      <c r="Q107" s="1882">
        <f t="shared" si="4"/>
        <v>32.520000000000003</v>
      </c>
      <c r="R107" s="1882"/>
      <c r="S107" s="1882"/>
      <c r="T107" s="1882"/>
      <c r="U107" s="1882"/>
      <c r="V107" s="1882"/>
      <c r="W107" s="1882"/>
      <c r="X107" s="1882"/>
      <c r="Y107" s="2468">
        <f t="shared" si="5"/>
        <v>260.16000000000003</v>
      </c>
      <c r="Z107" s="2468"/>
      <c r="AA107" s="2468"/>
      <c r="AB107" s="2468"/>
      <c r="AC107" s="2468"/>
      <c r="AD107" s="2468"/>
      <c r="AE107" s="2468"/>
      <c r="AF107" s="2469"/>
    </row>
    <row r="108" spans="1:32" x14ac:dyDescent="0.25">
      <c r="A108" s="1782" t="s">
        <v>55</v>
      </c>
      <c r="B108" s="1243"/>
      <c r="C108" s="1243"/>
      <c r="D108" s="1243"/>
      <c r="E108" s="1243"/>
      <c r="F108" s="1243"/>
      <c r="G108" s="1243"/>
      <c r="H108" s="1243"/>
      <c r="I108" s="1624">
        <f t="shared" si="3"/>
        <v>3.0000000000000001E-3</v>
      </c>
      <c r="J108" s="1624"/>
      <c r="K108" s="1624"/>
      <c r="L108" s="1624"/>
      <c r="M108" s="1624"/>
      <c r="N108" s="1624"/>
      <c r="O108" s="1624"/>
      <c r="P108" s="1624"/>
      <c r="Q108" s="1882">
        <f t="shared" si="4"/>
        <v>29.64</v>
      </c>
      <c r="R108" s="1882"/>
      <c r="S108" s="1882"/>
      <c r="T108" s="1882"/>
      <c r="U108" s="1882"/>
      <c r="V108" s="1882"/>
      <c r="W108" s="1882"/>
      <c r="X108" s="1882"/>
      <c r="Y108" s="2468">
        <f t="shared" si="5"/>
        <v>237.12</v>
      </c>
      <c r="Z108" s="2468"/>
      <c r="AA108" s="2468"/>
      <c r="AB108" s="2468"/>
      <c r="AC108" s="2468"/>
      <c r="AD108" s="2468"/>
      <c r="AE108" s="2468"/>
      <c r="AF108" s="2469"/>
    </row>
    <row r="109" spans="1:32" x14ac:dyDescent="0.25">
      <c r="A109" s="1782" t="s">
        <v>227</v>
      </c>
      <c r="B109" s="1243"/>
      <c r="C109" s="1243"/>
      <c r="D109" s="1243"/>
      <c r="E109" s="1243"/>
      <c r="F109" s="1243"/>
      <c r="G109" s="1243"/>
      <c r="H109" s="1243"/>
      <c r="I109" s="1624">
        <f t="shared" si="3"/>
        <v>7.0000000000000001E-3</v>
      </c>
      <c r="J109" s="1624"/>
      <c r="K109" s="1624"/>
      <c r="L109" s="1624"/>
      <c r="M109" s="1624"/>
      <c r="N109" s="1624"/>
      <c r="O109" s="1624"/>
      <c r="P109" s="1624"/>
      <c r="Q109" s="1882">
        <f t="shared" si="4"/>
        <v>52.85</v>
      </c>
      <c r="R109" s="1882"/>
      <c r="S109" s="1882"/>
      <c r="T109" s="1882"/>
      <c r="U109" s="1882"/>
      <c r="V109" s="1882"/>
      <c r="W109" s="1882"/>
      <c r="X109" s="1882"/>
      <c r="Y109" s="2468">
        <f t="shared" si="5"/>
        <v>422.8</v>
      </c>
      <c r="Z109" s="2468"/>
      <c r="AA109" s="2468"/>
      <c r="AB109" s="2468"/>
      <c r="AC109" s="2468"/>
      <c r="AD109" s="2468"/>
      <c r="AE109" s="2468"/>
      <c r="AF109" s="2469"/>
    </row>
    <row r="110" spans="1:32" x14ac:dyDescent="0.25">
      <c r="A110" s="1782" t="s">
        <v>228</v>
      </c>
      <c r="B110" s="1243"/>
      <c r="C110" s="1243"/>
      <c r="D110" s="1243"/>
      <c r="E110" s="1243"/>
      <c r="F110" s="1243"/>
      <c r="G110" s="1243"/>
      <c r="H110" s="1243"/>
      <c r="I110" s="1624">
        <f t="shared" si="3"/>
        <v>8.0000000000000002E-3</v>
      </c>
      <c r="J110" s="1624"/>
      <c r="K110" s="1624"/>
      <c r="L110" s="1624"/>
      <c r="M110" s="1624"/>
      <c r="N110" s="1624"/>
      <c r="O110" s="1624"/>
      <c r="P110" s="1624"/>
      <c r="Q110" s="1882">
        <f t="shared" si="4"/>
        <v>52.55</v>
      </c>
      <c r="R110" s="1882"/>
      <c r="S110" s="1882"/>
      <c r="T110" s="1882"/>
      <c r="U110" s="1882"/>
      <c r="V110" s="1882"/>
      <c r="W110" s="1882"/>
      <c r="X110" s="1882"/>
      <c r="Y110" s="2468">
        <f t="shared" si="5"/>
        <v>420.4</v>
      </c>
      <c r="Z110" s="2468"/>
      <c r="AA110" s="2468"/>
      <c r="AB110" s="2468"/>
      <c r="AC110" s="2468"/>
      <c r="AD110" s="2468"/>
      <c r="AE110" s="2468"/>
      <c r="AF110" s="2469"/>
    </row>
    <row r="111" spans="1:32" ht="15.75" thickBot="1" x14ac:dyDescent="0.3">
      <c r="A111" s="1578" t="s">
        <v>229</v>
      </c>
      <c r="B111" s="1579"/>
      <c r="C111" s="1579"/>
      <c r="D111" s="1579"/>
      <c r="E111" s="1579"/>
      <c r="F111" s="1579"/>
      <c r="G111" s="1579"/>
      <c r="H111" s="1579"/>
      <c r="I111" s="1634">
        <f t="shared" si="3"/>
        <v>1E-3</v>
      </c>
      <c r="J111" s="1634"/>
      <c r="K111" s="1634"/>
      <c r="L111" s="1634"/>
      <c r="M111" s="1634"/>
      <c r="N111" s="1634"/>
      <c r="O111" s="1634"/>
      <c r="P111" s="1634"/>
      <c r="Q111" s="1888">
        <f t="shared" si="4"/>
        <v>26.23</v>
      </c>
      <c r="R111" s="1888"/>
      <c r="S111" s="1888"/>
      <c r="T111" s="1888"/>
      <c r="U111" s="1888"/>
      <c r="V111" s="1888"/>
      <c r="W111" s="1888"/>
      <c r="X111" s="1888"/>
      <c r="Y111" s="2482">
        <f t="shared" si="5"/>
        <v>209.84</v>
      </c>
      <c r="Z111" s="2482"/>
      <c r="AA111" s="2482"/>
      <c r="AB111" s="2482"/>
      <c r="AC111" s="2482"/>
      <c r="AD111" s="2482"/>
      <c r="AE111" s="2482"/>
      <c r="AF111" s="2483"/>
    </row>
    <row r="113" spans="1:32" s="8" customFormat="1" x14ac:dyDescent="0.25">
      <c r="A113" s="1472" t="s">
        <v>1753</v>
      </c>
      <c r="B113" s="1472"/>
      <c r="C113" s="1472"/>
      <c r="D113" s="1472"/>
      <c r="E113" s="1472"/>
      <c r="F113" s="1472"/>
      <c r="G113" s="1472"/>
      <c r="H113" s="1472"/>
      <c r="I113" s="1472"/>
      <c r="J113" s="1472"/>
      <c r="K113" s="1472"/>
      <c r="L113" s="1472"/>
      <c r="M113" s="1472"/>
      <c r="N113" s="1472"/>
      <c r="O113" s="1472"/>
      <c r="P113" s="1472"/>
      <c r="Q113" s="1472"/>
      <c r="R113" s="1472"/>
      <c r="S113" s="1472"/>
      <c r="T113" s="1472"/>
      <c r="U113" s="1472"/>
      <c r="V113" s="1472"/>
      <c r="W113" s="1472"/>
      <c r="X113" s="1472"/>
      <c r="Y113" s="1472"/>
      <c r="Z113" s="1472"/>
      <c r="AA113" s="1472"/>
      <c r="AB113" s="1472"/>
      <c r="AC113" s="1472"/>
      <c r="AD113" s="1472"/>
      <c r="AE113" s="1472"/>
      <c r="AF113" s="1472"/>
    </row>
    <row r="114" spans="1:32" s="8" customFormat="1" x14ac:dyDescent="0.25"/>
    <row r="115" spans="1:32" s="8" customFormat="1" ht="51.6" customHeight="1" x14ac:dyDescent="0.25">
      <c r="A115" s="515" t="s">
        <v>1013</v>
      </c>
      <c r="B115" s="1173" t="s">
        <v>2026</v>
      </c>
      <c r="C115" s="1173"/>
      <c r="D115" s="1173"/>
      <c r="E115" s="1173"/>
      <c r="F115" s="1173"/>
      <c r="G115" s="1173"/>
      <c r="H115" s="1173"/>
      <c r="I115" s="1173"/>
      <c r="J115" s="1173"/>
      <c r="K115" s="1173"/>
      <c r="L115" s="1173"/>
      <c r="M115" s="1173"/>
      <c r="N115" s="1173"/>
      <c r="O115" s="1173"/>
      <c r="P115" s="1173"/>
      <c r="Q115" s="1173"/>
      <c r="R115" s="1173"/>
      <c r="S115" s="1173"/>
      <c r="T115" s="1173"/>
      <c r="U115" s="1173"/>
      <c r="V115" s="1173"/>
      <c r="W115" s="1173"/>
      <c r="X115" s="1173"/>
      <c r="Y115" s="1173"/>
      <c r="Z115" s="1173"/>
      <c r="AA115" s="1173"/>
      <c r="AB115" s="1173"/>
      <c r="AC115" s="1173"/>
      <c r="AD115" s="1173"/>
      <c r="AE115" s="1173"/>
      <c r="AF115" s="1173"/>
    </row>
    <row r="116" spans="1:32" s="8" customFormat="1" ht="15" customHeight="1" x14ac:dyDescent="0.25">
      <c r="A116" s="515" t="s">
        <v>1013</v>
      </c>
      <c r="B116" s="1168" t="s">
        <v>2665</v>
      </c>
      <c r="C116" s="1168"/>
      <c r="D116" s="1168"/>
      <c r="E116" s="1168"/>
      <c r="F116" s="1168"/>
      <c r="G116" s="1168"/>
      <c r="H116" s="1168"/>
      <c r="I116" s="1168"/>
      <c r="J116" s="1168"/>
      <c r="K116" s="1168"/>
      <c r="L116" s="1168"/>
      <c r="M116" s="1168"/>
      <c r="N116" s="1168"/>
      <c r="O116" s="1168"/>
      <c r="P116" s="1168"/>
      <c r="Q116" s="1168"/>
      <c r="R116" s="1168"/>
      <c r="S116" s="1168"/>
      <c r="T116" s="1168"/>
      <c r="U116" s="1168"/>
      <c r="V116" s="1168"/>
      <c r="W116" s="1168"/>
      <c r="X116" s="1168"/>
      <c r="Y116" s="1168"/>
      <c r="Z116" s="1168"/>
      <c r="AA116" s="1168"/>
      <c r="AB116" s="1168"/>
      <c r="AC116" s="1168"/>
      <c r="AD116" s="1168"/>
      <c r="AE116" s="1168"/>
      <c r="AF116" s="1168"/>
    </row>
    <row r="117" spans="1:32" s="8" customFormat="1" ht="66" customHeight="1" x14ac:dyDescent="0.25">
      <c r="A117" s="515" t="s">
        <v>1013</v>
      </c>
      <c r="B117" s="1173" t="s">
        <v>2954</v>
      </c>
      <c r="C117" s="1173"/>
      <c r="D117" s="1173"/>
      <c r="E117" s="1173"/>
      <c r="F117" s="1173"/>
      <c r="G117" s="1173"/>
      <c r="H117" s="1173"/>
      <c r="I117" s="1173"/>
      <c r="J117" s="1173"/>
      <c r="K117" s="1173"/>
      <c r="L117" s="1173"/>
      <c r="M117" s="1173"/>
      <c r="N117" s="1173"/>
      <c r="O117" s="1173"/>
      <c r="P117" s="1173"/>
      <c r="Q117" s="1173"/>
      <c r="R117" s="1173"/>
      <c r="S117" s="1173"/>
      <c r="T117" s="1173"/>
      <c r="U117" s="1173"/>
      <c r="V117" s="1173"/>
      <c r="W117" s="1173"/>
      <c r="X117" s="1173"/>
      <c r="Y117" s="1173"/>
      <c r="Z117" s="1173"/>
      <c r="AA117" s="1173"/>
      <c r="AB117" s="1173"/>
      <c r="AC117" s="1173"/>
      <c r="AD117" s="1173"/>
      <c r="AE117" s="1173"/>
      <c r="AF117" s="1173"/>
    </row>
    <row r="118" spans="1:32" s="8" customFormat="1" x14ac:dyDescent="0.25">
      <c r="A118" s="515" t="s">
        <v>1013</v>
      </c>
      <c r="B118" s="1173" t="s">
        <v>1795</v>
      </c>
      <c r="C118" s="1173"/>
      <c r="D118" s="1173"/>
      <c r="E118" s="1173"/>
      <c r="F118" s="1173"/>
      <c r="G118" s="1173"/>
      <c r="H118" s="1173"/>
      <c r="I118" s="1173"/>
      <c r="J118" s="1173"/>
      <c r="K118" s="1173"/>
      <c r="L118" s="1173"/>
      <c r="M118" s="1173"/>
      <c r="N118" s="1173"/>
      <c r="O118" s="1173"/>
      <c r="P118" s="1173"/>
      <c r="Q118" s="1173"/>
      <c r="R118" s="1173"/>
      <c r="S118" s="1173"/>
      <c r="T118" s="1173"/>
      <c r="U118" s="1173"/>
      <c r="V118" s="1173"/>
      <c r="W118" s="1173"/>
      <c r="X118" s="1173"/>
      <c r="Y118" s="1173"/>
      <c r="Z118" s="1173"/>
      <c r="AA118" s="1173"/>
      <c r="AB118" s="1173"/>
      <c r="AC118" s="1173"/>
      <c r="AD118" s="1173"/>
      <c r="AE118" s="1173"/>
      <c r="AF118" s="1173"/>
    </row>
    <row r="119" spans="1:32" s="8" customFormat="1" ht="62.25" customHeight="1" x14ac:dyDescent="0.25">
      <c r="A119" s="515" t="s">
        <v>1013</v>
      </c>
      <c r="B119" s="1173" t="s">
        <v>2025</v>
      </c>
      <c r="C119" s="1173"/>
      <c r="D119" s="1173"/>
      <c r="E119" s="1173"/>
      <c r="F119" s="1173"/>
      <c r="G119" s="1173"/>
      <c r="H119" s="1173"/>
      <c r="I119" s="1173"/>
      <c r="J119" s="1173"/>
      <c r="K119" s="1173"/>
      <c r="L119" s="1173"/>
      <c r="M119" s="1173"/>
      <c r="N119" s="1173"/>
      <c r="O119" s="1173"/>
      <c r="P119" s="1173"/>
      <c r="Q119" s="1173"/>
      <c r="R119" s="1173"/>
      <c r="S119" s="1173"/>
      <c r="T119" s="1173"/>
      <c r="U119" s="1173"/>
      <c r="V119" s="1173"/>
      <c r="W119" s="1173"/>
      <c r="X119" s="1173"/>
      <c r="Y119" s="1173"/>
      <c r="Z119" s="1173"/>
      <c r="AA119" s="1173"/>
      <c r="AB119" s="1173"/>
      <c r="AC119" s="1173"/>
      <c r="AD119" s="1173"/>
      <c r="AE119" s="1173"/>
      <c r="AF119" s="1173"/>
    </row>
    <row r="120" spans="1:32" s="8" customFormat="1" ht="33.75" customHeight="1" x14ac:dyDescent="0.25">
      <c r="A120" s="515" t="s">
        <v>1013</v>
      </c>
      <c r="B120" s="1173" t="s">
        <v>1748</v>
      </c>
      <c r="C120" s="1173"/>
      <c r="D120" s="1173"/>
      <c r="E120" s="1173"/>
      <c r="F120" s="1173"/>
      <c r="G120" s="1173"/>
      <c r="H120" s="1173"/>
      <c r="I120" s="1173"/>
      <c r="J120" s="1173"/>
      <c r="K120" s="1173"/>
      <c r="L120" s="1173"/>
      <c r="M120" s="1173"/>
      <c r="N120" s="1173"/>
      <c r="O120" s="1173"/>
      <c r="P120" s="1173"/>
      <c r="Q120" s="1173"/>
      <c r="R120" s="1173"/>
      <c r="S120" s="1173"/>
      <c r="T120" s="1173"/>
      <c r="U120" s="1173"/>
      <c r="V120" s="1173"/>
      <c r="W120" s="1173"/>
      <c r="X120" s="1173"/>
      <c r="Y120" s="1173"/>
      <c r="Z120" s="1173"/>
      <c r="AA120" s="1173"/>
      <c r="AB120" s="1173"/>
      <c r="AC120" s="1173"/>
      <c r="AD120" s="1173"/>
      <c r="AE120" s="1173"/>
      <c r="AF120" s="1173"/>
    </row>
    <row r="121" spans="1:32" s="8" customFormat="1" x14ac:dyDescent="0.25">
      <c r="A121" s="515" t="s">
        <v>1013</v>
      </c>
      <c r="B121" s="1173" t="s">
        <v>2326</v>
      </c>
      <c r="C121" s="1173"/>
      <c r="D121" s="1173"/>
      <c r="E121" s="1173"/>
      <c r="F121" s="1173"/>
      <c r="G121" s="1173"/>
      <c r="H121" s="1173"/>
      <c r="I121" s="1173"/>
      <c r="J121" s="1173"/>
      <c r="K121" s="1173"/>
      <c r="L121" s="1173"/>
      <c r="M121" s="1173"/>
      <c r="N121" s="1173"/>
      <c r="O121" s="1173"/>
      <c r="P121" s="1173"/>
      <c r="Q121" s="1173"/>
      <c r="R121" s="1173"/>
      <c r="S121" s="1173"/>
      <c r="T121" s="1173"/>
      <c r="U121" s="1173"/>
      <c r="V121" s="1173"/>
      <c r="W121" s="1173"/>
      <c r="X121" s="1173"/>
      <c r="Y121" s="1173"/>
      <c r="Z121" s="1173"/>
      <c r="AA121" s="1173"/>
      <c r="AB121" s="1173"/>
      <c r="AC121" s="1173"/>
      <c r="AD121" s="1173"/>
      <c r="AE121" s="1173"/>
      <c r="AF121" s="1173"/>
    </row>
    <row r="122" spans="1:32" s="8" customFormat="1" ht="34.5" customHeight="1" x14ac:dyDescent="0.25">
      <c r="A122" s="515" t="s">
        <v>1013</v>
      </c>
      <c r="B122" s="1173" t="s">
        <v>2321</v>
      </c>
      <c r="C122" s="1173"/>
      <c r="D122" s="1173"/>
      <c r="E122" s="1173"/>
      <c r="F122" s="1173"/>
      <c r="G122" s="1173"/>
      <c r="H122" s="1173"/>
      <c r="I122" s="1173"/>
      <c r="J122" s="1173"/>
      <c r="K122" s="1173"/>
      <c r="L122" s="1173"/>
      <c r="M122" s="1173"/>
      <c r="N122" s="1173"/>
      <c r="O122" s="1173"/>
      <c r="P122" s="1173"/>
      <c r="Q122" s="1173"/>
      <c r="R122" s="1173"/>
      <c r="S122" s="1173"/>
      <c r="T122" s="1173"/>
      <c r="U122" s="1173"/>
      <c r="V122" s="1173"/>
      <c r="W122" s="1173"/>
      <c r="X122" s="1173"/>
      <c r="Y122" s="1173"/>
      <c r="Z122" s="1173"/>
      <c r="AA122" s="1173"/>
      <c r="AB122" s="1173"/>
      <c r="AC122" s="1173"/>
      <c r="AD122" s="1173"/>
      <c r="AE122" s="1173"/>
      <c r="AF122" s="1173"/>
    </row>
    <row r="123" spans="1:32" s="8" customFormat="1" ht="34.5" customHeight="1" x14ac:dyDescent="0.25">
      <c r="A123" s="515" t="s">
        <v>1013</v>
      </c>
      <c r="B123" s="1173" t="s">
        <v>2013</v>
      </c>
      <c r="C123" s="1173"/>
      <c r="D123" s="1173"/>
      <c r="E123" s="1173"/>
      <c r="F123" s="1173"/>
      <c r="G123" s="1173"/>
      <c r="H123" s="1173"/>
      <c r="I123" s="1173"/>
      <c r="J123" s="1173"/>
      <c r="K123" s="1173"/>
      <c r="L123" s="1173"/>
      <c r="M123" s="1173"/>
      <c r="N123" s="1173"/>
      <c r="O123" s="1173"/>
      <c r="P123" s="1173"/>
      <c r="Q123" s="1173"/>
      <c r="R123" s="1173"/>
      <c r="S123" s="1173"/>
      <c r="T123" s="1173"/>
      <c r="U123" s="1173"/>
      <c r="V123" s="1173"/>
      <c r="W123" s="1173"/>
      <c r="X123" s="1173"/>
      <c r="Y123" s="1173"/>
      <c r="Z123" s="1173"/>
      <c r="AA123" s="1173"/>
      <c r="AB123" s="1173"/>
      <c r="AC123" s="1173"/>
      <c r="AD123" s="1173"/>
      <c r="AE123" s="1173"/>
      <c r="AF123" s="1173"/>
    </row>
    <row r="124" spans="1:32" s="8" customFormat="1" ht="34.5" customHeight="1" x14ac:dyDescent="0.25">
      <c r="A124" s="515" t="s">
        <v>1013</v>
      </c>
      <c r="B124" s="1173" t="s">
        <v>2959</v>
      </c>
      <c r="C124" s="1173"/>
      <c r="D124" s="1173"/>
      <c r="E124" s="1173"/>
      <c r="F124" s="1173"/>
      <c r="G124" s="1173"/>
      <c r="H124" s="1173"/>
      <c r="I124" s="1173"/>
      <c r="J124" s="1173"/>
      <c r="K124" s="1173"/>
      <c r="L124" s="1173"/>
      <c r="M124" s="1173"/>
      <c r="N124" s="1173"/>
      <c r="O124" s="1173"/>
      <c r="P124" s="1173"/>
      <c r="Q124" s="1173"/>
      <c r="R124" s="1173"/>
      <c r="S124" s="1173"/>
      <c r="T124" s="1173"/>
      <c r="U124" s="1173"/>
      <c r="V124" s="1173"/>
      <c r="W124" s="1173"/>
      <c r="X124" s="1173"/>
      <c r="Y124" s="1173"/>
      <c r="Z124" s="1173"/>
      <c r="AA124" s="1173"/>
      <c r="AB124" s="1173"/>
      <c r="AC124" s="1173"/>
      <c r="AD124" s="1173"/>
      <c r="AE124" s="1173"/>
      <c r="AF124" s="1173"/>
    </row>
    <row r="125" spans="1:32" ht="35.25" customHeight="1" x14ac:dyDescent="0.25">
      <c r="A125" s="515" t="s">
        <v>1013</v>
      </c>
      <c r="B125" s="1173" t="s">
        <v>2016</v>
      </c>
      <c r="C125" s="1173"/>
      <c r="D125" s="1173"/>
      <c r="E125" s="1173"/>
      <c r="F125" s="1173"/>
      <c r="G125" s="1173"/>
      <c r="H125" s="1173"/>
      <c r="I125" s="1173"/>
      <c r="J125" s="1173"/>
      <c r="K125" s="1173"/>
      <c r="L125" s="1173"/>
      <c r="M125" s="1173"/>
      <c r="N125" s="1173"/>
      <c r="O125" s="1173"/>
      <c r="P125" s="1173"/>
      <c r="Q125" s="1173"/>
      <c r="R125" s="1173"/>
      <c r="S125" s="1173"/>
      <c r="T125" s="1173"/>
      <c r="U125" s="1173"/>
      <c r="V125" s="1173"/>
      <c r="W125" s="1173"/>
      <c r="X125" s="1173"/>
      <c r="Y125" s="1173"/>
      <c r="Z125" s="1173"/>
      <c r="AA125" s="1173"/>
      <c r="AB125" s="1173"/>
      <c r="AC125" s="1173"/>
      <c r="AD125" s="1173"/>
      <c r="AE125" s="1173"/>
      <c r="AF125" s="1173"/>
    </row>
    <row r="126" spans="1:32" ht="50.25" customHeight="1" x14ac:dyDescent="0.25">
      <c r="A126" s="515" t="s">
        <v>1013</v>
      </c>
      <c r="B126" s="1173" t="s">
        <v>2327</v>
      </c>
      <c r="C126" s="1173"/>
      <c r="D126" s="1173"/>
      <c r="E126" s="1173"/>
      <c r="F126" s="1173"/>
      <c r="G126" s="1173"/>
      <c r="H126" s="1173"/>
      <c r="I126" s="1173"/>
      <c r="J126" s="1173"/>
      <c r="K126" s="1173"/>
      <c r="L126" s="1173"/>
      <c r="M126" s="1173"/>
      <c r="N126" s="1173"/>
      <c r="O126" s="1173"/>
      <c r="P126" s="1173"/>
      <c r="Q126" s="1173"/>
      <c r="R126" s="1173"/>
      <c r="S126" s="1173"/>
      <c r="T126" s="1173"/>
      <c r="U126" s="1173"/>
      <c r="V126" s="1173"/>
      <c r="W126" s="1173"/>
      <c r="X126" s="1173"/>
      <c r="Y126" s="1173"/>
      <c r="Z126" s="1173"/>
      <c r="AA126" s="1173"/>
      <c r="AB126" s="1173"/>
      <c r="AC126" s="1173"/>
      <c r="AD126" s="1173"/>
      <c r="AE126" s="1173"/>
      <c r="AF126" s="1173"/>
    </row>
    <row r="127" spans="1:32" x14ac:dyDescent="0.25">
      <c r="A127" s="515" t="s">
        <v>1013</v>
      </c>
      <c r="B127" s="1173" t="s">
        <v>2322</v>
      </c>
      <c r="C127" s="1173"/>
      <c r="D127" s="1173"/>
      <c r="E127" s="1173"/>
      <c r="F127" s="1173"/>
      <c r="G127" s="1173"/>
      <c r="H127" s="1173"/>
      <c r="I127" s="1173"/>
      <c r="J127" s="1173"/>
      <c r="K127" s="1173"/>
      <c r="L127" s="1173"/>
      <c r="M127" s="1173"/>
      <c r="N127" s="1173"/>
      <c r="O127" s="1173"/>
      <c r="P127" s="1173"/>
      <c r="Q127" s="1173"/>
      <c r="R127" s="1173"/>
      <c r="S127" s="1173"/>
      <c r="T127" s="1173"/>
      <c r="U127" s="1173"/>
      <c r="V127" s="1173"/>
      <c r="W127" s="1173"/>
      <c r="X127" s="1173"/>
      <c r="Y127" s="1173"/>
      <c r="Z127" s="1173"/>
      <c r="AA127" s="1173"/>
      <c r="AB127" s="1173"/>
      <c r="AC127" s="1173"/>
      <c r="AD127" s="1173"/>
      <c r="AE127" s="1173"/>
      <c r="AF127" s="1173"/>
    </row>
    <row r="128" spans="1:32" x14ac:dyDescent="0.25">
      <c r="A128" s="515" t="s">
        <v>1013</v>
      </c>
      <c r="B128" s="1173" t="s">
        <v>1798</v>
      </c>
      <c r="C128" s="1173"/>
      <c r="D128" s="1173"/>
      <c r="E128" s="1173"/>
      <c r="F128" s="1173"/>
      <c r="G128" s="1173"/>
      <c r="H128" s="1173"/>
      <c r="I128" s="1173"/>
      <c r="J128" s="1173"/>
      <c r="K128" s="1173"/>
      <c r="L128" s="1173"/>
      <c r="M128" s="1173"/>
      <c r="N128" s="1173"/>
      <c r="O128" s="1173"/>
      <c r="P128" s="1173"/>
      <c r="Q128" s="1173"/>
      <c r="R128" s="1173"/>
      <c r="S128" s="1173"/>
      <c r="T128" s="1173"/>
      <c r="U128" s="1173"/>
      <c r="V128" s="1173"/>
      <c r="W128" s="1173"/>
      <c r="X128" s="1173"/>
      <c r="Y128" s="1173"/>
      <c r="Z128" s="1173"/>
      <c r="AA128" s="1173"/>
      <c r="AB128" s="1173"/>
      <c r="AC128" s="1173"/>
      <c r="AD128" s="1173"/>
      <c r="AE128" s="1173"/>
      <c r="AF128" s="1173"/>
    </row>
    <row r="129" spans="1:32" ht="33.75" customHeight="1" x14ac:dyDescent="0.25">
      <c r="A129" s="515" t="s">
        <v>1013</v>
      </c>
      <c r="B129" s="1173" t="s">
        <v>2328</v>
      </c>
      <c r="C129" s="1173"/>
      <c r="D129" s="1173"/>
      <c r="E129" s="1173"/>
      <c r="F129" s="1173"/>
      <c r="G129" s="1173"/>
      <c r="H129" s="1173"/>
      <c r="I129" s="1173"/>
      <c r="J129" s="1173"/>
      <c r="K129" s="1173"/>
      <c r="L129" s="1173"/>
      <c r="M129" s="1173"/>
      <c r="N129" s="1173"/>
      <c r="O129" s="1173"/>
      <c r="P129" s="1173"/>
      <c r="Q129" s="1173"/>
      <c r="R129" s="1173"/>
      <c r="S129" s="1173"/>
      <c r="T129" s="1173"/>
      <c r="U129" s="1173"/>
      <c r="V129" s="1173"/>
      <c r="W129" s="1173"/>
      <c r="X129" s="1173"/>
      <c r="Y129" s="1173"/>
      <c r="Z129" s="1173"/>
      <c r="AA129" s="1173"/>
      <c r="AB129" s="1173"/>
      <c r="AC129" s="1173"/>
      <c r="AD129" s="1173"/>
      <c r="AE129" s="1173"/>
      <c r="AF129" s="1173"/>
    </row>
    <row r="130" spans="1:32" ht="46.5" customHeight="1" x14ac:dyDescent="0.25">
      <c r="A130" s="515" t="s">
        <v>1013</v>
      </c>
      <c r="B130" s="1173" t="s">
        <v>2323</v>
      </c>
      <c r="C130" s="1173"/>
      <c r="D130" s="1173"/>
      <c r="E130" s="1173"/>
      <c r="F130" s="1173"/>
      <c r="G130" s="1173"/>
      <c r="H130" s="1173"/>
      <c r="I130" s="1173"/>
      <c r="J130" s="1173"/>
      <c r="K130" s="1173"/>
      <c r="L130" s="1173"/>
      <c r="M130" s="1173"/>
      <c r="N130" s="1173"/>
      <c r="O130" s="1173"/>
      <c r="P130" s="1173"/>
      <c r="Q130" s="1173"/>
      <c r="R130" s="1173"/>
      <c r="S130" s="1173"/>
      <c r="T130" s="1173"/>
      <c r="U130" s="1173"/>
      <c r="V130" s="1173"/>
      <c r="W130" s="1173"/>
      <c r="X130" s="1173"/>
      <c r="Y130" s="1173"/>
      <c r="Z130" s="1173"/>
      <c r="AA130" s="1173"/>
      <c r="AB130" s="1173"/>
      <c r="AC130" s="1173"/>
      <c r="AD130" s="1173"/>
      <c r="AE130" s="1173"/>
      <c r="AF130" s="1173"/>
    </row>
    <row r="131" spans="1:32" ht="36.75" customHeight="1" x14ac:dyDescent="0.25">
      <c r="A131" s="515" t="s">
        <v>1013</v>
      </c>
      <c r="B131" s="1173" t="s">
        <v>2960</v>
      </c>
      <c r="C131" s="1173"/>
      <c r="D131" s="1173"/>
      <c r="E131" s="1173"/>
      <c r="F131" s="1173"/>
      <c r="G131" s="1173"/>
      <c r="H131" s="1173"/>
      <c r="I131" s="1173"/>
      <c r="J131" s="1173"/>
      <c r="K131" s="1173"/>
      <c r="L131" s="1173"/>
      <c r="M131" s="1173"/>
      <c r="N131" s="1173"/>
      <c r="O131" s="1173"/>
      <c r="P131" s="1173"/>
      <c r="Q131" s="1173"/>
      <c r="R131" s="1173"/>
      <c r="S131" s="1173"/>
      <c r="T131" s="1173"/>
      <c r="U131" s="1173"/>
      <c r="V131" s="1173"/>
      <c r="W131" s="1173"/>
      <c r="X131" s="1173"/>
      <c r="Y131" s="1173"/>
      <c r="Z131" s="1173"/>
      <c r="AA131" s="1173"/>
      <c r="AB131" s="1173"/>
      <c r="AC131" s="1173"/>
      <c r="AD131" s="1173"/>
      <c r="AE131" s="1173"/>
      <c r="AF131" s="1173"/>
    </row>
    <row r="132" spans="1:32" ht="35.25" customHeight="1" x14ac:dyDescent="0.25">
      <c r="A132" s="515" t="s">
        <v>1013</v>
      </c>
      <c r="B132" s="1173" t="s">
        <v>2324</v>
      </c>
      <c r="C132" s="1173"/>
      <c r="D132" s="1173"/>
      <c r="E132" s="1173"/>
      <c r="F132" s="1173"/>
      <c r="G132" s="1173"/>
      <c r="H132" s="1173"/>
      <c r="I132" s="1173"/>
      <c r="J132" s="1173"/>
      <c r="K132" s="1173"/>
      <c r="L132" s="1173"/>
      <c r="M132" s="1173"/>
      <c r="N132" s="1173"/>
      <c r="O132" s="1173"/>
      <c r="P132" s="1173"/>
      <c r="Q132" s="1173"/>
      <c r="R132" s="1173"/>
      <c r="S132" s="1173"/>
      <c r="T132" s="1173"/>
      <c r="U132" s="1173"/>
      <c r="V132" s="1173"/>
      <c r="W132" s="1173"/>
      <c r="X132" s="1173"/>
      <c r="Y132" s="1173"/>
      <c r="Z132" s="1173"/>
      <c r="AA132" s="1173"/>
      <c r="AB132" s="1173"/>
      <c r="AC132" s="1173"/>
      <c r="AD132" s="1173"/>
      <c r="AE132" s="1173"/>
      <c r="AF132" s="1173"/>
    </row>
    <row r="133" spans="1:32" ht="33" customHeight="1" x14ac:dyDescent="0.25">
      <c r="A133" s="515" t="s">
        <v>1013</v>
      </c>
      <c r="B133" s="1173" t="s">
        <v>2058</v>
      </c>
      <c r="C133" s="1173"/>
      <c r="D133" s="1173"/>
      <c r="E133" s="1173"/>
      <c r="F133" s="1173"/>
      <c r="G133" s="1173"/>
      <c r="H133" s="1173"/>
      <c r="I133" s="1173"/>
      <c r="J133" s="1173"/>
      <c r="K133" s="1173"/>
      <c r="L133" s="1173"/>
      <c r="M133" s="1173"/>
      <c r="N133" s="1173"/>
      <c r="O133" s="1173"/>
      <c r="P133" s="1173"/>
      <c r="Q133" s="1173"/>
      <c r="R133" s="1173"/>
      <c r="S133" s="1173"/>
      <c r="T133" s="1173"/>
      <c r="U133" s="1173"/>
      <c r="V133" s="1173"/>
      <c r="W133" s="1173"/>
      <c r="X133" s="1173"/>
      <c r="Y133" s="1173"/>
      <c r="Z133" s="1173"/>
      <c r="AA133" s="1173"/>
      <c r="AB133" s="1173"/>
      <c r="AC133" s="1173"/>
      <c r="AD133" s="1173"/>
      <c r="AE133" s="1173"/>
      <c r="AF133" s="1173"/>
    </row>
    <row r="134" spans="1:32" ht="35.25" customHeight="1" x14ac:dyDescent="0.25">
      <c r="A134" s="515" t="s">
        <v>1013</v>
      </c>
      <c r="B134" s="1173" t="s">
        <v>1613</v>
      </c>
      <c r="C134" s="1173"/>
      <c r="D134" s="1173"/>
      <c r="E134" s="1173"/>
      <c r="F134" s="1173"/>
      <c r="G134" s="1173"/>
      <c r="H134" s="1173"/>
      <c r="I134" s="1173"/>
      <c r="J134" s="1173"/>
      <c r="K134" s="1173"/>
      <c r="L134" s="1173"/>
      <c r="M134" s="1173"/>
      <c r="N134" s="1173"/>
      <c r="O134" s="1173"/>
      <c r="P134" s="1173"/>
      <c r="Q134" s="1173"/>
      <c r="R134" s="1173"/>
      <c r="S134" s="1173"/>
      <c r="T134" s="1173"/>
      <c r="U134" s="1173"/>
      <c r="V134" s="1173"/>
      <c r="W134" s="1173"/>
      <c r="X134" s="1173"/>
      <c r="Y134" s="1173"/>
      <c r="Z134" s="1173"/>
      <c r="AA134" s="1173"/>
      <c r="AB134" s="1173"/>
      <c r="AC134" s="1173"/>
      <c r="AD134" s="1173"/>
      <c r="AE134" s="1173"/>
      <c r="AF134" s="1173"/>
    </row>
    <row r="135" spans="1:32" ht="33.75" customHeight="1" x14ac:dyDescent="0.25">
      <c r="A135" s="515" t="s">
        <v>1013</v>
      </c>
      <c r="B135" s="1173" t="s">
        <v>2066</v>
      </c>
      <c r="C135" s="1173"/>
      <c r="D135" s="1173"/>
      <c r="E135" s="1173"/>
      <c r="F135" s="1173"/>
      <c r="G135" s="1173"/>
      <c r="H135" s="1173"/>
      <c r="I135" s="1173"/>
      <c r="J135" s="1173"/>
      <c r="K135" s="1173"/>
      <c r="L135" s="1173"/>
      <c r="M135" s="1173"/>
      <c r="N135" s="1173"/>
      <c r="O135" s="1173"/>
      <c r="P135" s="1173"/>
      <c r="Q135" s="1173"/>
      <c r="R135" s="1173"/>
      <c r="S135" s="1173"/>
      <c r="T135" s="1173"/>
      <c r="U135" s="1173"/>
      <c r="V135" s="1173"/>
      <c r="W135" s="1173"/>
      <c r="X135" s="1173"/>
      <c r="Y135" s="1173"/>
      <c r="Z135" s="1173"/>
      <c r="AA135" s="1173"/>
      <c r="AB135" s="1173"/>
      <c r="AC135" s="1173"/>
      <c r="AD135" s="1173"/>
      <c r="AE135" s="1173"/>
      <c r="AF135" s="1173"/>
    </row>
    <row r="136" spans="1:32" x14ac:dyDescent="0.25">
      <c r="A136" s="515" t="s">
        <v>1013</v>
      </c>
      <c r="B136" s="1173" t="s">
        <v>1749</v>
      </c>
      <c r="C136" s="1173"/>
      <c r="D136" s="1173"/>
      <c r="E136" s="1173"/>
      <c r="F136" s="1173"/>
      <c r="G136" s="1173"/>
      <c r="H136" s="1173"/>
      <c r="I136" s="1173"/>
      <c r="J136" s="1173"/>
      <c r="K136" s="1173"/>
      <c r="L136" s="1173"/>
      <c r="M136" s="1173"/>
      <c r="N136" s="1173"/>
      <c r="O136" s="1173"/>
      <c r="P136" s="1173"/>
      <c r="Q136" s="1173"/>
      <c r="R136" s="1173"/>
      <c r="S136" s="1173"/>
      <c r="T136" s="1173"/>
      <c r="U136" s="1173"/>
      <c r="V136" s="1173"/>
      <c r="W136" s="1173"/>
      <c r="X136" s="1173"/>
      <c r="Y136" s="1173"/>
      <c r="Z136" s="1173"/>
      <c r="AA136" s="1173"/>
      <c r="AB136" s="1173"/>
      <c r="AC136" s="1173"/>
      <c r="AD136" s="1173"/>
      <c r="AE136" s="1173"/>
      <c r="AF136" s="1173"/>
    </row>
    <row r="137" spans="1:32" ht="51.75" customHeight="1" x14ac:dyDescent="0.25">
      <c r="A137" s="515" t="s">
        <v>1013</v>
      </c>
      <c r="B137" s="1173" t="s">
        <v>2325</v>
      </c>
      <c r="C137" s="1173"/>
      <c r="D137" s="1173"/>
      <c r="E137" s="1173"/>
      <c r="F137" s="1173"/>
      <c r="G137" s="1173"/>
      <c r="H137" s="1173"/>
      <c r="I137" s="1173"/>
      <c r="J137" s="1173"/>
      <c r="K137" s="1173"/>
      <c r="L137" s="1173"/>
      <c r="M137" s="1173"/>
      <c r="N137" s="1173"/>
      <c r="O137" s="1173"/>
      <c r="P137" s="1173"/>
      <c r="Q137" s="1173"/>
      <c r="R137" s="1173"/>
      <c r="S137" s="1173"/>
      <c r="T137" s="1173"/>
      <c r="U137" s="1173"/>
      <c r="V137" s="1173"/>
      <c r="W137" s="1173"/>
      <c r="X137" s="1173"/>
      <c r="Y137" s="1173"/>
      <c r="Z137" s="1173"/>
      <c r="AA137" s="1173"/>
      <c r="AB137" s="1173"/>
      <c r="AC137" s="1173"/>
      <c r="AD137" s="1173"/>
      <c r="AE137" s="1173"/>
      <c r="AF137" s="1173"/>
    </row>
  </sheetData>
  <sheetProtection algorithmName="SHA-512" hashValue="jYd6qZ5HO5Ocf3pxPUOBfDUp22sD3OlU5zklQteyJ1sROqra4Af8l5cTGcXv9sTC7dflrety6QnnIYRnPiJJOg==" saltValue="8iLRRvuqRlpKhesX0GGazw==" spinCount="100000" sheet="1" objects="1" scenarios="1"/>
  <mergeCells count="273">
    <mergeCell ref="B116:AF116"/>
    <mergeCell ref="A52:D52"/>
    <mergeCell ref="E52:P52"/>
    <mergeCell ref="Q52:T52"/>
    <mergeCell ref="U52:V52"/>
    <mergeCell ref="W52:AF52"/>
    <mergeCell ref="A77:AF77"/>
    <mergeCell ref="A81:H81"/>
    <mergeCell ref="I81:P81"/>
    <mergeCell ref="Q81:X81"/>
    <mergeCell ref="A54:AF54"/>
    <mergeCell ref="A60:D60"/>
    <mergeCell ref="E60:H60"/>
    <mergeCell ref="I60:L60"/>
    <mergeCell ref="M60:P60"/>
    <mergeCell ref="Q60:T60"/>
    <mergeCell ref="A55:AF55"/>
    <mergeCell ref="A57:T58"/>
    <mergeCell ref="A59:D59"/>
    <mergeCell ref="E59:H59"/>
    <mergeCell ref="I59:L59"/>
    <mergeCell ref="M59:P59"/>
    <mergeCell ref="Q59:T59"/>
    <mergeCell ref="U59:X59"/>
    <mergeCell ref="A51:D51"/>
    <mergeCell ref="E51:P51"/>
    <mergeCell ref="Q51:T51"/>
    <mergeCell ref="U51:V51"/>
    <mergeCell ref="W51:AF51"/>
    <mergeCell ref="A44:D44"/>
    <mergeCell ref="E44:P44"/>
    <mergeCell ref="Q44:T44"/>
    <mergeCell ref="U44:V44"/>
    <mergeCell ref="A47:D47"/>
    <mergeCell ref="E47:P47"/>
    <mergeCell ref="Q47:T47"/>
    <mergeCell ref="U47:V47"/>
    <mergeCell ref="W47:AF47"/>
    <mergeCell ref="A50:D50"/>
    <mergeCell ref="E50:P50"/>
    <mergeCell ref="Q50:T50"/>
    <mergeCell ref="U50:V50"/>
    <mergeCell ref="W50:AF50"/>
    <mergeCell ref="A48:D48"/>
    <mergeCell ref="E48:P48"/>
    <mergeCell ref="Q48:T48"/>
    <mergeCell ref="U48:V48"/>
    <mergeCell ref="W48:AF48"/>
    <mergeCell ref="A49:D49"/>
    <mergeCell ref="E49:P49"/>
    <mergeCell ref="Q49:T49"/>
    <mergeCell ref="U49:V49"/>
    <mergeCell ref="W49:AF49"/>
    <mergeCell ref="E43:P43"/>
    <mergeCell ref="Q43:T43"/>
    <mergeCell ref="U43:V43"/>
    <mergeCell ref="W43:AF43"/>
    <mergeCell ref="W44:AF44"/>
    <mergeCell ref="A45:D45"/>
    <mergeCell ref="E45:P45"/>
    <mergeCell ref="Q45:T45"/>
    <mergeCell ref="U45:V45"/>
    <mergeCell ref="W45:AF45"/>
    <mergeCell ref="A46:D46"/>
    <mergeCell ref="E46:P46"/>
    <mergeCell ref="Q46:T46"/>
    <mergeCell ref="U46:V46"/>
    <mergeCell ref="W46:AF46"/>
    <mergeCell ref="A1:AF1"/>
    <mergeCell ref="A7:AF7"/>
    <mergeCell ref="B10:AF10"/>
    <mergeCell ref="A27:AF27"/>
    <mergeCell ref="B18:AF18"/>
    <mergeCell ref="A3:AF3"/>
    <mergeCell ref="B5:AF5"/>
    <mergeCell ref="B13:AF13"/>
    <mergeCell ref="B15:AF15"/>
    <mergeCell ref="A41:AF41"/>
    <mergeCell ref="B21:AF21"/>
    <mergeCell ref="B24:AF24"/>
    <mergeCell ref="A42:D42"/>
    <mergeCell ref="E42:P42"/>
    <mergeCell ref="Q42:T42"/>
    <mergeCell ref="U42:V42"/>
    <mergeCell ref="W42:AF42"/>
    <mergeCell ref="A43:D43"/>
    <mergeCell ref="E62:H62"/>
    <mergeCell ref="I62:L62"/>
    <mergeCell ref="M62:P62"/>
    <mergeCell ref="Q62:T62"/>
    <mergeCell ref="A61:D61"/>
    <mergeCell ref="E61:H61"/>
    <mergeCell ref="I61:L61"/>
    <mergeCell ref="M61:P61"/>
    <mergeCell ref="Q61:T61"/>
    <mergeCell ref="A62:D62"/>
    <mergeCell ref="A64:D64"/>
    <mergeCell ref="E64:H64"/>
    <mergeCell ref="I64:L64"/>
    <mergeCell ref="M64:P64"/>
    <mergeCell ref="Q64:T64"/>
    <mergeCell ref="A63:D63"/>
    <mergeCell ref="E63:H63"/>
    <mergeCell ref="I63:L63"/>
    <mergeCell ref="M63:P63"/>
    <mergeCell ref="Q63:T63"/>
    <mergeCell ref="A66:D66"/>
    <mergeCell ref="E66:H66"/>
    <mergeCell ref="I66:L66"/>
    <mergeCell ref="M66:P66"/>
    <mergeCell ref="Q66:T66"/>
    <mergeCell ref="A65:D65"/>
    <mergeCell ref="E65:H65"/>
    <mergeCell ref="I65:L65"/>
    <mergeCell ref="M65:P65"/>
    <mergeCell ref="Q65:T65"/>
    <mergeCell ref="Q69:T69"/>
    <mergeCell ref="A68:D68"/>
    <mergeCell ref="E68:H68"/>
    <mergeCell ref="I68:L68"/>
    <mergeCell ref="M68:P68"/>
    <mergeCell ref="Q68:T68"/>
    <mergeCell ref="A67:D67"/>
    <mergeCell ref="E67:H67"/>
    <mergeCell ref="I67:L67"/>
    <mergeCell ref="M67:P67"/>
    <mergeCell ref="Q67:T67"/>
    <mergeCell ref="Y59:AF59"/>
    <mergeCell ref="U65:X65"/>
    <mergeCell ref="U66:X66"/>
    <mergeCell ref="U67:X67"/>
    <mergeCell ref="U68:X68"/>
    <mergeCell ref="U69:X69"/>
    <mergeCell ref="U60:X60"/>
    <mergeCell ref="U61:X61"/>
    <mergeCell ref="U62:X62"/>
    <mergeCell ref="U63:X63"/>
    <mergeCell ref="U64:X64"/>
    <mergeCell ref="A86:H86"/>
    <mergeCell ref="A87:H87"/>
    <mergeCell ref="A88:H88"/>
    <mergeCell ref="A89:H89"/>
    <mergeCell ref="A90:H90"/>
    <mergeCell ref="A91:H91"/>
    <mergeCell ref="A92:H92"/>
    <mergeCell ref="U70:X70"/>
    <mergeCell ref="Y60:AF60"/>
    <mergeCell ref="Y61:AF70"/>
    <mergeCell ref="A74:AF74"/>
    <mergeCell ref="A75:AF75"/>
    <mergeCell ref="A71:AF71"/>
    <mergeCell ref="A72:AF72"/>
    <mergeCell ref="A73:AF73"/>
    <mergeCell ref="A70:D70"/>
    <mergeCell ref="E70:H70"/>
    <mergeCell ref="I70:L70"/>
    <mergeCell ref="M70:P70"/>
    <mergeCell ref="Q70:T70"/>
    <mergeCell ref="A69:D69"/>
    <mergeCell ref="E69:H69"/>
    <mergeCell ref="I69:L69"/>
    <mergeCell ref="M69:P69"/>
    <mergeCell ref="Y81:AF81"/>
    <mergeCell ref="Y82:AF82"/>
    <mergeCell ref="I83:P83"/>
    <mergeCell ref="Q83:X83"/>
    <mergeCell ref="Y83:AF83"/>
    <mergeCell ref="A82:H82"/>
    <mergeCell ref="A83:H83"/>
    <mergeCell ref="A84:H84"/>
    <mergeCell ref="A85:H85"/>
    <mergeCell ref="I82:P82"/>
    <mergeCell ref="Q82:X82"/>
    <mergeCell ref="I86:P86"/>
    <mergeCell ref="Q86:X86"/>
    <mergeCell ref="Y86:AF86"/>
    <mergeCell ref="I87:P87"/>
    <mergeCell ref="Q87:X87"/>
    <mergeCell ref="Y87:AF87"/>
    <mergeCell ref="I84:P84"/>
    <mergeCell ref="Q84:X84"/>
    <mergeCell ref="Y84:AF84"/>
    <mergeCell ref="I85:P85"/>
    <mergeCell ref="Q85:X85"/>
    <mergeCell ref="Y85:AF85"/>
    <mergeCell ref="I90:P90"/>
    <mergeCell ref="Q90:X90"/>
    <mergeCell ref="Y90:AF90"/>
    <mergeCell ref="I91:P91"/>
    <mergeCell ref="Q91:X91"/>
    <mergeCell ref="Y91:AF91"/>
    <mergeCell ref="I88:P88"/>
    <mergeCell ref="Q88:X88"/>
    <mergeCell ref="Y88:AF88"/>
    <mergeCell ref="I89:P89"/>
    <mergeCell ref="Q89:X89"/>
    <mergeCell ref="Y89:AF89"/>
    <mergeCell ref="A100:H100"/>
    <mergeCell ref="A101:H101"/>
    <mergeCell ref="A102:H102"/>
    <mergeCell ref="A103:H103"/>
    <mergeCell ref="A104:H104"/>
    <mergeCell ref="I92:P92"/>
    <mergeCell ref="Q92:X92"/>
    <mergeCell ref="Y92:AF92"/>
    <mergeCell ref="D98:H98"/>
    <mergeCell ref="I106:P106"/>
    <mergeCell ref="Q106:X106"/>
    <mergeCell ref="Y106:AF106"/>
    <mergeCell ref="A110:H110"/>
    <mergeCell ref="A111:H111"/>
    <mergeCell ref="I100:P100"/>
    <mergeCell ref="Q100:X100"/>
    <mergeCell ref="Y100:AF100"/>
    <mergeCell ref="I101:P101"/>
    <mergeCell ref="Q101:X101"/>
    <mergeCell ref="Y101:AF101"/>
    <mergeCell ref="I102:P102"/>
    <mergeCell ref="Q102:X102"/>
    <mergeCell ref="Y102:AF102"/>
    <mergeCell ref="I103:P103"/>
    <mergeCell ref="Q103:X103"/>
    <mergeCell ref="Y103:AF103"/>
    <mergeCell ref="I104:P104"/>
    <mergeCell ref="Q104:X104"/>
    <mergeCell ref="A105:H105"/>
    <mergeCell ref="A106:H106"/>
    <mergeCell ref="A107:H107"/>
    <mergeCell ref="A108:H108"/>
    <mergeCell ref="A109:H109"/>
    <mergeCell ref="B115:AF115"/>
    <mergeCell ref="B117:AF117"/>
    <mergeCell ref="B118:AF118"/>
    <mergeCell ref="I111:P111"/>
    <mergeCell ref="Q111:X111"/>
    <mergeCell ref="Y111:AF111"/>
    <mergeCell ref="A53:AF53"/>
    <mergeCell ref="A113:AF113"/>
    <mergeCell ref="I109:P109"/>
    <mergeCell ref="Q109:X109"/>
    <mergeCell ref="Y109:AF109"/>
    <mergeCell ref="I110:P110"/>
    <mergeCell ref="Q110:X110"/>
    <mergeCell ref="Y110:AF110"/>
    <mergeCell ref="I107:P107"/>
    <mergeCell ref="Q107:X107"/>
    <mergeCell ref="Y107:AF107"/>
    <mergeCell ref="I108:P108"/>
    <mergeCell ref="Q108:X108"/>
    <mergeCell ref="Y108:AF108"/>
    <mergeCell ref="Y104:AF104"/>
    <mergeCell ref="I105:P105"/>
    <mergeCell ref="Q105:X105"/>
    <mergeCell ref="Y105:AF105"/>
    <mergeCell ref="B124:AF124"/>
    <mergeCell ref="B125:AF125"/>
    <mergeCell ref="B126:AF126"/>
    <mergeCell ref="B127:AF127"/>
    <mergeCell ref="B128:AF128"/>
    <mergeCell ref="B121:AF121"/>
    <mergeCell ref="B122:AF122"/>
    <mergeCell ref="B123:AF123"/>
    <mergeCell ref="B119:AF119"/>
    <mergeCell ref="B120:AF120"/>
    <mergeCell ref="B134:AF134"/>
    <mergeCell ref="B135:AF135"/>
    <mergeCell ref="B136:AF136"/>
    <mergeCell ref="B137:AF137"/>
    <mergeCell ref="B129:AF129"/>
    <mergeCell ref="B130:AF130"/>
    <mergeCell ref="B131:AF131"/>
    <mergeCell ref="B132:AF132"/>
    <mergeCell ref="B133:AF133"/>
  </mergeCells>
  <hyperlinks>
    <hyperlink ref="A2" location="TOC!A1" display="Return to TOC" xr:uid="{00000000-0004-0000-2F00-000000000000}"/>
    <hyperlink ref="Y61:AF70" location="C_Light_General!A1" display="Values tie back to C_Light_General tab, Tables 3, 4, and 5." xr:uid="{39177BC0-2384-4C94-A066-23A3A5C0EB3D}"/>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1:AF39" numberStoredAsText="1"/>
    <ignoredError sqref="I82:AF92 I101:AF111" evalErro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7">
    <pageSetUpPr autoPageBreaks="0"/>
  </sheetPr>
  <dimension ref="A1:AF52"/>
  <sheetViews>
    <sheetView showGridLines="0" zoomScaleNormal="100" workbookViewId="0">
      <selection sqref="A1:AF1"/>
    </sheetView>
  </sheetViews>
  <sheetFormatPr defaultColWidth="2.7109375" defaultRowHeight="15" x14ac:dyDescent="0.25"/>
  <cols>
    <col min="1" max="16384" width="2.7109375" style="266"/>
  </cols>
  <sheetData>
    <row r="1" spans="1:32" ht="19.5" thickBot="1" x14ac:dyDescent="0.3">
      <c r="A1" s="1130" t="s">
        <v>1010</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45"/>
    </row>
    <row r="2" spans="1:32" x14ac:dyDescent="0.25">
      <c r="A2" s="376" t="s">
        <v>1702</v>
      </c>
    </row>
    <row r="3" spans="1:32"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14.45" customHeight="1" x14ac:dyDescent="0.25">
      <c r="A5" s="262"/>
      <c r="B5" s="1151" t="s">
        <v>6535</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customFormat="1" ht="14.45" customHeight="1" x14ac:dyDescent="0.25">
      <c r="A6" s="262"/>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ht="15.75" x14ac:dyDescent="0.25">
      <c r="A7" s="1146" t="s">
        <v>2993</v>
      </c>
      <c r="B7" s="1146"/>
      <c r="C7" s="1146"/>
      <c r="D7" s="1146"/>
      <c r="E7" s="1146"/>
      <c r="F7" s="1146"/>
      <c r="G7" s="1146"/>
      <c r="H7" s="1146"/>
      <c r="I7" s="1146"/>
      <c r="J7" s="1146"/>
      <c r="K7" s="1146"/>
      <c r="L7" s="1146"/>
      <c r="M7" s="1146"/>
      <c r="N7" s="1146"/>
      <c r="O7" s="1146"/>
      <c r="P7" s="1146"/>
      <c r="Q7" s="1146"/>
      <c r="R7" s="1146"/>
      <c r="S7" s="1146"/>
      <c r="T7" s="1146"/>
      <c r="U7" s="1146"/>
      <c r="V7" s="1146"/>
      <c r="W7" s="1146"/>
      <c r="X7" s="1146"/>
      <c r="Y7" s="1146"/>
      <c r="Z7" s="1146"/>
      <c r="AA7" s="1146"/>
      <c r="AB7" s="1146"/>
      <c r="AC7" s="1146"/>
      <c r="AD7" s="1146"/>
      <c r="AE7" s="1146"/>
      <c r="AF7" s="1146"/>
    </row>
    <row r="8" spans="1:32" ht="66" customHeight="1" x14ac:dyDescent="0.25">
      <c r="A8" s="1147" t="s">
        <v>2992</v>
      </c>
      <c r="B8" s="1147"/>
      <c r="C8" s="1147"/>
      <c r="D8" s="1147"/>
      <c r="E8" s="1147"/>
      <c r="F8" s="1147"/>
      <c r="G8" s="1147"/>
      <c r="H8" s="1147"/>
      <c r="I8" s="1147"/>
      <c r="J8" s="1147"/>
      <c r="K8" s="1147"/>
      <c r="L8" s="1147"/>
      <c r="M8" s="1147"/>
      <c r="N8" s="1147"/>
      <c r="O8" s="1147"/>
      <c r="P8" s="1147"/>
      <c r="Q8" s="1147"/>
      <c r="R8" s="1147"/>
      <c r="S8" s="1147"/>
      <c r="T8" s="1147"/>
      <c r="U8" s="1147"/>
      <c r="V8" s="1147"/>
      <c r="W8" s="1147"/>
      <c r="X8" s="1147"/>
      <c r="Y8" s="1147"/>
      <c r="Z8" s="1147"/>
      <c r="AA8" s="1147"/>
      <c r="AB8" s="1147"/>
      <c r="AC8" s="1147"/>
      <c r="AD8" s="1147"/>
      <c r="AE8" s="1147"/>
      <c r="AF8" s="1147"/>
    </row>
    <row r="9" spans="1:32" x14ac:dyDescent="0.25">
      <c r="A9" s="1143"/>
      <c r="B9" s="1143"/>
      <c r="C9" s="1143"/>
      <c r="D9" s="1143"/>
      <c r="E9" s="1143"/>
      <c r="F9" s="1143"/>
      <c r="G9" s="1143"/>
      <c r="H9" s="1143"/>
      <c r="I9" s="1143"/>
      <c r="J9" s="1143"/>
      <c r="K9" s="1143"/>
      <c r="L9" s="1143"/>
      <c r="M9" s="1143"/>
      <c r="N9" s="1143"/>
      <c r="O9" s="1143"/>
      <c r="P9" s="1143"/>
      <c r="Q9" s="1143"/>
      <c r="R9" s="1143"/>
      <c r="S9" s="1143"/>
      <c r="T9" s="1143"/>
      <c r="U9" s="1143"/>
      <c r="V9" s="1143"/>
      <c r="W9" s="1143"/>
      <c r="X9" s="1143"/>
      <c r="Y9" s="1143"/>
      <c r="Z9" s="1143"/>
      <c r="AA9" s="1143"/>
      <c r="AB9" s="1143"/>
      <c r="AC9" s="1143"/>
      <c r="AD9" s="1143"/>
      <c r="AE9" s="1143"/>
      <c r="AF9" s="1143"/>
    </row>
    <row r="10" spans="1:32" ht="60.6" customHeight="1" x14ac:dyDescent="0.25">
      <c r="A10" s="1142" t="s">
        <v>1011</v>
      </c>
      <c r="B10" s="1142"/>
      <c r="C10" s="1142"/>
      <c r="D10" s="1142"/>
      <c r="E10" s="1142"/>
      <c r="F10" s="1142"/>
      <c r="G10" s="1142"/>
      <c r="H10" s="1142"/>
      <c r="I10" s="1142"/>
      <c r="J10" s="1142"/>
      <c r="K10" s="1142"/>
      <c r="L10" s="1142"/>
      <c r="M10" s="1142"/>
      <c r="N10" s="1142"/>
      <c r="O10" s="1142"/>
      <c r="P10" s="1142"/>
      <c r="Q10" s="1142"/>
      <c r="R10" s="1142"/>
      <c r="S10" s="1142"/>
      <c r="T10" s="1142"/>
      <c r="U10" s="1142"/>
      <c r="V10" s="1142"/>
      <c r="W10" s="1142"/>
      <c r="X10" s="1142"/>
      <c r="Y10" s="1142"/>
      <c r="Z10" s="1142"/>
      <c r="AA10" s="1142"/>
      <c r="AB10" s="1142"/>
      <c r="AC10" s="1142"/>
      <c r="AD10" s="1142"/>
      <c r="AE10" s="1142"/>
      <c r="AF10" s="1142"/>
    </row>
    <row r="11" spans="1:32" x14ac:dyDescent="0.25">
      <c r="A11" s="1143"/>
      <c r="B11" s="1143"/>
      <c r="C11" s="1143"/>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row>
    <row r="12" spans="1:32" x14ac:dyDescent="0.25">
      <c r="A12" s="1143" t="s">
        <v>1012</v>
      </c>
      <c r="B12" s="1143"/>
      <c r="C12" s="1143"/>
      <c r="D12" s="1143"/>
      <c r="E12" s="1143"/>
      <c r="F12" s="1143"/>
      <c r="G12" s="1143"/>
      <c r="H12" s="1143"/>
      <c r="I12" s="1143"/>
      <c r="J12" s="1143"/>
      <c r="K12" s="1143"/>
      <c r="L12" s="1143"/>
      <c r="M12" s="1143"/>
      <c r="N12" s="1143"/>
      <c r="O12" s="1143"/>
      <c r="P12" s="1143"/>
      <c r="Q12" s="1143"/>
      <c r="R12" s="1143"/>
      <c r="S12" s="1143"/>
      <c r="T12" s="1143"/>
      <c r="U12" s="1143"/>
      <c r="V12" s="1143"/>
      <c r="W12" s="1143"/>
      <c r="X12" s="1143"/>
      <c r="Y12" s="1143"/>
      <c r="Z12" s="1143"/>
      <c r="AA12" s="1143"/>
      <c r="AB12" s="1143"/>
      <c r="AC12" s="1143"/>
      <c r="AD12" s="1143"/>
      <c r="AE12" s="1143"/>
      <c r="AF12" s="1143"/>
    </row>
    <row r="13" spans="1:32" x14ac:dyDescent="0.25">
      <c r="A13" s="1143"/>
      <c r="B13" s="1143"/>
      <c r="C13" s="1143"/>
      <c r="D13" s="1143"/>
      <c r="E13" s="1143"/>
      <c r="F13" s="1143"/>
      <c r="G13" s="1143"/>
      <c r="H13" s="1143"/>
      <c r="I13" s="1143"/>
      <c r="J13" s="1143"/>
      <c r="K13" s="1143"/>
      <c r="L13" s="1143"/>
      <c r="M13" s="1143"/>
      <c r="N13" s="1143"/>
      <c r="O13" s="1143"/>
      <c r="P13" s="1143"/>
      <c r="Q13" s="1143"/>
      <c r="R13" s="1143"/>
      <c r="S13" s="1143"/>
      <c r="T13" s="1143"/>
      <c r="U13" s="1143"/>
      <c r="V13" s="1143"/>
      <c r="W13" s="1143"/>
      <c r="X13" s="1143"/>
      <c r="Y13" s="1143"/>
      <c r="Z13" s="1143"/>
      <c r="AA13" s="1143"/>
      <c r="AB13" s="1143"/>
      <c r="AC13" s="1143"/>
      <c r="AD13" s="1143"/>
      <c r="AE13" s="1143"/>
      <c r="AF13" s="1143"/>
    </row>
    <row r="14" spans="1:32" ht="65.25" customHeight="1" x14ac:dyDescent="0.25">
      <c r="B14" s="267" t="s">
        <v>1013</v>
      </c>
      <c r="C14" s="1142" t="s">
        <v>3002</v>
      </c>
      <c r="D14" s="1142"/>
      <c r="E14" s="1142"/>
      <c r="F14" s="1142"/>
      <c r="G14" s="1142"/>
      <c r="H14" s="1142"/>
      <c r="I14" s="1142"/>
      <c r="J14" s="1142"/>
      <c r="K14" s="1142"/>
      <c r="L14" s="1142"/>
      <c r="M14" s="1142"/>
      <c r="N14" s="1142"/>
      <c r="O14" s="1142"/>
      <c r="P14" s="1142"/>
      <c r="Q14" s="1142"/>
      <c r="R14" s="1142"/>
      <c r="S14" s="1142"/>
      <c r="T14" s="1142"/>
      <c r="U14" s="1142"/>
      <c r="V14" s="1142"/>
      <c r="W14" s="1142"/>
      <c r="X14" s="1142"/>
      <c r="Y14" s="1142"/>
      <c r="Z14" s="1142"/>
      <c r="AA14" s="1142"/>
      <c r="AB14" s="1142"/>
      <c r="AC14" s="1142"/>
      <c r="AD14" s="1142"/>
      <c r="AE14" s="1142"/>
      <c r="AF14" s="1142"/>
    </row>
    <row r="15" spans="1:32" x14ac:dyDescent="0.25">
      <c r="A15" s="1143"/>
      <c r="B15" s="1143"/>
      <c r="C15" s="1143"/>
      <c r="D15" s="1143"/>
      <c r="E15" s="1143"/>
      <c r="F15" s="1143"/>
      <c r="G15" s="1143"/>
      <c r="H15" s="1143"/>
      <c r="I15" s="1143"/>
      <c r="J15" s="1143"/>
      <c r="K15" s="1143"/>
      <c r="L15" s="1143"/>
      <c r="M15" s="1143"/>
      <c r="N15" s="1143"/>
      <c r="O15" s="1143"/>
      <c r="P15" s="1143"/>
      <c r="Q15" s="1143"/>
      <c r="R15" s="1143"/>
      <c r="S15" s="1143"/>
      <c r="T15" s="1143"/>
      <c r="U15" s="1143"/>
      <c r="V15" s="1143"/>
      <c r="W15" s="1143"/>
      <c r="X15" s="1143"/>
      <c r="Y15" s="1143"/>
      <c r="Z15" s="1143"/>
      <c r="AA15" s="1143"/>
      <c r="AB15" s="1143"/>
      <c r="AC15" s="1143"/>
      <c r="AD15" s="1143"/>
      <c r="AE15" s="1143"/>
      <c r="AF15" s="1143"/>
    </row>
    <row r="16" spans="1:32" ht="111.75" customHeight="1" x14ac:dyDescent="0.25">
      <c r="B16" s="268" t="s">
        <v>1013</v>
      </c>
      <c r="C16" s="1142" t="s">
        <v>3808</v>
      </c>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7" spans="1:32" x14ac:dyDescent="0.25">
      <c r="A17" s="1143"/>
      <c r="B17" s="1143"/>
      <c r="C17" s="1143"/>
      <c r="D17" s="1143"/>
      <c r="E17" s="1143"/>
      <c r="F17" s="1143"/>
      <c r="G17" s="1143"/>
      <c r="H17" s="1143"/>
      <c r="I17" s="1143"/>
      <c r="J17" s="1143"/>
      <c r="K17" s="1143"/>
      <c r="L17" s="1143"/>
      <c r="M17" s="1143"/>
      <c r="N17" s="1143"/>
      <c r="O17" s="1143"/>
      <c r="P17" s="1143"/>
      <c r="Q17" s="1143"/>
      <c r="R17" s="1143"/>
      <c r="S17" s="1143"/>
      <c r="T17" s="1143"/>
      <c r="U17" s="1143"/>
      <c r="V17" s="1143"/>
      <c r="W17" s="1143"/>
      <c r="X17" s="1143"/>
      <c r="Y17" s="1143"/>
      <c r="Z17" s="1143"/>
      <c r="AA17" s="1143"/>
      <c r="AB17" s="1143"/>
      <c r="AC17" s="1143"/>
      <c r="AD17" s="1143"/>
      <c r="AE17" s="1143"/>
      <c r="AF17" s="1143"/>
    </row>
    <row r="18" spans="1:32" ht="76.5" customHeight="1" x14ac:dyDescent="0.25">
      <c r="B18" s="266" t="s">
        <v>1013</v>
      </c>
      <c r="C18" s="1142" t="s">
        <v>3003</v>
      </c>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2"/>
      <c r="AB18" s="1142"/>
      <c r="AC18" s="1142"/>
      <c r="AD18" s="1142"/>
      <c r="AE18" s="1142"/>
      <c r="AF18" s="1142"/>
    </row>
    <row r="19" spans="1:32" x14ac:dyDescent="0.25">
      <c r="A19" s="1143"/>
      <c r="B19" s="1143"/>
      <c r="C19" s="1143"/>
      <c r="D19" s="1143"/>
      <c r="E19" s="1143"/>
      <c r="F19" s="1143"/>
      <c r="G19" s="1143"/>
      <c r="H19" s="1143"/>
      <c r="I19" s="1143"/>
      <c r="J19" s="1143"/>
      <c r="K19" s="1143"/>
      <c r="L19" s="1143"/>
      <c r="M19" s="1143"/>
      <c r="N19" s="1143"/>
      <c r="O19" s="1143"/>
      <c r="P19" s="1143"/>
      <c r="Q19" s="1143"/>
      <c r="R19" s="1143"/>
      <c r="S19" s="1143"/>
      <c r="T19" s="1143"/>
      <c r="U19" s="1143"/>
      <c r="V19" s="1143"/>
      <c r="W19" s="1143"/>
      <c r="X19" s="1143"/>
      <c r="Y19" s="1143"/>
      <c r="Z19" s="1143"/>
      <c r="AA19" s="1143"/>
      <c r="AB19" s="1143"/>
      <c r="AC19" s="1143"/>
      <c r="AD19" s="1143"/>
      <c r="AE19" s="1143"/>
      <c r="AF19" s="1143"/>
    </row>
    <row r="20" spans="1:32" ht="81.75" customHeight="1" x14ac:dyDescent="0.25">
      <c r="B20" s="268" t="s">
        <v>1013</v>
      </c>
      <c r="C20" s="1142" t="s">
        <v>2996</v>
      </c>
      <c r="D20" s="1142"/>
      <c r="E20" s="1142"/>
      <c r="F20" s="1142"/>
      <c r="G20" s="1142"/>
      <c r="H20" s="1142"/>
      <c r="I20" s="1142"/>
      <c r="J20" s="1142"/>
      <c r="K20" s="1142"/>
      <c r="L20" s="1142"/>
      <c r="M20" s="1142"/>
      <c r="N20" s="1142"/>
      <c r="O20" s="1142"/>
      <c r="P20" s="1142"/>
      <c r="Q20" s="1142"/>
      <c r="R20" s="1142"/>
      <c r="S20" s="1142"/>
      <c r="T20" s="1142"/>
      <c r="U20" s="1142"/>
      <c r="V20" s="1142"/>
      <c r="W20" s="1142"/>
      <c r="X20" s="1142"/>
      <c r="Y20" s="1142"/>
      <c r="Z20" s="1142"/>
      <c r="AA20" s="1142"/>
      <c r="AB20" s="1142"/>
      <c r="AC20" s="1142"/>
      <c r="AD20" s="1142"/>
      <c r="AE20" s="1142"/>
      <c r="AF20" s="1142"/>
    </row>
    <row r="21" spans="1:32" x14ac:dyDescent="0.25">
      <c r="B21" s="268"/>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0"/>
    </row>
    <row r="22" spans="1:32" ht="50.25" customHeight="1" x14ac:dyDescent="0.25">
      <c r="A22" s="1142" t="s">
        <v>3004</v>
      </c>
      <c r="B22" s="1142"/>
      <c r="C22" s="1142"/>
      <c r="D22" s="1142"/>
      <c r="E22" s="1142"/>
      <c r="F22" s="1142"/>
      <c r="G22" s="1142"/>
      <c r="H22" s="1142"/>
      <c r="I22" s="1142"/>
      <c r="J22" s="1142"/>
      <c r="K22" s="1142"/>
      <c r="L22" s="1142"/>
      <c r="M22" s="1142"/>
      <c r="N22" s="1142"/>
      <c r="O22" s="1142"/>
      <c r="P22" s="1142"/>
      <c r="Q22" s="1142"/>
      <c r="R22" s="1142"/>
      <c r="S22" s="1142"/>
      <c r="T22" s="1142"/>
      <c r="U22" s="1142"/>
      <c r="V22" s="1142"/>
      <c r="W22" s="1142"/>
      <c r="X22" s="1142"/>
      <c r="Y22" s="1142"/>
      <c r="Z22" s="1142"/>
      <c r="AA22" s="1142"/>
      <c r="AB22" s="1142"/>
      <c r="AC22" s="1142"/>
      <c r="AD22" s="1142"/>
      <c r="AE22" s="1142"/>
      <c r="AF22" s="1142"/>
    </row>
    <row r="23" spans="1:32" ht="15.75" x14ac:dyDescent="0.25">
      <c r="A23" s="532"/>
      <c r="B23" s="532"/>
      <c r="C23" s="532"/>
      <c r="D23" s="532"/>
      <c r="E23" s="532"/>
      <c r="F23" s="532"/>
      <c r="G23" s="532"/>
      <c r="H23" s="532"/>
      <c r="I23" s="532"/>
      <c r="J23" s="532"/>
      <c r="K23" s="532"/>
      <c r="L23" s="532"/>
      <c r="M23" s="532"/>
      <c r="N23" s="532"/>
      <c r="O23" s="532"/>
      <c r="P23" s="532"/>
      <c r="Q23" s="532"/>
      <c r="R23" s="532"/>
      <c r="S23" s="532"/>
      <c r="T23" s="532"/>
      <c r="U23" s="532"/>
      <c r="V23" s="532"/>
      <c r="W23" s="532"/>
      <c r="X23" s="532"/>
      <c r="Y23" s="532"/>
      <c r="Z23" s="532"/>
      <c r="AA23" s="532"/>
      <c r="AB23" s="532"/>
      <c r="AC23" s="532"/>
      <c r="AD23" s="532"/>
      <c r="AE23" s="532"/>
      <c r="AF23" s="532"/>
    </row>
    <row r="24" spans="1:32" x14ac:dyDescent="0.25">
      <c r="A24" s="1144" t="s">
        <v>1014</v>
      </c>
      <c r="B24" s="1144"/>
      <c r="C24" s="1144"/>
      <c r="D24" s="1144"/>
      <c r="E24" s="1144"/>
      <c r="F24" s="1144"/>
      <c r="G24" s="1144"/>
      <c r="H24" s="1144"/>
      <c r="I24" s="1144"/>
      <c r="J24" s="1144"/>
      <c r="K24" s="1144"/>
      <c r="L24" s="1144"/>
      <c r="M24" s="1144"/>
      <c r="N24" s="1144"/>
      <c r="O24" s="1144"/>
      <c r="P24" s="1144"/>
      <c r="Q24" s="1144"/>
      <c r="R24" s="1144"/>
      <c r="S24" s="1144"/>
      <c r="T24" s="1144"/>
      <c r="U24" s="1144"/>
      <c r="V24" s="1144"/>
      <c r="W24" s="1144"/>
      <c r="X24" s="1144"/>
      <c r="Y24" s="1144"/>
      <c r="Z24" s="1144"/>
      <c r="AA24" s="1144"/>
      <c r="AB24" s="1144"/>
      <c r="AC24" s="1144"/>
      <c r="AD24" s="1144"/>
      <c r="AE24" s="1144"/>
      <c r="AF24" s="1144"/>
    </row>
    <row r="25" spans="1:32" ht="111" customHeight="1" x14ac:dyDescent="0.25">
      <c r="A25" s="1142" t="s">
        <v>3005</v>
      </c>
      <c r="B25" s="1142"/>
      <c r="C25" s="1142"/>
      <c r="D25" s="1142"/>
      <c r="E25" s="1142"/>
      <c r="F25" s="1142"/>
      <c r="G25" s="1142"/>
      <c r="H25" s="1142"/>
      <c r="I25" s="1142"/>
      <c r="J25" s="1142"/>
      <c r="K25" s="1142"/>
      <c r="L25" s="1142"/>
      <c r="M25" s="1142"/>
      <c r="N25" s="1142"/>
      <c r="O25" s="1142"/>
      <c r="P25" s="1142"/>
      <c r="Q25" s="1142"/>
      <c r="R25" s="1142"/>
      <c r="S25" s="1142"/>
      <c r="T25" s="1142"/>
      <c r="U25" s="1142"/>
      <c r="V25" s="1142"/>
      <c r="W25" s="1142"/>
      <c r="X25" s="1142"/>
      <c r="Y25" s="1142"/>
      <c r="Z25" s="1142"/>
      <c r="AA25" s="1142"/>
      <c r="AB25" s="1142"/>
      <c r="AC25" s="1142"/>
      <c r="AD25" s="1142"/>
      <c r="AE25" s="1142"/>
      <c r="AF25" s="1142"/>
    </row>
    <row r="26" spans="1:32" x14ac:dyDescent="0.25">
      <c r="A26" s="1143"/>
      <c r="B26" s="1143"/>
      <c r="C26" s="1143"/>
      <c r="D26" s="1143"/>
      <c r="E26" s="1143"/>
      <c r="F26" s="1143"/>
      <c r="G26" s="1143"/>
      <c r="H26" s="1143"/>
      <c r="I26" s="1143"/>
      <c r="J26" s="1143"/>
      <c r="K26" s="1143"/>
      <c r="L26" s="1143"/>
      <c r="M26" s="1143"/>
      <c r="N26" s="1143"/>
      <c r="O26" s="1143"/>
      <c r="P26" s="1143"/>
      <c r="Q26" s="1143"/>
      <c r="R26" s="1143"/>
      <c r="S26" s="1143"/>
      <c r="T26" s="1143"/>
      <c r="U26" s="1143"/>
      <c r="V26" s="1143"/>
      <c r="W26" s="1143"/>
      <c r="X26" s="1143"/>
      <c r="Y26" s="1143"/>
      <c r="Z26" s="1143"/>
      <c r="AA26" s="1143"/>
      <c r="AB26" s="1143"/>
      <c r="AC26" s="1143"/>
      <c r="AD26" s="1143"/>
      <c r="AE26" s="1143"/>
      <c r="AF26" s="1143"/>
    </row>
    <row r="27" spans="1:32" ht="84" customHeight="1" x14ac:dyDescent="0.25">
      <c r="A27" s="1142" t="s">
        <v>2506</v>
      </c>
      <c r="B27" s="1142"/>
      <c r="C27" s="1142"/>
      <c r="D27" s="1142"/>
      <c r="E27" s="1142"/>
      <c r="F27" s="1142"/>
      <c r="G27" s="1142"/>
      <c r="H27" s="1142"/>
      <c r="I27" s="1142"/>
      <c r="J27" s="1142"/>
      <c r="K27" s="1142"/>
      <c r="L27" s="1142"/>
      <c r="M27" s="1142"/>
      <c r="N27" s="1142"/>
      <c r="O27" s="1142"/>
      <c r="P27" s="1142"/>
      <c r="Q27" s="1142"/>
      <c r="R27" s="1142"/>
      <c r="S27" s="1142"/>
      <c r="T27" s="1142"/>
      <c r="U27" s="1142"/>
      <c r="V27" s="1142"/>
      <c r="W27" s="1142"/>
      <c r="X27" s="1142"/>
      <c r="Y27" s="1142"/>
      <c r="Z27" s="1142"/>
      <c r="AA27" s="1142"/>
      <c r="AB27" s="1142"/>
      <c r="AC27" s="1142"/>
      <c r="AD27" s="1142"/>
      <c r="AE27" s="1142"/>
      <c r="AF27" s="1142"/>
    </row>
    <row r="28" spans="1:32" x14ac:dyDescent="0.25">
      <c r="A28" s="270"/>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row>
    <row r="29" spans="1:32" ht="67.5" customHeight="1" x14ac:dyDescent="0.25">
      <c r="A29" s="1142" t="s">
        <v>2507</v>
      </c>
      <c r="B29" s="1142"/>
      <c r="C29" s="1142"/>
      <c r="D29" s="1142"/>
      <c r="E29" s="1142"/>
      <c r="F29" s="1142"/>
      <c r="G29" s="1142"/>
      <c r="H29" s="1142"/>
      <c r="I29" s="1142"/>
      <c r="J29" s="1142"/>
      <c r="K29" s="1142"/>
      <c r="L29" s="1142"/>
      <c r="M29" s="1142"/>
      <c r="N29" s="1142"/>
      <c r="O29" s="1142"/>
      <c r="P29" s="1142"/>
      <c r="Q29" s="1142"/>
      <c r="R29" s="1142"/>
      <c r="S29" s="1142"/>
      <c r="T29" s="1142"/>
      <c r="U29" s="1142"/>
      <c r="V29" s="1142"/>
      <c r="W29" s="1142"/>
      <c r="X29" s="1142"/>
      <c r="Y29" s="1142"/>
      <c r="Z29" s="1142"/>
      <c r="AA29" s="1142"/>
      <c r="AB29" s="1142"/>
      <c r="AC29" s="1142"/>
      <c r="AD29" s="1142"/>
      <c r="AE29" s="1142"/>
      <c r="AF29" s="1142"/>
    </row>
    <row r="30" spans="1:32" x14ac:dyDescent="0.25">
      <c r="A30" s="270"/>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70"/>
      <c r="AE30" s="270"/>
      <c r="AF30" s="270"/>
    </row>
    <row r="31" spans="1:32" ht="98.25" customHeight="1" x14ac:dyDescent="0.25">
      <c r="A31" s="1142" t="s">
        <v>2508</v>
      </c>
      <c r="B31" s="1142"/>
      <c r="C31" s="1142"/>
      <c r="D31" s="1142"/>
      <c r="E31" s="1142"/>
      <c r="F31" s="1142"/>
      <c r="G31" s="1142"/>
      <c r="H31" s="1142"/>
      <c r="I31" s="1142"/>
      <c r="J31" s="1142"/>
      <c r="K31" s="1142"/>
      <c r="L31" s="1142"/>
      <c r="M31" s="1142"/>
      <c r="N31" s="1142"/>
      <c r="O31" s="1142"/>
      <c r="P31" s="1142"/>
      <c r="Q31" s="1142"/>
      <c r="R31" s="1142"/>
      <c r="S31" s="1142"/>
      <c r="T31" s="1142"/>
      <c r="U31" s="1142"/>
      <c r="V31" s="1142"/>
      <c r="W31" s="1142"/>
      <c r="X31" s="1142"/>
      <c r="Y31" s="1142"/>
      <c r="Z31" s="1142"/>
      <c r="AA31" s="1142"/>
      <c r="AB31" s="1142"/>
      <c r="AC31" s="1142"/>
      <c r="AD31" s="1142"/>
      <c r="AE31" s="1142"/>
      <c r="AF31" s="1142"/>
    </row>
    <row r="32" spans="1:32" x14ac:dyDescent="0.25">
      <c r="A32" s="270"/>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row>
    <row r="33" spans="1:32" ht="124.5" customHeight="1" x14ac:dyDescent="0.25">
      <c r="A33" s="1142" t="s">
        <v>7199</v>
      </c>
      <c r="B33" s="1142"/>
      <c r="C33" s="1142"/>
      <c r="D33" s="1142"/>
      <c r="E33" s="1142"/>
      <c r="F33" s="1142"/>
      <c r="G33" s="1142"/>
      <c r="H33" s="1142"/>
      <c r="I33" s="1142"/>
      <c r="J33" s="1142"/>
      <c r="K33" s="1142"/>
      <c r="L33" s="1142"/>
      <c r="M33" s="1142"/>
      <c r="N33" s="1142"/>
      <c r="O33" s="1142"/>
      <c r="P33" s="1142"/>
      <c r="Q33" s="1142"/>
      <c r="R33" s="1142"/>
      <c r="S33" s="1142"/>
      <c r="T33" s="1142"/>
      <c r="U33" s="1142"/>
      <c r="V33" s="1142"/>
      <c r="W33" s="1142"/>
      <c r="X33" s="1142"/>
      <c r="Y33" s="1142"/>
      <c r="Z33" s="1142"/>
      <c r="AA33" s="1142"/>
      <c r="AB33" s="1142"/>
      <c r="AC33" s="1142"/>
      <c r="AD33" s="1142"/>
      <c r="AE33" s="1142"/>
      <c r="AF33" s="1142"/>
    </row>
    <row r="34" spans="1:32" x14ac:dyDescent="0.25">
      <c r="A34" s="270"/>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270"/>
      <c r="AF34" s="270"/>
    </row>
    <row r="35" spans="1:32" ht="35.25" customHeight="1" x14ac:dyDescent="0.25">
      <c r="A35" s="1142" t="s">
        <v>7200</v>
      </c>
      <c r="B35" s="1142"/>
      <c r="C35" s="1142"/>
      <c r="D35" s="1142"/>
      <c r="E35" s="1142"/>
      <c r="F35" s="1142"/>
      <c r="G35" s="1142"/>
      <c r="H35" s="1142"/>
      <c r="I35" s="1142"/>
      <c r="J35" s="1142"/>
      <c r="K35" s="1142"/>
      <c r="L35" s="1142"/>
      <c r="M35" s="1142"/>
      <c r="N35" s="1142"/>
      <c r="O35" s="1142"/>
      <c r="P35" s="1142"/>
      <c r="Q35" s="1142"/>
      <c r="R35" s="1142"/>
      <c r="S35" s="1142"/>
      <c r="T35" s="1142"/>
      <c r="U35" s="1142"/>
      <c r="V35" s="1142"/>
      <c r="W35" s="1142"/>
      <c r="X35" s="1142"/>
      <c r="Y35" s="1142"/>
      <c r="Z35" s="1142"/>
      <c r="AA35" s="1142"/>
      <c r="AB35" s="1142"/>
      <c r="AC35" s="1142"/>
      <c r="AD35" s="1142"/>
      <c r="AE35" s="1142"/>
      <c r="AF35" s="1142"/>
    </row>
    <row r="36" spans="1:32" s="268" customFormat="1" x14ac:dyDescent="0.25">
      <c r="B36" s="363" t="s">
        <v>1015</v>
      </c>
      <c r="C36" s="1142" t="s">
        <v>2509</v>
      </c>
      <c r="D36" s="1142"/>
      <c r="E36" s="1142"/>
      <c r="F36" s="1142"/>
      <c r="G36" s="1142"/>
      <c r="H36" s="1142"/>
      <c r="I36" s="1142"/>
      <c r="J36" s="1142"/>
      <c r="K36" s="1142"/>
      <c r="L36" s="1142"/>
      <c r="M36" s="1142"/>
      <c r="N36" s="1142"/>
      <c r="O36" s="1142"/>
      <c r="P36" s="1142"/>
      <c r="Q36" s="1142"/>
      <c r="R36" s="1142"/>
      <c r="S36" s="1142"/>
      <c r="T36" s="1142"/>
      <c r="U36" s="1142"/>
      <c r="V36" s="1142"/>
      <c r="W36" s="1142"/>
      <c r="X36" s="1142"/>
      <c r="Y36" s="1142"/>
      <c r="Z36" s="1142"/>
      <c r="AA36" s="1142"/>
      <c r="AB36" s="1142"/>
      <c r="AC36" s="1142"/>
      <c r="AD36" s="1142"/>
      <c r="AE36" s="1142"/>
      <c r="AF36" s="1142"/>
    </row>
    <row r="37" spans="1:32" s="268" customFormat="1" x14ac:dyDescent="0.25">
      <c r="B37" s="363" t="s">
        <v>1015</v>
      </c>
      <c r="C37" s="1142" t="s">
        <v>2510</v>
      </c>
      <c r="D37" s="1142"/>
      <c r="E37" s="1142"/>
      <c r="F37" s="1142"/>
      <c r="G37" s="1142"/>
      <c r="H37" s="1142"/>
      <c r="I37" s="1142"/>
      <c r="J37" s="1142"/>
      <c r="K37" s="1142"/>
      <c r="L37" s="1142"/>
      <c r="M37" s="1142"/>
      <c r="N37" s="1142"/>
      <c r="O37" s="1142"/>
      <c r="P37" s="1142"/>
      <c r="Q37" s="1142"/>
      <c r="R37" s="1142"/>
      <c r="S37" s="1142"/>
      <c r="T37" s="1142"/>
      <c r="U37" s="1142"/>
      <c r="V37" s="1142"/>
      <c r="W37" s="1142"/>
      <c r="X37" s="1142"/>
      <c r="Y37" s="1142"/>
      <c r="Z37" s="1142"/>
      <c r="AA37" s="1142"/>
      <c r="AB37" s="1142"/>
      <c r="AC37" s="1142"/>
      <c r="AD37" s="1142"/>
      <c r="AE37" s="1142"/>
      <c r="AF37" s="1142"/>
    </row>
    <row r="38" spans="1:32" s="268" customFormat="1" x14ac:dyDescent="0.25">
      <c r="B38" s="363" t="s">
        <v>1015</v>
      </c>
      <c r="C38" s="1142" t="s">
        <v>2511</v>
      </c>
      <c r="D38" s="1142"/>
      <c r="E38" s="1142"/>
      <c r="F38" s="1142"/>
      <c r="G38" s="1142"/>
      <c r="H38" s="1142"/>
      <c r="I38" s="1142"/>
      <c r="J38" s="1142"/>
      <c r="K38" s="1142"/>
      <c r="L38" s="1142"/>
      <c r="M38" s="1142"/>
      <c r="N38" s="1142"/>
      <c r="O38" s="1142"/>
      <c r="P38" s="1142"/>
      <c r="Q38" s="1142"/>
      <c r="R38" s="1142"/>
      <c r="S38" s="1142"/>
      <c r="T38" s="1142"/>
      <c r="U38" s="1142"/>
      <c r="V38" s="1142"/>
      <c r="W38" s="1142"/>
      <c r="X38" s="1142"/>
      <c r="Y38" s="1142"/>
      <c r="Z38" s="1142"/>
      <c r="AA38" s="1142"/>
      <c r="AB38" s="1142"/>
      <c r="AC38" s="1142"/>
      <c r="AD38" s="1142"/>
      <c r="AE38" s="1142"/>
      <c r="AF38" s="1142"/>
    </row>
    <row r="39" spans="1:32" s="268" customFormat="1" x14ac:dyDescent="0.25">
      <c r="B39" s="363" t="s">
        <v>1015</v>
      </c>
      <c r="C39" s="1142" t="s">
        <v>2512</v>
      </c>
      <c r="D39" s="1142"/>
      <c r="E39" s="1142"/>
      <c r="F39" s="1142"/>
      <c r="G39" s="1142"/>
      <c r="H39" s="1142"/>
      <c r="I39" s="1142"/>
      <c r="J39" s="1142"/>
      <c r="K39" s="1142"/>
      <c r="L39" s="1142"/>
      <c r="M39" s="1142"/>
      <c r="N39" s="1142"/>
      <c r="O39" s="1142"/>
      <c r="P39" s="1142"/>
      <c r="Q39" s="1142"/>
      <c r="R39" s="1142"/>
      <c r="S39" s="1142"/>
      <c r="T39" s="1142"/>
      <c r="U39" s="1142"/>
      <c r="V39" s="1142"/>
      <c r="W39" s="1142"/>
      <c r="X39" s="1142"/>
      <c r="Y39" s="1142"/>
      <c r="Z39" s="1142"/>
      <c r="AA39" s="1142"/>
      <c r="AB39" s="1142"/>
      <c r="AC39" s="1142"/>
      <c r="AD39" s="1142"/>
      <c r="AE39" s="1142"/>
      <c r="AF39" s="1142"/>
    </row>
    <row r="40" spans="1:32" s="268" customFormat="1" x14ac:dyDescent="0.25">
      <c r="B40" s="363" t="s">
        <v>1015</v>
      </c>
      <c r="C40" s="1142" t="s">
        <v>2513</v>
      </c>
      <c r="D40" s="1142"/>
      <c r="E40" s="1142"/>
      <c r="F40" s="1142"/>
      <c r="G40" s="1142"/>
      <c r="H40" s="1142"/>
      <c r="I40" s="1142"/>
      <c r="J40" s="1142"/>
      <c r="K40" s="1142"/>
      <c r="L40" s="1142"/>
      <c r="M40" s="1142"/>
      <c r="N40" s="1142"/>
      <c r="O40" s="1142"/>
      <c r="P40" s="1142"/>
      <c r="Q40" s="1142"/>
      <c r="R40" s="1142"/>
      <c r="S40" s="1142"/>
      <c r="T40" s="1142"/>
      <c r="U40" s="1142"/>
      <c r="V40" s="1142"/>
      <c r="W40" s="1142"/>
      <c r="X40" s="1142"/>
      <c r="Y40" s="1142"/>
      <c r="Z40" s="1142"/>
      <c r="AA40" s="1142"/>
      <c r="AB40" s="1142"/>
      <c r="AC40" s="1142"/>
      <c r="AD40" s="1142"/>
      <c r="AE40" s="1142"/>
      <c r="AF40" s="1142"/>
    </row>
    <row r="41" spans="1:32" s="268" customFormat="1" x14ac:dyDescent="0.25">
      <c r="B41" s="363" t="s">
        <v>1015</v>
      </c>
      <c r="C41" s="1142" t="s">
        <v>2514</v>
      </c>
      <c r="D41" s="1142"/>
      <c r="E41" s="1142"/>
      <c r="F41" s="1142"/>
      <c r="G41" s="1142"/>
      <c r="H41" s="1142"/>
      <c r="I41" s="1142"/>
      <c r="J41" s="1142"/>
      <c r="K41" s="1142"/>
      <c r="L41" s="1142"/>
      <c r="M41" s="1142"/>
      <c r="N41" s="1142"/>
      <c r="O41" s="1142"/>
      <c r="P41" s="1142"/>
      <c r="Q41" s="1142"/>
      <c r="R41" s="1142"/>
      <c r="S41" s="1142"/>
      <c r="T41" s="1142"/>
      <c r="U41" s="1142"/>
      <c r="V41" s="1142"/>
      <c r="W41" s="1142"/>
      <c r="X41" s="1142"/>
      <c r="Y41" s="1142"/>
      <c r="Z41" s="1142"/>
      <c r="AA41" s="1142"/>
      <c r="AB41" s="1142"/>
      <c r="AC41" s="1142"/>
      <c r="AD41" s="1142"/>
      <c r="AE41" s="1142"/>
      <c r="AF41" s="1142"/>
    </row>
    <row r="42" spans="1:32" s="268" customFormat="1" x14ac:dyDescent="0.25">
      <c r="B42" s="363" t="s">
        <v>1015</v>
      </c>
      <c r="C42" s="1142" t="s">
        <v>2515</v>
      </c>
      <c r="D42" s="1142"/>
      <c r="E42" s="1142"/>
      <c r="F42" s="1142"/>
      <c r="G42" s="1142"/>
      <c r="H42" s="1142"/>
      <c r="I42" s="1142"/>
      <c r="J42" s="1142"/>
      <c r="K42" s="1142"/>
      <c r="L42" s="1142"/>
      <c r="M42" s="1142"/>
      <c r="N42" s="1142"/>
      <c r="O42" s="1142"/>
      <c r="P42" s="1142"/>
      <c r="Q42" s="1142"/>
      <c r="R42" s="1142"/>
      <c r="S42" s="1142"/>
      <c r="T42" s="1142"/>
      <c r="U42" s="1142"/>
      <c r="V42" s="1142"/>
      <c r="W42" s="1142"/>
      <c r="X42" s="1142"/>
      <c r="Y42" s="1142"/>
      <c r="Z42" s="1142"/>
      <c r="AA42" s="1142"/>
      <c r="AB42" s="1142"/>
      <c r="AC42" s="1142"/>
      <c r="AD42" s="1142"/>
      <c r="AE42" s="1142"/>
      <c r="AF42" s="1142"/>
    </row>
    <row r="43" spans="1:32" s="268" customFormat="1" x14ac:dyDescent="0.25">
      <c r="B43" s="363" t="s">
        <v>1015</v>
      </c>
      <c r="C43" s="1142" t="s">
        <v>2516</v>
      </c>
      <c r="D43" s="1142"/>
      <c r="E43" s="1142"/>
      <c r="F43" s="1142"/>
      <c r="G43" s="1142"/>
      <c r="H43" s="1142"/>
      <c r="I43" s="1142"/>
      <c r="J43" s="1142"/>
      <c r="K43" s="1142"/>
      <c r="L43" s="1142"/>
      <c r="M43" s="1142"/>
      <c r="N43" s="1142"/>
      <c r="O43" s="1142"/>
      <c r="P43" s="1142"/>
      <c r="Q43" s="1142"/>
      <c r="R43" s="1142"/>
      <c r="S43" s="1142"/>
      <c r="T43" s="1142"/>
      <c r="U43" s="1142"/>
      <c r="V43" s="1142"/>
      <c r="W43" s="1142"/>
      <c r="X43" s="1142"/>
      <c r="Y43" s="1142"/>
      <c r="Z43" s="1142"/>
      <c r="AA43" s="1142"/>
      <c r="AB43" s="1142"/>
      <c r="AC43" s="1142"/>
      <c r="AD43" s="1142"/>
      <c r="AE43" s="1142"/>
      <c r="AF43" s="1142"/>
    </row>
    <row r="44" spans="1:32" s="268" customFormat="1" x14ac:dyDescent="0.25">
      <c r="B44" s="363" t="s">
        <v>1015</v>
      </c>
      <c r="C44" s="1142" t="s">
        <v>2517</v>
      </c>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row>
    <row r="45" spans="1:32" x14ac:dyDescent="0.25">
      <c r="A45" s="1143"/>
      <c r="B45" s="1143"/>
      <c r="C45" s="1143"/>
      <c r="D45" s="1143"/>
      <c r="E45" s="1143"/>
      <c r="F45" s="1143"/>
      <c r="G45" s="1143"/>
      <c r="H45" s="1143"/>
      <c r="I45" s="1143"/>
      <c r="J45" s="1143"/>
      <c r="K45" s="1143"/>
      <c r="L45" s="1143"/>
      <c r="M45" s="1143"/>
      <c r="N45" s="1143"/>
      <c r="O45" s="1143"/>
      <c r="P45" s="1143"/>
      <c r="Q45" s="1143"/>
      <c r="R45" s="1143"/>
      <c r="S45" s="1143"/>
      <c r="T45" s="1143"/>
      <c r="U45" s="1143"/>
      <c r="V45" s="1143"/>
      <c r="W45" s="1143"/>
      <c r="X45" s="1143"/>
      <c r="Y45" s="1143"/>
      <c r="Z45" s="1143"/>
      <c r="AA45" s="1143"/>
      <c r="AB45" s="1143"/>
      <c r="AC45" s="1143"/>
      <c r="AD45" s="1143"/>
      <c r="AE45" s="1143"/>
      <c r="AF45" s="1143"/>
    </row>
    <row r="46" spans="1:32" ht="43.15" customHeight="1" x14ac:dyDescent="0.25">
      <c r="A46" s="1142" t="s">
        <v>2518</v>
      </c>
      <c r="B46" s="1142"/>
      <c r="C46" s="1142"/>
      <c r="D46" s="1142"/>
      <c r="E46" s="1142"/>
      <c r="F46" s="1142"/>
      <c r="G46" s="1142"/>
      <c r="H46" s="1142"/>
      <c r="I46" s="1142"/>
      <c r="J46" s="1142"/>
      <c r="K46" s="1142"/>
      <c r="L46" s="1142"/>
      <c r="M46" s="1142"/>
      <c r="N46" s="1142"/>
      <c r="O46" s="1142"/>
      <c r="P46" s="1142"/>
      <c r="Q46" s="1142"/>
      <c r="R46" s="1142"/>
      <c r="S46" s="1142"/>
      <c r="T46" s="1142"/>
      <c r="U46" s="1142"/>
      <c r="V46" s="1142"/>
      <c r="W46" s="1142"/>
      <c r="X46" s="1142"/>
      <c r="Y46" s="1142"/>
      <c r="Z46" s="1142"/>
      <c r="AA46" s="1142"/>
      <c r="AB46" s="1142"/>
      <c r="AC46" s="1142"/>
      <c r="AD46" s="1142"/>
      <c r="AE46" s="1142"/>
      <c r="AF46" s="1142"/>
    </row>
    <row r="47" spans="1:32" x14ac:dyDescent="0.25">
      <c r="B47" s="363" t="s">
        <v>1015</v>
      </c>
      <c r="C47" s="1142" t="s">
        <v>5039</v>
      </c>
      <c r="D47" s="1142"/>
      <c r="E47" s="1142"/>
      <c r="F47" s="1142"/>
      <c r="G47" s="1142"/>
      <c r="H47" s="1142"/>
      <c r="I47" s="1142"/>
      <c r="J47" s="1142"/>
      <c r="K47" s="1142"/>
      <c r="L47" s="1142"/>
      <c r="M47" s="1142"/>
      <c r="N47" s="1142"/>
      <c r="O47" s="1142"/>
      <c r="P47" s="1142"/>
      <c r="Q47" s="1142"/>
      <c r="R47" s="1142"/>
      <c r="S47" s="1142"/>
      <c r="T47" s="1142"/>
      <c r="U47" s="1142"/>
      <c r="V47" s="1142"/>
      <c r="W47" s="1142"/>
      <c r="X47" s="1142"/>
      <c r="Y47" s="1142"/>
      <c r="Z47" s="1142"/>
      <c r="AA47" s="1142"/>
      <c r="AB47" s="1142"/>
      <c r="AC47" s="1142"/>
      <c r="AD47" s="1142"/>
      <c r="AE47" s="1142"/>
      <c r="AF47" s="1142"/>
    </row>
    <row r="48" spans="1:32" ht="74.25" customHeight="1" x14ac:dyDescent="0.25">
      <c r="B48" s="363" t="s">
        <v>1015</v>
      </c>
      <c r="C48" s="1142" t="s">
        <v>2519</v>
      </c>
      <c r="D48" s="1142"/>
      <c r="E48" s="1142"/>
      <c r="F48" s="1142"/>
      <c r="G48" s="1142"/>
      <c r="H48" s="1142"/>
      <c r="I48" s="1142"/>
      <c r="J48" s="1142"/>
      <c r="K48" s="1142"/>
      <c r="L48" s="1142"/>
      <c r="M48" s="1142"/>
      <c r="N48" s="1142"/>
      <c r="O48" s="1142"/>
      <c r="P48" s="1142"/>
      <c r="Q48" s="1142"/>
      <c r="R48" s="1142"/>
      <c r="S48" s="1142"/>
      <c r="T48" s="1142"/>
      <c r="U48" s="1142"/>
      <c r="V48" s="1142"/>
      <c r="W48" s="1142"/>
      <c r="X48" s="1142"/>
      <c r="Y48" s="1142"/>
      <c r="Z48" s="1142"/>
      <c r="AA48" s="1142"/>
      <c r="AB48" s="1142"/>
      <c r="AC48" s="1142"/>
      <c r="AD48" s="1142"/>
      <c r="AE48" s="1142"/>
      <c r="AF48" s="1142"/>
    </row>
    <row r="49" spans="2:32" ht="63.75" customHeight="1" x14ac:dyDescent="0.25">
      <c r="B49" s="363" t="s">
        <v>1015</v>
      </c>
      <c r="C49" s="1142" t="s">
        <v>2520</v>
      </c>
      <c r="D49" s="1142"/>
      <c r="E49" s="1142"/>
      <c r="F49" s="1142"/>
      <c r="G49" s="1142"/>
      <c r="H49" s="1142"/>
      <c r="I49" s="1142"/>
      <c r="J49" s="1142"/>
      <c r="K49" s="1142"/>
      <c r="L49" s="1142"/>
      <c r="M49" s="1142"/>
      <c r="N49" s="1142"/>
      <c r="O49" s="1142"/>
      <c r="P49" s="1142"/>
      <c r="Q49" s="1142"/>
      <c r="R49" s="1142"/>
      <c r="S49" s="1142"/>
      <c r="T49" s="1142"/>
      <c r="U49" s="1142"/>
      <c r="V49" s="1142"/>
      <c r="W49" s="1142"/>
      <c r="X49" s="1142"/>
      <c r="Y49" s="1142"/>
      <c r="Z49" s="1142"/>
      <c r="AA49" s="1142"/>
      <c r="AB49" s="1142"/>
      <c r="AC49" s="1142"/>
      <c r="AD49" s="1142"/>
      <c r="AE49" s="1142"/>
      <c r="AF49" s="1142"/>
    </row>
    <row r="50" spans="2:32" ht="48.75" customHeight="1" x14ac:dyDescent="0.25">
      <c r="B50" s="363" t="s">
        <v>1015</v>
      </c>
      <c r="C50" s="1142" t="s">
        <v>3434</v>
      </c>
      <c r="D50" s="1142"/>
      <c r="E50" s="1142"/>
      <c r="F50" s="1142"/>
      <c r="G50" s="1142"/>
      <c r="H50" s="1142"/>
      <c r="I50" s="1142"/>
      <c r="J50" s="1142"/>
      <c r="K50" s="1142"/>
      <c r="L50" s="1142"/>
      <c r="M50" s="1142"/>
      <c r="N50" s="1142"/>
      <c r="O50" s="1142"/>
      <c r="P50" s="1142"/>
      <c r="Q50" s="1142"/>
      <c r="R50" s="1142"/>
      <c r="S50" s="1142"/>
      <c r="T50" s="1142"/>
      <c r="U50" s="1142"/>
      <c r="V50" s="1142"/>
      <c r="W50" s="1142"/>
      <c r="X50" s="1142"/>
      <c r="Y50" s="1142"/>
      <c r="Z50" s="1142"/>
      <c r="AA50" s="1142"/>
      <c r="AB50" s="1142"/>
      <c r="AC50" s="1142"/>
      <c r="AD50" s="1142"/>
      <c r="AE50" s="1142"/>
      <c r="AF50" s="1142"/>
    </row>
    <row r="51" spans="2:32" ht="33.75" customHeight="1" x14ac:dyDescent="0.25">
      <c r="B51" s="363" t="s">
        <v>1015</v>
      </c>
      <c r="C51" s="1142" t="s">
        <v>3809</v>
      </c>
      <c r="D51" s="1142"/>
      <c r="E51" s="1142"/>
      <c r="F51" s="1142"/>
      <c r="G51" s="1142"/>
      <c r="H51" s="1142"/>
      <c r="I51" s="1142"/>
      <c r="J51" s="1142"/>
      <c r="K51" s="1142"/>
      <c r="L51" s="1142"/>
      <c r="M51" s="1142"/>
      <c r="N51" s="1142"/>
      <c r="O51" s="1142"/>
      <c r="P51" s="1142"/>
      <c r="Q51" s="1142"/>
      <c r="R51" s="1142"/>
      <c r="S51" s="1142"/>
      <c r="T51" s="1142"/>
      <c r="U51" s="1142"/>
      <c r="V51" s="1142"/>
      <c r="W51" s="1142"/>
      <c r="X51" s="1142"/>
      <c r="Y51" s="1142"/>
      <c r="Z51" s="1142"/>
      <c r="AA51" s="1142"/>
      <c r="AB51" s="1142"/>
      <c r="AC51" s="1142"/>
      <c r="AD51" s="1142"/>
      <c r="AE51" s="1142"/>
      <c r="AF51" s="1142"/>
    </row>
    <row r="52" spans="2:32" ht="33" customHeight="1" x14ac:dyDescent="0.25">
      <c r="B52" s="363" t="s">
        <v>1015</v>
      </c>
      <c r="C52" s="1142" t="s">
        <v>4650</v>
      </c>
      <c r="D52" s="1142"/>
      <c r="E52" s="1142"/>
      <c r="F52" s="1142"/>
      <c r="G52" s="1142"/>
      <c r="H52" s="1142"/>
      <c r="I52" s="1142"/>
      <c r="J52" s="1142"/>
      <c r="K52" s="1142"/>
      <c r="L52" s="1142"/>
      <c r="M52" s="1142"/>
      <c r="N52" s="1142"/>
      <c r="O52" s="1142"/>
      <c r="P52" s="1142"/>
      <c r="Q52" s="1142"/>
      <c r="R52" s="1142"/>
      <c r="S52" s="1142"/>
      <c r="T52" s="1142"/>
      <c r="U52" s="1142"/>
      <c r="V52" s="1142"/>
      <c r="W52" s="1142"/>
      <c r="X52" s="1142"/>
      <c r="Y52" s="1142"/>
      <c r="Z52" s="1142"/>
      <c r="AA52" s="1142"/>
      <c r="AB52" s="1142"/>
      <c r="AC52" s="1142"/>
      <c r="AD52" s="1142"/>
      <c r="AE52" s="1142"/>
      <c r="AF52" s="1142"/>
    </row>
  </sheetData>
  <sheetProtection algorithmName="SHA-512" hashValue="lpBLP1cgFgu0DTbPts9nIYM36kWXKSpsK//u66c76iEwWT/ONFKaOOOOXMt8e1OK3p2unOLtSMkvT96ogA75Xw==" saltValue="zRkvzKMBsFI3LevRMtMYfw==" spinCount="100000" sheet="1" objects="1" scenarios="1"/>
  <mergeCells count="43">
    <mergeCell ref="A11:AF11"/>
    <mergeCell ref="A1:AF1"/>
    <mergeCell ref="A7:AF7"/>
    <mergeCell ref="A8:AF8"/>
    <mergeCell ref="A9:AF9"/>
    <mergeCell ref="A10:AF10"/>
    <mergeCell ref="A3:AF3"/>
    <mergeCell ref="B5:AF5"/>
    <mergeCell ref="A24:AF24"/>
    <mergeCell ref="A12:AF12"/>
    <mergeCell ref="A13:AF13"/>
    <mergeCell ref="C14:AF14"/>
    <mergeCell ref="A15:AF15"/>
    <mergeCell ref="C16:AF16"/>
    <mergeCell ref="A17:AF17"/>
    <mergeCell ref="C18:AF18"/>
    <mergeCell ref="A19:AF19"/>
    <mergeCell ref="C20:AF20"/>
    <mergeCell ref="A22:AF22"/>
    <mergeCell ref="C43:AF43"/>
    <mergeCell ref="A25:AF25"/>
    <mergeCell ref="A26:AF26"/>
    <mergeCell ref="A27:AF27"/>
    <mergeCell ref="C36:AF36"/>
    <mergeCell ref="C37:AF37"/>
    <mergeCell ref="C38:AF38"/>
    <mergeCell ref="C39:AF39"/>
    <mergeCell ref="C40:AF40"/>
    <mergeCell ref="C41:AF41"/>
    <mergeCell ref="C42:AF42"/>
    <mergeCell ref="A29:AF29"/>
    <mergeCell ref="A31:AF31"/>
    <mergeCell ref="A33:AF33"/>
    <mergeCell ref="A35:AF35"/>
    <mergeCell ref="C52:AF52"/>
    <mergeCell ref="C49:AF49"/>
    <mergeCell ref="C50:AF50"/>
    <mergeCell ref="C51:AF51"/>
    <mergeCell ref="C44:AF44"/>
    <mergeCell ref="A45:AF45"/>
    <mergeCell ref="A46:AF46"/>
    <mergeCell ref="C47:AF47"/>
    <mergeCell ref="C48:AF48"/>
  </mergeCells>
  <hyperlinks>
    <hyperlink ref="A2" location="TOC!A1" display="Return to TOC" xr:uid="{00000000-0004-0000-0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4">
    <tabColor theme="4" tint="0.59999389629810485"/>
    <pageSetUpPr autoPageBreaks="0"/>
  </sheetPr>
  <dimension ref="A1:AH93"/>
  <sheetViews>
    <sheetView zoomScaleNormal="100" workbookViewId="0">
      <selection sqref="A1:AF1"/>
    </sheetView>
  </sheetViews>
  <sheetFormatPr defaultColWidth="2.7109375" defaultRowHeight="15" x14ac:dyDescent="0.25"/>
  <cols>
    <col min="1" max="24" width="2.7109375" style="1"/>
    <col min="25" max="28" width="2.7109375" style="1" customWidth="1"/>
    <col min="29" max="44" width="2.7109375" style="1"/>
    <col min="45" max="45" width="2.7109375" style="1" customWidth="1"/>
    <col min="46" max="16384" width="2.7109375" style="1"/>
  </cols>
  <sheetData>
    <row r="1" spans="1:32" ht="18.75" x14ac:dyDescent="0.25">
      <c r="A1" s="1464" t="s">
        <v>1298</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5" customHeight="1" x14ac:dyDescent="0.25">
      <c r="A5" s="262"/>
      <c r="B5" s="1151" t="s">
        <v>3398</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ht="14.45" customHeight="1" x14ac:dyDescent="0.25">
      <c r="A6" s="376"/>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25">
      <c r="B9" s="171" t="s">
        <v>10</v>
      </c>
      <c r="C9" s="171"/>
      <c r="D9" s="171"/>
      <c r="E9" s="171"/>
      <c r="F9" s="171"/>
      <c r="G9" s="171"/>
      <c r="H9" s="171"/>
      <c r="I9" s="171"/>
    </row>
    <row r="10" spans="1:32" ht="80.25" customHeight="1" x14ac:dyDescent="0.25">
      <c r="B10" s="1247" t="s">
        <v>3073</v>
      </c>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c r="AE10" s="1247"/>
      <c r="AF10" s="1247"/>
    </row>
    <row r="12" spans="1:32" x14ac:dyDescent="0.25">
      <c r="B12" s="171" t="s">
        <v>11</v>
      </c>
      <c r="C12" s="171"/>
      <c r="D12" s="171"/>
      <c r="E12" s="171"/>
      <c r="F12" s="171"/>
      <c r="G12" s="171"/>
      <c r="H12" s="171"/>
      <c r="I12" s="171"/>
    </row>
    <row r="13" spans="1:32" ht="65.25" customHeight="1" x14ac:dyDescent="0.25">
      <c r="B13" s="1247" t="s">
        <v>2190</v>
      </c>
      <c r="C13" s="1247"/>
      <c r="D13" s="1247"/>
      <c r="E13" s="1247"/>
      <c r="F13" s="1247"/>
      <c r="G13" s="1247"/>
      <c r="H13" s="1247"/>
      <c r="I13" s="1247"/>
      <c r="J13" s="1247"/>
      <c r="K13" s="1247"/>
      <c r="L13" s="1247"/>
      <c r="M13" s="1247"/>
      <c r="N13" s="1247"/>
      <c r="O13" s="1247"/>
      <c r="P13" s="1247"/>
      <c r="Q13" s="1247"/>
      <c r="R13" s="1247"/>
      <c r="S13" s="1247"/>
      <c r="T13" s="1247"/>
      <c r="U13" s="1247"/>
      <c r="V13" s="1247"/>
      <c r="W13" s="1247"/>
      <c r="X13" s="1247"/>
      <c r="Y13" s="1247"/>
      <c r="Z13" s="1247"/>
      <c r="AA13" s="1247"/>
      <c r="AB13" s="1247"/>
      <c r="AC13" s="1247"/>
      <c r="AD13" s="1247"/>
      <c r="AE13" s="1247"/>
      <c r="AF13" s="1247"/>
    </row>
    <row r="14" spans="1:32" x14ac:dyDescent="0.25">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ht="35.25" customHeight="1" x14ac:dyDescent="0.25">
      <c r="B15" s="1247" t="s">
        <v>2191</v>
      </c>
      <c r="C15" s="1247"/>
      <c r="D15" s="1247"/>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row>
    <row r="17" spans="1:32" x14ac:dyDescent="0.25">
      <c r="B17" s="171" t="s">
        <v>12</v>
      </c>
      <c r="C17" s="171"/>
      <c r="D17" s="171"/>
      <c r="E17" s="171"/>
      <c r="F17" s="171"/>
      <c r="G17" s="171"/>
      <c r="H17" s="171"/>
      <c r="I17" s="171"/>
    </row>
    <row r="18" spans="1:32" x14ac:dyDescent="0.25">
      <c r="B18" s="1473" t="s">
        <v>3407</v>
      </c>
      <c r="C18" s="1473"/>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row>
    <row r="20" spans="1:32" x14ac:dyDescent="0.25">
      <c r="B20" s="171" t="s">
        <v>13</v>
      </c>
      <c r="C20" s="171"/>
      <c r="D20" s="171"/>
      <c r="E20" s="171"/>
      <c r="F20" s="171"/>
      <c r="G20" s="171"/>
      <c r="H20" s="171"/>
      <c r="I20" s="171"/>
    </row>
    <row r="21" spans="1:32" x14ac:dyDescent="0.25">
      <c r="B21" s="1473" t="s">
        <v>3408</v>
      </c>
      <c r="C21" s="1473"/>
      <c r="D21" s="1473"/>
      <c r="E21" s="1473"/>
      <c r="F21" s="1473"/>
      <c r="G21" s="1473"/>
      <c r="H21" s="1473"/>
      <c r="I21" s="1473"/>
      <c r="J21" s="1473"/>
      <c r="K21" s="1473"/>
      <c r="L21" s="1473"/>
      <c r="M21" s="1473"/>
      <c r="N21" s="1473"/>
      <c r="O21" s="1473"/>
      <c r="P21" s="1473"/>
      <c r="Q21" s="1473"/>
      <c r="R21" s="1473"/>
      <c r="S21" s="1473"/>
      <c r="T21" s="1473"/>
      <c r="U21" s="1473"/>
      <c r="V21" s="1473"/>
      <c r="W21" s="1473"/>
      <c r="X21" s="1473"/>
      <c r="Y21" s="1473"/>
      <c r="Z21" s="1473"/>
      <c r="AA21" s="1473"/>
      <c r="AB21" s="1473"/>
      <c r="AC21" s="1473"/>
      <c r="AD21" s="1473"/>
      <c r="AE21" s="1473"/>
      <c r="AF21" s="1473"/>
    </row>
    <row r="23" spans="1:32" x14ac:dyDescent="0.25">
      <c r="B23" s="171" t="s">
        <v>20</v>
      </c>
      <c r="C23" s="171"/>
      <c r="D23" s="171"/>
      <c r="E23" s="171"/>
      <c r="F23" s="171"/>
      <c r="G23" s="171"/>
      <c r="H23" s="171"/>
      <c r="I23" s="171"/>
    </row>
    <row r="24" spans="1:32" x14ac:dyDescent="0.25">
      <c r="B24" s="1473" t="s">
        <v>3409</v>
      </c>
      <c r="C24" s="1473"/>
      <c r="D24" s="1473"/>
      <c r="E24" s="1473"/>
      <c r="F24" s="1473"/>
      <c r="G24" s="1473"/>
      <c r="H24" s="1473"/>
      <c r="I24" s="1473"/>
      <c r="J24" s="1473"/>
      <c r="K24" s="1473"/>
      <c r="L24" s="1473"/>
      <c r="M24" s="1473"/>
      <c r="N24" s="1473"/>
      <c r="O24" s="1473"/>
      <c r="P24" s="1473"/>
      <c r="Q24" s="1473"/>
      <c r="R24" s="1473"/>
      <c r="S24" s="1473"/>
      <c r="T24" s="1473"/>
      <c r="U24" s="1473"/>
      <c r="V24" s="1473"/>
      <c r="W24" s="1473"/>
      <c r="X24" s="1473"/>
      <c r="Y24" s="1473"/>
      <c r="Z24" s="1473"/>
      <c r="AA24" s="1473"/>
      <c r="AB24" s="1473"/>
      <c r="AC24" s="1473"/>
      <c r="AD24" s="1473"/>
      <c r="AE24" s="1473"/>
      <c r="AF24" s="1473"/>
    </row>
    <row r="27" spans="1:32" x14ac:dyDescent="0.25">
      <c r="A27" s="1472" t="s">
        <v>14</v>
      </c>
      <c r="B27" s="1472"/>
      <c r="C27" s="1472"/>
      <c r="D27" s="1472"/>
      <c r="E27" s="1472"/>
      <c r="F27" s="1472"/>
      <c r="G27" s="1472"/>
      <c r="H27" s="1472"/>
      <c r="I27" s="1472"/>
      <c r="J27" s="1472"/>
      <c r="K27" s="1472"/>
      <c r="L27" s="1472"/>
      <c r="M27" s="1472"/>
      <c r="N27" s="1472"/>
      <c r="O27" s="1472"/>
      <c r="P27" s="1472"/>
      <c r="Q27" s="1472"/>
      <c r="R27" s="1472"/>
      <c r="S27" s="1472"/>
      <c r="T27" s="1472"/>
      <c r="U27" s="1472"/>
      <c r="V27" s="1472"/>
      <c r="W27" s="1472"/>
      <c r="X27" s="1472"/>
      <c r="Y27" s="1472"/>
      <c r="Z27" s="1472"/>
      <c r="AA27" s="1472"/>
      <c r="AB27" s="1472"/>
      <c r="AC27" s="1472"/>
      <c r="AD27" s="1472"/>
      <c r="AE27" s="1472"/>
      <c r="AF27" s="1472"/>
    </row>
    <row r="28" spans="1:32"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row>
    <row r="29" spans="1:32" x14ac:dyDescent="0.25">
      <c r="B29" s="171" t="s">
        <v>2303</v>
      </c>
      <c r="C29" s="171"/>
      <c r="D29" s="171"/>
      <c r="E29" s="171"/>
      <c r="F29" s="171"/>
      <c r="G29" s="171"/>
      <c r="H29" s="171"/>
      <c r="I29" s="171"/>
      <c r="J29" s="204"/>
    </row>
    <row r="30" spans="1:32" x14ac:dyDescent="0.25">
      <c r="B30" s="171"/>
      <c r="C30" s="171"/>
      <c r="D30" s="171"/>
      <c r="E30" s="171"/>
      <c r="F30" s="171"/>
      <c r="G30" s="171"/>
      <c r="H30" s="171"/>
      <c r="I30" s="171"/>
      <c r="J30" s="204"/>
    </row>
    <row r="31" spans="1:32" x14ac:dyDescent="0.25">
      <c r="B31" s="171"/>
      <c r="C31" s="171"/>
      <c r="D31" s="171"/>
      <c r="E31" s="171"/>
      <c r="F31" s="171"/>
      <c r="G31" s="171"/>
      <c r="H31" s="171"/>
      <c r="I31" s="171"/>
      <c r="J31" s="204"/>
    </row>
    <row r="32" spans="1:32" ht="18" customHeight="1" x14ac:dyDescent="0.25">
      <c r="B32" s="171"/>
      <c r="C32" s="171"/>
      <c r="D32" s="171"/>
      <c r="E32" s="171"/>
      <c r="F32" s="171"/>
      <c r="G32" s="171"/>
      <c r="H32" s="171"/>
      <c r="I32" s="171"/>
      <c r="J32" s="204"/>
      <c r="AF32" s="204" t="s">
        <v>1705</v>
      </c>
    </row>
    <row r="33" spans="1:32" x14ac:dyDescent="0.25">
      <c r="B33" s="171"/>
      <c r="C33" s="171"/>
      <c r="D33" s="171"/>
      <c r="E33" s="171"/>
      <c r="F33" s="171"/>
      <c r="G33" s="171"/>
      <c r="H33" s="171"/>
      <c r="I33" s="171"/>
      <c r="J33" s="204"/>
    </row>
    <row r="34" spans="1:32" x14ac:dyDescent="0.25">
      <c r="B34" s="171" t="s">
        <v>2194</v>
      </c>
      <c r="C34" s="10"/>
      <c r="D34" s="10"/>
      <c r="E34" s="10"/>
      <c r="F34" s="10"/>
      <c r="G34" s="10"/>
      <c r="H34" s="10"/>
      <c r="I34" s="10"/>
      <c r="J34" s="204"/>
    </row>
    <row r="35" spans="1:32" x14ac:dyDescent="0.25">
      <c r="B35" s="171"/>
      <c r="C35" s="10"/>
      <c r="D35" s="10"/>
      <c r="E35" s="10"/>
      <c r="F35" s="10"/>
      <c r="G35" s="10"/>
      <c r="H35" s="10"/>
      <c r="I35" s="10"/>
      <c r="J35" s="204"/>
    </row>
    <row r="36" spans="1:32" x14ac:dyDescent="0.25">
      <c r="B36" s="10"/>
      <c r="C36" s="10"/>
      <c r="D36" s="10"/>
      <c r="E36" s="10"/>
      <c r="F36" s="10"/>
      <c r="G36" s="10"/>
      <c r="H36" s="10"/>
      <c r="I36" s="10"/>
      <c r="J36" s="204"/>
    </row>
    <row r="37" spans="1:32" ht="21" customHeight="1" x14ac:dyDescent="0.25">
      <c r="B37" s="10"/>
      <c r="C37" s="10"/>
      <c r="D37" s="10"/>
      <c r="E37" s="10"/>
      <c r="F37" s="10"/>
      <c r="G37" s="10"/>
      <c r="H37" s="10"/>
      <c r="I37" s="10"/>
      <c r="J37" s="204"/>
      <c r="AF37" s="204" t="s">
        <v>1706</v>
      </c>
    </row>
    <row r="38" spans="1:32" x14ac:dyDescent="0.25">
      <c r="B38" s="10"/>
      <c r="C38" s="10"/>
      <c r="D38" s="10"/>
      <c r="E38" s="10"/>
      <c r="F38" s="10"/>
      <c r="G38" s="10"/>
      <c r="H38" s="10"/>
      <c r="I38" s="10"/>
      <c r="J38" s="204"/>
    </row>
    <row r="39" spans="1:32" x14ac:dyDescent="0.25">
      <c r="B39" s="171" t="s">
        <v>1998</v>
      </c>
      <c r="AF39" s="204"/>
    </row>
    <row r="40" spans="1:32" x14ac:dyDescent="0.25">
      <c r="AF40" s="204"/>
    </row>
    <row r="41" spans="1:32" x14ac:dyDescent="0.25">
      <c r="A41" s="10"/>
      <c r="AF41" s="204" t="s">
        <v>1707</v>
      </c>
    </row>
    <row r="42" spans="1:32" x14ac:dyDescent="0.25">
      <c r="A42" s="10"/>
      <c r="B42" s="204"/>
    </row>
    <row r="43" spans="1:32" x14ac:dyDescent="0.25">
      <c r="A43" s="1472" t="s">
        <v>15</v>
      </c>
      <c r="B43" s="1472"/>
      <c r="C43" s="1472"/>
      <c r="D43" s="1472"/>
      <c r="E43" s="1472"/>
      <c r="F43" s="1472"/>
      <c r="G43" s="1472"/>
      <c r="H43" s="1472"/>
      <c r="I43" s="1472"/>
      <c r="J43" s="1472"/>
      <c r="K43" s="1472"/>
      <c r="L43" s="1472"/>
      <c r="M43" s="1472"/>
      <c r="N43" s="1472"/>
      <c r="O43" s="1472"/>
      <c r="P43" s="1472"/>
      <c r="Q43" s="1472"/>
      <c r="R43" s="1472"/>
      <c r="S43" s="1472"/>
      <c r="T43" s="1472"/>
      <c r="U43" s="1472"/>
      <c r="V43" s="1472"/>
      <c r="W43" s="1472"/>
      <c r="X43" s="1472"/>
      <c r="Y43" s="1472"/>
      <c r="Z43" s="1472"/>
      <c r="AA43" s="1472"/>
      <c r="AB43" s="1472"/>
      <c r="AC43" s="1472"/>
      <c r="AD43" s="1472"/>
      <c r="AE43" s="1472"/>
      <c r="AF43" s="1472"/>
    </row>
    <row r="44" spans="1:32" x14ac:dyDescent="0.25">
      <c r="A44" s="1474" t="s">
        <v>16</v>
      </c>
      <c r="B44" s="1474"/>
      <c r="C44" s="1474"/>
      <c r="D44" s="1474"/>
      <c r="E44" s="1474" t="s">
        <v>10</v>
      </c>
      <c r="F44" s="1474"/>
      <c r="G44" s="1474"/>
      <c r="H44" s="1474"/>
      <c r="I44" s="1474"/>
      <c r="J44" s="1474"/>
      <c r="K44" s="1474"/>
      <c r="L44" s="1474"/>
      <c r="M44" s="1474"/>
      <c r="N44" s="1474"/>
      <c r="O44" s="1474"/>
      <c r="P44" s="1474"/>
      <c r="Q44" s="1474" t="s">
        <v>17</v>
      </c>
      <c r="R44" s="1474"/>
      <c r="S44" s="1474"/>
      <c r="T44" s="1474"/>
      <c r="U44" s="1474" t="s">
        <v>18</v>
      </c>
      <c r="V44" s="1474"/>
      <c r="W44" s="1474" t="s">
        <v>1708</v>
      </c>
      <c r="X44" s="1474"/>
      <c r="Y44" s="1474"/>
      <c r="Z44" s="1474"/>
      <c r="AA44" s="1474"/>
      <c r="AB44" s="1474"/>
      <c r="AC44" s="1474"/>
      <c r="AD44" s="1474"/>
      <c r="AE44" s="1474"/>
      <c r="AF44" s="1474"/>
    </row>
    <row r="45" spans="1:32" ht="46.5" customHeight="1" x14ac:dyDescent="0.25">
      <c r="A45" s="1485" t="s">
        <v>2195</v>
      </c>
      <c r="B45" s="1486" t="s">
        <v>294</v>
      </c>
      <c r="C45" s="1486" t="s">
        <v>294</v>
      </c>
      <c r="D45" s="1487" t="s">
        <v>294</v>
      </c>
      <c r="E45" s="1479" t="s">
        <v>2219</v>
      </c>
      <c r="F45" s="1480"/>
      <c r="G45" s="1480"/>
      <c r="H45" s="1480"/>
      <c r="I45" s="1480"/>
      <c r="J45" s="1480"/>
      <c r="K45" s="1480"/>
      <c r="L45" s="1480"/>
      <c r="M45" s="1480"/>
      <c r="N45" s="1480"/>
      <c r="O45" s="1480"/>
      <c r="P45" s="1481"/>
      <c r="Q45" s="1574" t="s">
        <v>866</v>
      </c>
      <c r="R45" s="1575"/>
      <c r="S45" s="1575"/>
      <c r="T45" s="1576"/>
      <c r="U45" s="1574" t="s">
        <v>26</v>
      </c>
      <c r="V45" s="1576"/>
      <c r="W45" s="1479" t="s">
        <v>2221</v>
      </c>
      <c r="X45" s="1480"/>
      <c r="Y45" s="1480"/>
      <c r="Z45" s="1480"/>
      <c r="AA45" s="1480"/>
      <c r="AB45" s="1480"/>
      <c r="AC45" s="1480"/>
      <c r="AD45" s="1480"/>
      <c r="AE45" s="1480"/>
      <c r="AF45" s="1481"/>
    </row>
    <row r="46" spans="1:32" ht="60" customHeight="1" x14ac:dyDescent="0.25">
      <c r="A46" s="1485" t="s">
        <v>2196</v>
      </c>
      <c r="B46" s="1486" t="s">
        <v>638</v>
      </c>
      <c r="C46" s="1486" t="s">
        <v>638</v>
      </c>
      <c r="D46" s="1487" t="s">
        <v>638</v>
      </c>
      <c r="E46" s="1479" t="s">
        <v>2220</v>
      </c>
      <c r="F46" s="1480"/>
      <c r="G46" s="1480"/>
      <c r="H46" s="1480"/>
      <c r="I46" s="1480"/>
      <c r="J46" s="1480"/>
      <c r="K46" s="1480"/>
      <c r="L46" s="1480"/>
      <c r="M46" s="1480"/>
      <c r="N46" s="1480"/>
      <c r="O46" s="1480"/>
      <c r="P46" s="1481"/>
      <c r="Q46" s="1574" t="s">
        <v>866</v>
      </c>
      <c r="R46" s="1575"/>
      <c r="S46" s="1575"/>
      <c r="T46" s="1576"/>
      <c r="U46" s="1574" t="s">
        <v>26</v>
      </c>
      <c r="V46" s="1576"/>
      <c r="W46" s="1479" t="s">
        <v>2222</v>
      </c>
      <c r="X46" s="1480"/>
      <c r="Y46" s="1480"/>
      <c r="Z46" s="1480"/>
      <c r="AA46" s="1480"/>
      <c r="AB46" s="1480"/>
      <c r="AC46" s="1480"/>
      <c r="AD46" s="1480"/>
      <c r="AE46" s="1480"/>
      <c r="AF46" s="1481"/>
    </row>
    <row r="47" spans="1:32" ht="64.5" customHeight="1" x14ac:dyDescent="0.25">
      <c r="A47" s="1485" t="s">
        <v>2197</v>
      </c>
      <c r="B47" s="1486" t="s">
        <v>638</v>
      </c>
      <c r="C47" s="1486" t="s">
        <v>638</v>
      </c>
      <c r="D47" s="1487" t="s">
        <v>638</v>
      </c>
      <c r="E47" s="1479" t="s">
        <v>2198</v>
      </c>
      <c r="F47" s="1480"/>
      <c r="G47" s="1480"/>
      <c r="H47" s="1480"/>
      <c r="I47" s="1480"/>
      <c r="J47" s="1480"/>
      <c r="K47" s="1480"/>
      <c r="L47" s="1480"/>
      <c r="M47" s="1480"/>
      <c r="N47" s="1480"/>
      <c r="O47" s="1480"/>
      <c r="P47" s="1481"/>
      <c r="Q47" s="1574" t="s">
        <v>866</v>
      </c>
      <c r="R47" s="1575"/>
      <c r="S47" s="1575"/>
      <c r="T47" s="1576"/>
      <c r="U47" s="1574" t="s">
        <v>26</v>
      </c>
      <c r="V47" s="1576"/>
      <c r="W47" s="1479" t="s">
        <v>2223</v>
      </c>
      <c r="X47" s="1480"/>
      <c r="Y47" s="1480"/>
      <c r="Z47" s="1480"/>
      <c r="AA47" s="1480"/>
      <c r="AB47" s="1480"/>
      <c r="AC47" s="1480"/>
      <c r="AD47" s="1480"/>
      <c r="AE47" s="1480"/>
      <c r="AF47" s="1481"/>
    </row>
    <row r="48" spans="1:32" ht="47.25" customHeight="1" x14ac:dyDescent="0.25">
      <c r="A48" s="1485" t="s">
        <v>3075</v>
      </c>
      <c r="B48" s="1486" t="s">
        <v>638</v>
      </c>
      <c r="C48" s="1486" t="s">
        <v>638</v>
      </c>
      <c r="D48" s="1487" t="s">
        <v>638</v>
      </c>
      <c r="E48" s="1479" t="s">
        <v>2199</v>
      </c>
      <c r="F48" s="1480"/>
      <c r="G48" s="1480"/>
      <c r="H48" s="1480"/>
      <c r="I48" s="1480"/>
      <c r="J48" s="1480"/>
      <c r="K48" s="1480"/>
      <c r="L48" s="1480"/>
      <c r="M48" s="1480"/>
      <c r="N48" s="1480"/>
      <c r="O48" s="1480"/>
      <c r="P48" s="1481"/>
      <c r="Q48" s="1775">
        <v>0.8</v>
      </c>
      <c r="R48" s="1776"/>
      <c r="S48" s="1776"/>
      <c r="T48" s="1777"/>
      <c r="U48" s="1574" t="s">
        <v>30</v>
      </c>
      <c r="V48" s="1576"/>
      <c r="W48" s="1485" t="s">
        <v>2207</v>
      </c>
      <c r="X48" s="1486"/>
      <c r="Y48" s="1486"/>
      <c r="Z48" s="1486"/>
      <c r="AA48" s="1486"/>
      <c r="AB48" s="1486"/>
      <c r="AC48" s="1486"/>
      <c r="AD48" s="1486"/>
      <c r="AE48" s="1486"/>
      <c r="AF48" s="1487"/>
    </row>
    <row r="49" spans="1:32" ht="39" customHeight="1" x14ac:dyDescent="0.25">
      <c r="A49" s="1485" t="s">
        <v>3074</v>
      </c>
      <c r="B49" s="1486" t="s">
        <v>638</v>
      </c>
      <c r="C49" s="1486" t="s">
        <v>638</v>
      </c>
      <c r="D49" s="1487" t="s">
        <v>638</v>
      </c>
      <c r="E49" s="1479" t="s">
        <v>2200</v>
      </c>
      <c r="F49" s="1480"/>
      <c r="G49" s="1480"/>
      <c r="H49" s="1480"/>
      <c r="I49" s="1480"/>
      <c r="J49" s="1480"/>
      <c r="K49" s="1480"/>
      <c r="L49" s="1480"/>
      <c r="M49" s="1480"/>
      <c r="N49" s="1480"/>
      <c r="O49" s="1480"/>
      <c r="P49" s="1481"/>
      <c r="Q49" s="1775">
        <v>0.2</v>
      </c>
      <c r="R49" s="1776"/>
      <c r="S49" s="1776"/>
      <c r="T49" s="1777"/>
      <c r="U49" s="1574" t="s">
        <v>30</v>
      </c>
      <c r="V49" s="1576"/>
      <c r="W49" s="1485" t="s">
        <v>2207</v>
      </c>
      <c r="X49" s="1486"/>
      <c r="Y49" s="1486"/>
      <c r="Z49" s="1486"/>
      <c r="AA49" s="1486"/>
      <c r="AB49" s="1486"/>
      <c r="AC49" s="1486"/>
      <c r="AD49" s="1486"/>
      <c r="AE49" s="1486"/>
      <c r="AF49" s="1487"/>
    </row>
    <row r="50" spans="1:32" ht="76.5" customHeight="1" x14ac:dyDescent="0.25">
      <c r="A50" s="1485" t="s">
        <v>1766</v>
      </c>
      <c r="B50" s="1486"/>
      <c r="C50" s="1486"/>
      <c r="D50" s="1487"/>
      <c r="E50" s="2498" t="s">
        <v>1769</v>
      </c>
      <c r="F50" s="1480"/>
      <c r="G50" s="1480"/>
      <c r="H50" s="1480"/>
      <c r="I50" s="1480"/>
      <c r="J50" s="1480"/>
      <c r="K50" s="1480"/>
      <c r="L50" s="1480"/>
      <c r="M50" s="1480"/>
      <c r="N50" s="1480"/>
      <c r="O50" s="1480"/>
      <c r="P50" s="1481"/>
      <c r="Q50" s="2518">
        <v>1</v>
      </c>
      <c r="R50" s="2519"/>
      <c r="S50" s="2519"/>
      <c r="T50" s="2520"/>
      <c r="U50" s="1574" t="s">
        <v>28</v>
      </c>
      <c r="V50" s="1576"/>
      <c r="W50" s="1479" t="s">
        <v>2204</v>
      </c>
      <c r="X50" s="1480"/>
      <c r="Y50" s="1480"/>
      <c r="Z50" s="1480"/>
      <c r="AA50" s="1480"/>
      <c r="AB50" s="1480"/>
      <c r="AC50" s="1480"/>
      <c r="AD50" s="1480"/>
      <c r="AE50" s="1480"/>
      <c r="AF50" s="1481"/>
    </row>
    <row r="51" spans="1:32" ht="77.25" customHeight="1" x14ac:dyDescent="0.25">
      <c r="A51" s="1485" t="s">
        <v>1767</v>
      </c>
      <c r="B51" s="1486"/>
      <c r="C51" s="1486"/>
      <c r="D51" s="1487"/>
      <c r="E51" s="2489" t="s">
        <v>1768</v>
      </c>
      <c r="F51" s="2489"/>
      <c r="G51" s="2489"/>
      <c r="H51" s="2489"/>
      <c r="I51" s="2489"/>
      <c r="J51" s="2489"/>
      <c r="K51" s="2489"/>
      <c r="L51" s="2489"/>
      <c r="M51" s="2489"/>
      <c r="N51" s="2489"/>
      <c r="O51" s="2489"/>
      <c r="P51" s="2489"/>
      <c r="Q51" s="2518">
        <v>1</v>
      </c>
      <c r="R51" s="2519"/>
      <c r="S51" s="2519"/>
      <c r="T51" s="2520"/>
      <c r="U51" s="1574" t="s">
        <v>28</v>
      </c>
      <c r="V51" s="1576"/>
      <c r="W51" s="1479" t="s">
        <v>2204</v>
      </c>
      <c r="X51" s="1480"/>
      <c r="Y51" s="1480"/>
      <c r="Z51" s="1480"/>
      <c r="AA51" s="1480"/>
      <c r="AB51" s="1480"/>
      <c r="AC51" s="1480"/>
      <c r="AD51" s="1480"/>
      <c r="AE51" s="1480"/>
      <c r="AF51" s="1481"/>
    </row>
    <row r="52" spans="1:32" ht="33.75" customHeight="1" x14ac:dyDescent="0.25">
      <c r="A52" s="1485" t="s">
        <v>1760</v>
      </c>
      <c r="B52" s="1486"/>
      <c r="C52" s="1486"/>
      <c r="D52" s="1487"/>
      <c r="E52" s="2489" t="s">
        <v>2031</v>
      </c>
      <c r="F52" s="2489"/>
      <c r="G52" s="2489"/>
      <c r="H52" s="2489"/>
      <c r="I52" s="2489"/>
      <c r="J52" s="2489"/>
      <c r="K52" s="2489"/>
      <c r="L52" s="2489"/>
      <c r="M52" s="2489"/>
      <c r="N52" s="2489"/>
      <c r="O52" s="2489"/>
      <c r="P52" s="2489"/>
      <c r="Q52" s="2518">
        <v>1</v>
      </c>
      <c r="R52" s="2519"/>
      <c r="S52" s="2519"/>
      <c r="T52" s="2520"/>
      <c r="U52" s="1574"/>
      <c r="V52" s="1576"/>
      <c r="W52" s="1479" t="s">
        <v>2205</v>
      </c>
      <c r="X52" s="1480"/>
      <c r="Y52" s="1480"/>
      <c r="Z52" s="1480"/>
      <c r="AA52" s="1480"/>
      <c r="AB52" s="1480"/>
      <c r="AC52" s="1480"/>
      <c r="AD52" s="1480"/>
      <c r="AE52" s="1480"/>
      <c r="AF52" s="1481"/>
    </row>
    <row r="53" spans="1:32" ht="79.5" customHeight="1" x14ac:dyDescent="0.25">
      <c r="A53" s="1485" t="s">
        <v>29</v>
      </c>
      <c r="B53" s="1486"/>
      <c r="C53" s="1486"/>
      <c r="D53" s="1487"/>
      <c r="E53" s="1479" t="s">
        <v>104</v>
      </c>
      <c r="F53" s="1480"/>
      <c r="G53" s="1480"/>
      <c r="H53" s="1480"/>
      <c r="I53" s="1480"/>
      <c r="J53" s="1480"/>
      <c r="K53" s="1480"/>
      <c r="L53" s="1480"/>
      <c r="M53" s="1480"/>
      <c r="N53" s="1480"/>
      <c r="O53" s="1480"/>
      <c r="P53" s="1481"/>
      <c r="Q53" s="2518">
        <v>1</v>
      </c>
      <c r="R53" s="2519"/>
      <c r="S53" s="2519"/>
      <c r="T53" s="2520"/>
      <c r="U53" s="1574" t="s">
        <v>28</v>
      </c>
      <c r="V53" s="1576"/>
      <c r="W53" s="1479" t="s">
        <v>2203</v>
      </c>
      <c r="X53" s="1480"/>
      <c r="Y53" s="1480"/>
      <c r="Z53" s="1480"/>
      <c r="AA53" s="1480"/>
      <c r="AB53" s="1480"/>
      <c r="AC53" s="1480"/>
      <c r="AD53" s="1480"/>
      <c r="AE53" s="1480"/>
      <c r="AF53" s="1481"/>
    </row>
    <row r="54" spans="1:32" ht="60" customHeight="1" x14ac:dyDescent="0.25">
      <c r="A54" s="1485" t="s">
        <v>2127</v>
      </c>
      <c r="B54" s="1486"/>
      <c r="C54" s="1486"/>
      <c r="D54" s="1487"/>
      <c r="E54" s="1479" t="s">
        <v>2201</v>
      </c>
      <c r="F54" s="1480"/>
      <c r="G54" s="1480"/>
      <c r="H54" s="1480"/>
      <c r="I54" s="1480"/>
      <c r="J54" s="1480"/>
      <c r="K54" s="1480"/>
      <c r="L54" s="1480"/>
      <c r="M54" s="1480"/>
      <c r="N54" s="1480"/>
      <c r="O54" s="1480"/>
      <c r="P54" s="1481"/>
      <c r="Q54" s="1733">
        <v>8760</v>
      </c>
      <c r="R54" s="1917"/>
      <c r="S54" s="1917"/>
      <c r="T54" s="1918"/>
      <c r="U54" s="1574" t="s">
        <v>45</v>
      </c>
      <c r="V54" s="1576"/>
      <c r="W54" s="1479" t="s">
        <v>2202</v>
      </c>
      <c r="X54" s="1480"/>
      <c r="Y54" s="1480"/>
      <c r="Z54" s="1480"/>
      <c r="AA54" s="1480"/>
      <c r="AB54" s="1480"/>
      <c r="AC54" s="1480"/>
      <c r="AD54" s="1480"/>
      <c r="AE54" s="1480"/>
      <c r="AF54" s="1481"/>
    </row>
    <row r="55" spans="1:32" ht="36" customHeight="1" x14ac:dyDescent="0.25">
      <c r="A55" s="1485" t="s">
        <v>42</v>
      </c>
      <c r="B55" s="1486"/>
      <c r="C55" s="1486"/>
      <c r="D55" s="1487"/>
      <c r="E55" s="1479" t="s">
        <v>865</v>
      </c>
      <c r="F55" s="1480"/>
      <c r="G55" s="1480"/>
      <c r="H55" s="1480"/>
      <c r="I55" s="1480"/>
      <c r="J55" s="1480"/>
      <c r="K55" s="1480"/>
      <c r="L55" s="1480"/>
      <c r="M55" s="1480"/>
      <c r="N55" s="1480"/>
      <c r="O55" s="1480"/>
      <c r="P55" s="1481"/>
      <c r="Q55" s="2518">
        <v>1</v>
      </c>
      <c r="R55" s="2519"/>
      <c r="S55" s="2519"/>
      <c r="T55" s="2520"/>
      <c r="U55" s="1574" t="s">
        <v>28</v>
      </c>
      <c r="V55" s="1576"/>
      <c r="W55" s="1479" t="s">
        <v>2206</v>
      </c>
      <c r="X55" s="1480"/>
      <c r="Y55" s="1480"/>
      <c r="Z55" s="1480"/>
      <c r="AA55" s="1480"/>
      <c r="AB55" s="1480"/>
      <c r="AC55" s="1480"/>
      <c r="AD55" s="1480"/>
      <c r="AE55" s="1480"/>
      <c r="AF55" s="1481"/>
    </row>
    <row r="56" spans="1:32" ht="35.25" customHeight="1" x14ac:dyDescent="0.25">
      <c r="A56" s="1479" t="s">
        <v>2052</v>
      </c>
      <c r="B56" s="1480"/>
      <c r="C56" s="1480"/>
      <c r="D56" s="1481"/>
      <c r="E56" s="1479" t="s">
        <v>2217</v>
      </c>
      <c r="F56" s="1480"/>
      <c r="G56" s="1480"/>
      <c r="H56" s="1480"/>
      <c r="I56" s="1480"/>
      <c r="J56" s="1480"/>
      <c r="K56" s="1480"/>
      <c r="L56" s="1480"/>
      <c r="M56" s="1480"/>
      <c r="N56" s="1480"/>
      <c r="O56" s="1480"/>
      <c r="P56" s="1481"/>
      <c r="Q56" s="1574">
        <f>'Master EUL'!X74</f>
        <v>8</v>
      </c>
      <c r="R56" s="1575"/>
      <c r="S56" s="1575"/>
      <c r="T56" s="1576"/>
      <c r="U56" s="1574" t="s">
        <v>46</v>
      </c>
      <c r="V56" s="1576"/>
      <c r="W56" s="1485" t="s">
        <v>1757</v>
      </c>
      <c r="X56" s="1486"/>
      <c r="Y56" s="1486"/>
      <c r="Z56" s="1486"/>
      <c r="AA56" s="1486"/>
      <c r="AB56" s="1486"/>
      <c r="AC56" s="1486"/>
      <c r="AD56" s="1486"/>
      <c r="AE56" s="1486"/>
      <c r="AF56" s="1487"/>
    </row>
    <row r="57" spans="1:32" ht="55.5" customHeight="1" x14ac:dyDescent="0.25">
      <c r="A57" s="2299" t="s">
        <v>2227</v>
      </c>
      <c r="B57" s="2299"/>
      <c r="C57" s="2299"/>
      <c r="D57" s="2299"/>
      <c r="E57" s="2299"/>
      <c r="F57" s="2299"/>
      <c r="G57" s="2299"/>
      <c r="H57" s="2299"/>
      <c r="I57" s="2299"/>
      <c r="J57" s="2299"/>
      <c r="K57" s="2299"/>
      <c r="L57" s="2299"/>
      <c r="M57" s="2299"/>
      <c r="N57" s="2299"/>
      <c r="O57" s="2299"/>
      <c r="P57" s="2299"/>
      <c r="Q57" s="2299"/>
      <c r="R57" s="2299"/>
      <c r="S57" s="2299"/>
      <c r="T57" s="2299"/>
      <c r="U57" s="2299"/>
      <c r="V57" s="2299"/>
      <c r="W57" s="2299"/>
      <c r="X57" s="2299"/>
      <c r="Y57" s="2299"/>
      <c r="Z57" s="2299"/>
      <c r="AA57" s="2299"/>
      <c r="AB57" s="2299"/>
      <c r="AC57" s="2299"/>
      <c r="AD57" s="2299"/>
      <c r="AE57" s="2299"/>
      <c r="AF57" s="2299"/>
    </row>
    <row r="59" spans="1:32" x14ac:dyDescent="0.25">
      <c r="A59" s="1472" t="s">
        <v>21</v>
      </c>
      <c r="B59" s="1472"/>
      <c r="C59" s="1472"/>
      <c r="D59" s="1472"/>
      <c r="E59" s="1472"/>
      <c r="F59" s="1472"/>
      <c r="G59" s="1472"/>
      <c r="H59" s="1472"/>
      <c r="I59" s="1472"/>
      <c r="J59" s="1472"/>
      <c r="K59" s="1472"/>
      <c r="L59" s="1472"/>
      <c r="M59" s="1472"/>
      <c r="N59" s="1472"/>
      <c r="O59" s="1472"/>
      <c r="P59" s="1472"/>
      <c r="Q59" s="1472"/>
      <c r="R59" s="1472"/>
      <c r="S59" s="1472"/>
      <c r="T59" s="1472"/>
      <c r="U59" s="1472"/>
      <c r="V59" s="1472"/>
      <c r="W59" s="1472"/>
      <c r="X59" s="1472"/>
      <c r="Y59" s="1472"/>
      <c r="Z59" s="1472"/>
      <c r="AA59" s="1472"/>
      <c r="AB59" s="1472"/>
      <c r="AC59" s="1472"/>
      <c r="AD59" s="1472"/>
      <c r="AE59" s="1472"/>
      <c r="AF59" s="1472"/>
    </row>
    <row r="60" spans="1:32" s="262" customFormat="1" x14ac:dyDescent="0.25">
      <c r="A60" s="190"/>
      <c r="B60" s="190"/>
      <c r="C60" s="190"/>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row>
    <row r="61" spans="1:32" s="262" customFormat="1" x14ac:dyDescent="0.25">
      <c r="A61" s="190"/>
      <c r="B61" s="380" t="s">
        <v>2224</v>
      </c>
      <c r="C61"/>
      <c r="D61"/>
      <c r="E61"/>
      <c r="F61"/>
      <c r="G61"/>
      <c r="H61"/>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row>
    <row r="62" spans="1:32" s="262" customFormat="1" x14ac:dyDescent="0.25">
      <c r="A62" s="190"/>
      <c r="B62"/>
      <c r="C62"/>
      <c r="D62"/>
      <c r="E62"/>
      <c r="F62"/>
      <c r="G62"/>
      <c r="H62"/>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row>
    <row r="63" spans="1:32" s="262" customFormat="1" x14ac:dyDescent="0.25">
      <c r="A63" s="190"/>
      <c r="B63" t="s">
        <v>2225</v>
      </c>
      <c r="C63"/>
      <c r="D63"/>
      <c r="E63"/>
      <c r="F63"/>
      <c r="G63"/>
      <c r="H63"/>
      <c r="I63" s="338"/>
      <c r="J63" s="338"/>
      <c r="K63" s="338"/>
      <c r="L63" s="338"/>
      <c r="M63" s="338"/>
      <c r="N63" s="338"/>
      <c r="O63" s="338"/>
      <c r="P63" s="338"/>
      <c r="Q63" s="338"/>
      <c r="R63" s="338"/>
      <c r="S63" s="338"/>
      <c r="T63" s="338"/>
      <c r="U63" s="338"/>
      <c r="V63" s="338"/>
      <c r="W63" s="338"/>
      <c r="X63" s="338"/>
      <c r="Y63" s="338"/>
      <c r="Z63" s="338"/>
      <c r="AA63" s="338"/>
      <c r="AB63" s="338"/>
      <c r="AC63" s="190"/>
      <c r="AD63" s="190"/>
      <c r="AE63" s="190"/>
      <c r="AF63" s="190"/>
    </row>
    <row r="64" spans="1:32" s="262" customFormat="1" x14ac:dyDescent="0.25">
      <c r="A64" s="190"/>
      <c r="B64"/>
      <c r="C64"/>
      <c r="D64"/>
      <c r="E64"/>
      <c r="F64"/>
      <c r="G64"/>
      <c r="H64"/>
      <c r="I64" s="338"/>
      <c r="J64" s="338"/>
      <c r="K64" s="338"/>
      <c r="L64" s="338"/>
      <c r="M64" s="338"/>
      <c r="N64" s="338"/>
      <c r="O64" s="338"/>
      <c r="P64" s="338"/>
      <c r="Q64" s="338"/>
      <c r="R64" s="338"/>
      <c r="S64" s="338"/>
      <c r="T64" s="338"/>
      <c r="U64" s="338"/>
      <c r="V64" s="338"/>
      <c r="W64" s="338"/>
      <c r="X64" s="338"/>
      <c r="Y64" s="338"/>
      <c r="Z64" s="338"/>
      <c r="AA64" s="338"/>
      <c r="AB64" s="338"/>
      <c r="AC64" s="190"/>
      <c r="AD64" s="190"/>
      <c r="AE64" s="190"/>
      <c r="AF64" s="190"/>
    </row>
    <row r="65" spans="1:34" s="262" customFormat="1" ht="57" customHeight="1" x14ac:dyDescent="0.25">
      <c r="A65" s="190"/>
      <c r="B65"/>
      <c r="C65" s="1303" t="s">
        <v>2208</v>
      </c>
      <c r="D65" s="1303"/>
      <c r="E65" s="1303"/>
      <c r="F65" s="1303"/>
      <c r="G65" s="1303"/>
      <c r="H65" s="1311" t="s">
        <v>2212</v>
      </c>
      <c r="I65" s="1311"/>
      <c r="J65" s="1311"/>
      <c r="K65" s="1311"/>
      <c r="L65" s="1311"/>
      <c r="M65" s="1320" t="s">
        <v>409</v>
      </c>
      <c r="N65" s="1320"/>
      <c r="O65" s="1320"/>
      <c r="P65" s="1320"/>
      <c r="Q65" s="1320"/>
      <c r="R65" s="338"/>
      <c r="S65" s="338"/>
      <c r="T65" s="338"/>
      <c r="U65" s="338"/>
      <c r="V65" s="338"/>
      <c r="W65" s="338"/>
      <c r="X65" s="338"/>
      <c r="Y65" s="338"/>
      <c r="Z65" s="338"/>
      <c r="AA65" s="338"/>
      <c r="AB65" s="338"/>
      <c r="AC65" s="190"/>
      <c r="AD65" s="190"/>
      <c r="AE65" s="190"/>
      <c r="AF65" s="190"/>
    </row>
    <row r="66" spans="1:34" s="262" customFormat="1" x14ac:dyDescent="0.25">
      <c r="A66" s="190"/>
      <c r="B66"/>
      <c r="C66" s="1607" t="s">
        <v>2209</v>
      </c>
      <c r="D66" s="1607"/>
      <c r="E66" s="1607"/>
      <c r="F66" s="1607"/>
      <c r="G66" s="1607"/>
      <c r="H66" s="1607">
        <v>3.1E-2</v>
      </c>
      <c r="I66" s="1607"/>
      <c r="J66" s="1607"/>
      <c r="K66" s="1607"/>
      <c r="L66" s="1607"/>
      <c r="M66" s="2667">
        <v>10</v>
      </c>
      <c r="N66" s="2667"/>
      <c r="O66" s="2667"/>
      <c r="P66" s="2667"/>
      <c r="Q66" s="2667"/>
      <c r="R66" s="338"/>
      <c r="S66" s="338"/>
      <c r="T66" s="338"/>
      <c r="U66" s="338"/>
      <c r="V66" s="338"/>
      <c r="W66" s="338"/>
      <c r="X66" s="338"/>
      <c r="Y66" s="338"/>
      <c r="Z66" s="338"/>
      <c r="AA66" s="338"/>
      <c r="AB66" s="338"/>
      <c r="AC66" s="190"/>
      <c r="AD66" s="190"/>
      <c r="AE66" s="190"/>
      <c r="AF66" s="190"/>
    </row>
    <row r="67" spans="1:34" s="262" customFormat="1" x14ac:dyDescent="0.25">
      <c r="A67" s="190"/>
      <c r="B67"/>
      <c r="C67" s="1607" t="s">
        <v>2228</v>
      </c>
      <c r="D67" s="1607"/>
      <c r="E67" s="1607"/>
      <c r="F67" s="1607"/>
      <c r="G67" s="1607"/>
      <c r="H67" s="1607">
        <v>1.6E-2</v>
      </c>
      <c r="I67" s="1607"/>
      <c r="J67" s="1607"/>
      <c r="K67" s="1607"/>
      <c r="L67" s="1607"/>
      <c r="M67" s="2667">
        <v>2</v>
      </c>
      <c r="N67" s="2667"/>
      <c r="O67" s="2667"/>
      <c r="P67" s="2667"/>
      <c r="Q67" s="2667"/>
      <c r="R67" s="338"/>
      <c r="S67" s="338"/>
      <c r="T67" s="338"/>
      <c r="U67" s="338"/>
      <c r="V67" s="338"/>
      <c r="W67" s="338"/>
      <c r="X67" s="338"/>
      <c r="Y67" s="2664" t="s">
        <v>2211</v>
      </c>
      <c r="Z67" s="2664"/>
      <c r="AA67" s="2664"/>
      <c r="AB67" s="2665">
        <f>SUMPRODUCT($H$66:$L$68,$M$66:$Q$68)</f>
        <v>0.34199999999999997</v>
      </c>
      <c r="AC67" s="2666"/>
      <c r="AD67" s="2666"/>
      <c r="AE67" s="417" t="s">
        <v>26</v>
      </c>
      <c r="AF67" s="418"/>
      <c r="AG67" s="190"/>
      <c r="AH67" s="190"/>
    </row>
    <row r="68" spans="1:34" s="262" customFormat="1" x14ac:dyDescent="0.25">
      <c r="A68" s="190"/>
      <c r="B68"/>
      <c r="C68" s="1607"/>
      <c r="D68" s="1607"/>
      <c r="E68" s="1607"/>
      <c r="F68" s="1607"/>
      <c r="G68" s="1607"/>
      <c r="H68" s="1607"/>
      <c r="I68" s="1607"/>
      <c r="J68" s="1607"/>
      <c r="K68" s="1607"/>
      <c r="L68" s="1607"/>
      <c r="M68" s="2667"/>
      <c r="N68" s="2667"/>
      <c r="O68" s="2667"/>
      <c r="P68" s="2667"/>
      <c r="Q68" s="2667"/>
      <c r="R68" s="338"/>
      <c r="S68" s="338"/>
      <c r="T68" s="338"/>
      <c r="U68" s="338"/>
      <c r="V68" s="338"/>
      <c r="W68" s="338"/>
      <c r="X68" s="338"/>
      <c r="Y68" s="338"/>
      <c r="Z68" s="338"/>
      <c r="AA68" s="338"/>
      <c r="AB68" s="338"/>
      <c r="AC68" s="190"/>
      <c r="AD68" s="190"/>
      <c r="AE68" s="190"/>
      <c r="AF68" s="190"/>
    </row>
    <row r="69" spans="1:34" s="262" customFormat="1" x14ac:dyDescent="0.25">
      <c r="A69" s="190"/>
      <c r="B69"/>
      <c r="C69" s="416" t="s">
        <v>2210</v>
      </c>
      <c r="D69" s="38"/>
      <c r="E69" s="38"/>
      <c r="F69" s="38"/>
      <c r="G69" s="38"/>
      <c r="H69" s="38"/>
      <c r="I69" s="38"/>
      <c r="J69" s="38"/>
      <c r="K69" s="38"/>
      <c r="L69" s="38"/>
      <c r="M69" s="191"/>
      <c r="N69" s="191"/>
      <c r="O69" s="191"/>
      <c r="P69" s="191"/>
      <c r="Q69" s="191"/>
      <c r="R69" s="338"/>
      <c r="S69" s="338"/>
      <c r="T69" s="338"/>
      <c r="U69" s="338"/>
      <c r="V69" s="338"/>
      <c r="W69" s="338"/>
      <c r="X69" s="338"/>
      <c r="Y69" s="338"/>
      <c r="Z69" s="338"/>
      <c r="AA69" s="338"/>
      <c r="AB69" s="338"/>
      <c r="AC69" s="190"/>
      <c r="AD69" s="190"/>
      <c r="AE69" s="190"/>
      <c r="AF69" s="190"/>
    </row>
    <row r="70" spans="1:34" s="262" customFormat="1" x14ac:dyDescent="0.25">
      <c r="A70" s="190"/>
      <c r="B70"/>
      <c r="C70"/>
      <c r="D70"/>
      <c r="E70"/>
      <c r="F70"/>
      <c r="G70"/>
      <c r="H70"/>
      <c r="I70" s="338"/>
      <c r="J70" s="338"/>
      <c r="K70" s="338"/>
      <c r="L70" s="338"/>
      <c r="M70" s="338"/>
      <c r="N70" s="338"/>
      <c r="O70" s="338"/>
      <c r="P70" s="338"/>
      <c r="Q70" s="338"/>
      <c r="R70" s="338"/>
      <c r="S70" s="338"/>
      <c r="T70" s="338"/>
      <c r="U70" s="338"/>
      <c r="V70" s="338"/>
      <c r="W70" s="338"/>
      <c r="X70" s="338"/>
      <c r="Y70" s="338"/>
      <c r="Z70" s="338"/>
      <c r="AA70" s="338"/>
      <c r="AB70" s="338"/>
      <c r="AC70" s="190"/>
      <c r="AD70" s="190"/>
      <c r="AE70" s="190"/>
      <c r="AF70" s="190"/>
    </row>
    <row r="71" spans="1:34" s="262" customFormat="1" x14ac:dyDescent="0.25">
      <c r="A71" s="190"/>
      <c r="B71" t="s">
        <v>2226</v>
      </c>
      <c r="C71" s="190"/>
      <c r="D71" s="190"/>
      <c r="E71" s="190"/>
      <c r="F71" s="190"/>
      <c r="G71" s="190"/>
      <c r="H71" s="190"/>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row>
    <row r="72" spans="1:34" s="262" customFormat="1" x14ac:dyDescent="0.25">
      <c r="A72" s="190"/>
      <c r="B72" s="190"/>
      <c r="C72" s="190"/>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row>
    <row r="73" spans="1:34" s="262" customFormat="1" ht="59.25" customHeight="1" x14ac:dyDescent="0.25">
      <c r="A73" s="190"/>
      <c r="B73" s="190"/>
      <c r="C73" s="1311" t="s">
        <v>2208</v>
      </c>
      <c r="D73" s="1311"/>
      <c r="E73" s="1311"/>
      <c r="F73" s="1311"/>
      <c r="G73" s="1311"/>
      <c r="H73" s="1311" t="s">
        <v>2212</v>
      </c>
      <c r="I73" s="1311"/>
      <c r="J73" s="1311"/>
      <c r="K73" s="1311"/>
      <c r="L73" s="1311"/>
      <c r="M73" s="1311" t="s">
        <v>2213</v>
      </c>
      <c r="N73" s="1311"/>
      <c r="O73" s="1311"/>
      <c r="P73" s="1311"/>
      <c r="Q73" s="1311"/>
      <c r="R73" s="1319" t="s">
        <v>409</v>
      </c>
      <c r="S73" s="1319"/>
      <c r="T73" s="1319"/>
      <c r="U73" s="1319"/>
      <c r="V73" s="1319"/>
      <c r="W73" s="190"/>
      <c r="X73" s="190"/>
      <c r="Y73" s="190"/>
      <c r="Z73" s="190"/>
      <c r="AA73" s="190"/>
      <c r="AB73" s="190"/>
      <c r="AC73" s="190"/>
      <c r="AD73" s="190"/>
      <c r="AE73" s="190"/>
      <c r="AF73" s="190"/>
    </row>
    <row r="74" spans="1:34" s="262" customFormat="1" x14ac:dyDescent="0.25">
      <c r="A74" s="190"/>
      <c r="B74" s="190"/>
      <c r="C74" s="1607" t="s">
        <v>2209</v>
      </c>
      <c r="D74" s="1607"/>
      <c r="E74" s="1607"/>
      <c r="F74" s="1607"/>
      <c r="G74" s="1607"/>
      <c r="H74" s="1607">
        <v>3.1E-2</v>
      </c>
      <c r="I74" s="1607"/>
      <c r="J74" s="1607"/>
      <c r="K74" s="1607"/>
      <c r="L74" s="1607"/>
      <c r="M74" s="2667">
        <v>1.4999999999999999E-2</v>
      </c>
      <c r="N74" s="2667"/>
      <c r="O74" s="2667"/>
      <c r="P74" s="2667"/>
      <c r="Q74" s="2667"/>
      <c r="R74" s="2667">
        <v>10</v>
      </c>
      <c r="S74" s="2667"/>
      <c r="T74" s="2667"/>
      <c r="U74" s="2667"/>
      <c r="V74" s="2667"/>
      <c r="W74" s="190"/>
      <c r="X74" s="190"/>
      <c r="Y74" s="2664" t="s">
        <v>2214</v>
      </c>
      <c r="Z74" s="2664"/>
      <c r="AA74" s="2664"/>
      <c r="AB74" s="2665">
        <f>SUMPRODUCT($H$74:$L$76,$R$74:$V$76)</f>
        <v>0.34199999999999997</v>
      </c>
      <c r="AC74" s="2666"/>
      <c r="AD74" s="2666"/>
      <c r="AE74" s="417" t="s">
        <v>26</v>
      </c>
      <c r="AF74" s="418"/>
    </row>
    <row r="75" spans="1:34" s="262" customFormat="1" x14ac:dyDescent="0.25">
      <c r="A75" s="190"/>
      <c r="B75" s="190"/>
      <c r="C75" s="1607" t="s">
        <v>2228</v>
      </c>
      <c r="D75" s="1607"/>
      <c r="E75" s="1607"/>
      <c r="F75" s="1607"/>
      <c r="G75" s="1607"/>
      <c r="H75" s="1607">
        <v>1.6E-2</v>
      </c>
      <c r="I75" s="1607"/>
      <c r="J75" s="1607"/>
      <c r="K75" s="1607"/>
      <c r="L75" s="1607"/>
      <c r="M75" s="2667">
        <v>8.0000000000000002E-3</v>
      </c>
      <c r="N75" s="2667"/>
      <c r="O75" s="2667"/>
      <c r="P75" s="2667"/>
      <c r="Q75" s="2667"/>
      <c r="R75" s="2667">
        <v>2</v>
      </c>
      <c r="S75" s="2667"/>
      <c r="T75" s="2667"/>
      <c r="U75" s="2667"/>
      <c r="V75" s="2667"/>
      <c r="W75" s="190"/>
      <c r="X75" s="190"/>
      <c r="Y75" s="190"/>
      <c r="Z75" s="190"/>
      <c r="AA75" s="190"/>
      <c r="AB75" s="190"/>
      <c r="AC75" s="190"/>
      <c r="AD75" s="190"/>
      <c r="AE75" s="190"/>
      <c r="AF75" s="190"/>
    </row>
    <row r="76" spans="1:34" s="262" customFormat="1" x14ac:dyDescent="0.25">
      <c r="A76" s="190"/>
      <c r="B76" s="190"/>
      <c r="C76" s="1607"/>
      <c r="D76" s="1607"/>
      <c r="E76" s="1607"/>
      <c r="F76" s="1607"/>
      <c r="G76" s="1607"/>
      <c r="H76" s="1607"/>
      <c r="I76" s="1607"/>
      <c r="J76" s="1607"/>
      <c r="K76" s="1607"/>
      <c r="L76" s="1607"/>
      <c r="M76" s="2667"/>
      <c r="N76" s="2667"/>
      <c r="O76" s="2667"/>
      <c r="P76" s="2667"/>
      <c r="Q76" s="2667"/>
      <c r="R76" s="2667"/>
      <c r="S76" s="2667"/>
      <c r="T76" s="2667"/>
      <c r="U76" s="2667"/>
      <c r="V76" s="2667"/>
      <c r="W76" s="190"/>
      <c r="X76" s="190"/>
      <c r="Y76" s="2664" t="s">
        <v>2215</v>
      </c>
      <c r="Z76" s="2664"/>
      <c r="AA76" s="2664"/>
      <c r="AB76" s="2665">
        <f>SUMPRODUCT($M$74:$Q$76,$R$74:$V$76)</f>
        <v>0.16599999999999998</v>
      </c>
      <c r="AC76" s="2666"/>
      <c r="AD76" s="2666"/>
      <c r="AE76" s="417" t="s">
        <v>26</v>
      </c>
      <c r="AF76" s="418"/>
    </row>
    <row r="77" spans="1:34" s="262" customFormat="1" x14ac:dyDescent="0.2">
      <c r="A77" s="190"/>
      <c r="B77" s="190"/>
      <c r="C77" s="416" t="s">
        <v>2210</v>
      </c>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row>
    <row r="78" spans="1:34" s="262" customFormat="1" x14ac:dyDescent="0.2">
      <c r="A78" s="190"/>
      <c r="B78" s="190"/>
      <c r="C78" s="416"/>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row>
    <row r="79" spans="1:34" ht="15.75" thickBot="1" x14ac:dyDescent="0.3"/>
    <row r="80" spans="1:34" ht="42" customHeight="1" x14ac:dyDescent="0.25">
      <c r="A80" s="1583" t="s">
        <v>22</v>
      </c>
      <c r="B80" s="1584"/>
      <c r="C80" s="1584"/>
      <c r="D80" s="1584"/>
      <c r="E80" s="1584"/>
      <c r="F80" s="1584"/>
      <c r="G80" s="1584"/>
      <c r="H80" s="1584"/>
      <c r="I80" s="1609" t="s">
        <v>2922</v>
      </c>
      <c r="J80" s="1609"/>
      <c r="K80" s="1609"/>
      <c r="L80" s="1609"/>
      <c r="M80" s="1609"/>
      <c r="N80" s="1609"/>
      <c r="O80" s="1609"/>
      <c r="P80" s="1609"/>
      <c r="Q80" s="1609" t="s">
        <v>2918</v>
      </c>
      <c r="R80" s="1584"/>
      <c r="S80" s="1584"/>
      <c r="T80" s="1584"/>
      <c r="U80" s="1584"/>
      <c r="V80" s="1584"/>
      <c r="W80" s="1584"/>
      <c r="X80" s="1585"/>
      <c r="Y80" s="1609" t="s">
        <v>1786</v>
      </c>
      <c r="Z80" s="1584"/>
      <c r="AA80" s="1584"/>
      <c r="AB80" s="1584"/>
      <c r="AC80" s="1584"/>
      <c r="AD80" s="1584"/>
      <c r="AE80" s="1584"/>
      <c r="AF80" s="1585"/>
    </row>
    <row r="81" spans="1:32" ht="32.25" customHeight="1" thickBot="1" x14ac:dyDescent="0.3">
      <c r="A81" s="1738" t="s">
        <v>2216</v>
      </c>
      <c r="B81" s="1739"/>
      <c r="C81" s="1739"/>
      <c r="D81" s="1739"/>
      <c r="E81" s="1739"/>
      <c r="F81" s="1739"/>
      <c r="G81" s="1739"/>
      <c r="H81" s="1739"/>
      <c r="I81" s="2485">
        <f>ROUND(($AB$67-($AB$76*$Q$48+$AB$74*$Q$49))*$Q$50*$Q$52*$Q$53*$Q$55,3)</f>
        <v>0.14099999999999999</v>
      </c>
      <c r="J81" s="2485"/>
      <c r="K81" s="2485"/>
      <c r="L81" s="2485"/>
      <c r="M81" s="2485"/>
      <c r="N81" s="2485"/>
      <c r="O81" s="2485"/>
      <c r="P81" s="2485"/>
      <c r="Q81" s="2659">
        <f>ROUND(($AB$67-($AB$76*$Q$48+$AB$74*$Q$49))*$Q$51*$Q$52*$Q$54*$Q$55,3)</f>
        <v>1233.4079999999999</v>
      </c>
      <c r="R81" s="2659"/>
      <c r="S81" s="2659"/>
      <c r="T81" s="2659"/>
      <c r="U81" s="2659"/>
      <c r="V81" s="2659"/>
      <c r="W81" s="2659"/>
      <c r="X81" s="2660"/>
      <c r="Y81" s="2661">
        <f>ROUND($Q$81*$Q$56,2)</f>
        <v>9867.26</v>
      </c>
      <c r="Z81" s="2661"/>
      <c r="AA81" s="2661"/>
      <c r="AB81" s="2661"/>
      <c r="AC81" s="2661"/>
      <c r="AD81" s="2661"/>
      <c r="AE81" s="2661"/>
      <c r="AF81" s="2662"/>
    </row>
    <row r="82" spans="1:32" x14ac:dyDescent="0.2">
      <c r="A82" s="416" t="s">
        <v>2386</v>
      </c>
    </row>
    <row r="84" spans="1:32" x14ac:dyDescent="0.25">
      <c r="A84" s="1472" t="s">
        <v>1753</v>
      </c>
      <c r="B84" s="1472"/>
      <c r="C84" s="1472"/>
      <c r="D84" s="1472"/>
      <c r="E84" s="1472"/>
      <c r="F84" s="1472"/>
      <c r="G84" s="1472"/>
      <c r="H84" s="1472"/>
      <c r="I84" s="1472"/>
      <c r="J84" s="1472"/>
      <c r="K84" s="1472"/>
      <c r="L84" s="1472"/>
      <c r="M84" s="1472"/>
      <c r="N84" s="1472"/>
      <c r="O84" s="1472"/>
      <c r="P84" s="1472"/>
      <c r="Q84" s="1472"/>
      <c r="R84" s="1472"/>
      <c r="S84" s="1472"/>
      <c r="T84" s="1472"/>
      <c r="U84" s="1472"/>
      <c r="V84" s="1472"/>
      <c r="W84" s="1472"/>
      <c r="X84" s="1472"/>
      <c r="Y84" s="1472"/>
      <c r="Z84" s="1472"/>
      <c r="AA84" s="1472"/>
      <c r="AB84" s="1472"/>
      <c r="AC84" s="1472"/>
      <c r="AD84" s="1472"/>
      <c r="AE84" s="1472"/>
      <c r="AF84" s="1472"/>
    </row>
    <row r="85" spans="1:32" x14ac:dyDescent="0.25">
      <c r="A85"/>
      <c r="B85" s="2663"/>
      <c r="C85" s="2663"/>
      <c r="D85" s="2663"/>
      <c r="E85" s="2663"/>
      <c r="F85" s="2663"/>
      <c r="G85" s="2663"/>
      <c r="H85" s="2663"/>
      <c r="I85" s="2663"/>
      <c r="J85" s="2663"/>
      <c r="K85" s="2663"/>
      <c r="L85" s="2663"/>
      <c r="M85" s="2663"/>
      <c r="N85" s="2663"/>
      <c r="O85" s="2663"/>
      <c r="P85" s="2663"/>
      <c r="Q85" s="2663"/>
      <c r="R85" s="2663"/>
      <c r="S85" s="2663"/>
      <c r="T85" s="2663"/>
      <c r="U85" s="2663"/>
      <c r="V85" s="2663"/>
      <c r="W85" s="2663"/>
      <c r="X85" s="2663"/>
      <c r="Y85" s="2663"/>
      <c r="Z85" s="2663"/>
      <c r="AA85" s="2663"/>
      <c r="AB85" s="2663"/>
      <c r="AC85" s="2663"/>
      <c r="AD85" s="2663"/>
      <c r="AE85" s="2663"/>
      <c r="AF85" s="2663"/>
    </row>
    <row r="86" spans="1:32" s="8" customFormat="1" ht="15" customHeight="1" x14ac:dyDescent="0.25">
      <c r="A86" s="515" t="s">
        <v>1013</v>
      </c>
      <c r="B86" s="1168" t="s">
        <v>2665</v>
      </c>
      <c r="C86" s="1168"/>
      <c r="D86" s="1168"/>
      <c r="E86" s="1168"/>
      <c r="F86" s="1168"/>
      <c r="G86" s="1168"/>
      <c r="H86" s="1168"/>
      <c r="I86" s="1168"/>
      <c r="J86" s="1168"/>
      <c r="K86" s="1168"/>
      <c r="L86" s="1168"/>
      <c r="M86" s="1168"/>
      <c r="N86" s="1168"/>
      <c r="O86" s="1168"/>
      <c r="P86" s="1168"/>
      <c r="Q86" s="1168"/>
      <c r="R86" s="1168"/>
      <c r="S86" s="1168"/>
      <c r="T86" s="1168"/>
      <c r="U86" s="1168"/>
      <c r="V86" s="1168"/>
      <c r="W86" s="1168"/>
      <c r="X86" s="1168"/>
      <c r="Y86" s="1168"/>
      <c r="Z86" s="1168"/>
      <c r="AA86" s="1168"/>
      <c r="AB86" s="1168"/>
      <c r="AC86" s="1168"/>
      <c r="AD86" s="1168"/>
      <c r="AE86" s="1168"/>
      <c r="AF86" s="1168"/>
    </row>
    <row r="87" spans="1:32" x14ac:dyDescent="0.25">
      <c r="A87" s="515" t="s">
        <v>1013</v>
      </c>
      <c r="B87" s="1247" t="s">
        <v>1796</v>
      </c>
      <c r="C87" s="1247"/>
      <c r="D87" s="1247"/>
      <c r="E87" s="1247"/>
      <c r="F87" s="1247"/>
      <c r="G87" s="1247"/>
      <c r="H87" s="1247"/>
      <c r="I87" s="1247"/>
      <c r="J87" s="1247"/>
      <c r="K87" s="1247"/>
      <c r="L87" s="1247"/>
      <c r="M87" s="1247"/>
      <c r="N87" s="1247"/>
      <c r="O87" s="1247"/>
      <c r="P87" s="1247"/>
      <c r="Q87" s="1247"/>
      <c r="R87" s="1247"/>
      <c r="S87" s="1247"/>
      <c r="T87" s="1247"/>
      <c r="U87" s="1247"/>
      <c r="V87" s="1247"/>
      <c r="W87" s="1247"/>
      <c r="X87" s="1247"/>
      <c r="Y87" s="1247"/>
      <c r="Z87" s="1247"/>
      <c r="AA87" s="1247"/>
      <c r="AB87" s="1247"/>
      <c r="AC87" s="1247"/>
      <c r="AD87" s="1247"/>
      <c r="AE87" s="1247"/>
      <c r="AF87" s="1247"/>
    </row>
    <row r="88" spans="1:32" ht="31.5" customHeight="1" x14ac:dyDescent="0.25">
      <c r="A88" s="515" t="s">
        <v>1013</v>
      </c>
      <c r="B88" s="1247" t="s">
        <v>2016</v>
      </c>
      <c r="C88" s="1247"/>
      <c r="D88" s="1247"/>
      <c r="E88" s="1247"/>
      <c r="F88" s="1247"/>
      <c r="G88" s="1247"/>
      <c r="H88" s="1247"/>
      <c r="I88" s="1247"/>
      <c r="J88" s="1247"/>
      <c r="K88" s="1247"/>
      <c r="L88" s="1247"/>
      <c r="M88" s="1247"/>
      <c r="N88" s="1247"/>
      <c r="O88" s="1247"/>
      <c r="P88" s="1247"/>
      <c r="Q88" s="1247"/>
      <c r="R88" s="1247"/>
      <c r="S88" s="1247"/>
      <c r="T88" s="1247"/>
      <c r="U88" s="1247"/>
      <c r="V88" s="1247"/>
      <c r="W88" s="1247"/>
      <c r="X88" s="1247"/>
      <c r="Y88" s="1247"/>
      <c r="Z88" s="1247"/>
      <c r="AA88" s="1247"/>
      <c r="AB88" s="1247"/>
      <c r="AC88" s="1247"/>
      <c r="AD88" s="1247"/>
      <c r="AE88" s="1247"/>
      <c r="AF88" s="1247"/>
    </row>
    <row r="89" spans="1:32" ht="66" customHeight="1" x14ac:dyDescent="0.25">
      <c r="A89" s="515" t="s">
        <v>1013</v>
      </c>
      <c r="B89" s="1247" t="s">
        <v>2231</v>
      </c>
      <c r="C89" s="1247"/>
      <c r="D89" s="1247"/>
      <c r="E89" s="1247"/>
      <c r="F89" s="1247"/>
      <c r="G89" s="1247"/>
      <c r="H89" s="1247"/>
      <c r="I89" s="1247"/>
      <c r="J89" s="1247"/>
      <c r="K89" s="1247"/>
      <c r="L89" s="1247"/>
      <c r="M89" s="1247"/>
      <c r="N89" s="1247"/>
      <c r="O89" s="1247"/>
      <c r="P89" s="1247"/>
      <c r="Q89" s="1247"/>
      <c r="R89" s="1247"/>
      <c r="S89" s="1247"/>
      <c r="T89" s="1247"/>
      <c r="U89" s="1247"/>
      <c r="V89" s="1247"/>
      <c r="W89" s="1247"/>
      <c r="X89" s="1247"/>
      <c r="Y89" s="1247"/>
      <c r="Z89" s="1247"/>
      <c r="AA89" s="1247"/>
      <c r="AB89" s="1247"/>
      <c r="AC89" s="1247"/>
      <c r="AD89" s="1247"/>
      <c r="AE89" s="1247"/>
      <c r="AF89" s="1247"/>
    </row>
    <row r="90" spans="1:32" x14ac:dyDescent="0.25">
      <c r="A90" s="515" t="s">
        <v>1013</v>
      </c>
      <c r="B90" s="1247" t="s">
        <v>2230</v>
      </c>
      <c r="C90" s="1247"/>
      <c r="D90" s="1247"/>
      <c r="E90" s="1247"/>
      <c r="F90" s="1247"/>
      <c r="G90" s="1247"/>
      <c r="H90" s="1247"/>
      <c r="I90" s="1247"/>
      <c r="J90" s="1247"/>
      <c r="K90" s="1247"/>
      <c r="L90" s="1247"/>
      <c r="M90" s="1247"/>
      <c r="N90" s="1247"/>
      <c r="O90" s="1247"/>
      <c r="P90" s="1247"/>
      <c r="Q90" s="1247"/>
      <c r="R90" s="1247"/>
      <c r="S90" s="1247"/>
      <c r="T90" s="1247"/>
      <c r="U90" s="1247"/>
      <c r="V90" s="1247"/>
      <c r="W90" s="1247"/>
      <c r="X90" s="1247"/>
      <c r="Y90" s="1247"/>
      <c r="Z90" s="1247"/>
      <c r="AA90" s="1247"/>
      <c r="AB90" s="1247"/>
      <c r="AC90" s="1247"/>
      <c r="AD90" s="1247"/>
      <c r="AE90" s="1247"/>
      <c r="AF90" s="1247"/>
    </row>
    <row r="91" spans="1:32" ht="36.75" customHeight="1" x14ac:dyDescent="0.25">
      <c r="A91" s="515" t="s">
        <v>1013</v>
      </c>
      <c r="B91" s="1247" t="s">
        <v>2088</v>
      </c>
      <c r="C91" s="1247"/>
      <c r="D91" s="1247"/>
      <c r="E91" s="1247"/>
      <c r="F91" s="1247"/>
      <c r="G91" s="1247"/>
      <c r="H91" s="1247"/>
      <c r="I91" s="1247"/>
      <c r="J91" s="1247"/>
      <c r="K91" s="1247"/>
      <c r="L91" s="1247"/>
      <c r="M91" s="1247"/>
      <c r="N91" s="1247"/>
      <c r="O91" s="1247"/>
      <c r="P91" s="1247"/>
      <c r="Q91" s="1247"/>
      <c r="R91" s="1247"/>
      <c r="S91" s="1247"/>
      <c r="T91" s="1247"/>
      <c r="U91" s="1247"/>
      <c r="V91" s="1247"/>
      <c r="W91" s="1247"/>
      <c r="X91" s="1247"/>
      <c r="Y91" s="1247"/>
      <c r="Z91" s="1247"/>
      <c r="AA91" s="1247"/>
      <c r="AB91" s="1247"/>
      <c r="AC91" s="1247"/>
      <c r="AD91" s="1247"/>
      <c r="AE91" s="1247"/>
      <c r="AF91" s="1247"/>
    </row>
    <row r="92" spans="1:32" ht="36.75" customHeight="1" x14ac:dyDescent="0.25">
      <c r="A92" s="515" t="s">
        <v>1013</v>
      </c>
      <c r="B92" s="1247" t="s">
        <v>2229</v>
      </c>
      <c r="C92" s="1247"/>
      <c r="D92" s="1247"/>
      <c r="E92" s="1247"/>
      <c r="F92" s="1247"/>
      <c r="G92" s="1247"/>
      <c r="H92" s="1247"/>
      <c r="I92" s="1247"/>
      <c r="J92" s="1247"/>
      <c r="K92" s="1247"/>
      <c r="L92" s="1247"/>
      <c r="M92" s="1247"/>
      <c r="N92" s="1247"/>
      <c r="O92" s="1247"/>
      <c r="P92" s="1247"/>
      <c r="Q92" s="1247"/>
      <c r="R92" s="1247"/>
      <c r="S92" s="1247"/>
      <c r="T92" s="1247"/>
      <c r="U92" s="1247"/>
      <c r="V92" s="1247"/>
      <c r="W92" s="1247"/>
      <c r="X92" s="1247"/>
      <c r="Y92" s="1247"/>
      <c r="Z92" s="1247"/>
      <c r="AA92" s="1247"/>
      <c r="AB92" s="1247"/>
      <c r="AC92" s="1247"/>
      <c r="AD92" s="1247"/>
      <c r="AE92" s="1247"/>
      <c r="AF92" s="1247"/>
    </row>
    <row r="93" spans="1:32" x14ac:dyDescent="0.25">
      <c r="A93" s="515" t="s">
        <v>1013</v>
      </c>
      <c r="B93" s="1247" t="s">
        <v>1749</v>
      </c>
      <c r="C93" s="1247"/>
      <c r="D93" s="1247"/>
      <c r="E93" s="1247"/>
      <c r="F93" s="1247"/>
      <c r="G93" s="1247"/>
      <c r="H93" s="1247"/>
      <c r="I93" s="1247"/>
      <c r="J93" s="1247"/>
      <c r="K93" s="1247"/>
      <c r="L93" s="1247"/>
      <c r="M93" s="1247"/>
      <c r="N93" s="1247"/>
      <c r="O93" s="1247"/>
      <c r="P93" s="1247"/>
      <c r="Q93" s="1247"/>
      <c r="R93" s="1247"/>
      <c r="S93" s="1247"/>
      <c r="T93" s="1247"/>
      <c r="U93" s="1247"/>
      <c r="V93" s="1247"/>
      <c r="W93" s="1247"/>
      <c r="X93" s="1247"/>
      <c r="Y93" s="1247"/>
      <c r="Z93" s="1247"/>
      <c r="AA93" s="1247"/>
      <c r="AB93" s="1247"/>
      <c r="AC93" s="1247"/>
      <c r="AD93" s="1247"/>
      <c r="AE93" s="1247"/>
      <c r="AF93" s="1247"/>
    </row>
  </sheetData>
  <sheetProtection algorithmName="SHA-512" hashValue="3UQufAF5cWX14SAE7bSV3BDvzAdrtRYmmhiI6I0TwV4VVk3YkboQiO0014AeRogJ9/BO7x0HCiZNx+FOuKhoew==" saltValue="+flmt4aPLUOw2RvV/6E7xw==" spinCount="100000" sheet="1" objects="1" scenarios="1"/>
  <mergeCells count="131">
    <mergeCell ref="E55:P55"/>
    <mergeCell ref="Q55:T55"/>
    <mergeCell ref="U55:V55"/>
    <mergeCell ref="W55:AF55"/>
    <mergeCell ref="W48:AF48"/>
    <mergeCell ref="A51:D51"/>
    <mergeCell ref="A46:D46"/>
    <mergeCell ref="E46:P46"/>
    <mergeCell ref="Q54:T54"/>
    <mergeCell ref="U54:V54"/>
    <mergeCell ref="W54:AF54"/>
    <mergeCell ref="E47:P47"/>
    <mergeCell ref="Q47:T47"/>
    <mergeCell ref="U47:V47"/>
    <mergeCell ref="W47:AF47"/>
    <mergeCell ref="Q48:T48"/>
    <mergeCell ref="U48:V48"/>
    <mergeCell ref="A52:D52"/>
    <mergeCell ref="E52:P52"/>
    <mergeCell ref="Q52:T52"/>
    <mergeCell ref="U52:V52"/>
    <mergeCell ref="W52:AF52"/>
    <mergeCell ref="Q49:T49"/>
    <mergeCell ref="U49:V49"/>
    <mergeCell ref="U56:V56"/>
    <mergeCell ref="W56:AF56"/>
    <mergeCell ref="A53:D53"/>
    <mergeCell ref="E53:P53"/>
    <mergeCell ref="Q53:T53"/>
    <mergeCell ref="A43:AF43"/>
    <mergeCell ref="A44:D44"/>
    <mergeCell ref="E44:P44"/>
    <mergeCell ref="Q44:T44"/>
    <mergeCell ref="U44:V44"/>
    <mergeCell ref="W44:AF44"/>
    <mergeCell ref="A45:D45"/>
    <mergeCell ref="E45:P45"/>
    <mergeCell ref="Q45:T45"/>
    <mergeCell ref="U53:V53"/>
    <mergeCell ref="W53:AF53"/>
    <mergeCell ref="A56:D56"/>
    <mergeCell ref="E56:P56"/>
    <mergeCell ref="Q56:T56"/>
    <mergeCell ref="W45:AF45"/>
    <mergeCell ref="A54:D54"/>
    <mergeCell ref="E54:P54"/>
    <mergeCell ref="Q46:T46"/>
    <mergeCell ref="A55:D55"/>
    <mergeCell ref="W49:AF49"/>
    <mergeCell ref="A48:D48"/>
    <mergeCell ref="E48:P48"/>
    <mergeCell ref="A1:AF1"/>
    <mergeCell ref="U45:V45"/>
    <mergeCell ref="A47:D47"/>
    <mergeCell ref="U46:V46"/>
    <mergeCell ref="W46:AF46"/>
    <mergeCell ref="A49:D49"/>
    <mergeCell ref="E49:P49"/>
    <mergeCell ref="A27:AF27"/>
    <mergeCell ref="A3:AF3"/>
    <mergeCell ref="B5:AF5"/>
    <mergeCell ref="B15:AF15"/>
    <mergeCell ref="A7:AF7"/>
    <mergeCell ref="B10:AF10"/>
    <mergeCell ref="B13:AF13"/>
    <mergeCell ref="B18:AF18"/>
    <mergeCell ref="B21:AF21"/>
    <mergeCell ref="B24:AF24"/>
    <mergeCell ref="E51:P51"/>
    <mergeCell ref="Q51:T51"/>
    <mergeCell ref="U51:V51"/>
    <mergeCell ref="W51:AF51"/>
    <mergeCell ref="A50:D50"/>
    <mergeCell ref="E50:P50"/>
    <mergeCell ref="Q50:T50"/>
    <mergeCell ref="U50:V50"/>
    <mergeCell ref="W50:AF50"/>
    <mergeCell ref="A57:AF57"/>
    <mergeCell ref="C65:G65"/>
    <mergeCell ref="M65:Q65"/>
    <mergeCell ref="C66:G66"/>
    <mergeCell ref="H66:L66"/>
    <mergeCell ref="M66:Q66"/>
    <mergeCell ref="C67:G67"/>
    <mergeCell ref="H67:L67"/>
    <mergeCell ref="M67:Q67"/>
    <mergeCell ref="Y67:AA67"/>
    <mergeCell ref="AB67:AD67"/>
    <mergeCell ref="H65:L65"/>
    <mergeCell ref="A59:AF59"/>
    <mergeCell ref="R73:V73"/>
    <mergeCell ref="R74:V74"/>
    <mergeCell ref="R75:V75"/>
    <mergeCell ref="R76:V76"/>
    <mergeCell ref="C68:G68"/>
    <mergeCell ref="H68:L68"/>
    <mergeCell ref="M68:Q68"/>
    <mergeCell ref="C73:G73"/>
    <mergeCell ref="H73:L73"/>
    <mergeCell ref="M73:Q73"/>
    <mergeCell ref="C74:G74"/>
    <mergeCell ref="H74:L74"/>
    <mergeCell ref="M74:Q74"/>
    <mergeCell ref="Y74:AA74"/>
    <mergeCell ref="AB74:AD74"/>
    <mergeCell ref="Y76:AA76"/>
    <mergeCell ref="AB76:AD76"/>
    <mergeCell ref="A80:H80"/>
    <mergeCell ref="I80:P80"/>
    <mergeCell ref="Q80:X80"/>
    <mergeCell ref="Y80:AF80"/>
    <mergeCell ref="C75:G75"/>
    <mergeCell ref="H75:L75"/>
    <mergeCell ref="M75:Q75"/>
    <mergeCell ref="C76:G76"/>
    <mergeCell ref="H76:L76"/>
    <mergeCell ref="M76:Q76"/>
    <mergeCell ref="B89:AF89"/>
    <mergeCell ref="B90:AF90"/>
    <mergeCell ref="B91:AF91"/>
    <mergeCell ref="B92:AF92"/>
    <mergeCell ref="B93:AF93"/>
    <mergeCell ref="A81:H81"/>
    <mergeCell ref="I81:P81"/>
    <mergeCell ref="Q81:X81"/>
    <mergeCell ref="Y81:AF81"/>
    <mergeCell ref="A84:AF84"/>
    <mergeCell ref="B85:AF85"/>
    <mergeCell ref="B87:AF87"/>
    <mergeCell ref="B88:AF88"/>
    <mergeCell ref="B86:AF86"/>
  </mergeCells>
  <hyperlinks>
    <hyperlink ref="A2" location="TOC!A1" display="Return to TOC" xr:uid="{00000000-0004-0000-3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6:AF41 AF32:AF33 AF34" numberStoredAsText="1"/>
  </ignoredError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BF2E1-A3ED-418F-A0DC-B0F4AA9F14D8}">
  <sheetPr>
    <tabColor theme="4" tint="0.59999389629810485"/>
    <pageSetUpPr autoPageBreaks="0" fitToPage="1"/>
  </sheetPr>
  <dimension ref="A1:CE132"/>
  <sheetViews>
    <sheetView zoomScaleNormal="100" workbookViewId="0">
      <selection sqref="A1:AF1"/>
    </sheetView>
  </sheetViews>
  <sheetFormatPr defaultColWidth="2.7109375" defaultRowHeight="15" x14ac:dyDescent="0.25"/>
  <cols>
    <col min="1" max="1" width="2.7109375" style="8"/>
    <col min="2" max="3" width="2.7109375" style="8" customWidth="1"/>
    <col min="4" max="4" width="2.7109375" style="8"/>
    <col min="5" max="8" width="2.7109375" style="8" customWidth="1"/>
    <col min="9" max="9" width="2.85546875" style="8" customWidth="1"/>
    <col min="10" max="10" width="2.7109375" style="8"/>
    <col min="11" max="12" width="2.7109375" style="8" customWidth="1"/>
    <col min="13" max="14" width="2.7109375" style="8"/>
    <col min="15" max="16" width="2.7109375" style="8" customWidth="1"/>
    <col min="17" max="18" width="2.7109375" style="8"/>
    <col min="19" max="20" width="2.7109375" style="8" customWidth="1"/>
    <col min="21" max="21" width="2.7109375" style="8"/>
    <col min="22" max="24" width="2.7109375" style="8" customWidth="1"/>
    <col min="25" max="26" width="2.7109375" style="8"/>
    <col min="27" max="32" width="2.7109375" style="8" customWidth="1"/>
    <col min="33" max="33" width="2.7109375" style="8"/>
    <col min="34" max="34" width="2.7109375" style="192"/>
    <col min="35" max="35" width="2.7109375" style="192" customWidth="1"/>
    <col min="36" max="38" width="2.7109375" style="192"/>
    <col min="39" max="47" width="2.7109375" style="192" customWidth="1"/>
    <col min="48" max="48" width="2.7109375" style="192"/>
    <col min="49" max="51" width="2.7109375" style="192" customWidth="1"/>
    <col min="52" max="53" width="2.7109375" style="192"/>
    <col min="54" max="54" width="2.7109375" style="192" customWidth="1"/>
    <col min="55" max="56" width="2.7109375" style="192"/>
    <col min="57" max="57" width="2.7109375" style="192" customWidth="1"/>
    <col min="58" max="60" width="2.7109375" style="192"/>
    <col min="61" max="66" width="2.7109375" style="192" customWidth="1"/>
    <col min="67" max="74" width="2.7109375" style="192"/>
    <col min="75" max="75" width="2.7109375" style="192" customWidth="1"/>
    <col min="76" max="83" width="2.7109375" style="192"/>
    <col min="84" max="16384" width="2.7109375" style="8"/>
  </cols>
  <sheetData>
    <row r="1" spans="1:83" s="1" customFormat="1" ht="18.75" x14ac:dyDescent="0.25">
      <c r="A1" s="1464" t="s">
        <v>6858</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H1" s="262"/>
      <c r="AI1" s="262"/>
      <c r="AJ1" s="262"/>
      <c r="AK1" s="338"/>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row>
    <row r="2" spans="1:83" s="1" customFormat="1"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62"/>
      <c r="CB2" s="262"/>
      <c r="CC2" s="262"/>
      <c r="CD2" s="262"/>
      <c r="CE2" s="262"/>
    </row>
    <row r="3" spans="1:83" s="1"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row>
    <row r="4" spans="1:83" s="1"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62"/>
      <c r="BT4" s="262"/>
      <c r="BU4" s="262"/>
      <c r="BV4" s="262"/>
      <c r="BW4" s="262"/>
      <c r="BX4" s="262"/>
      <c r="BY4" s="262"/>
      <c r="BZ4" s="262"/>
      <c r="CA4" s="262"/>
      <c r="CB4" s="262"/>
      <c r="CC4" s="262"/>
      <c r="CD4" s="262"/>
      <c r="CE4" s="262"/>
    </row>
    <row r="5" spans="1:83" s="1" customFormat="1" x14ac:dyDescent="0.25">
      <c r="A5" s="262"/>
      <c r="B5" s="1151" t="s">
        <v>6857</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c r="AH5" s="262"/>
      <c r="AI5" s="262"/>
      <c r="AJ5" s="262"/>
      <c r="AK5" s="262"/>
      <c r="AL5" s="262"/>
      <c r="AM5" s="262"/>
      <c r="AN5" s="262"/>
      <c r="AO5" s="262"/>
      <c r="AP5" s="262"/>
      <c r="AQ5" s="262"/>
      <c r="AR5" s="262"/>
      <c r="AS5" s="262"/>
      <c r="AT5" s="338"/>
      <c r="AU5" s="262"/>
      <c r="AV5" s="262"/>
      <c r="AW5" s="262"/>
      <c r="AX5" s="262"/>
      <c r="AY5" s="262"/>
      <c r="AZ5" s="262"/>
      <c r="BA5" s="262"/>
      <c r="BB5" s="262"/>
      <c r="BC5" s="262"/>
      <c r="BD5" s="262"/>
      <c r="BE5" s="262"/>
      <c r="BF5" s="262"/>
      <c r="BG5" s="262"/>
      <c r="BH5" s="262"/>
      <c r="BI5" s="262"/>
      <c r="BJ5" s="262"/>
      <c r="BK5" s="262"/>
      <c r="BL5" s="262"/>
      <c r="BM5" s="262"/>
      <c r="BN5" s="262"/>
      <c r="BO5" s="262"/>
      <c r="BP5" s="262"/>
      <c r="BQ5" s="262"/>
      <c r="BR5" s="262"/>
      <c r="BS5" s="262"/>
      <c r="BT5" s="262"/>
      <c r="BU5" s="262"/>
      <c r="BV5" s="262"/>
      <c r="BW5" s="262"/>
      <c r="BX5" s="262"/>
      <c r="BY5" s="262"/>
      <c r="BZ5" s="262"/>
      <c r="CA5" s="262"/>
      <c r="CB5" s="262"/>
      <c r="CC5" s="262"/>
      <c r="CD5" s="262"/>
      <c r="CE5" s="262"/>
    </row>
    <row r="6" spans="1:83" s="1" customFormat="1" ht="14.45" customHeight="1" x14ac:dyDescent="0.25">
      <c r="A6" s="376"/>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H6" s="262"/>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2"/>
      <c r="BG6" s="262"/>
      <c r="BH6" s="262"/>
      <c r="BI6" s="262"/>
      <c r="BJ6" s="262"/>
      <c r="BK6" s="262"/>
      <c r="BL6" s="262"/>
      <c r="BM6" s="262"/>
      <c r="BN6" s="262"/>
      <c r="BO6" s="262"/>
      <c r="BP6" s="262"/>
      <c r="BQ6" s="262"/>
      <c r="BR6" s="262"/>
      <c r="BS6" s="262"/>
      <c r="BT6" s="262"/>
      <c r="BU6" s="262"/>
      <c r="BV6" s="262"/>
      <c r="BW6" s="262"/>
      <c r="BX6" s="262"/>
      <c r="BY6" s="262"/>
      <c r="BZ6" s="262"/>
      <c r="CA6" s="262"/>
      <c r="CB6" s="262"/>
      <c r="CC6" s="262"/>
      <c r="CD6" s="262"/>
      <c r="CE6" s="262"/>
    </row>
    <row r="7" spans="1:83" s="1" customFormat="1" ht="14.45" customHeight="1"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row>
    <row r="8" spans="1:83" s="1" customFormat="1" ht="14.45" customHeigh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H8" s="262"/>
      <c r="AI8" s="262"/>
      <c r="AJ8" s="262"/>
      <c r="AK8" s="262"/>
      <c r="AL8" s="262"/>
      <c r="AM8" s="262"/>
      <c r="AN8" s="262"/>
      <c r="AO8" s="262"/>
      <c r="AP8" s="262"/>
      <c r="AQ8" s="262"/>
      <c r="AR8" s="262"/>
      <c r="AS8" s="262"/>
      <c r="AT8" s="262"/>
      <c r="AU8" s="262"/>
      <c r="AV8" s="262"/>
      <c r="AW8" s="262"/>
      <c r="AX8" s="262"/>
      <c r="AY8" s="262"/>
      <c r="AZ8" s="262"/>
      <c r="BA8" s="262"/>
      <c r="BB8" s="262"/>
      <c r="BC8" s="262"/>
      <c r="BD8" s="262"/>
      <c r="BE8" s="262"/>
      <c r="BF8" s="262"/>
      <c r="BG8" s="262"/>
      <c r="BH8" s="262"/>
      <c r="BI8" s="262"/>
      <c r="BJ8" s="262"/>
      <c r="BK8" s="262"/>
      <c r="BL8" s="262"/>
      <c r="BM8" s="262"/>
      <c r="BN8" s="262"/>
      <c r="BO8" s="262"/>
      <c r="BP8" s="262"/>
      <c r="BQ8" s="262"/>
      <c r="BR8" s="262"/>
      <c r="BS8" s="262"/>
      <c r="BT8" s="262"/>
      <c r="BU8" s="262"/>
      <c r="BV8" s="262"/>
      <c r="BW8" s="262"/>
      <c r="BX8" s="262"/>
      <c r="BY8" s="262"/>
      <c r="BZ8" s="262"/>
      <c r="CA8" s="262"/>
      <c r="CB8" s="262"/>
      <c r="CC8" s="262"/>
      <c r="CD8" s="262"/>
      <c r="CE8" s="262"/>
    </row>
    <row r="9" spans="1:83" s="1" customFormat="1" ht="14.45" customHeight="1" x14ac:dyDescent="0.25">
      <c r="B9" s="1475" t="s">
        <v>10</v>
      </c>
      <c r="C9" s="1475"/>
      <c r="D9" s="1475"/>
      <c r="E9" s="1475"/>
      <c r="F9" s="1475"/>
      <c r="G9" s="1475"/>
      <c r="H9" s="1475"/>
      <c r="I9" s="1475"/>
      <c r="AH9" s="262"/>
      <c r="AI9" s="262"/>
      <c r="AJ9" s="262"/>
      <c r="AK9" s="262"/>
      <c r="AL9" s="262"/>
      <c r="AM9" s="262"/>
      <c r="AN9" s="262"/>
      <c r="AO9" s="262"/>
      <c r="AP9" s="262"/>
      <c r="AQ9" s="262"/>
      <c r="AR9" s="262"/>
      <c r="AS9" s="262"/>
      <c r="AT9" s="262"/>
      <c r="AU9" s="262"/>
      <c r="AV9" s="262"/>
      <c r="AW9" s="262"/>
      <c r="AX9" s="262"/>
      <c r="AY9" s="262"/>
      <c r="AZ9" s="262"/>
      <c r="BA9" s="262"/>
      <c r="BB9" s="262"/>
      <c r="BC9" s="262"/>
      <c r="BD9" s="262"/>
      <c r="BE9" s="262"/>
      <c r="BF9" s="262"/>
      <c r="BG9" s="262"/>
      <c r="BH9" s="262"/>
      <c r="BI9" s="262"/>
      <c r="BJ9" s="262"/>
      <c r="BK9" s="262"/>
      <c r="BL9" s="262"/>
      <c r="BM9" s="262"/>
      <c r="BN9" s="262"/>
      <c r="BO9" s="262"/>
      <c r="BP9" s="262"/>
      <c r="BQ9" s="262"/>
      <c r="BR9" s="262"/>
      <c r="BS9" s="262"/>
      <c r="BT9" s="262"/>
      <c r="BU9" s="262"/>
      <c r="BV9" s="262"/>
      <c r="BW9" s="262"/>
      <c r="BX9" s="262"/>
      <c r="BY9" s="262"/>
      <c r="BZ9" s="262"/>
      <c r="CA9" s="262"/>
      <c r="CB9" s="262"/>
      <c r="CC9" s="262"/>
      <c r="CD9" s="262"/>
      <c r="CE9" s="262"/>
    </row>
    <row r="10" spans="1:83" s="1" customFormat="1" ht="123.75" customHeight="1" x14ac:dyDescent="0.25">
      <c r="A10" s="4"/>
      <c r="B10" s="1173" t="s">
        <v>6856</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H10" s="262"/>
      <c r="AI10" s="262"/>
      <c r="AJ10" s="262"/>
      <c r="AK10" s="262"/>
      <c r="AL10" s="262"/>
      <c r="AM10" s="262"/>
      <c r="AN10" s="262"/>
      <c r="AO10" s="262"/>
      <c r="AP10" s="262"/>
      <c r="AQ10" s="262"/>
      <c r="AR10" s="262"/>
      <c r="AS10" s="262"/>
      <c r="AT10" s="262"/>
      <c r="AU10" s="262"/>
      <c r="AV10" s="262"/>
      <c r="AW10" s="262"/>
      <c r="AX10" s="262"/>
      <c r="AY10" s="262"/>
      <c r="AZ10" s="262"/>
      <c r="BA10" s="262"/>
      <c r="BB10" s="262"/>
      <c r="BC10" s="262"/>
      <c r="BD10" s="262"/>
      <c r="BE10" s="262"/>
      <c r="BF10" s="262"/>
      <c r="BG10" s="262"/>
      <c r="BH10" s="262"/>
      <c r="BI10" s="262"/>
      <c r="BJ10" s="262"/>
      <c r="BK10" s="262"/>
      <c r="BL10" s="262"/>
      <c r="BM10" s="262"/>
      <c r="BN10" s="262"/>
      <c r="BO10" s="262"/>
      <c r="BP10" s="262"/>
      <c r="BQ10" s="262"/>
      <c r="BR10" s="262"/>
      <c r="BS10" s="262"/>
      <c r="BT10" s="262"/>
      <c r="BU10" s="262"/>
      <c r="BV10" s="262"/>
      <c r="BW10" s="262"/>
      <c r="BX10" s="262"/>
      <c r="BY10" s="262"/>
      <c r="BZ10" s="262"/>
      <c r="CA10" s="262"/>
      <c r="CB10" s="262"/>
      <c r="CC10" s="262"/>
      <c r="CD10" s="262"/>
      <c r="CE10" s="262"/>
    </row>
    <row r="11" spans="1:83" s="1" customFormat="1" ht="14.45" customHeight="1" x14ac:dyDescent="0.25">
      <c r="AH11" s="262"/>
      <c r="AI11" s="262"/>
      <c r="AJ11" s="262"/>
      <c r="AK11" s="262"/>
      <c r="AL11" s="262"/>
      <c r="AM11" s="262"/>
      <c r="AN11" s="262"/>
      <c r="AO11" s="262"/>
      <c r="AP11" s="262"/>
      <c r="AQ11" s="262"/>
      <c r="AR11" s="262"/>
      <c r="AS11" s="262"/>
      <c r="AT11" s="262"/>
      <c r="AU11" s="262"/>
      <c r="AV11" s="262"/>
      <c r="AW11" s="262"/>
      <c r="AX11" s="262"/>
      <c r="AY11" s="262"/>
      <c r="AZ11" s="262"/>
      <c r="BA11" s="262"/>
      <c r="BB11" s="262"/>
      <c r="BC11" s="262"/>
      <c r="BD11" s="262"/>
      <c r="BE11" s="262"/>
      <c r="BF11" s="262"/>
      <c r="BG11" s="262"/>
      <c r="BH11" s="262"/>
      <c r="BI11" s="262"/>
      <c r="BJ11" s="262"/>
      <c r="BK11" s="262"/>
      <c r="BL11" s="262"/>
      <c r="BM11" s="262"/>
      <c r="BN11" s="262"/>
      <c r="BO11" s="262"/>
      <c r="BP11" s="262"/>
      <c r="BQ11" s="262"/>
      <c r="BR11" s="262"/>
      <c r="BS11" s="262"/>
      <c r="BT11" s="262"/>
      <c r="BU11" s="262"/>
      <c r="BV11" s="262"/>
      <c r="BW11" s="262"/>
      <c r="BX11" s="262"/>
      <c r="BY11" s="262"/>
      <c r="BZ11" s="262"/>
      <c r="CA11" s="262"/>
      <c r="CB11" s="262"/>
      <c r="CC11" s="262"/>
      <c r="CD11" s="262"/>
      <c r="CE11" s="262"/>
    </row>
    <row r="12" spans="1:83" s="1" customFormat="1" ht="14.45" customHeight="1" x14ac:dyDescent="0.25">
      <c r="B12" s="1475" t="s">
        <v>11</v>
      </c>
      <c r="C12" s="1475"/>
      <c r="D12" s="1475"/>
      <c r="E12" s="1475"/>
      <c r="F12" s="1475"/>
      <c r="G12" s="1475"/>
      <c r="H12" s="1475"/>
      <c r="I12" s="1475"/>
      <c r="AH12" s="262"/>
      <c r="AI12" s="262"/>
      <c r="AJ12" s="262"/>
      <c r="AK12" s="262"/>
      <c r="AL12" s="262"/>
      <c r="AM12" s="262"/>
      <c r="AN12" s="262"/>
      <c r="AO12" s="262"/>
      <c r="AP12" s="262"/>
      <c r="AQ12" s="262"/>
      <c r="AR12" s="262"/>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c r="BO12" s="262"/>
      <c r="BP12" s="262"/>
      <c r="BQ12" s="262"/>
      <c r="BR12" s="262"/>
      <c r="BS12" s="262"/>
      <c r="BT12" s="262"/>
      <c r="BU12" s="262"/>
      <c r="BV12" s="262"/>
      <c r="BW12" s="262"/>
      <c r="BX12" s="262"/>
      <c r="BY12" s="262"/>
      <c r="BZ12" s="262"/>
      <c r="CA12" s="262"/>
      <c r="CB12" s="262"/>
      <c r="CC12" s="262"/>
      <c r="CD12" s="262"/>
      <c r="CE12" s="262"/>
    </row>
    <row r="13" spans="1:83" s="1" customFormat="1" ht="114.75" customHeight="1" x14ac:dyDescent="0.25">
      <c r="B13" s="1173" t="s">
        <v>6855</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2"/>
      <c r="CB13" s="262"/>
      <c r="CC13" s="262"/>
      <c r="CD13" s="262"/>
      <c r="CE13" s="262"/>
    </row>
    <row r="14" spans="1:83" s="1" customFormat="1" x14ac:dyDescent="0.25">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H14" s="262"/>
      <c r="AI14" s="262"/>
      <c r="AJ14" s="262"/>
      <c r="AK14" s="262"/>
      <c r="AL14" s="262"/>
      <c r="AM14" s="262"/>
      <c r="AN14" s="262"/>
      <c r="AO14" s="262"/>
      <c r="AP14" s="262"/>
      <c r="AQ14" s="262"/>
      <c r="AR14" s="262"/>
      <c r="AS14" s="262"/>
      <c r="AT14" s="262"/>
      <c r="AU14" s="262"/>
      <c r="AV14" s="262"/>
      <c r="AW14" s="262"/>
      <c r="AX14" s="262"/>
      <c r="AY14" s="262"/>
      <c r="AZ14" s="262"/>
      <c r="BA14" s="262"/>
      <c r="BB14" s="262"/>
      <c r="BC14" s="262"/>
      <c r="BD14" s="262"/>
      <c r="BE14" s="262"/>
      <c r="BF14" s="262"/>
      <c r="BG14" s="262"/>
      <c r="BH14" s="262"/>
      <c r="BI14" s="262"/>
      <c r="BJ14" s="262"/>
      <c r="BK14" s="262"/>
      <c r="BL14" s="262"/>
      <c r="BM14" s="262"/>
      <c r="BN14" s="262"/>
      <c r="BO14" s="262"/>
      <c r="BP14" s="262"/>
      <c r="BQ14" s="262"/>
      <c r="BR14" s="262"/>
      <c r="BS14" s="262"/>
      <c r="BT14" s="262"/>
      <c r="BU14" s="262"/>
      <c r="BV14" s="262"/>
      <c r="BW14" s="262"/>
      <c r="BX14" s="262"/>
      <c r="BY14" s="262"/>
      <c r="BZ14" s="262"/>
      <c r="CA14" s="262"/>
      <c r="CB14" s="262"/>
      <c r="CC14" s="262"/>
      <c r="CD14" s="262"/>
      <c r="CE14" s="262"/>
    </row>
    <row r="15" spans="1:83" s="1" customFormat="1" ht="14.45" customHeight="1" x14ac:dyDescent="0.25">
      <c r="B15" s="1475" t="s">
        <v>12</v>
      </c>
      <c r="C15" s="1475"/>
      <c r="D15" s="1475"/>
      <c r="E15" s="1475"/>
      <c r="F15" s="1475"/>
      <c r="G15" s="1475"/>
      <c r="H15" s="1475"/>
      <c r="I15" s="1475"/>
      <c r="AH15" s="262"/>
      <c r="AI15" s="262"/>
      <c r="AJ15" s="262"/>
      <c r="AK15" s="262"/>
      <c r="AL15" s="262"/>
      <c r="AM15" s="262"/>
      <c r="AN15" s="262"/>
      <c r="AO15" s="262"/>
      <c r="AP15" s="262"/>
      <c r="AQ15" s="262"/>
      <c r="AR15" s="262"/>
      <c r="AS15" s="262"/>
      <c r="AT15" s="262"/>
      <c r="AU15" s="262"/>
      <c r="AV15" s="262"/>
      <c r="AW15" s="262"/>
      <c r="AX15" s="262"/>
      <c r="AY15" s="262"/>
      <c r="AZ15" s="262"/>
      <c r="BA15" s="262"/>
      <c r="BB15" s="262"/>
      <c r="BC15" s="262"/>
      <c r="BD15" s="262"/>
      <c r="BE15" s="262"/>
      <c r="BF15" s="262"/>
      <c r="BG15" s="262"/>
      <c r="BH15" s="262"/>
      <c r="BI15" s="262"/>
      <c r="BJ15" s="262"/>
      <c r="BK15" s="262"/>
      <c r="BL15" s="262"/>
      <c r="BM15" s="262"/>
      <c r="BN15" s="262"/>
      <c r="BO15" s="262"/>
      <c r="BP15" s="262"/>
      <c r="BQ15" s="262"/>
      <c r="BR15" s="262"/>
      <c r="BS15" s="262"/>
      <c r="BT15" s="262"/>
      <c r="BU15" s="262"/>
      <c r="BV15" s="262"/>
      <c r="BW15" s="262"/>
      <c r="BX15" s="262"/>
      <c r="BY15" s="262"/>
      <c r="BZ15" s="262"/>
      <c r="CA15" s="262"/>
      <c r="CB15" s="262"/>
      <c r="CC15" s="262"/>
      <c r="CD15" s="262"/>
      <c r="CE15" s="262"/>
    </row>
    <row r="16" spans="1:83" s="1" customFormat="1" ht="14.45" customHeight="1" x14ac:dyDescent="0.25">
      <c r="B16" s="1473" t="s">
        <v>6854</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c r="AH16" s="262"/>
      <c r="AI16" s="262"/>
      <c r="AJ16" s="262"/>
      <c r="AK16" s="262"/>
      <c r="AL16" s="262"/>
      <c r="AM16" s="262"/>
      <c r="AN16" s="262"/>
      <c r="AO16" s="262"/>
      <c r="AP16" s="262"/>
      <c r="AQ16" s="262"/>
      <c r="AR16" s="262"/>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262"/>
      <c r="BT16" s="262"/>
      <c r="BU16" s="262"/>
      <c r="BV16" s="262"/>
      <c r="BW16" s="262"/>
      <c r="BX16" s="262"/>
      <c r="BY16" s="262"/>
      <c r="BZ16" s="262"/>
      <c r="CA16" s="262"/>
      <c r="CB16" s="262"/>
      <c r="CC16" s="262"/>
      <c r="CD16" s="262"/>
      <c r="CE16" s="262"/>
    </row>
    <row r="17" spans="1:83" s="1" customFormat="1" ht="14.45" customHeight="1" x14ac:dyDescent="0.25">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row>
    <row r="18" spans="1:83" s="1" customFormat="1" ht="14.45" customHeight="1" x14ac:dyDescent="0.25">
      <c r="B18" s="1475" t="s">
        <v>13</v>
      </c>
      <c r="C18" s="1475"/>
      <c r="D18" s="1475"/>
      <c r="E18" s="1475"/>
      <c r="F18" s="1475"/>
      <c r="G18" s="1475"/>
      <c r="H18" s="1475"/>
      <c r="I18" s="1475"/>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262"/>
      <c r="BT18" s="262"/>
      <c r="BU18" s="262"/>
      <c r="BV18" s="262"/>
      <c r="BW18" s="262"/>
      <c r="BX18" s="262"/>
      <c r="BY18" s="262"/>
      <c r="BZ18" s="262"/>
      <c r="CA18" s="262"/>
      <c r="CB18" s="262"/>
      <c r="CC18" s="262"/>
      <c r="CD18" s="262"/>
      <c r="CE18" s="262"/>
    </row>
    <row r="19" spans="1:83" s="1" customFormat="1" ht="66" customHeight="1" x14ac:dyDescent="0.25">
      <c r="B19" s="1247" t="s">
        <v>6853</v>
      </c>
      <c r="C19" s="1247"/>
      <c r="D19" s="1247"/>
      <c r="E19" s="1247"/>
      <c r="F19" s="1247"/>
      <c r="G19" s="1247"/>
      <c r="H19" s="1247"/>
      <c r="I19" s="1247"/>
      <c r="J19" s="1247"/>
      <c r="K19" s="1247"/>
      <c r="L19" s="1247"/>
      <c r="M19" s="1247"/>
      <c r="N19" s="1247"/>
      <c r="O19" s="1247"/>
      <c r="P19" s="1247"/>
      <c r="Q19" s="1247"/>
      <c r="R19" s="1247"/>
      <c r="S19" s="1247"/>
      <c r="T19" s="1247"/>
      <c r="U19" s="1247"/>
      <c r="V19" s="1247"/>
      <c r="W19" s="1247"/>
      <c r="X19" s="1247"/>
      <c r="Y19" s="1247"/>
      <c r="Z19" s="1247"/>
      <c r="AA19" s="1247"/>
      <c r="AB19" s="1247"/>
      <c r="AC19" s="1247"/>
      <c r="AD19" s="1247"/>
      <c r="AE19" s="1247"/>
      <c r="AF19" s="1247"/>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2"/>
      <c r="BG19" s="262"/>
      <c r="BH19" s="262"/>
      <c r="BI19" s="262"/>
      <c r="BJ19" s="262"/>
      <c r="BK19" s="262"/>
      <c r="BL19" s="262"/>
      <c r="BM19" s="262"/>
      <c r="BN19" s="262"/>
      <c r="BO19" s="262"/>
      <c r="BP19" s="262"/>
      <c r="BQ19" s="262"/>
      <c r="BR19" s="262"/>
      <c r="BS19" s="262"/>
      <c r="BT19" s="262"/>
      <c r="BU19" s="262"/>
      <c r="BV19" s="262"/>
      <c r="BW19" s="262"/>
      <c r="BX19" s="262"/>
      <c r="BY19" s="262"/>
      <c r="BZ19" s="262"/>
      <c r="CA19" s="262"/>
      <c r="CB19" s="262"/>
      <c r="CC19" s="262"/>
      <c r="CD19" s="262"/>
      <c r="CE19" s="262"/>
    </row>
    <row r="20" spans="1:83" s="1" customFormat="1" ht="19.5" customHeight="1" x14ac:dyDescent="0.25">
      <c r="B20" s="171" t="s">
        <v>20</v>
      </c>
      <c r="C20" s="171"/>
      <c r="D20" s="171"/>
      <c r="E20" s="171"/>
      <c r="F20" s="171"/>
      <c r="G20" s="171"/>
      <c r="H20" s="171"/>
      <c r="I20" s="171"/>
      <c r="J20" s="171"/>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262"/>
      <c r="BT20" s="262"/>
      <c r="BU20" s="262"/>
      <c r="BV20" s="262"/>
      <c r="BW20" s="262"/>
      <c r="BX20" s="262"/>
      <c r="BY20" s="262"/>
      <c r="BZ20" s="262"/>
      <c r="CA20" s="262"/>
      <c r="CB20" s="262"/>
      <c r="CC20" s="262"/>
      <c r="CD20" s="262"/>
      <c r="CE20" s="262"/>
    </row>
    <row r="21" spans="1:83" s="1" customFormat="1" ht="35.25" customHeight="1" x14ac:dyDescent="0.25">
      <c r="B21" s="2712" t="s">
        <v>6852</v>
      </c>
      <c r="C21" s="1476"/>
      <c r="D21" s="1476"/>
      <c r="E21" s="1476"/>
      <c r="F21" s="1476"/>
      <c r="G21" s="1476"/>
      <c r="H21" s="1476"/>
      <c r="I21" s="1476"/>
      <c r="J21" s="1476"/>
      <c r="K21" s="1476"/>
      <c r="L21" s="1476"/>
      <c r="M21" s="1476"/>
      <c r="N21" s="1476"/>
      <c r="O21" s="1476"/>
      <c r="P21" s="1476"/>
      <c r="Q21" s="1476"/>
      <c r="R21" s="1476"/>
      <c r="S21" s="1476"/>
      <c r="T21" s="1476"/>
      <c r="U21" s="1476"/>
      <c r="V21" s="1476"/>
      <c r="W21" s="1476"/>
      <c r="X21" s="1476"/>
      <c r="Y21" s="1476"/>
      <c r="Z21" s="1476"/>
      <c r="AA21" s="1476"/>
      <c r="AB21" s="1476"/>
      <c r="AC21" s="1476"/>
      <c r="AD21" s="1476"/>
      <c r="AE21" s="1476"/>
      <c r="AF21" s="1476"/>
      <c r="AH21" s="262"/>
      <c r="AI21" s="262"/>
      <c r="AJ21" s="262"/>
      <c r="AK21" s="262"/>
      <c r="AL21" s="262"/>
      <c r="AM21" s="262"/>
      <c r="AN21" s="262"/>
      <c r="AO21" s="262"/>
      <c r="AP21" s="262"/>
      <c r="AQ21" s="262"/>
      <c r="AR21" s="262"/>
      <c r="AS21" s="262"/>
      <c r="AT21" s="262"/>
      <c r="AU21" s="262"/>
      <c r="AV21" s="262"/>
      <c r="AW21" s="262"/>
      <c r="AX21" s="262"/>
      <c r="AY21" s="262"/>
      <c r="AZ21" s="262"/>
      <c r="BA21" s="262"/>
      <c r="BB21" s="262"/>
      <c r="BC21" s="262"/>
      <c r="BD21" s="262"/>
      <c r="BE21" s="262"/>
      <c r="BF21" s="262"/>
      <c r="BG21" s="262"/>
      <c r="BH21" s="262"/>
      <c r="BI21" s="262"/>
      <c r="BJ21" s="262"/>
      <c r="BK21" s="262"/>
      <c r="BL21" s="262"/>
      <c r="BM21" s="262"/>
      <c r="BN21" s="262"/>
      <c r="BO21" s="262"/>
      <c r="BP21" s="262"/>
      <c r="BQ21" s="262"/>
      <c r="BR21" s="262"/>
      <c r="BS21" s="262"/>
      <c r="BT21" s="262"/>
      <c r="BU21" s="262"/>
      <c r="BV21" s="262"/>
      <c r="BW21" s="262"/>
      <c r="BX21" s="262"/>
      <c r="BY21" s="262"/>
      <c r="BZ21" s="262"/>
      <c r="CA21" s="262"/>
      <c r="CB21" s="262"/>
      <c r="CC21" s="262"/>
      <c r="CD21" s="262"/>
      <c r="CE21" s="262"/>
    </row>
    <row r="22" spans="1:83" s="1" customFormat="1" ht="14.45" customHeight="1" x14ac:dyDescent="0.25">
      <c r="A22" s="376"/>
      <c r="B22" s="284"/>
      <c r="C22" s="284"/>
      <c r="D22" s="284"/>
      <c r="E22" s="284"/>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H22" s="262"/>
      <c r="AI22" s="262"/>
      <c r="AJ22" s="262"/>
      <c r="AK22" s="262"/>
      <c r="AL22" s="262"/>
      <c r="AM22" s="262"/>
      <c r="AN22" s="262"/>
      <c r="AO22" s="262"/>
      <c r="AP22" s="262"/>
      <c r="AQ22" s="262"/>
      <c r="AR22" s="262"/>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262"/>
      <c r="BT22" s="262"/>
      <c r="BU22" s="262"/>
      <c r="BV22" s="262"/>
      <c r="BW22" s="262"/>
      <c r="BX22" s="262"/>
      <c r="BY22" s="262"/>
      <c r="BZ22" s="262"/>
      <c r="CA22" s="262"/>
      <c r="CB22" s="262"/>
      <c r="CC22" s="262"/>
      <c r="CD22" s="262"/>
      <c r="CE22" s="262"/>
    </row>
    <row r="23" spans="1:83" s="1" customFormat="1" x14ac:dyDescent="0.25">
      <c r="A23" s="1472" t="s">
        <v>14</v>
      </c>
      <c r="B23" s="1472"/>
      <c r="C23" s="1472"/>
      <c r="D23" s="1472"/>
      <c r="E23" s="1472"/>
      <c r="F23" s="1472"/>
      <c r="G23" s="1472"/>
      <c r="H23" s="1472"/>
      <c r="I23" s="1472"/>
      <c r="J23" s="1472"/>
      <c r="K23" s="1472"/>
      <c r="L23" s="1472"/>
      <c r="M23" s="1472"/>
      <c r="N23" s="1472"/>
      <c r="O23" s="1472"/>
      <c r="P23" s="1472"/>
      <c r="Q23" s="1472"/>
      <c r="R23" s="1472"/>
      <c r="S23" s="1472"/>
      <c r="T23" s="1472"/>
      <c r="U23" s="1472"/>
      <c r="V23" s="1472"/>
      <c r="W23" s="1472"/>
      <c r="X23" s="1472"/>
      <c r="Y23" s="1472"/>
      <c r="Z23" s="1472"/>
      <c r="AA23" s="1472"/>
      <c r="AB23" s="1472"/>
      <c r="AC23" s="1472"/>
      <c r="AD23" s="1472"/>
      <c r="AE23" s="1472"/>
      <c r="AF23" s="1472"/>
      <c r="AH23" s="262"/>
      <c r="AI23" s="262"/>
      <c r="AJ23" s="262"/>
      <c r="AK23" s="262"/>
      <c r="AL23" s="262"/>
      <c r="AM23" s="262"/>
      <c r="AN23" s="262"/>
      <c r="AO23" s="262"/>
      <c r="AP23" s="262"/>
      <c r="AQ23" s="262"/>
      <c r="AR23" s="262"/>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262"/>
      <c r="BT23" s="262"/>
      <c r="BU23" s="262"/>
      <c r="BV23" s="262"/>
      <c r="BW23" s="262"/>
      <c r="BX23" s="262"/>
      <c r="BY23" s="262"/>
      <c r="BZ23" s="262"/>
      <c r="CA23" s="262"/>
      <c r="CB23" s="262"/>
      <c r="CC23" s="262"/>
      <c r="CD23" s="262"/>
      <c r="CE23" s="262"/>
    </row>
    <row r="24" spans="1:83" s="1" customForma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262"/>
      <c r="BT24" s="262"/>
      <c r="BU24" s="262"/>
      <c r="BV24" s="262"/>
      <c r="BW24" s="262"/>
      <c r="BX24" s="262"/>
      <c r="BY24" s="262"/>
      <c r="BZ24" s="262"/>
      <c r="CA24" s="262"/>
      <c r="CB24" s="262"/>
      <c r="CC24" s="262"/>
      <c r="CD24" s="262"/>
      <c r="CE24" s="262"/>
    </row>
    <row r="25" spans="1:83" s="1" customFormat="1" x14ac:dyDescent="0.25">
      <c r="A25" s="3"/>
      <c r="B25" s="379" t="s">
        <v>6851</v>
      </c>
      <c r="AF25" s="204"/>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262"/>
      <c r="BT25" s="262"/>
      <c r="BU25" s="262"/>
      <c r="BV25" s="262"/>
      <c r="BW25" s="262"/>
      <c r="BX25" s="262"/>
      <c r="BY25" s="262"/>
      <c r="BZ25" s="262"/>
      <c r="CA25" s="262"/>
      <c r="CB25" s="262"/>
      <c r="CC25" s="262"/>
      <c r="CD25" s="262"/>
      <c r="CE25" s="262"/>
    </row>
    <row r="26" spans="1:83" s="1" customFormat="1" x14ac:dyDescent="0.25">
      <c r="A26" s="3"/>
      <c r="AH26" s="262"/>
      <c r="AI26" s="262"/>
      <c r="AJ26" s="262"/>
      <c r="AK26" s="262"/>
      <c r="AL26" s="262"/>
      <c r="AM26" s="262"/>
      <c r="AN26" s="262"/>
      <c r="AO26" s="262"/>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62"/>
      <c r="CB26" s="262"/>
      <c r="CC26" s="262"/>
      <c r="CD26" s="262"/>
      <c r="CE26" s="262"/>
    </row>
    <row r="27" spans="1:83" s="1" customFormat="1" x14ac:dyDescent="0.25">
      <c r="A27" s="3"/>
      <c r="AF27" s="204" t="s">
        <v>1705</v>
      </c>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262"/>
      <c r="BT27" s="262"/>
      <c r="BU27" s="262"/>
      <c r="BV27" s="262"/>
      <c r="BW27" s="262"/>
      <c r="BX27" s="262"/>
      <c r="BY27" s="262"/>
      <c r="BZ27" s="262"/>
      <c r="CA27" s="262"/>
      <c r="CB27" s="262"/>
      <c r="CC27" s="262"/>
      <c r="CD27" s="262"/>
      <c r="CE27" s="262"/>
    </row>
    <row r="28" spans="1:83" s="1" customFormat="1" x14ac:dyDescent="0.25">
      <c r="A28" s="3"/>
      <c r="AF28" s="204"/>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row>
    <row r="29" spans="1:83" s="1" customFormat="1" x14ac:dyDescent="0.25">
      <c r="A29" s="3"/>
      <c r="AF29" s="204"/>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row>
    <row r="30" spans="1:83" s="1" customFormat="1" x14ac:dyDescent="0.25">
      <c r="A30" s="3"/>
      <c r="B30" s="171" t="s">
        <v>6850</v>
      </c>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row>
    <row r="31" spans="1:83" s="1" customFormat="1" x14ac:dyDescent="0.25">
      <c r="A31" s="3"/>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row>
    <row r="32" spans="1:83" s="1" customFormat="1" x14ac:dyDescent="0.25">
      <c r="A32" s="3"/>
      <c r="AF32" s="204" t="s">
        <v>1706</v>
      </c>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262"/>
      <c r="BT32" s="262"/>
      <c r="BU32" s="262"/>
      <c r="BV32" s="262"/>
      <c r="BW32" s="262"/>
      <c r="BX32" s="262"/>
      <c r="BY32" s="262"/>
      <c r="BZ32" s="262"/>
      <c r="CA32" s="262"/>
      <c r="CB32" s="262"/>
      <c r="CC32" s="262"/>
      <c r="CD32" s="262"/>
      <c r="CE32" s="262"/>
    </row>
    <row r="33" spans="1:83" s="1" customFormat="1" x14ac:dyDescent="0.25">
      <c r="A33" s="3"/>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262"/>
      <c r="BT33" s="262"/>
      <c r="BU33" s="262"/>
      <c r="BV33" s="262"/>
      <c r="BW33" s="262"/>
      <c r="BX33" s="262"/>
      <c r="BY33" s="262"/>
      <c r="BZ33" s="262"/>
      <c r="CA33" s="262"/>
      <c r="CB33" s="262"/>
      <c r="CC33" s="262"/>
      <c r="CD33" s="262"/>
      <c r="CE33" s="262"/>
    </row>
    <row r="34" spans="1:83" s="1" customFormat="1" x14ac:dyDescent="0.25">
      <c r="A34" s="3"/>
      <c r="B34" s="171" t="s">
        <v>1998</v>
      </c>
      <c r="AF34" s="204"/>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262"/>
      <c r="BT34" s="262"/>
      <c r="BU34" s="262"/>
      <c r="BV34" s="262"/>
      <c r="BW34" s="262"/>
      <c r="BX34" s="262"/>
      <c r="BY34" s="262"/>
      <c r="BZ34" s="262"/>
      <c r="CA34" s="262"/>
      <c r="CB34" s="262"/>
      <c r="CC34" s="262"/>
      <c r="CD34" s="262"/>
      <c r="CE34" s="262"/>
    </row>
    <row r="35" spans="1:83" s="1" customFormat="1" x14ac:dyDescent="0.25">
      <c r="A35" s="3"/>
      <c r="AF35" s="204"/>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262"/>
      <c r="BT35" s="262"/>
      <c r="BU35" s="262"/>
      <c r="BV35" s="262"/>
      <c r="BW35" s="262"/>
      <c r="BX35" s="262"/>
      <c r="BY35" s="262"/>
      <c r="BZ35" s="262"/>
      <c r="CA35" s="262"/>
      <c r="CB35" s="262"/>
      <c r="CC35" s="262"/>
      <c r="CD35" s="262"/>
      <c r="CE35" s="262"/>
    </row>
    <row r="36" spans="1:83" s="1" customFormat="1" x14ac:dyDescent="0.25">
      <c r="A36" s="3"/>
      <c r="AF36" s="204" t="s">
        <v>1707</v>
      </c>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262"/>
      <c r="BT36" s="262"/>
      <c r="BU36" s="262"/>
      <c r="BV36" s="262"/>
      <c r="BW36" s="262"/>
      <c r="BX36" s="262"/>
      <c r="BY36" s="262"/>
      <c r="BZ36" s="262"/>
      <c r="CA36" s="262"/>
      <c r="CB36" s="262"/>
      <c r="CC36" s="262"/>
      <c r="CD36" s="262"/>
      <c r="CE36" s="262"/>
    </row>
    <row r="37" spans="1:83" s="1" customFormat="1" x14ac:dyDescent="0.25">
      <c r="A37" s="3"/>
      <c r="AF37" s="204"/>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262"/>
      <c r="BT37" s="262"/>
      <c r="BU37" s="262"/>
      <c r="BV37" s="262"/>
      <c r="BW37" s="262"/>
      <c r="BX37" s="262"/>
      <c r="BY37" s="262"/>
      <c r="BZ37" s="262"/>
      <c r="CA37" s="262"/>
      <c r="CB37" s="262"/>
      <c r="CC37" s="262"/>
      <c r="CD37" s="262"/>
      <c r="CE37" s="262"/>
    </row>
    <row r="38" spans="1:83" s="1" customFormat="1" x14ac:dyDescent="0.25">
      <c r="A38" s="10"/>
      <c r="B38" s="204"/>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c r="BT38" s="262"/>
      <c r="BU38" s="262"/>
      <c r="BV38" s="262"/>
      <c r="BW38" s="262"/>
      <c r="BX38" s="262"/>
      <c r="BY38" s="262"/>
      <c r="BZ38" s="262"/>
      <c r="CA38" s="262"/>
      <c r="CB38" s="262"/>
      <c r="CC38" s="262"/>
      <c r="CD38" s="262"/>
      <c r="CE38" s="262"/>
    </row>
    <row r="39" spans="1:83" s="1" customFormat="1" x14ac:dyDescent="0.25">
      <c r="A39" s="1472" t="s">
        <v>15</v>
      </c>
      <c r="B39" s="1472"/>
      <c r="C39" s="1472"/>
      <c r="D39" s="1472"/>
      <c r="E39" s="1472"/>
      <c r="F39" s="1472"/>
      <c r="G39" s="1472"/>
      <c r="H39" s="1472"/>
      <c r="I39" s="1472"/>
      <c r="J39" s="1472"/>
      <c r="K39" s="1472"/>
      <c r="L39" s="1472"/>
      <c r="M39" s="1472"/>
      <c r="N39" s="1472"/>
      <c r="O39" s="1472"/>
      <c r="P39" s="1472"/>
      <c r="Q39" s="1472"/>
      <c r="R39" s="1472"/>
      <c r="S39" s="1472"/>
      <c r="T39" s="1472"/>
      <c r="U39" s="1472"/>
      <c r="V39" s="1472"/>
      <c r="W39" s="1472"/>
      <c r="X39" s="1472"/>
      <c r="Y39" s="1472"/>
      <c r="Z39" s="1472"/>
      <c r="AA39" s="1472"/>
      <c r="AB39" s="1472"/>
      <c r="AC39" s="1472"/>
      <c r="AD39" s="1472"/>
      <c r="AE39" s="1472"/>
      <c r="AF39" s="147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262"/>
      <c r="BT39" s="262"/>
      <c r="BU39" s="262"/>
      <c r="BV39" s="262"/>
      <c r="BW39" s="262"/>
      <c r="BX39" s="262"/>
      <c r="BY39" s="262"/>
      <c r="BZ39" s="262"/>
      <c r="CA39" s="262"/>
      <c r="CB39" s="262"/>
      <c r="CC39" s="262"/>
      <c r="CD39" s="262"/>
      <c r="CE39" s="262"/>
    </row>
    <row r="40" spans="1:83" s="1" customFormat="1" x14ac:dyDescent="0.25">
      <c r="A40" s="2713" t="s">
        <v>16</v>
      </c>
      <c r="B40" s="2713"/>
      <c r="C40" s="2713"/>
      <c r="D40" s="2713"/>
      <c r="E40" s="2713" t="s">
        <v>10</v>
      </c>
      <c r="F40" s="2713"/>
      <c r="G40" s="2713"/>
      <c r="H40" s="2713"/>
      <c r="I40" s="2713"/>
      <c r="J40" s="2713"/>
      <c r="K40" s="2713"/>
      <c r="L40" s="2713"/>
      <c r="M40" s="2713"/>
      <c r="N40" s="2713"/>
      <c r="O40" s="2713"/>
      <c r="P40" s="2713"/>
      <c r="Q40" s="2713" t="s">
        <v>17</v>
      </c>
      <c r="R40" s="2713"/>
      <c r="S40" s="2713"/>
      <c r="T40" s="2713"/>
      <c r="U40" s="2713" t="s">
        <v>18</v>
      </c>
      <c r="V40" s="2713"/>
      <c r="W40" s="2713"/>
      <c r="X40" s="1305" t="s">
        <v>1708</v>
      </c>
      <c r="Y40" s="1306"/>
      <c r="Z40" s="1306"/>
      <c r="AA40" s="1306"/>
      <c r="AB40" s="1306"/>
      <c r="AC40" s="1306"/>
      <c r="AD40" s="1306"/>
      <c r="AE40" s="1306"/>
      <c r="AF40" s="1307"/>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c r="BT40" s="262"/>
      <c r="BU40" s="262"/>
      <c r="BV40" s="262"/>
      <c r="BW40" s="262"/>
      <c r="BX40" s="262"/>
      <c r="BY40" s="262"/>
      <c r="BZ40" s="262"/>
      <c r="CA40" s="262"/>
      <c r="CB40" s="262"/>
      <c r="CC40" s="262"/>
      <c r="CD40" s="262"/>
      <c r="CE40" s="262"/>
    </row>
    <row r="41" spans="1:83" s="1" customFormat="1" ht="48.75" customHeight="1" x14ac:dyDescent="0.25">
      <c r="A41" s="1132" t="s">
        <v>6849</v>
      </c>
      <c r="B41" s="1132" t="s">
        <v>294</v>
      </c>
      <c r="C41" s="1132" t="s">
        <v>294</v>
      </c>
      <c r="D41" s="1132" t="s">
        <v>294</v>
      </c>
      <c r="E41" s="2463" t="s">
        <v>6848</v>
      </c>
      <c r="F41" s="2463" t="s">
        <v>254</v>
      </c>
      <c r="G41" s="2463" t="s">
        <v>254</v>
      </c>
      <c r="H41" s="2463" t="s">
        <v>254</v>
      </c>
      <c r="I41" s="2463" t="s">
        <v>254</v>
      </c>
      <c r="J41" s="2463" t="s">
        <v>254</v>
      </c>
      <c r="K41" s="2463" t="s">
        <v>254</v>
      </c>
      <c r="L41" s="2463" t="s">
        <v>254</v>
      </c>
      <c r="M41" s="2463" t="s">
        <v>254</v>
      </c>
      <c r="N41" s="2463" t="s">
        <v>254</v>
      </c>
      <c r="O41" s="2463" t="s">
        <v>254</v>
      </c>
      <c r="P41" s="2463" t="s">
        <v>254</v>
      </c>
      <c r="Q41" s="2714" t="s">
        <v>164</v>
      </c>
      <c r="R41" s="2714" t="s">
        <v>251</v>
      </c>
      <c r="S41" s="2714" t="s">
        <v>251</v>
      </c>
      <c r="T41" s="2714" t="s">
        <v>251</v>
      </c>
      <c r="U41" s="1841" t="s">
        <v>6774</v>
      </c>
      <c r="V41" s="1841"/>
      <c r="W41" s="1841"/>
      <c r="X41" s="1133" t="s">
        <v>6847</v>
      </c>
      <c r="Y41" s="1133"/>
      <c r="Z41" s="1133"/>
      <c r="AA41" s="1133"/>
      <c r="AB41" s="1133"/>
      <c r="AC41" s="1133"/>
      <c r="AD41" s="1133"/>
      <c r="AE41" s="1133"/>
      <c r="AF41" s="1133"/>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262"/>
      <c r="BT41" s="262"/>
      <c r="BU41" s="262"/>
      <c r="BV41" s="262"/>
      <c r="BW41" s="262"/>
      <c r="BX41" s="262"/>
      <c r="BY41" s="262"/>
      <c r="BZ41" s="262"/>
      <c r="CA41" s="262"/>
      <c r="CB41" s="262"/>
      <c r="CC41" s="262"/>
      <c r="CD41" s="262"/>
      <c r="CE41" s="262"/>
    </row>
    <row r="42" spans="1:83" s="1" customFormat="1" ht="43.5" customHeight="1" x14ac:dyDescent="0.25">
      <c r="A42" s="1132" t="s">
        <v>6846</v>
      </c>
      <c r="B42" s="1132" t="s">
        <v>294</v>
      </c>
      <c r="C42" s="1132" t="s">
        <v>294</v>
      </c>
      <c r="D42" s="1132" t="s">
        <v>294</v>
      </c>
      <c r="E42" s="2463" t="s">
        <v>6845</v>
      </c>
      <c r="F42" s="2463" t="s">
        <v>254</v>
      </c>
      <c r="G42" s="2463" t="s">
        <v>254</v>
      </c>
      <c r="H42" s="2463" t="s">
        <v>254</v>
      </c>
      <c r="I42" s="2463" t="s">
        <v>254</v>
      </c>
      <c r="J42" s="2463" t="s">
        <v>254</v>
      </c>
      <c r="K42" s="2463" t="s">
        <v>254</v>
      </c>
      <c r="L42" s="2463" t="s">
        <v>254</v>
      </c>
      <c r="M42" s="2463" t="s">
        <v>254</v>
      </c>
      <c r="N42" s="2463" t="s">
        <v>254</v>
      </c>
      <c r="O42" s="2463" t="s">
        <v>254</v>
      </c>
      <c r="P42" s="2463" t="s">
        <v>254</v>
      </c>
      <c r="Q42" s="2714" t="s">
        <v>626</v>
      </c>
      <c r="R42" s="2714" t="s">
        <v>251</v>
      </c>
      <c r="S42" s="2714" t="s">
        <v>251</v>
      </c>
      <c r="T42" s="2714" t="s">
        <v>251</v>
      </c>
      <c r="U42" s="1841" t="s">
        <v>6844</v>
      </c>
      <c r="V42" s="1841"/>
      <c r="W42" s="1841"/>
      <c r="X42" s="1133" t="s">
        <v>6843</v>
      </c>
      <c r="Y42" s="1133"/>
      <c r="Z42" s="1133"/>
      <c r="AA42" s="1133"/>
      <c r="AB42" s="1133"/>
      <c r="AC42" s="1133"/>
      <c r="AD42" s="1133"/>
      <c r="AE42" s="1133"/>
      <c r="AF42" s="1133"/>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262"/>
      <c r="BT42" s="262"/>
      <c r="BU42" s="262"/>
      <c r="BV42" s="262"/>
      <c r="BW42" s="262"/>
      <c r="BX42" s="262"/>
      <c r="BY42" s="262"/>
      <c r="BZ42" s="262"/>
      <c r="CA42" s="262"/>
      <c r="CB42" s="262"/>
      <c r="CC42" s="262"/>
      <c r="CD42" s="262"/>
      <c r="CE42" s="262"/>
    </row>
    <row r="43" spans="1:83" s="1" customFormat="1" ht="45.75" customHeight="1" x14ac:dyDescent="0.25">
      <c r="A43" s="1132" t="s">
        <v>29</v>
      </c>
      <c r="B43" s="1132"/>
      <c r="C43" s="1132"/>
      <c r="D43" s="1132"/>
      <c r="E43" s="2463" t="s">
        <v>1703</v>
      </c>
      <c r="F43" s="2463"/>
      <c r="G43" s="2463"/>
      <c r="H43" s="2463"/>
      <c r="I43" s="2463"/>
      <c r="J43" s="2463"/>
      <c r="K43" s="2463"/>
      <c r="L43" s="2463"/>
      <c r="M43" s="2463"/>
      <c r="N43" s="2463"/>
      <c r="O43" s="2463"/>
      <c r="P43" s="2463"/>
      <c r="Q43" s="1672">
        <v>1</v>
      </c>
      <c r="R43" s="1672"/>
      <c r="S43" s="1672"/>
      <c r="T43" s="1672"/>
      <c r="U43" s="1841"/>
      <c r="V43" s="1841"/>
      <c r="W43" s="1841"/>
      <c r="X43" s="1133" t="s">
        <v>6842</v>
      </c>
      <c r="Y43" s="1133"/>
      <c r="Z43" s="1133"/>
      <c r="AA43" s="1133"/>
      <c r="AB43" s="1133"/>
      <c r="AC43" s="1133"/>
      <c r="AD43" s="1133"/>
      <c r="AE43" s="1133"/>
      <c r="AF43" s="1133"/>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262"/>
      <c r="BT43" s="262"/>
      <c r="BU43" s="262"/>
      <c r="BV43" s="262"/>
      <c r="BW43" s="262"/>
      <c r="BX43" s="262"/>
      <c r="BY43" s="262"/>
      <c r="BZ43" s="262"/>
      <c r="CA43" s="262"/>
      <c r="CB43" s="262"/>
      <c r="CC43" s="262"/>
      <c r="CD43" s="262"/>
      <c r="CE43" s="262"/>
    </row>
    <row r="44" spans="1:83" s="1" customFormat="1" ht="49.5" customHeight="1" x14ac:dyDescent="0.25">
      <c r="A44" s="1132" t="s">
        <v>6841</v>
      </c>
      <c r="B44" s="1132"/>
      <c r="C44" s="1132"/>
      <c r="D44" s="1132"/>
      <c r="E44" s="2463" t="s">
        <v>1769</v>
      </c>
      <c r="F44" s="2463"/>
      <c r="G44" s="2463"/>
      <c r="H44" s="2463"/>
      <c r="I44" s="2463"/>
      <c r="J44" s="2463"/>
      <c r="K44" s="2463"/>
      <c r="L44" s="2463"/>
      <c r="M44" s="2463"/>
      <c r="N44" s="2463"/>
      <c r="O44" s="2463"/>
      <c r="P44" s="2463"/>
      <c r="Q44" s="2714" t="s">
        <v>1815</v>
      </c>
      <c r="R44" s="2714"/>
      <c r="S44" s="2714"/>
      <c r="T44" s="2714"/>
      <c r="U44" s="1841"/>
      <c r="V44" s="1841"/>
      <c r="W44" s="1841"/>
      <c r="X44" s="1133" t="s">
        <v>6831</v>
      </c>
      <c r="Y44" s="1133"/>
      <c r="Z44" s="1133"/>
      <c r="AA44" s="1133"/>
      <c r="AB44" s="1133"/>
      <c r="AC44" s="1133"/>
      <c r="AD44" s="1133"/>
      <c r="AE44" s="1133"/>
      <c r="AF44" s="1133"/>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262"/>
      <c r="BT44" s="262"/>
      <c r="BU44" s="262"/>
      <c r="BV44" s="262"/>
      <c r="BW44" s="262"/>
      <c r="BX44" s="262"/>
      <c r="BY44" s="262"/>
      <c r="BZ44" s="262"/>
      <c r="CA44" s="262"/>
      <c r="CB44" s="262"/>
      <c r="CC44" s="262"/>
      <c r="CD44" s="262"/>
      <c r="CE44" s="262"/>
    </row>
    <row r="45" spans="1:83" s="1" customFormat="1" ht="38.25" customHeight="1" x14ac:dyDescent="0.25">
      <c r="A45" s="1132" t="s">
        <v>3925</v>
      </c>
      <c r="B45" s="1132" t="s">
        <v>638</v>
      </c>
      <c r="C45" s="1132" t="s">
        <v>638</v>
      </c>
      <c r="D45" s="1132" t="s">
        <v>638</v>
      </c>
      <c r="E45" s="2463" t="s">
        <v>6840</v>
      </c>
      <c r="F45" s="2463" t="s">
        <v>255</v>
      </c>
      <c r="G45" s="2463" t="s">
        <v>255</v>
      </c>
      <c r="H45" s="2463" t="s">
        <v>255</v>
      </c>
      <c r="I45" s="2463" t="s">
        <v>255</v>
      </c>
      <c r="J45" s="2463" t="s">
        <v>255</v>
      </c>
      <c r="K45" s="2463" t="s">
        <v>255</v>
      </c>
      <c r="L45" s="2463" t="s">
        <v>255</v>
      </c>
      <c r="M45" s="2463" t="s">
        <v>255</v>
      </c>
      <c r="N45" s="2463" t="s">
        <v>255</v>
      </c>
      <c r="O45" s="2463" t="s">
        <v>255</v>
      </c>
      <c r="P45" s="2463" t="s">
        <v>255</v>
      </c>
      <c r="Q45" s="2714" t="s">
        <v>6836</v>
      </c>
      <c r="R45" s="2714"/>
      <c r="S45" s="2714"/>
      <c r="T45" s="2714"/>
      <c r="U45" s="1841" t="s">
        <v>26</v>
      </c>
      <c r="V45" s="1841"/>
      <c r="W45" s="1841"/>
      <c r="X45" s="1133" t="s">
        <v>6839</v>
      </c>
      <c r="Y45" s="1133"/>
      <c r="Z45" s="1133"/>
      <c r="AA45" s="1133"/>
      <c r="AB45" s="1133"/>
      <c r="AC45" s="1133"/>
      <c r="AD45" s="1133"/>
      <c r="AE45" s="1133"/>
      <c r="AF45" s="1133"/>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2"/>
      <c r="BU45" s="262"/>
      <c r="BV45" s="262"/>
      <c r="BW45" s="262"/>
      <c r="BX45" s="262"/>
      <c r="BY45" s="262"/>
      <c r="BZ45" s="262"/>
      <c r="CA45" s="262"/>
      <c r="CB45" s="262"/>
      <c r="CC45" s="262"/>
      <c r="CD45" s="262"/>
      <c r="CE45" s="262"/>
    </row>
    <row r="46" spans="1:83" s="1" customFormat="1" ht="27" customHeight="1" x14ac:dyDescent="0.25">
      <c r="A46" s="1132" t="s">
        <v>6838</v>
      </c>
      <c r="B46" s="1132" t="s">
        <v>638</v>
      </c>
      <c r="C46" s="1132" t="s">
        <v>638</v>
      </c>
      <c r="D46" s="1132" t="s">
        <v>638</v>
      </c>
      <c r="E46" s="2463" t="s">
        <v>6837</v>
      </c>
      <c r="F46" s="2463" t="s">
        <v>255</v>
      </c>
      <c r="G46" s="2463" t="s">
        <v>255</v>
      </c>
      <c r="H46" s="2463" t="s">
        <v>255</v>
      </c>
      <c r="I46" s="2463" t="s">
        <v>255</v>
      </c>
      <c r="J46" s="2463" t="s">
        <v>255</v>
      </c>
      <c r="K46" s="2463" t="s">
        <v>255</v>
      </c>
      <c r="L46" s="2463" t="s">
        <v>255</v>
      </c>
      <c r="M46" s="2463" t="s">
        <v>255</v>
      </c>
      <c r="N46" s="2463" t="s">
        <v>255</v>
      </c>
      <c r="O46" s="2463" t="s">
        <v>255</v>
      </c>
      <c r="P46" s="2463" t="s">
        <v>255</v>
      </c>
      <c r="Q46" s="2714" t="s">
        <v>6836</v>
      </c>
      <c r="R46" s="2714"/>
      <c r="S46" s="2714"/>
      <c r="T46" s="2714"/>
      <c r="U46" s="1841"/>
      <c r="V46" s="1841"/>
      <c r="W46" s="1841"/>
      <c r="X46" s="1715"/>
      <c r="Y46" s="1715"/>
      <c r="Z46" s="1715"/>
      <c r="AA46" s="1715"/>
      <c r="AB46" s="1715"/>
      <c r="AC46" s="1715"/>
      <c r="AD46" s="1715"/>
      <c r="AE46" s="1715"/>
      <c r="AF46" s="1715"/>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262"/>
      <c r="BT46" s="262"/>
      <c r="BU46" s="262"/>
      <c r="BV46" s="262"/>
      <c r="BW46" s="262"/>
      <c r="BX46" s="262"/>
      <c r="BY46" s="262"/>
      <c r="BZ46" s="262"/>
      <c r="CA46" s="262"/>
      <c r="CB46" s="262"/>
      <c r="CC46" s="262"/>
      <c r="CD46" s="262"/>
      <c r="CE46" s="262"/>
    </row>
    <row r="47" spans="1:83" s="1" customFormat="1" ht="57" customHeight="1" x14ac:dyDescent="0.25">
      <c r="A47" s="1132" t="s">
        <v>6835</v>
      </c>
      <c r="B47" s="1132"/>
      <c r="C47" s="1132"/>
      <c r="D47" s="1132"/>
      <c r="E47" s="2463" t="s">
        <v>6834</v>
      </c>
      <c r="F47" s="2463"/>
      <c r="G47" s="2463"/>
      <c r="H47" s="2463"/>
      <c r="I47" s="2463"/>
      <c r="J47" s="2463"/>
      <c r="K47" s="2463"/>
      <c r="L47" s="2463"/>
      <c r="M47" s="2463"/>
      <c r="N47" s="2463"/>
      <c r="O47" s="2463"/>
      <c r="P47" s="2463"/>
      <c r="Q47" s="2714" t="s">
        <v>1106</v>
      </c>
      <c r="R47" s="2714"/>
      <c r="S47" s="2714"/>
      <c r="T47" s="2714"/>
      <c r="U47" s="1841" t="s">
        <v>1818</v>
      </c>
      <c r="V47" s="1841"/>
      <c r="W47" s="1841"/>
      <c r="X47" s="1133" t="s">
        <v>6833</v>
      </c>
      <c r="Y47" s="1133"/>
      <c r="Z47" s="1133"/>
      <c r="AA47" s="1133"/>
      <c r="AB47" s="1133"/>
      <c r="AC47" s="1133"/>
      <c r="AD47" s="1133"/>
      <c r="AE47" s="1133"/>
      <c r="AF47" s="1133"/>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262"/>
      <c r="BT47" s="262"/>
      <c r="BU47" s="262"/>
      <c r="BV47" s="262"/>
      <c r="BW47" s="262"/>
      <c r="BX47" s="262"/>
      <c r="BY47" s="262"/>
      <c r="BZ47" s="262"/>
      <c r="CA47" s="262"/>
      <c r="CB47" s="262"/>
      <c r="CC47" s="262"/>
      <c r="CD47" s="262"/>
      <c r="CE47" s="262"/>
    </row>
    <row r="48" spans="1:83" s="1" customFormat="1" ht="44.25" customHeight="1" x14ac:dyDescent="0.25">
      <c r="A48" s="1132" t="s">
        <v>6832</v>
      </c>
      <c r="B48" s="1132"/>
      <c r="C48" s="1132"/>
      <c r="D48" s="1132"/>
      <c r="E48" s="2463" t="s">
        <v>1768</v>
      </c>
      <c r="F48" s="2463"/>
      <c r="G48" s="2463"/>
      <c r="H48" s="2463"/>
      <c r="I48" s="2463"/>
      <c r="J48" s="2463"/>
      <c r="K48" s="2463"/>
      <c r="L48" s="2463"/>
      <c r="M48" s="2463"/>
      <c r="N48" s="2463"/>
      <c r="O48" s="2463"/>
      <c r="P48" s="2463"/>
      <c r="Q48" s="2714" t="s">
        <v>1815</v>
      </c>
      <c r="R48" s="2714"/>
      <c r="S48" s="2714"/>
      <c r="T48" s="2714"/>
      <c r="U48" s="1841"/>
      <c r="V48" s="1841"/>
      <c r="W48" s="1841"/>
      <c r="X48" s="1133" t="s">
        <v>6831</v>
      </c>
      <c r="Y48" s="1133"/>
      <c r="Z48" s="1133"/>
      <c r="AA48" s="1133"/>
      <c r="AB48" s="1133"/>
      <c r="AC48" s="1133"/>
      <c r="AD48" s="1133"/>
      <c r="AE48" s="1133"/>
      <c r="AF48" s="1133"/>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262"/>
      <c r="BT48" s="262"/>
      <c r="BU48" s="262"/>
      <c r="BV48" s="262"/>
      <c r="BW48" s="262"/>
      <c r="BX48" s="262"/>
      <c r="BY48" s="262"/>
      <c r="BZ48" s="262"/>
      <c r="CA48" s="262"/>
      <c r="CB48" s="262"/>
      <c r="CC48" s="262"/>
      <c r="CD48" s="262"/>
      <c r="CE48" s="262"/>
    </row>
    <row r="49" spans="1:83" s="1" customFormat="1" ht="47.25" customHeight="1" x14ac:dyDescent="0.25">
      <c r="A49" s="1132" t="s">
        <v>3935</v>
      </c>
      <c r="B49" s="1132" t="s">
        <v>34</v>
      </c>
      <c r="C49" s="1132" t="s">
        <v>34</v>
      </c>
      <c r="D49" s="1132" t="s">
        <v>34</v>
      </c>
      <c r="E49" s="2463" t="s">
        <v>6830</v>
      </c>
      <c r="F49" s="2463"/>
      <c r="G49" s="2463"/>
      <c r="H49" s="2463"/>
      <c r="I49" s="2463"/>
      <c r="J49" s="2463"/>
      <c r="K49" s="2463"/>
      <c r="L49" s="2463"/>
      <c r="M49" s="2463"/>
      <c r="N49" s="2463"/>
      <c r="O49" s="2463"/>
      <c r="P49" s="2463"/>
      <c r="Q49" s="1674">
        <f>'Master EUL'!X75</f>
        <v>10</v>
      </c>
      <c r="R49" s="1674"/>
      <c r="S49" s="1674"/>
      <c r="T49" s="1674"/>
      <c r="U49" s="1841" t="s">
        <v>46</v>
      </c>
      <c r="V49" s="1841"/>
      <c r="W49" s="1841"/>
      <c r="X49" s="1133" t="s">
        <v>6829</v>
      </c>
      <c r="Y49" s="1133"/>
      <c r="Z49" s="1133"/>
      <c r="AA49" s="1133"/>
      <c r="AB49" s="1133"/>
      <c r="AC49" s="1133"/>
      <c r="AD49" s="1133"/>
      <c r="AE49" s="1133"/>
      <c r="AF49" s="1133"/>
      <c r="AH49" s="262"/>
      <c r="AI49" s="262"/>
      <c r="AJ49" s="262"/>
      <c r="AK49" s="262"/>
      <c r="AL49" s="262"/>
      <c r="AM49" s="262"/>
      <c r="AN49" s="262"/>
      <c r="AO49" s="262"/>
      <c r="AP49" s="262"/>
      <c r="AQ49" s="262"/>
      <c r="AR49" s="262"/>
      <c r="AS49" s="262"/>
      <c r="AT49" s="262"/>
      <c r="AU49" s="227"/>
      <c r="AV49" s="535"/>
      <c r="AW49" s="262"/>
      <c r="AX49" s="262"/>
      <c r="AY49" s="262"/>
      <c r="AZ49" s="262"/>
      <c r="BA49" s="262"/>
      <c r="BB49" s="262"/>
      <c r="BC49" s="262"/>
      <c r="BD49" s="262"/>
      <c r="BE49" s="262"/>
      <c r="BF49" s="262"/>
      <c r="BG49" s="262"/>
      <c r="BH49" s="262"/>
      <c r="BI49" s="262"/>
      <c r="BJ49" s="262"/>
      <c r="BK49" s="262"/>
      <c r="BL49" s="262"/>
      <c r="BM49" s="262"/>
      <c r="BN49" s="262"/>
      <c r="BO49" s="262"/>
      <c r="BP49" s="262"/>
      <c r="BQ49" s="262"/>
      <c r="BR49" s="262"/>
      <c r="BS49" s="262"/>
      <c r="BT49" s="262"/>
      <c r="BU49" s="262"/>
      <c r="BV49" s="262"/>
      <c r="BW49" s="262"/>
      <c r="BX49" s="262"/>
      <c r="BY49" s="262"/>
      <c r="BZ49" s="262"/>
      <c r="CA49" s="262"/>
      <c r="CB49" s="262"/>
      <c r="CC49" s="262"/>
      <c r="CD49" s="262"/>
      <c r="CE49" s="262"/>
    </row>
    <row r="50" spans="1:83" s="1" customFormat="1" ht="29.25" customHeight="1" x14ac:dyDescent="0.25">
      <c r="A50" s="2715" t="s">
        <v>6828</v>
      </c>
      <c r="B50" s="1601"/>
      <c r="C50" s="1601"/>
      <c r="D50" s="1601"/>
      <c r="E50" s="1601"/>
      <c r="F50" s="1601"/>
      <c r="G50" s="1601"/>
      <c r="H50" s="1601"/>
      <c r="I50" s="1601"/>
      <c r="J50" s="1601"/>
      <c r="K50" s="1601"/>
      <c r="L50" s="1601"/>
      <c r="M50" s="1601"/>
      <c r="N50" s="1601"/>
      <c r="O50" s="1601"/>
      <c r="P50" s="1601"/>
      <c r="Q50" s="1601"/>
      <c r="R50" s="1601"/>
      <c r="S50" s="1601"/>
      <c r="T50" s="1601"/>
      <c r="U50" s="1601"/>
      <c r="V50" s="1601"/>
      <c r="W50" s="1601"/>
      <c r="X50" s="1601"/>
      <c r="Y50" s="1601"/>
      <c r="Z50" s="1601"/>
      <c r="AA50" s="1601"/>
      <c r="AB50" s="1601"/>
      <c r="AC50" s="1601"/>
      <c r="AD50" s="1601"/>
      <c r="AE50" s="1601"/>
      <c r="AF50" s="2716"/>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2"/>
      <c r="BQ50" s="262"/>
      <c r="BR50" s="262"/>
      <c r="BS50" s="262"/>
      <c r="BT50" s="262"/>
      <c r="BU50" s="262"/>
      <c r="BV50" s="262"/>
      <c r="BW50" s="262"/>
      <c r="BX50" s="262"/>
      <c r="BY50" s="262"/>
      <c r="BZ50" s="262"/>
      <c r="CA50" s="262"/>
      <c r="CB50" s="262"/>
      <c r="CC50" s="262"/>
      <c r="CD50" s="262"/>
      <c r="CE50" s="262"/>
    </row>
    <row r="51" spans="1:83" s="1" customFormat="1" ht="42" customHeight="1" x14ac:dyDescent="0.25">
      <c r="A51" s="2724" t="s">
        <v>6827</v>
      </c>
      <c r="B51" s="1415"/>
      <c r="C51" s="1415"/>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c r="AA51" s="1415"/>
      <c r="AB51" s="1415"/>
      <c r="AC51" s="1415"/>
      <c r="AD51" s="1415"/>
      <c r="AE51" s="1415"/>
      <c r="AF51" s="2725"/>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262"/>
      <c r="BT51" s="262"/>
      <c r="BU51" s="262"/>
      <c r="BV51" s="262"/>
      <c r="BW51" s="262"/>
      <c r="BX51" s="262"/>
      <c r="BY51" s="262"/>
      <c r="BZ51" s="262"/>
      <c r="CA51" s="262"/>
      <c r="CB51" s="262"/>
      <c r="CC51" s="262"/>
      <c r="CD51" s="262"/>
      <c r="CE51" s="262"/>
    </row>
    <row r="52" spans="1:83" s="1" customFormat="1" ht="52.5" customHeight="1" x14ac:dyDescent="0.25">
      <c r="A52" s="2724" t="s">
        <v>6826</v>
      </c>
      <c r="B52" s="1415"/>
      <c r="C52" s="1415"/>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1415"/>
      <c r="AC52" s="1415"/>
      <c r="AD52" s="1415"/>
      <c r="AE52" s="1415"/>
      <c r="AF52" s="2725"/>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262"/>
      <c r="BT52" s="262"/>
      <c r="BU52" s="262"/>
      <c r="BV52" s="262"/>
      <c r="BW52" s="262"/>
      <c r="BX52" s="262"/>
      <c r="BY52" s="262"/>
      <c r="BZ52" s="262"/>
      <c r="CA52" s="262"/>
      <c r="CB52" s="262"/>
      <c r="CC52" s="262"/>
      <c r="CD52" s="262"/>
      <c r="CE52" s="262"/>
    </row>
    <row r="53" spans="1:83" s="1" customFormat="1" ht="40.5" customHeight="1" x14ac:dyDescent="0.25">
      <c r="A53" s="2724" t="s">
        <v>6825</v>
      </c>
      <c r="B53" s="1415"/>
      <c r="C53" s="1415"/>
      <c r="D53" s="1415"/>
      <c r="E53" s="1415"/>
      <c r="F53" s="1415"/>
      <c r="G53" s="1415"/>
      <c r="H53" s="1415"/>
      <c r="I53" s="1415"/>
      <c r="J53" s="1415"/>
      <c r="K53" s="1415"/>
      <c r="L53" s="1415"/>
      <c r="M53" s="1415"/>
      <c r="N53" s="1415"/>
      <c r="O53" s="1415"/>
      <c r="P53" s="1415"/>
      <c r="Q53" s="1415"/>
      <c r="R53" s="1415"/>
      <c r="S53" s="1415"/>
      <c r="T53" s="1415"/>
      <c r="U53" s="1415"/>
      <c r="V53" s="1415"/>
      <c r="W53" s="1415"/>
      <c r="X53" s="1415"/>
      <c r="Y53" s="1415"/>
      <c r="Z53" s="1415"/>
      <c r="AA53" s="1415"/>
      <c r="AB53" s="1415"/>
      <c r="AC53" s="1415"/>
      <c r="AD53" s="1415"/>
      <c r="AE53" s="1415"/>
      <c r="AF53" s="2725"/>
      <c r="AH53" s="262"/>
      <c r="AI53" s="262"/>
      <c r="AJ53" s="262"/>
      <c r="AK53" s="262"/>
      <c r="AL53" s="262"/>
      <c r="AM53" s="262"/>
      <c r="AN53" s="262"/>
      <c r="AO53" s="262"/>
      <c r="AP53" s="262"/>
      <c r="AQ53" s="262"/>
      <c r="AR53" s="262"/>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2"/>
      <c r="BR53" s="262"/>
      <c r="BS53" s="262"/>
      <c r="BT53" s="262"/>
      <c r="BU53" s="262"/>
      <c r="BV53" s="262"/>
      <c r="BW53" s="262"/>
      <c r="BX53" s="262"/>
      <c r="BY53" s="262"/>
      <c r="BZ53" s="262"/>
      <c r="CA53" s="262"/>
      <c r="CB53" s="262"/>
      <c r="CC53" s="262"/>
      <c r="CD53" s="262"/>
      <c r="CE53" s="262"/>
    </row>
    <row r="54" spans="1:83" ht="42" customHeight="1" x14ac:dyDescent="0.25">
      <c r="A54" s="2726" t="s">
        <v>6824</v>
      </c>
      <c r="B54" s="2727"/>
      <c r="C54" s="2727"/>
      <c r="D54" s="2727"/>
      <c r="E54" s="2727"/>
      <c r="F54" s="2727"/>
      <c r="G54" s="2727"/>
      <c r="H54" s="2727"/>
      <c r="I54" s="2727"/>
      <c r="J54" s="2727"/>
      <c r="K54" s="2727"/>
      <c r="L54" s="2727"/>
      <c r="M54" s="2727"/>
      <c r="N54" s="2727"/>
      <c r="O54" s="2727"/>
      <c r="P54" s="2727"/>
      <c r="Q54" s="2727"/>
      <c r="R54" s="2727"/>
      <c r="S54" s="2727"/>
      <c r="T54" s="2727"/>
      <c r="U54" s="2727"/>
      <c r="V54" s="2727"/>
      <c r="W54" s="2727"/>
      <c r="X54" s="2727"/>
      <c r="Y54" s="2727"/>
      <c r="Z54" s="2727"/>
      <c r="AA54" s="2727"/>
      <c r="AB54" s="2727"/>
      <c r="AC54" s="2727"/>
      <c r="AD54" s="2727"/>
      <c r="AE54" s="2727"/>
      <c r="AF54" s="2728"/>
    </row>
    <row r="55" spans="1:83" ht="18.75" customHeight="1" x14ac:dyDescent="0.25">
      <c r="A55" s="749"/>
      <c r="B55" s="749"/>
      <c r="C55" s="749"/>
      <c r="D55" s="749"/>
      <c r="E55" s="749"/>
      <c r="F55" s="749"/>
      <c r="G55" s="749"/>
      <c r="H55" s="749"/>
      <c r="I55" s="749"/>
      <c r="J55" s="749"/>
      <c r="K55" s="749"/>
      <c r="L55" s="749"/>
      <c r="M55" s="749"/>
      <c r="N55" s="749"/>
      <c r="O55" s="749"/>
      <c r="P55" s="749"/>
      <c r="Q55" s="749"/>
      <c r="R55" s="749"/>
      <c r="S55" s="749"/>
      <c r="T55" s="749"/>
      <c r="U55" s="749"/>
      <c r="V55" s="749"/>
      <c r="W55" s="749"/>
      <c r="X55" s="749"/>
      <c r="Y55" s="749"/>
      <c r="Z55" s="749"/>
      <c r="AA55" s="749"/>
      <c r="AB55" s="749"/>
      <c r="AC55" s="749"/>
      <c r="AD55" s="749"/>
      <c r="AE55" s="749"/>
      <c r="AF55" s="749"/>
    </row>
    <row r="56" spans="1:83" x14ac:dyDescent="0.25">
      <c r="A56" s="401">
        <v>1</v>
      </c>
      <c r="B56" s="401">
        <v>2</v>
      </c>
      <c r="C56" s="401">
        <v>3</v>
      </c>
      <c r="D56" s="401">
        <v>4</v>
      </c>
      <c r="E56" s="401">
        <v>5</v>
      </c>
      <c r="F56" s="401">
        <v>6</v>
      </c>
      <c r="G56" s="401">
        <v>7</v>
      </c>
      <c r="H56" s="401">
        <v>8</v>
      </c>
      <c r="I56" s="401">
        <v>9</v>
      </c>
      <c r="J56" s="401">
        <v>10</v>
      </c>
      <c r="K56" s="401">
        <v>11</v>
      </c>
      <c r="L56" s="401">
        <v>12</v>
      </c>
      <c r="M56" s="401">
        <v>13</v>
      </c>
      <c r="N56" s="401">
        <v>14</v>
      </c>
      <c r="O56" s="401">
        <v>15</v>
      </c>
      <c r="P56" s="401">
        <v>16</v>
      </c>
      <c r="Q56" s="401">
        <v>17</v>
      </c>
      <c r="U56" s="3"/>
      <c r="V56" s="3"/>
      <c r="W56" s="3"/>
      <c r="X56" s="3"/>
      <c r="Y56" s="3"/>
      <c r="Z56" s="3"/>
      <c r="AA56" s="3"/>
      <c r="AB56" s="3"/>
      <c r="AC56" s="3"/>
      <c r="AD56" s="3"/>
      <c r="AE56" s="3"/>
      <c r="AF56" s="3"/>
      <c r="AG56" s="3"/>
      <c r="AH56" s="190"/>
      <c r="AI56" s="190"/>
      <c r="AJ56" s="190"/>
      <c r="AK56" s="190"/>
      <c r="AL56" s="190"/>
    </row>
    <row r="57" spans="1:83" x14ac:dyDescent="0.25">
      <c r="A57" s="190" t="s">
        <v>6823</v>
      </c>
      <c r="AH57" s="293"/>
    </row>
    <row r="58" spans="1:83" ht="58.5" customHeight="1" x14ac:dyDescent="0.25">
      <c r="A58" s="1319" t="s">
        <v>6822</v>
      </c>
      <c r="B58" s="1319"/>
      <c r="C58" s="1319"/>
      <c r="D58" s="1319"/>
      <c r="E58" s="1508"/>
      <c r="F58" s="1508"/>
      <c r="G58" s="1508"/>
      <c r="H58" s="1311" t="s">
        <v>6821</v>
      </c>
      <c r="I58" s="1311"/>
      <c r="J58" s="1311"/>
      <c r="K58" s="1311"/>
      <c r="L58" s="1311"/>
      <c r="M58" s="1311"/>
      <c r="N58" s="1439" t="s">
        <v>6820</v>
      </c>
      <c r="O58" s="1440"/>
      <c r="P58" s="1440"/>
      <c r="Q58" s="1440"/>
      <c r="R58" s="1319" t="s">
        <v>6819</v>
      </c>
      <c r="S58" s="1319"/>
      <c r="T58" s="1319"/>
      <c r="U58" s="1508"/>
      <c r="V58" s="1508"/>
      <c r="AS58" s="293"/>
    </row>
    <row r="59" spans="1:83" ht="46.5" customHeight="1" x14ac:dyDescent="0.25">
      <c r="A59" s="2678" t="s">
        <v>6780</v>
      </c>
      <c r="B59" s="2678"/>
      <c r="C59" s="2678"/>
      <c r="D59" s="2678"/>
      <c r="E59" s="1135"/>
      <c r="F59" s="1135"/>
      <c r="G59" s="1135"/>
      <c r="H59" s="1482" t="s">
        <v>6818</v>
      </c>
      <c r="I59" s="1483"/>
      <c r="J59" s="1483"/>
      <c r="K59" s="1483"/>
      <c r="L59" s="1483"/>
      <c r="M59" s="1484"/>
      <c r="N59" s="2690">
        <v>1.2</v>
      </c>
      <c r="O59" s="2691"/>
      <c r="P59" s="2691"/>
      <c r="Q59" s="2692"/>
      <c r="R59" s="2707" t="s">
        <v>6817</v>
      </c>
      <c r="S59" s="2707"/>
      <c r="T59" s="2707"/>
      <c r="U59" s="2707"/>
      <c r="V59" s="2707"/>
      <c r="Y59" s="483"/>
      <c r="Z59" s="483"/>
      <c r="AA59" s="483"/>
      <c r="AB59" s="483"/>
      <c r="AC59" s="483"/>
      <c r="AD59" s="483"/>
      <c r="AE59" s="483"/>
      <c r="AF59" s="483"/>
      <c r="AG59" s="483"/>
      <c r="AH59" s="483"/>
      <c r="AI59" s="483"/>
      <c r="AJ59" s="483"/>
      <c r="AK59" s="483"/>
      <c r="AS59" s="293"/>
    </row>
    <row r="60" spans="1:83" ht="39" customHeight="1" x14ac:dyDescent="0.25">
      <c r="A60" s="2678" t="s">
        <v>6799</v>
      </c>
      <c r="B60" s="2678"/>
      <c r="C60" s="2678"/>
      <c r="D60" s="2678"/>
      <c r="E60" s="1135"/>
      <c r="F60" s="1135"/>
      <c r="G60" s="1135"/>
      <c r="H60" s="1913" t="s">
        <v>6816</v>
      </c>
      <c r="I60" s="1913"/>
      <c r="J60" s="1913"/>
      <c r="K60" s="1913"/>
      <c r="L60" s="1913"/>
      <c r="M60" s="1913"/>
      <c r="N60" s="2690">
        <v>1.5</v>
      </c>
      <c r="O60" s="2691"/>
      <c r="P60" s="2691"/>
      <c r="Q60" s="2692"/>
      <c r="R60" s="2707" t="s">
        <v>6815</v>
      </c>
      <c r="S60" s="2707"/>
      <c r="T60" s="2707"/>
      <c r="U60" s="2707"/>
      <c r="V60" s="2707"/>
      <c r="Y60" s="483"/>
      <c r="Z60" s="483"/>
      <c r="AA60" s="483"/>
      <c r="AB60" s="483"/>
      <c r="AC60" s="483"/>
      <c r="AD60" s="483"/>
      <c r="AE60" s="483"/>
      <c r="AF60" s="483"/>
      <c r="AG60" s="483"/>
      <c r="AH60" s="483"/>
      <c r="AI60" s="483"/>
      <c r="AJ60" s="483"/>
      <c r="AK60" s="483"/>
      <c r="AS60" s="293"/>
    </row>
    <row r="61" spans="1:83" ht="42.75" customHeight="1" x14ac:dyDescent="0.25">
      <c r="A61" s="2678" t="s">
        <v>6798</v>
      </c>
      <c r="B61" s="2678"/>
      <c r="C61" s="2678"/>
      <c r="D61" s="2678"/>
      <c r="E61" s="1135"/>
      <c r="F61" s="1135"/>
      <c r="G61" s="1135"/>
      <c r="H61" s="1913" t="s">
        <v>6814</v>
      </c>
      <c r="I61" s="1913"/>
      <c r="J61" s="1913"/>
      <c r="K61" s="1913"/>
      <c r="L61" s="1913"/>
      <c r="M61" s="1913"/>
      <c r="N61" s="2690">
        <v>1.7</v>
      </c>
      <c r="O61" s="2691"/>
      <c r="P61" s="2691"/>
      <c r="Q61" s="2692"/>
      <c r="R61" s="2707" t="s">
        <v>6813</v>
      </c>
      <c r="S61" s="2707"/>
      <c r="T61" s="2707"/>
      <c r="U61" s="2707"/>
      <c r="V61" s="2707"/>
      <c r="Y61" s="483"/>
      <c r="Z61" s="483"/>
      <c r="AA61" s="483"/>
      <c r="AB61" s="483"/>
      <c r="AC61" s="483"/>
      <c r="AD61" s="483"/>
      <c r="AE61" s="483"/>
      <c r="AF61" s="483"/>
      <c r="AG61" s="483"/>
      <c r="AH61" s="483"/>
      <c r="AI61" s="483"/>
      <c r="AJ61" s="483"/>
      <c r="AK61" s="483"/>
      <c r="AS61" s="293"/>
    </row>
    <row r="62" spans="1:83" ht="50.25" customHeight="1" x14ac:dyDescent="0.25">
      <c r="A62" s="2678" t="s">
        <v>6797</v>
      </c>
      <c r="B62" s="2678"/>
      <c r="C62" s="2678"/>
      <c r="D62" s="2678"/>
      <c r="E62" s="1135"/>
      <c r="F62" s="1135"/>
      <c r="G62" s="1135"/>
      <c r="H62" s="1913" t="s">
        <v>6814</v>
      </c>
      <c r="I62" s="1913"/>
      <c r="J62" s="1913"/>
      <c r="K62" s="1913"/>
      <c r="L62" s="1913"/>
      <c r="M62" s="1913"/>
      <c r="N62" s="2690">
        <v>1.7</v>
      </c>
      <c r="O62" s="2691"/>
      <c r="P62" s="2691"/>
      <c r="Q62" s="2692"/>
      <c r="R62" s="2707" t="s">
        <v>6813</v>
      </c>
      <c r="S62" s="2707"/>
      <c r="T62" s="2707"/>
      <c r="U62" s="2707"/>
      <c r="V62" s="2707"/>
      <c r="Y62" s="483"/>
      <c r="Z62" s="483"/>
      <c r="AA62" s="483"/>
      <c r="AB62" s="483"/>
      <c r="AC62" s="483"/>
      <c r="AD62" s="483"/>
      <c r="AE62" s="483"/>
      <c r="AF62" s="483"/>
      <c r="AG62" s="483"/>
      <c r="AH62" s="483"/>
      <c r="AI62" s="483"/>
      <c r="AJ62" s="483"/>
      <c r="AK62" s="483"/>
      <c r="AS62" s="293"/>
    </row>
    <row r="63" spans="1:83" ht="45.75" customHeight="1" x14ac:dyDescent="0.25">
      <c r="A63" s="2685" t="s">
        <v>6796</v>
      </c>
      <c r="B63" s="2685"/>
      <c r="C63" s="2685"/>
      <c r="D63" s="2685"/>
      <c r="E63" s="2686"/>
      <c r="F63" s="2686"/>
      <c r="G63" s="2686"/>
      <c r="H63" s="2708" t="s">
        <v>6814</v>
      </c>
      <c r="I63" s="2708"/>
      <c r="J63" s="2708"/>
      <c r="K63" s="2708"/>
      <c r="L63" s="2708"/>
      <c r="M63" s="2708"/>
      <c r="N63" s="2704">
        <v>1.7</v>
      </c>
      <c r="O63" s="2705"/>
      <c r="P63" s="2705"/>
      <c r="Q63" s="2706"/>
      <c r="R63" s="2707" t="s">
        <v>6813</v>
      </c>
      <c r="S63" s="2707"/>
      <c r="T63" s="2707"/>
      <c r="U63" s="2707"/>
      <c r="V63" s="2707"/>
      <c r="Y63" s="483"/>
      <c r="Z63" s="483"/>
      <c r="AA63" s="483"/>
      <c r="AB63" s="483"/>
      <c r="AC63" s="483"/>
      <c r="AD63" s="483"/>
      <c r="AE63" s="483"/>
      <c r="AF63" s="483"/>
      <c r="AG63" s="483"/>
      <c r="AH63" s="483"/>
      <c r="AI63" s="483"/>
      <c r="AJ63" s="483"/>
      <c r="AK63" s="483"/>
      <c r="AS63" s="293"/>
    </row>
    <row r="64" spans="1:83" x14ac:dyDescent="0.25">
      <c r="A64" s="2701" t="s">
        <v>2672</v>
      </c>
      <c r="B64" s="2702"/>
      <c r="C64" s="2702"/>
      <c r="D64" s="2702"/>
      <c r="E64" s="2702"/>
      <c r="F64" s="2702"/>
      <c r="G64" s="2702"/>
      <c r="H64" s="2702"/>
      <c r="I64" s="2702"/>
      <c r="J64" s="2702"/>
      <c r="K64" s="2702"/>
      <c r="L64" s="2702"/>
      <c r="M64" s="2702"/>
      <c r="N64" s="2702"/>
      <c r="O64" s="2702"/>
      <c r="P64" s="2702"/>
      <c r="Q64" s="2702"/>
      <c r="R64" s="2702"/>
      <c r="S64" s="2702"/>
      <c r="T64" s="2702"/>
      <c r="U64" s="2702"/>
      <c r="V64" s="2703"/>
      <c r="Y64" s="483"/>
      <c r="Z64" s="483"/>
      <c r="AA64" s="483"/>
      <c r="AB64" s="483"/>
      <c r="AC64" s="483"/>
      <c r="AD64" s="483"/>
      <c r="AE64" s="483"/>
      <c r="AF64" s="483"/>
      <c r="AG64" s="483"/>
      <c r="AH64" s="483"/>
      <c r="AI64" s="483"/>
      <c r="AJ64" s="483"/>
      <c r="AS64" s="293"/>
    </row>
    <row r="65" spans="1:47" ht="62.25" customHeight="1" x14ac:dyDescent="0.25">
      <c r="A65" s="2709" t="s">
        <v>6812</v>
      </c>
      <c r="B65" s="2710"/>
      <c r="C65" s="2710"/>
      <c r="D65" s="2710"/>
      <c r="E65" s="2710"/>
      <c r="F65" s="2710"/>
      <c r="G65" s="2710"/>
      <c r="H65" s="2710"/>
      <c r="I65" s="2710"/>
      <c r="J65" s="2710"/>
      <c r="K65" s="2710"/>
      <c r="L65" s="2710"/>
      <c r="M65" s="2710"/>
      <c r="N65" s="2710"/>
      <c r="O65" s="2710"/>
      <c r="P65" s="2710"/>
      <c r="Q65" s="2710"/>
      <c r="R65" s="2710"/>
      <c r="S65" s="2710"/>
      <c r="T65" s="2710"/>
      <c r="U65" s="2710"/>
      <c r="V65" s="2711"/>
      <c r="AR65" s="293"/>
    </row>
    <row r="66" spans="1:47" ht="24.75" customHeight="1" x14ac:dyDescent="0.25">
      <c r="A66" s="2709" t="s">
        <v>6811</v>
      </c>
      <c r="B66" s="2710"/>
      <c r="C66" s="2710"/>
      <c r="D66" s="2710"/>
      <c r="E66" s="2710"/>
      <c r="F66" s="2710"/>
      <c r="G66" s="2710"/>
      <c r="H66" s="2710"/>
      <c r="I66" s="2710"/>
      <c r="J66" s="2710"/>
      <c r="K66" s="2710"/>
      <c r="L66" s="2710"/>
      <c r="M66" s="2710"/>
      <c r="N66" s="2710"/>
      <c r="O66" s="2710"/>
      <c r="P66" s="2710"/>
      <c r="Q66" s="2710"/>
      <c r="R66" s="2710"/>
      <c r="S66" s="2710"/>
      <c r="T66" s="2710"/>
      <c r="U66" s="2710"/>
      <c r="V66" s="2711"/>
      <c r="AR66" s="293"/>
    </row>
    <row r="67" spans="1:47" ht="53.25" customHeight="1" x14ac:dyDescent="0.25">
      <c r="A67" s="2709" t="s">
        <v>6810</v>
      </c>
      <c r="B67" s="2710"/>
      <c r="C67" s="2710"/>
      <c r="D67" s="2710"/>
      <c r="E67" s="2710"/>
      <c r="F67" s="2710"/>
      <c r="G67" s="2710"/>
      <c r="H67" s="2710"/>
      <c r="I67" s="2710"/>
      <c r="J67" s="2710"/>
      <c r="K67" s="2710"/>
      <c r="L67" s="2710"/>
      <c r="M67" s="2710"/>
      <c r="N67" s="2710"/>
      <c r="O67" s="2710"/>
      <c r="P67" s="2710"/>
      <c r="Q67" s="2710"/>
      <c r="R67" s="2710"/>
      <c r="S67" s="2710"/>
      <c r="T67" s="2710"/>
      <c r="U67" s="2710"/>
      <c r="V67" s="2711"/>
      <c r="AR67" s="293"/>
    </row>
    <row r="68" spans="1:47" ht="48.75" customHeight="1" x14ac:dyDescent="0.25">
      <c r="A68" s="2709" t="s">
        <v>6809</v>
      </c>
      <c r="B68" s="2710"/>
      <c r="C68" s="2710"/>
      <c r="D68" s="2710"/>
      <c r="E68" s="2710"/>
      <c r="F68" s="2710"/>
      <c r="G68" s="2710"/>
      <c r="H68" s="2710"/>
      <c r="I68" s="2710"/>
      <c r="J68" s="2710"/>
      <c r="K68" s="2710"/>
      <c r="L68" s="2710"/>
      <c r="M68" s="2710"/>
      <c r="N68" s="2710"/>
      <c r="O68" s="2710"/>
      <c r="P68" s="2710"/>
      <c r="Q68" s="2710"/>
      <c r="R68" s="2710"/>
      <c r="S68" s="2710"/>
      <c r="T68" s="2710"/>
      <c r="U68" s="2710"/>
      <c r="V68" s="2711"/>
      <c r="AR68" s="293"/>
    </row>
    <row r="69" spans="1:47" ht="51.75" customHeight="1" x14ac:dyDescent="0.25">
      <c r="A69" s="2693" t="s">
        <v>6808</v>
      </c>
      <c r="B69" s="2694"/>
      <c r="C69" s="2694"/>
      <c r="D69" s="2694"/>
      <c r="E69" s="2694"/>
      <c r="F69" s="2694"/>
      <c r="G69" s="2694"/>
      <c r="H69" s="2694"/>
      <c r="I69" s="2694"/>
      <c r="J69" s="2694"/>
      <c r="K69" s="2694"/>
      <c r="L69" s="2694"/>
      <c r="M69" s="2694"/>
      <c r="N69" s="2694"/>
      <c r="O69" s="2694"/>
      <c r="P69" s="2694"/>
      <c r="Q69" s="2694"/>
      <c r="R69" s="2694"/>
      <c r="S69" s="2694"/>
      <c r="T69" s="2694"/>
      <c r="U69" s="2694"/>
      <c r="V69" s="2695"/>
      <c r="AR69" s="293"/>
    </row>
    <row r="70" spans="1:47" ht="12.75" customHeight="1" x14ac:dyDescent="0.25">
      <c r="A70" s="1005"/>
      <c r="B70" s="1005"/>
      <c r="C70" s="1005"/>
      <c r="D70" s="1005"/>
      <c r="E70" s="1005"/>
      <c r="F70" s="1005"/>
      <c r="G70" s="1005"/>
      <c r="H70" s="1005"/>
      <c r="I70" s="1005"/>
      <c r="J70" s="1005"/>
      <c r="K70" s="1005"/>
      <c r="L70" s="1005"/>
      <c r="M70" s="1005"/>
      <c r="N70" s="1005"/>
      <c r="O70" s="1005"/>
      <c r="P70" s="1005"/>
      <c r="Q70" s="1005"/>
      <c r="R70" s="1005"/>
      <c r="S70" s="1005"/>
      <c r="T70" s="1005"/>
      <c r="U70" s="2"/>
      <c r="AR70" s="293"/>
    </row>
    <row r="71" spans="1:47" ht="16.5" customHeight="1" x14ac:dyDescent="0.25">
      <c r="A71" s="401">
        <v>1</v>
      </c>
      <c r="B71" s="401">
        <v>2</v>
      </c>
      <c r="C71" s="401">
        <v>3</v>
      </c>
      <c r="D71" s="401">
        <v>4</v>
      </c>
      <c r="E71" s="401">
        <v>5</v>
      </c>
      <c r="F71" s="401">
        <v>6</v>
      </c>
      <c r="G71" s="401">
        <v>7</v>
      </c>
      <c r="H71" s="401">
        <v>8</v>
      </c>
      <c r="I71" s="401">
        <v>9</v>
      </c>
      <c r="J71" s="401">
        <v>10</v>
      </c>
      <c r="K71" s="401">
        <v>11</v>
      </c>
      <c r="L71" s="401">
        <v>12</v>
      </c>
      <c r="M71" s="401">
        <v>13</v>
      </c>
      <c r="N71" s="401">
        <v>14</v>
      </c>
      <c r="O71" s="401">
        <v>15</v>
      </c>
      <c r="P71" s="401">
        <v>16</v>
      </c>
      <c r="Q71" s="401">
        <v>17</v>
      </c>
      <c r="R71" s="401">
        <v>18</v>
      </c>
      <c r="S71" s="401">
        <v>19</v>
      </c>
      <c r="T71" s="401">
        <v>20</v>
      </c>
      <c r="U71" s="401">
        <v>21</v>
      </c>
      <c r="V71" s="401">
        <v>22</v>
      </c>
      <c r="W71" s="401">
        <v>23</v>
      </c>
      <c r="X71" s="401">
        <v>24</v>
      </c>
      <c r="Y71" s="401">
        <v>25</v>
      </c>
      <c r="Z71" s="401">
        <v>26</v>
      </c>
      <c r="AA71" s="401">
        <v>27</v>
      </c>
      <c r="AB71" s="401">
        <v>28</v>
      </c>
      <c r="AC71" s="401"/>
      <c r="AD71" s="401"/>
      <c r="AE71" s="401"/>
      <c r="AF71" s="401"/>
      <c r="AR71" s="293"/>
    </row>
    <row r="72" spans="1:47" ht="27.75" customHeight="1" x14ac:dyDescent="0.25">
      <c r="A72" s="190" t="s">
        <v>6807</v>
      </c>
      <c r="AR72" s="293"/>
    </row>
    <row r="73" spans="1:47" ht="36.75" customHeight="1" x14ac:dyDescent="0.25">
      <c r="A73" s="1819" t="s">
        <v>6806</v>
      </c>
      <c r="B73" s="1720"/>
      <c r="C73" s="1720"/>
      <c r="D73" s="1720"/>
      <c r="E73" s="2696"/>
      <c r="F73" s="2696"/>
      <c r="G73" s="2697"/>
      <c r="H73" s="1819" t="s">
        <v>6805</v>
      </c>
      <c r="I73" s="2696"/>
      <c r="J73" s="2696"/>
      <c r="K73" s="2696"/>
      <c r="L73" s="2696"/>
      <c r="M73" s="1418" t="s">
        <v>6804</v>
      </c>
      <c r="N73" s="1419"/>
      <c r="O73" s="1419"/>
      <c r="P73" s="1419"/>
      <c r="Q73" s="1419"/>
      <c r="R73" s="1419"/>
      <c r="S73" s="1419"/>
      <c r="T73" s="1419"/>
      <c r="U73" s="1419"/>
      <c r="V73" s="1420"/>
      <c r="W73" s="1418" t="s">
        <v>6803</v>
      </c>
      <c r="X73" s="1419"/>
      <c r="Y73" s="1419"/>
      <c r="Z73" s="1419"/>
      <c r="AA73" s="1419"/>
      <c r="AB73" s="1419"/>
      <c r="AC73" s="1419"/>
      <c r="AD73" s="1419"/>
      <c r="AE73" s="1419"/>
      <c r="AF73" s="1420"/>
    </row>
    <row r="74" spans="1:47" ht="36.75" customHeight="1" x14ac:dyDescent="0.25">
      <c r="A74" s="2698"/>
      <c r="B74" s="2699"/>
      <c r="C74" s="2699"/>
      <c r="D74" s="2699"/>
      <c r="E74" s="2699"/>
      <c r="F74" s="2699"/>
      <c r="G74" s="2700"/>
      <c r="H74" s="2698"/>
      <c r="I74" s="2699"/>
      <c r="J74" s="2699"/>
      <c r="K74" s="2699"/>
      <c r="L74" s="2699"/>
      <c r="M74" s="1418" t="s">
        <v>6802</v>
      </c>
      <c r="N74" s="1419"/>
      <c r="O74" s="1419"/>
      <c r="P74" s="1419"/>
      <c r="Q74" s="1420"/>
      <c r="R74" s="1418" t="s">
        <v>6801</v>
      </c>
      <c r="S74" s="1419"/>
      <c r="T74" s="1419"/>
      <c r="U74" s="1419"/>
      <c r="V74" s="1420"/>
      <c r="W74" s="1418" t="s">
        <v>6800</v>
      </c>
      <c r="X74" s="1419"/>
      <c r="Y74" s="1419"/>
      <c r="Z74" s="1419"/>
      <c r="AA74" s="1420"/>
      <c r="AB74" s="1418" t="s">
        <v>6783</v>
      </c>
      <c r="AC74" s="1419"/>
      <c r="AD74" s="1419"/>
      <c r="AE74" s="1419"/>
      <c r="AF74" s="1420"/>
      <c r="AU74" s="1007"/>
    </row>
    <row r="75" spans="1:47" ht="38.1" customHeight="1" x14ac:dyDescent="0.25">
      <c r="A75" s="2678" t="s">
        <v>6780</v>
      </c>
      <c r="B75" s="2678"/>
      <c r="C75" s="2678"/>
      <c r="D75" s="2678"/>
      <c r="E75" s="1135"/>
      <c r="F75" s="1135"/>
      <c r="G75" s="1135"/>
      <c r="H75" s="1482">
        <v>5</v>
      </c>
      <c r="I75" s="1483"/>
      <c r="J75" s="1483"/>
      <c r="K75" s="1483"/>
      <c r="L75" s="1484"/>
      <c r="M75" s="1482">
        <v>24</v>
      </c>
      <c r="N75" s="1483"/>
      <c r="O75" s="1483"/>
      <c r="P75" s="1483"/>
      <c r="Q75" s="1484"/>
      <c r="R75" s="1497">
        <f>M75-8</f>
        <v>16</v>
      </c>
      <c r="S75" s="1498"/>
      <c r="T75" s="1498"/>
      <c r="U75" s="1498"/>
      <c r="V75" s="1499"/>
      <c r="W75" s="2668">
        <f>ROUND(M75*(365-(3*H75)),-1)</f>
        <v>8400</v>
      </c>
      <c r="X75" s="1483"/>
      <c r="Y75" s="1483"/>
      <c r="Z75" s="1483"/>
      <c r="AA75" s="1484"/>
      <c r="AB75" s="2668">
        <f>ROUND(R75 * (365-(3*H75)),-1)</f>
        <v>5600</v>
      </c>
      <c r="AC75" s="1483"/>
      <c r="AD75" s="1483"/>
      <c r="AE75" s="1483"/>
      <c r="AF75" s="1484"/>
    </row>
    <row r="76" spans="1:47" ht="38.1" customHeight="1" x14ac:dyDescent="0.25">
      <c r="A76" s="2678" t="s">
        <v>6799</v>
      </c>
      <c r="B76" s="2678"/>
      <c r="C76" s="2678"/>
      <c r="D76" s="2678"/>
      <c r="E76" s="1135"/>
      <c r="F76" s="1135"/>
      <c r="G76" s="1135"/>
      <c r="H76" s="1482">
        <v>5</v>
      </c>
      <c r="I76" s="1483"/>
      <c r="J76" s="1483"/>
      <c r="K76" s="1483"/>
      <c r="L76" s="1484"/>
      <c r="M76" s="1482">
        <v>18</v>
      </c>
      <c r="N76" s="1483"/>
      <c r="O76" s="1483"/>
      <c r="P76" s="1483"/>
      <c r="Q76" s="1484"/>
      <c r="R76" s="1497">
        <f>M76-8</f>
        <v>10</v>
      </c>
      <c r="S76" s="1498"/>
      <c r="T76" s="1498"/>
      <c r="U76" s="1498"/>
      <c r="V76" s="1499"/>
      <c r="W76" s="2668">
        <f>ROUND(M76*(365-(3*H76)),-1)</f>
        <v>6300</v>
      </c>
      <c r="X76" s="1483"/>
      <c r="Y76" s="1483"/>
      <c r="Z76" s="1483"/>
      <c r="AA76" s="1484"/>
      <c r="AB76" s="2668">
        <f>ROUND(R76 * (365-(3*H76)),-1)</f>
        <v>3500</v>
      </c>
      <c r="AC76" s="1483"/>
      <c r="AD76" s="1483"/>
      <c r="AE76" s="1483"/>
      <c r="AF76" s="1484"/>
    </row>
    <row r="77" spans="1:47" ht="38.1" customHeight="1" x14ac:dyDescent="0.25">
      <c r="A77" s="2678" t="s">
        <v>6798</v>
      </c>
      <c r="B77" s="2678"/>
      <c r="C77" s="2678"/>
      <c r="D77" s="2678"/>
      <c r="E77" s="1135"/>
      <c r="F77" s="1135"/>
      <c r="G77" s="1135"/>
      <c r="H77" s="1482">
        <v>5</v>
      </c>
      <c r="I77" s="1483"/>
      <c r="J77" s="1483"/>
      <c r="K77" s="1483"/>
      <c r="L77" s="1484"/>
      <c r="M77" s="1482">
        <v>12</v>
      </c>
      <c r="N77" s="1483"/>
      <c r="O77" s="1483"/>
      <c r="P77" s="1483"/>
      <c r="Q77" s="1484"/>
      <c r="R77" s="1497">
        <f>M77-8</f>
        <v>4</v>
      </c>
      <c r="S77" s="1498"/>
      <c r="T77" s="1498"/>
      <c r="U77" s="1498"/>
      <c r="V77" s="1499"/>
      <c r="W77" s="2668">
        <f>ROUND(M77*(365-(3*H77)),-1)</f>
        <v>4200</v>
      </c>
      <c r="X77" s="1483"/>
      <c r="Y77" s="1483"/>
      <c r="Z77" s="1483"/>
      <c r="AA77" s="1484"/>
      <c r="AB77" s="2668">
        <f>ROUND(R77 * (365-(3*H77)),-1)</f>
        <v>1400</v>
      </c>
      <c r="AC77" s="1483"/>
      <c r="AD77" s="1483"/>
      <c r="AE77" s="1483"/>
      <c r="AF77" s="1484"/>
    </row>
    <row r="78" spans="1:47" ht="50.25" customHeight="1" x14ac:dyDescent="0.25">
      <c r="A78" s="2678" t="s">
        <v>6797</v>
      </c>
      <c r="B78" s="2678"/>
      <c r="C78" s="2678"/>
      <c r="D78" s="2678"/>
      <c r="E78" s="1135"/>
      <c r="F78" s="1135"/>
      <c r="G78" s="1135"/>
      <c r="H78" s="1482">
        <v>8</v>
      </c>
      <c r="I78" s="1483"/>
      <c r="J78" s="1483"/>
      <c r="K78" s="1483"/>
      <c r="L78" s="1484"/>
      <c r="M78" s="1482">
        <v>18</v>
      </c>
      <c r="N78" s="1483"/>
      <c r="O78" s="1483"/>
      <c r="P78" s="1483"/>
      <c r="Q78" s="1484"/>
      <c r="R78" s="1497">
        <f>M78-8</f>
        <v>10</v>
      </c>
      <c r="S78" s="1498"/>
      <c r="T78" s="1498"/>
      <c r="U78" s="1498"/>
      <c r="V78" s="1499"/>
      <c r="W78" s="2668">
        <f>ROUND(M78*(365-(3*H78)),-1)</f>
        <v>6140</v>
      </c>
      <c r="X78" s="1483"/>
      <c r="Y78" s="1483"/>
      <c r="Z78" s="1483"/>
      <c r="AA78" s="1484"/>
      <c r="AB78" s="2668">
        <f>ROUND(R78 * (365-(3*H78)),-1)</f>
        <v>3410</v>
      </c>
      <c r="AC78" s="1483"/>
      <c r="AD78" s="1483"/>
      <c r="AE78" s="1483"/>
      <c r="AF78" s="1484"/>
    </row>
    <row r="79" spans="1:47" ht="50.25" customHeight="1" x14ac:dyDescent="0.25">
      <c r="A79" s="2685" t="s">
        <v>6796</v>
      </c>
      <c r="B79" s="2685"/>
      <c r="C79" s="2685"/>
      <c r="D79" s="2685"/>
      <c r="E79" s="2686"/>
      <c r="F79" s="2686"/>
      <c r="G79" s="2686"/>
      <c r="H79" s="2679">
        <v>4</v>
      </c>
      <c r="I79" s="2670"/>
      <c r="J79" s="2670"/>
      <c r="K79" s="2670"/>
      <c r="L79" s="2671"/>
      <c r="M79" s="2679">
        <v>12</v>
      </c>
      <c r="N79" s="2670"/>
      <c r="O79" s="2670"/>
      <c r="P79" s="2670"/>
      <c r="Q79" s="2671"/>
      <c r="R79" s="2672">
        <f>M79-8</f>
        <v>4</v>
      </c>
      <c r="S79" s="2673"/>
      <c r="T79" s="2673"/>
      <c r="U79" s="2673"/>
      <c r="V79" s="2674"/>
      <c r="W79" s="2669">
        <f>ROUND(M79*(365-(3*H79)),-1)</f>
        <v>4240</v>
      </c>
      <c r="X79" s="2670"/>
      <c r="Y79" s="2670"/>
      <c r="Z79" s="2670"/>
      <c r="AA79" s="2671"/>
      <c r="AB79" s="2669">
        <f>ROUND(R79 * (365-(3*H79)),-1)</f>
        <v>1410</v>
      </c>
      <c r="AC79" s="2670"/>
      <c r="AD79" s="2670"/>
      <c r="AE79" s="2670"/>
      <c r="AF79" s="2671"/>
    </row>
    <row r="80" spans="1:47" ht="29.25" customHeight="1" x14ac:dyDescent="0.2">
      <c r="A80" s="2687" t="s">
        <v>6795</v>
      </c>
      <c r="B80" s="1280"/>
      <c r="C80" s="1280"/>
      <c r="D80" s="1280"/>
      <c r="E80" s="1280"/>
      <c r="F80" s="1280"/>
      <c r="G80" s="1280"/>
      <c r="H80" s="1280"/>
      <c r="I80" s="1280"/>
      <c r="J80" s="1280"/>
      <c r="K80" s="1280"/>
      <c r="L80" s="1280"/>
      <c r="M80" s="1280"/>
      <c r="N80" s="1280"/>
      <c r="O80" s="1280"/>
      <c r="P80" s="1280"/>
      <c r="Q80" s="1280"/>
      <c r="R80" s="1280"/>
      <c r="S80" s="1280"/>
      <c r="T80" s="1280"/>
      <c r="U80" s="1280"/>
      <c r="V80" s="1280"/>
      <c r="W80" s="1280"/>
      <c r="X80" s="1280"/>
      <c r="Y80" s="1280"/>
      <c r="Z80" s="1280"/>
      <c r="AA80" s="1280"/>
      <c r="AB80" s="2688"/>
      <c r="AC80" s="2688"/>
      <c r="AD80" s="2688"/>
      <c r="AE80" s="2688"/>
      <c r="AF80" s="2689"/>
    </row>
    <row r="81" spans="1:83" ht="39.6" customHeight="1" x14ac:dyDescent="0.2">
      <c r="A81" s="2680" t="s">
        <v>6794</v>
      </c>
      <c r="B81" s="1262"/>
      <c r="C81" s="1262"/>
      <c r="D81" s="1262"/>
      <c r="E81" s="1262"/>
      <c r="F81" s="1262"/>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2579"/>
      <c r="AC81" s="2579"/>
      <c r="AD81" s="2579"/>
      <c r="AE81" s="2579"/>
      <c r="AF81" s="2681"/>
      <c r="AH81" s="293"/>
    </row>
    <row r="82" spans="1:83" ht="40.9" customHeight="1" x14ac:dyDescent="0.2">
      <c r="A82" s="2684" t="s">
        <v>6793</v>
      </c>
      <c r="B82" s="1262"/>
      <c r="C82" s="1262"/>
      <c r="D82" s="1262"/>
      <c r="E82" s="1262"/>
      <c r="F82" s="1262"/>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2579"/>
      <c r="AC82" s="2579"/>
      <c r="AD82" s="2579"/>
      <c r="AE82" s="2579"/>
      <c r="AF82" s="2681"/>
      <c r="AH82" s="293"/>
    </row>
    <row r="83" spans="1:83" ht="53.25" customHeight="1" x14ac:dyDescent="0.2">
      <c r="A83" s="2680" t="s">
        <v>6859</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2682"/>
      <c r="AC83" s="2682"/>
      <c r="AD83" s="2682"/>
      <c r="AE83" s="2682"/>
      <c r="AF83" s="2683"/>
      <c r="AH83" s="293"/>
    </row>
    <row r="84" spans="1:83" ht="42.75" customHeight="1" x14ac:dyDescent="0.2">
      <c r="A84" s="2729" t="s">
        <v>6792</v>
      </c>
      <c r="B84" s="2730"/>
      <c r="C84" s="2730"/>
      <c r="D84" s="2730"/>
      <c r="E84" s="2730"/>
      <c r="F84" s="2730"/>
      <c r="G84" s="2730"/>
      <c r="H84" s="2730"/>
      <c r="I84" s="2730"/>
      <c r="J84" s="2730"/>
      <c r="K84" s="2730"/>
      <c r="L84" s="2730"/>
      <c r="M84" s="2730"/>
      <c r="N84" s="2730"/>
      <c r="O84" s="2730"/>
      <c r="P84" s="2730"/>
      <c r="Q84" s="2730"/>
      <c r="R84" s="2730"/>
      <c r="S84" s="2730"/>
      <c r="T84" s="2730"/>
      <c r="U84" s="2730"/>
      <c r="V84" s="2730"/>
      <c r="W84" s="2730"/>
      <c r="X84" s="2730"/>
      <c r="Y84" s="2730"/>
      <c r="Z84" s="2730"/>
      <c r="AA84" s="2730"/>
      <c r="AB84" s="2731"/>
      <c r="AC84" s="2731"/>
      <c r="AD84" s="2731"/>
      <c r="AE84" s="2731"/>
      <c r="AF84" s="2732"/>
      <c r="AH84" s="293"/>
    </row>
    <row r="85" spans="1:83" x14ac:dyDescent="0.25">
      <c r="A85" s="1006"/>
      <c r="B85" s="1006"/>
      <c r="C85" s="1006"/>
      <c r="D85" s="1006"/>
      <c r="E85" s="1006"/>
      <c r="F85" s="1006"/>
      <c r="G85" s="1006"/>
      <c r="H85" s="1006"/>
      <c r="I85" s="1006"/>
      <c r="J85" s="1006"/>
      <c r="K85" s="1006"/>
      <c r="L85" s="1006"/>
      <c r="M85" s="1006"/>
      <c r="N85" s="1006"/>
      <c r="O85" s="1006"/>
      <c r="P85" s="1006"/>
      <c r="Q85" s="1006"/>
      <c r="R85" s="1006"/>
      <c r="S85" s="1006"/>
      <c r="T85" s="1006"/>
      <c r="AH85" s="293"/>
    </row>
    <row r="86" spans="1:83" x14ac:dyDescent="0.25">
      <c r="A86" s="1006"/>
      <c r="B86" s="1006"/>
      <c r="C86" s="1006"/>
      <c r="D86" s="1006"/>
      <c r="E86" s="1006"/>
      <c r="F86" s="1006"/>
      <c r="G86" s="1006"/>
      <c r="H86" s="1006"/>
      <c r="I86" s="1006"/>
      <c r="J86" s="1006"/>
      <c r="K86" s="1006"/>
      <c r="L86" s="1006"/>
      <c r="M86" s="1006"/>
      <c r="N86" s="1006"/>
      <c r="O86" s="1006"/>
      <c r="P86" s="1006"/>
      <c r="Q86" s="1006"/>
      <c r="R86" s="1006"/>
      <c r="S86" s="1006"/>
      <c r="T86" s="1006"/>
      <c r="AH86" s="293"/>
    </row>
    <row r="87" spans="1:83" ht="18" x14ac:dyDescent="0.25">
      <c r="A87" s="190" t="s">
        <v>6791</v>
      </c>
      <c r="AH87" s="293"/>
    </row>
    <row r="88" spans="1:83" ht="34.5" customHeight="1" x14ac:dyDescent="0.25">
      <c r="A88" s="1319" t="s">
        <v>6790</v>
      </c>
      <c r="B88" s="1319"/>
      <c r="C88" s="1319"/>
      <c r="D88" s="1319"/>
      <c r="E88" s="1508"/>
      <c r="F88" s="1508"/>
      <c r="G88" s="1508"/>
      <c r="H88" s="1311" t="s">
        <v>6789</v>
      </c>
      <c r="I88" s="1311"/>
      <c r="J88" s="1311"/>
      <c r="K88" s="1311"/>
      <c r="L88" s="1311"/>
      <c r="M88" s="1311"/>
      <c r="N88" s="1311" t="s">
        <v>6788</v>
      </c>
      <c r="O88" s="1311"/>
      <c r="P88" s="1311"/>
      <c r="Q88" s="1311"/>
      <c r="R88" s="1311"/>
      <c r="S88" s="1311"/>
      <c r="AH88" s="293"/>
    </row>
    <row r="89" spans="1:83" ht="47.45" customHeight="1" x14ac:dyDescent="0.25">
      <c r="A89" s="2678" t="s">
        <v>6787</v>
      </c>
      <c r="B89" s="2678"/>
      <c r="C89" s="2678"/>
      <c r="D89" s="2678"/>
      <c r="E89" s="1135"/>
      <c r="F89" s="1135"/>
      <c r="G89" s="1135"/>
      <c r="H89" s="1482">
        <v>1.22</v>
      </c>
      <c r="I89" s="1483"/>
      <c r="J89" s="1483"/>
      <c r="K89" s="1483"/>
      <c r="L89" s="1483"/>
      <c r="M89" s="1484"/>
      <c r="N89" s="1482">
        <v>1.21</v>
      </c>
      <c r="O89" s="1483"/>
      <c r="P89" s="1483"/>
      <c r="Q89" s="1483"/>
      <c r="R89" s="1483"/>
      <c r="S89" s="1484"/>
      <c r="AH89" s="293"/>
    </row>
    <row r="90" spans="1:83" ht="45.6" customHeight="1" x14ac:dyDescent="0.25">
      <c r="A90" s="2678" t="s">
        <v>6786</v>
      </c>
      <c r="B90" s="2678"/>
      <c r="C90" s="2678"/>
      <c r="D90" s="2678"/>
      <c r="E90" s="1135"/>
      <c r="F90" s="1135"/>
      <c r="G90" s="1135"/>
      <c r="H90" s="1482">
        <v>1</v>
      </c>
      <c r="I90" s="1483"/>
      <c r="J90" s="1483"/>
      <c r="K90" s="1483"/>
      <c r="L90" s="1483"/>
      <c r="M90" s="1484"/>
      <c r="N90" s="1482">
        <v>1</v>
      </c>
      <c r="O90" s="1483"/>
      <c r="P90" s="1483"/>
      <c r="Q90" s="1483"/>
      <c r="R90" s="1483"/>
      <c r="S90" s="1484"/>
      <c r="AH90" s="293"/>
    </row>
    <row r="91" spans="1:83" ht="82.15" customHeight="1" x14ac:dyDescent="0.25">
      <c r="A91" s="2675" t="s">
        <v>6785</v>
      </c>
      <c r="B91" s="2676"/>
      <c r="C91" s="2676"/>
      <c r="D91" s="2676"/>
      <c r="E91" s="2676"/>
      <c r="F91" s="2676"/>
      <c r="G91" s="2676"/>
      <c r="H91" s="2676"/>
      <c r="I91" s="2676"/>
      <c r="J91" s="2676"/>
      <c r="K91" s="2676"/>
      <c r="L91" s="2676"/>
      <c r="M91" s="2676"/>
      <c r="N91" s="2676"/>
      <c r="O91" s="2676"/>
      <c r="P91" s="2676"/>
      <c r="Q91" s="2676"/>
      <c r="R91" s="2676"/>
      <c r="S91" s="2677"/>
      <c r="AH91" s="293"/>
    </row>
    <row r="92" spans="1:83" ht="25.5" customHeight="1" x14ac:dyDescent="0.25">
      <c r="A92" s="1005"/>
      <c r="B92" s="326"/>
      <c r="C92" s="326"/>
      <c r="D92" s="326"/>
      <c r="E92" s="326"/>
      <c r="F92" s="326"/>
      <c r="G92" s="326"/>
      <c r="H92" s="326"/>
      <c r="I92" s="326"/>
      <c r="J92" s="326"/>
      <c r="K92" s="326"/>
      <c r="L92" s="326"/>
      <c r="M92" s="326"/>
      <c r="N92" s="326"/>
      <c r="O92" s="326"/>
      <c r="P92" s="326"/>
      <c r="Q92" s="326"/>
      <c r="R92" s="326"/>
      <c r="S92" s="326"/>
      <c r="AH92" s="293"/>
    </row>
    <row r="93" spans="1:83" s="1" customFormat="1" x14ac:dyDescent="0.25">
      <c r="A93" s="1148" t="s">
        <v>21</v>
      </c>
      <c r="B93" s="1149"/>
      <c r="C93" s="1149"/>
      <c r="D93" s="1149"/>
      <c r="E93" s="1149"/>
      <c r="F93" s="1149"/>
      <c r="G93" s="1149"/>
      <c r="H93" s="1149"/>
      <c r="I93" s="1149"/>
      <c r="J93" s="1149"/>
      <c r="K93" s="1149"/>
      <c r="L93" s="1149"/>
      <c r="M93" s="1149"/>
      <c r="N93" s="1149"/>
      <c r="O93" s="1149"/>
      <c r="P93" s="1149"/>
      <c r="Q93" s="1149"/>
      <c r="R93" s="1149"/>
      <c r="S93" s="1149"/>
      <c r="T93" s="1149"/>
      <c r="U93" s="1149"/>
      <c r="V93" s="1149"/>
      <c r="W93" s="1149"/>
      <c r="X93" s="1149"/>
      <c r="Y93" s="1149"/>
      <c r="Z93" s="1149"/>
      <c r="AA93" s="1149"/>
      <c r="AB93" s="1149"/>
      <c r="AC93" s="1149"/>
      <c r="AD93" s="1149"/>
      <c r="AE93" s="1149"/>
      <c r="AF93" s="1150"/>
      <c r="AH93" s="262"/>
      <c r="AI93" s="262"/>
      <c r="AJ93" s="262"/>
      <c r="AK93" s="262"/>
      <c r="AL93" s="262"/>
      <c r="AM93" s="262"/>
      <c r="AN93" s="262"/>
      <c r="AO93" s="262"/>
      <c r="AP93" s="262"/>
      <c r="AQ93" s="262"/>
      <c r="AR93" s="262"/>
      <c r="AS93" s="262"/>
      <c r="AT93" s="262"/>
      <c r="AU93" s="262"/>
      <c r="AV93" s="262"/>
      <c r="AW93" s="262"/>
      <c r="AX93" s="262"/>
      <c r="AY93" s="262"/>
      <c r="AZ93" s="262"/>
      <c r="BA93" s="262"/>
      <c r="BB93" s="262"/>
      <c r="BC93" s="262"/>
      <c r="BD93" s="262"/>
      <c r="BE93" s="262"/>
      <c r="BF93" s="262"/>
      <c r="BG93" s="262"/>
      <c r="BH93" s="262"/>
      <c r="BI93" s="262"/>
      <c r="BJ93" s="262"/>
      <c r="BK93" s="262"/>
      <c r="BL93" s="262"/>
      <c r="BM93" s="262"/>
      <c r="BN93" s="262"/>
      <c r="BO93" s="262"/>
      <c r="BP93" s="262"/>
      <c r="BQ93" s="262"/>
      <c r="BR93" s="262"/>
      <c r="BS93" s="262"/>
      <c r="BT93" s="262"/>
      <c r="BU93" s="262"/>
      <c r="BV93" s="262"/>
      <c r="BW93" s="262"/>
      <c r="BX93" s="262"/>
      <c r="BY93" s="262"/>
      <c r="BZ93" s="262"/>
      <c r="CA93" s="262"/>
      <c r="CB93" s="262"/>
      <c r="CC93" s="262"/>
      <c r="CD93" s="262"/>
      <c r="CE93" s="262"/>
    </row>
    <row r="94" spans="1:83" s="1" customFormat="1" x14ac:dyDescent="0.25">
      <c r="A94"/>
      <c r="B94"/>
      <c r="C94"/>
      <c r="D94"/>
      <c r="E94"/>
      <c r="F94"/>
      <c r="G94"/>
      <c r="H94"/>
      <c r="I94"/>
      <c r="J94"/>
      <c r="K94"/>
      <c r="L94"/>
      <c r="M94"/>
      <c r="N94"/>
      <c r="O94"/>
      <c r="P94"/>
      <c r="Q94"/>
      <c r="R94"/>
      <c r="S94"/>
      <c r="T94"/>
      <c r="U94"/>
      <c r="V94"/>
      <c r="W94"/>
      <c r="X94"/>
      <c r="Y94"/>
      <c r="Z94"/>
      <c r="AA94"/>
      <c r="AB94"/>
      <c r="AC94"/>
      <c r="AD94"/>
      <c r="AE94"/>
      <c r="AF94"/>
      <c r="AH94" s="262"/>
      <c r="AI94" s="262"/>
      <c r="AJ94" s="262"/>
      <c r="AK94" s="262"/>
      <c r="AL94" s="262"/>
      <c r="AM94" s="262"/>
      <c r="AN94" s="262"/>
      <c r="AO94" s="262"/>
      <c r="AP94" s="262"/>
      <c r="AQ94" s="262"/>
      <c r="AR94" s="262"/>
      <c r="AS94" s="262"/>
      <c r="AT94" s="262"/>
      <c r="AU94" s="262"/>
      <c r="AV94" s="262"/>
      <c r="AW94" s="262"/>
      <c r="AX94" s="262"/>
      <c r="AY94" s="262"/>
      <c r="AZ94" s="262"/>
      <c r="BA94" s="262"/>
      <c r="BB94" s="262"/>
      <c r="BC94" s="262"/>
      <c r="BD94" s="262"/>
      <c r="BE94" s="262"/>
      <c r="BF94" s="262"/>
      <c r="BG94" s="262"/>
      <c r="BH94" s="262"/>
      <c r="BI94" s="262"/>
      <c r="BJ94" s="262"/>
      <c r="BK94" s="262"/>
      <c r="BL94" s="262"/>
      <c r="BM94" s="262"/>
      <c r="BN94" s="262"/>
      <c r="BO94" s="262"/>
      <c r="BP94" s="262"/>
      <c r="BQ94" s="262"/>
      <c r="BR94" s="262"/>
      <c r="BS94" s="262"/>
      <c r="BT94" s="262"/>
      <c r="BU94" s="262"/>
      <c r="BV94" s="262"/>
      <c r="BW94" s="262"/>
      <c r="BX94" s="262"/>
      <c r="BY94" s="262"/>
      <c r="BZ94" s="262"/>
      <c r="CA94" s="262"/>
      <c r="CB94" s="262"/>
      <c r="CC94" s="262"/>
      <c r="CD94" s="262"/>
      <c r="CE94" s="262"/>
    </row>
    <row r="95" spans="1:83" customFormat="1" ht="15" customHeight="1" x14ac:dyDescent="0.25">
      <c r="B95" s="380" t="s">
        <v>1737</v>
      </c>
      <c r="AH95" s="227"/>
      <c r="AI95" s="227"/>
      <c r="AJ95" s="227"/>
      <c r="AK95" s="227"/>
      <c r="AL95" s="535"/>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row>
    <row r="96" spans="1:83" customFormat="1" ht="15" customHeight="1" x14ac:dyDescent="0.25">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row>
    <row r="97" spans="3:83" customFormat="1" ht="15" customHeight="1" x14ac:dyDescent="0.25">
      <c r="C97" t="s">
        <v>6784</v>
      </c>
      <c r="AH97" s="227"/>
      <c r="AI97" s="227"/>
      <c r="AJ97" s="227"/>
      <c r="AK97" s="227"/>
      <c r="AL97" s="535"/>
      <c r="AM97" s="192"/>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row>
    <row r="98" spans="3:83" customFormat="1" ht="15" customHeight="1" x14ac:dyDescent="0.25">
      <c r="F98" s="2717" t="s">
        <v>6783</v>
      </c>
      <c r="G98" s="2718"/>
      <c r="H98" s="2718"/>
      <c r="I98" s="2718"/>
      <c r="J98" s="2718"/>
      <c r="K98" s="2719"/>
      <c r="L98" s="2719"/>
      <c r="M98" s="2719"/>
      <c r="N98" s="2719"/>
      <c r="O98" s="2719"/>
      <c r="P98" s="2719"/>
      <c r="Q98" s="2720"/>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row>
    <row r="99" spans="3:83" customFormat="1" ht="15" customHeight="1" x14ac:dyDescent="0.25">
      <c r="K99" s="31"/>
      <c r="L99" s="31"/>
      <c r="M99" s="31"/>
      <c r="N99" s="31"/>
      <c r="O99" s="31"/>
      <c r="P99" s="31"/>
      <c r="Q99" s="31"/>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row>
    <row r="100" spans="3:83" customFormat="1" ht="15" customHeight="1" x14ac:dyDescent="0.25">
      <c r="C100" t="s">
        <v>6782</v>
      </c>
      <c r="K100" s="31"/>
      <c r="L100" s="31"/>
      <c r="M100" s="31"/>
      <c r="N100" s="31"/>
      <c r="O100" s="31"/>
      <c r="P100" s="31"/>
      <c r="Q100" s="31"/>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row>
    <row r="101" spans="3:83" customFormat="1" ht="15" customHeight="1" x14ac:dyDescent="0.25">
      <c r="F101" s="2721" t="s">
        <v>2363</v>
      </c>
      <c r="G101" s="2722"/>
      <c r="H101" s="2723"/>
      <c r="K101" s="31"/>
      <c r="L101" s="31"/>
      <c r="M101" s="31"/>
      <c r="N101" s="31"/>
      <c r="O101" s="31"/>
      <c r="P101" s="31"/>
      <c r="Q101" s="31"/>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row>
    <row r="102" spans="3:83" customFormat="1" ht="15" customHeight="1" x14ac:dyDescent="0.25">
      <c r="K102" s="31"/>
      <c r="L102" s="31"/>
      <c r="M102" s="31"/>
      <c r="N102" s="31"/>
      <c r="O102" s="31"/>
      <c r="P102" s="31"/>
      <c r="Q102" s="31"/>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row>
    <row r="103" spans="3:83" customFormat="1" ht="15" customHeight="1" x14ac:dyDescent="0.25">
      <c r="C103" t="s">
        <v>6781</v>
      </c>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row>
    <row r="104" spans="3:83" customFormat="1" ht="15" customHeight="1" x14ac:dyDescent="0.25">
      <c r="F104" s="2717" t="s">
        <v>6796</v>
      </c>
      <c r="G104" s="2718"/>
      <c r="H104" s="2718"/>
      <c r="I104" s="2718"/>
      <c r="J104" s="2718"/>
      <c r="K104" s="2719"/>
      <c r="L104" s="2719"/>
      <c r="M104" s="2719"/>
      <c r="N104" s="2719"/>
      <c r="O104" s="2719"/>
      <c r="P104" s="2719"/>
      <c r="Q104" s="2719"/>
      <c r="R104" s="2719"/>
      <c r="S104" s="2719"/>
      <c r="T104" s="2719"/>
      <c r="U104" s="2719"/>
      <c r="V104" s="2719"/>
      <c r="W104" s="2719"/>
      <c r="X104" s="2719"/>
      <c r="Y104" s="2719"/>
      <c r="Z104" s="2720"/>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row>
    <row r="105" spans="3:83" customFormat="1" ht="15" customHeight="1" x14ac:dyDescent="0.25">
      <c r="K105" s="31"/>
      <c r="L105" s="31"/>
      <c r="M105" s="31"/>
      <c r="N105" s="31"/>
      <c r="O105" s="31"/>
      <c r="P105" s="31"/>
      <c r="Q105" s="31"/>
      <c r="R105" s="31"/>
      <c r="S105" s="31"/>
      <c r="T105" s="31"/>
      <c r="U105" s="31"/>
      <c r="V105" s="31"/>
      <c r="W105" s="31"/>
      <c r="X105" s="31"/>
      <c r="Y105" s="31"/>
      <c r="Z105" s="31"/>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row>
    <row r="106" spans="3:83" customFormat="1" ht="15" customHeight="1" x14ac:dyDescent="0.35">
      <c r="F106" s="227" t="s">
        <v>6779</v>
      </c>
      <c r="G106" s="227"/>
      <c r="H106" s="227"/>
      <c r="I106" s="2745">
        <f>_xlfn.XLOOKUP(F104,A58:A63,N58:N63, "Not found", 0)</f>
        <v>1.7</v>
      </c>
      <c r="J106" s="1449"/>
      <c r="K106" s="1450"/>
      <c r="L106" s="192"/>
      <c r="M106" s="424"/>
      <c r="N106" s="1003"/>
      <c r="O106" s="1002" t="s">
        <v>6778</v>
      </c>
      <c r="P106" s="2746">
        <f>INDEX($W$75:$AF$79, MATCH($F$104, $A$75:$A$79, 0), MATCH($F$98, $W$74:$AF$74, 0))</f>
        <v>1410</v>
      </c>
      <c r="Q106" s="2747"/>
      <c r="R106" s="2748"/>
      <c r="S106" s="192"/>
      <c r="T106" s="192"/>
      <c r="U106" s="869" t="s">
        <v>6777</v>
      </c>
      <c r="V106" s="2004">
        <f>IF(F101="No",H90,H89)</f>
        <v>1</v>
      </c>
      <c r="W106" s="1670"/>
      <c r="X106" s="1671"/>
      <c r="Y106" s="949"/>
      <c r="Z106" s="192"/>
      <c r="AA106" s="869" t="s">
        <v>6776</v>
      </c>
      <c r="AB106" s="2004">
        <f>IF(F101="NO",N90,N89)</f>
        <v>1</v>
      </c>
      <c r="AC106" s="1670"/>
      <c r="AD106" s="1671"/>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row>
    <row r="107" spans="3:83" customFormat="1" ht="15" customHeight="1" x14ac:dyDescent="0.25">
      <c r="K107" s="31"/>
      <c r="L107" s="31"/>
      <c r="M107" s="31"/>
      <c r="N107" s="31"/>
      <c r="O107" s="31"/>
      <c r="P107" s="31"/>
      <c r="Q107" s="31"/>
      <c r="R107" s="31"/>
      <c r="S107" s="31"/>
      <c r="T107" s="31"/>
      <c r="U107" s="31"/>
      <c r="V107" s="31"/>
      <c r="W107" s="31"/>
      <c r="X107" s="31"/>
      <c r="Y107" s="31"/>
      <c r="Z107" s="31"/>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row>
    <row r="108" spans="3:83" customFormat="1" ht="15" customHeight="1" x14ac:dyDescent="0.25">
      <c r="C108" t="s">
        <v>6775</v>
      </c>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row>
    <row r="109" spans="3:83" customFormat="1" ht="15" customHeight="1" x14ac:dyDescent="0.25">
      <c r="F109" s="2741">
        <v>1828</v>
      </c>
      <c r="G109" s="2742"/>
      <c r="H109" s="2742"/>
      <c r="I109" s="2742"/>
      <c r="J109" s="2743"/>
      <c r="L109" t="s">
        <v>6774</v>
      </c>
      <c r="N109" s="692"/>
      <c r="O109" s="692"/>
      <c r="P109" s="692"/>
      <c r="Q109" s="2744"/>
      <c r="R109" s="2744"/>
      <c r="S109" s="2744"/>
      <c r="T109" s="692"/>
      <c r="U109" s="692"/>
      <c r="V109" s="692"/>
      <c r="W109" s="692"/>
      <c r="X109" s="2744"/>
      <c r="Y109" s="2744"/>
      <c r="Z109" s="2744"/>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row>
    <row r="110" spans="3:83" customFormat="1" ht="15" customHeight="1" x14ac:dyDescent="0.25">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row>
    <row r="111" spans="3:83" customFormat="1" ht="15" customHeight="1" x14ac:dyDescent="0.25">
      <c r="C111" t="s">
        <v>6773</v>
      </c>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row>
    <row r="112" spans="3:83" customFormat="1" ht="15" customHeight="1" x14ac:dyDescent="0.25">
      <c r="F112" s="2741">
        <v>1000</v>
      </c>
      <c r="G112" s="2742"/>
      <c r="H112" s="2742"/>
      <c r="I112" s="2742"/>
      <c r="J112" s="2743"/>
      <c r="L112" t="s">
        <v>291</v>
      </c>
      <c r="N112" s="692"/>
      <c r="O112" s="692"/>
      <c r="P112" s="692"/>
      <c r="Q112" s="2744"/>
      <c r="R112" s="2744"/>
      <c r="S112" s="2744"/>
      <c r="T112" s="692"/>
      <c r="U112" s="692"/>
      <c r="V112" s="692"/>
      <c r="W112" s="692"/>
      <c r="X112" s="2744"/>
      <c r="Y112" s="2744"/>
      <c r="Z112" s="2744"/>
      <c r="AH112" s="227"/>
      <c r="AI112" s="227"/>
      <c r="AJ112" s="227"/>
      <c r="AK112" s="227"/>
      <c r="AL112" s="227"/>
      <c r="AM112" s="227"/>
      <c r="AN112" s="227"/>
      <c r="AO112" s="227"/>
      <c r="AP112" s="192"/>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row>
    <row r="113" spans="1:83" customFormat="1" ht="15" customHeight="1" x14ac:dyDescent="0.25">
      <c r="G113" s="38"/>
      <c r="H113" s="38"/>
      <c r="I113" s="38"/>
      <c r="N113" s="692"/>
      <c r="O113" s="692"/>
      <c r="P113" s="692"/>
      <c r="Q113" s="1001"/>
      <c r="R113" s="1001"/>
      <c r="S113" s="1001"/>
      <c r="T113" s="692"/>
      <c r="U113" s="692"/>
      <c r="V113" s="692"/>
      <c r="W113" s="692"/>
      <c r="X113" s="1001"/>
      <c r="Y113" s="1001"/>
      <c r="Z113" s="1001"/>
      <c r="AH113" s="227"/>
      <c r="AI113" s="227"/>
      <c r="AJ113" s="227"/>
      <c r="AK113" s="227"/>
      <c r="AL113" s="227"/>
      <c r="AM113" s="227"/>
      <c r="AN113" s="227"/>
      <c r="AO113" s="227"/>
      <c r="AP113" s="528"/>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row>
    <row r="114" spans="1:83" customFormat="1" ht="15" customHeight="1" x14ac:dyDescent="0.25">
      <c r="C114" t="s">
        <v>6772</v>
      </c>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row>
    <row r="115" spans="1:83" customFormat="1" ht="15" customHeight="1" x14ac:dyDescent="0.25">
      <c r="F115" s="2721">
        <v>110</v>
      </c>
      <c r="G115" s="2722"/>
      <c r="H115" s="2723"/>
      <c r="M115" s="386" t="str">
        <f>IF(F115&lt;0.9, "MUST BE 0.9 OR GREATER TO QUALIFY FOR A REBATE", "")</f>
        <v/>
      </c>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row>
    <row r="116" spans="1:83" customFormat="1" ht="15" customHeight="1" x14ac:dyDescent="0.25">
      <c r="F116" s="38"/>
      <c r="G116" s="38"/>
      <c r="H116" s="38"/>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row>
    <row r="117" spans="1:83" customFormat="1" ht="15" customHeight="1" thickBot="1" x14ac:dyDescent="0.3">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row>
    <row r="118" spans="1:83" customFormat="1" ht="32.25" customHeight="1" x14ac:dyDescent="0.25">
      <c r="A118" s="1583" t="s">
        <v>22</v>
      </c>
      <c r="B118" s="1584"/>
      <c r="C118" s="1584"/>
      <c r="D118" s="1584"/>
      <c r="E118" s="1584"/>
      <c r="F118" s="1584"/>
      <c r="G118" s="1584"/>
      <c r="H118" s="1584"/>
      <c r="I118" s="2484" t="s">
        <v>2922</v>
      </c>
      <c r="J118" s="2749"/>
      <c r="K118" s="2749"/>
      <c r="L118" s="2749"/>
      <c r="M118" s="2749"/>
      <c r="N118" s="2749"/>
      <c r="O118" s="2749"/>
      <c r="P118" s="2750"/>
      <c r="Q118" s="1609" t="s">
        <v>2918</v>
      </c>
      <c r="R118" s="1584"/>
      <c r="S118" s="1584"/>
      <c r="T118" s="1584"/>
      <c r="U118" s="1584"/>
      <c r="V118" s="1584"/>
      <c r="W118" s="1584"/>
      <c r="X118" s="1584"/>
      <c r="Y118" s="1609" t="s">
        <v>1786</v>
      </c>
      <c r="Z118" s="1584"/>
      <c r="AA118" s="1584"/>
      <c r="AB118" s="1584"/>
      <c r="AC118" s="1584"/>
      <c r="AD118" s="1584"/>
      <c r="AE118" s="1584"/>
      <c r="AF118" s="1585"/>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row>
    <row r="119" spans="1:83" customFormat="1" ht="63" customHeight="1" thickBot="1" x14ac:dyDescent="0.3">
      <c r="A119" s="2733" t="str">
        <f>F104</f>
        <v>Vine Crops (e.g., tomatoes, peppers, cucumbers)</v>
      </c>
      <c r="B119" s="2734"/>
      <c r="C119" s="2734"/>
      <c r="D119" s="2734"/>
      <c r="E119" s="2734"/>
      <c r="F119" s="2734"/>
      <c r="G119" s="2734"/>
      <c r="H119" s="2734"/>
      <c r="I119" s="2735">
        <f>ROUND((F115*((F109/(I106))-F112)*Q43*V106)/1000,3)</f>
        <v>8.282</v>
      </c>
      <c r="J119" s="2736"/>
      <c r="K119" s="2736"/>
      <c r="L119" s="2736"/>
      <c r="M119" s="2736"/>
      <c r="N119" s="2736"/>
      <c r="O119" s="2736"/>
      <c r="P119" s="2737"/>
      <c r="Q119" s="2738">
        <f>ROUND((F115*((F109/(I106))-F112)*P106*AB106)/1000,2)</f>
        <v>11678.12</v>
      </c>
      <c r="R119" s="2738"/>
      <c r="S119" s="2738"/>
      <c r="T119" s="2738"/>
      <c r="U119" s="2738"/>
      <c r="V119" s="2738"/>
      <c r="W119" s="2738"/>
      <c r="X119" s="2738"/>
      <c r="Y119" s="2739">
        <f>ROUND(Q119*$Q$49,2)</f>
        <v>116781.2</v>
      </c>
      <c r="Z119" s="2739"/>
      <c r="AA119" s="2739"/>
      <c r="AB119" s="2739"/>
      <c r="AC119" s="2739"/>
      <c r="AD119" s="2739"/>
      <c r="AE119" s="2739"/>
      <c r="AF119" s="2740"/>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row>
    <row r="120" spans="1:83" ht="15" customHeight="1" x14ac:dyDescent="0.2">
      <c r="A120" s="416" t="s">
        <v>5552</v>
      </c>
      <c r="B120" s="980"/>
      <c r="C120" s="980"/>
      <c r="D120" s="980"/>
      <c r="E120" s="980"/>
      <c r="F120" s="980"/>
      <c r="G120" s="980"/>
      <c r="H120" s="980"/>
      <c r="I120" s="980"/>
      <c r="J120" s="980"/>
      <c r="K120" s="980"/>
      <c r="L120" s="980"/>
      <c r="M120" s="980"/>
      <c r="N120" s="980"/>
      <c r="O120" s="980"/>
      <c r="P120" s="980"/>
      <c r="Q120" s="980"/>
      <c r="R120" s="980"/>
      <c r="S120" s="980"/>
      <c r="T120" s="980"/>
      <c r="U120" s="980"/>
      <c r="V120" s="980"/>
      <c r="W120" s="980"/>
      <c r="X120" s="980"/>
      <c r="Y120" s="980"/>
      <c r="Z120" s="980"/>
      <c r="AA120" s="980"/>
      <c r="AB120" s="980"/>
      <c r="AC120" s="980"/>
      <c r="AD120" s="980"/>
      <c r="AE120" s="980"/>
      <c r="AF120" s="980"/>
    </row>
    <row r="122" spans="1:83" x14ac:dyDescent="0.25">
      <c r="A122" s="1148" t="s">
        <v>1753</v>
      </c>
      <c r="B122" s="1149"/>
      <c r="C122" s="1149"/>
      <c r="D122" s="1149"/>
      <c r="E122" s="1149"/>
      <c r="F122" s="1149"/>
      <c r="G122" s="1149"/>
      <c r="H122" s="1149"/>
      <c r="I122" s="1149"/>
      <c r="J122" s="1149"/>
      <c r="K122" s="1149"/>
      <c r="L122" s="1149"/>
      <c r="M122" s="1149"/>
      <c r="N122" s="1149"/>
      <c r="O122" s="1149"/>
      <c r="P122" s="1149"/>
      <c r="Q122" s="1149"/>
      <c r="R122" s="1149"/>
      <c r="S122" s="1149"/>
      <c r="T122" s="1149"/>
      <c r="U122" s="1149"/>
      <c r="V122" s="1149"/>
      <c r="W122" s="1149"/>
      <c r="X122" s="1149"/>
      <c r="Y122" s="1149"/>
      <c r="Z122" s="1149"/>
      <c r="AA122" s="1149"/>
      <c r="AB122" s="1149"/>
      <c r="AC122" s="1149"/>
      <c r="AD122" s="1149"/>
      <c r="AE122" s="1149"/>
      <c r="AF122" s="1150"/>
    </row>
    <row r="124" spans="1:83" ht="15" customHeight="1" x14ac:dyDescent="0.25">
      <c r="A124" s="986" t="s">
        <v>1013</v>
      </c>
      <c r="B124" s="1142" t="s">
        <v>6771</v>
      </c>
      <c r="C124" s="1142"/>
      <c r="D124" s="1142"/>
      <c r="E124" s="1142"/>
      <c r="F124" s="1142"/>
      <c r="G124" s="1142"/>
      <c r="H124" s="1142"/>
      <c r="I124" s="1142"/>
      <c r="J124" s="1142"/>
      <c r="K124" s="1142"/>
      <c r="L124" s="1142"/>
      <c r="M124" s="1142"/>
      <c r="N124" s="1142"/>
      <c r="O124" s="1142"/>
      <c r="P124" s="1142"/>
      <c r="Q124" s="1142"/>
      <c r="R124" s="1142"/>
      <c r="S124" s="1142"/>
      <c r="T124" s="1142"/>
      <c r="U124" s="1142"/>
      <c r="V124" s="1142"/>
      <c r="W124" s="1142"/>
      <c r="X124" s="1142"/>
      <c r="Y124" s="1142"/>
      <c r="Z124" s="1142"/>
      <c r="AA124" s="1142"/>
      <c r="AB124" s="1142"/>
      <c r="AC124" s="1142"/>
      <c r="AD124" s="1142"/>
      <c r="AE124" s="1142"/>
      <c r="AF124" s="1142"/>
    </row>
    <row r="125" spans="1:83" ht="62.25" customHeight="1" x14ac:dyDescent="0.25">
      <c r="A125" s="986" t="s">
        <v>1013</v>
      </c>
      <c r="B125" s="1168" t="s">
        <v>6770</v>
      </c>
      <c r="C125" s="1168"/>
      <c r="D125" s="1168"/>
      <c r="E125" s="1168"/>
      <c r="F125" s="1168"/>
      <c r="G125" s="1168"/>
      <c r="H125" s="1168"/>
      <c r="I125" s="1168"/>
      <c r="J125" s="1168"/>
      <c r="K125" s="1168"/>
      <c r="L125" s="1168"/>
      <c r="M125" s="1168"/>
      <c r="N125" s="1168"/>
      <c r="O125" s="1168"/>
      <c r="P125" s="1168"/>
      <c r="Q125" s="1168"/>
      <c r="R125" s="1168"/>
      <c r="S125" s="1168"/>
      <c r="T125" s="1168"/>
      <c r="U125" s="1168"/>
      <c r="V125" s="1168"/>
      <c r="W125" s="1168"/>
      <c r="X125" s="1168"/>
      <c r="Y125" s="1168"/>
      <c r="Z125" s="1168"/>
      <c r="AA125" s="1168"/>
      <c r="AB125" s="1168"/>
      <c r="AC125" s="1168"/>
      <c r="AD125" s="1168"/>
      <c r="AE125" s="1168"/>
      <c r="AF125" s="1168"/>
    </row>
    <row r="126" spans="1:83" ht="64.5" customHeight="1" x14ac:dyDescent="0.25">
      <c r="A126" s="986" t="s">
        <v>1013</v>
      </c>
      <c r="B126" s="1168" t="s">
        <v>6769</v>
      </c>
      <c r="C126" s="1168"/>
      <c r="D126" s="1168"/>
      <c r="E126" s="1168"/>
      <c r="F126" s="1168"/>
      <c r="G126" s="1168"/>
      <c r="H126" s="1168"/>
      <c r="I126" s="1168"/>
      <c r="J126" s="1168"/>
      <c r="K126" s="1168"/>
      <c r="L126" s="1168"/>
      <c r="M126" s="1168"/>
      <c r="N126" s="1168"/>
      <c r="O126" s="1168"/>
      <c r="P126" s="1168"/>
      <c r="Q126" s="1168"/>
      <c r="R126" s="1168"/>
      <c r="S126" s="1168"/>
      <c r="T126" s="1168"/>
      <c r="U126" s="1168"/>
      <c r="V126" s="1168"/>
      <c r="W126" s="1168"/>
      <c r="X126" s="1168"/>
      <c r="Y126" s="1168"/>
      <c r="Z126" s="1168"/>
      <c r="AA126" s="1168"/>
      <c r="AB126" s="1168"/>
      <c r="AC126" s="1168"/>
      <c r="AD126" s="1168"/>
      <c r="AE126" s="1168"/>
      <c r="AF126" s="1168"/>
    </row>
    <row r="127" spans="1:83" ht="48.75" customHeight="1" x14ac:dyDescent="0.25">
      <c r="A127" s="986" t="s">
        <v>1013</v>
      </c>
      <c r="B127" s="1168" t="s">
        <v>6768</v>
      </c>
      <c r="C127" s="1168"/>
      <c r="D127" s="1168"/>
      <c r="E127" s="1168"/>
      <c r="F127" s="1168"/>
      <c r="G127" s="1168"/>
      <c r="H127" s="1168"/>
      <c r="I127" s="1168"/>
      <c r="J127" s="1168"/>
      <c r="K127" s="1168"/>
      <c r="L127" s="1168"/>
      <c r="M127" s="1168"/>
      <c r="N127" s="1168"/>
      <c r="O127" s="1168"/>
      <c r="P127" s="1168"/>
      <c r="Q127" s="1168"/>
      <c r="R127" s="1168"/>
      <c r="S127" s="1168"/>
      <c r="T127" s="1168"/>
      <c r="U127" s="1168"/>
      <c r="V127" s="1168"/>
      <c r="W127" s="1168"/>
      <c r="X127" s="1168"/>
      <c r="Y127" s="1168"/>
      <c r="Z127" s="1168"/>
      <c r="AA127" s="1168"/>
      <c r="AB127" s="1168"/>
      <c r="AC127" s="1168"/>
      <c r="AD127" s="1168"/>
      <c r="AE127" s="1168"/>
      <c r="AF127" s="1168"/>
    </row>
    <row r="128" spans="1:83" ht="63.75" customHeight="1" x14ac:dyDescent="0.25">
      <c r="A128" s="986" t="s">
        <v>1013</v>
      </c>
      <c r="B128" s="1142" t="s">
        <v>6767</v>
      </c>
      <c r="C128" s="1142"/>
      <c r="D128" s="1142"/>
      <c r="E128" s="1142"/>
      <c r="F128" s="1142"/>
      <c r="G128" s="1142"/>
      <c r="H128" s="1142"/>
      <c r="I128" s="1142"/>
      <c r="J128" s="1142"/>
      <c r="K128" s="1142"/>
      <c r="L128" s="1142"/>
      <c r="M128" s="1142"/>
      <c r="N128" s="1142"/>
      <c r="O128" s="1142"/>
      <c r="P128" s="1142"/>
      <c r="Q128" s="1142"/>
      <c r="R128" s="1142"/>
      <c r="S128" s="1142"/>
      <c r="T128" s="1142"/>
      <c r="U128" s="1142"/>
      <c r="V128" s="1142"/>
      <c r="W128" s="1142"/>
      <c r="X128" s="1142"/>
      <c r="Y128" s="1142"/>
      <c r="Z128" s="1142"/>
      <c r="AA128" s="1142"/>
      <c r="AB128" s="1142"/>
      <c r="AC128" s="1142"/>
      <c r="AD128" s="1142"/>
      <c r="AE128" s="1142"/>
      <c r="AF128" s="1142"/>
    </row>
    <row r="129" spans="1:32" ht="44.25" customHeight="1" x14ac:dyDescent="0.25">
      <c r="A129" s="986" t="s">
        <v>1013</v>
      </c>
      <c r="B129" s="1168" t="s">
        <v>6766</v>
      </c>
      <c r="C129" s="1168"/>
      <c r="D129" s="1168"/>
      <c r="E129" s="1168"/>
      <c r="F129" s="1168"/>
      <c r="G129" s="1168"/>
      <c r="H129" s="1168"/>
      <c r="I129" s="1168"/>
      <c r="J129" s="1168"/>
      <c r="K129" s="1168"/>
      <c r="L129" s="1168"/>
      <c r="M129" s="1168"/>
      <c r="N129" s="1168"/>
      <c r="O129" s="1168"/>
      <c r="P129" s="1168"/>
      <c r="Q129" s="1168"/>
      <c r="R129" s="1168"/>
      <c r="S129" s="1168"/>
      <c r="T129" s="1168"/>
      <c r="U129" s="1168"/>
      <c r="V129" s="1168"/>
      <c r="W129" s="1168"/>
      <c r="X129" s="1168"/>
      <c r="Y129" s="1168"/>
      <c r="Z129" s="1168"/>
      <c r="AA129" s="1168"/>
      <c r="AB129" s="1168"/>
      <c r="AC129" s="1168"/>
      <c r="AD129" s="1168"/>
      <c r="AE129" s="1168"/>
      <c r="AF129" s="1168"/>
    </row>
    <row r="130" spans="1:32" ht="48" customHeight="1" x14ac:dyDescent="0.25">
      <c r="A130" s="986" t="s">
        <v>1013</v>
      </c>
      <c r="B130" s="1168" t="s">
        <v>6765</v>
      </c>
      <c r="C130" s="1168"/>
      <c r="D130" s="1168"/>
      <c r="E130" s="1168"/>
      <c r="F130" s="1168"/>
      <c r="G130" s="1168"/>
      <c r="H130" s="1168"/>
      <c r="I130" s="1168"/>
      <c r="J130" s="1168"/>
      <c r="K130" s="1168"/>
      <c r="L130" s="1168"/>
      <c r="M130" s="1168"/>
      <c r="N130" s="1168"/>
      <c r="O130" s="1168"/>
      <c r="P130" s="1168"/>
      <c r="Q130" s="1168"/>
      <c r="R130" s="1168"/>
      <c r="S130" s="1168"/>
      <c r="T130" s="1168"/>
      <c r="U130" s="1168"/>
      <c r="V130" s="1168"/>
      <c r="W130" s="1168"/>
      <c r="X130" s="1168"/>
      <c r="Y130" s="1168"/>
      <c r="Z130" s="1168"/>
      <c r="AA130" s="1168"/>
      <c r="AB130" s="1168"/>
      <c r="AC130" s="1168"/>
      <c r="AD130" s="1168"/>
      <c r="AE130" s="1168"/>
      <c r="AF130" s="1168"/>
    </row>
    <row r="131" spans="1:32" ht="48" customHeight="1" x14ac:dyDescent="0.25">
      <c r="A131" s="986" t="s">
        <v>1013</v>
      </c>
      <c r="B131" s="1168" t="s">
        <v>6764</v>
      </c>
      <c r="C131" s="1168"/>
      <c r="D131" s="1168"/>
      <c r="E131" s="1168"/>
      <c r="F131" s="1168"/>
      <c r="G131" s="1168"/>
      <c r="H131" s="1168"/>
      <c r="I131" s="1168"/>
      <c r="J131" s="1168"/>
      <c r="K131" s="1168"/>
      <c r="L131" s="1168"/>
      <c r="M131" s="1168"/>
      <c r="N131" s="1168"/>
      <c r="O131" s="1168"/>
      <c r="P131" s="1168"/>
      <c r="Q131" s="1168"/>
      <c r="R131" s="1168"/>
      <c r="S131" s="1168"/>
      <c r="T131" s="1168"/>
      <c r="U131" s="1168"/>
      <c r="V131" s="1168"/>
      <c r="W131" s="1168"/>
      <c r="X131" s="1168"/>
      <c r="Y131" s="1168"/>
      <c r="Z131" s="1168"/>
      <c r="AA131" s="1168"/>
      <c r="AB131" s="1168"/>
      <c r="AC131" s="1168"/>
      <c r="AD131" s="1168"/>
      <c r="AE131" s="1168"/>
      <c r="AF131" s="1168"/>
    </row>
    <row r="132" spans="1:32" ht="35.25" customHeight="1" x14ac:dyDescent="0.25">
      <c r="A132" s="986" t="s">
        <v>1013</v>
      </c>
      <c r="B132" s="1168" t="s">
        <v>6763</v>
      </c>
      <c r="C132" s="1168"/>
      <c r="D132" s="1168"/>
      <c r="E132" s="1168"/>
      <c r="F132" s="1168"/>
      <c r="G132" s="1168"/>
      <c r="H132" s="1168"/>
      <c r="I132" s="1168"/>
      <c r="J132" s="1168"/>
      <c r="K132" s="1168"/>
      <c r="L132" s="1168"/>
      <c r="M132" s="1168"/>
      <c r="N132" s="1168"/>
      <c r="O132" s="1168"/>
      <c r="P132" s="1168"/>
      <c r="Q132" s="1168"/>
      <c r="R132" s="1168"/>
      <c r="S132" s="1168"/>
      <c r="T132" s="1168"/>
      <c r="U132" s="1168"/>
      <c r="V132" s="1168"/>
      <c r="W132" s="1168"/>
      <c r="X132" s="1168"/>
      <c r="Y132" s="1168"/>
      <c r="Z132" s="1168"/>
      <c r="AA132" s="1168"/>
      <c r="AB132" s="1168"/>
      <c r="AC132" s="1168"/>
      <c r="AD132" s="1168"/>
      <c r="AE132" s="1168"/>
      <c r="AF132" s="1168"/>
    </row>
  </sheetData>
  <sheetProtection algorithmName="SHA-512" hashValue="255RAnA1EK6ZVEUG+Z9A5ySG8a7/SNPJ6YFtKKGZ/RYC9fZmDnH1ZRFHepkwdV08nPjKbGsN7UzMrFe7hqbRfQ==" saltValue="mcBQgxdPWSfwGbb9QbR9PA==" spinCount="100000" sheet="1" objects="1" scenarios="1"/>
  <mergeCells count="186">
    <mergeCell ref="X109:Z109"/>
    <mergeCell ref="V106:X106"/>
    <mergeCell ref="AB106:AD106"/>
    <mergeCell ref="F104:Z104"/>
    <mergeCell ref="I106:K106"/>
    <mergeCell ref="P106:R106"/>
    <mergeCell ref="F115:H115"/>
    <mergeCell ref="A118:H118"/>
    <mergeCell ref="I118:P118"/>
    <mergeCell ref="Q118:X118"/>
    <mergeCell ref="Y118:AF118"/>
    <mergeCell ref="F109:J109"/>
    <mergeCell ref="Q109:S109"/>
    <mergeCell ref="A119:H119"/>
    <mergeCell ref="I119:P119"/>
    <mergeCell ref="Q119:X119"/>
    <mergeCell ref="Y119:AF119"/>
    <mergeCell ref="F112:J112"/>
    <mergeCell ref="Q112:S112"/>
    <mergeCell ref="X112:Z112"/>
    <mergeCell ref="A59:G59"/>
    <mergeCell ref="A51:AF51"/>
    <mergeCell ref="H62:M62"/>
    <mergeCell ref="A62:G62"/>
    <mergeCell ref="N58:Q58"/>
    <mergeCell ref="N59:Q59"/>
    <mergeCell ref="A52:AF52"/>
    <mergeCell ref="A93:AF93"/>
    <mergeCell ref="W78:AA78"/>
    <mergeCell ref="W79:AA79"/>
    <mergeCell ref="A77:G77"/>
    <mergeCell ref="M77:Q77"/>
    <mergeCell ref="R77:V77"/>
    <mergeCell ref="M78:Q78"/>
    <mergeCell ref="R78:V78"/>
    <mergeCell ref="A78:G78"/>
    <mergeCell ref="A76:G76"/>
    <mergeCell ref="A50:AF50"/>
    <mergeCell ref="A49:D49"/>
    <mergeCell ref="E49:P49"/>
    <mergeCell ref="Q49:T49"/>
    <mergeCell ref="A58:G58"/>
    <mergeCell ref="F98:Q98"/>
    <mergeCell ref="F101:H101"/>
    <mergeCell ref="X48:AF48"/>
    <mergeCell ref="H61:M61"/>
    <mergeCell ref="A60:G60"/>
    <mergeCell ref="A61:G61"/>
    <mergeCell ref="H59:M59"/>
    <mergeCell ref="AB77:AF77"/>
    <mergeCell ref="A66:V66"/>
    <mergeCell ref="A67:V67"/>
    <mergeCell ref="A68:V68"/>
    <mergeCell ref="A53:AF53"/>
    <mergeCell ref="H58:M58"/>
    <mergeCell ref="A54:AF54"/>
    <mergeCell ref="N60:Q60"/>
    <mergeCell ref="N61:Q61"/>
    <mergeCell ref="H60:M60"/>
    <mergeCell ref="A84:AF84"/>
    <mergeCell ref="A48:D48"/>
    <mergeCell ref="X43:AF43"/>
    <mergeCell ref="X47:AF47"/>
    <mergeCell ref="X49:AF49"/>
    <mergeCell ref="X45:AF45"/>
    <mergeCell ref="E46:P46"/>
    <mergeCell ref="Q46:T46"/>
    <mergeCell ref="U46:W46"/>
    <mergeCell ref="X40:AF40"/>
    <mergeCell ref="X41:AF41"/>
    <mergeCell ref="X42:AF42"/>
    <mergeCell ref="X44:AF44"/>
    <mergeCell ref="U49:W49"/>
    <mergeCell ref="X46:AF46"/>
    <mergeCell ref="E48:P48"/>
    <mergeCell ref="Q48:T48"/>
    <mergeCell ref="Q44:T44"/>
    <mergeCell ref="A45:D45"/>
    <mergeCell ref="E45:P45"/>
    <mergeCell ref="Q45:T45"/>
    <mergeCell ref="A40:D40"/>
    <mergeCell ref="U45:W45"/>
    <mergeCell ref="U43:W43"/>
    <mergeCell ref="U44:W44"/>
    <mergeCell ref="U48:W48"/>
    <mergeCell ref="U47:W47"/>
    <mergeCell ref="A46:D46"/>
    <mergeCell ref="E40:P40"/>
    <mergeCell ref="Q40:T40"/>
    <mergeCell ref="A47:D47"/>
    <mergeCell ref="E47:P47"/>
    <mergeCell ref="Q47:T47"/>
    <mergeCell ref="A43:D43"/>
    <mergeCell ref="Q41:T41"/>
    <mergeCell ref="A42:D42"/>
    <mergeCell ref="E42:P42"/>
    <mergeCell ref="Q42:T42"/>
    <mergeCell ref="E43:P43"/>
    <mergeCell ref="Q43:T43"/>
    <mergeCell ref="A44:D44"/>
    <mergeCell ref="E44:P44"/>
    <mergeCell ref="W73:AF73"/>
    <mergeCell ref="W74:AA74"/>
    <mergeCell ref="AB74:AF74"/>
    <mergeCell ref="A1:AF1"/>
    <mergeCell ref="A3:AF3"/>
    <mergeCell ref="B5:AF5"/>
    <mergeCell ref="A7:AF7"/>
    <mergeCell ref="B9:I9"/>
    <mergeCell ref="B10:AF10"/>
    <mergeCell ref="B18:I18"/>
    <mergeCell ref="B19:AF19"/>
    <mergeCell ref="B21:AF21"/>
    <mergeCell ref="B12:I12"/>
    <mergeCell ref="B13:AF13"/>
    <mergeCell ref="B15:I15"/>
    <mergeCell ref="B16:AF16"/>
    <mergeCell ref="A23:AF23"/>
    <mergeCell ref="A39:AF39"/>
    <mergeCell ref="H73:L74"/>
    <mergeCell ref="U40:W40"/>
    <mergeCell ref="U41:W41"/>
    <mergeCell ref="U42:W42"/>
    <mergeCell ref="A41:D41"/>
    <mergeCell ref="E41:P41"/>
    <mergeCell ref="N62:Q62"/>
    <mergeCell ref="A69:V69"/>
    <mergeCell ref="A73:G74"/>
    <mergeCell ref="M74:Q74"/>
    <mergeCell ref="R74:V74"/>
    <mergeCell ref="M73:V73"/>
    <mergeCell ref="A64:V64"/>
    <mergeCell ref="N63:Q63"/>
    <mergeCell ref="R58:V58"/>
    <mergeCell ref="R59:V59"/>
    <mergeCell ref="R60:V60"/>
    <mergeCell ref="R61:V61"/>
    <mergeCell ref="R62:V62"/>
    <mergeCell ref="R63:V63"/>
    <mergeCell ref="H63:M63"/>
    <mergeCell ref="A63:G63"/>
    <mergeCell ref="A65:V65"/>
    <mergeCell ref="A89:G89"/>
    <mergeCell ref="H89:M89"/>
    <mergeCell ref="W77:AA77"/>
    <mergeCell ref="W75:AA75"/>
    <mergeCell ref="AB75:AF75"/>
    <mergeCell ref="M76:Q76"/>
    <mergeCell ref="M75:Q75"/>
    <mergeCell ref="R75:V75"/>
    <mergeCell ref="A75:G75"/>
    <mergeCell ref="H79:L79"/>
    <mergeCell ref="A81:AF81"/>
    <mergeCell ref="A83:AF83"/>
    <mergeCell ref="A82:AF82"/>
    <mergeCell ref="A79:G79"/>
    <mergeCell ref="M79:Q79"/>
    <mergeCell ref="A80:AF80"/>
    <mergeCell ref="H75:L75"/>
    <mergeCell ref="H76:L76"/>
    <mergeCell ref="H77:L77"/>
    <mergeCell ref="H78:L78"/>
    <mergeCell ref="B132:AF132"/>
    <mergeCell ref="W76:AA76"/>
    <mergeCell ref="AB76:AF76"/>
    <mergeCell ref="AB78:AF78"/>
    <mergeCell ref="AB79:AF79"/>
    <mergeCell ref="R76:V76"/>
    <mergeCell ref="R79:V79"/>
    <mergeCell ref="A88:G88"/>
    <mergeCell ref="B124:AF124"/>
    <mergeCell ref="B125:AF125"/>
    <mergeCell ref="B126:AF126"/>
    <mergeCell ref="B127:AF127"/>
    <mergeCell ref="B128:AF128"/>
    <mergeCell ref="B129:AF129"/>
    <mergeCell ref="A122:AF122"/>
    <mergeCell ref="A91:S91"/>
    <mergeCell ref="N88:S88"/>
    <mergeCell ref="N89:S89"/>
    <mergeCell ref="A90:G90"/>
    <mergeCell ref="H90:M90"/>
    <mergeCell ref="N90:S90"/>
    <mergeCell ref="B131:AF131"/>
    <mergeCell ref="B130:AF130"/>
    <mergeCell ref="H88:M88"/>
  </mergeCells>
  <dataValidations count="3">
    <dataValidation type="list" allowBlank="1" showInputMessage="1" showErrorMessage="1" sqref="F98:Q98" xr:uid="{238F9709-AA4B-4F3C-ACAF-2671EC289CE0}">
      <formula1>"Indoor Grow Facility, Greenhouse"</formula1>
    </dataValidation>
    <dataValidation type="list" allowBlank="1" showInputMessage="1" showErrorMessage="1" sqref="F101:H101" xr:uid="{8E024B63-30E5-4857-8968-5DF45A742C16}">
      <formula1>"Yes, No"</formula1>
    </dataValidation>
    <dataValidation type="list" allowBlank="1" showInputMessage="1" showErrorMessage="1" sqref="F104:Z104" xr:uid="{21311CDD-5472-415E-BF48-C2F6DE926CE3}">
      <formula1>$A$75:$A$79</formula1>
    </dataValidation>
  </dataValidations>
  <hyperlinks>
    <hyperlink ref="A2" location="TOC!A1" display="Return to TOC" xr:uid="{85FDAC78-54F8-4019-AA6B-7D99081DBA71}"/>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7:AF36" numberStoredAsText="1"/>
  </ignoredError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4">
    <tabColor theme="4" tint="0.39997558519241921"/>
    <pageSetUpPr autoPageBreaks="0"/>
  </sheetPr>
  <dimension ref="A1:CT144"/>
  <sheetViews>
    <sheetView workbookViewId="0">
      <selection sqref="A1:AF1"/>
    </sheetView>
  </sheetViews>
  <sheetFormatPr defaultColWidth="2.7109375" defaultRowHeight="15" x14ac:dyDescent="0.25"/>
  <sheetData>
    <row r="1" spans="1:38" ht="18.75" x14ac:dyDescent="0.25">
      <c r="A1" s="1464" t="s">
        <v>1315</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L1" s="892"/>
    </row>
    <row r="2" spans="1:38" s="1" customFormat="1"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8"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c r="AL3" s="839"/>
    </row>
    <row r="4" spans="1:38"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L4" s="839"/>
    </row>
    <row r="5" spans="1:38" ht="34.5" customHeight="1" x14ac:dyDescent="0.25">
      <c r="A5" s="647"/>
      <c r="B5" s="1173" t="s">
        <v>6700</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L5" s="839"/>
    </row>
    <row r="6" spans="1:38" x14ac:dyDescent="0.25">
      <c r="A6" s="262"/>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L6" s="839"/>
    </row>
    <row r="7" spans="1:38"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c r="AL7" s="839"/>
    </row>
    <row r="8" spans="1:38" x14ac:dyDescent="0.25">
      <c r="A8" s="19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L8" s="839"/>
    </row>
    <row r="9" spans="1:38"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c r="AL9" s="839"/>
    </row>
    <row r="10" spans="1:38" ht="78" customHeight="1" x14ac:dyDescent="0.25">
      <c r="A10" s="263"/>
      <c r="B10" s="1173" t="s">
        <v>3861</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L10" s="839"/>
    </row>
    <row r="11" spans="1:38"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L11" s="839"/>
    </row>
    <row r="12" spans="1:38"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L12" s="839"/>
    </row>
    <row r="13" spans="1:38" x14ac:dyDescent="0.25">
      <c r="A13" s="262"/>
      <c r="B13" s="1173" t="s">
        <v>3862</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L13" s="839"/>
    </row>
    <row r="14" spans="1:38" x14ac:dyDescent="0.25">
      <c r="A14" s="262"/>
      <c r="B14" s="517" t="s">
        <v>1013</v>
      </c>
      <c r="C14" s="1173" t="s">
        <v>3863</v>
      </c>
      <c r="D14" s="1173"/>
      <c r="E14" s="1173"/>
      <c r="F14" s="1173"/>
      <c r="G14" s="1173"/>
      <c r="H14" s="1173"/>
      <c r="I14" s="1173"/>
      <c r="J14" s="1173"/>
      <c r="K14" s="1173"/>
      <c r="L14" s="1173"/>
      <c r="M14" s="1173"/>
      <c r="N14" s="1173"/>
      <c r="O14" s="1173"/>
      <c r="P14" s="1173"/>
      <c r="Q14" s="1173"/>
      <c r="R14" s="1173"/>
      <c r="S14" s="1173"/>
      <c r="T14" s="1173"/>
      <c r="U14" s="1173"/>
      <c r="V14" s="1173"/>
      <c r="W14" s="1173"/>
      <c r="X14" s="1173"/>
      <c r="Y14" s="1173"/>
      <c r="Z14" s="1173"/>
      <c r="AA14" s="1173"/>
      <c r="AB14" s="1173"/>
      <c r="AC14" s="1173"/>
      <c r="AD14" s="1173"/>
      <c r="AE14" s="1173"/>
      <c r="AF14" s="1173"/>
      <c r="AL14" s="839"/>
    </row>
    <row r="15" spans="1:38" ht="48" customHeight="1" x14ac:dyDescent="0.25">
      <c r="A15" s="262"/>
      <c r="B15" s="517" t="s">
        <v>1013</v>
      </c>
      <c r="C15" s="1173" t="s">
        <v>6701</v>
      </c>
      <c r="D15" s="1173"/>
      <c r="E15" s="1173"/>
      <c r="F15" s="1173"/>
      <c r="G15" s="1173"/>
      <c r="H15" s="1173"/>
      <c r="I15" s="1173"/>
      <c r="J15" s="1173"/>
      <c r="K15" s="1173"/>
      <c r="L15" s="1173"/>
      <c r="M15" s="1173"/>
      <c r="N15" s="1173"/>
      <c r="O15" s="1173"/>
      <c r="P15" s="1173"/>
      <c r="Q15" s="1173"/>
      <c r="R15" s="1173"/>
      <c r="S15" s="1173"/>
      <c r="T15" s="1173"/>
      <c r="U15" s="1173"/>
      <c r="V15" s="1173"/>
      <c r="W15" s="1173"/>
      <c r="X15" s="1173"/>
      <c r="Y15" s="1173"/>
      <c r="Z15" s="1173"/>
      <c r="AA15" s="1173"/>
      <c r="AB15" s="1173"/>
      <c r="AC15" s="1173"/>
      <c r="AD15" s="1173"/>
      <c r="AE15" s="1173"/>
      <c r="AF15" s="1173"/>
      <c r="AL15" s="839"/>
    </row>
    <row r="16" spans="1:38" ht="81.75" customHeight="1" x14ac:dyDescent="0.25">
      <c r="A16" s="262"/>
      <c r="B16" s="517" t="s">
        <v>1013</v>
      </c>
      <c r="C16" s="1173" t="s">
        <v>6702</v>
      </c>
      <c r="D16" s="1173"/>
      <c r="E16" s="1173"/>
      <c r="F16" s="1173"/>
      <c r="G16" s="1173"/>
      <c r="H16" s="1173"/>
      <c r="I16" s="1173"/>
      <c r="J16" s="1173"/>
      <c r="K16" s="1173"/>
      <c r="L16" s="1173"/>
      <c r="M16" s="1173"/>
      <c r="N16" s="1173"/>
      <c r="O16" s="1173"/>
      <c r="P16" s="1173"/>
      <c r="Q16" s="1173"/>
      <c r="R16" s="1173"/>
      <c r="S16" s="1173"/>
      <c r="T16" s="1173"/>
      <c r="U16" s="1173"/>
      <c r="V16" s="1173"/>
      <c r="W16" s="1173"/>
      <c r="X16" s="1173"/>
      <c r="Y16" s="1173"/>
      <c r="Z16" s="1173"/>
      <c r="AA16" s="1173"/>
      <c r="AB16" s="1173"/>
      <c r="AC16" s="1173"/>
      <c r="AD16" s="1173"/>
      <c r="AE16" s="1173"/>
      <c r="AF16" s="1173"/>
      <c r="AL16" s="839"/>
    </row>
    <row r="17" spans="1:38" ht="31.5" customHeight="1" x14ac:dyDescent="0.25">
      <c r="A17" s="262"/>
      <c r="B17" s="1173" t="s">
        <v>3864</v>
      </c>
      <c r="C17" s="1173"/>
      <c r="D17" s="1173"/>
      <c r="E17" s="1173"/>
      <c r="F17" s="1173"/>
      <c r="G17" s="1173"/>
      <c r="H17" s="1173"/>
      <c r="I17" s="1173"/>
      <c r="J17" s="1173"/>
      <c r="K17" s="1173"/>
      <c r="L17" s="1173"/>
      <c r="M17" s="1173"/>
      <c r="N17" s="1173"/>
      <c r="O17" s="1173"/>
      <c r="P17" s="1173"/>
      <c r="Q17" s="1173"/>
      <c r="R17" s="1173"/>
      <c r="S17" s="1173"/>
      <c r="T17" s="1173"/>
      <c r="U17" s="1173"/>
      <c r="V17" s="1173"/>
      <c r="W17" s="1173"/>
      <c r="X17" s="1173"/>
      <c r="Y17" s="1173"/>
      <c r="Z17" s="1173"/>
      <c r="AA17" s="1173"/>
      <c r="AB17" s="1173"/>
      <c r="AC17" s="1173"/>
      <c r="AD17" s="1173"/>
      <c r="AE17" s="1173"/>
      <c r="AF17" s="1173"/>
      <c r="AL17" s="839"/>
    </row>
    <row r="18" spans="1:38" x14ac:dyDescent="0.25">
      <c r="A18" s="262"/>
      <c r="B18" s="677"/>
      <c r="C18" s="647"/>
      <c r="D18" s="647"/>
      <c r="E18" s="647"/>
      <c r="F18" s="647"/>
      <c r="G18" s="647"/>
      <c r="H18" s="647"/>
      <c r="I18" s="647"/>
      <c r="J18" s="647"/>
      <c r="K18" s="647"/>
      <c r="L18" s="647"/>
      <c r="M18" s="647"/>
      <c r="N18" s="647"/>
      <c r="O18" s="647"/>
      <c r="P18" s="647"/>
      <c r="Q18" s="647"/>
      <c r="R18" s="647"/>
      <c r="S18" s="647"/>
      <c r="T18" s="647"/>
      <c r="U18" s="647"/>
      <c r="V18" s="647"/>
      <c r="W18" s="647"/>
      <c r="X18" s="647"/>
      <c r="Y18" s="647"/>
      <c r="Z18" s="647"/>
      <c r="AA18" s="647"/>
      <c r="AB18" s="647"/>
      <c r="AC18" s="647"/>
      <c r="AD18" s="647"/>
      <c r="AE18" s="647"/>
      <c r="AF18" s="647"/>
      <c r="AL18" s="839"/>
    </row>
    <row r="19" spans="1:38" ht="50.25" customHeight="1" x14ac:dyDescent="0.25">
      <c r="A19" s="262"/>
      <c r="B19" s="1173" t="s">
        <v>3865</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L19" s="839"/>
    </row>
    <row r="20" spans="1:38" x14ac:dyDescent="0.25">
      <c r="A20" s="262"/>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L20" s="839"/>
    </row>
    <row r="21" spans="1:38" ht="54.75" customHeight="1" x14ac:dyDescent="0.25">
      <c r="A21" s="262"/>
      <c r="B21" s="1173" t="s">
        <v>3918</v>
      </c>
      <c r="C21" s="1173"/>
      <c r="D21" s="1173"/>
      <c r="E21" s="1173"/>
      <c r="F21" s="1173"/>
      <c r="G21" s="1173"/>
      <c r="H21" s="1173"/>
      <c r="I21" s="1173"/>
      <c r="J21" s="1173"/>
      <c r="K21" s="1173"/>
      <c r="L21" s="1173"/>
      <c r="M21" s="1173"/>
      <c r="N21" s="1173"/>
      <c r="O21" s="1173"/>
      <c r="P21" s="1173"/>
      <c r="Q21" s="1173"/>
      <c r="R21" s="1173"/>
      <c r="S21" s="1173"/>
      <c r="T21" s="1173"/>
      <c r="U21" s="1173"/>
      <c r="V21" s="1173"/>
      <c r="W21" s="1173"/>
      <c r="X21" s="1173"/>
      <c r="Y21" s="1173"/>
      <c r="Z21" s="1173"/>
      <c r="AA21" s="1173"/>
      <c r="AB21" s="1173"/>
      <c r="AC21" s="1173"/>
      <c r="AD21" s="1173"/>
      <c r="AE21" s="1173"/>
      <c r="AF21" s="1173"/>
      <c r="AL21" s="839"/>
    </row>
    <row r="22" spans="1:38" x14ac:dyDescent="0.25">
      <c r="A22" s="262"/>
      <c r="B22" s="647"/>
      <c r="C22" s="647"/>
      <c r="D22" s="647"/>
      <c r="E22" s="647"/>
      <c r="F22" s="647"/>
      <c r="G22" s="647"/>
      <c r="H22" s="647"/>
      <c r="I22" s="647"/>
      <c r="J22" s="647"/>
      <c r="K22" s="647"/>
      <c r="L22" s="647"/>
      <c r="M22" s="647"/>
      <c r="N22" s="647"/>
      <c r="O22" s="647"/>
      <c r="P22" s="647"/>
      <c r="Q22" s="647"/>
      <c r="R22" s="647"/>
      <c r="S22" s="647"/>
      <c r="T22" s="647"/>
      <c r="U22" s="647"/>
      <c r="V22" s="647"/>
      <c r="W22" s="647"/>
      <c r="X22" s="647"/>
      <c r="Y22" s="647"/>
      <c r="Z22" s="647"/>
      <c r="AA22" s="647"/>
      <c r="AB22" s="647"/>
      <c r="AC22" s="647"/>
      <c r="AD22" s="647"/>
      <c r="AE22" s="647"/>
      <c r="AF22" s="647"/>
      <c r="AL22" s="839"/>
    </row>
    <row r="23" spans="1:38" ht="82.5" customHeight="1" x14ac:dyDescent="0.25">
      <c r="A23" s="262"/>
      <c r="B23" s="1173" t="s">
        <v>3919</v>
      </c>
      <c r="C23" s="1173"/>
      <c r="D23" s="1173"/>
      <c r="E23" s="1173"/>
      <c r="F23" s="1173"/>
      <c r="G23" s="1173"/>
      <c r="H23" s="1173"/>
      <c r="I23" s="1173"/>
      <c r="J23" s="1173"/>
      <c r="K23" s="1173"/>
      <c r="L23" s="1173"/>
      <c r="M23" s="1173"/>
      <c r="N23" s="1173"/>
      <c r="O23" s="1173"/>
      <c r="P23" s="1173"/>
      <c r="Q23" s="1173"/>
      <c r="R23" s="1173"/>
      <c r="S23" s="1173"/>
      <c r="T23" s="1173"/>
      <c r="U23" s="1173"/>
      <c r="V23" s="1173"/>
      <c r="W23" s="1173"/>
      <c r="X23" s="1173"/>
      <c r="Y23" s="1173"/>
      <c r="Z23" s="1173"/>
      <c r="AA23" s="1173"/>
      <c r="AB23" s="1173"/>
      <c r="AC23" s="1173"/>
      <c r="AD23" s="1173"/>
      <c r="AE23" s="1173"/>
      <c r="AF23" s="1173"/>
      <c r="AL23" s="839"/>
    </row>
    <row r="24" spans="1:38" x14ac:dyDescent="0.25">
      <c r="A24" s="262"/>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L24" s="839"/>
    </row>
    <row r="25" spans="1:38" x14ac:dyDescent="0.25">
      <c r="A25" s="262"/>
      <c r="B25" s="1845" t="s">
        <v>12</v>
      </c>
      <c r="C25" s="1845"/>
      <c r="D25" s="1845"/>
      <c r="E25" s="1845"/>
      <c r="F25" s="1845"/>
      <c r="G25" s="1845"/>
      <c r="H25" s="1845"/>
      <c r="I25" s="1845"/>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L25" s="839"/>
    </row>
    <row r="26" spans="1:38" x14ac:dyDescent="0.25">
      <c r="A26" s="262"/>
      <c r="B26" s="1703" t="s">
        <v>3866</v>
      </c>
      <c r="C26" s="1703"/>
      <c r="D26" s="1703"/>
      <c r="E26" s="1703"/>
      <c r="F26" s="1703"/>
      <c r="G26" s="1703"/>
      <c r="H26" s="1703"/>
      <c r="I26" s="1703"/>
      <c r="J26" s="1703"/>
      <c r="K26" s="1703"/>
      <c r="L26" s="1703"/>
      <c r="M26" s="1703"/>
      <c r="N26" s="1703"/>
      <c r="O26" s="1703"/>
      <c r="P26" s="1703"/>
      <c r="Q26" s="1703"/>
      <c r="R26" s="1703"/>
      <c r="S26" s="1703"/>
      <c r="T26" s="1703"/>
      <c r="U26" s="1703"/>
      <c r="V26" s="1703"/>
      <c r="W26" s="1703"/>
      <c r="X26" s="1703"/>
      <c r="Y26" s="1703"/>
      <c r="Z26" s="1703"/>
      <c r="AA26" s="1703"/>
      <c r="AB26" s="1703"/>
      <c r="AC26" s="1703"/>
      <c r="AD26" s="1703"/>
      <c r="AE26" s="1703"/>
      <c r="AF26" s="1703"/>
      <c r="AL26" s="839"/>
    </row>
    <row r="27" spans="1:38" x14ac:dyDescent="0.25">
      <c r="A27" s="262"/>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L27" s="839"/>
    </row>
    <row r="28" spans="1:38" x14ac:dyDescent="0.25">
      <c r="A28" s="262"/>
      <c r="B28" s="1845" t="s">
        <v>13</v>
      </c>
      <c r="C28" s="1845"/>
      <c r="D28" s="1845"/>
      <c r="E28" s="1845"/>
      <c r="F28" s="1845"/>
      <c r="G28" s="1845"/>
      <c r="H28" s="1845"/>
      <c r="I28" s="1845"/>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L28" s="839"/>
    </row>
    <row r="29" spans="1:38" ht="112.5" customHeight="1" x14ac:dyDescent="0.25">
      <c r="A29" s="262"/>
      <c r="B29" s="1173" t="s">
        <v>3867</v>
      </c>
      <c r="C29" s="1173"/>
      <c r="D29" s="1173"/>
      <c r="E29" s="1173"/>
      <c r="F29" s="1173"/>
      <c r="G29" s="1173"/>
      <c r="H29" s="1173"/>
      <c r="I29" s="1173"/>
      <c r="J29" s="1173"/>
      <c r="K29" s="1173"/>
      <c r="L29" s="1173"/>
      <c r="M29" s="1173"/>
      <c r="N29" s="1173"/>
      <c r="O29" s="1173"/>
      <c r="P29" s="1173"/>
      <c r="Q29" s="1173"/>
      <c r="R29" s="1173"/>
      <c r="S29" s="1173"/>
      <c r="T29" s="1173"/>
      <c r="U29" s="1173"/>
      <c r="V29" s="1173"/>
      <c r="W29" s="1173"/>
      <c r="X29" s="1173"/>
      <c r="Y29" s="1173"/>
      <c r="Z29" s="1173"/>
      <c r="AA29" s="1173"/>
      <c r="AB29" s="1173"/>
      <c r="AC29" s="1173"/>
      <c r="AD29" s="1173"/>
      <c r="AE29" s="1173"/>
      <c r="AF29" s="1173"/>
      <c r="AL29" s="839"/>
    </row>
    <row r="30" spans="1:38" x14ac:dyDescent="0.25">
      <c r="A30" s="262"/>
      <c r="B30" s="414"/>
      <c r="C30" s="414"/>
      <c r="D30" s="414"/>
      <c r="E30" s="414"/>
      <c r="F30" s="414"/>
      <c r="G30" s="414"/>
      <c r="H30" s="414"/>
      <c r="I30" s="414"/>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L30" s="839"/>
    </row>
    <row r="31" spans="1:38" x14ac:dyDescent="0.25">
      <c r="A31" s="262"/>
      <c r="B31" s="414" t="s">
        <v>20</v>
      </c>
      <c r="C31" s="414"/>
      <c r="D31" s="414"/>
      <c r="E31" s="414"/>
      <c r="F31" s="414"/>
      <c r="G31" s="414"/>
      <c r="H31" s="414"/>
      <c r="I31" s="414"/>
      <c r="J31" s="414"/>
      <c r="K31" s="262"/>
      <c r="L31" s="262"/>
      <c r="M31" s="262"/>
      <c r="N31" s="262"/>
      <c r="O31" s="262"/>
      <c r="P31" s="262"/>
      <c r="Q31" s="262"/>
      <c r="R31" s="262"/>
      <c r="S31" s="262"/>
      <c r="T31" s="262"/>
      <c r="U31" s="262"/>
      <c r="V31" s="262"/>
      <c r="W31" s="262"/>
      <c r="X31" s="262"/>
      <c r="Y31" s="262"/>
      <c r="Z31" s="262"/>
      <c r="AA31" s="262"/>
      <c r="AB31" s="262"/>
      <c r="AC31" s="262"/>
      <c r="AD31" s="262"/>
      <c r="AE31" s="262"/>
      <c r="AF31" s="262"/>
      <c r="AL31" s="839"/>
    </row>
    <row r="32" spans="1:38" ht="33" customHeight="1" x14ac:dyDescent="0.25">
      <c r="A32" s="262"/>
      <c r="B32" s="1173" t="s">
        <v>3868</v>
      </c>
      <c r="C32" s="1287"/>
      <c r="D32" s="1287"/>
      <c r="E32" s="1287"/>
      <c r="F32" s="1287"/>
      <c r="G32" s="1287"/>
      <c r="H32" s="1287"/>
      <c r="I32" s="1287"/>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L32" s="839"/>
    </row>
    <row r="33" spans="1:98" ht="18.75" x14ac:dyDescent="0.25">
      <c r="A33" s="529"/>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L33" s="839"/>
    </row>
    <row r="34" spans="1:98" x14ac:dyDescent="0.25">
      <c r="A34" s="1385" t="s">
        <v>2286</v>
      </c>
      <c r="B34" s="1386"/>
      <c r="C34" s="1386"/>
      <c r="D34" s="1386"/>
      <c r="E34" s="1386"/>
      <c r="F34" s="1386"/>
      <c r="G34" s="1386"/>
      <c r="H34" s="1386"/>
      <c r="I34" s="1386"/>
      <c r="J34" s="1386"/>
      <c r="K34" s="1386"/>
      <c r="L34" s="1386"/>
      <c r="M34" s="1386"/>
      <c r="N34" s="1386"/>
      <c r="O34" s="1386"/>
      <c r="P34" s="1386"/>
      <c r="Q34" s="1386"/>
      <c r="R34" s="1386"/>
      <c r="S34" s="1386"/>
      <c r="T34" s="1386"/>
      <c r="U34" s="1386"/>
      <c r="V34" s="1386"/>
      <c r="W34" s="1386"/>
      <c r="X34" s="1386"/>
      <c r="Y34" s="1386"/>
      <c r="Z34" s="1386"/>
      <c r="AA34" s="1386"/>
      <c r="AB34" s="1386"/>
      <c r="AC34" s="1386"/>
      <c r="AD34" s="1386"/>
      <c r="AE34" s="1386"/>
      <c r="AF34" s="1387"/>
      <c r="AL34" s="839"/>
    </row>
    <row r="35" spans="1:98" x14ac:dyDescent="0.25">
      <c r="A35" s="262"/>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L35" s="839"/>
    </row>
    <row r="36" spans="1:98" ht="32.25" customHeight="1" x14ac:dyDescent="0.25">
      <c r="A36" s="2753" t="s">
        <v>1316</v>
      </c>
      <c r="B36" s="2753"/>
      <c r="C36" s="2753"/>
      <c r="D36" s="2753"/>
      <c r="E36" s="2753"/>
      <c r="F36" s="2753"/>
      <c r="G36" s="2753"/>
      <c r="H36" s="2753"/>
      <c r="I36" s="2753"/>
      <c r="J36" s="2753"/>
      <c r="K36" s="2753"/>
      <c r="L36" s="2753"/>
      <c r="M36" s="2753"/>
      <c r="N36" s="2753"/>
      <c r="O36" s="2753"/>
      <c r="P36" s="2753"/>
      <c r="Q36" s="2753"/>
      <c r="R36" s="2753"/>
      <c r="S36" s="2753"/>
      <c r="T36" s="2753"/>
      <c r="U36" s="2753"/>
      <c r="V36" s="2753"/>
      <c r="W36" s="2753"/>
      <c r="X36" s="2753"/>
      <c r="Y36" s="2753"/>
      <c r="Z36" s="2753"/>
      <c r="AA36" s="2753"/>
      <c r="AB36" s="2753"/>
      <c r="AC36" s="2753"/>
      <c r="AD36" s="2753"/>
      <c r="AE36" s="2753"/>
      <c r="AF36" s="2753"/>
      <c r="AL36" s="839"/>
    </row>
    <row r="37" spans="1:98" x14ac:dyDescent="0.25">
      <c r="A37" s="678"/>
      <c r="B37" s="678"/>
      <c r="C37" s="678"/>
      <c r="D37" s="678"/>
      <c r="E37" s="678"/>
      <c r="F37" s="678"/>
      <c r="G37" s="678"/>
      <c r="H37" s="678"/>
      <c r="I37" s="678"/>
      <c r="J37" s="678"/>
      <c r="K37" s="678"/>
      <c r="L37" s="678"/>
      <c r="M37" s="678"/>
      <c r="N37" s="678"/>
      <c r="O37" s="678"/>
      <c r="P37" s="678"/>
      <c r="Q37" s="678"/>
      <c r="R37" s="678"/>
      <c r="S37" s="678"/>
      <c r="T37" s="678"/>
      <c r="U37" s="678"/>
      <c r="V37" s="678"/>
      <c r="W37" s="678"/>
      <c r="X37" s="678"/>
      <c r="Y37" s="678"/>
      <c r="Z37" s="678"/>
      <c r="AA37" s="678"/>
      <c r="AB37" s="678"/>
      <c r="AC37" s="678"/>
      <c r="AD37" s="678"/>
      <c r="AE37" s="678"/>
      <c r="AF37" s="678"/>
      <c r="AL37" s="839"/>
    </row>
    <row r="38" spans="1:98" ht="106.5" customHeight="1" x14ac:dyDescent="0.25">
      <c r="A38" s="1168" t="s">
        <v>3920</v>
      </c>
      <c r="B38" s="1168"/>
      <c r="C38" s="1168"/>
      <c r="D38" s="1168"/>
      <c r="E38" s="1168"/>
      <c r="F38" s="1168"/>
      <c r="G38" s="1168"/>
      <c r="H38" s="1168"/>
      <c r="I38" s="1168"/>
      <c r="J38" s="1168"/>
      <c r="K38" s="1168"/>
      <c r="L38" s="1168"/>
      <c r="M38" s="1168"/>
      <c r="N38" s="1168"/>
      <c r="O38" s="1168"/>
      <c r="P38" s="1168"/>
      <c r="Q38" s="1168"/>
      <c r="R38" s="1168"/>
      <c r="S38" s="1168"/>
      <c r="T38" s="1168"/>
      <c r="U38" s="1168"/>
      <c r="V38" s="1168"/>
      <c r="W38" s="1168"/>
      <c r="X38" s="1168"/>
      <c r="Y38" s="1168"/>
      <c r="Z38" s="1168"/>
      <c r="AA38" s="1168"/>
      <c r="AB38" s="1168"/>
      <c r="AC38" s="1168"/>
      <c r="AD38" s="1168"/>
      <c r="AE38" s="1168"/>
      <c r="AF38" s="1168"/>
      <c r="AL38" s="839"/>
    </row>
    <row r="39" spans="1:98" x14ac:dyDescent="0.25">
      <c r="A39" s="651"/>
      <c r="B39" s="651"/>
      <c r="C39" s="651"/>
      <c r="D39" s="651"/>
      <c r="E39" s="651"/>
      <c r="F39" s="651"/>
      <c r="G39" s="651"/>
      <c r="H39" s="651"/>
      <c r="I39" s="651"/>
      <c r="J39" s="651"/>
      <c r="K39" s="651"/>
      <c r="L39" s="651"/>
      <c r="M39" s="651"/>
      <c r="N39" s="651"/>
      <c r="O39" s="651"/>
      <c r="P39" s="651"/>
      <c r="Q39" s="651"/>
      <c r="R39" s="651"/>
      <c r="S39" s="651"/>
      <c r="T39" s="651"/>
      <c r="U39" s="651"/>
      <c r="V39" s="651"/>
      <c r="W39" s="651"/>
      <c r="X39" s="651"/>
      <c r="Y39" s="651"/>
      <c r="Z39" s="651"/>
      <c r="AA39" s="651"/>
      <c r="AB39" s="651"/>
      <c r="AC39" s="651"/>
      <c r="AD39" s="651"/>
      <c r="AE39" s="651"/>
      <c r="AF39" s="651"/>
      <c r="AL39" s="839"/>
    </row>
    <row r="40" spans="1:98" ht="35.25" customHeight="1" x14ac:dyDescent="0.25">
      <c r="A40" s="1168" t="s">
        <v>2287</v>
      </c>
      <c r="B40" s="1168"/>
      <c r="C40" s="1168"/>
      <c r="D40" s="1168"/>
      <c r="E40" s="1168"/>
      <c r="F40" s="1168"/>
      <c r="G40" s="1168"/>
      <c r="H40" s="1168"/>
      <c r="I40" s="1168"/>
      <c r="J40" s="1168"/>
      <c r="K40" s="1168"/>
      <c r="L40" s="1168"/>
      <c r="M40" s="1168"/>
      <c r="N40" s="1168"/>
      <c r="O40" s="1168"/>
      <c r="P40" s="1168"/>
      <c r="Q40" s="1168"/>
      <c r="R40" s="1168"/>
      <c r="S40" s="1168"/>
      <c r="T40" s="1168"/>
      <c r="U40" s="1168"/>
      <c r="V40" s="1168"/>
      <c r="W40" s="1168"/>
      <c r="X40" s="1168"/>
      <c r="Y40" s="1168"/>
      <c r="Z40" s="1168"/>
      <c r="AA40" s="1168"/>
      <c r="AB40" s="1168"/>
      <c r="AC40" s="1168"/>
      <c r="AD40" s="1168"/>
      <c r="AE40" s="1168"/>
      <c r="AF40" s="1168"/>
      <c r="AL40" s="839"/>
    </row>
    <row r="41" spans="1:98" x14ac:dyDescent="0.25">
      <c r="A41" s="651"/>
      <c r="B41" s="651"/>
      <c r="C41" s="651"/>
      <c r="D41" s="651"/>
      <c r="E41" s="651"/>
      <c r="F41" s="651"/>
      <c r="G41" s="651"/>
      <c r="H41" s="651"/>
      <c r="I41" s="651"/>
      <c r="J41" s="651"/>
      <c r="K41" s="651"/>
      <c r="L41" s="651"/>
      <c r="M41" s="651"/>
      <c r="N41" s="651"/>
      <c r="O41" s="651"/>
      <c r="P41" s="651"/>
      <c r="Q41" s="651"/>
      <c r="R41" s="651"/>
      <c r="S41" s="651"/>
      <c r="T41" s="651"/>
      <c r="U41" s="651"/>
      <c r="V41" s="651"/>
      <c r="W41" s="651"/>
      <c r="X41" s="651"/>
      <c r="Y41" s="651"/>
      <c r="Z41" s="651"/>
      <c r="AA41" s="651"/>
      <c r="AB41" s="651"/>
      <c r="AC41" s="651"/>
      <c r="AD41" s="651"/>
      <c r="AE41" s="651"/>
      <c r="AF41" s="651"/>
      <c r="AL41" s="839"/>
    </row>
    <row r="42" spans="1:98" ht="111.75" customHeight="1" x14ac:dyDescent="0.25">
      <c r="A42" s="1168" t="s">
        <v>6705</v>
      </c>
      <c r="B42" s="1168"/>
      <c r="C42" s="1168"/>
      <c r="D42" s="1168"/>
      <c r="E42" s="1168"/>
      <c r="F42" s="1168"/>
      <c r="G42" s="1168"/>
      <c r="H42" s="1168"/>
      <c r="I42" s="1168"/>
      <c r="J42" s="1168"/>
      <c r="K42" s="1168"/>
      <c r="L42" s="1168"/>
      <c r="M42" s="1168"/>
      <c r="N42" s="1168"/>
      <c r="O42" s="1168"/>
      <c r="P42" s="1168"/>
      <c r="Q42" s="1168"/>
      <c r="R42" s="1168"/>
      <c r="S42" s="1168"/>
      <c r="T42" s="1168"/>
      <c r="U42" s="1168"/>
      <c r="V42" s="1168"/>
      <c r="W42" s="1168"/>
      <c r="X42" s="1168"/>
      <c r="Y42" s="1168"/>
      <c r="Z42" s="1168"/>
      <c r="AA42" s="1168"/>
      <c r="AB42" s="1168"/>
      <c r="AC42" s="1168"/>
      <c r="AD42" s="1168"/>
      <c r="AE42" s="1168"/>
      <c r="AF42" s="1168"/>
      <c r="AL42" s="839"/>
      <c r="AQ42" s="981"/>
      <c r="AR42" s="981"/>
      <c r="AS42" s="981"/>
      <c r="AT42" s="981"/>
      <c r="AU42" s="981"/>
      <c r="AV42" s="981"/>
      <c r="AW42" s="981"/>
      <c r="AX42" s="981"/>
      <c r="AY42" s="981"/>
      <c r="AZ42" s="981"/>
      <c r="BA42" s="981"/>
      <c r="BB42" s="981"/>
      <c r="BC42" s="981"/>
      <c r="BD42" s="981"/>
      <c r="BE42" s="981"/>
      <c r="BF42" s="981"/>
      <c r="BG42" s="981"/>
      <c r="BH42" s="981"/>
      <c r="BI42" s="981"/>
      <c r="BJ42" s="981"/>
      <c r="BK42" s="981"/>
      <c r="BL42" s="981"/>
      <c r="BM42" s="981"/>
      <c r="BN42" s="981"/>
      <c r="BO42" s="981"/>
      <c r="BP42" s="981"/>
      <c r="BQ42" s="981"/>
      <c r="BR42" s="981"/>
      <c r="BS42" s="981"/>
      <c r="BT42" s="981"/>
      <c r="BU42" s="981"/>
      <c r="BV42" s="981"/>
      <c r="BW42" s="981"/>
      <c r="BX42" s="981"/>
      <c r="BY42" s="981"/>
      <c r="BZ42" s="981"/>
      <c r="CA42" s="981"/>
      <c r="CB42" s="981"/>
      <c r="CC42" s="981"/>
      <c r="CD42" s="981"/>
      <c r="CE42" s="981"/>
      <c r="CF42" s="981"/>
      <c r="CG42" s="981"/>
      <c r="CH42" s="981"/>
      <c r="CI42" s="981"/>
      <c r="CJ42" s="981"/>
      <c r="CK42" s="981"/>
      <c r="CL42" s="981"/>
      <c r="CM42" s="981"/>
      <c r="CN42" s="981"/>
      <c r="CO42" s="981"/>
      <c r="CP42" s="981"/>
      <c r="CQ42" s="981"/>
      <c r="CR42" s="981"/>
      <c r="CS42" s="981"/>
      <c r="CT42" s="981"/>
    </row>
    <row r="43" spans="1:98" x14ac:dyDescent="0.25">
      <c r="A43" s="651"/>
      <c r="B43" s="651"/>
      <c r="C43" s="651"/>
      <c r="D43" s="651"/>
      <c r="E43" s="651"/>
      <c r="F43" s="651"/>
      <c r="G43" s="651"/>
      <c r="H43" s="651"/>
      <c r="I43" s="651"/>
      <c r="J43" s="651"/>
      <c r="K43" s="651"/>
      <c r="L43" s="651"/>
      <c r="M43" s="651"/>
      <c r="N43" s="651"/>
      <c r="O43" s="651"/>
      <c r="P43" s="651"/>
      <c r="Q43" s="651"/>
      <c r="R43" s="651"/>
      <c r="S43" s="651"/>
      <c r="T43" s="651"/>
      <c r="U43" s="651"/>
      <c r="V43" s="651"/>
      <c r="W43" s="651"/>
      <c r="X43" s="651"/>
      <c r="Y43" s="651"/>
      <c r="Z43" s="651"/>
      <c r="AA43" s="651"/>
      <c r="AB43" s="651"/>
      <c r="AC43" s="651"/>
      <c r="AD43" s="651"/>
      <c r="AE43" s="651"/>
      <c r="AF43" s="651"/>
      <c r="AL43" s="839"/>
    </row>
    <row r="44" spans="1:98" ht="48.75" customHeight="1" x14ac:dyDescent="0.25">
      <c r="A44" s="1168" t="s">
        <v>6703</v>
      </c>
      <c r="B44" s="1168"/>
      <c r="C44" s="1168"/>
      <c r="D44" s="1168"/>
      <c r="E44" s="1168"/>
      <c r="F44" s="1168"/>
      <c r="G44" s="1168"/>
      <c r="H44" s="1168"/>
      <c r="I44" s="1168"/>
      <c r="J44" s="1168"/>
      <c r="K44" s="1168"/>
      <c r="L44" s="1168"/>
      <c r="M44" s="1168"/>
      <c r="N44" s="1168"/>
      <c r="O44" s="1168"/>
      <c r="P44" s="1168"/>
      <c r="Q44" s="1168"/>
      <c r="R44" s="1168"/>
      <c r="S44" s="1168"/>
      <c r="T44" s="1168"/>
      <c r="U44" s="1168"/>
      <c r="V44" s="1168"/>
      <c r="W44" s="1168"/>
      <c r="X44" s="1168"/>
      <c r="Y44" s="1168"/>
      <c r="Z44" s="1168"/>
      <c r="AA44" s="1168"/>
      <c r="AB44" s="1168"/>
      <c r="AC44" s="1168"/>
      <c r="AD44" s="1168"/>
      <c r="AE44" s="1168"/>
      <c r="AF44" s="1168"/>
      <c r="AL44" s="839"/>
      <c r="AQ44" s="981"/>
      <c r="AR44" s="981"/>
      <c r="AS44" s="981"/>
      <c r="AT44" s="981"/>
      <c r="AU44" s="981"/>
      <c r="AV44" s="981"/>
      <c r="AW44" s="981"/>
      <c r="AX44" s="981"/>
      <c r="AY44" s="981"/>
      <c r="AZ44" s="981"/>
      <c r="BA44" s="981"/>
      <c r="BB44" s="981"/>
      <c r="BC44" s="981"/>
      <c r="BD44" s="981"/>
      <c r="BE44" s="981"/>
      <c r="BF44" s="981"/>
      <c r="BG44" s="981"/>
      <c r="BH44" s="981"/>
      <c r="BI44" s="981"/>
      <c r="BJ44" s="981"/>
      <c r="BK44" s="981"/>
      <c r="BL44" s="981"/>
      <c r="BM44" s="981"/>
      <c r="BN44" s="981"/>
      <c r="BO44" s="981"/>
      <c r="BP44" s="981"/>
      <c r="BQ44" s="981"/>
      <c r="BR44" s="981"/>
      <c r="BS44" s="981"/>
      <c r="BT44" s="981"/>
      <c r="BU44" s="981"/>
      <c r="BV44" s="981"/>
      <c r="BW44" s="981"/>
      <c r="BX44" s="981"/>
      <c r="BY44" s="981"/>
      <c r="BZ44" s="981"/>
      <c r="CA44" s="981"/>
      <c r="CB44" s="981"/>
      <c r="CC44" s="981"/>
      <c r="CD44" s="981"/>
      <c r="CE44" s="981"/>
      <c r="CF44" s="981"/>
      <c r="CG44" s="981"/>
      <c r="CH44" s="981"/>
      <c r="CI44" s="981"/>
      <c r="CJ44" s="981"/>
      <c r="CK44" s="981"/>
      <c r="CL44" s="981"/>
      <c r="CM44" s="981"/>
      <c r="CN44" s="981"/>
      <c r="CO44" s="981"/>
      <c r="CP44" s="981"/>
      <c r="CQ44" s="981"/>
      <c r="CR44" s="981"/>
      <c r="CS44" s="981"/>
      <c r="CT44" s="981"/>
    </row>
    <row r="45" spans="1:98" x14ac:dyDescent="0.25">
      <c r="A45" s="651"/>
      <c r="B45" s="651"/>
      <c r="C45" s="651"/>
      <c r="D45" s="651"/>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L45" s="839"/>
    </row>
    <row r="46" spans="1:98" x14ac:dyDescent="0.25">
      <c r="A46" s="1621" t="s">
        <v>14</v>
      </c>
      <c r="B46" s="1621"/>
      <c r="C46" s="1621"/>
      <c r="D46" s="1621"/>
      <c r="E46" s="1621"/>
      <c r="F46" s="1621"/>
      <c r="G46" s="1621"/>
      <c r="H46" s="1621"/>
      <c r="I46" s="1621"/>
      <c r="J46" s="1621"/>
      <c r="K46" s="1621"/>
      <c r="L46" s="1621"/>
      <c r="M46" s="1621"/>
      <c r="N46" s="1621"/>
      <c r="O46" s="1621"/>
      <c r="P46" s="1621"/>
      <c r="Q46" s="1621"/>
      <c r="R46" s="1621"/>
      <c r="S46" s="1621"/>
      <c r="T46" s="1621"/>
      <c r="U46" s="1621"/>
      <c r="V46" s="1621"/>
      <c r="W46" s="1621"/>
      <c r="X46" s="1621"/>
      <c r="Y46" s="1621"/>
      <c r="Z46" s="1621"/>
      <c r="AA46" s="1621"/>
      <c r="AB46" s="1621"/>
      <c r="AC46" s="1621"/>
      <c r="AD46" s="1621"/>
      <c r="AE46" s="1621"/>
      <c r="AF46" s="1621"/>
      <c r="AL46" s="839"/>
    </row>
    <row r="47" spans="1:98" x14ac:dyDescent="0.25">
      <c r="A47" s="190"/>
      <c r="B47" s="190"/>
      <c r="C47" s="190"/>
      <c r="D47" s="190"/>
      <c r="E47" s="190"/>
      <c r="F47" s="190"/>
      <c r="G47" s="190"/>
      <c r="H47" s="190"/>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L47" s="839"/>
    </row>
    <row r="48" spans="1:98" x14ac:dyDescent="0.25">
      <c r="A48" s="190"/>
      <c r="B48" s="519" t="s">
        <v>3869</v>
      </c>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L48" s="839"/>
    </row>
    <row r="49" spans="1:38" x14ac:dyDescent="0.25">
      <c r="A49" s="190"/>
      <c r="B49" s="190"/>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L49" s="839"/>
    </row>
    <row r="50" spans="1:38" x14ac:dyDescent="0.25">
      <c r="A50" s="190"/>
      <c r="B50" s="190"/>
      <c r="C50" s="190"/>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L50" s="839"/>
    </row>
    <row r="51" spans="1:38" x14ac:dyDescent="0.25">
      <c r="A51" s="190"/>
      <c r="B51" s="190"/>
      <c r="C51" s="190"/>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L51" s="839"/>
    </row>
    <row r="52" spans="1:38" x14ac:dyDescent="0.25">
      <c r="A52" s="190"/>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419" t="s">
        <v>1705</v>
      </c>
      <c r="AL52" s="839"/>
    </row>
    <row r="53" spans="1:38" x14ac:dyDescent="0.25">
      <c r="A53" s="190"/>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L53" s="839"/>
    </row>
    <row r="54" spans="1:38" x14ac:dyDescent="0.25">
      <c r="A54" s="190"/>
      <c r="B54" s="190"/>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L54" s="839"/>
    </row>
    <row r="55" spans="1:38" ht="18" x14ac:dyDescent="0.25">
      <c r="A55" s="227"/>
      <c r="B55" s="679"/>
      <c r="C55" s="262" t="s">
        <v>3921</v>
      </c>
      <c r="D55" s="679"/>
      <c r="E55" s="679"/>
      <c r="F55" s="679"/>
      <c r="G55" s="679"/>
      <c r="H55" s="679"/>
      <c r="I55" s="679"/>
      <c r="J55" s="679"/>
      <c r="K55" s="679"/>
      <c r="L55" s="679"/>
      <c r="M55" s="679"/>
      <c r="N55" s="679"/>
      <c r="O55" s="679"/>
      <c r="P55" s="679"/>
      <c r="Q55" s="679"/>
      <c r="R55" s="679"/>
      <c r="S55" s="679"/>
      <c r="T55" s="679"/>
      <c r="U55" s="679"/>
      <c r="V55" s="679"/>
      <c r="W55" s="679"/>
      <c r="X55" s="679"/>
      <c r="Y55" s="679"/>
      <c r="Z55" s="679"/>
      <c r="AA55" s="679"/>
      <c r="AB55" s="679"/>
      <c r="AC55" s="679"/>
      <c r="AD55" s="679"/>
      <c r="AE55" s="679"/>
      <c r="AF55" s="679"/>
      <c r="AL55" s="839"/>
    </row>
    <row r="56" spans="1:38" x14ac:dyDescent="0.25">
      <c r="A56" s="227"/>
      <c r="B56" s="679"/>
      <c r="C56" s="262" t="s">
        <v>1295</v>
      </c>
      <c r="D56" s="679"/>
      <c r="E56" s="679"/>
      <c r="F56" s="679"/>
      <c r="G56" s="679"/>
      <c r="H56" s="679"/>
      <c r="I56" s="679"/>
      <c r="J56" s="679"/>
      <c r="K56" s="679"/>
      <c r="L56" s="679"/>
      <c r="M56" s="679"/>
      <c r="N56" s="679"/>
      <c r="O56" s="679"/>
      <c r="P56" s="679"/>
      <c r="Q56" s="679"/>
      <c r="R56" s="679"/>
      <c r="S56" s="679"/>
      <c r="T56" s="679"/>
      <c r="U56" s="679"/>
      <c r="V56" s="679"/>
      <c r="W56" s="679"/>
      <c r="X56" s="679"/>
      <c r="Y56" s="679"/>
      <c r="Z56" s="679"/>
      <c r="AA56" s="679"/>
      <c r="AB56" s="679"/>
      <c r="AC56" s="679"/>
      <c r="AD56" s="679"/>
      <c r="AE56" s="679"/>
      <c r="AF56" s="679"/>
      <c r="AL56" s="839"/>
    </row>
    <row r="57" spans="1:38" x14ac:dyDescent="0.25">
      <c r="A57" s="227"/>
      <c r="B57" s="679"/>
      <c r="C57" s="262" t="s">
        <v>1296</v>
      </c>
      <c r="D57" s="679"/>
      <c r="E57" s="679"/>
      <c r="F57" s="679"/>
      <c r="G57" s="679"/>
      <c r="H57" s="679"/>
      <c r="I57" s="679"/>
      <c r="J57" s="679"/>
      <c r="K57" s="679"/>
      <c r="L57" s="679"/>
      <c r="M57" s="679"/>
      <c r="N57" s="679"/>
      <c r="O57" s="679"/>
      <c r="P57" s="679"/>
      <c r="Q57" s="679"/>
      <c r="R57" s="679"/>
      <c r="S57" s="679"/>
      <c r="T57" s="679"/>
      <c r="U57" s="679"/>
      <c r="V57" s="679"/>
      <c r="W57" s="679"/>
      <c r="X57" s="679"/>
      <c r="Y57" s="679"/>
      <c r="Z57" s="679"/>
      <c r="AA57" s="679"/>
      <c r="AB57" s="679"/>
      <c r="AC57" s="679"/>
      <c r="AD57" s="679"/>
      <c r="AE57" s="679"/>
      <c r="AF57" s="679"/>
      <c r="AL57" s="839"/>
    </row>
    <row r="58" spans="1:38" x14ac:dyDescent="0.25">
      <c r="A58" s="227"/>
      <c r="B58" s="679"/>
      <c r="C58" s="262" t="s">
        <v>1297</v>
      </c>
      <c r="D58" s="679"/>
      <c r="E58" s="679"/>
      <c r="F58" s="679"/>
      <c r="G58" s="679"/>
      <c r="H58" s="679"/>
      <c r="I58" s="679"/>
      <c r="J58" s="679"/>
      <c r="K58" s="679"/>
      <c r="L58" s="679"/>
      <c r="M58" s="679"/>
      <c r="N58" s="679"/>
      <c r="O58" s="679"/>
      <c r="P58" s="679"/>
      <c r="Q58" s="679"/>
      <c r="R58" s="679"/>
      <c r="S58" s="679"/>
      <c r="T58" s="679"/>
      <c r="U58" s="679"/>
      <c r="V58" s="679"/>
      <c r="W58" s="679"/>
      <c r="X58" s="679"/>
      <c r="Y58" s="679"/>
      <c r="Z58" s="679"/>
      <c r="AA58" s="679"/>
      <c r="AB58" s="679"/>
      <c r="AC58" s="679"/>
      <c r="AD58" s="679"/>
      <c r="AE58" s="679"/>
      <c r="AF58" s="679"/>
      <c r="AL58" s="839"/>
    </row>
    <row r="59" spans="1:38" x14ac:dyDescent="0.25">
      <c r="A59" s="190"/>
      <c r="B59" s="190"/>
      <c r="C59" s="190"/>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L59" s="839"/>
    </row>
    <row r="60" spans="1:38" x14ac:dyDescent="0.25">
      <c r="A60" s="190"/>
      <c r="B60" s="519" t="s">
        <v>2301</v>
      </c>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2"/>
      <c r="AL60" s="839"/>
    </row>
    <row r="61" spans="1:38" x14ac:dyDescent="0.25">
      <c r="A61" s="190"/>
      <c r="B61" s="519"/>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2"/>
      <c r="AL61" s="839"/>
    </row>
    <row r="62" spans="1:38" x14ac:dyDescent="0.25">
      <c r="A62" s="190"/>
      <c r="B62" s="519"/>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419" t="s">
        <v>1706</v>
      </c>
      <c r="AL62" s="839"/>
    </row>
    <row r="63" spans="1:38" x14ac:dyDescent="0.25">
      <c r="A63" s="190"/>
      <c r="B63" s="519"/>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L63" s="839"/>
    </row>
    <row r="64" spans="1:38" x14ac:dyDescent="0.25">
      <c r="A64" s="190"/>
      <c r="B64" s="519"/>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L64" s="839"/>
    </row>
    <row r="65" spans="1:38" x14ac:dyDescent="0.25">
      <c r="A65" s="190"/>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L65" s="839"/>
    </row>
    <row r="66" spans="1:38" x14ac:dyDescent="0.25">
      <c r="A66" s="190"/>
      <c r="B66" s="519" t="s">
        <v>2302</v>
      </c>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c r="AL66" s="839"/>
    </row>
    <row r="67" spans="1:38" x14ac:dyDescent="0.25">
      <c r="A67" s="190"/>
      <c r="B67" s="519"/>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2"/>
      <c r="AL67" s="839"/>
    </row>
    <row r="68" spans="1:38" x14ac:dyDescent="0.25">
      <c r="A68" s="190"/>
      <c r="B68" s="519"/>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419" t="s">
        <v>1707</v>
      </c>
      <c r="AL68" s="839"/>
    </row>
    <row r="69" spans="1:38" x14ac:dyDescent="0.25">
      <c r="A69" s="190"/>
      <c r="B69" s="519"/>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62"/>
      <c r="AE69" s="262"/>
      <c r="AF69" s="262"/>
      <c r="AL69" s="839"/>
    </row>
    <row r="70" spans="1:38" x14ac:dyDescent="0.25">
      <c r="A70" s="190"/>
      <c r="B70" s="519"/>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L70" s="839"/>
    </row>
    <row r="71" spans="1:38" x14ac:dyDescent="0.25">
      <c r="A71" s="190"/>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62"/>
      <c r="AE71" s="262"/>
      <c r="AF71" s="419"/>
      <c r="AL71" s="839"/>
    </row>
    <row r="72" spans="1:38" x14ac:dyDescent="0.25">
      <c r="A72" s="190"/>
      <c r="B72" s="414" t="s">
        <v>2192</v>
      </c>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262"/>
      <c r="AF72" s="262"/>
      <c r="AL72" s="839"/>
    </row>
    <row r="73" spans="1:38" x14ac:dyDescent="0.25">
      <c r="A73" s="190"/>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62"/>
      <c r="AE73" s="262"/>
      <c r="AF73" s="262"/>
      <c r="AL73" s="839"/>
    </row>
    <row r="74" spans="1:38" x14ac:dyDescent="0.25">
      <c r="A74" s="190"/>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2"/>
      <c r="AE74" s="262"/>
      <c r="AF74" s="419" t="s">
        <v>1756</v>
      </c>
      <c r="AL74" s="839"/>
    </row>
    <row r="75" spans="1:38" x14ac:dyDescent="0.25">
      <c r="A75" s="190"/>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62"/>
      <c r="AE75" s="262"/>
      <c r="AF75" s="262"/>
      <c r="AL75" s="839"/>
    </row>
    <row r="76" spans="1:38" x14ac:dyDescent="0.25">
      <c r="A76" s="190"/>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2"/>
      <c r="AE76" s="262"/>
      <c r="AF76" s="262"/>
      <c r="AL76" s="839"/>
    </row>
    <row r="77" spans="1:38" x14ac:dyDescent="0.25">
      <c r="A77" s="190"/>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c r="AA77" s="262"/>
      <c r="AB77" s="262"/>
      <c r="AC77" s="262"/>
      <c r="AD77" s="262"/>
      <c r="AE77" s="262"/>
      <c r="AF77" s="262"/>
      <c r="AL77" s="839"/>
    </row>
    <row r="78" spans="1:38" x14ac:dyDescent="0.25">
      <c r="A78" s="190"/>
      <c r="B78" s="414" t="s">
        <v>2193</v>
      </c>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2"/>
      <c r="AF78" s="262"/>
      <c r="AL78" s="839"/>
    </row>
    <row r="79" spans="1:38" x14ac:dyDescent="0.25">
      <c r="A79" s="190"/>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262"/>
      <c r="AE79" s="262"/>
      <c r="AF79" s="262"/>
      <c r="AL79" s="839"/>
    </row>
    <row r="80" spans="1:38" x14ac:dyDescent="0.25">
      <c r="A80" s="190"/>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F80" s="419" t="s">
        <v>1788</v>
      </c>
      <c r="AL80" s="839"/>
    </row>
    <row r="81" spans="1:38" x14ac:dyDescent="0.25">
      <c r="A81" s="190"/>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419"/>
      <c r="AL81" s="839"/>
    </row>
    <row r="82" spans="1:38" x14ac:dyDescent="0.25">
      <c r="A82" s="190"/>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62"/>
      <c r="AF82" s="419"/>
      <c r="AL82" s="839"/>
    </row>
    <row r="83" spans="1:38" x14ac:dyDescent="0.25">
      <c r="A83" s="190"/>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62"/>
      <c r="AE83" s="262"/>
      <c r="AF83" s="419"/>
      <c r="AL83" s="839"/>
    </row>
    <row r="84" spans="1:38" x14ac:dyDescent="0.25">
      <c r="A84" s="190"/>
      <c r="B84" s="414" t="s">
        <v>3870</v>
      </c>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62"/>
      <c r="AE84" s="262"/>
      <c r="AF84" s="419"/>
      <c r="AL84" s="839"/>
    </row>
    <row r="85" spans="1:38" x14ac:dyDescent="0.25">
      <c r="A85" s="190"/>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62"/>
      <c r="AE85" s="262"/>
      <c r="AF85" s="419"/>
      <c r="AL85" s="839"/>
    </row>
    <row r="86" spans="1:38" x14ac:dyDescent="0.25">
      <c r="A86" s="190"/>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419" t="s">
        <v>1789</v>
      </c>
      <c r="AL86" s="839"/>
    </row>
    <row r="87" spans="1:38" x14ac:dyDescent="0.25">
      <c r="A87" s="190"/>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262"/>
      <c r="AF87" s="419"/>
      <c r="AL87" s="839"/>
    </row>
    <row r="88" spans="1:38" x14ac:dyDescent="0.25">
      <c r="A88" s="190"/>
      <c r="B88" s="414" t="s">
        <v>3871</v>
      </c>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2"/>
      <c r="AE88" s="262"/>
      <c r="AF88" s="419"/>
      <c r="AL88" s="839"/>
    </row>
    <row r="89" spans="1:38" x14ac:dyDescent="0.25">
      <c r="A89" s="190"/>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2"/>
      <c r="AE89" s="262"/>
      <c r="AF89" s="227"/>
      <c r="AL89" s="839"/>
    </row>
    <row r="90" spans="1:38" x14ac:dyDescent="0.25">
      <c r="A90" s="190"/>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262"/>
      <c r="AF90" s="419" t="s">
        <v>1826</v>
      </c>
      <c r="AL90" s="839"/>
    </row>
    <row r="91" spans="1:38" x14ac:dyDescent="0.25">
      <c r="A91" s="227"/>
      <c r="B91" s="227"/>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L91" s="839"/>
    </row>
    <row r="92" spans="1:38" x14ac:dyDescent="0.25">
      <c r="A92" s="1621" t="s">
        <v>15</v>
      </c>
      <c r="B92" s="1621"/>
      <c r="C92" s="1621"/>
      <c r="D92" s="1621"/>
      <c r="E92" s="1621"/>
      <c r="F92" s="1621"/>
      <c r="G92" s="1621"/>
      <c r="H92" s="1621"/>
      <c r="I92" s="1621"/>
      <c r="J92" s="1621"/>
      <c r="K92" s="1621"/>
      <c r="L92" s="1621"/>
      <c r="M92" s="1621"/>
      <c r="N92" s="1621"/>
      <c r="O92" s="1621"/>
      <c r="P92" s="1621"/>
      <c r="Q92" s="1621"/>
      <c r="R92" s="1621"/>
      <c r="S92" s="1621"/>
      <c r="T92" s="1621"/>
      <c r="U92" s="1621"/>
      <c r="V92" s="1621"/>
      <c r="W92" s="1621"/>
      <c r="X92" s="1621"/>
      <c r="Y92" s="1621"/>
      <c r="Z92" s="1621"/>
      <c r="AA92" s="1621"/>
      <c r="AB92" s="1621"/>
      <c r="AC92" s="1621"/>
      <c r="AD92" s="1621"/>
      <c r="AE92" s="1621"/>
      <c r="AF92" s="1621"/>
      <c r="AL92" s="839"/>
    </row>
    <row r="93" spans="1:38" s="227" customFormat="1" x14ac:dyDescent="0.25">
      <c r="A93" s="2287" t="s">
        <v>16</v>
      </c>
      <c r="B93" s="2287"/>
      <c r="C93" s="2287"/>
      <c r="D93" s="2287"/>
      <c r="E93" s="2287" t="s">
        <v>10</v>
      </c>
      <c r="F93" s="2287"/>
      <c r="G93" s="2287"/>
      <c r="H93" s="2287"/>
      <c r="I93" s="2287"/>
      <c r="J93" s="2287"/>
      <c r="K93" s="2287"/>
      <c r="L93" s="2287"/>
      <c r="M93" s="2287"/>
      <c r="N93" s="2287"/>
      <c r="O93" s="2287"/>
      <c r="P93" s="2287"/>
      <c r="Q93" s="2287" t="s">
        <v>17</v>
      </c>
      <c r="R93" s="2287"/>
      <c r="S93" s="2287"/>
      <c r="T93" s="2287"/>
      <c r="U93" s="2287" t="s">
        <v>18</v>
      </c>
      <c r="V93" s="2287"/>
      <c r="W93" s="2287" t="s">
        <v>1708</v>
      </c>
      <c r="X93" s="2287"/>
      <c r="Y93" s="2287"/>
      <c r="Z93" s="2287"/>
      <c r="AA93" s="2287"/>
      <c r="AB93" s="2287"/>
      <c r="AC93" s="2287"/>
      <c r="AD93" s="2287"/>
      <c r="AE93" s="2287"/>
      <c r="AF93" s="2287"/>
      <c r="AL93" s="638"/>
    </row>
    <row r="94" spans="1:38" s="227" customFormat="1" ht="84.75" customHeight="1" x14ac:dyDescent="0.25">
      <c r="A94" s="1680" t="s">
        <v>3922</v>
      </c>
      <c r="B94" s="1681"/>
      <c r="C94" s="1681"/>
      <c r="D94" s="1682"/>
      <c r="E94" s="2463" t="s">
        <v>1817</v>
      </c>
      <c r="F94" s="2463"/>
      <c r="G94" s="2463"/>
      <c r="H94" s="2463"/>
      <c r="I94" s="2463"/>
      <c r="J94" s="2463"/>
      <c r="K94" s="2463"/>
      <c r="L94" s="2463"/>
      <c r="M94" s="2463"/>
      <c r="N94" s="2463"/>
      <c r="O94" s="2463"/>
      <c r="P94" s="2463"/>
      <c r="Q94" s="2464" t="s">
        <v>6706</v>
      </c>
      <c r="R94" s="2465"/>
      <c r="S94" s="2465"/>
      <c r="T94" s="2466"/>
      <c r="U94" s="1841" t="s">
        <v>1818</v>
      </c>
      <c r="V94" s="1841"/>
      <c r="W94" s="1494" t="s">
        <v>6707</v>
      </c>
      <c r="X94" s="1495"/>
      <c r="Y94" s="1495"/>
      <c r="Z94" s="1495"/>
      <c r="AA94" s="1495"/>
      <c r="AB94" s="1495"/>
      <c r="AC94" s="1495"/>
      <c r="AD94" s="1495"/>
      <c r="AE94" s="1495"/>
      <c r="AF94" s="1496"/>
      <c r="AL94" s="638"/>
    </row>
    <row r="95" spans="1:38" s="227" customFormat="1" ht="45" customHeight="1" x14ac:dyDescent="0.25">
      <c r="A95" s="1680" t="s">
        <v>3923</v>
      </c>
      <c r="B95" s="1681" t="s">
        <v>294</v>
      </c>
      <c r="C95" s="1681" t="s">
        <v>294</v>
      </c>
      <c r="D95" s="1682" t="s">
        <v>294</v>
      </c>
      <c r="E95" s="2463" t="s">
        <v>3872</v>
      </c>
      <c r="F95" s="2463" t="s">
        <v>254</v>
      </c>
      <c r="G95" s="2463" t="s">
        <v>254</v>
      </c>
      <c r="H95" s="2463" t="s">
        <v>254</v>
      </c>
      <c r="I95" s="2463" t="s">
        <v>254</v>
      </c>
      <c r="J95" s="2463" t="s">
        <v>254</v>
      </c>
      <c r="K95" s="2463" t="s">
        <v>254</v>
      </c>
      <c r="L95" s="2463" t="s">
        <v>254</v>
      </c>
      <c r="M95" s="2463" t="s">
        <v>254</v>
      </c>
      <c r="N95" s="2463" t="s">
        <v>254</v>
      </c>
      <c r="O95" s="2463" t="s">
        <v>254</v>
      </c>
      <c r="P95" s="2463" t="s">
        <v>254</v>
      </c>
      <c r="Q95" s="2464" t="s">
        <v>164</v>
      </c>
      <c r="R95" s="2465" t="s">
        <v>251</v>
      </c>
      <c r="S95" s="2465" t="s">
        <v>251</v>
      </c>
      <c r="T95" s="2466" t="s">
        <v>251</v>
      </c>
      <c r="U95" s="1841" t="s">
        <v>26</v>
      </c>
      <c r="V95" s="1841"/>
      <c r="W95" s="1494"/>
      <c r="X95" s="1495"/>
      <c r="Y95" s="1495"/>
      <c r="Z95" s="1495"/>
      <c r="AA95" s="1495"/>
      <c r="AB95" s="1495"/>
      <c r="AC95" s="1495"/>
      <c r="AD95" s="1495"/>
      <c r="AE95" s="1495"/>
      <c r="AF95" s="1496"/>
      <c r="AL95" s="638"/>
    </row>
    <row r="96" spans="1:38" s="227" customFormat="1" ht="45" customHeight="1" x14ac:dyDescent="0.25">
      <c r="A96" s="1680" t="s">
        <v>3924</v>
      </c>
      <c r="B96" s="1681" t="s">
        <v>294</v>
      </c>
      <c r="C96" s="1681" t="s">
        <v>294</v>
      </c>
      <c r="D96" s="1682" t="s">
        <v>294</v>
      </c>
      <c r="E96" s="2463" t="s">
        <v>3873</v>
      </c>
      <c r="F96" s="2463" t="s">
        <v>255</v>
      </c>
      <c r="G96" s="2463" t="s">
        <v>255</v>
      </c>
      <c r="H96" s="2463" t="s">
        <v>255</v>
      </c>
      <c r="I96" s="2463" t="s">
        <v>255</v>
      </c>
      <c r="J96" s="2463" t="s">
        <v>255</v>
      </c>
      <c r="K96" s="2463" t="s">
        <v>255</v>
      </c>
      <c r="L96" s="2463" t="s">
        <v>255</v>
      </c>
      <c r="M96" s="2463" t="s">
        <v>255</v>
      </c>
      <c r="N96" s="2463" t="s">
        <v>255</v>
      </c>
      <c r="O96" s="2463" t="s">
        <v>255</v>
      </c>
      <c r="P96" s="2463" t="s">
        <v>255</v>
      </c>
      <c r="Q96" s="2464" t="s">
        <v>164</v>
      </c>
      <c r="R96" s="2465" t="s">
        <v>251</v>
      </c>
      <c r="S96" s="2465" t="s">
        <v>251</v>
      </c>
      <c r="T96" s="2466" t="s">
        <v>251</v>
      </c>
      <c r="U96" s="1841" t="s">
        <v>26</v>
      </c>
      <c r="V96" s="1841"/>
      <c r="W96" s="1494" t="s">
        <v>3874</v>
      </c>
      <c r="X96" s="1495"/>
      <c r="Y96" s="1495"/>
      <c r="Z96" s="1495"/>
      <c r="AA96" s="1495"/>
      <c r="AB96" s="1495"/>
      <c r="AC96" s="1495"/>
      <c r="AD96" s="1495"/>
      <c r="AE96" s="1495"/>
      <c r="AF96" s="1496"/>
      <c r="AL96" s="638"/>
    </row>
    <row r="97" spans="1:38" s="227" customFormat="1" ht="45" customHeight="1" x14ac:dyDescent="0.25">
      <c r="A97" s="1680" t="s">
        <v>3925</v>
      </c>
      <c r="B97" s="1681" t="s">
        <v>638</v>
      </c>
      <c r="C97" s="1681" t="s">
        <v>638</v>
      </c>
      <c r="D97" s="1682" t="s">
        <v>638</v>
      </c>
      <c r="E97" s="2463" t="s">
        <v>3875</v>
      </c>
      <c r="F97" s="2463" t="s">
        <v>255</v>
      </c>
      <c r="G97" s="2463" t="s">
        <v>255</v>
      </c>
      <c r="H97" s="2463" t="s">
        <v>255</v>
      </c>
      <c r="I97" s="2463" t="s">
        <v>255</v>
      </c>
      <c r="J97" s="2463" t="s">
        <v>255</v>
      </c>
      <c r="K97" s="2463" t="s">
        <v>255</v>
      </c>
      <c r="L97" s="2463" t="s">
        <v>255</v>
      </c>
      <c r="M97" s="2463" t="s">
        <v>255</v>
      </c>
      <c r="N97" s="2463" t="s">
        <v>255</v>
      </c>
      <c r="O97" s="2463" t="s">
        <v>255</v>
      </c>
      <c r="P97" s="2463" t="s">
        <v>255</v>
      </c>
      <c r="Q97" s="2464" t="s">
        <v>164</v>
      </c>
      <c r="R97" s="2465" t="s">
        <v>251</v>
      </c>
      <c r="S97" s="2465" t="s">
        <v>251</v>
      </c>
      <c r="T97" s="2466" t="s">
        <v>251</v>
      </c>
      <c r="U97" s="1841" t="s">
        <v>26</v>
      </c>
      <c r="V97" s="1841"/>
      <c r="W97" s="1494" t="s">
        <v>3876</v>
      </c>
      <c r="X97" s="1495"/>
      <c r="Y97" s="1495"/>
      <c r="Z97" s="1495"/>
      <c r="AA97" s="1495"/>
      <c r="AB97" s="1495"/>
      <c r="AC97" s="1495"/>
      <c r="AD97" s="1495"/>
      <c r="AE97" s="1495"/>
      <c r="AF97" s="1496"/>
      <c r="AL97" s="638"/>
    </row>
    <row r="98" spans="1:38" s="227" customFormat="1" ht="45" customHeight="1" x14ac:dyDescent="0.25">
      <c r="A98" s="1680" t="s">
        <v>3926</v>
      </c>
      <c r="B98" s="1681"/>
      <c r="C98" s="1681"/>
      <c r="D98" s="1682"/>
      <c r="E98" s="2463" t="s">
        <v>3877</v>
      </c>
      <c r="F98" s="2463"/>
      <c r="G98" s="2463"/>
      <c r="H98" s="2463"/>
      <c r="I98" s="2463"/>
      <c r="J98" s="2463"/>
      <c r="K98" s="2463"/>
      <c r="L98" s="2463"/>
      <c r="M98" s="2463"/>
      <c r="N98" s="2463"/>
      <c r="O98" s="2463"/>
      <c r="P98" s="2463"/>
      <c r="Q98" s="2464" t="s">
        <v>164</v>
      </c>
      <c r="R98" s="2465" t="s">
        <v>251</v>
      </c>
      <c r="S98" s="2465" t="s">
        <v>251</v>
      </c>
      <c r="T98" s="2466" t="s">
        <v>251</v>
      </c>
      <c r="U98" s="2474" t="s">
        <v>28</v>
      </c>
      <c r="V98" s="1841"/>
      <c r="W98" s="1494"/>
      <c r="X98" s="1495"/>
      <c r="Y98" s="1495"/>
      <c r="Z98" s="1495"/>
      <c r="AA98" s="1495"/>
      <c r="AB98" s="1495"/>
      <c r="AC98" s="1495"/>
      <c r="AD98" s="1495"/>
      <c r="AE98" s="1495"/>
      <c r="AF98" s="1496"/>
      <c r="AL98" s="638"/>
    </row>
    <row r="99" spans="1:38" s="227" customFormat="1" ht="45" customHeight="1" x14ac:dyDescent="0.25">
      <c r="A99" s="1680" t="s">
        <v>3927</v>
      </c>
      <c r="B99" s="1681"/>
      <c r="C99" s="1681"/>
      <c r="D99" s="1682"/>
      <c r="E99" s="2463" t="s">
        <v>3878</v>
      </c>
      <c r="F99" s="2463"/>
      <c r="G99" s="2463"/>
      <c r="H99" s="2463"/>
      <c r="I99" s="2463"/>
      <c r="J99" s="2463"/>
      <c r="K99" s="2463"/>
      <c r="L99" s="2463"/>
      <c r="M99" s="2463"/>
      <c r="N99" s="2463"/>
      <c r="O99" s="2463"/>
      <c r="P99" s="2463"/>
      <c r="Q99" s="2464" t="s">
        <v>164</v>
      </c>
      <c r="R99" s="2465" t="s">
        <v>251</v>
      </c>
      <c r="S99" s="2465" t="s">
        <v>251</v>
      </c>
      <c r="T99" s="2466" t="s">
        <v>251</v>
      </c>
      <c r="U99" s="2474" t="s">
        <v>28</v>
      </c>
      <c r="V99" s="1841"/>
      <c r="W99" s="1494"/>
      <c r="X99" s="1495"/>
      <c r="Y99" s="1495"/>
      <c r="Z99" s="1495"/>
      <c r="AA99" s="1495"/>
      <c r="AB99" s="1495"/>
      <c r="AC99" s="1495"/>
      <c r="AD99" s="1495"/>
      <c r="AE99" s="1495"/>
      <c r="AF99" s="1496"/>
      <c r="AL99" s="638"/>
    </row>
    <row r="100" spans="1:38" s="227" customFormat="1" ht="63" customHeight="1" x14ac:dyDescent="0.25">
      <c r="A100" s="1680" t="s">
        <v>3928</v>
      </c>
      <c r="B100" s="1681"/>
      <c r="C100" s="1681"/>
      <c r="D100" s="1682"/>
      <c r="E100" s="1494" t="s">
        <v>3879</v>
      </c>
      <c r="F100" s="1495"/>
      <c r="G100" s="1495"/>
      <c r="H100" s="1495"/>
      <c r="I100" s="1495"/>
      <c r="J100" s="1495"/>
      <c r="K100" s="1495"/>
      <c r="L100" s="1495"/>
      <c r="M100" s="1495"/>
      <c r="N100" s="1495"/>
      <c r="O100" s="1495"/>
      <c r="P100" s="1496"/>
      <c r="Q100" s="2464" t="s">
        <v>164</v>
      </c>
      <c r="R100" s="2465" t="s">
        <v>251</v>
      </c>
      <c r="S100" s="2465" t="s">
        <v>251</v>
      </c>
      <c r="T100" s="2466" t="s">
        <v>251</v>
      </c>
      <c r="U100" s="2474" t="s">
        <v>28</v>
      </c>
      <c r="V100" s="1841"/>
      <c r="W100" s="1494" t="s">
        <v>3880</v>
      </c>
      <c r="X100" s="1495"/>
      <c r="Y100" s="1495"/>
      <c r="Z100" s="1495"/>
      <c r="AA100" s="1495"/>
      <c r="AB100" s="1495"/>
      <c r="AC100" s="1495"/>
      <c r="AD100" s="1495"/>
      <c r="AE100" s="1495"/>
      <c r="AF100" s="1496"/>
      <c r="AL100" s="638"/>
    </row>
    <row r="101" spans="1:38" s="227" customFormat="1" ht="63" customHeight="1" x14ac:dyDescent="0.25">
      <c r="A101" s="1680" t="s">
        <v>3929</v>
      </c>
      <c r="B101" s="1681"/>
      <c r="C101" s="1681"/>
      <c r="D101" s="1682"/>
      <c r="E101" s="1494" t="s">
        <v>3881</v>
      </c>
      <c r="F101" s="1495"/>
      <c r="G101" s="1495"/>
      <c r="H101" s="1495"/>
      <c r="I101" s="1495"/>
      <c r="J101" s="1495"/>
      <c r="K101" s="1495"/>
      <c r="L101" s="1495"/>
      <c r="M101" s="1495"/>
      <c r="N101" s="1495"/>
      <c r="O101" s="1495"/>
      <c r="P101" s="1496"/>
      <c r="Q101" s="2464" t="s">
        <v>164</v>
      </c>
      <c r="R101" s="2465" t="s">
        <v>251</v>
      </c>
      <c r="S101" s="2465" t="s">
        <v>251</v>
      </c>
      <c r="T101" s="2466" t="s">
        <v>251</v>
      </c>
      <c r="U101" s="2474" t="s">
        <v>28</v>
      </c>
      <c r="V101" s="1841"/>
      <c r="W101" s="1494" t="s">
        <v>3880</v>
      </c>
      <c r="X101" s="1495"/>
      <c r="Y101" s="1495"/>
      <c r="Z101" s="1495"/>
      <c r="AA101" s="1495"/>
      <c r="AB101" s="1495"/>
      <c r="AC101" s="1495"/>
      <c r="AD101" s="1495"/>
      <c r="AE101" s="1495"/>
      <c r="AF101" s="1496"/>
      <c r="AL101" s="638"/>
    </row>
    <row r="102" spans="1:38" s="227" customFormat="1" ht="66" customHeight="1" x14ac:dyDescent="0.25">
      <c r="A102" s="1680" t="s">
        <v>3930</v>
      </c>
      <c r="B102" s="1681"/>
      <c r="C102" s="1681"/>
      <c r="D102" s="1682"/>
      <c r="E102" s="1494" t="s">
        <v>3882</v>
      </c>
      <c r="F102" s="1495"/>
      <c r="G102" s="1495"/>
      <c r="H102" s="1495"/>
      <c r="I102" s="1495"/>
      <c r="J102" s="1495"/>
      <c r="K102" s="1495"/>
      <c r="L102" s="1495"/>
      <c r="M102" s="1495"/>
      <c r="N102" s="1495"/>
      <c r="O102" s="1495"/>
      <c r="P102" s="1496"/>
      <c r="Q102" s="2464" t="s">
        <v>164</v>
      </c>
      <c r="R102" s="2465" t="s">
        <v>251</v>
      </c>
      <c r="S102" s="2465" t="s">
        <v>251</v>
      </c>
      <c r="T102" s="2466" t="s">
        <v>251</v>
      </c>
      <c r="U102" s="2474" t="s">
        <v>28</v>
      </c>
      <c r="V102" s="1841"/>
      <c r="W102" s="1494" t="s">
        <v>3880</v>
      </c>
      <c r="X102" s="1495"/>
      <c r="Y102" s="1495"/>
      <c r="Z102" s="1495"/>
      <c r="AA102" s="1495"/>
      <c r="AB102" s="1495"/>
      <c r="AC102" s="1495"/>
      <c r="AD102" s="1495"/>
      <c r="AE102" s="1495"/>
      <c r="AF102" s="1496"/>
      <c r="AL102" s="638"/>
    </row>
    <row r="103" spans="1:38" s="227" customFormat="1" ht="45" customHeight="1" x14ac:dyDescent="0.25">
      <c r="A103" s="1680" t="s">
        <v>29</v>
      </c>
      <c r="B103" s="1681"/>
      <c r="C103" s="1681"/>
      <c r="D103" s="1682"/>
      <c r="E103" s="2463" t="s">
        <v>1703</v>
      </c>
      <c r="F103" s="2463"/>
      <c r="G103" s="2463"/>
      <c r="H103" s="2463"/>
      <c r="I103" s="2463"/>
      <c r="J103" s="2463"/>
      <c r="K103" s="2463"/>
      <c r="L103" s="2463"/>
      <c r="M103" s="2463"/>
      <c r="N103" s="2463"/>
      <c r="O103" s="2463"/>
      <c r="P103" s="2463"/>
      <c r="Q103" s="2464" t="s">
        <v>164</v>
      </c>
      <c r="R103" s="2465" t="s">
        <v>251</v>
      </c>
      <c r="S103" s="2465" t="s">
        <v>251</v>
      </c>
      <c r="T103" s="2466" t="s">
        <v>251</v>
      </c>
      <c r="U103" s="2474" t="s">
        <v>28</v>
      </c>
      <c r="V103" s="1841"/>
      <c r="W103" s="1494" t="s">
        <v>3883</v>
      </c>
      <c r="X103" s="1495"/>
      <c r="Y103" s="1495"/>
      <c r="Z103" s="1495"/>
      <c r="AA103" s="1495"/>
      <c r="AB103" s="1495"/>
      <c r="AC103" s="1495"/>
      <c r="AD103" s="1495"/>
      <c r="AE103" s="1495"/>
      <c r="AF103" s="1496"/>
      <c r="AL103" s="638"/>
    </row>
    <row r="104" spans="1:38" s="227" customFormat="1" ht="45" customHeight="1" x14ac:dyDescent="0.25">
      <c r="A104" s="1680" t="s">
        <v>3671</v>
      </c>
      <c r="B104" s="1681"/>
      <c r="C104" s="1681"/>
      <c r="D104" s="1682"/>
      <c r="E104" s="2463" t="s">
        <v>1769</v>
      </c>
      <c r="F104" s="2463"/>
      <c r="G104" s="2463"/>
      <c r="H104" s="2463"/>
      <c r="I104" s="2463"/>
      <c r="J104" s="2463"/>
      <c r="K104" s="2463"/>
      <c r="L104" s="2463"/>
      <c r="M104" s="2463"/>
      <c r="N104" s="2463"/>
      <c r="O104" s="2463"/>
      <c r="P104" s="2463"/>
      <c r="Q104" s="2464" t="s">
        <v>164</v>
      </c>
      <c r="R104" s="2465"/>
      <c r="S104" s="2465"/>
      <c r="T104" s="2466"/>
      <c r="U104" s="2474" t="s">
        <v>28</v>
      </c>
      <c r="V104" s="1841"/>
      <c r="W104" s="1494" t="s">
        <v>3931</v>
      </c>
      <c r="X104" s="1495"/>
      <c r="Y104" s="1495"/>
      <c r="Z104" s="1495"/>
      <c r="AA104" s="1495"/>
      <c r="AB104" s="1495"/>
      <c r="AC104" s="1495"/>
      <c r="AD104" s="1495"/>
      <c r="AE104" s="1495"/>
      <c r="AF104" s="1496"/>
      <c r="AL104" s="638"/>
    </row>
    <row r="105" spans="1:38" s="227" customFormat="1" ht="45" customHeight="1" x14ac:dyDescent="0.25">
      <c r="A105" s="1680" t="s">
        <v>3672</v>
      </c>
      <c r="B105" s="1681"/>
      <c r="C105" s="1681"/>
      <c r="D105" s="1682"/>
      <c r="E105" s="2463" t="s">
        <v>1768</v>
      </c>
      <c r="F105" s="2463"/>
      <c r="G105" s="2463"/>
      <c r="H105" s="2463"/>
      <c r="I105" s="2463"/>
      <c r="J105" s="2463"/>
      <c r="K105" s="2463"/>
      <c r="L105" s="2463"/>
      <c r="M105" s="2463"/>
      <c r="N105" s="2463"/>
      <c r="O105" s="2463"/>
      <c r="P105" s="2463"/>
      <c r="Q105" s="2464" t="s">
        <v>164</v>
      </c>
      <c r="R105" s="2465"/>
      <c r="S105" s="2465"/>
      <c r="T105" s="2466"/>
      <c r="U105" s="2474" t="s">
        <v>28</v>
      </c>
      <c r="V105" s="1841"/>
      <c r="W105" s="1494" t="s">
        <v>3931</v>
      </c>
      <c r="X105" s="1495"/>
      <c r="Y105" s="1495"/>
      <c r="Z105" s="1495"/>
      <c r="AA105" s="1495"/>
      <c r="AB105" s="1495"/>
      <c r="AC105" s="1495"/>
      <c r="AD105" s="1495"/>
      <c r="AE105" s="1495"/>
      <c r="AF105" s="1496"/>
      <c r="AL105" s="638"/>
    </row>
    <row r="106" spans="1:38" s="227" customFormat="1" ht="63.75" customHeight="1" x14ac:dyDescent="0.25">
      <c r="A106" s="1680" t="s">
        <v>3932</v>
      </c>
      <c r="B106" s="1681" t="s">
        <v>34</v>
      </c>
      <c r="C106" s="1681" t="s">
        <v>34</v>
      </c>
      <c r="D106" s="1682" t="s">
        <v>34</v>
      </c>
      <c r="E106" s="2463" t="s">
        <v>3884</v>
      </c>
      <c r="F106" s="2463"/>
      <c r="G106" s="2463"/>
      <c r="H106" s="2463"/>
      <c r="I106" s="2463"/>
      <c r="J106" s="2463"/>
      <c r="K106" s="2463"/>
      <c r="L106" s="2463"/>
      <c r="M106" s="2463"/>
      <c r="N106" s="2463"/>
      <c r="O106" s="2463"/>
      <c r="P106" s="2463"/>
      <c r="Q106" s="2464" t="s">
        <v>164</v>
      </c>
      <c r="R106" s="2465"/>
      <c r="S106" s="2465"/>
      <c r="T106" s="2466"/>
      <c r="U106" s="1841" t="s">
        <v>46</v>
      </c>
      <c r="V106" s="1841"/>
      <c r="W106" s="1133" t="s">
        <v>3933</v>
      </c>
      <c r="X106" s="1133"/>
      <c r="Y106" s="1133"/>
      <c r="Z106" s="1133"/>
      <c r="AA106" s="1133"/>
      <c r="AB106" s="1133"/>
      <c r="AC106" s="1133"/>
      <c r="AD106" s="1133"/>
      <c r="AE106" s="1133"/>
      <c r="AF106" s="1133"/>
      <c r="AL106" s="638"/>
    </row>
    <row r="107" spans="1:38" s="227" customFormat="1" ht="45" customHeight="1" x14ac:dyDescent="0.25">
      <c r="A107" s="1680" t="s">
        <v>1828</v>
      </c>
      <c r="B107" s="1681" t="s">
        <v>34</v>
      </c>
      <c r="C107" s="1681" t="s">
        <v>34</v>
      </c>
      <c r="D107" s="1682" t="s">
        <v>34</v>
      </c>
      <c r="E107" s="2463" t="s">
        <v>3885</v>
      </c>
      <c r="F107" s="2463"/>
      <c r="G107" s="2463"/>
      <c r="H107" s="2463"/>
      <c r="I107" s="2463"/>
      <c r="J107" s="2463"/>
      <c r="K107" s="2463"/>
      <c r="L107" s="2463"/>
      <c r="M107" s="2463"/>
      <c r="N107" s="2463"/>
      <c r="O107" s="2463"/>
      <c r="P107" s="2463"/>
      <c r="Q107" s="2464" t="s">
        <v>43</v>
      </c>
      <c r="R107" s="2465"/>
      <c r="S107" s="2465"/>
      <c r="T107" s="2466"/>
      <c r="U107" s="1841" t="s">
        <v>46</v>
      </c>
      <c r="V107" s="1841"/>
      <c r="W107" s="2463" t="s">
        <v>3934</v>
      </c>
      <c r="X107" s="1133"/>
      <c r="Y107" s="1133"/>
      <c r="Z107" s="1133"/>
      <c r="AA107" s="1133"/>
      <c r="AB107" s="1133"/>
      <c r="AC107" s="1133"/>
      <c r="AD107" s="1133"/>
      <c r="AE107" s="1133"/>
      <c r="AF107" s="1133"/>
      <c r="AL107" s="638"/>
    </row>
    <row r="108" spans="1:38" s="227" customFormat="1" ht="60.75" customHeight="1" x14ac:dyDescent="0.25">
      <c r="A108" s="1680" t="s">
        <v>3935</v>
      </c>
      <c r="B108" s="1681" t="s">
        <v>34</v>
      </c>
      <c r="C108" s="1681" t="s">
        <v>34</v>
      </c>
      <c r="D108" s="1682" t="s">
        <v>34</v>
      </c>
      <c r="E108" s="2463" t="s">
        <v>3886</v>
      </c>
      <c r="F108" s="2463"/>
      <c r="G108" s="2463"/>
      <c r="H108" s="2463"/>
      <c r="I108" s="2463"/>
      <c r="J108" s="2463"/>
      <c r="K108" s="2463"/>
      <c r="L108" s="2463"/>
      <c r="M108" s="2463"/>
      <c r="N108" s="2463"/>
      <c r="O108" s="2463"/>
      <c r="P108" s="2463"/>
      <c r="Q108" s="2464" t="s">
        <v>164</v>
      </c>
      <c r="R108" s="2465"/>
      <c r="S108" s="2465"/>
      <c r="T108" s="2466"/>
      <c r="U108" s="1841" t="s">
        <v>46</v>
      </c>
      <c r="V108" s="1841"/>
      <c r="W108" s="1133" t="s">
        <v>3933</v>
      </c>
      <c r="X108" s="1133"/>
      <c r="Y108" s="1133"/>
      <c r="Z108" s="1133"/>
      <c r="AA108" s="1133"/>
      <c r="AB108" s="1133"/>
      <c r="AC108" s="1133"/>
      <c r="AD108" s="1133"/>
      <c r="AE108" s="1133"/>
      <c r="AF108" s="1133"/>
      <c r="AL108" s="638"/>
    </row>
    <row r="109" spans="1:38" s="227" customFormat="1" x14ac:dyDescent="0.25">
      <c r="A109" s="628"/>
      <c r="B109" s="629"/>
      <c r="C109" s="629"/>
      <c r="D109" s="629"/>
      <c r="E109" s="680"/>
      <c r="F109" s="680"/>
      <c r="G109" s="680"/>
      <c r="H109" s="680"/>
      <c r="I109" s="680"/>
      <c r="J109" s="680"/>
      <c r="K109" s="680"/>
      <c r="L109" s="680"/>
      <c r="M109" s="680"/>
      <c r="N109" s="680"/>
      <c r="O109" s="680"/>
      <c r="P109" s="680"/>
      <c r="Q109" s="681"/>
      <c r="R109" s="681"/>
      <c r="S109" s="681"/>
      <c r="T109" s="681"/>
      <c r="U109" s="632"/>
      <c r="V109" s="632"/>
      <c r="W109" s="630"/>
      <c r="X109" s="630"/>
      <c r="Y109" s="630"/>
      <c r="Z109" s="630"/>
      <c r="AA109" s="630"/>
      <c r="AB109" s="630"/>
      <c r="AC109" s="630"/>
      <c r="AD109" s="630"/>
      <c r="AE109" s="630"/>
      <c r="AF109" s="630"/>
      <c r="AL109" s="638"/>
    </row>
    <row r="110" spans="1:38" s="227" customFormat="1" x14ac:dyDescent="0.25">
      <c r="A110" s="654"/>
      <c r="B110" s="654"/>
      <c r="C110" s="654"/>
      <c r="D110" s="654"/>
      <c r="E110" s="654"/>
      <c r="F110" s="654"/>
      <c r="G110" s="654"/>
      <c r="H110" s="654"/>
      <c r="I110" s="654"/>
      <c r="J110" s="654"/>
      <c r="K110" s="654"/>
      <c r="L110" s="654"/>
      <c r="M110" s="654"/>
      <c r="N110" s="654"/>
      <c r="O110" s="654"/>
      <c r="P110" s="654"/>
      <c r="Q110" s="654"/>
      <c r="R110" s="654"/>
      <c r="S110" s="654"/>
      <c r="T110" s="654"/>
      <c r="U110" s="654"/>
      <c r="V110" s="654"/>
      <c r="W110" s="654"/>
      <c r="X110" s="654"/>
      <c r="Y110" s="654"/>
      <c r="Z110" s="654"/>
      <c r="AA110" s="654"/>
      <c r="AB110" s="654"/>
      <c r="AC110" s="654"/>
      <c r="AD110" s="654"/>
      <c r="AE110" s="654"/>
      <c r="AF110" s="654"/>
      <c r="AL110" s="638"/>
    </row>
    <row r="111" spans="1:38" x14ac:dyDescent="0.25">
      <c r="A111" s="1621" t="s">
        <v>3887</v>
      </c>
      <c r="B111" s="1621"/>
      <c r="C111" s="1621"/>
      <c r="D111" s="1621"/>
      <c r="E111" s="1621"/>
      <c r="F111" s="1621"/>
      <c r="G111" s="1621"/>
      <c r="H111" s="1621"/>
      <c r="I111" s="1621"/>
      <c r="J111" s="1621"/>
      <c r="K111" s="1621"/>
      <c r="L111" s="1621"/>
      <c r="M111" s="1621"/>
      <c r="N111" s="1621"/>
      <c r="O111" s="1621"/>
      <c r="P111" s="1621"/>
      <c r="Q111" s="1621"/>
      <c r="R111" s="1621"/>
      <c r="S111" s="1621"/>
      <c r="T111" s="1621"/>
      <c r="U111" s="1621"/>
      <c r="V111" s="1621"/>
      <c r="W111" s="1621"/>
      <c r="X111" s="1621"/>
      <c r="Y111" s="1621"/>
      <c r="Z111" s="1621"/>
      <c r="AA111" s="1621"/>
      <c r="AB111" s="1621"/>
      <c r="AC111" s="1621"/>
      <c r="AD111" s="1621"/>
      <c r="AE111" s="1621"/>
      <c r="AF111" s="1621"/>
      <c r="AL111" s="839"/>
    </row>
    <row r="112" spans="1:38" x14ac:dyDescent="0.25">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c r="AA112" s="227"/>
      <c r="AB112" s="227"/>
      <c r="AC112" s="227"/>
      <c r="AD112" s="227"/>
      <c r="AE112" s="227"/>
      <c r="AF112" s="227"/>
      <c r="AL112" s="839"/>
    </row>
    <row r="113" spans="1:38" ht="34.5" customHeight="1" x14ac:dyDescent="0.25">
      <c r="A113" s="1168" t="s">
        <v>3888</v>
      </c>
      <c r="B113" s="1168"/>
      <c r="C113" s="1168"/>
      <c r="D113" s="1168"/>
      <c r="E113" s="1168"/>
      <c r="F113" s="1168"/>
      <c r="G113" s="1168"/>
      <c r="H113" s="1168"/>
      <c r="I113" s="1168"/>
      <c r="J113" s="1168"/>
      <c r="K113" s="1168"/>
      <c r="L113" s="1168"/>
      <c r="M113" s="1168"/>
      <c r="N113" s="1168"/>
      <c r="O113" s="1168"/>
      <c r="P113" s="1168"/>
      <c r="Q113" s="1168"/>
      <c r="R113" s="1168"/>
      <c r="S113" s="1168"/>
      <c r="T113" s="1168"/>
      <c r="U113" s="1168"/>
      <c r="V113" s="1168"/>
      <c r="W113" s="1168"/>
      <c r="X113" s="1168"/>
      <c r="Y113" s="1168"/>
      <c r="Z113" s="1168"/>
      <c r="AA113" s="1168"/>
      <c r="AB113" s="1168"/>
      <c r="AC113" s="1168"/>
      <c r="AD113" s="1168"/>
      <c r="AE113" s="1168"/>
      <c r="AF113" s="1168"/>
      <c r="AL113" s="839"/>
    </row>
    <row r="114" spans="1:38" x14ac:dyDescent="0.25">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7"/>
      <c r="AE114" s="227"/>
      <c r="AF114" s="227"/>
      <c r="AL114" s="839"/>
    </row>
    <row r="115" spans="1:38" x14ac:dyDescent="0.25">
      <c r="A115" s="2752" t="s">
        <v>3889</v>
      </c>
      <c r="B115" s="2752"/>
      <c r="C115" s="2752"/>
      <c r="D115" s="2752"/>
      <c r="E115" s="2752"/>
      <c r="F115" s="2752"/>
      <c r="G115" s="2752"/>
      <c r="H115" s="2752"/>
      <c r="I115" s="2752"/>
      <c r="J115" s="2752"/>
      <c r="K115" s="2752"/>
      <c r="L115" s="2752"/>
      <c r="M115" s="2752"/>
      <c r="N115" s="2752" t="s">
        <v>10</v>
      </c>
      <c r="O115" s="2752"/>
      <c r="P115" s="2752"/>
      <c r="Q115" s="2752"/>
      <c r="R115" s="2752"/>
      <c r="S115" s="2752"/>
      <c r="T115" s="2752"/>
      <c r="U115" s="2752"/>
      <c r="V115" s="2752"/>
      <c r="W115" s="2752"/>
      <c r="X115" s="2752"/>
      <c r="Y115" s="2752"/>
      <c r="Z115" s="2752"/>
      <c r="AA115" s="2752"/>
      <c r="AB115" s="2752"/>
      <c r="AC115" s="2752"/>
      <c r="AD115" s="2752"/>
      <c r="AE115" s="2752"/>
      <c r="AF115" s="2752"/>
      <c r="AL115" s="839"/>
    </row>
    <row r="116" spans="1:38" x14ac:dyDescent="0.25">
      <c r="A116" s="1271" t="s">
        <v>3890</v>
      </c>
      <c r="B116" s="1271"/>
      <c r="C116" s="1271"/>
      <c r="D116" s="1271"/>
      <c r="E116" s="1271"/>
      <c r="F116" s="1271"/>
      <c r="G116" s="1271"/>
      <c r="H116" s="1271"/>
      <c r="I116" s="1271"/>
      <c r="J116" s="1271"/>
      <c r="K116" s="1271"/>
      <c r="L116" s="1271"/>
      <c r="M116" s="1271"/>
      <c r="N116" s="2751" t="s">
        <v>3891</v>
      </c>
      <c r="O116" s="2751"/>
      <c r="P116" s="2751"/>
      <c r="Q116" s="2751"/>
      <c r="R116" s="2751"/>
      <c r="S116" s="2751"/>
      <c r="T116" s="2751"/>
      <c r="U116" s="2751"/>
      <c r="V116" s="2751"/>
      <c r="W116" s="2751"/>
      <c r="X116" s="2751"/>
      <c r="Y116" s="2751"/>
      <c r="Z116" s="2751"/>
      <c r="AA116" s="2751"/>
      <c r="AB116" s="2751"/>
      <c r="AC116" s="2751"/>
      <c r="AD116" s="2751"/>
      <c r="AE116" s="2751"/>
      <c r="AF116" s="2751"/>
      <c r="AL116" s="839"/>
    </row>
    <row r="117" spans="1:38" x14ac:dyDescent="0.25">
      <c r="A117" s="1271" t="s">
        <v>3892</v>
      </c>
      <c r="B117" s="1271"/>
      <c r="C117" s="1271"/>
      <c r="D117" s="1271"/>
      <c r="E117" s="1271"/>
      <c r="F117" s="1271"/>
      <c r="G117" s="1271"/>
      <c r="H117" s="1271"/>
      <c r="I117" s="1271"/>
      <c r="J117" s="1271"/>
      <c r="K117" s="1271"/>
      <c r="L117" s="1271"/>
      <c r="M117" s="1271"/>
      <c r="N117" s="2751" t="s">
        <v>3893</v>
      </c>
      <c r="O117" s="2751"/>
      <c r="P117" s="2751"/>
      <c r="Q117" s="2751"/>
      <c r="R117" s="2751"/>
      <c r="S117" s="2751"/>
      <c r="T117" s="2751"/>
      <c r="U117" s="2751"/>
      <c r="V117" s="2751"/>
      <c r="W117" s="2751"/>
      <c r="X117" s="2751"/>
      <c r="Y117" s="2751"/>
      <c r="Z117" s="2751"/>
      <c r="AA117" s="2751"/>
      <c r="AB117" s="2751"/>
      <c r="AC117" s="2751"/>
      <c r="AD117" s="2751"/>
      <c r="AE117" s="2751"/>
      <c r="AF117" s="2751"/>
      <c r="AL117" s="839"/>
    </row>
    <row r="118" spans="1:38" x14ac:dyDescent="0.25">
      <c r="A118" s="1271" t="s">
        <v>3894</v>
      </c>
      <c r="B118" s="1271"/>
      <c r="C118" s="1271"/>
      <c r="D118" s="1271"/>
      <c r="E118" s="1271"/>
      <c r="F118" s="1271"/>
      <c r="G118" s="1271"/>
      <c r="H118" s="1271"/>
      <c r="I118" s="1271"/>
      <c r="J118" s="1271"/>
      <c r="K118" s="1271"/>
      <c r="L118" s="1271"/>
      <c r="M118" s="1271"/>
      <c r="N118" s="2751" t="s">
        <v>3895</v>
      </c>
      <c r="O118" s="2751"/>
      <c r="P118" s="2751"/>
      <c r="Q118" s="2751"/>
      <c r="R118" s="2751"/>
      <c r="S118" s="2751"/>
      <c r="T118" s="2751"/>
      <c r="U118" s="2751"/>
      <c r="V118" s="2751"/>
      <c r="W118" s="2751"/>
      <c r="X118" s="2751"/>
      <c r="Y118" s="2751"/>
      <c r="Z118" s="2751"/>
      <c r="AA118" s="2751"/>
      <c r="AB118" s="2751"/>
      <c r="AC118" s="2751"/>
      <c r="AD118" s="2751"/>
      <c r="AE118" s="2751"/>
      <c r="AF118" s="2751"/>
      <c r="AL118" s="839"/>
    </row>
    <row r="119" spans="1:38" x14ac:dyDescent="0.25">
      <c r="A119" s="1271" t="s">
        <v>3896</v>
      </c>
      <c r="B119" s="1271"/>
      <c r="C119" s="1271"/>
      <c r="D119" s="1271"/>
      <c r="E119" s="1271"/>
      <c r="F119" s="1271"/>
      <c r="G119" s="1271"/>
      <c r="H119" s="1271"/>
      <c r="I119" s="1271"/>
      <c r="J119" s="1271"/>
      <c r="K119" s="1271"/>
      <c r="L119" s="1271"/>
      <c r="M119" s="1271"/>
      <c r="N119" s="2751" t="s">
        <v>3897</v>
      </c>
      <c r="O119" s="2751"/>
      <c r="P119" s="2751"/>
      <c r="Q119" s="2751"/>
      <c r="R119" s="2751"/>
      <c r="S119" s="2751"/>
      <c r="T119" s="2751"/>
      <c r="U119" s="2751"/>
      <c r="V119" s="2751"/>
      <c r="W119" s="2751"/>
      <c r="X119" s="2751"/>
      <c r="Y119" s="2751"/>
      <c r="Z119" s="2751"/>
      <c r="AA119" s="2751"/>
      <c r="AB119" s="2751"/>
      <c r="AC119" s="2751"/>
      <c r="AD119" s="2751"/>
      <c r="AE119" s="2751"/>
      <c r="AF119" s="2751"/>
      <c r="AL119" s="839"/>
    </row>
    <row r="120" spans="1:38" x14ac:dyDescent="0.25">
      <c r="A120" s="1271" t="s">
        <v>3898</v>
      </c>
      <c r="B120" s="1271"/>
      <c r="C120" s="1271"/>
      <c r="D120" s="1271"/>
      <c r="E120" s="1271"/>
      <c r="F120" s="1271"/>
      <c r="G120" s="1271"/>
      <c r="H120" s="1271"/>
      <c r="I120" s="1271"/>
      <c r="J120" s="1271"/>
      <c r="K120" s="1271"/>
      <c r="L120" s="1271"/>
      <c r="M120" s="1271"/>
      <c r="N120" s="2751" t="s">
        <v>3899</v>
      </c>
      <c r="O120" s="2751"/>
      <c r="P120" s="2751"/>
      <c r="Q120" s="2751"/>
      <c r="R120" s="2751"/>
      <c r="S120" s="2751"/>
      <c r="T120" s="2751"/>
      <c r="U120" s="2751"/>
      <c r="V120" s="2751"/>
      <c r="W120" s="2751"/>
      <c r="X120" s="2751"/>
      <c r="Y120" s="2751"/>
      <c r="Z120" s="2751"/>
      <c r="AA120" s="2751"/>
      <c r="AB120" s="2751"/>
      <c r="AC120" s="2751"/>
      <c r="AD120" s="2751"/>
      <c r="AE120" s="2751"/>
      <c r="AF120" s="2751"/>
      <c r="AL120" s="839"/>
    </row>
    <row r="121" spans="1:38" x14ac:dyDescent="0.25">
      <c r="A121" s="1271" t="s">
        <v>3900</v>
      </c>
      <c r="B121" s="1271"/>
      <c r="C121" s="1271"/>
      <c r="D121" s="1271"/>
      <c r="E121" s="1271"/>
      <c r="F121" s="1271"/>
      <c r="G121" s="1271"/>
      <c r="H121" s="1271"/>
      <c r="I121" s="1271"/>
      <c r="J121" s="1271"/>
      <c r="K121" s="1271"/>
      <c r="L121" s="1271"/>
      <c r="M121" s="1271"/>
      <c r="N121" s="2751" t="s">
        <v>3901</v>
      </c>
      <c r="O121" s="2751"/>
      <c r="P121" s="2751"/>
      <c r="Q121" s="2751"/>
      <c r="R121" s="2751"/>
      <c r="S121" s="2751"/>
      <c r="T121" s="2751"/>
      <c r="U121" s="2751"/>
      <c r="V121" s="2751"/>
      <c r="W121" s="2751"/>
      <c r="X121" s="2751"/>
      <c r="Y121" s="2751"/>
      <c r="Z121" s="2751"/>
      <c r="AA121" s="2751"/>
      <c r="AB121" s="2751"/>
      <c r="AC121" s="2751"/>
      <c r="AD121" s="2751"/>
      <c r="AE121" s="2751"/>
      <c r="AF121" s="2751"/>
      <c r="AL121" s="839"/>
    </row>
    <row r="122" spans="1:38" x14ac:dyDescent="0.25">
      <c r="A122" s="1271" t="s">
        <v>3902</v>
      </c>
      <c r="B122" s="1271"/>
      <c r="C122" s="1271"/>
      <c r="D122" s="1271"/>
      <c r="E122" s="1271"/>
      <c r="F122" s="1271"/>
      <c r="G122" s="1271"/>
      <c r="H122" s="1271"/>
      <c r="I122" s="1271"/>
      <c r="J122" s="1271"/>
      <c r="K122" s="1271"/>
      <c r="L122" s="1271"/>
      <c r="M122" s="1271"/>
      <c r="N122" s="2751" t="s">
        <v>3903</v>
      </c>
      <c r="O122" s="2751"/>
      <c r="P122" s="2751"/>
      <c r="Q122" s="2751"/>
      <c r="R122" s="2751"/>
      <c r="S122" s="2751"/>
      <c r="T122" s="2751"/>
      <c r="U122" s="2751"/>
      <c r="V122" s="2751"/>
      <c r="W122" s="2751"/>
      <c r="X122" s="2751"/>
      <c r="Y122" s="2751"/>
      <c r="Z122" s="2751"/>
      <c r="AA122" s="2751"/>
      <c r="AB122" s="2751"/>
      <c r="AC122" s="2751"/>
      <c r="AD122" s="2751"/>
      <c r="AE122" s="2751"/>
      <c r="AF122" s="2751"/>
      <c r="AL122" s="839"/>
    </row>
    <row r="123" spans="1:38" x14ac:dyDescent="0.25">
      <c r="A123" s="1271" t="s">
        <v>3904</v>
      </c>
      <c r="B123" s="1271"/>
      <c r="C123" s="1271"/>
      <c r="D123" s="1271"/>
      <c r="E123" s="1271"/>
      <c r="F123" s="1271"/>
      <c r="G123" s="1271"/>
      <c r="H123" s="1271"/>
      <c r="I123" s="1271"/>
      <c r="J123" s="1271"/>
      <c r="K123" s="1271"/>
      <c r="L123" s="1271"/>
      <c r="M123" s="1271"/>
      <c r="N123" s="2751" t="s">
        <v>3905</v>
      </c>
      <c r="O123" s="2751"/>
      <c r="P123" s="2751"/>
      <c r="Q123" s="2751"/>
      <c r="R123" s="2751"/>
      <c r="S123" s="2751"/>
      <c r="T123" s="2751"/>
      <c r="U123" s="2751"/>
      <c r="V123" s="2751"/>
      <c r="W123" s="2751"/>
      <c r="X123" s="2751"/>
      <c r="Y123" s="2751"/>
      <c r="Z123" s="2751"/>
      <c r="AA123" s="2751"/>
      <c r="AB123" s="2751"/>
      <c r="AC123" s="2751"/>
      <c r="AD123" s="2751"/>
      <c r="AE123" s="2751"/>
      <c r="AF123" s="2751"/>
      <c r="AL123" s="839"/>
    </row>
    <row r="124" spans="1:38" x14ac:dyDescent="0.25">
      <c r="A124" s="1271" t="s">
        <v>3906</v>
      </c>
      <c r="B124" s="1271"/>
      <c r="C124" s="1271"/>
      <c r="D124" s="1271"/>
      <c r="E124" s="1271"/>
      <c r="F124" s="1271"/>
      <c r="G124" s="1271"/>
      <c r="H124" s="1271"/>
      <c r="I124" s="1271"/>
      <c r="J124" s="1271"/>
      <c r="K124" s="1271"/>
      <c r="L124" s="1271"/>
      <c r="M124" s="1271"/>
      <c r="N124" s="2751" t="s">
        <v>3936</v>
      </c>
      <c r="O124" s="2751"/>
      <c r="P124" s="2751"/>
      <c r="Q124" s="2751"/>
      <c r="R124" s="2751"/>
      <c r="S124" s="2751"/>
      <c r="T124" s="2751"/>
      <c r="U124" s="2751"/>
      <c r="V124" s="2751"/>
      <c r="W124" s="2751"/>
      <c r="X124" s="2751"/>
      <c r="Y124" s="2751"/>
      <c r="Z124" s="2751"/>
      <c r="AA124" s="2751"/>
      <c r="AB124" s="2751"/>
      <c r="AC124" s="2751"/>
      <c r="AD124" s="2751"/>
      <c r="AE124" s="2751"/>
      <c r="AF124" s="2751"/>
      <c r="AL124" s="839"/>
    </row>
    <row r="125" spans="1:38" x14ac:dyDescent="0.25">
      <c r="A125" s="1271" t="s">
        <v>3907</v>
      </c>
      <c r="B125" s="1271"/>
      <c r="C125" s="1271"/>
      <c r="D125" s="1271"/>
      <c r="E125" s="1271"/>
      <c r="F125" s="1271"/>
      <c r="G125" s="1271"/>
      <c r="H125" s="1271"/>
      <c r="I125" s="1271"/>
      <c r="J125" s="1271"/>
      <c r="K125" s="1271"/>
      <c r="L125" s="1271"/>
      <c r="M125" s="1271"/>
      <c r="N125" s="2751" t="s">
        <v>3937</v>
      </c>
      <c r="O125" s="2751"/>
      <c r="P125" s="2751"/>
      <c r="Q125" s="2751"/>
      <c r="R125" s="2751"/>
      <c r="S125" s="2751"/>
      <c r="T125" s="2751"/>
      <c r="U125" s="2751"/>
      <c r="V125" s="2751"/>
      <c r="W125" s="2751"/>
      <c r="X125" s="2751"/>
      <c r="Y125" s="2751"/>
      <c r="Z125" s="2751"/>
      <c r="AA125" s="2751"/>
      <c r="AB125" s="2751"/>
      <c r="AC125" s="2751"/>
      <c r="AD125" s="2751"/>
      <c r="AE125" s="2751"/>
      <c r="AF125" s="2751"/>
      <c r="AL125" s="839"/>
    </row>
    <row r="126" spans="1:38" x14ac:dyDescent="0.25">
      <c r="A126" s="1271" t="s">
        <v>3908</v>
      </c>
      <c r="B126" s="1271"/>
      <c r="C126" s="1271"/>
      <c r="D126" s="1271"/>
      <c r="E126" s="1271"/>
      <c r="F126" s="1271"/>
      <c r="G126" s="1271"/>
      <c r="H126" s="1271"/>
      <c r="I126" s="1271"/>
      <c r="J126" s="1271"/>
      <c r="K126" s="1271"/>
      <c r="L126" s="1271"/>
      <c r="M126" s="1271"/>
      <c r="N126" s="2751" t="s">
        <v>3938</v>
      </c>
      <c r="O126" s="2751"/>
      <c r="P126" s="2751"/>
      <c r="Q126" s="2751"/>
      <c r="R126" s="2751"/>
      <c r="S126" s="2751"/>
      <c r="T126" s="2751"/>
      <c r="U126" s="2751"/>
      <c r="V126" s="2751"/>
      <c r="W126" s="2751"/>
      <c r="X126" s="2751"/>
      <c r="Y126" s="2751"/>
      <c r="Z126" s="2751"/>
      <c r="AA126" s="2751"/>
      <c r="AB126" s="2751"/>
      <c r="AC126" s="2751"/>
      <c r="AD126" s="2751"/>
      <c r="AE126" s="2751"/>
      <c r="AF126" s="2751"/>
      <c r="AL126" s="839"/>
    </row>
    <row r="127" spans="1:38" x14ac:dyDescent="0.25">
      <c r="A127" s="1271" t="s">
        <v>3909</v>
      </c>
      <c r="B127" s="1271"/>
      <c r="C127" s="1271"/>
      <c r="D127" s="1271"/>
      <c r="E127" s="1271"/>
      <c r="F127" s="1271"/>
      <c r="G127" s="1271"/>
      <c r="H127" s="1271"/>
      <c r="I127" s="1271"/>
      <c r="J127" s="1271"/>
      <c r="K127" s="1271"/>
      <c r="L127" s="1271"/>
      <c r="M127" s="1271"/>
      <c r="N127" s="2751" t="s">
        <v>3939</v>
      </c>
      <c r="O127" s="2751"/>
      <c r="P127" s="2751"/>
      <c r="Q127" s="2751"/>
      <c r="R127" s="2751"/>
      <c r="S127" s="2751"/>
      <c r="T127" s="2751"/>
      <c r="U127" s="2751"/>
      <c r="V127" s="2751"/>
      <c r="W127" s="2751"/>
      <c r="X127" s="2751"/>
      <c r="Y127" s="2751"/>
      <c r="Z127" s="2751"/>
      <c r="AA127" s="2751"/>
      <c r="AB127" s="2751"/>
      <c r="AC127" s="2751"/>
      <c r="AD127" s="2751"/>
      <c r="AE127" s="2751"/>
      <c r="AF127" s="2751"/>
      <c r="AL127" s="839"/>
    </row>
    <row r="128" spans="1:38" x14ac:dyDescent="0.25">
      <c r="A128" s="1271" t="s">
        <v>3910</v>
      </c>
      <c r="B128" s="1271"/>
      <c r="C128" s="1271"/>
      <c r="D128" s="1271"/>
      <c r="E128" s="1271"/>
      <c r="F128" s="1271"/>
      <c r="G128" s="1271"/>
      <c r="H128" s="1271"/>
      <c r="I128" s="1271"/>
      <c r="J128" s="1271"/>
      <c r="K128" s="1271"/>
      <c r="L128" s="1271"/>
      <c r="M128" s="1271"/>
      <c r="N128" s="2751" t="s">
        <v>3940</v>
      </c>
      <c r="O128" s="2751"/>
      <c r="P128" s="2751"/>
      <c r="Q128" s="2751"/>
      <c r="R128" s="2751"/>
      <c r="S128" s="2751"/>
      <c r="T128" s="2751"/>
      <c r="U128" s="2751"/>
      <c r="V128" s="2751"/>
      <c r="W128" s="2751"/>
      <c r="X128" s="2751"/>
      <c r="Y128" s="2751"/>
      <c r="Z128" s="2751"/>
      <c r="AA128" s="2751"/>
      <c r="AB128" s="2751"/>
      <c r="AC128" s="2751"/>
      <c r="AD128" s="2751"/>
      <c r="AE128" s="2751"/>
      <c r="AF128" s="2751"/>
      <c r="AL128" s="839"/>
    </row>
    <row r="129" spans="1:38" x14ac:dyDescent="0.25">
      <c r="A129" s="1271" t="s">
        <v>3941</v>
      </c>
      <c r="B129" s="1271"/>
      <c r="C129" s="1271"/>
      <c r="D129" s="1271"/>
      <c r="E129" s="1271"/>
      <c r="F129" s="1271"/>
      <c r="G129" s="1271"/>
      <c r="H129" s="1271"/>
      <c r="I129" s="1271"/>
      <c r="J129" s="1271"/>
      <c r="K129" s="1271"/>
      <c r="L129" s="1271"/>
      <c r="M129" s="1271"/>
      <c r="N129" s="2751" t="s">
        <v>3911</v>
      </c>
      <c r="O129" s="2751"/>
      <c r="P129" s="2751"/>
      <c r="Q129" s="2751"/>
      <c r="R129" s="2751"/>
      <c r="S129" s="2751"/>
      <c r="T129" s="2751"/>
      <c r="U129" s="2751"/>
      <c r="V129" s="2751"/>
      <c r="W129" s="2751"/>
      <c r="X129" s="2751"/>
      <c r="Y129" s="2751"/>
      <c r="Z129" s="2751"/>
      <c r="AA129" s="2751"/>
      <c r="AB129" s="2751"/>
      <c r="AC129" s="2751"/>
      <c r="AD129" s="2751"/>
      <c r="AE129" s="2751"/>
      <c r="AF129" s="2751"/>
      <c r="AL129" s="839"/>
    </row>
    <row r="130" spans="1:38" x14ac:dyDescent="0.25">
      <c r="A130" s="1271" t="s">
        <v>3912</v>
      </c>
      <c r="B130" s="1271"/>
      <c r="C130" s="1271"/>
      <c r="D130" s="1271"/>
      <c r="E130" s="1271"/>
      <c r="F130" s="1271"/>
      <c r="G130" s="1271"/>
      <c r="H130" s="1271"/>
      <c r="I130" s="1271"/>
      <c r="J130" s="1271"/>
      <c r="K130" s="1271"/>
      <c r="L130" s="1271"/>
      <c r="M130" s="1271"/>
      <c r="N130" s="2751" t="s">
        <v>3942</v>
      </c>
      <c r="O130" s="2751"/>
      <c r="P130" s="2751"/>
      <c r="Q130" s="2751"/>
      <c r="R130" s="2751"/>
      <c r="S130" s="2751"/>
      <c r="T130" s="2751"/>
      <c r="U130" s="2751"/>
      <c r="V130" s="2751"/>
      <c r="W130" s="2751"/>
      <c r="X130" s="2751"/>
      <c r="Y130" s="2751"/>
      <c r="Z130" s="2751"/>
      <c r="AA130" s="2751"/>
      <c r="AB130" s="2751"/>
      <c r="AC130" s="2751"/>
      <c r="AD130" s="2751"/>
      <c r="AE130" s="2751"/>
      <c r="AF130" s="2751"/>
      <c r="AL130" s="839"/>
    </row>
    <row r="131" spans="1:38" x14ac:dyDescent="0.25">
      <c r="A131" s="1271" t="s">
        <v>3913</v>
      </c>
      <c r="B131" s="1271"/>
      <c r="C131" s="1271"/>
      <c r="D131" s="1271"/>
      <c r="E131" s="1271"/>
      <c r="F131" s="1271"/>
      <c r="G131" s="1271"/>
      <c r="H131" s="1271"/>
      <c r="I131" s="1271"/>
      <c r="J131" s="1271"/>
      <c r="K131" s="1271"/>
      <c r="L131" s="1271"/>
      <c r="M131" s="1271"/>
      <c r="N131" s="2751" t="s">
        <v>3943</v>
      </c>
      <c r="O131" s="2751"/>
      <c r="P131" s="2751"/>
      <c r="Q131" s="2751"/>
      <c r="R131" s="2751"/>
      <c r="S131" s="2751"/>
      <c r="T131" s="2751"/>
      <c r="U131" s="2751"/>
      <c r="V131" s="2751"/>
      <c r="W131" s="2751"/>
      <c r="X131" s="2751"/>
      <c r="Y131" s="2751"/>
      <c r="Z131" s="2751"/>
      <c r="AA131" s="2751"/>
      <c r="AB131" s="2751"/>
      <c r="AC131" s="2751"/>
      <c r="AD131" s="2751"/>
      <c r="AE131" s="2751"/>
      <c r="AF131" s="2751"/>
      <c r="AL131" s="839"/>
    </row>
    <row r="132" spans="1:38" x14ac:dyDescent="0.25">
      <c r="A132" s="1271" t="s">
        <v>3914</v>
      </c>
      <c r="B132" s="1271"/>
      <c r="C132" s="1271"/>
      <c r="D132" s="1271"/>
      <c r="E132" s="1271"/>
      <c r="F132" s="1271"/>
      <c r="G132" s="1271"/>
      <c r="H132" s="1271"/>
      <c r="I132" s="1271"/>
      <c r="J132" s="1271"/>
      <c r="K132" s="1271"/>
      <c r="L132" s="1271"/>
      <c r="M132" s="1271"/>
      <c r="N132" s="2751" t="s">
        <v>3944</v>
      </c>
      <c r="O132" s="2751"/>
      <c r="P132" s="2751"/>
      <c r="Q132" s="2751"/>
      <c r="R132" s="2751"/>
      <c r="S132" s="2751"/>
      <c r="T132" s="2751"/>
      <c r="U132" s="2751"/>
      <c r="V132" s="2751"/>
      <c r="W132" s="2751"/>
      <c r="X132" s="2751"/>
      <c r="Y132" s="2751"/>
      <c r="Z132" s="2751"/>
      <c r="AA132" s="2751"/>
      <c r="AB132" s="2751"/>
      <c r="AC132" s="2751"/>
      <c r="AD132" s="2751"/>
      <c r="AE132" s="2751"/>
      <c r="AF132" s="2751"/>
      <c r="AL132" s="839"/>
    </row>
    <row r="133" spans="1:38" x14ac:dyDescent="0.25">
      <c r="A133" s="1271" t="s">
        <v>3915</v>
      </c>
      <c r="B133" s="1271"/>
      <c r="C133" s="1271"/>
      <c r="D133" s="1271"/>
      <c r="E133" s="1271"/>
      <c r="F133" s="1271"/>
      <c r="G133" s="1271"/>
      <c r="H133" s="1271"/>
      <c r="I133" s="1271"/>
      <c r="J133" s="1271"/>
      <c r="K133" s="1271"/>
      <c r="L133" s="1271"/>
      <c r="M133" s="1271"/>
      <c r="N133" s="2751" t="s">
        <v>3945</v>
      </c>
      <c r="O133" s="2751"/>
      <c r="P133" s="2751"/>
      <c r="Q133" s="2751"/>
      <c r="R133" s="2751"/>
      <c r="S133" s="2751"/>
      <c r="T133" s="2751"/>
      <c r="U133" s="2751"/>
      <c r="V133" s="2751"/>
      <c r="W133" s="2751"/>
      <c r="X133" s="2751"/>
      <c r="Y133" s="2751"/>
      <c r="Z133" s="2751"/>
      <c r="AA133" s="2751"/>
      <c r="AB133" s="2751"/>
      <c r="AC133" s="2751"/>
      <c r="AD133" s="2751"/>
      <c r="AE133" s="2751"/>
      <c r="AF133" s="2751"/>
      <c r="AL133" s="839"/>
    </row>
    <row r="134" spans="1:38" x14ac:dyDescent="0.25">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c r="AA134" s="227"/>
      <c r="AB134" s="227"/>
      <c r="AC134" s="227"/>
      <c r="AD134" s="227"/>
      <c r="AE134" s="227"/>
      <c r="AF134" s="227"/>
      <c r="AL134" s="839"/>
    </row>
    <row r="135" spans="1:38" ht="30.75" customHeight="1" x14ac:dyDescent="0.25">
      <c r="A135" s="1173" t="s">
        <v>3946</v>
      </c>
      <c r="B135" s="1173"/>
      <c r="C135" s="1173"/>
      <c r="D135" s="1173"/>
      <c r="E135" s="1173"/>
      <c r="F135" s="1173"/>
      <c r="G135" s="1173"/>
      <c r="H135" s="1173"/>
      <c r="I135" s="1173"/>
      <c r="J135" s="1173"/>
      <c r="K135" s="1173"/>
      <c r="L135" s="1173"/>
      <c r="M135" s="1173"/>
      <c r="N135" s="1173"/>
      <c r="O135" s="1173"/>
      <c r="P135" s="1173"/>
      <c r="Q135" s="1173"/>
      <c r="R135" s="1173"/>
      <c r="S135" s="1173"/>
      <c r="T135" s="1173"/>
      <c r="U135" s="1173"/>
      <c r="V135" s="1173"/>
      <c r="W135" s="1173"/>
      <c r="X135" s="1173"/>
      <c r="Y135" s="1173"/>
      <c r="Z135" s="1173"/>
      <c r="AA135" s="1173"/>
      <c r="AB135" s="1173"/>
      <c r="AC135" s="1173"/>
      <c r="AD135" s="1173"/>
      <c r="AE135" s="1173"/>
      <c r="AF135" s="1173"/>
      <c r="AL135" s="839"/>
    </row>
    <row r="136" spans="1:38" x14ac:dyDescent="0.25">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c r="AC136" s="227"/>
      <c r="AD136" s="227"/>
      <c r="AE136" s="227"/>
      <c r="AF136" s="227"/>
      <c r="AL136" s="839"/>
    </row>
    <row r="137" spans="1:38" x14ac:dyDescent="0.25">
      <c r="A137" s="1621" t="s">
        <v>1753</v>
      </c>
      <c r="B137" s="1621"/>
      <c r="C137" s="1621"/>
      <c r="D137" s="1621"/>
      <c r="E137" s="1621"/>
      <c r="F137" s="1621"/>
      <c r="G137" s="1621"/>
      <c r="H137" s="1621"/>
      <c r="I137" s="1621"/>
      <c r="J137" s="1621"/>
      <c r="K137" s="1621"/>
      <c r="L137" s="1621"/>
      <c r="M137" s="1621"/>
      <c r="N137" s="1621"/>
      <c r="O137" s="1621"/>
      <c r="P137" s="1621"/>
      <c r="Q137" s="1621"/>
      <c r="R137" s="1621"/>
      <c r="S137" s="1621"/>
      <c r="T137" s="1621"/>
      <c r="U137" s="1621"/>
      <c r="V137" s="1621"/>
      <c r="W137" s="1621"/>
      <c r="X137" s="1621"/>
      <c r="Y137" s="1621"/>
      <c r="Z137" s="1621"/>
      <c r="AA137" s="1621"/>
      <c r="AB137" s="1621"/>
      <c r="AC137" s="1621"/>
      <c r="AD137" s="1621"/>
      <c r="AE137" s="1621"/>
      <c r="AF137" s="1621"/>
      <c r="AL137" s="839"/>
    </row>
    <row r="138" spans="1:38" x14ac:dyDescent="0.25">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c r="AC138" s="227"/>
      <c r="AD138" s="227"/>
      <c r="AE138" s="227"/>
      <c r="AF138" s="227"/>
      <c r="AL138" s="839"/>
    </row>
    <row r="139" spans="1:38" s="227" customFormat="1" ht="60.75" customHeight="1" x14ac:dyDescent="0.25">
      <c r="A139" s="517" t="s">
        <v>1013</v>
      </c>
      <c r="B139" s="1168" t="s">
        <v>6704</v>
      </c>
      <c r="C139" s="1168"/>
      <c r="D139" s="1168"/>
      <c r="E139" s="1168"/>
      <c r="F139" s="1168"/>
      <c r="G139" s="1168"/>
      <c r="H139" s="1168"/>
      <c r="I139" s="1168"/>
      <c r="J139" s="1168"/>
      <c r="K139" s="1168"/>
      <c r="L139" s="1168"/>
      <c r="M139" s="1168"/>
      <c r="N139" s="1168"/>
      <c r="O139" s="1168"/>
      <c r="P139" s="1168"/>
      <c r="Q139" s="1168"/>
      <c r="R139" s="1168"/>
      <c r="S139" s="1168"/>
      <c r="T139" s="1168"/>
      <c r="U139" s="1168"/>
      <c r="V139" s="1168"/>
      <c r="W139" s="1168"/>
      <c r="X139" s="1168"/>
      <c r="Y139" s="1168"/>
      <c r="Z139" s="1168"/>
      <c r="AA139" s="1168"/>
      <c r="AB139" s="1168"/>
      <c r="AC139" s="1168"/>
      <c r="AD139" s="1168"/>
      <c r="AE139" s="1168"/>
      <c r="AF139" s="1168"/>
      <c r="AL139" s="638"/>
    </row>
    <row r="140" spans="1:38" ht="35.25" customHeight="1" x14ac:dyDescent="0.25">
      <c r="A140" s="517" t="s">
        <v>1013</v>
      </c>
      <c r="B140" s="1168" t="s">
        <v>3916</v>
      </c>
      <c r="C140" s="1168"/>
      <c r="D140" s="1168"/>
      <c r="E140" s="1168"/>
      <c r="F140" s="1168"/>
      <c r="G140" s="1168"/>
      <c r="H140" s="1168"/>
      <c r="I140" s="1168"/>
      <c r="J140" s="1168"/>
      <c r="K140" s="1168"/>
      <c r="L140" s="1168"/>
      <c r="M140" s="1168"/>
      <c r="N140" s="1168"/>
      <c r="O140" s="1168"/>
      <c r="P140" s="1168"/>
      <c r="Q140" s="1168"/>
      <c r="R140" s="1168"/>
      <c r="S140" s="1168"/>
      <c r="T140" s="1168"/>
      <c r="U140" s="1168"/>
      <c r="V140" s="1168"/>
      <c r="W140" s="1168"/>
      <c r="X140" s="1168"/>
      <c r="Y140" s="1168"/>
      <c r="Z140" s="1168"/>
      <c r="AA140" s="1168"/>
      <c r="AB140" s="1168"/>
      <c r="AC140" s="1168"/>
      <c r="AD140" s="1168"/>
      <c r="AE140" s="1168"/>
      <c r="AF140" s="1168"/>
      <c r="AL140" s="839"/>
    </row>
    <row r="141" spans="1:38" ht="38.25" customHeight="1" x14ac:dyDescent="0.25">
      <c r="A141" s="517" t="s">
        <v>1013</v>
      </c>
      <c r="B141" s="1168" t="s">
        <v>3917</v>
      </c>
      <c r="C141" s="1168"/>
      <c r="D141" s="1168"/>
      <c r="E141" s="1168"/>
      <c r="F141" s="1168"/>
      <c r="G141" s="1168"/>
      <c r="H141" s="1168"/>
      <c r="I141" s="1168"/>
      <c r="J141" s="1168"/>
      <c r="K141" s="1168"/>
      <c r="L141" s="1168"/>
      <c r="M141" s="1168"/>
      <c r="N141" s="1168"/>
      <c r="O141" s="1168"/>
      <c r="P141" s="1168"/>
      <c r="Q141" s="1168"/>
      <c r="R141" s="1168"/>
      <c r="S141" s="1168"/>
      <c r="T141" s="1168"/>
      <c r="U141" s="1168"/>
      <c r="V141" s="1168"/>
      <c r="W141" s="1168"/>
      <c r="X141" s="1168"/>
      <c r="Y141" s="1168"/>
      <c r="Z141" s="1168"/>
      <c r="AA141" s="1168"/>
      <c r="AB141" s="1168"/>
      <c r="AC141" s="1168"/>
      <c r="AD141" s="1168"/>
      <c r="AE141" s="1168"/>
      <c r="AF141" s="1168"/>
      <c r="AL141" s="839"/>
    </row>
    <row r="142" spans="1:38" x14ac:dyDescent="0.25">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c r="AA142" s="227"/>
      <c r="AB142" s="227"/>
      <c r="AC142" s="227"/>
      <c r="AD142" s="227"/>
      <c r="AE142" s="227"/>
      <c r="AF142" s="227"/>
    </row>
    <row r="143" spans="1:38" x14ac:dyDescent="0.25">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c r="AA143" s="227"/>
      <c r="AB143" s="227"/>
      <c r="AC143" s="227"/>
      <c r="AD143" s="227"/>
      <c r="AE143" s="227"/>
      <c r="AF143" s="227"/>
    </row>
    <row r="144" spans="1:38" x14ac:dyDescent="0.25">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row>
  </sheetData>
  <sheetProtection algorithmName="SHA-512" hashValue="BR9yZv5QcgdNRs0g0r1bYQJ8L7w/DIHB2zvM9oO9uHwquP57fJpm5iNSw3Xu33i+VQjGg+vxaechdwYisQdx6w==" saltValue="Rhi3tjgp4m8xP+Ubd0Z6zQ==" spinCount="100000" sheet="1" objects="1" scenarios="1"/>
  <mergeCells count="153">
    <mergeCell ref="A137:AF137"/>
    <mergeCell ref="B139:AF139"/>
    <mergeCell ref="B140:AF140"/>
    <mergeCell ref="B141:AF141"/>
    <mergeCell ref="A120:M120"/>
    <mergeCell ref="N120:AF120"/>
    <mergeCell ref="A121:M121"/>
    <mergeCell ref="N121:AF121"/>
    <mergeCell ref="A122:M122"/>
    <mergeCell ref="N122:AF122"/>
    <mergeCell ref="A123:M123"/>
    <mergeCell ref="N123:AF123"/>
    <mergeCell ref="A124:M124"/>
    <mergeCell ref="N124:AF124"/>
    <mergeCell ref="A131:M131"/>
    <mergeCell ref="N131:AF131"/>
    <mergeCell ref="A132:M132"/>
    <mergeCell ref="N132:AF132"/>
    <mergeCell ref="A133:M133"/>
    <mergeCell ref="N133:AF133"/>
    <mergeCell ref="A135:AF135"/>
    <mergeCell ref="A128:M128"/>
    <mergeCell ref="N128:AF128"/>
    <mergeCell ref="A129:M129"/>
    <mergeCell ref="A101:D101"/>
    <mergeCell ref="E101:P101"/>
    <mergeCell ref="Q101:T101"/>
    <mergeCell ref="U101:V101"/>
    <mergeCell ref="W101:AF101"/>
    <mergeCell ref="A102:D102"/>
    <mergeCell ref="E102:P102"/>
    <mergeCell ref="Q102:T102"/>
    <mergeCell ref="U102:V102"/>
    <mergeCell ref="W102:AF102"/>
    <mergeCell ref="A99:D99"/>
    <mergeCell ref="E99:P99"/>
    <mergeCell ref="Q99:T99"/>
    <mergeCell ref="U99:V99"/>
    <mergeCell ref="W99:AF99"/>
    <mergeCell ref="A100:D100"/>
    <mergeCell ref="E100:P100"/>
    <mergeCell ref="Q100:T100"/>
    <mergeCell ref="U100:V100"/>
    <mergeCell ref="W100:AF100"/>
    <mergeCell ref="A97:D97"/>
    <mergeCell ref="E97:P97"/>
    <mergeCell ref="Q97:T97"/>
    <mergeCell ref="U97:V97"/>
    <mergeCell ref="W97:AF97"/>
    <mergeCell ref="A98:D98"/>
    <mergeCell ref="E98:P98"/>
    <mergeCell ref="Q98:T98"/>
    <mergeCell ref="U98:V98"/>
    <mergeCell ref="W98:AF98"/>
    <mergeCell ref="A95:D95"/>
    <mergeCell ref="E95:P95"/>
    <mergeCell ref="Q95:T95"/>
    <mergeCell ref="U95:V95"/>
    <mergeCell ref="W95:AF95"/>
    <mergeCell ref="A96:D96"/>
    <mergeCell ref="E96:P96"/>
    <mergeCell ref="Q96:T96"/>
    <mergeCell ref="U96:V96"/>
    <mergeCell ref="W96:AF96"/>
    <mergeCell ref="A92:AF92"/>
    <mergeCell ref="A93:D93"/>
    <mergeCell ref="E93:P93"/>
    <mergeCell ref="Q93:T93"/>
    <mergeCell ref="U93:V93"/>
    <mergeCell ref="W93:AF93"/>
    <mergeCell ref="A94:D94"/>
    <mergeCell ref="E94:P94"/>
    <mergeCell ref="Q94:T94"/>
    <mergeCell ref="U94:V94"/>
    <mergeCell ref="W94:AF94"/>
    <mergeCell ref="B23:AF23"/>
    <mergeCell ref="B25:I25"/>
    <mergeCell ref="A34:AF34"/>
    <mergeCell ref="A36:AF36"/>
    <mergeCell ref="A38:AF38"/>
    <mergeCell ref="A40:AF40"/>
    <mergeCell ref="A42:AF42"/>
    <mergeCell ref="A44:AF44"/>
    <mergeCell ref="A46:AF46"/>
    <mergeCell ref="B26:AF26"/>
    <mergeCell ref="B29:AF29"/>
    <mergeCell ref="B32:AF32"/>
    <mergeCell ref="B28:I28"/>
    <mergeCell ref="N129:AF129"/>
    <mergeCell ref="A130:M130"/>
    <mergeCell ref="N130:AF130"/>
    <mergeCell ref="A126:M126"/>
    <mergeCell ref="N126:AF126"/>
    <mergeCell ref="A127:M127"/>
    <mergeCell ref="N127:AF127"/>
    <mergeCell ref="A125:M125"/>
    <mergeCell ref="N125:AF125"/>
    <mergeCell ref="A118:M118"/>
    <mergeCell ref="N118:AF118"/>
    <mergeCell ref="A119:M119"/>
    <mergeCell ref="N119:AF119"/>
    <mergeCell ref="A116:M116"/>
    <mergeCell ref="N116:AF116"/>
    <mergeCell ref="A117:M117"/>
    <mergeCell ref="N117:AF117"/>
    <mergeCell ref="A115:M115"/>
    <mergeCell ref="N115:AF115"/>
    <mergeCell ref="A113:AF113"/>
    <mergeCell ref="A111:AF111"/>
    <mergeCell ref="A108:D108"/>
    <mergeCell ref="E108:P108"/>
    <mergeCell ref="Q108:T108"/>
    <mergeCell ref="U108:V108"/>
    <mergeCell ref="W108:AF108"/>
    <mergeCell ref="A107:D107"/>
    <mergeCell ref="E107:P107"/>
    <mergeCell ref="Q107:T107"/>
    <mergeCell ref="U107:V107"/>
    <mergeCell ref="W107:AF107"/>
    <mergeCell ref="A106:D106"/>
    <mergeCell ref="E106:P106"/>
    <mergeCell ref="Q106:T106"/>
    <mergeCell ref="U106:V106"/>
    <mergeCell ref="W106:AF106"/>
    <mergeCell ref="A105:D105"/>
    <mergeCell ref="E105:P105"/>
    <mergeCell ref="Q105:T105"/>
    <mergeCell ref="U105:V105"/>
    <mergeCell ref="W105:AF105"/>
    <mergeCell ref="A104:D104"/>
    <mergeCell ref="E104:P104"/>
    <mergeCell ref="Q104:T104"/>
    <mergeCell ref="U104:V104"/>
    <mergeCell ref="W104:AF104"/>
    <mergeCell ref="A103:D103"/>
    <mergeCell ref="E103:P103"/>
    <mergeCell ref="Q103:T103"/>
    <mergeCell ref="U103:V103"/>
    <mergeCell ref="W103:AF103"/>
    <mergeCell ref="B17:AF17"/>
    <mergeCell ref="B19:AF19"/>
    <mergeCell ref="B21:AF21"/>
    <mergeCell ref="A1:AF1"/>
    <mergeCell ref="A3:AF3"/>
    <mergeCell ref="A7:AF7"/>
    <mergeCell ref="B9:I9"/>
    <mergeCell ref="B10:AF10"/>
    <mergeCell ref="C16:AF16"/>
    <mergeCell ref="B5:AF5"/>
    <mergeCell ref="B12:I12"/>
    <mergeCell ref="B13:AF13"/>
    <mergeCell ref="C14:AF14"/>
    <mergeCell ref="C15:AF15"/>
  </mergeCells>
  <hyperlinks>
    <hyperlink ref="A2" location="TOC!A1" display="Return to TOC" xr:uid="{285ABA82-B2F6-4B0C-B671-8EF035686EFA}"/>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52:AF74 AF80:AF90" numberStoredAsText="1"/>
  </ignoredError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5">
    <tabColor theme="5" tint="0.59999389629810485"/>
    <pageSetUpPr autoPageBreaks="0"/>
  </sheetPr>
  <dimension ref="A1:AF65"/>
  <sheetViews>
    <sheetView zoomScaleNormal="100" workbookViewId="0">
      <selection sqref="A1:AF1"/>
    </sheetView>
  </sheetViews>
  <sheetFormatPr defaultColWidth="2.7109375" defaultRowHeight="15" x14ac:dyDescent="0.25"/>
  <cols>
    <col min="1" max="14" width="2.7109375" style="1"/>
    <col min="15" max="15" width="2.7109375" style="1" customWidth="1"/>
    <col min="16" max="16384" width="2.7109375" style="1"/>
  </cols>
  <sheetData>
    <row r="1" spans="1:32" ht="18.75" x14ac:dyDescent="0.25">
      <c r="A1" s="1464" t="s">
        <v>1142</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472" t="s">
        <v>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171" t="s">
        <v>10</v>
      </c>
      <c r="C5" s="171"/>
      <c r="D5" s="171"/>
      <c r="E5" s="171"/>
      <c r="F5" s="171"/>
      <c r="G5" s="171"/>
      <c r="H5" s="171"/>
      <c r="I5" s="171"/>
    </row>
    <row r="6" spans="1:32" ht="99" customHeight="1" x14ac:dyDescent="0.25">
      <c r="B6" s="1247" t="s">
        <v>297</v>
      </c>
      <c r="C6" s="1247"/>
      <c r="D6" s="1247"/>
      <c r="E6" s="1247"/>
      <c r="F6" s="1247"/>
      <c r="G6" s="1247"/>
      <c r="H6" s="1247"/>
      <c r="I6" s="1247"/>
      <c r="J6" s="1247"/>
      <c r="K6" s="1247"/>
      <c r="L6" s="1247"/>
      <c r="M6" s="1247"/>
      <c r="N6" s="1247"/>
      <c r="O6" s="1247"/>
      <c r="P6" s="1247"/>
      <c r="Q6" s="1247"/>
      <c r="R6" s="1247"/>
      <c r="S6" s="1247"/>
      <c r="T6" s="1247"/>
      <c r="U6" s="1247"/>
      <c r="V6" s="1247"/>
      <c r="W6" s="1247"/>
      <c r="X6" s="1247"/>
      <c r="Y6" s="1247"/>
      <c r="Z6" s="1247"/>
      <c r="AA6" s="1247"/>
      <c r="AB6" s="1247"/>
      <c r="AC6" s="1247"/>
      <c r="AD6" s="1247"/>
      <c r="AE6" s="1247"/>
      <c r="AF6" s="1247"/>
    </row>
    <row r="8" spans="1:32" x14ac:dyDescent="0.25">
      <c r="B8" s="171" t="s">
        <v>11</v>
      </c>
      <c r="C8" s="171"/>
      <c r="D8" s="171"/>
      <c r="E8" s="171"/>
      <c r="F8" s="171"/>
      <c r="G8" s="171"/>
      <c r="H8" s="171"/>
      <c r="I8" s="171"/>
    </row>
    <row r="9" spans="1:32" ht="130.5" customHeight="1" x14ac:dyDescent="0.25">
      <c r="B9" s="1247" t="s">
        <v>703</v>
      </c>
      <c r="C9" s="1247"/>
      <c r="D9" s="1247"/>
      <c r="E9" s="1247"/>
      <c r="F9" s="1247"/>
      <c r="G9" s="1247"/>
      <c r="H9" s="1247"/>
      <c r="I9" s="1247"/>
      <c r="J9" s="1247"/>
      <c r="K9" s="1247"/>
      <c r="L9" s="1247"/>
      <c r="M9" s="1247"/>
      <c r="N9" s="1247"/>
      <c r="O9" s="1247"/>
      <c r="P9" s="1247"/>
      <c r="Q9" s="1247"/>
      <c r="R9" s="1247"/>
      <c r="S9" s="1247"/>
      <c r="T9" s="1247"/>
      <c r="U9" s="1247"/>
      <c r="V9" s="1247"/>
      <c r="W9" s="1247"/>
      <c r="X9" s="1247"/>
      <c r="Y9" s="1247"/>
      <c r="Z9" s="1247"/>
      <c r="AA9" s="1247"/>
      <c r="AB9" s="1247"/>
      <c r="AC9" s="1247"/>
      <c r="AD9" s="1247"/>
      <c r="AE9" s="1247"/>
      <c r="AF9" s="1247"/>
    </row>
    <row r="11" spans="1:32" x14ac:dyDescent="0.25">
      <c r="B11" s="171" t="s">
        <v>12</v>
      </c>
      <c r="C11" s="171"/>
      <c r="D11" s="171"/>
      <c r="E11" s="171"/>
      <c r="F11" s="171"/>
      <c r="G11" s="171"/>
      <c r="H11" s="171"/>
      <c r="I11" s="171"/>
    </row>
    <row r="12" spans="1:32" x14ac:dyDescent="0.25">
      <c r="B12" s="1473" t="s">
        <v>702</v>
      </c>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row>
    <row r="14" spans="1:32" x14ac:dyDescent="0.25">
      <c r="B14" s="171" t="s">
        <v>13</v>
      </c>
      <c r="C14" s="171"/>
      <c r="D14" s="171"/>
      <c r="E14" s="171"/>
      <c r="F14" s="171"/>
      <c r="G14" s="171"/>
      <c r="H14" s="171"/>
      <c r="I14" s="171"/>
    </row>
    <row r="15" spans="1:32" x14ac:dyDescent="0.25">
      <c r="B15" s="1473" t="s">
        <v>704</v>
      </c>
      <c r="C15" s="1473"/>
      <c r="D15" s="1473"/>
      <c r="E15" s="1473"/>
      <c r="F15" s="1473"/>
      <c r="G15" s="1473"/>
      <c r="H15" s="1473"/>
      <c r="I15" s="1473"/>
      <c r="J15" s="1473"/>
      <c r="K15" s="1473"/>
      <c r="L15" s="1473"/>
      <c r="M15" s="1473"/>
      <c r="N15" s="1473"/>
      <c r="O15" s="1473"/>
      <c r="P15" s="1473"/>
      <c r="Q15" s="1473"/>
      <c r="R15" s="1473"/>
      <c r="S15" s="1473"/>
      <c r="T15" s="1473"/>
      <c r="U15" s="1473"/>
      <c r="V15" s="1473"/>
      <c r="W15" s="1473"/>
      <c r="X15" s="1473"/>
      <c r="Y15" s="1473"/>
      <c r="Z15" s="1473"/>
      <c r="AA15" s="1473"/>
      <c r="AB15" s="1473"/>
      <c r="AC15" s="1473"/>
      <c r="AD15" s="1473"/>
      <c r="AE15" s="1473"/>
      <c r="AF15" s="1473"/>
    </row>
    <row r="17" spans="1:32" x14ac:dyDescent="0.25">
      <c r="B17" s="171" t="s">
        <v>20</v>
      </c>
      <c r="C17" s="171"/>
      <c r="D17" s="171"/>
      <c r="E17" s="171"/>
      <c r="F17" s="171"/>
      <c r="G17" s="171"/>
      <c r="H17" s="171"/>
      <c r="I17" s="171"/>
    </row>
    <row r="18" spans="1:32" x14ac:dyDescent="0.25">
      <c r="B18" s="1473" t="s">
        <v>705</v>
      </c>
      <c r="C18" s="1473"/>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row>
    <row r="21" spans="1:32" x14ac:dyDescent="0.25">
      <c r="A21" s="1472" t="s">
        <v>14</v>
      </c>
      <c r="B21" s="1472"/>
      <c r="C21" s="1472"/>
      <c r="D21" s="1472"/>
      <c r="E21" s="1472"/>
      <c r="F21" s="1472"/>
      <c r="G21" s="1472"/>
      <c r="H21" s="1472"/>
      <c r="I21" s="1472"/>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row>
    <row r="22" spans="1:32"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row>
    <row r="23" spans="1:32" x14ac:dyDescent="0.25">
      <c r="O23" s="415" t="s">
        <v>298</v>
      </c>
      <c r="P23" s="204" t="s">
        <v>965</v>
      </c>
    </row>
    <row r="24" spans="1:32" x14ac:dyDescent="0.25">
      <c r="O24" s="415" t="s">
        <v>300</v>
      </c>
      <c r="P24" s="204" t="s">
        <v>966</v>
      </c>
    </row>
    <row r="25" spans="1:32" x14ac:dyDescent="0.25">
      <c r="O25" s="415" t="s">
        <v>301</v>
      </c>
      <c r="P25" s="204" t="s">
        <v>967</v>
      </c>
    </row>
    <row r="26" spans="1:32" x14ac:dyDescent="0.25">
      <c r="O26" s="415" t="s">
        <v>302</v>
      </c>
      <c r="P26" s="204" t="s">
        <v>968</v>
      </c>
    </row>
    <row r="27" spans="1:32" x14ac:dyDescent="0.25">
      <c r="A27" s="3"/>
    </row>
    <row r="28" spans="1:32" x14ac:dyDescent="0.25">
      <c r="A28" s="3"/>
    </row>
    <row r="29" spans="1:32" x14ac:dyDescent="0.25">
      <c r="A29" s="1472" t="s">
        <v>15</v>
      </c>
      <c r="B29" s="1472"/>
      <c r="C29" s="1472"/>
      <c r="D29" s="1472"/>
      <c r="E29" s="1472"/>
      <c r="F29" s="1472"/>
      <c r="G29" s="1472"/>
      <c r="H29" s="1472"/>
      <c r="I29" s="1472"/>
      <c r="J29" s="1472"/>
      <c r="K29" s="1472"/>
      <c r="L29" s="1472"/>
      <c r="M29" s="1472"/>
      <c r="N29" s="1472"/>
      <c r="O29" s="1472"/>
      <c r="P29" s="1472"/>
      <c r="Q29" s="1472"/>
      <c r="R29" s="1472"/>
      <c r="S29" s="1472"/>
      <c r="T29" s="1472"/>
      <c r="U29" s="1472"/>
      <c r="V29" s="1472"/>
      <c r="W29" s="1472"/>
      <c r="X29" s="1472"/>
      <c r="Y29" s="1472"/>
      <c r="Z29" s="1472"/>
      <c r="AA29" s="1472"/>
      <c r="AB29" s="1472"/>
      <c r="AC29" s="1472"/>
      <c r="AD29" s="1472"/>
      <c r="AE29" s="1472"/>
      <c r="AF29" s="1472"/>
    </row>
    <row r="30" spans="1:32" ht="14.45" customHeight="1" x14ac:dyDescent="0.25">
      <c r="A30" s="1474" t="s">
        <v>16</v>
      </c>
      <c r="B30" s="1474"/>
      <c r="C30" s="1474"/>
      <c r="D30" s="1474"/>
      <c r="E30" s="1590" t="s">
        <v>10</v>
      </c>
      <c r="F30" s="1591"/>
      <c r="G30" s="1591"/>
      <c r="H30" s="1591"/>
      <c r="I30" s="1591"/>
      <c r="J30" s="1591"/>
      <c r="K30" s="1591"/>
      <c r="L30" s="1591"/>
      <c r="M30" s="1591"/>
      <c r="N30" s="1591"/>
      <c r="O30" s="1751"/>
      <c r="P30" s="1590" t="s">
        <v>17</v>
      </c>
      <c r="Q30" s="1591"/>
      <c r="R30" s="1591"/>
      <c r="S30" s="1751"/>
      <c r="T30" s="1590" t="s">
        <v>18</v>
      </c>
      <c r="U30" s="1591"/>
      <c r="V30" s="1751"/>
      <c r="W30" s="1474" t="s">
        <v>19</v>
      </c>
      <c r="X30" s="1474"/>
      <c r="Y30" s="1474"/>
      <c r="Z30" s="1474"/>
      <c r="AA30" s="1474"/>
      <c r="AB30" s="1474"/>
      <c r="AC30" s="1474"/>
      <c r="AD30" s="1474"/>
      <c r="AE30" s="1474"/>
      <c r="AF30" s="1474"/>
    </row>
    <row r="31" spans="1:32" ht="72" customHeight="1" x14ac:dyDescent="0.25">
      <c r="A31" s="1134" t="s">
        <v>969</v>
      </c>
      <c r="B31" s="1134"/>
      <c r="C31" s="1134"/>
      <c r="D31" s="1134"/>
      <c r="E31" s="1135" t="s">
        <v>970</v>
      </c>
      <c r="F31" s="1135"/>
      <c r="G31" s="1135"/>
      <c r="H31" s="1135"/>
      <c r="I31" s="1135"/>
      <c r="J31" s="1135"/>
      <c r="K31" s="1135"/>
      <c r="L31" s="1135"/>
      <c r="M31" s="1135"/>
      <c r="N31" s="1135"/>
      <c r="O31" s="1135"/>
      <c r="P31" s="2758">
        <v>0.5</v>
      </c>
      <c r="Q31" s="2758"/>
      <c r="R31" s="2758"/>
      <c r="S31" s="2758"/>
      <c r="T31" s="1606" t="s">
        <v>28</v>
      </c>
      <c r="U31" s="1606"/>
      <c r="V31" s="1606"/>
      <c r="W31" s="1135" t="s">
        <v>299</v>
      </c>
      <c r="X31" s="1135"/>
      <c r="Y31" s="1135"/>
      <c r="Z31" s="1135"/>
      <c r="AA31" s="1135"/>
      <c r="AB31" s="1135"/>
      <c r="AC31" s="1135"/>
      <c r="AD31" s="1135"/>
      <c r="AE31" s="1135"/>
      <c r="AF31" s="1135"/>
    </row>
    <row r="32" spans="1:32" ht="72" customHeight="1" x14ac:dyDescent="0.25">
      <c r="A32" s="1134" t="s">
        <v>971</v>
      </c>
      <c r="B32" s="1134"/>
      <c r="C32" s="1134"/>
      <c r="D32" s="1134"/>
      <c r="E32" s="1135" t="s">
        <v>972</v>
      </c>
      <c r="F32" s="1135"/>
      <c r="G32" s="1135"/>
      <c r="H32" s="1135"/>
      <c r="I32" s="1135"/>
      <c r="J32" s="1135"/>
      <c r="K32" s="1135"/>
      <c r="L32" s="1135"/>
      <c r="M32" s="1135"/>
      <c r="N32" s="1135"/>
      <c r="O32" s="1135"/>
      <c r="P32" s="2759">
        <v>0.17499999999999999</v>
      </c>
      <c r="Q32" s="2759"/>
      <c r="R32" s="2759"/>
      <c r="S32" s="2759"/>
      <c r="T32" s="1606" t="s">
        <v>28</v>
      </c>
      <c r="U32" s="1606"/>
      <c r="V32" s="1606"/>
      <c r="W32" s="1135" t="s">
        <v>299</v>
      </c>
      <c r="X32" s="1135"/>
      <c r="Y32" s="1135"/>
      <c r="Z32" s="1135"/>
      <c r="AA32" s="1135"/>
      <c r="AB32" s="1135"/>
      <c r="AC32" s="1135"/>
      <c r="AD32" s="1135"/>
      <c r="AE32" s="1135"/>
      <c r="AF32" s="1135"/>
    </row>
    <row r="33" spans="1:32" ht="14.45" customHeight="1" x14ac:dyDescent="0.25">
      <c r="A33" s="1134" t="s">
        <v>303</v>
      </c>
      <c r="B33" s="1134"/>
      <c r="C33" s="1134"/>
      <c r="D33" s="1134"/>
      <c r="E33" s="2489" t="s">
        <v>304</v>
      </c>
      <c r="F33" s="2489"/>
      <c r="G33" s="2489"/>
      <c r="H33" s="2489"/>
      <c r="I33" s="2489"/>
      <c r="J33" s="2489"/>
      <c r="K33" s="2489"/>
      <c r="L33" s="2489"/>
      <c r="M33" s="2489"/>
      <c r="N33" s="2489"/>
      <c r="O33" s="2489"/>
      <c r="P33" s="1606" t="s">
        <v>28</v>
      </c>
      <c r="Q33" s="1606"/>
      <c r="R33" s="1606"/>
      <c r="S33" s="1606"/>
      <c r="T33" s="1606" t="s">
        <v>291</v>
      </c>
      <c r="U33" s="1606"/>
      <c r="V33" s="1606"/>
      <c r="W33" s="1913"/>
      <c r="X33" s="1913"/>
      <c r="Y33" s="1913"/>
      <c r="Z33" s="1913"/>
      <c r="AA33" s="1913"/>
      <c r="AB33" s="1913"/>
      <c r="AC33" s="1913"/>
      <c r="AD33" s="1913"/>
      <c r="AE33" s="1913"/>
      <c r="AF33" s="1913"/>
    </row>
    <row r="34" spans="1:32" ht="72" customHeight="1" x14ac:dyDescent="0.25">
      <c r="A34" s="1134" t="s">
        <v>973</v>
      </c>
      <c r="B34" s="1134"/>
      <c r="C34" s="1134"/>
      <c r="D34" s="1134"/>
      <c r="E34" s="1135" t="s">
        <v>305</v>
      </c>
      <c r="F34" s="1135"/>
      <c r="G34" s="1135"/>
      <c r="H34" s="1135"/>
      <c r="I34" s="1135"/>
      <c r="J34" s="1135"/>
      <c r="K34" s="1135"/>
      <c r="L34" s="1135"/>
      <c r="M34" s="1135"/>
      <c r="N34" s="1135"/>
      <c r="O34" s="1135"/>
      <c r="P34" s="2760">
        <v>200</v>
      </c>
      <c r="Q34" s="2760"/>
      <c r="R34" s="2760"/>
      <c r="S34" s="2760"/>
      <c r="T34" s="1606" t="s">
        <v>291</v>
      </c>
      <c r="U34" s="1606"/>
      <c r="V34" s="1606"/>
      <c r="W34" s="1135" t="s">
        <v>299</v>
      </c>
      <c r="X34" s="1135"/>
      <c r="Y34" s="1135"/>
      <c r="Z34" s="1135"/>
      <c r="AA34" s="1135"/>
      <c r="AB34" s="1135"/>
      <c r="AC34" s="1135"/>
      <c r="AD34" s="1135"/>
      <c r="AE34" s="1135"/>
      <c r="AF34" s="1135"/>
    </row>
    <row r="35" spans="1:32" ht="72" customHeight="1" x14ac:dyDescent="0.25">
      <c r="A35" s="1134" t="s">
        <v>974</v>
      </c>
      <c r="B35" s="1134"/>
      <c r="C35" s="1134"/>
      <c r="D35" s="1134"/>
      <c r="E35" s="1135" t="s">
        <v>306</v>
      </c>
      <c r="F35" s="1135"/>
      <c r="G35" s="1135"/>
      <c r="H35" s="1135"/>
      <c r="I35" s="1135"/>
      <c r="J35" s="1135"/>
      <c r="K35" s="1135"/>
      <c r="L35" s="1135"/>
      <c r="M35" s="1135"/>
      <c r="N35" s="1135"/>
      <c r="O35" s="1135"/>
      <c r="P35" s="1606">
        <f>P34*3.413</f>
        <v>682.59999999999991</v>
      </c>
      <c r="Q35" s="1606"/>
      <c r="R35" s="1606"/>
      <c r="S35" s="1606"/>
      <c r="T35" s="1606" t="s">
        <v>824</v>
      </c>
      <c r="U35" s="1606"/>
      <c r="V35" s="1606"/>
      <c r="W35" s="1135" t="s">
        <v>299</v>
      </c>
      <c r="X35" s="1135"/>
      <c r="Y35" s="1135"/>
      <c r="Z35" s="1135"/>
      <c r="AA35" s="1135"/>
      <c r="AB35" s="1135"/>
      <c r="AC35" s="1135"/>
      <c r="AD35" s="1135"/>
      <c r="AE35" s="1135"/>
      <c r="AF35" s="1135"/>
    </row>
    <row r="36" spans="1:32" ht="72" customHeight="1" x14ac:dyDescent="0.25">
      <c r="A36" s="1134" t="s">
        <v>308</v>
      </c>
      <c r="B36" s="1134"/>
      <c r="C36" s="1134"/>
      <c r="D36" s="1134"/>
      <c r="E36" s="1135" t="s">
        <v>309</v>
      </c>
      <c r="F36" s="1135"/>
      <c r="G36" s="1135"/>
      <c r="H36" s="1135"/>
      <c r="I36" s="1135"/>
      <c r="J36" s="1135"/>
      <c r="K36" s="1135"/>
      <c r="L36" s="1135"/>
      <c r="M36" s="1135"/>
      <c r="N36" s="1135"/>
      <c r="O36" s="1135"/>
      <c r="P36" s="1606">
        <v>5.43</v>
      </c>
      <c r="Q36" s="1606"/>
      <c r="R36" s="1606"/>
      <c r="S36" s="1606"/>
      <c r="T36" s="1913" t="s">
        <v>975</v>
      </c>
      <c r="U36" s="1913"/>
      <c r="V36" s="1913"/>
      <c r="W36" s="1135" t="s">
        <v>299</v>
      </c>
      <c r="X36" s="1135"/>
      <c r="Y36" s="1135"/>
      <c r="Z36" s="1135"/>
      <c r="AA36" s="1135"/>
      <c r="AB36" s="1135"/>
      <c r="AC36" s="1135"/>
      <c r="AD36" s="1135"/>
      <c r="AE36" s="1135"/>
      <c r="AF36" s="1135"/>
    </row>
    <row r="37" spans="1:32" ht="14.45" customHeight="1" x14ac:dyDescent="0.25">
      <c r="A37" s="1134" t="s">
        <v>976</v>
      </c>
      <c r="B37" s="1134"/>
      <c r="C37" s="1134"/>
      <c r="D37" s="1134"/>
      <c r="E37" s="1135" t="s">
        <v>977</v>
      </c>
      <c r="F37" s="1135"/>
      <c r="G37" s="1135"/>
      <c r="H37" s="1135"/>
      <c r="I37" s="1135"/>
      <c r="J37" s="1135"/>
      <c r="K37" s="1135"/>
      <c r="L37" s="1135"/>
      <c r="M37" s="1135"/>
      <c r="N37" s="1135"/>
      <c r="O37" s="1135"/>
      <c r="P37" s="1600">
        <v>8760</v>
      </c>
      <c r="Q37" s="1600"/>
      <c r="R37" s="1600"/>
      <c r="S37" s="1600"/>
      <c r="T37" s="1606" t="s">
        <v>45</v>
      </c>
      <c r="U37" s="1606"/>
      <c r="V37" s="1606"/>
      <c r="W37" s="1913"/>
      <c r="X37" s="1913"/>
      <c r="Y37" s="1913"/>
      <c r="Z37" s="1913"/>
      <c r="AA37" s="1913"/>
      <c r="AB37" s="1913"/>
      <c r="AC37" s="1913"/>
      <c r="AD37" s="1913"/>
      <c r="AE37" s="1913"/>
      <c r="AF37" s="1913"/>
    </row>
    <row r="38" spans="1:32" ht="72" customHeight="1" x14ac:dyDescent="0.25">
      <c r="A38" s="1134" t="s">
        <v>978</v>
      </c>
      <c r="B38" s="1134"/>
      <c r="C38" s="1134"/>
      <c r="D38" s="1134"/>
      <c r="E38" s="1135" t="s">
        <v>310</v>
      </c>
      <c r="F38" s="1135"/>
      <c r="G38" s="1135"/>
      <c r="H38" s="1135"/>
      <c r="I38" s="1135"/>
      <c r="J38" s="1135"/>
      <c r="K38" s="1135"/>
      <c r="L38" s="1135"/>
      <c r="M38" s="1135"/>
      <c r="N38" s="1135"/>
      <c r="O38" s="1135"/>
      <c r="P38" s="1600">
        <v>5700</v>
      </c>
      <c r="Q38" s="1600"/>
      <c r="R38" s="1600"/>
      <c r="S38" s="1600"/>
      <c r="T38" s="1606" t="s">
        <v>45</v>
      </c>
      <c r="U38" s="1606"/>
      <c r="V38" s="1606"/>
      <c r="W38" s="1135" t="s">
        <v>299</v>
      </c>
      <c r="X38" s="1135"/>
      <c r="Y38" s="1135"/>
      <c r="Z38" s="1135"/>
      <c r="AA38" s="1135"/>
      <c r="AB38" s="1135"/>
      <c r="AC38" s="1135"/>
      <c r="AD38" s="1135"/>
      <c r="AE38" s="1135"/>
      <c r="AF38" s="1135"/>
    </row>
    <row r="39" spans="1:32" ht="72" customHeight="1" x14ac:dyDescent="0.25">
      <c r="A39" s="1134" t="s">
        <v>979</v>
      </c>
      <c r="B39" s="1134"/>
      <c r="C39" s="1134"/>
      <c r="D39" s="1134"/>
      <c r="E39" s="1135" t="s">
        <v>311</v>
      </c>
      <c r="F39" s="1135"/>
      <c r="G39" s="1135"/>
      <c r="H39" s="1135"/>
      <c r="I39" s="1135"/>
      <c r="J39" s="1135"/>
      <c r="K39" s="1135"/>
      <c r="L39" s="1135"/>
      <c r="M39" s="1135"/>
      <c r="N39" s="1135"/>
      <c r="O39" s="1135"/>
      <c r="P39" s="2758">
        <v>0.45</v>
      </c>
      <c r="Q39" s="2758"/>
      <c r="R39" s="2758"/>
      <c r="S39" s="2758"/>
      <c r="T39" s="1606" t="s">
        <v>28</v>
      </c>
      <c r="U39" s="1606"/>
      <c r="V39" s="1606"/>
      <c r="W39" s="1135" t="s">
        <v>299</v>
      </c>
      <c r="X39" s="1135"/>
      <c r="Y39" s="1135"/>
      <c r="Z39" s="1135"/>
      <c r="AA39" s="1135"/>
      <c r="AB39" s="1135"/>
      <c r="AC39" s="1135"/>
      <c r="AD39" s="1135"/>
      <c r="AE39" s="1135"/>
      <c r="AF39" s="1135"/>
    </row>
    <row r="40" spans="1:32" ht="14.45" customHeight="1" x14ac:dyDescent="0.25">
      <c r="A40" s="1134" t="s">
        <v>29</v>
      </c>
      <c r="B40" s="1134"/>
      <c r="C40" s="1134"/>
      <c r="D40" s="1134"/>
      <c r="E40" s="1135" t="s">
        <v>104</v>
      </c>
      <c r="F40" s="1135"/>
      <c r="G40" s="1135"/>
      <c r="H40" s="1135"/>
      <c r="I40" s="1135"/>
      <c r="J40" s="1135"/>
      <c r="K40" s="1135"/>
      <c r="L40" s="1135"/>
      <c r="M40" s="1135"/>
      <c r="N40" s="1135"/>
      <c r="O40" s="1135"/>
      <c r="P40" s="2757">
        <v>0.85</v>
      </c>
      <c r="Q40" s="2757"/>
      <c r="R40" s="2757"/>
      <c r="S40" s="2757"/>
      <c r="T40" s="1606" t="s">
        <v>28</v>
      </c>
      <c r="U40" s="1606"/>
      <c r="V40" s="1606"/>
      <c r="W40" s="1913"/>
      <c r="X40" s="1913"/>
      <c r="Y40" s="1913"/>
      <c r="Z40" s="1913"/>
      <c r="AA40" s="1913"/>
      <c r="AB40" s="1913"/>
      <c r="AC40" s="1913"/>
      <c r="AD40" s="1913"/>
      <c r="AE40" s="1913"/>
      <c r="AF40" s="1913"/>
    </row>
    <row r="41" spans="1:32" ht="72" customHeight="1" x14ac:dyDescent="0.25">
      <c r="A41" s="1134" t="s">
        <v>34</v>
      </c>
      <c r="B41" s="1134"/>
      <c r="C41" s="1134"/>
      <c r="D41" s="1134"/>
      <c r="E41" s="1135" t="s">
        <v>290</v>
      </c>
      <c r="F41" s="1135"/>
      <c r="G41" s="1135"/>
      <c r="H41" s="1135"/>
      <c r="I41" s="1135"/>
      <c r="J41" s="1135"/>
      <c r="K41" s="1135"/>
      <c r="L41" s="1135"/>
      <c r="M41" s="1135"/>
      <c r="N41" s="1135"/>
      <c r="O41" s="1135"/>
      <c r="P41" s="1606">
        <f>'Master EUL'!X125</f>
        <v>12</v>
      </c>
      <c r="Q41" s="1606"/>
      <c r="R41" s="1606"/>
      <c r="S41" s="1606"/>
      <c r="T41" s="1606" t="s">
        <v>46</v>
      </c>
      <c r="U41" s="1606"/>
      <c r="V41" s="1606"/>
      <c r="W41" s="1135" t="s">
        <v>299</v>
      </c>
      <c r="X41" s="1135"/>
      <c r="Y41" s="1135"/>
      <c r="Z41" s="1135"/>
      <c r="AA41" s="1135"/>
      <c r="AB41" s="1135"/>
      <c r="AC41" s="1135"/>
      <c r="AD41" s="1135"/>
      <c r="AE41" s="1135"/>
      <c r="AF41" s="1135"/>
    </row>
    <row r="42" spans="1:32" ht="14.45" customHeight="1" x14ac:dyDescent="0.25">
      <c r="A42" s="8"/>
      <c r="B42" s="8"/>
      <c r="C42" s="8"/>
      <c r="D42" s="8"/>
      <c r="E42" s="2"/>
      <c r="F42" s="2"/>
      <c r="G42" s="2"/>
      <c r="H42" s="2"/>
      <c r="I42" s="2"/>
      <c r="J42" s="2"/>
      <c r="K42" s="2"/>
      <c r="L42" s="2"/>
      <c r="M42" s="2"/>
      <c r="N42" s="2"/>
      <c r="O42" s="2"/>
      <c r="P42" s="2"/>
      <c r="Q42" s="7"/>
      <c r="R42" s="7"/>
      <c r="S42" s="7"/>
      <c r="T42" s="7"/>
      <c r="U42" s="7"/>
      <c r="V42" s="7"/>
      <c r="W42" s="2"/>
      <c r="X42" s="2"/>
      <c r="Y42" s="2"/>
      <c r="Z42" s="2"/>
      <c r="AA42" s="2"/>
      <c r="AB42" s="2"/>
      <c r="AC42" s="2"/>
      <c r="AD42" s="2"/>
      <c r="AE42" s="2"/>
      <c r="AF42" s="2"/>
    </row>
    <row r="43" spans="1:32" ht="14.45" customHeight="1" x14ac:dyDescent="0.25">
      <c r="A43" s="8"/>
      <c r="B43" s="8"/>
      <c r="C43" s="8"/>
      <c r="D43" s="8"/>
      <c r="E43" s="2"/>
      <c r="F43" s="2"/>
      <c r="G43" s="2"/>
      <c r="H43" s="2"/>
      <c r="I43" s="2"/>
      <c r="J43" s="2"/>
      <c r="K43" s="2"/>
      <c r="L43" s="2"/>
      <c r="M43" s="2"/>
      <c r="N43" s="2"/>
      <c r="O43" s="2"/>
      <c r="P43" s="2"/>
      <c r="Q43" s="7"/>
      <c r="R43" s="7"/>
      <c r="S43" s="7"/>
      <c r="T43" s="7"/>
      <c r="U43" s="7"/>
      <c r="V43" s="7"/>
      <c r="W43" s="2"/>
      <c r="X43" s="2"/>
      <c r="Y43" s="2"/>
      <c r="Z43" s="2"/>
      <c r="AA43" s="2"/>
      <c r="AB43" s="2"/>
      <c r="AC43" s="2"/>
      <c r="AD43" s="2"/>
      <c r="AE43" s="2"/>
      <c r="AF43" s="2"/>
    </row>
    <row r="44" spans="1:32" x14ac:dyDescent="0.25">
      <c r="A44" s="1472" t="s">
        <v>21</v>
      </c>
      <c r="B44" s="1472"/>
      <c r="C44" s="1472"/>
      <c r="D44" s="1472"/>
      <c r="E44" s="1472"/>
      <c r="F44" s="1472"/>
      <c r="G44" s="1472"/>
      <c r="H44" s="1472"/>
      <c r="I44" s="1472"/>
      <c r="J44" s="1472"/>
      <c r="K44" s="1472"/>
      <c r="L44" s="1472"/>
      <c r="M44" s="1472"/>
      <c r="N44" s="1472"/>
      <c r="O44" s="1472"/>
      <c r="P44" s="1472"/>
      <c r="Q44" s="1472"/>
      <c r="R44" s="1472"/>
      <c r="S44" s="1472"/>
      <c r="T44" s="1472"/>
      <c r="U44" s="1472"/>
      <c r="V44" s="1472"/>
      <c r="W44" s="1472"/>
      <c r="X44" s="1472"/>
      <c r="Y44" s="1472"/>
      <c r="Z44" s="1472"/>
      <c r="AA44" s="1472"/>
      <c r="AB44" s="1472"/>
      <c r="AC44" s="1472"/>
      <c r="AD44" s="1472"/>
      <c r="AE44" s="1472"/>
      <c r="AF44" s="1472"/>
    </row>
    <row r="45" spans="1:32"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x14ac:dyDescent="0.25">
      <c r="A46" s="1763" t="s">
        <v>980</v>
      </c>
      <c r="B46" s="1764"/>
      <c r="C46" s="1764"/>
      <c r="D46" s="1764"/>
      <c r="E46" s="1764"/>
      <c r="F46" s="1764"/>
      <c r="G46" s="1764"/>
      <c r="H46" s="1764"/>
      <c r="I46" s="1764"/>
      <c r="J46" s="1764"/>
      <c r="K46" s="1764"/>
      <c r="L46" s="1764"/>
      <c r="M46" s="1764"/>
      <c r="N46" s="1765"/>
      <c r="O46" s="2754">
        <f>P31*P34/1000*P40</f>
        <v>8.5000000000000006E-2</v>
      </c>
      <c r="P46" s="2754"/>
      <c r="Q46" s="2754"/>
      <c r="R46" s="1243" t="s">
        <v>26</v>
      </c>
      <c r="S46" s="1243"/>
      <c r="T46" s="1243"/>
      <c r="U46" s="1243"/>
    </row>
    <row r="47" spans="1:32" x14ac:dyDescent="0.25">
      <c r="A47" s="1763" t="s">
        <v>981</v>
      </c>
      <c r="B47" s="1764"/>
      <c r="C47" s="1764"/>
      <c r="D47" s="1764"/>
      <c r="E47" s="1764"/>
      <c r="F47" s="1764"/>
      <c r="G47" s="1764"/>
      <c r="H47" s="1764"/>
      <c r="I47" s="1764"/>
      <c r="J47" s="1764"/>
      <c r="K47" s="1764"/>
      <c r="L47" s="1764"/>
      <c r="M47" s="1764"/>
      <c r="N47" s="1765"/>
      <c r="O47" s="2754">
        <f>P31*P34/1000*P37</f>
        <v>876</v>
      </c>
      <c r="P47" s="2754"/>
      <c r="Q47" s="2754"/>
      <c r="R47" s="1243" t="s">
        <v>44</v>
      </c>
      <c r="S47" s="1243"/>
      <c r="T47" s="1243"/>
      <c r="U47" s="1243"/>
    </row>
    <row r="48" spans="1:32" x14ac:dyDescent="0.25">
      <c r="A48" s="1763" t="s">
        <v>303</v>
      </c>
      <c r="B48" s="1764"/>
      <c r="C48" s="1764"/>
      <c r="D48" s="1764"/>
      <c r="E48" s="1764"/>
      <c r="F48" s="1764"/>
      <c r="G48" s="1764"/>
      <c r="H48" s="1764"/>
      <c r="I48" s="1764"/>
      <c r="J48" s="1764"/>
      <c r="K48" s="1764"/>
      <c r="L48" s="1764"/>
      <c r="M48" s="1764"/>
      <c r="N48" s="1765"/>
      <c r="O48" s="2754">
        <f>P32*P35</f>
        <v>119.45499999999997</v>
      </c>
      <c r="P48" s="2754"/>
      <c r="Q48" s="2754"/>
      <c r="R48" s="1243" t="s">
        <v>307</v>
      </c>
      <c r="S48" s="1243"/>
      <c r="T48" s="1243"/>
      <c r="U48" s="1243"/>
    </row>
    <row r="49" spans="1:24" x14ac:dyDescent="0.25">
      <c r="A49" s="1763" t="s">
        <v>982</v>
      </c>
      <c r="B49" s="1764"/>
      <c r="C49" s="1764"/>
      <c r="D49" s="1764"/>
      <c r="E49" s="1764"/>
      <c r="F49" s="1764"/>
      <c r="G49" s="1764"/>
      <c r="H49" s="1764"/>
      <c r="I49" s="1764"/>
      <c r="J49" s="1764"/>
      <c r="K49" s="1764"/>
      <c r="L49" s="1764"/>
      <c r="M49" s="1764"/>
      <c r="N49" s="1765"/>
      <c r="O49" s="2754">
        <f>O48/P36/1000*P40</f>
        <v>1.8699217311233883E-2</v>
      </c>
      <c r="P49" s="2754"/>
      <c r="Q49" s="2754"/>
      <c r="R49" s="1243" t="s">
        <v>26</v>
      </c>
      <c r="S49" s="1243"/>
      <c r="T49" s="1243"/>
      <c r="U49" s="1243"/>
    </row>
    <row r="50" spans="1:24" x14ac:dyDescent="0.25">
      <c r="A50" s="1763" t="s">
        <v>983</v>
      </c>
      <c r="B50" s="1764"/>
      <c r="C50" s="1764"/>
      <c r="D50" s="1764"/>
      <c r="E50" s="1764"/>
      <c r="F50" s="1764"/>
      <c r="G50" s="1764"/>
      <c r="H50" s="1764"/>
      <c r="I50" s="1764"/>
      <c r="J50" s="1764"/>
      <c r="K50" s="1764"/>
      <c r="L50" s="1764"/>
      <c r="M50" s="1764"/>
      <c r="N50" s="1765"/>
      <c r="O50" s="2754">
        <f>O48/P36/1000*P38</f>
        <v>125.39475138121544</v>
      </c>
      <c r="P50" s="2754"/>
      <c r="Q50" s="2754"/>
      <c r="R50" s="1243" t="s">
        <v>44</v>
      </c>
      <c r="S50" s="1243"/>
      <c r="T50" s="1243"/>
      <c r="U50" s="1243"/>
    </row>
    <row r="51" spans="1:24" x14ac:dyDescent="0.25">
      <c r="A51" s="1763"/>
      <c r="B51" s="1764"/>
      <c r="C51" s="1764"/>
      <c r="D51" s="1764"/>
      <c r="E51" s="1764"/>
      <c r="F51" s="1764"/>
      <c r="G51" s="1764"/>
      <c r="H51" s="1764"/>
      <c r="I51" s="1764"/>
      <c r="J51" s="1764"/>
      <c r="K51" s="1764"/>
      <c r="L51" s="1764"/>
      <c r="M51" s="1764"/>
      <c r="N51" s="1765"/>
      <c r="O51" s="2754"/>
      <c r="P51" s="2754"/>
      <c r="Q51" s="2754"/>
      <c r="R51" s="1243"/>
      <c r="S51" s="1243"/>
      <c r="T51" s="1243"/>
      <c r="U51" s="1243"/>
    </row>
    <row r="52" spans="1:24" x14ac:dyDescent="0.25">
      <c r="A52" s="1763" t="s">
        <v>312</v>
      </c>
      <c r="B52" s="1764"/>
      <c r="C52" s="1764"/>
      <c r="D52" s="1764"/>
      <c r="E52" s="1764"/>
      <c r="F52" s="1764"/>
      <c r="G52" s="1764"/>
      <c r="H52" s="1764"/>
      <c r="I52" s="1764"/>
      <c r="J52" s="1764"/>
      <c r="K52" s="1764"/>
      <c r="L52" s="1764"/>
      <c r="M52" s="1764"/>
      <c r="N52" s="1765"/>
      <c r="O52" s="2754">
        <f>O48</f>
        <v>119.45499999999997</v>
      </c>
      <c r="P52" s="2754"/>
      <c r="Q52" s="2754"/>
      <c r="R52" s="1243" t="s">
        <v>307</v>
      </c>
      <c r="S52" s="1243"/>
      <c r="T52" s="1243"/>
      <c r="U52" s="1243"/>
    </row>
    <row r="53" spans="1:24" x14ac:dyDescent="0.25">
      <c r="A53" s="1763" t="s">
        <v>313</v>
      </c>
      <c r="B53" s="1764"/>
      <c r="C53" s="1764"/>
      <c r="D53" s="1764"/>
      <c r="E53" s="1764"/>
      <c r="F53" s="1764"/>
      <c r="G53" s="1764"/>
      <c r="H53" s="1764"/>
      <c r="I53" s="1764"/>
      <c r="J53" s="1764"/>
      <c r="K53" s="1764"/>
      <c r="L53" s="1764"/>
      <c r="M53" s="1764"/>
      <c r="N53" s="1765"/>
      <c r="O53" s="2756">
        <f>O46+O49</f>
        <v>0.10369921731123388</v>
      </c>
      <c r="P53" s="2756"/>
      <c r="Q53" s="2756"/>
      <c r="R53" s="1243" t="s">
        <v>314</v>
      </c>
      <c r="S53" s="1243"/>
      <c r="T53" s="1243"/>
      <c r="U53" s="1243"/>
    </row>
    <row r="54" spans="1:24" x14ac:dyDescent="0.25">
      <c r="A54" s="1763" t="s">
        <v>315</v>
      </c>
      <c r="B54" s="1764"/>
      <c r="C54" s="1764"/>
      <c r="D54" s="1764"/>
      <c r="E54" s="1764"/>
      <c r="F54" s="1764"/>
      <c r="G54" s="1764"/>
      <c r="H54" s="1764"/>
      <c r="I54" s="1764"/>
      <c r="J54" s="1764"/>
      <c r="K54" s="1764"/>
      <c r="L54" s="1764"/>
      <c r="M54" s="1764"/>
      <c r="N54" s="1765"/>
      <c r="O54" s="2755">
        <f>O47+O50</f>
        <v>1001.3947513812154</v>
      </c>
      <c r="P54" s="2755"/>
      <c r="Q54" s="2755"/>
      <c r="R54" s="1243" t="s">
        <v>316</v>
      </c>
      <c r="S54" s="1243"/>
      <c r="T54" s="1243"/>
      <c r="U54" s="1243"/>
    </row>
    <row r="55" spans="1:24" x14ac:dyDescent="0.25">
      <c r="A55" s="1763"/>
      <c r="B55" s="1764"/>
      <c r="C55" s="1764"/>
      <c r="D55" s="1764"/>
      <c r="E55" s="1764"/>
      <c r="F55" s="1764"/>
      <c r="G55" s="1764"/>
      <c r="H55" s="1764"/>
      <c r="I55" s="1764"/>
      <c r="J55" s="1764"/>
      <c r="K55" s="1764"/>
      <c r="L55" s="1764"/>
      <c r="M55" s="1764"/>
      <c r="N55" s="1765"/>
      <c r="O55" s="2754"/>
      <c r="P55" s="2754"/>
      <c r="Q55" s="2754"/>
      <c r="R55" s="1243"/>
      <c r="S55" s="1243"/>
      <c r="T55" s="1243"/>
      <c r="U55" s="1243"/>
    </row>
    <row r="56" spans="1:24" x14ac:dyDescent="0.25">
      <c r="A56" s="1763" t="s">
        <v>317</v>
      </c>
      <c r="B56" s="1764"/>
      <c r="C56" s="1764"/>
      <c r="D56" s="1764"/>
      <c r="E56" s="1764"/>
      <c r="F56" s="1764"/>
      <c r="G56" s="1764"/>
      <c r="H56" s="1764"/>
      <c r="I56" s="1764"/>
      <c r="J56" s="1764"/>
      <c r="K56" s="1764"/>
      <c r="L56" s="1764"/>
      <c r="M56" s="1764"/>
      <c r="N56" s="1765"/>
      <c r="O56" s="2754"/>
      <c r="P56" s="2754"/>
      <c r="Q56" s="2754"/>
      <c r="R56" s="1243"/>
      <c r="S56" s="1243"/>
      <c r="T56" s="1243"/>
      <c r="U56" s="1243"/>
    </row>
    <row r="57" spans="1:24" x14ac:dyDescent="0.25">
      <c r="A57" s="1763" t="s">
        <v>318</v>
      </c>
      <c r="B57" s="1764"/>
      <c r="C57" s="1764"/>
      <c r="D57" s="1764"/>
      <c r="E57" s="1764"/>
      <c r="F57" s="1764"/>
      <c r="G57" s="1764"/>
      <c r="H57" s="1764"/>
      <c r="I57" s="1764"/>
      <c r="J57" s="1764"/>
      <c r="K57" s="1764"/>
      <c r="L57" s="1764"/>
      <c r="M57" s="1764"/>
      <c r="N57" s="1765"/>
      <c r="O57" s="2754">
        <v>35</v>
      </c>
      <c r="P57" s="2754"/>
      <c r="Q57" s="2754"/>
      <c r="R57" s="1243" t="s">
        <v>319</v>
      </c>
      <c r="S57" s="1243"/>
      <c r="T57" s="1243"/>
      <c r="U57" s="1243"/>
    </row>
    <row r="58" spans="1:24" x14ac:dyDescent="0.25">
      <c r="A58" s="1763"/>
      <c r="B58" s="1764"/>
      <c r="C58" s="1764"/>
      <c r="D58" s="1764"/>
      <c r="E58" s="1764"/>
      <c r="F58" s="1764"/>
      <c r="G58" s="1764"/>
      <c r="H58" s="1764"/>
      <c r="I58" s="1764"/>
      <c r="J58" s="1764"/>
      <c r="K58" s="1764"/>
      <c r="L58" s="1764"/>
      <c r="M58" s="1764"/>
      <c r="N58" s="1765"/>
      <c r="O58" s="2754">
        <v>12</v>
      </c>
      <c r="P58" s="2754"/>
      <c r="Q58" s="2754"/>
      <c r="R58" s="1243" t="s">
        <v>2185</v>
      </c>
      <c r="S58" s="1243"/>
      <c r="T58" s="1243"/>
      <c r="U58" s="1243"/>
    </row>
    <row r="59" spans="1:24" x14ac:dyDescent="0.25">
      <c r="A59" s="1763" t="s">
        <v>320</v>
      </c>
      <c r="B59" s="1764"/>
      <c r="C59" s="1764"/>
      <c r="D59" s="1764"/>
      <c r="E59" s="1764"/>
      <c r="F59" s="1764"/>
      <c r="G59" s="1764"/>
      <c r="H59" s="1764"/>
      <c r="I59" s="1764"/>
      <c r="J59" s="1764"/>
      <c r="K59" s="1764"/>
      <c r="L59" s="1764"/>
      <c r="M59" s="1764"/>
      <c r="N59" s="1765"/>
      <c r="O59" s="2755">
        <f>O57/O58</f>
        <v>2.9166666666666665</v>
      </c>
      <c r="P59" s="2755"/>
      <c r="Q59" s="2755"/>
      <c r="R59" s="1243" t="s">
        <v>984</v>
      </c>
      <c r="S59" s="1243"/>
      <c r="T59" s="1243"/>
      <c r="U59" s="1243"/>
    </row>
    <row r="60" spans="1:24" x14ac:dyDescent="0.25">
      <c r="A60" s="1763"/>
      <c r="B60" s="1764"/>
      <c r="C60" s="1764"/>
      <c r="D60" s="1764"/>
      <c r="E60" s="1764"/>
      <c r="F60" s="1764"/>
      <c r="G60" s="1764"/>
      <c r="H60" s="1764"/>
      <c r="I60" s="1764"/>
      <c r="J60" s="1764"/>
      <c r="K60" s="1764"/>
      <c r="L60" s="1764"/>
      <c r="M60" s="1764"/>
      <c r="N60" s="1765"/>
      <c r="O60" s="2754"/>
      <c r="P60" s="2754"/>
      <c r="Q60" s="2754"/>
      <c r="R60" s="1243"/>
      <c r="S60" s="1243"/>
      <c r="T60" s="1243"/>
      <c r="U60" s="1243"/>
    </row>
    <row r="61" spans="1:24" ht="16.149999999999999" customHeight="1" x14ac:dyDescent="0.25">
      <c r="A61" s="1763" t="s">
        <v>321</v>
      </c>
      <c r="B61" s="1764"/>
      <c r="C61" s="1764"/>
      <c r="D61" s="1764"/>
      <c r="E61" s="1764"/>
      <c r="F61" s="1764"/>
      <c r="G61" s="1764"/>
      <c r="H61" s="1764"/>
      <c r="I61" s="1764"/>
      <c r="J61" s="1764"/>
      <c r="K61" s="1764"/>
      <c r="L61" s="1764"/>
      <c r="M61" s="1764"/>
      <c r="N61" s="1765"/>
      <c r="O61" s="2754">
        <f>ROUND(O53/O59,3)</f>
        <v>3.5999999999999997E-2</v>
      </c>
      <c r="P61" s="2754"/>
      <c r="Q61" s="2754"/>
      <c r="R61" s="1243" t="s">
        <v>788</v>
      </c>
      <c r="S61" s="1243"/>
      <c r="T61" s="1243"/>
      <c r="U61" s="1243"/>
    </row>
    <row r="62" spans="1:24" ht="16.149999999999999" customHeight="1" x14ac:dyDescent="0.25">
      <c r="A62" s="1763" t="s">
        <v>322</v>
      </c>
      <c r="B62" s="1764"/>
      <c r="C62" s="1764"/>
      <c r="D62" s="1764"/>
      <c r="E62" s="1764"/>
      <c r="F62" s="1764"/>
      <c r="G62" s="1764"/>
      <c r="H62" s="1764"/>
      <c r="I62" s="1764"/>
      <c r="J62" s="1764"/>
      <c r="K62" s="1764"/>
      <c r="L62" s="1764"/>
      <c r="M62" s="1764"/>
      <c r="N62" s="1765"/>
      <c r="O62" s="2754">
        <f>ROUND(O54/O59,2)</f>
        <v>343.34</v>
      </c>
      <c r="P62" s="2754"/>
      <c r="Q62" s="2754"/>
      <c r="R62" s="1243" t="s">
        <v>874</v>
      </c>
      <c r="S62" s="1243"/>
      <c r="T62" s="1243"/>
      <c r="U62" s="1243"/>
    </row>
    <row r="63" spans="1:24" ht="15.75" thickBot="1" x14ac:dyDescent="0.3"/>
    <row r="64" spans="1:24" x14ac:dyDescent="0.25">
      <c r="A64" s="1583" t="s">
        <v>22</v>
      </c>
      <c r="B64" s="1584"/>
      <c r="C64" s="1584"/>
      <c r="D64" s="1584"/>
      <c r="E64" s="1584"/>
      <c r="F64" s="1584"/>
      <c r="G64" s="1584"/>
      <c r="H64" s="1584"/>
      <c r="I64" s="1584" t="s">
        <v>23</v>
      </c>
      <c r="J64" s="1584"/>
      <c r="K64" s="1584"/>
      <c r="L64" s="1584"/>
      <c r="M64" s="1584"/>
      <c r="N64" s="1584"/>
      <c r="O64" s="1584"/>
      <c r="P64" s="1584"/>
      <c r="Q64" s="1584" t="s">
        <v>24</v>
      </c>
      <c r="R64" s="1584"/>
      <c r="S64" s="1584"/>
      <c r="T64" s="1584"/>
      <c r="U64" s="1584"/>
      <c r="V64" s="1584"/>
      <c r="W64" s="1584"/>
      <c r="X64" s="1585"/>
    </row>
    <row r="65" spans="1:24" ht="15.75" thickBot="1" x14ac:dyDescent="0.3">
      <c r="A65" s="1578" t="s">
        <v>1466</v>
      </c>
      <c r="B65" s="1579"/>
      <c r="C65" s="1579"/>
      <c r="D65" s="1579"/>
      <c r="E65" s="1579"/>
      <c r="F65" s="1579"/>
      <c r="G65" s="1579"/>
      <c r="H65" s="1579"/>
      <c r="I65" s="1744">
        <f>ROUND($O$61,3)</f>
        <v>3.5999999999999997E-2</v>
      </c>
      <c r="J65" s="1744"/>
      <c r="K65" s="1744"/>
      <c r="L65" s="1744"/>
      <c r="M65" s="1744"/>
      <c r="N65" s="1744"/>
      <c r="O65" s="1744"/>
      <c r="P65" s="1744"/>
      <c r="Q65" s="1745">
        <f>ROUND($O$62,2)</f>
        <v>343.34</v>
      </c>
      <c r="R65" s="1745"/>
      <c r="S65" s="1745"/>
      <c r="T65" s="1745"/>
      <c r="U65" s="1745"/>
      <c r="V65" s="1745"/>
      <c r="W65" s="1745"/>
      <c r="X65" s="1746"/>
    </row>
  </sheetData>
  <sheetProtection algorithmName="SHA-512" hashValue="TI5/lYnnPhdc2UcEyXxSKuClBkc6OPCfm+PvlHHkZum9pyBJU9RL0vqYY28xwifsJ7fcRuFoJDt1C6mnzMx/+g==" saltValue="X1itEgfRpCB4Vck7qlgA9g==" spinCount="100000" sheet="1" objects="1" scenarios="1"/>
  <mergeCells count="127">
    <mergeCell ref="A58:N58"/>
    <mergeCell ref="A59:N59"/>
    <mergeCell ref="A60:N60"/>
    <mergeCell ref="A61:N61"/>
    <mergeCell ref="A62:N62"/>
    <mergeCell ref="B18:AF18"/>
    <mergeCell ref="A21:AF21"/>
    <mergeCell ref="B9:AF9"/>
    <mergeCell ref="B12:AF12"/>
    <mergeCell ref="A34:D34"/>
    <mergeCell ref="W34:AF34"/>
    <mergeCell ref="E34:O34"/>
    <mergeCell ref="P34:S34"/>
    <mergeCell ref="T34:V34"/>
    <mergeCell ref="A33:D33"/>
    <mergeCell ref="W33:AF33"/>
    <mergeCell ref="E33:O33"/>
    <mergeCell ref="P33:S33"/>
    <mergeCell ref="T33:V33"/>
    <mergeCell ref="A36:D36"/>
    <mergeCell ref="W36:AF36"/>
    <mergeCell ref="E36:O36"/>
    <mergeCell ref="P36:S36"/>
    <mergeCell ref="T36:V36"/>
    <mergeCell ref="A3:AF3"/>
    <mergeCell ref="B6:AF6"/>
    <mergeCell ref="B15:AF15"/>
    <mergeCell ref="W31:AF31"/>
    <mergeCell ref="A32:D32"/>
    <mergeCell ref="W32:AF32"/>
    <mergeCell ref="E32:O32"/>
    <mergeCell ref="P32:S32"/>
    <mergeCell ref="T32:V32"/>
    <mergeCell ref="A30:D30"/>
    <mergeCell ref="W30:AF30"/>
    <mergeCell ref="A31:D31"/>
    <mergeCell ref="A29:AF29"/>
    <mergeCell ref="E30:O30"/>
    <mergeCell ref="P30:S30"/>
    <mergeCell ref="T30:V30"/>
    <mergeCell ref="E31:O31"/>
    <mergeCell ref="P31:S31"/>
    <mergeCell ref="T31:V31"/>
    <mergeCell ref="A35:D35"/>
    <mergeCell ref="W35:AF35"/>
    <mergeCell ref="E35:O35"/>
    <mergeCell ref="P35:S35"/>
    <mergeCell ref="T35:V35"/>
    <mergeCell ref="A38:D38"/>
    <mergeCell ref="W38:AF38"/>
    <mergeCell ref="E38:O38"/>
    <mergeCell ref="P38:S38"/>
    <mergeCell ref="T38:V38"/>
    <mergeCell ref="A37:D37"/>
    <mergeCell ref="W37:AF37"/>
    <mergeCell ref="E37:O37"/>
    <mergeCell ref="P37:S37"/>
    <mergeCell ref="T37:V37"/>
    <mergeCell ref="A39:D39"/>
    <mergeCell ref="W39:AF39"/>
    <mergeCell ref="E39:O39"/>
    <mergeCell ref="P39:S39"/>
    <mergeCell ref="T39:V39"/>
    <mergeCell ref="A41:D41"/>
    <mergeCell ref="E41:O41"/>
    <mergeCell ref="P41:S41"/>
    <mergeCell ref="T41:V41"/>
    <mergeCell ref="W41:AF41"/>
    <mergeCell ref="A49:N49"/>
    <mergeCell ref="A50:N50"/>
    <mergeCell ref="A51:N51"/>
    <mergeCell ref="A44:AF44"/>
    <mergeCell ref="O46:Q46"/>
    <mergeCell ref="R46:U46"/>
    <mergeCell ref="A40:D40"/>
    <mergeCell ref="W40:AF40"/>
    <mergeCell ref="E40:O40"/>
    <mergeCell ref="P40:S40"/>
    <mergeCell ref="T40:V40"/>
    <mergeCell ref="A64:H64"/>
    <mergeCell ref="I64:P64"/>
    <mergeCell ref="Q64:X64"/>
    <mergeCell ref="A65:H65"/>
    <mergeCell ref="I65:P65"/>
    <mergeCell ref="Q65:X65"/>
    <mergeCell ref="O47:Q47"/>
    <mergeCell ref="R47:U47"/>
    <mergeCell ref="O62:Q62"/>
    <mergeCell ref="R62:U62"/>
    <mergeCell ref="O60:Q60"/>
    <mergeCell ref="R60:U60"/>
    <mergeCell ref="O61:Q61"/>
    <mergeCell ref="R61:U61"/>
    <mergeCell ref="A52:N52"/>
    <mergeCell ref="A53:N53"/>
    <mergeCell ref="A54:N54"/>
    <mergeCell ref="A55:N55"/>
    <mergeCell ref="A56:N56"/>
    <mergeCell ref="A57:N57"/>
    <mergeCell ref="O50:Q50"/>
    <mergeCell ref="R50:U50"/>
    <mergeCell ref="O51:Q51"/>
    <mergeCell ref="R51:U51"/>
    <mergeCell ref="A1:AF1"/>
    <mergeCell ref="O58:Q58"/>
    <mergeCell ref="R58:U58"/>
    <mergeCell ref="O59:Q59"/>
    <mergeCell ref="R59:U59"/>
    <mergeCell ref="O56:Q56"/>
    <mergeCell ref="R56:U56"/>
    <mergeCell ref="O57:Q57"/>
    <mergeCell ref="R57:U57"/>
    <mergeCell ref="O54:Q54"/>
    <mergeCell ref="R54:U54"/>
    <mergeCell ref="O55:Q55"/>
    <mergeCell ref="R55:U55"/>
    <mergeCell ref="O52:Q52"/>
    <mergeCell ref="R52:U52"/>
    <mergeCell ref="O53:Q53"/>
    <mergeCell ref="R53:U53"/>
    <mergeCell ref="O48:Q48"/>
    <mergeCell ref="R48:U48"/>
    <mergeCell ref="O49:Q49"/>
    <mergeCell ref="R49:U49"/>
    <mergeCell ref="A46:N46"/>
    <mergeCell ref="A47:N47"/>
    <mergeCell ref="A48:N48"/>
  </mergeCells>
  <hyperlinks>
    <hyperlink ref="A2" location="TOC!A1" display="Return to TOC" xr:uid="{00000000-0004-0000-32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7">
    <tabColor theme="5" tint="0.59999389629810485"/>
    <pageSetUpPr autoPageBreaks="0"/>
  </sheetPr>
  <dimension ref="A1:AF43"/>
  <sheetViews>
    <sheetView workbookViewId="0">
      <selection sqref="A1:AF1"/>
    </sheetView>
  </sheetViews>
  <sheetFormatPr defaultColWidth="2.7109375" defaultRowHeight="15" x14ac:dyDescent="0.25"/>
  <cols>
    <col min="1" max="16384" width="2.7109375" style="1"/>
  </cols>
  <sheetData>
    <row r="1" spans="1:32" ht="18.75" x14ac:dyDescent="0.25">
      <c r="A1" s="1464" t="s">
        <v>1145</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472" t="s">
        <v>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171" t="s">
        <v>10</v>
      </c>
      <c r="C5" s="171"/>
      <c r="D5" s="171"/>
      <c r="E5" s="171"/>
      <c r="F5" s="171"/>
      <c r="G5" s="171"/>
      <c r="H5" s="171"/>
      <c r="I5" s="171"/>
    </row>
    <row r="6" spans="1:32" s="4" customFormat="1" ht="108" customHeight="1" x14ac:dyDescent="0.25">
      <c r="B6" s="1247" t="s">
        <v>330</v>
      </c>
      <c r="C6" s="1247"/>
      <c r="D6" s="1247"/>
      <c r="E6" s="1247"/>
      <c r="F6" s="1247"/>
      <c r="G6" s="1247"/>
      <c r="H6" s="1247"/>
      <c r="I6" s="1247"/>
      <c r="J6" s="1247"/>
      <c r="K6" s="1247"/>
      <c r="L6" s="1247"/>
      <c r="M6" s="1247"/>
      <c r="N6" s="1247"/>
      <c r="O6" s="1247"/>
      <c r="P6" s="1247"/>
      <c r="Q6" s="1247"/>
      <c r="R6" s="1247"/>
      <c r="S6" s="1247"/>
      <c r="T6" s="1247"/>
      <c r="U6" s="1247"/>
      <c r="V6" s="1247"/>
      <c r="W6" s="1247"/>
      <c r="X6" s="1247"/>
      <c r="Y6" s="1247"/>
      <c r="Z6" s="1247"/>
      <c r="AA6" s="1247"/>
      <c r="AB6" s="1247"/>
      <c r="AC6" s="1247"/>
      <c r="AD6" s="1247"/>
      <c r="AE6" s="1247"/>
      <c r="AF6" s="1247"/>
    </row>
    <row r="8" spans="1:32" x14ac:dyDescent="0.25">
      <c r="B8" s="171" t="s">
        <v>11</v>
      </c>
      <c r="C8" s="171"/>
      <c r="D8" s="171"/>
      <c r="E8" s="171"/>
      <c r="F8" s="171"/>
      <c r="G8" s="171"/>
      <c r="H8" s="171"/>
      <c r="I8" s="171"/>
    </row>
    <row r="9" spans="1:32" x14ac:dyDescent="0.25">
      <c r="B9" s="1473" t="s">
        <v>1568</v>
      </c>
      <c r="C9" s="1473"/>
      <c r="D9" s="1473"/>
      <c r="E9" s="1473"/>
      <c r="F9" s="1473"/>
      <c r="G9" s="1473"/>
      <c r="H9" s="1473"/>
      <c r="I9" s="1473"/>
      <c r="J9" s="1473"/>
      <c r="K9" s="1473"/>
      <c r="L9" s="1473"/>
      <c r="M9" s="1473"/>
      <c r="N9" s="1473"/>
      <c r="O9" s="1473"/>
      <c r="P9" s="1473"/>
      <c r="Q9" s="1473"/>
      <c r="R9" s="1473"/>
      <c r="S9" s="1473"/>
      <c r="T9" s="1473"/>
      <c r="U9" s="1473"/>
      <c r="V9" s="1473"/>
      <c r="W9" s="1473"/>
      <c r="X9" s="1473"/>
      <c r="Y9" s="1473"/>
      <c r="Z9" s="1473"/>
      <c r="AA9" s="1473"/>
      <c r="AB9" s="1473"/>
      <c r="AC9" s="1473"/>
      <c r="AD9" s="1473"/>
      <c r="AE9" s="1473"/>
      <c r="AF9" s="1473"/>
    </row>
    <row r="11" spans="1:32" x14ac:dyDescent="0.25">
      <c r="B11" s="171" t="s">
        <v>12</v>
      </c>
      <c r="C11" s="171"/>
      <c r="D11" s="171"/>
      <c r="E11" s="171"/>
      <c r="F11" s="171"/>
      <c r="G11" s="171"/>
      <c r="H11" s="171"/>
      <c r="I11" s="171"/>
    </row>
    <row r="12" spans="1:32" x14ac:dyDescent="0.25">
      <c r="B12" s="1473" t="s">
        <v>333</v>
      </c>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row>
    <row r="14" spans="1:32" x14ac:dyDescent="0.25">
      <c r="B14" s="171" t="s">
        <v>13</v>
      </c>
      <c r="C14" s="171"/>
      <c r="D14" s="171"/>
      <c r="E14" s="171"/>
      <c r="F14" s="171"/>
      <c r="G14" s="171"/>
      <c r="H14" s="171"/>
      <c r="I14" s="171"/>
    </row>
    <row r="15" spans="1:32" s="4" customFormat="1" ht="62.25" customHeight="1" x14ac:dyDescent="0.25">
      <c r="B15" s="1247" t="s">
        <v>331</v>
      </c>
      <c r="C15" s="1247"/>
      <c r="D15" s="1247"/>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row>
    <row r="17" spans="1:32" x14ac:dyDescent="0.25">
      <c r="B17" s="171" t="s">
        <v>20</v>
      </c>
      <c r="C17" s="171"/>
      <c r="D17" s="171"/>
      <c r="E17" s="171"/>
      <c r="F17" s="171"/>
      <c r="G17" s="171"/>
      <c r="H17" s="171"/>
      <c r="I17" s="171"/>
    </row>
    <row r="18" spans="1:32" s="4" customFormat="1" ht="51" customHeight="1" x14ac:dyDescent="0.25">
      <c r="B18" s="1247" t="s">
        <v>332</v>
      </c>
      <c r="C18" s="1247"/>
      <c r="D18" s="1247"/>
      <c r="E18" s="1247"/>
      <c r="F18" s="1247"/>
      <c r="G18" s="1247"/>
      <c r="H18" s="1247"/>
      <c r="I18" s="1247"/>
      <c r="J18" s="1247"/>
      <c r="K18" s="1247"/>
      <c r="L18" s="1247"/>
      <c r="M18" s="1247"/>
      <c r="N18" s="1247"/>
      <c r="O18" s="1247"/>
      <c r="P18" s="1247"/>
      <c r="Q18" s="1247"/>
      <c r="R18" s="1247"/>
      <c r="S18" s="1247"/>
      <c r="T18" s="1247"/>
      <c r="U18" s="1247"/>
      <c r="V18" s="1247"/>
      <c r="W18" s="1247"/>
      <c r="X18" s="1247"/>
      <c r="Y18" s="1247"/>
      <c r="Z18" s="1247"/>
      <c r="AA18" s="1247"/>
      <c r="AB18" s="1247"/>
      <c r="AC18" s="1247"/>
      <c r="AD18" s="1247"/>
      <c r="AE18" s="1247"/>
      <c r="AF18" s="1247"/>
    </row>
    <row r="21" spans="1:32" x14ac:dyDescent="0.25">
      <c r="A21" s="1472" t="s">
        <v>14</v>
      </c>
      <c r="B21" s="1472"/>
      <c r="C21" s="1472"/>
      <c r="D21" s="1472"/>
      <c r="E21" s="1472"/>
      <c r="F21" s="1472"/>
      <c r="G21" s="1472"/>
      <c r="H21" s="1472"/>
      <c r="I21" s="1472"/>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row>
    <row r="23" spans="1:32" x14ac:dyDescent="0.25">
      <c r="A23" s="1752" t="s">
        <v>40</v>
      </c>
      <c r="B23" s="1586"/>
      <c r="C23" s="1586"/>
      <c r="D23" s="1586"/>
      <c r="E23" s="1586"/>
      <c r="F23" s="1586"/>
      <c r="G23" s="1586"/>
      <c r="H23" s="1587" t="s">
        <v>682</v>
      </c>
      <c r="I23" s="1753"/>
      <c r="J23" s="1753"/>
      <c r="K23" s="1753"/>
      <c r="L23" s="1753"/>
      <c r="M23" s="1753"/>
      <c r="N23" s="1753"/>
      <c r="O23" s="1753"/>
      <c r="P23" s="1753"/>
      <c r="Q23" s="1753"/>
      <c r="R23" s="1753"/>
      <c r="S23" s="1753"/>
      <c r="T23" s="1753"/>
      <c r="U23" s="1753"/>
      <c r="V23" s="1753"/>
      <c r="W23" s="1753"/>
      <c r="X23" s="1753"/>
      <c r="Y23" s="1753"/>
      <c r="Z23" s="1753"/>
      <c r="AA23" s="1753"/>
      <c r="AB23" s="1753"/>
      <c r="AC23" s="1753"/>
      <c r="AD23" s="1753"/>
      <c r="AE23" s="1753"/>
      <c r="AF23" s="1753"/>
    </row>
    <row r="24" spans="1:32" x14ac:dyDescent="0.25">
      <c r="A24" s="1752" t="s">
        <v>41</v>
      </c>
      <c r="B24" s="1586"/>
      <c r="C24" s="1586"/>
      <c r="D24" s="1586"/>
      <c r="E24" s="1586"/>
      <c r="F24" s="1586"/>
      <c r="G24" s="1586"/>
      <c r="H24" s="1587" t="s">
        <v>683</v>
      </c>
      <c r="I24" s="1753"/>
      <c r="J24" s="1753"/>
      <c r="K24" s="1753"/>
      <c r="L24" s="1753"/>
      <c r="M24" s="1753"/>
      <c r="N24" s="1753"/>
      <c r="O24" s="1753"/>
      <c r="P24" s="1753"/>
      <c r="Q24" s="1753"/>
      <c r="R24" s="1753"/>
      <c r="S24" s="1753"/>
      <c r="T24" s="1753"/>
      <c r="U24" s="1753"/>
      <c r="V24" s="1753"/>
      <c r="W24" s="1753"/>
      <c r="X24" s="1753"/>
      <c r="Y24" s="1753"/>
      <c r="Z24" s="1753"/>
      <c r="AA24" s="1753"/>
      <c r="AB24" s="1753"/>
      <c r="AC24" s="1753"/>
      <c r="AD24" s="1753"/>
      <c r="AE24" s="1753"/>
      <c r="AF24" s="1753"/>
    </row>
    <row r="27" spans="1:32" x14ac:dyDescent="0.25">
      <c r="A27" s="1472" t="s">
        <v>15</v>
      </c>
      <c r="B27" s="1472"/>
      <c r="C27" s="1472"/>
      <c r="D27" s="1472"/>
      <c r="E27" s="1472"/>
      <c r="F27" s="1472"/>
      <c r="G27" s="1472"/>
      <c r="H27" s="1472"/>
      <c r="I27" s="1472"/>
      <c r="J27" s="1472"/>
      <c r="K27" s="1472"/>
      <c r="L27" s="1472"/>
      <c r="M27" s="1472"/>
      <c r="N27" s="1472"/>
      <c r="O27" s="1472"/>
      <c r="P27" s="1472"/>
      <c r="Q27" s="1472"/>
      <c r="R27" s="1472"/>
      <c r="S27" s="1472"/>
      <c r="T27" s="1472"/>
      <c r="U27" s="1472"/>
      <c r="V27" s="1472"/>
      <c r="W27" s="1472"/>
      <c r="X27" s="1472"/>
      <c r="Y27" s="1472"/>
      <c r="Z27" s="1472"/>
      <c r="AA27" s="1472"/>
      <c r="AB27" s="1472"/>
      <c r="AC27" s="1472"/>
      <c r="AD27" s="1472"/>
      <c r="AE27" s="1472"/>
      <c r="AF27" s="1472"/>
    </row>
    <row r="28" spans="1:32" x14ac:dyDescent="0.25">
      <c r="A28" s="1474" t="s">
        <v>16</v>
      </c>
      <c r="B28" s="1474"/>
      <c r="C28" s="1474"/>
      <c r="D28" s="1474"/>
      <c r="E28" s="1474" t="s">
        <v>10</v>
      </c>
      <c r="F28" s="1474"/>
      <c r="G28" s="1474"/>
      <c r="H28" s="1474"/>
      <c r="I28" s="1474"/>
      <c r="J28" s="1474"/>
      <c r="K28" s="1474"/>
      <c r="L28" s="1474"/>
      <c r="M28" s="1474"/>
      <c r="N28" s="1474"/>
      <c r="O28" s="1474"/>
      <c r="P28" s="1474"/>
      <c r="Q28" s="1474" t="s">
        <v>17</v>
      </c>
      <c r="R28" s="1474"/>
      <c r="S28" s="1474"/>
      <c r="T28" s="1474"/>
      <c r="U28" s="1474" t="s">
        <v>18</v>
      </c>
      <c r="V28" s="1474"/>
      <c r="W28" s="1474" t="s">
        <v>19</v>
      </c>
      <c r="X28" s="1474"/>
      <c r="Y28" s="1474"/>
      <c r="Z28" s="1474"/>
      <c r="AA28" s="1474"/>
      <c r="AB28" s="1474"/>
      <c r="AC28" s="1474"/>
      <c r="AD28" s="1474"/>
      <c r="AE28" s="1474"/>
      <c r="AF28" s="1474"/>
    </row>
    <row r="29" spans="1:32" x14ac:dyDescent="0.25">
      <c r="A29" s="1574" t="s">
        <v>40</v>
      </c>
      <c r="B29" s="1575"/>
      <c r="C29" s="1575"/>
      <c r="D29" s="1576"/>
      <c r="E29" s="1485" t="s">
        <v>160</v>
      </c>
      <c r="F29" s="1486"/>
      <c r="G29" s="1486"/>
      <c r="H29" s="1486"/>
      <c r="I29" s="1486"/>
      <c r="J29" s="1486"/>
      <c r="K29" s="1486"/>
      <c r="L29" s="1486"/>
      <c r="M29" s="1486"/>
      <c r="N29" s="1486"/>
      <c r="O29" s="1486"/>
      <c r="P29" s="1487"/>
      <c r="Q29" s="1574" t="s">
        <v>43</v>
      </c>
      <c r="R29" s="1575"/>
      <c r="S29" s="1575"/>
      <c r="T29" s="1576"/>
      <c r="U29" s="1574" t="s">
        <v>44</v>
      </c>
      <c r="V29" s="1576"/>
      <c r="W29" s="1485"/>
      <c r="X29" s="1486"/>
      <c r="Y29" s="1486"/>
      <c r="Z29" s="1486"/>
      <c r="AA29" s="1486"/>
      <c r="AB29" s="1486"/>
      <c r="AC29" s="1486"/>
      <c r="AD29" s="1486"/>
      <c r="AE29" s="1486"/>
      <c r="AF29" s="1487"/>
    </row>
    <row r="30" spans="1:32" x14ac:dyDescent="0.25">
      <c r="A30" s="1574" t="s">
        <v>41</v>
      </c>
      <c r="B30" s="1575"/>
      <c r="C30" s="1575"/>
      <c r="D30" s="1576"/>
      <c r="E30" s="1485" t="s">
        <v>161</v>
      </c>
      <c r="F30" s="1486"/>
      <c r="G30" s="1486"/>
      <c r="H30" s="1486"/>
      <c r="I30" s="1486"/>
      <c r="J30" s="1486"/>
      <c r="K30" s="1486"/>
      <c r="L30" s="1486"/>
      <c r="M30" s="1486"/>
      <c r="N30" s="1486"/>
      <c r="O30" s="1486"/>
      <c r="P30" s="1487"/>
      <c r="Q30" s="1574" t="s">
        <v>43</v>
      </c>
      <c r="R30" s="1575"/>
      <c r="S30" s="1575"/>
      <c r="T30" s="1576"/>
      <c r="U30" s="1574" t="s">
        <v>26</v>
      </c>
      <c r="V30" s="1576"/>
      <c r="W30" s="1485"/>
      <c r="X30" s="1486"/>
      <c r="Y30" s="1486"/>
      <c r="Z30" s="1486"/>
      <c r="AA30" s="1486"/>
      <c r="AB30" s="1486"/>
      <c r="AC30" s="1486"/>
      <c r="AD30" s="1486"/>
      <c r="AE30" s="1486"/>
      <c r="AF30" s="1487"/>
    </row>
    <row r="31" spans="1:32" x14ac:dyDescent="0.25">
      <c r="A31" s="1574" t="s">
        <v>334</v>
      </c>
      <c r="B31" s="1575"/>
      <c r="C31" s="1575"/>
      <c r="D31" s="1576"/>
      <c r="E31" s="1485" t="s">
        <v>2184</v>
      </c>
      <c r="F31" s="1486"/>
      <c r="G31" s="1486"/>
      <c r="H31" s="1486"/>
      <c r="I31" s="1486"/>
      <c r="J31" s="1486"/>
      <c r="K31" s="1486"/>
      <c r="L31" s="1486"/>
      <c r="M31" s="1486"/>
      <c r="N31" s="1486"/>
      <c r="O31" s="1486"/>
      <c r="P31" s="1487"/>
      <c r="Q31" s="1574" t="s">
        <v>31</v>
      </c>
      <c r="R31" s="1575"/>
      <c r="S31" s="1575"/>
      <c r="T31" s="1576"/>
      <c r="U31" s="1574" t="s">
        <v>26</v>
      </c>
      <c r="V31" s="1576"/>
      <c r="W31" s="1485"/>
      <c r="X31" s="1486"/>
      <c r="Y31" s="1486"/>
      <c r="Z31" s="1486"/>
      <c r="AA31" s="1486"/>
      <c r="AB31" s="1486"/>
      <c r="AC31" s="1486"/>
      <c r="AD31" s="1486"/>
      <c r="AE31" s="1486"/>
      <c r="AF31" s="1487"/>
    </row>
    <row r="32" spans="1:32" x14ac:dyDescent="0.25">
      <c r="A32" s="1574" t="s">
        <v>32</v>
      </c>
      <c r="B32" s="1575"/>
      <c r="C32" s="1575"/>
      <c r="D32" s="1576"/>
      <c r="E32" s="1485" t="s">
        <v>163</v>
      </c>
      <c r="F32" s="1486"/>
      <c r="G32" s="1486"/>
      <c r="H32" s="1486"/>
      <c r="I32" s="1486"/>
      <c r="J32" s="1486"/>
      <c r="K32" s="1486"/>
      <c r="L32" s="1486"/>
      <c r="M32" s="1486"/>
      <c r="N32" s="1486"/>
      <c r="O32" s="1486"/>
      <c r="P32" s="1487"/>
      <c r="Q32" s="1574">
        <v>8760</v>
      </c>
      <c r="R32" s="1575"/>
      <c r="S32" s="1575"/>
      <c r="T32" s="1576"/>
      <c r="U32" s="1574" t="s">
        <v>45</v>
      </c>
      <c r="V32" s="1576"/>
      <c r="W32" s="1485" t="s">
        <v>337</v>
      </c>
      <c r="X32" s="1486"/>
      <c r="Y32" s="1486"/>
      <c r="Z32" s="1486"/>
      <c r="AA32" s="1486"/>
      <c r="AB32" s="1486"/>
      <c r="AC32" s="1486"/>
      <c r="AD32" s="1486"/>
      <c r="AE32" s="1486"/>
      <c r="AF32" s="1487"/>
    </row>
    <row r="33" spans="1:32" x14ac:dyDescent="0.25">
      <c r="A33" s="1574" t="s">
        <v>335</v>
      </c>
      <c r="B33" s="1575"/>
      <c r="C33" s="1575"/>
      <c r="D33" s="1576"/>
      <c r="E33" s="1485" t="s">
        <v>2183</v>
      </c>
      <c r="F33" s="1486"/>
      <c r="G33" s="1486"/>
      <c r="H33" s="1486"/>
      <c r="I33" s="1486"/>
      <c r="J33" s="1486"/>
      <c r="K33" s="1486"/>
      <c r="L33" s="1486"/>
      <c r="M33" s="1486"/>
      <c r="N33" s="1486"/>
      <c r="O33" s="1486"/>
      <c r="P33" s="1487"/>
      <c r="Q33" s="1574" t="s">
        <v>31</v>
      </c>
      <c r="R33" s="1575"/>
      <c r="S33" s="1575"/>
      <c r="T33" s="1576"/>
      <c r="U33" s="1574" t="s">
        <v>30</v>
      </c>
      <c r="V33" s="1576"/>
      <c r="W33" s="1485"/>
      <c r="X33" s="1486"/>
      <c r="Y33" s="1486"/>
      <c r="Z33" s="1486"/>
      <c r="AA33" s="1486"/>
      <c r="AB33" s="1486"/>
      <c r="AC33" s="1486"/>
      <c r="AD33" s="1486"/>
      <c r="AE33" s="1486"/>
      <c r="AF33" s="1487"/>
    </row>
    <row r="34" spans="1:32" x14ac:dyDescent="0.25">
      <c r="A34" s="1574" t="s">
        <v>34</v>
      </c>
      <c r="B34" s="1575"/>
      <c r="C34" s="1575"/>
      <c r="D34" s="1576"/>
      <c r="E34" s="1485" t="s">
        <v>290</v>
      </c>
      <c r="F34" s="1486"/>
      <c r="G34" s="1486"/>
      <c r="H34" s="1486"/>
      <c r="I34" s="1486"/>
      <c r="J34" s="1486"/>
      <c r="K34" s="1486"/>
      <c r="L34" s="1486"/>
      <c r="M34" s="1486"/>
      <c r="N34" s="1486"/>
      <c r="O34" s="1486"/>
      <c r="P34" s="1487"/>
      <c r="Q34" s="1574">
        <f>'Master EUL'!X73</f>
        <v>8</v>
      </c>
      <c r="R34" s="1575"/>
      <c r="S34" s="1575"/>
      <c r="T34" s="1576"/>
      <c r="U34" s="1574" t="s">
        <v>46</v>
      </c>
      <c r="V34" s="1576"/>
      <c r="W34" s="1485"/>
      <c r="X34" s="1486"/>
      <c r="Y34" s="1486"/>
      <c r="Z34" s="1486"/>
      <c r="AA34" s="1486"/>
      <c r="AB34" s="1486"/>
      <c r="AC34" s="1486"/>
      <c r="AD34" s="1486"/>
      <c r="AE34" s="1486"/>
      <c r="AF34" s="1487"/>
    </row>
    <row r="37" spans="1:32" x14ac:dyDescent="0.25">
      <c r="A37" s="1472" t="s">
        <v>21</v>
      </c>
      <c r="B37" s="1472"/>
      <c r="C37" s="1472"/>
      <c r="D37" s="1472"/>
      <c r="E37" s="1472"/>
      <c r="F37" s="1472"/>
      <c r="G37" s="1472"/>
      <c r="H37" s="1472"/>
      <c r="I37" s="1472"/>
      <c r="J37" s="1472"/>
      <c r="K37" s="1472"/>
      <c r="L37" s="1472"/>
      <c r="M37" s="1472"/>
      <c r="N37" s="1472"/>
      <c r="O37" s="1472"/>
      <c r="P37" s="1472"/>
      <c r="Q37" s="1472"/>
      <c r="R37" s="1472"/>
      <c r="S37" s="1472"/>
      <c r="T37" s="1472"/>
      <c r="U37" s="1472"/>
      <c r="V37" s="1472"/>
      <c r="W37" s="1472"/>
      <c r="X37" s="1472"/>
      <c r="Y37" s="1472"/>
      <c r="Z37" s="1472"/>
      <c r="AA37" s="1472"/>
      <c r="AB37" s="1472"/>
      <c r="AC37" s="1472"/>
      <c r="AD37" s="1472"/>
      <c r="AE37" s="1472"/>
      <c r="AF37" s="1472"/>
    </row>
    <row r="38" spans="1:32" ht="15.75" thickBot="1" x14ac:dyDescent="0.3"/>
    <row r="39" spans="1:32" x14ac:dyDescent="0.25">
      <c r="A39" s="1583" t="s">
        <v>22</v>
      </c>
      <c r="B39" s="1584"/>
      <c r="C39" s="1584"/>
      <c r="D39" s="1584"/>
      <c r="E39" s="1584"/>
      <c r="F39" s="1584"/>
      <c r="G39" s="1584"/>
      <c r="H39" s="1584"/>
      <c r="I39" s="1584" t="s">
        <v>23</v>
      </c>
      <c r="J39" s="1584"/>
      <c r="K39" s="1584"/>
      <c r="L39" s="1584"/>
      <c r="M39" s="1584"/>
      <c r="N39" s="1584"/>
      <c r="O39" s="1584"/>
      <c r="P39" s="1584"/>
      <c r="Q39" s="1584" t="s">
        <v>24</v>
      </c>
      <c r="R39" s="1584"/>
      <c r="S39" s="1584"/>
      <c r="T39" s="1584"/>
      <c r="U39" s="1584"/>
      <c r="V39" s="1584"/>
      <c r="W39" s="1584"/>
      <c r="X39" s="1585"/>
    </row>
    <row r="40" spans="1:32" ht="43.15" customHeight="1" x14ac:dyDescent="0.25">
      <c r="A40" s="2763" t="s">
        <v>793</v>
      </c>
      <c r="B40" s="1912"/>
      <c r="C40" s="1912"/>
      <c r="D40" s="1912"/>
      <c r="E40" s="1912"/>
      <c r="F40" s="1912"/>
      <c r="G40" s="1912"/>
      <c r="H40" s="1912"/>
      <c r="I40" s="2762">
        <f>ROUND(0.184,3)</f>
        <v>0.184</v>
      </c>
      <c r="J40" s="2762"/>
      <c r="K40" s="2762"/>
      <c r="L40" s="2762"/>
      <c r="M40" s="2762"/>
      <c r="N40" s="2762"/>
      <c r="O40" s="2762"/>
      <c r="P40" s="2762"/>
      <c r="Q40" s="2764">
        <f>ROUND(1612,2)</f>
        <v>1612</v>
      </c>
      <c r="R40" s="2764"/>
      <c r="S40" s="2764"/>
      <c r="T40" s="2764"/>
      <c r="U40" s="2764"/>
      <c r="V40" s="2764"/>
      <c r="W40" s="2764"/>
      <c r="X40" s="2765"/>
    </row>
    <row r="41" spans="1:32" x14ac:dyDescent="0.25">
      <c r="A41" s="2763" t="s">
        <v>794</v>
      </c>
      <c r="B41" s="1912"/>
      <c r="C41" s="1912"/>
      <c r="D41" s="1912"/>
      <c r="E41" s="1912"/>
      <c r="F41" s="1912"/>
      <c r="G41" s="1912"/>
      <c r="H41" s="1912"/>
      <c r="I41" s="2762">
        <f>ROUND(0.124,3)</f>
        <v>0.124</v>
      </c>
      <c r="J41" s="2762"/>
      <c r="K41" s="2762"/>
      <c r="L41" s="2762"/>
      <c r="M41" s="2762"/>
      <c r="N41" s="2762"/>
      <c r="O41" s="2762"/>
      <c r="P41" s="2762"/>
      <c r="Q41" s="2764">
        <f>ROUND(1086,2)</f>
        <v>1086</v>
      </c>
      <c r="R41" s="2764"/>
      <c r="S41" s="2764"/>
      <c r="T41" s="2764"/>
      <c r="U41" s="2764"/>
      <c r="V41" s="2764"/>
      <c r="W41" s="2764"/>
      <c r="X41" s="2765"/>
    </row>
    <row r="42" spans="1:32" ht="28.9" customHeight="1" x14ac:dyDescent="0.25">
      <c r="A42" s="2763" t="s">
        <v>795</v>
      </c>
      <c r="B42" s="1912"/>
      <c r="C42" s="1912"/>
      <c r="D42" s="1912"/>
      <c r="E42" s="1912"/>
      <c r="F42" s="1912"/>
      <c r="G42" s="1912"/>
      <c r="H42" s="1912"/>
      <c r="I42" s="2762">
        <f>ROUND(0.044,3)</f>
        <v>4.3999999999999997E-2</v>
      </c>
      <c r="J42" s="2762"/>
      <c r="K42" s="2762"/>
      <c r="L42" s="2762"/>
      <c r="M42" s="2762"/>
      <c r="N42" s="2762"/>
      <c r="O42" s="2762"/>
      <c r="P42" s="2762"/>
      <c r="Q42" s="2764">
        <f>ROUND(387,2)</f>
        <v>387</v>
      </c>
      <c r="R42" s="2764"/>
      <c r="S42" s="2764"/>
      <c r="T42" s="2764"/>
      <c r="U42" s="2764"/>
      <c r="V42" s="2764"/>
      <c r="W42" s="2764"/>
      <c r="X42" s="2765"/>
    </row>
    <row r="43" spans="1:32" ht="15.75" thickBot="1" x14ac:dyDescent="0.3">
      <c r="A43" s="2768" t="s">
        <v>796</v>
      </c>
      <c r="B43" s="2769"/>
      <c r="C43" s="2769"/>
      <c r="D43" s="2769"/>
      <c r="E43" s="2769"/>
      <c r="F43" s="2769"/>
      <c r="G43" s="2769"/>
      <c r="H43" s="2769"/>
      <c r="I43" s="2761">
        <f>ROUND(AVERAGE(I40:P42),3)</f>
        <v>0.11700000000000001</v>
      </c>
      <c r="J43" s="2761"/>
      <c r="K43" s="2761"/>
      <c r="L43" s="2761"/>
      <c r="M43" s="2761"/>
      <c r="N43" s="2761"/>
      <c r="O43" s="2761"/>
      <c r="P43" s="2761"/>
      <c r="Q43" s="2766">
        <f>ROUND(AVERAGE(Q40:X42),2)</f>
        <v>1028.33</v>
      </c>
      <c r="R43" s="2766"/>
      <c r="S43" s="2766"/>
      <c r="T43" s="2766"/>
      <c r="U43" s="2766"/>
      <c r="V43" s="2766"/>
      <c r="W43" s="2766"/>
      <c r="X43" s="2767"/>
    </row>
  </sheetData>
  <sheetProtection algorithmName="SHA-512" hashValue="oPQhHZm2v0y66efbF8DSWGgSMQEOQeDR4yVNdJoyhBHDY+EmN9J7pzB2Vott+WRsrsQtfieErPLiNoaiKPnBpg==" saltValue="nbhPutnEZg3DJF0+NVthlQ==" spinCount="100000" sheet="1" objects="1" scenarios="1"/>
  <mergeCells count="64">
    <mergeCell ref="Q41:X41"/>
    <mergeCell ref="Q42:X42"/>
    <mergeCell ref="Q43:X43"/>
    <mergeCell ref="A37:AF37"/>
    <mergeCell ref="A34:D34"/>
    <mergeCell ref="E34:P34"/>
    <mergeCell ref="Q34:T34"/>
    <mergeCell ref="U34:V34"/>
    <mergeCell ref="W34:AF34"/>
    <mergeCell ref="A39:H39"/>
    <mergeCell ref="I39:P39"/>
    <mergeCell ref="Q39:X39"/>
    <mergeCell ref="A40:H40"/>
    <mergeCell ref="I40:P40"/>
    <mergeCell ref="Q40:X40"/>
    <mergeCell ref="A43:H43"/>
    <mergeCell ref="A33:D33"/>
    <mergeCell ref="E33:P33"/>
    <mergeCell ref="Q33:T33"/>
    <mergeCell ref="U33:V33"/>
    <mergeCell ref="W33:AF33"/>
    <mergeCell ref="A32:D32"/>
    <mergeCell ref="E32:P32"/>
    <mergeCell ref="Q32:T32"/>
    <mergeCell ref="U32:V32"/>
    <mergeCell ref="W32:AF32"/>
    <mergeCell ref="A31:D31"/>
    <mergeCell ref="E31:P31"/>
    <mergeCell ref="Q31:T31"/>
    <mergeCell ref="U31:V31"/>
    <mergeCell ref="W31:AF31"/>
    <mergeCell ref="A30:D30"/>
    <mergeCell ref="E30:P30"/>
    <mergeCell ref="Q30:T30"/>
    <mergeCell ref="U30:V30"/>
    <mergeCell ref="W30:AF30"/>
    <mergeCell ref="A29:D29"/>
    <mergeCell ref="E29:P29"/>
    <mergeCell ref="Q29:T29"/>
    <mergeCell ref="U29:V29"/>
    <mergeCell ref="W29:AF29"/>
    <mergeCell ref="A27:AF27"/>
    <mergeCell ref="A28:D28"/>
    <mergeCell ref="E28:P28"/>
    <mergeCell ref="Q28:T28"/>
    <mergeCell ref="U28:V28"/>
    <mergeCell ref="W28:AF28"/>
    <mergeCell ref="A1:AF1"/>
    <mergeCell ref="A23:G23"/>
    <mergeCell ref="H23:AF23"/>
    <mergeCell ref="A24:G24"/>
    <mergeCell ref="H24:AF24"/>
    <mergeCell ref="A3:AF3"/>
    <mergeCell ref="B6:AF6"/>
    <mergeCell ref="B9:AF9"/>
    <mergeCell ref="A21:AF21"/>
    <mergeCell ref="B12:AF12"/>
    <mergeCell ref="B15:AF15"/>
    <mergeCell ref="B18:AF18"/>
    <mergeCell ref="I43:P43"/>
    <mergeCell ref="I41:P41"/>
    <mergeCell ref="I42:P42"/>
    <mergeCell ref="A41:H41"/>
    <mergeCell ref="A42:H42"/>
  </mergeCells>
  <hyperlinks>
    <hyperlink ref="A2" location="TOC!A1" display="Return to TOC" xr:uid="{00000000-0004-0000-3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8">
    <tabColor theme="5" tint="0.59999389629810485"/>
    <pageSetUpPr autoPageBreaks="0"/>
  </sheetPr>
  <dimension ref="A1:AF80"/>
  <sheetViews>
    <sheetView workbookViewId="0">
      <selection activeCell="A2" sqref="A2"/>
    </sheetView>
  </sheetViews>
  <sheetFormatPr defaultColWidth="2.7109375" defaultRowHeight="15" x14ac:dyDescent="0.25"/>
  <cols>
    <col min="1" max="16384" width="2.7109375" style="1"/>
  </cols>
  <sheetData>
    <row r="1" spans="1:32" ht="18.75" x14ac:dyDescent="0.25">
      <c r="A1" s="1464" t="s">
        <v>1146</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34.5" customHeight="1" x14ac:dyDescent="0.25">
      <c r="A5" s="262"/>
      <c r="B5" s="1247" t="s">
        <v>5823</v>
      </c>
      <c r="C5" s="1247"/>
      <c r="D5" s="1247"/>
      <c r="E5" s="1247"/>
      <c r="F5" s="1247"/>
      <c r="G5" s="1247"/>
      <c r="H5" s="1247"/>
      <c r="I5" s="1247"/>
      <c r="J5" s="1247"/>
      <c r="K5" s="1247"/>
      <c r="L5" s="1247"/>
      <c r="M5" s="1247"/>
      <c r="N5" s="1247"/>
      <c r="O5" s="1247"/>
      <c r="P5" s="1247"/>
      <c r="Q5" s="1247"/>
      <c r="R5" s="1247"/>
      <c r="S5" s="1247"/>
      <c r="T5" s="1247"/>
      <c r="U5" s="1247"/>
      <c r="V5" s="1247"/>
      <c r="W5" s="1247"/>
      <c r="X5" s="1247"/>
      <c r="Y5" s="1247"/>
      <c r="Z5" s="1247"/>
      <c r="AA5" s="1247"/>
      <c r="AB5" s="1247"/>
      <c r="AC5" s="1247"/>
      <c r="AD5" s="1247"/>
      <c r="AE5" s="1247"/>
      <c r="AF5" s="1247"/>
    </row>
    <row r="6" spans="1:32" ht="15" customHeight="1" x14ac:dyDescent="0.25">
      <c r="A6" s="529"/>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25">
      <c r="B9" s="171" t="s">
        <v>10</v>
      </c>
      <c r="C9" s="171"/>
      <c r="D9" s="171"/>
      <c r="E9" s="171"/>
      <c r="F9" s="171"/>
      <c r="G9" s="171"/>
      <c r="H9" s="171"/>
      <c r="I9" s="171"/>
    </row>
    <row r="10" spans="1:32" s="4" customFormat="1" ht="66" customHeight="1" x14ac:dyDescent="0.25">
      <c r="B10" s="1151" t="s">
        <v>338</v>
      </c>
      <c r="C10" s="1151"/>
      <c r="D10" s="1151"/>
      <c r="E10" s="1151"/>
      <c r="F10" s="1151"/>
      <c r="G10" s="1151"/>
      <c r="H10" s="1151"/>
      <c r="I10" s="1151"/>
      <c r="J10" s="1151"/>
      <c r="K10" s="1151"/>
      <c r="L10" s="1151"/>
      <c r="M10" s="1151"/>
      <c r="N10" s="1151"/>
      <c r="O10" s="1151"/>
      <c r="P10" s="1151"/>
      <c r="Q10" s="1151"/>
      <c r="R10" s="1151"/>
      <c r="S10" s="1151"/>
      <c r="T10" s="1151"/>
      <c r="U10" s="1151"/>
      <c r="V10" s="1151"/>
      <c r="W10" s="1151"/>
      <c r="X10" s="1151"/>
      <c r="Y10" s="1151"/>
      <c r="Z10" s="1151"/>
      <c r="AA10" s="1151"/>
      <c r="AB10" s="1151"/>
      <c r="AC10" s="1151"/>
      <c r="AD10" s="1151"/>
      <c r="AE10" s="1151"/>
      <c r="AF10" s="1151"/>
    </row>
    <row r="12" spans="1:32" x14ac:dyDescent="0.25">
      <c r="B12" s="171" t="s">
        <v>11</v>
      </c>
      <c r="C12" s="171"/>
      <c r="D12" s="171"/>
      <c r="E12" s="171"/>
      <c r="F12" s="171"/>
      <c r="G12" s="171"/>
      <c r="H12" s="171"/>
      <c r="I12" s="171"/>
    </row>
    <row r="13" spans="1:32" ht="30.6" customHeight="1" x14ac:dyDescent="0.25">
      <c r="B13" s="1151" t="s">
        <v>1569</v>
      </c>
      <c r="C13" s="1151"/>
      <c r="D13" s="1151"/>
      <c r="E13" s="1151"/>
      <c r="F13" s="1151"/>
      <c r="G13" s="1151"/>
      <c r="H13" s="1151"/>
      <c r="I13" s="1151"/>
      <c r="J13" s="1151"/>
      <c r="K13" s="1151"/>
      <c r="L13" s="1151"/>
      <c r="M13" s="1151"/>
      <c r="N13" s="1151"/>
      <c r="O13" s="1151"/>
      <c r="P13" s="1151"/>
      <c r="Q13" s="1151"/>
      <c r="R13" s="1151"/>
      <c r="S13" s="1151"/>
      <c r="T13" s="1151"/>
      <c r="U13" s="1151"/>
      <c r="V13" s="1151"/>
      <c r="W13" s="1151"/>
      <c r="X13" s="1151"/>
      <c r="Y13" s="1151"/>
      <c r="Z13" s="1151"/>
      <c r="AA13" s="1151"/>
      <c r="AB13" s="1151"/>
      <c r="AC13" s="1151"/>
      <c r="AD13" s="1151"/>
      <c r="AE13" s="1151"/>
      <c r="AF13" s="1151"/>
    </row>
    <row r="15" spans="1:32" x14ac:dyDescent="0.25">
      <c r="B15" s="171" t="s">
        <v>12</v>
      </c>
      <c r="C15" s="171"/>
      <c r="D15" s="171"/>
      <c r="E15" s="171"/>
      <c r="F15" s="171"/>
      <c r="G15" s="171"/>
      <c r="H15" s="171"/>
      <c r="I15" s="171"/>
    </row>
    <row r="16" spans="1:32" x14ac:dyDescent="0.25">
      <c r="B16" s="1473" t="s">
        <v>341</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row>
    <row r="18" spans="1:32" x14ac:dyDescent="0.25">
      <c r="B18" s="171" t="s">
        <v>13</v>
      </c>
      <c r="C18" s="171"/>
      <c r="D18" s="171"/>
      <c r="E18" s="171"/>
      <c r="F18" s="171"/>
      <c r="G18" s="171"/>
      <c r="H18" s="171"/>
      <c r="I18" s="171"/>
    </row>
    <row r="19" spans="1:32" x14ac:dyDescent="0.25">
      <c r="B19" s="1473" t="s">
        <v>339</v>
      </c>
      <c r="C19" s="1473"/>
      <c r="D19" s="1473"/>
      <c r="E19" s="1473"/>
      <c r="F19" s="1473"/>
      <c r="G19" s="1473"/>
      <c r="H19" s="1473"/>
      <c r="I19" s="1473"/>
      <c r="J19" s="1473"/>
      <c r="K19" s="1473"/>
      <c r="L19" s="1473"/>
      <c r="M19" s="1473"/>
      <c r="N19" s="1473"/>
      <c r="O19" s="1473"/>
      <c r="P19" s="1473"/>
      <c r="Q19" s="1473"/>
      <c r="R19" s="1473"/>
      <c r="S19" s="1473"/>
      <c r="T19" s="1473"/>
      <c r="U19" s="1473"/>
      <c r="V19" s="1473"/>
      <c r="W19" s="1473"/>
      <c r="X19" s="1473"/>
      <c r="Y19" s="1473"/>
      <c r="Z19" s="1473"/>
      <c r="AA19" s="1473"/>
      <c r="AB19" s="1473"/>
      <c r="AC19" s="1473"/>
      <c r="AD19" s="1473"/>
      <c r="AE19" s="1473"/>
      <c r="AF19" s="1473"/>
    </row>
    <row r="21" spans="1:32" x14ac:dyDescent="0.25">
      <c r="B21" s="171" t="s">
        <v>20</v>
      </c>
      <c r="C21" s="171"/>
      <c r="D21" s="171"/>
      <c r="E21" s="171"/>
      <c r="F21" s="171"/>
      <c r="G21" s="171"/>
      <c r="H21" s="171"/>
      <c r="I21" s="171"/>
    </row>
    <row r="22" spans="1:32" x14ac:dyDescent="0.25">
      <c r="B22" s="1473" t="s">
        <v>340</v>
      </c>
      <c r="C22" s="1473"/>
      <c r="D22" s="1473"/>
      <c r="E22" s="1473"/>
      <c r="F22" s="1473"/>
      <c r="G22" s="1473"/>
      <c r="H22" s="1473"/>
      <c r="I22" s="1473"/>
      <c r="J22" s="1473"/>
      <c r="K22" s="1473"/>
      <c r="L22" s="1473"/>
      <c r="M22" s="1473"/>
      <c r="N22" s="1473"/>
      <c r="O22" s="1473"/>
      <c r="P22" s="1473"/>
      <c r="Q22" s="1473"/>
      <c r="R22" s="1473"/>
      <c r="S22" s="1473"/>
      <c r="T22" s="1473"/>
      <c r="U22" s="1473"/>
      <c r="V22" s="1473"/>
      <c r="W22" s="1473"/>
      <c r="X22" s="1473"/>
      <c r="Y22" s="1473"/>
      <c r="Z22" s="1473"/>
      <c r="AA22" s="1473"/>
      <c r="AB22" s="1473"/>
      <c r="AC22" s="1473"/>
      <c r="AD22" s="1473"/>
      <c r="AE22" s="1473"/>
      <c r="AF22" s="1473"/>
    </row>
    <row r="25" spans="1:32" x14ac:dyDescent="0.25">
      <c r="A25" s="1472" t="s">
        <v>14</v>
      </c>
      <c r="B25" s="1472"/>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row>
    <row r="52" spans="1:32" x14ac:dyDescent="0.25">
      <c r="A52" s="1472" t="s">
        <v>21</v>
      </c>
      <c r="B52" s="1472"/>
      <c r="C52" s="1472"/>
      <c r="D52" s="1472"/>
      <c r="E52" s="1472"/>
      <c r="F52" s="1472"/>
      <c r="G52" s="1472"/>
      <c r="H52" s="1472"/>
      <c r="I52" s="1472"/>
      <c r="J52" s="1472"/>
      <c r="K52" s="1472"/>
      <c r="L52" s="1472"/>
      <c r="M52" s="1472"/>
      <c r="N52" s="1472"/>
      <c r="O52" s="1472"/>
      <c r="P52" s="1472"/>
      <c r="Q52" s="1472"/>
      <c r="R52" s="1472"/>
      <c r="S52" s="1472"/>
      <c r="T52" s="1472"/>
      <c r="U52" s="1472"/>
      <c r="V52" s="1472"/>
      <c r="W52" s="1472"/>
      <c r="X52" s="1472"/>
      <c r="Y52" s="1472"/>
      <c r="Z52" s="1472"/>
      <c r="AA52" s="1472"/>
      <c r="AB52" s="1472"/>
      <c r="AC52" s="1472"/>
      <c r="AD52" s="1472"/>
      <c r="AE52" s="1472"/>
      <c r="AF52" s="1472"/>
    </row>
    <row r="54" spans="1:32" x14ac:dyDescent="0.25">
      <c r="A54" s="1" t="s">
        <v>3066</v>
      </c>
    </row>
    <row r="55" spans="1:32" x14ac:dyDescent="0.25">
      <c r="A55" s="39" t="s">
        <v>3067</v>
      </c>
    </row>
    <row r="56" spans="1:32" x14ac:dyDescent="0.25">
      <c r="A56" s="39" t="s">
        <v>342</v>
      </c>
    </row>
    <row r="58" spans="1:32" x14ac:dyDescent="0.25">
      <c r="A58" s="1" t="s">
        <v>343</v>
      </c>
    </row>
    <row r="59" spans="1:32" x14ac:dyDescent="0.25">
      <c r="A59" s="39" t="s">
        <v>344</v>
      </c>
    </row>
    <row r="60" spans="1:32" x14ac:dyDescent="0.25">
      <c r="A60" s="39" t="s">
        <v>345</v>
      </c>
    </row>
    <row r="61" spans="1:32" x14ac:dyDescent="0.25">
      <c r="A61" s="1" t="s">
        <v>346</v>
      </c>
    </row>
    <row r="63" spans="1:32" x14ac:dyDescent="0.25">
      <c r="A63" s="1" t="s">
        <v>347</v>
      </c>
    </row>
    <row r="65" spans="1:32" x14ac:dyDescent="0.25">
      <c r="A65" s="10" t="s">
        <v>348</v>
      </c>
    </row>
    <row r="68" spans="1:32" ht="30.75" customHeight="1" x14ac:dyDescent="0.25">
      <c r="A68" s="1390" t="s">
        <v>349</v>
      </c>
      <c r="B68" s="1390"/>
      <c r="C68" s="1390"/>
      <c r="D68" s="1390"/>
      <c r="E68" s="1390"/>
      <c r="F68" s="1390"/>
      <c r="G68" s="1390"/>
      <c r="H68" s="1390"/>
      <c r="I68" s="1390"/>
      <c r="J68" s="1390"/>
      <c r="K68" s="1390"/>
      <c r="L68" s="1390"/>
      <c r="M68" s="1390"/>
      <c r="N68" s="1390"/>
      <c r="O68" s="1390"/>
      <c r="P68" s="1390"/>
      <c r="Q68" s="1390"/>
      <c r="R68" s="1390"/>
      <c r="S68" s="1390"/>
      <c r="T68" s="1390"/>
      <c r="U68" s="1390"/>
      <c r="V68" s="1390"/>
      <c r="W68" s="1390"/>
      <c r="X68" s="1390"/>
      <c r="Y68" s="1390"/>
      <c r="Z68" s="1390"/>
      <c r="AA68" s="1390"/>
      <c r="AB68" s="1390"/>
      <c r="AC68" s="1390"/>
      <c r="AD68" s="1390"/>
      <c r="AE68" s="1390"/>
      <c r="AF68" s="1390"/>
    </row>
    <row r="69" spans="1:32" x14ac:dyDescent="0.25">
      <c r="A69" s="1" t="s">
        <v>350</v>
      </c>
    </row>
    <row r="70" spans="1:32" x14ac:dyDescent="0.25">
      <c r="A70" s="1" t="s">
        <v>351</v>
      </c>
    </row>
    <row r="72" spans="1:32" ht="46.5" customHeight="1" x14ac:dyDescent="0.25">
      <c r="A72" s="1390" t="s">
        <v>352</v>
      </c>
      <c r="B72" s="1390"/>
      <c r="C72" s="1390"/>
      <c r="D72" s="1390"/>
      <c r="E72" s="1390"/>
      <c r="F72" s="1390"/>
      <c r="G72" s="1390"/>
      <c r="H72" s="1390"/>
      <c r="I72" s="1390"/>
      <c r="J72" s="1390"/>
      <c r="K72" s="1390"/>
      <c r="L72" s="1390"/>
      <c r="M72" s="1390"/>
      <c r="N72" s="1390"/>
      <c r="O72" s="1390"/>
      <c r="P72" s="1390"/>
      <c r="Q72" s="1390"/>
      <c r="R72" s="1390"/>
      <c r="S72" s="1390"/>
      <c r="T72" s="1390"/>
      <c r="U72" s="1390"/>
      <c r="V72" s="1390"/>
      <c r="W72" s="1390"/>
      <c r="X72" s="1390"/>
      <c r="Y72" s="1390"/>
      <c r="Z72" s="1390"/>
      <c r="AA72" s="1390"/>
      <c r="AB72" s="1390"/>
      <c r="AC72" s="1390"/>
      <c r="AD72" s="1390"/>
      <c r="AE72" s="1390"/>
      <c r="AF72" s="1390"/>
    </row>
    <row r="74" spans="1:32" x14ac:dyDescent="0.25">
      <c r="A74" s="1" t="s">
        <v>353</v>
      </c>
    </row>
    <row r="75" spans="1:32" x14ac:dyDescent="0.25">
      <c r="A75" s="1" t="s">
        <v>354</v>
      </c>
    </row>
    <row r="77" spans="1:32" x14ac:dyDescent="0.25">
      <c r="A77" s="23" t="s">
        <v>355</v>
      </c>
    </row>
    <row r="78" spans="1:32" ht="15.75" thickBot="1" x14ac:dyDescent="0.3"/>
    <row r="79" spans="1:32" x14ac:dyDescent="0.25">
      <c r="A79" s="1583" t="s">
        <v>22</v>
      </c>
      <c r="B79" s="1584"/>
      <c r="C79" s="1584"/>
      <c r="D79" s="1584"/>
      <c r="E79" s="1584"/>
      <c r="F79" s="1584"/>
      <c r="G79" s="1584"/>
      <c r="H79" s="1584"/>
      <c r="I79" s="1584" t="s">
        <v>23</v>
      </c>
      <c r="J79" s="1584"/>
      <c r="K79" s="1584"/>
      <c r="L79" s="1584"/>
      <c r="M79" s="1584"/>
      <c r="N79" s="1584"/>
      <c r="O79" s="1584"/>
      <c r="P79" s="1584"/>
      <c r="Q79" s="1584" t="s">
        <v>24</v>
      </c>
      <c r="R79" s="1584"/>
      <c r="S79" s="1584"/>
      <c r="T79" s="1584"/>
      <c r="U79" s="1584"/>
      <c r="V79" s="1584"/>
      <c r="W79" s="1584"/>
      <c r="X79" s="1585"/>
    </row>
    <row r="80" spans="1:32" ht="15.75" thickBot="1" x14ac:dyDescent="0.3">
      <c r="A80" s="1578" t="s">
        <v>804</v>
      </c>
      <c r="B80" s="1579"/>
      <c r="C80" s="1579"/>
      <c r="D80" s="1579"/>
      <c r="E80" s="1579"/>
      <c r="F80" s="1579"/>
      <c r="G80" s="1579"/>
      <c r="H80" s="1579"/>
      <c r="I80" s="1744">
        <f>ROUND(0.02*0.9,3)</f>
        <v>1.7999999999999999E-2</v>
      </c>
      <c r="J80" s="1744"/>
      <c r="K80" s="1744"/>
      <c r="L80" s="1744"/>
      <c r="M80" s="1744"/>
      <c r="N80" s="1744"/>
      <c r="O80" s="1744"/>
      <c r="P80" s="1744"/>
      <c r="Q80" s="1745">
        <f>ROUND(225*0.9,2)</f>
        <v>202.5</v>
      </c>
      <c r="R80" s="1745"/>
      <c r="S80" s="1745"/>
      <c r="T80" s="1745"/>
      <c r="U80" s="1745"/>
      <c r="V80" s="1745"/>
      <c r="W80" s="1745"/>
      <c r="X80" s="1746"/>
    </row>
  </sheetData>
  <sheetProtection algorithmName="SHA-512" hashValue="TogCKbefF+sARAet7jb13H5VLXmT6IhIQZQcYZFfpSTjCY7mGK9VWCfason3OzDO5IumYHuTOBGFyPYeC8lM3Q==" saltValue="dOr+sJ0qou43/4ipsTl3LQ==" spinCount="100000" sheet="1" objects="1" scenarios="1"/>
  <mergeCells count="19">
    <mergeCell ref="A7:AF7"/>
    <mergeCell ref="A1:AF1"/>
    <mergeCell ref="A25:AF25"/>
    <mergeCell ref="A68:AF68"/>
    <mergeCell ref="A72:AF72"/>
    <mergeCell ref="A52:AF52"/>
    <mergeCell ref="B10:AF10"/>
    <mergeCell ref="B13:AF13"/>
    <mergeCell ref="B16:AF16"/>
    <mergeCell ref="B19:AF19"/>
    <mergeCell ref="B22:AF22"/>
    <mergeCell ref="A3:AF3"/>
    <mergeCell ref="B5:AF5"/>
    <mergeCell ref="A79:H79"/>
    <mergeCell ref="I79:P79"/>
    <mergeCell ref="Q79:X79"/>
    <mergeCell ref="A80:H80"/>
    <mergeCell ref="I80:P80"/>
    <mergeCell ref="Q80:X80"/>
  </mergeCells>
  <hyperlinks>
    <hyperlink ref="A2" location="TOC!A1" display="Return to TOC" xr:uid="{00000000-0004-0000-3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9">
    <tabColor theme="5" tint="0.59999389629810485"/>
    <pageSetUpPr autoPageBreaks="0"/>
  </sheetPr>
  <dimension ref="A1:AF50"/>
  <sheetViews>
    <sheetView workbookViewId="0">
      <selection sqref="A1:AF1"/>
    </sheetView>
  </sheetViews>
  <sheetFormatPr defaultColWidth="2.7109375" defaultRowHeight="15" x14ac:dyDescent="0.25"/>
  <cols>
    <col min="1" max="16384" width="2.7109375" style="1"/>
  </cols>
  <sheetData>
    <row r="1" spans="1:32" ht="18.75" x14ac:dyDescent="0.25">
      <c r="A1" s="1464" t="s">
        <v>1143</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472" t="s">
        <v>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171" t="s">
        <v>10</v>
      </c>
      <c r="C5" s="171"/>
      <c r="D5" s="171"/>
      <c r="E5" s="171"/>
      <c r="F5" s="171"/>
      <c r="G5" s="171"/>
      <c r="H5" s="171"/>
      <c r="I5" s="171"/>
    </row>
    <row r="6" spans="1:32" ht="45.95" customHeight="1" x14ac:dyDescent="0.25">
      <c r="B6" s="1151" t="s">
        <v>1688</v>
      </c>
      <c r="C6" s="1151"/>
      <c r="D6" s="1151"/>
      <c r="E6" s="1151"/>
      <c r="F6" s="1151"/>
      <c r="G6" s="1151"/>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c r="AE6" s="1151"/>
      <c r="AF6" s="1151"/>
    </row>
    <row r="8" spans="1:32" x14ac:dyDescent="0.25">
      <c r="B8" s="171" t="s">
        <v>11</v>
      </c>
      <c r="C8" s="171"/>
      <c r="D8" s="171"/>
      <c r="E8" s="171"/>
      <c r="F8" s="171"/>
      <c r="G8" s="171"/>
      <c r="H8" s="171"/>
      <c r="I8" s="171"/>
    </row>
    <row r="9" spans="1:32" ht="14.45" customHeight="1" x14ac:dyDescent="0.25">
      <c r="B9" s="1151" t="s">
        <v>1570</v>
      </c>
      <c r="C9" s="1473"/>
      <c r="D9" s="1473"/>
      <c r="E9" s="1473"/>
      <c r="F9" s="1473"/>
      <c r="G9" s="1473"/>
      <c r="H9" s="1473"/>
      <c r="I9" s="1473"/>
      <c r="J9" s="1473"/>
      <c r="K9" s="1473"/>
      <c r="L9" s="1473"/>
      <c r="M9" s="1473"/>
      <c r="N9" s="1473"/>
      <c r="O9" s="1473"/>
      <c r="P9" s="1473"/>
      <c r="Q9" s="1473"/>
      <c r="R9" s="1473"/>
      <c r="S9" s="1473"/>
      <c r="T9" s="1473"/>
      <c r="U9" s="1473"/>
      <c r="V9" s="1473"/>
      <c r="W9" s="1473"/>
      <c r="X9" s="1473"/>
      <c r="Y9" s="1473"/>
      <c r="Z9" s="1473"/>
      <c r="AA9" s="1473"/>
      <c r="AB9" s="1473"/>
      <c r="AC9" s="1473"/>
      <c r="AD9" s="1473"/>
      <c r="AE9" s="1473"/>
      <c r="AF9" s="1473"/>
    </row>
    <row r="11" spans="1:32" x14ac:dyDescent="0.25">
      <c r="B11" s="171" t="s">
        <v>12</v>
      </c>
      <c r="C11" s="171"/>
      <c r="D11" s="171"/>
      <c r="E11" s="171"/>
      <c r="F11" s="171"/>
      <c r="G11" s="171"/>
      <c r="H11" s="171"/>
      <c r="I11" s="171"/>
    </row>
    <row r="12" spans="1:32" x14ac:dyDescent="0.25">
      <c r="B12" s="1473" t="s">
        <v>1262</v>
      </c>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row>
    <row r="14" spans="1:32" x14ac:dyDescent="0.25">
      <c r="B14" s="171" t="s">
        <v>13</v>
      </c>
      <c r="C14" s="171"/>
      <c r="D14" s="171"/>
      <c r="E14" s="171"/>
      <c r="F14" s="171"/>
      <c r="G14" s="171"/>
      <c r="H14" s="171"/>
      <c r="I14" s="171"/>
    </row>
    <row r="15" spans="1:32" x14ac:dyDescent="0.25">
      <c r="B15" s="1473" t="s">
        <v>1260</v>
      </c>
      <c r="C15" s="1473"/>
      <c r="D15" s="1473"/>
      <c r="E15" s="1473"/>
      <c r="F15" s="1473"/>
      <c r="G15" s="1473"/>
      <c r="H15" s="1473"/>
      <c r="I15" s="1473"/>
      <c r="J15" s="1473"/>
      <c r="K15" s="1473"/>
      <c r="L15" s="1473"/>
      <c r="M15" s="1473"/>
      <c r="N15" s="1473"/>
      <c r="O15" s="1473"/>
      <c r="P15" s="1473"/>
      <c r="Q15" s="1473"/>
      <c r="R15" s="1473"/>
      <c r="S15" s="1473"/>
      <c r="T15" s="1473"/>
      <c r="U15" s="1473"/>
      <c r="V15" s="1473"/>
      <c r="W15" s="1473"/>
      <c r="X15" s="1473"/>
      <c r="Y15" s="1473"/>
      <c r="Z15" s="1473"/>
      <c r="AA15" s="1473"/>
      <c r="AB15" s="1473"/>
      <c r="AC15" s="1473"/>
      <c r="AD15" s="1473"/>
      <c r="AE15" s="1473"/>
      <c r="AF15" s="1473"/>
    </row>
    <row r="17" spans="1:32" x14ac:dyDescent="0.25">
      <c r="B17" s="171" t="s">
        <v>20</v>
      </c>
      <c r="C17" s="171"/>
      <c r="D17" s="171"/>
      <c r="E17" s="171"/>
      <c r="F17" s="171"/>
      <c r="G17" s="171"/>
      <c r="H17" s="171"/>
      <c r="I17" s="171"/>
    </row>
    <row r="18" spans="1:32" ht="14.45" customHeight="1" x14ac:dyDescent="0.25">
      <c r="B18" s="1390" t="s">
        <v>1261</v>
      </c>
      <c r="C18" s="1390"/>
      <c r="D18" s="1390"/>
      <c r="E18" s="1390"/>
      <c r="F18" s="1390"/>
      <c r="G18" s="1390"/>
      <c r="H18" s="1390"/>
      <c r="I18" s="1390"/>
      <c r="J18" s="1390"/>
      <c r="K18" s="1390"/>
      <c r="L18" s="1390"/>
      <c r="M18" s="1390"/>
      <c r="N18" s="1390"/>
      <c r="O18" s="1390"/>
      <c r="P18" s="1390"/>
      <c r="Q18" s="1390"/>
      <c r="R18" s="1390"/>
      <c r="S18" s="1390"/>
      <c r="T18" s="1390"/>
      <c r="U18" s="1390"/>
      <c r="V18" s="1390"/>
      <c r="W18" s="1390"/>
      <c r="X18" s="1390"/>
      <c r="Y18" s="1390"/>
      <c r="Z18" s="1390"/>
      <c r="AA18" s="1390"/>
      <c r="AB18" s="1390"/>
      <c r="AC18" s="1390"/>
      <c r="AD18" s="1390"/>
      <c r="AE18" s="1390"/>
      <c r="AF18" s="1390"/>
    </row>
    <row r="19" spans="1:32" ht="18.75" customHeight="1" x14ac:dyDescent="0.25">
      <c r="B19" s="1390"/>
      <c r="C19" s="1390"/>
      <c r="D19" s="1390"/>
      <c r="E19" s="1390"/>
      <c r="F19" s="1390"/>
      <c r="G19" s="1390"/>
      <c r="H19" s="1390"/>
      <c r="I19" s="1390"/>
      <c r="J19" s="1390"/>
      <c r="K19" s="1390"/>
      <c r="L19" s="1390"/>
      <c r="M19" s="1390"/>
      <c r="N19" s="1390"/>
      <c r="O19" s="1390"/>
      <c r="P19" s="1390"/>
      <c r="Q19" s="1390"/>
      <c r="R19" s="1390"/>
      <c r="S19" s="1390"/>
      <c r="T19" s="1390"/>
      <c r="U19" s="1390"/>
      <c r="V19" s="1390"/>
      <c r="W19" s="1390"/>
      <c r="X19" s="1390"/>
      <c r="Y19" s="1390"/>
      <c r="Z19" s="1390"/>
      <c r="AA19" s="1390"/>
      <c r="AB19" s="1390"/>
      <c r="AC19" s="1390"/>
      <c r="AD19" s="1390"/>
      <c r="AE19" s="1390"/>
      <c r="AF19" s="1390"/>
    </row>
    <row r="21" spans="1:32" x14ac:dyDescent="0.25">
      <c r="A21" s="1472" t="s">
        <v>14</v>
      </c>
      <c r="B21" s="1472"/>
      <c r="C21" s="1472"/>
      <c r="D21" s="1472"/>
      <c r="E21" s="1472"/>
      <c r="F21" s="1472"/>
      <c r="G21" s="1472"/>
      <c r="H21" s="1472"/>
      <c r="I21" s="1472"/>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row>
    <row r="22" spans="1:32" ht="14.45" customHeight="1" x14ac:dyDescent="0.25">
      <c r="A22" s="183"/>
    </row>
    <row r="23" spans="1:32" ht="17.25" x14ac:dyDescent="0.25">
      <c r="H23" s="415" t="s">
        <v>786</v>
      </c>
      <c r="I23" s="204" t="s">
        <v>985</v>
      </c>
    </row>
    <row r="24" spans="1:32" x14ac:dyDescent="0.25">
      <c r="H24" s="415" t="s">
        <v>787</v>
      </c>
      <c r="I24" s="204" t="s">
        <v>986</v>
      </c>
    </row>
    <row r="25" spans="1:32" x14ac:dyDescent="0.25">
      <c r="A25" s="258" t="s">
        <v>987</v>
      </c>
      <c r="B25" s="204"/>
    </row>
    <row r="26" spans="1:32" x14ac:dyDescent="0.25">
      <c r="A26" s="3"/>
      <c r="B26" s="204"/>
      <c r="H26" s="184"/>
    </row>
    <row r="27" spans="1:32" x14ac:dyDescent="0.25">
      <c r="A27" s="3"/>
      <c r="B27" s="204"/>
      <c r="H27" s="184"/>
    </row>
    <row r="28" spans="1:32" x14ac:dyDescent="0.25">
      <c r="A28" s="1472" t="s">
        <v>15</v>
      </c>
      <c r="B28" s="1472"/>
      <c r="C28" s="1472"/>
      <c r="D28" s="1472"/>
      <c r="E28" s="1472"/>
      <c r="F28" s="1472"/>
      <c r="G28" s="1472"/>
      <c r="H28" s="1472"/>
      <c r="I28" s="1472"/>
      <c r="J28" s="1472"/>
      <c r="K28" s="1472"/>
      <c r="L28" s="1472"/>
      <c r="M28" s="1472"/>
      <c r="N28" s="1472"/>
      <c r="O28" s="1472"/>
      <c r="P28" s="1472"/>
      <c r="Q28" s="1472"/>
      <c r="R28" s="1472"/>
      <c r="S28" s="1472"/>
      <c r="T28" s="1472"/>
      <c r="U28" s="1472"/>
      <c r="V28" s="1472"/>
      <c r="W28" s="1472"/>
      <c r="X28" s="1472"/>
      <c r="Y28" s="1472"/>
      <c r="Z28" s="1472"/>
      <c r="AA28" s="1472"/>
      <c r="AB28" s="1472"/>
      <c r="AC28" s="1472"/>
      <c r="AD28" s="1472"/>
      <c r="AE28" s="1472"/>
      <c r="AF28" s="1472"/>
    </row>
    <row r="29" spans="1:32" x14ac:dyDescent="0.25">
      <c r="A29" s="1474" t="s">
        <v>16</v>
      </c>
      <c r="B29" s="1474"/>
      <c r="C29" s="1474"/>
      <c r="D29" s="1474"/>
      <c r="E29" s="1474" t="s">
        <v>10</v>
      </c>
      <c r="F29" s="1474"/>
      <c r="G29" s="1474"/>
      <c r="H29" s="1474"/>
      <c r="I29" s="1474"/>
      <c r="J29" s="1474"/>
      <c r="K29" s="1474"/>
      <c r="L29" s="1474"/>
      <c r="M29" s="1474"/>
      <c r="N29" s="1474"/>
      <c r="O29" s="1474"/>
      <c r="P29" s="1474"/>
      <c r="Q29" s="1474" t="s">
        <v>17</v>
      </c>
      <c r="R29" s="1474"/>
      <c r="S29" s="1474"/>
      <c r="T29" s="1474"/>
      <c r="U29" s="1474" t="s">
        <v>18</v>
      </c>
      <c r="V29" s="1474"/>
      <c r="W29" s="1474" t="s">
        <v>19</v>
      </c>
      <c r="X29" s="1474"/>
      <c r="Y29" s="1474"/>
      <c r="Z29" s="1474"/>
      <c r="AA29" s="1474"/>
      <c r="AB29" s="1474"/>
      <c r="AC29" s="1474"/>
      <c r="AD29" s="1474"/>
      <c r="AE29" s="1474"/>
      <c r="AF29" s="1474"/>
    </row>
    <row r="30" spans="1:32" ht="29.25" customHeight="1" x14ac:dyDescent="0.25">
      <c r="A30" s="1485" t="s">
        <v>988</v>
      </c>
      <c r="B30" s="1486"/>
      <c r="C30" s="1486"/>
      <c r="D30" s="1487"/>
      <c r="E30" s="2498" t="s">
        <v>989</v>
      </c>
      <c r="F30" s="1480"/>
      <c r="G30" s="1480"/>
      <c r="H30" s="1480"/>
      <c r="I30" s="1480"/>
      <c r="J30" s="1480"/>
      <c r="K30" s="1480"/>
      <c r="L30" s="1480"/>
      <c r="M30" s="1480"/>
      <c r="N30" s="1480"/>
      <c r="O30" s="1480"/>
      <c r="P30" s="1481"/>
      <c r="Q30" s="1574" t="s">
        <v>326</v>
      </c>
      <c r="R30" s="1575"/>
      <c r="S30" s="1575"/>
      <c r="T30" s="1576"/>
      <c r="U30" s="1574" t="s">
        <v>28</v>
      </c>
      <c r="V30" s="1576"/>
      <c r="W30" s="1479" t="s">
        <v>990</v>
      </c>
      <c r="X30" s="1480"/>
      <c r="Y30" s="1480"/>
      <c r="Z30" s="1480"/>
      <c r="AA30" s="1480"/>
      <c r="AB30" s="1480"/>
      <c r="AC30" s="1480"/>
      <c r="AD30" s="1480"/>
      <c r="AE30" s="1480"/>
      <c r="AF30" s="1481"/>
    </row>
    <row r="31" spans="1:32" ht="45" customHeight="1" x14ac:dyDescent="0.25">
      <c r="A31" s="1485" t="s">
        <v>32</v>
      </c>
      <c r="B31" s="1486"/>
      <c r="C31" s="1486"/>
      <c r="D31" s="1487"/>
      <c r="E31" s="1479" t="s">
        <v>991</v>
      </c>
      <c r="F31" s="1480"/>
      <c r="G31" s="1480"/>
      <c r="H31" s="1480"/>
      <c r="I31" s="1480"/>
      <c r="J31" s="1480"/>
      <c r="K31" s="1480"/>
      <c r="L31" s="1480"/>
      <c r="M31" s="1480"/>
      <c r="N31" s="1480"/>
      <c r="O31" s="1480"/>
      <c r="P31" s="1481"/>
      <c r="Q31" s="1733">
        <v>2407</v>
      </c>
      <c r="R31" s="1917"/>
      <c r="S31" s="1917"/>
      <c r="T31" s="1918"/>
      <c r="U31" s="1574" t="s">
        <v>45</v>
      </c>
      <c r="V31" s="1576"/>
      <c r="W31" s="1479" t="s">
        <v>1416</v>
      </c>
      <c r="X31" s="1480"/>
      <c r="Y31" s="1480"/>
      <c r="Z31" s="1480"/>
      <c r="AA31" s="1480"/>
      <c r="AB31" s="1480"/>
      <c r="AC31" s="1480"/>
      <c r="AD31" s="1480"/>
      <c r="AE31" s="1480"/>
      <c r="AF31" s="1481"/>
    </row>
    <row r="32" spans="1:32" ht="29.25" customHeight="1" x14ac:dyDescent="0.25">
      <c r="A32" s="1485" t="s">
        <v>34</v>
      </c>
      <c r="B32" s="1486"/>
      <c r="C32" s="1486"/>
      <c r="D32" s="1487"/>
      <c r="E32" s="1479" t="s">
        <v>290</v>
      </c>
      <c r="F32" s="1480"/>
      <c r="G32" s="1480"/>
      <c r="H32" s="1480"/>
      <c r="I32" s="1480"/>
      <c r="J32" s="1480"/>
      <c r="K32" s="1480"/>
      <c r="L32" s="1480"/>
      <c r="M32" s="1480"/>
      <c r="N32" s="1480"/>
      <c r="O32" s="1480"/>
      <c r="P32" s="1481"/>
      <c r="Q32" s="1574">
        <f>'Master EUL'!X91</f>
        <v>5</v>
      </c>
      <c r="R32" s="1575"/>
      <c r="S32" s="1575"/>
      <c r="T32" s="1576"/>
      <c r="U32" s="1574" t="s">
        <v>46</v>
      </c>
      <c r="V32" s="1576"/>
      <c r="W32" s="1485" t="s">
        <v>1259</v>
      </c>
      <c r="X32" s="1486"/>
      <c r="Y32" s="1486"/>
      <c r="Z32" s="1486"/>
      <c r="AA32" s="1486"/>
      <c r="AB32" s="1486"/>
      <c r="AC32" s="1486"/>
      <c r="AD32" s="1486"/>
      <c r="AE32" s="1486"/>
      <c r="AF32" s="1487"/>
    </row>
    <row r="33" spans="1:32" ht="23.25" customHeight="1" x14ac:dyDescent="0.25"/>
    <row r="34" spans="1:32" s="8" customFormat="1" ht="28.9" customHeight="1" x14ac:dyDescent="0.25">
      <c r="A34" s="1602" t="s">
        <v>789</v>
      </c>
      <c r="B34" s="1602"/>
      <c r="C34" s="1602"/>
      <c r="D34" s="1602"/>
      <c r="E34" s="1602"/>
      <c r="F34" s="1602"/>
      <c r="G34" s="1602"/>
      <c r="H34" s="1602"/>
      <c r="I34" s="1602"/>
      <c r="J34" s="1474" t="s">
        <v>1689</v>
      </c>
      <c r="K34" s="1474"/>
      <c r="L34" s="1474"/>
    </row>
    <row r="35" spans="1:32" ht="16.149999999999999" customHeight="1" x14ac:dyDescent="0.25">
      <c r="A35" s="1485" t="s">
        <v>790</v>
      </c>
      <c r="B35" s="1486"/>
      <c r="C35" s="1486"/>
      <c r="D35" s="1486"/>
      <c r="E35" s="1486"/>
      <c r="F35" s="1486"/>
      <c r="G35" s="1486"/>
      <c r="H35" s="1486"/>
      <c r="I35" s="1487"/>
      <c r="J35" s="1606">
        <v>0.03</v>
      </c>
      <c r="K35" s="1606"/>
      <c r="L35" s="1606"/>
      <c r="Z35" s="8"/>
      <c r="AA35" s="8"/>
    </row>
    <row r="36" spans="1:32" x14ac:dyDescent="0.25">
      <c r="A36" s="1485" t="s">
        <v>791</v>
      </c>
      <c r="B36" s="1486"/>
      <c r="C36" s="1486"/>
      <c r="D36" s="1486"/>
      <c r="E36" s="1486"/>
      <c r="F36" s="1486"/>
      <c r="G36" s="1486"/>
      <c r="H36" s="1486"/>
      <c r="I36" s="1487"/>
      <c r="J36" s="1606">
        <v>0.02</v>
      </c>
      <c r="K36" s="1606"/>
      <c r="L36" s="1606"/>
      <c r="Z36" s="8"/>
      <c r="AA36" s="8"/>
    </row>
    <row r="37" spans="1:32" x14ac:dyDescent="0.25">
      <c r="A37" s="1485" t="s">
        <v>792</v>
      </c>
      <c r="B37" s="1486"/>
      <c r="C37" s="1486"/>
      <c r="D37" s="1486"/>
      <c r="E37" s="1486"/>
      <c r="F37" s="1486"/>
      <c r="G37" s="1486"/>
      <c r="H37" s="1486"/>
      <c r="I37" s="1487"/>
      <c r="J37" s="1606">
        <v>0.01</v>
      </c>
      <c r="K37" s="1606"/>
      <c r="L37" s="1606"/>
      <c r="Z37" s="8"/>
      <c r="AA37" s="8"/>
    </row>
    <row r="38" spans="1:32" x14ac:dyDescent="0.25">
      <c r="A38" s="2773" t="s">
        <v>57</v>
      </c>
      <c r="B38" s="2774"/>
      <c r="C38" s="2774"/>
      <c r="D38" s="2774"/>
      <c r="E38" s="2774"/>
      <c r="F38" s="2774"/>
      <c r="G38" s="2774"/>
      <c r="H38" s="2774"/>
      <c r="I38" s="2775"/>
      <c r="J38" s="1474">
        <f>AVERAGE(J35:L37)</f>
        <v>0.02</v>
      </c>
      <c r="K38" s="1474"/>
      <c r="L38" s="1474"/>
      <c r="Z38" s="8"/>
      <c r="AA38" s="8"/>
    </row>
    <row r="39" spans="1:32" x14ac:dyDescent="0.25">
      <c r="A39" s="258" t="s">
        <v>803</v>
      </c>
      <c r="B39" s="8"/>
      <c r="C39" s="8"/>
      <c r="D39" s="8"/>
      <c r="E39" s="8"/>
      <c r="R39" s="244"/>
      <c r="Z39" s="244"/>
      <c r="AA39" s="8"/>
    </row>
    <row r="40" spans="1:32" ht="14.45" customHeight="1" x14ac:dyDescent="0.25">
      <c r="A40" s="258" t="s">
        <v>802</v>
      </c>
      <c r="B40" s="8"/>
      <c r="C40" s="8"/>
      <c r="D40" s="8"/>
      <c r="E40" s="8"/>
      <c r="R40" s="244"/>
      <c r="Z40" s="244"/>
      <c r="AA40" s="8"/>
    </row>
    <row r="41" spans="1:32" ht="14.45" customHeight="1" x14ac:dyDescent="0.25">
      <c r="A41" s="258" t="s">
        <v>992</v>
      </c>
      <c r="B41" s="8"/>
      <c r="C41" s="8"/>
      <c r="D41" s="8"/>
      <c r="E41" s="8"/>
      <c r="R41" s="8"/>
      <c r="Z41" s="8"/>
      <c r="AA41" s="8"/>
    </row>
    <row r="42" spans="1:32" x14ac:dyDescent="0.25">
      <c r="B42" s="8"/>
      <c r="C42" s="8"/>
      <c r="D42" s="8"/>
      <c r="E42" s="8"/>
      <c r="R42" s="8"/>
      <c r="Z42" s="8"/>
      <c r="AA42" s="8"/>
    </row>
    <row r="44" spans="1:32" ht="14.45" customHeight="1" x14ac:dyDescent="0.25">
      <c r="A44" s="1472" t="s">
        <v>21</v>
      </c>
      <c r="B44" s="1472"/>
      <c r="C44" s="1472"/>
      <c r="D44" s="1472"/>
      <c r="E44" s="1472"/>
      <c r="F44" s="1472"/>
      <c r="G44" s="1472"/>
      <c r="H44" s="1472"/>
      <c r="I44" s="1472"/>
      <c r="J44" s="1472"/>
      <c r="K44" s="1472"/>
      <c r="L44" s="1472"/>
      <c r="M44" s="1472"/>
      <c r="N44" s="1472"/>
      <c r="O44" s="1472"/>
      <c r="P44" s="1472"/>
      <c r="Q44" s="1472"/>
      <c r="R44" s="1472"/>
      <c r="S44" s="1472"/>
      <c r="T44" s="1472"/>
      <c r="U44" s="1472"/>
      <c r="V44" s="1472"/>
      <c r="W44" s="1472"/>
      <c r="X44" s="1472"/>
      <c r="Y44" s="1472"/>
      <c r="Z44" s="1472"/>
      <c r="AA44" s="1472"/>
      <c r="AB44" s="1472"/>
      <c r="AC44" s="1472"/>
      <c r="AD44" s="1472"/>
      <c r="AE44" s="1472"/>
      <c r="AF44" s="1472"/>
    </row>
    <row r="45" spans="1:32" ht="14.45" customHeight="1" thickBot="1" x14ac:dyDescent="0.3"/>
    <row r="46" spans="1:32" ht="14.45" customHeight="1" x14ac:dyDescent="0.25">
      <c r="A46" s="1583" t="s">
        <v>22</v>
      </c>
      <c r="B46" s="1584"/>
      <c r="C46" s="1584"/>
      <c r="D46" s="1584"/>
      <c r="E46" s="1584"/>
      <c r="F46" s="1584"/>
      <c r="G46" s="1584"/>
      <c r="H46" s="1584"/>
      <c r="I46" s="1584" t="s">
        <v>23</v>
      </c>
      <c r="J46" s="1584"/>
      <c r="K46" s="1584"/>
      <c r="L46" s="1584"/>
      <c r="M46" s="1584"/>
      <c r="N46" s="1584"/>
      <c r="O46" s="1584"/>
      <c r="P46" s="1584"/>
      <c r="Q46" s="1584" t="s">
        <v>24</v>
      </c>
      <c r="R46" s="1584"/>
      <c r="S46" s="1584"/>
      <c r="T46" s="1584"/>
      <c r="U46" s="1584"/>
      <c r="V46" s="1584"/>
      <c r="W46" s="1584"/>
      <c r="X46" s="1585"/>
    </row>
    <row r="47" spans="1:32" ht="14.45" customHeight="1" thickBot="1" x14ac:dyDescent="0.3">
      <c r="A47" s="1578" t="s">
        <v>785</v>
      </c>
      <c r="B47" s="1579"/>
      <c r="C47" s="1579"/>
      <c r="D47" s="1579"/>
      <c r="E47" s="1579"/>
      <c r="F47" s="1579"/>
      <c r="G47" s="1579"/>
      <c r="H47" s="1579"/>
      <c r="I47" s="2770">
        <f>ROUND(0,3)</f>
        <v>0</v>
      </c>
      <c r="J47" s="2770"/>
      <c r="K47" s="2770"/>
      <c r="L47" s="2770"/>
      <c r="M47" s="2770"/>
      <c r="N47" s="2770"/>
      <c r="O47" s="2770"/>
      <c r="P47" s="2770"/>
      <c r="Q47" s="2771">
        <f>ROUND(J38*Q31,2)</f>
        <v>48.14</v>
      </c>
      <c r="R47" s="2771"/>
      <c r="S47" s="2771"/>
      <c r="T47" s="2771"/>
      <c r="U47" s="2771"/>
      <c r="V47" s="2771"/>
      <c r="W47" s="2771"/>
      <c r="X47" s="2772"/>
    </row>
    <row r="48" spans="1:32" ht="14.45" customHeight="1" x14ac:dyDescent="0.25"/>
    <row r="49" ht="14.45" customHeight="1" x14ac:dyDescent="0.25"/>
    <row r="50" ht="14.45" customHeight="1" x14ac:dyDescent="0.25"/>
  </sheetData>
  <sheetProtection algorithmName="SHA-512" hashValue="RsQH9sRb9FstpH0ah1D2H9WtUXuANvM1LEw1zoymuzMGkZb2rFD46NXe9VJRKSd4hIZtUlYQ5dj4YORB67JiAw==" saltValue="sURVvXs7vUWSSsPkjKFtUA==" spinCount="100000" sheet="1" objects="1" scenarios="1"/>
  <mergeCells count="46">
    <mergeCell ref="A3:AF3"/>
    <mergeCell ref="A28:AF28"/>
    <mergeCell ref="A29:D29"/>
    <mergeCell ref="E29:P29"/>
    <mergeCell ref="Q29:T29"/>
    <mergeCell ref="U29:V29"/>
    <mergeCell ref="W29:AF29"/>
    <mergeCell ref="A21:AF21"/>
    <mergeCell ref="B6:AF6"/>
    <mergeCell ref="B9:AF9"/>
    <mergeCell ref="B12:AF12"/>
    <mergeCell ref="B15:AF15"/>
    <mergeCell ref="B18:AF19"/>
    <mergeCell ref="A30:D30"/>
    <mergeCell ref="E30:P30"/>
    <mergeCell ref="Q30:T30"/>
    <mergeCell ref="U30:V30"/>
    <mergeCell ref="W30:AF30"/>
    <mergeCell ref="U32:V32"/>
    <mergeCell ref="W32:AF32"/>
    <mergeCell ref="A31:D31"/>
    <mergeCell ref="E31:P31"/>
    <mergeCell ref="Q31:T31"/>
    <mergeCell ref="U31:V31"/>
    <mergeCell ref="W31:AF31"/>
    <mergeCell ref="A36:I36"/>
    <mergeCell ref="J36:L36"/>
    <mergeCell ref="A32:D32"/>
    <mergeCell ref="E32:P32"/>
    <mergeCell ref="Q32:T32"/>
    <mergeCell ref="A1:AF1"/>
    <mergeCell ref="A46:H46"/>
    <mergeCell ref="I46:P46"/>
    <mergeCell ref="Q46:X46"/>
    <mergeCell ref="A47:H47"/>
    <mergeCell ref="I47:P47"/>
    <mergeCell ref="Q47:X47"/>
    <mergeCell ref="A37:I37"/>
    <mergeCell ref="J37:L37"/>
    <mergeCell ref="A38:I38"/>
    <mergeCell ref="J38:L38"/>
    <mergeCell ref="A44:AF44"/>
    <mergeCell ref="A34:I34"/>
    <mergeCell ref="J34:L34"/>
    <mergeCell ref="A35:I35"/>
    <mergeCell ref="J35:L35"/>
  </mergeCells>
  <hyperlinks>
    <hyperlink ref="A2" location="TOC!A1" display="Return to TOC" xr:uid="{00000000-0004-0000-3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9">
    <tabColor theme="7" tint="0.59999389629810485"/>
    <pageSetUpPr autoPageBreaks="0"/>
  </sheetPr>
  <dimension ref="A1:AF68"/>
  <sheetViews>
    <sheetView workbookViewId="0">
      <selection activeCell="A2" sqref="A2"/>
    </sheetView>
  </sheetViews>
  <sheetFormatPr defaultColWidth="2.7109375" defaultRowHeight="15" x14ac:dyDescent="0.25"/>
  <cols>
    <col min="1" max="16384" width="2.7109375" style="1"/>
  </cols>
  <sheetData>
    <row r="1" spans="1:32" ht="18.75" x14ac:dyDescent="0.25">
      <c r="A1" s="2776" t="s">
        <v>1528</v>
      </c>
      <c r="B1" s="2777"/>
      <c r="C1" s="2777"/>
      <c r="D1" s="2777"/>
      <c r="E1" s="2777"/>
      <c r="F1" s="2777"/>
      <c r="G1" s="2777"/>
      <c r="H1" s="2777"/>
      <c r="I1" s="2777"/>
      <c r="J1" s="2777"/>
      <c r="K1" s="2777"/>
      <c r="L1" s="2777"/>
      <c r="M1" s="2777"/>
      <c r="N1" s="2777"/>
      <c r="O1" s="2777"/>
      <c r="P1" s="2777"/>
      <c r="Q1" s="2777"/>
      <c r="R1" s="2777"/>
      <c r="S1" s="2777"/>
      <c r="T1" s="2777"/>
      <c r="U1" s="2777"/>
      <c r="V1" s="2777"/>
      <c r="W1" s="2777"/>
      <c r="X1" s="2777"/>
      <c r="Y1" s="2777"/>
      <c r="Z1" s="2777"/>
      <c r="AA1" s="2777"/>
      <c r="AB1" s="2777"/>
      <c r="AC1" s="2777"/>
      <c r="AD1" s="2777"/>
      <c r="AE1" s="2777"/>
      <c r="AF1" s="2778"/>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5" customHeight="1" x14ac:dyDescent="0.25">
      <c r="A5" s="262"/>
      <c r="B5" s="1151" t="s">
        <v>2713</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x14ac:dyDescent="0.25">
      <c r="A6"/>
      <c r="B6"/>
      <c r="C6"/>
      <c r="D6"/>
      <c r="E6"/>
      <c r="F6"/>
      <c r="G6"/>
      <c r="H6"/>
      <c r="I6"/>
      <c r="J6"/>
      <c r="K6"/>
      <c r="L6"/>
      <c r="M6"/>
      <c r="N6"/>
      <c r="O6"/>
      <c r="P6"/>
      <c r="Q6"/>
      <c r="R6"/>
      <c r="S6"/>
      <c r="T6"/>
      <c r="U6"/>
      <c r="V6"/>
      <c r="W6"/>
      <c r="X6"/>
      <c r="Y6"/>
      <c r="Z6"/>
      <c r="AA6"/>
      <c r="AB6"/>
      <c r="AC6"/>
      <c r="AD6"/>
      <c r="AE6"/>
      <c r="AF6"/>
    </row>
    <row r="7" spans="1:32" x14ac:dyDescent="0.25">
      <c r="A7" s="1148" t="s">
        <v>9</v>
      </c>
      <c r="B7" s="1149"/>
      <c r="C7" s="1149"/>
      <c r="D7" s="1149"/>
      <c r="E7" s="1149"/>
      <c r="F7" s="1149"/>
      <c r="G7" s="1149"/>
      <c r="H7" s="1149"/>
      <c r="I7" s="1149"/>
      <c r="J7" s="1149"/>
      <c r="K7" s="1149"/>
      <c r="L7" s="1149"/>
      <c r="M7" s="1149"/>
      <c r="N7" s="1149"/>
      <c r="O7" s="1149"/>
      <c r="P7" s="1149"/>
      <c r="Q7" s="1149"/>
      <c r="R7" s="1149"/>
      <c r="S7" s="1149"/>
      <c r="T7" s="1149"/>
      <c r="U7" s="1149"/>
      <c r="V7" s="1149"/>
      <c r="W7" s="1149"/>
      <c r="X7" s="1149"/>
      <c r="Y7" s="1149"/>
      <c r="Z7" s="1149"/>
      <c r="AA7" s="1149"/>
      <c r="AB7" s="1149"/>
      <c r="AC7" s="1149"/>
      <c r="AD7" s="1149"/>
      <c r="AE7" s="1149"/>
      <c r="AF7" s="1150"/>
    </row>
    <row r="8" spans="1:32"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25">
      <c r="B9" s="171" t="s">
        <v>10</v>
      </c>
      <c r="C9" s="171"/>
      <c r="D9" s="171"/>
      <c r="E9" s="171"/>
      <c r="F9" s="171"/>
      <c r="G9" s="171"/>
      <c r="H9" s="171"/>
      <c r="I9" s="171"/>
    </row>
    <row r="10" spans="1:32" ht="71.25" customHeight="1" x14ac:dyDescent="0.25">
      <c r="B10" s="1247" t="s">
        <v>3045</v>
      </c>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c r="AE10" s="1247"/>
      <c r="AF10" s="1247"/>
    </row>
    <row r="12" spans="1:32" x14ac:dyDescent="0.25">
      <c r="B12" s="171" t="s">
        <v>11</v>
      </c>
      <c r="C12" s="171"/>
      <c r="D12" s="171"/>
      <c r="E12" s="171"/>
      <c r="F12" s="171"/>
      <c r="G12" s="171"/>
      <c r="H12" s="171"/>
      <c r="I12" s="171"/>
    </row>
    <row r="13" spans="1:32" ht="109.5" customHeight="1" x14ac:dyDescent="0.25">
      <c r="A13" s="4"/>
      <c r="B13" s="1247" t="s">
        <v>2814</v>
      </c>
      <c r="C13" s="1247"/>
      <c r="D13" s="1247"/>
      <c r="E13" s="1247"/>
      <c r="F13" s="1247"/>
      <c r="G13" s="1247"/>
      <c r="H13" s="1247"/>
      <c r="I13" s="1247"/>
      <c r="J13" s="1247"/>
      <c r="K13" s="1247"/>
      <c r="L13" s="1247"/>
      <c r="M13" s="1247"/>
      <c r="N13" s="1247"/>
      <c r="O13" s="1247"/>
      <c r="P13" s="1247"/>
      <c r="Q13" s="1247"/>
      <c r="R13" s="1247"/>
      <c r="S13" s="1247"/>
      <c r="T13" s="1247"/>
      <c r="U13" s="1247"/>
      <c r="V13" s="1247"/>
      <c r="W13" s="1247"/>
      <c r="X13" s="1247"/>
      <c r="Y13" s="1247"/>
      <c r="Z13" s="1247"/>
      <c r="AA13" s="1247"/>
      <c r="AB13" s="1247"/>
      <c r="AC13" s="1247"/>
      <c r="AD13" s="1247"/>
      <c r="AE13" s="1247"/>
      <c r="AF13" s="1247"/>
    </row>
    <row r="15" spans="1:32" x14ac:dyDescent="0.25">
      <c r="B15" s="171" t="s">
        <v>12</v>
      </c>
      <c r="C15" s="171"/>
      <c r="D15" s="171"/>
      <c r="E15" s="171"/>
      <c r="F15" s="171"/>
      <c r="G15" s="171"/>
      <c r="H15" s="171"/>
      <c r="I15" s="171"/>
    </row>
    <row r="16" spans="1:32" x14ac:dyDescent="0.25">
      <c r="B16" s="1473" t="s">
        <v>3395</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row>
    <row r="18" spans="1:32" x14ac:dyDescent="0.25">
      <c r="B18" s="171" t="s">
        <v>13</v>
      </c>
      <c r="C18" s="171"/>
      <c r="D18" s="171"/>
      <c r="E18" s="171"/>
      <c r="F18" s="171"/>
      <c r="G18" s="171"/>
      <c r="H18" s="171"/>
      <c r="I18" s="171"/>
    </row>
    <row r="19" spans="1:32" ht="34.5" customHeight="1" x14ac:dyDescent="0.25">
      <c r="B19" s="1247" t="s">
        <v>3044</v>
      </c>
      <c r="C19" s="1247"/>
      <c r="D19" s="1247"/>
      <c r="E19" s="1247"/>
      <c r="F19" s="1247"/>
      <c r="G19" s="1247"/>
      <c r="H19" s="1247"/>
      <c r="I19" s="1247"/>
      <c r="J19" s="1247"/>
      <c r="K19" s="1247"/>
      <c r="L19" s="1247"/>
      <c r="M19" s="1247"/>
      <c r="N19" s="1247"/>
      <c r="O19" s="1247"/>
      <c r="P19" s="1247"/>
      <c r="Q19" s="1247"/>
      <c r="R19" s="1247"/>
      <c r="S19" s="1247"/>
      <c r="T19" s="1247"/>
      <c r="U19" s="1247"/>
      <c r="V19" s="1247"/>
      <c r="W19" s="1247"/>
      <c r="X19" s="1247"/>
      <c r="Y19" s="1247"/>
      <c r="Z19" s="1247"/>
      <c r="AA19" s="1247"/>
      <c r="AB19" s="1247"/>
      <c r="AC19" s="1247"/>
      <c r="AD19" s="1247"/>
      <c r="AE19" s="1247"/>
      <c r="AF19" s="1247"/>
    </row>
    <row r="21" spans="1:32" x14ac:dyDescent="0.25">
      <c r="B21" s="171" t="s">
        <v>20</v>
      </c>
      <c r="C21" s="171"/>
      <c r="D21" s="171"/>
      <c r="E21" s="171"/>
      <c r="F21" s="171"/>
      <c r="G21" s="171"/>
      <c r="H21" s="171"/>
      <c r="I21" s="171"/>
    </row>
    <row r="22" spans="1:32" ht="95.25" customHeight="1" x14ac:dyDescent="0.25">
      <c r="B22" s="1247" t="s">
        <v>2815</v>
      </c>
      <c r="C22" s="1247"/>
      <c r="D22" s="1247"/>
      <c r="E22" s="1247"/>
      <c r="F22" s="1247"/>
      <c r="G22" s="1247"/>
      <c r="H22" s="1247"/>
      <c r="I22" s="1247"/>
      <c r="J22" s="1247"/>
      <c r="K22" s="1247"/>
      <c r="L22" s="1247"/>
      <c r="M22" s="1247"/>
      <c r="N22" s="1247"/>
      <c r="O22" s="1247"/>
      <c r="P22" s="1247"/>
      <c r="Q22" s="1247"/>
      <c r="R22" s="1247"/>
      <c r="S22" s="1247"/>
      <c r="T22" s="1247"/>
      <c r="U22" s="1247"/>
      <c r="V22" s="1247"/>
      <c r="W22" s="1247"/>
      <c r="X22" s="1247"/>
      <c r="Y22" s="1247"/>
      <c r="Z22" s="1247"/>
      <c r="AA22" s="1247"/>
      <c r="AB22" s="1247"/>
      <c r="AC22" s="1247"/>
      <c r="AD22" s="1247"/>
      <c r="AE22" s="1247"/>
      <c r="AF22" s="1247"/>
    </row>
    <row r="24" spans="1:32" x14ac:dyDescent="0.25">
      <c r="A24" s="1148" t="s">
        <v>14</v>
      </c>
      <c r="B24" s="1149"/>
      <c r="C24" s="1149"/>
      <c r="D24" s="1149"/>
      <c r="E24" s="1149"/>
      <c r="F24" s="1149"/>
      <c r="G24" s="1149"/>
      <c r="H24" s="1149"/>
      <c r="I24" s="1149"/>
      <c r="J24" s="1149"/>
      <c r="K24" s="1149"/>
      <c r="L24" s="1149"/>
      <c r="M24" s="1149"/>
      <c r="N24" s="1149"/>
      <c r="O24" s="1149"/>
      <c r="P24" s="1149"/>
      <c r="Q24" s="1149"/>
      <c r="R24" s="1149"/>
      <c r="S24" s="1149"/>
      <c r="T24" s="1149"/>
      <c r="U24" s="1149"/>
      <c r="V24" s="1149"/>
      <c r="W24" s="1149"/>
      <c r="X24" s="1149"/>
      <c r="Y24" s="1149"/>
      <c r="Z24" s="1149"/>
      <c r="AA24" s="1149"/>
      <c r="AB24" s="1149"/>
      <c r="AC24" s="1149"/>
      <c r="AD24" s="1149"/>
      <c r="AE24" s="1149"/>
      <c r="AF24" s="1150"/>
    </row>
    <row r="26" spans="1:32" x14ac:dyDescent="0.25">
      <c r="B26" s="514" t="s">
        <v>2816</v>
      </c>
    </row>
    <row r="27" spans="1:32" x14ac:dyDescent="0.25">
      <c r="B27" s="171"/>
    </row>
    <row r="28" spans="1:32" x14ac:dyDescent="0.25">
      <c r="C28" s="379" t="s">
        <v>2817</v>
      </c>
    </row>
    <row r="29" spans="1:32" ht="30.75" customHeight="1" x14ac:dyDescent="0.25">
      <c r="C29" s="1343"/>
      <c r="D29" s="1343"/>
      <c r="E29" s="1343"/>
      <c r="F29" s="1343"/>
      <c r="G29" s="1343"/>
      <c r="H29" s="1343"/>
      <c r="I29" s="1343"/>
      <c r="J29" s="1343"/>
      <c r="K29" s="1343"/>
      <c r="L29" s="1343"/>
      <c r="M29" s="1343"/>
      <c r="N29" s="1343"/>
      <c r="O29" s="1343"/>
      <c r="P29" s="1343"/>
      <c r="Q29" s="1343"/>
      <c r="R29" s="1343"/>
      <c r="S29" s="1343"/>
      <c r="T29" s="1343"/>
      <c r="U29" s="1343"/>
      <c r="V29" s="1343"/>
      <c r="W29" s="1343"/>
      <c r="X29" s="1343"/>
      <c r="Y29" s="1343"/>
      <c r="Z29" s="1343"/>
      <c r="AA29" s="1343"/>
      <c r="AB29" s="1343"/>
      <c r="AC29" s="1343"/>
      <c r="AD29" s="1343"/>
      <c r="AE29" s="1343"/>
      <c r="AF29" s="204" t="s">
        <v>1705</v>
      </c>
    </row>
    <row r="30" spans="1:32" x14ac:dyDescent="0.25">
      <c r="C30" s="379" t="s">
        <v>2818</v>
      </c>
    </row>
    <row r="31" spans="1:32" ht="30.75" customHeight="1" x14ac:dyDescent="0.25">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3"/>
      <c r="Z31" s="1343"/>
      <c r="AA31" s="1343"/>
      <c r="AB31" s="1343"/>
      <c r="AC31" s="1343"/>
      <c r="AD31" s="1343"/>
      <c r="AE31" s="1343"/>
      <c r="AF31" s="204" t="s">
        <v>1706</v>
      </c>
    </row>
    <row r="32" spans="1:32" x14ac:dyDescent="0.25">
      <c r="C32" s="379" t="s">
        <v>2819</v>
      </c>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row>
    <row r="33" spans="1:32" ht="30.75" customHeight="1" x14ac:dyDescent="0.25">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204" t="s">
        <v>1707</v>
      </c>
    </row>
    <row r="34" spans="1:32" x14ac:dyDescent="0.25">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204"/>
    </row>
    <row r="35" spans="1:32" x14ac:dyDescent="0.25">
      <c r="B35" s="514" t="s">
        <v>997</v>
      </c>
    </row>
    <row r="37" spans="1:32" x14ac:dyDescent="0.25">
      <c r="C37" s="379" t="s">
        <v>2817</v>
      </c>
    </row>
    <row r="38" spans="1:32" ht="30.75" customHeight="1" x14ac:dyDescent="0.25">
      <c r="C38" s="1343"/>
      <c r="D38" s="1343"/>
      <c r="E38" s="1343"/>
      <c r="F38" s="1343"/>
      <c r="G38" s="1343"/>
      <c r="H38" s="1343"/>
      <c r="I38" s="1343"/>
      <c r="J38" s="1343"/>
      <c r="K38" s="1343"/>
      <c r="L38" s="1343"/>
      <c r="M38" s="1343"/>
      <c r="N38" s="1343"/>
      <c r="O38" s="1343"/>
      <c r="P38" s="1343"/>
      <c r="Q38" s="1343"/>
      <c r="R38" s="1343"/>
      <c r="S38" s="1343"/>
      <c r="T38" s="1343"/>
      <c r="U38" s="1343"/>
      <c r="V38" s="1343"/>
      <c r="W38" s="1343"/>
      <c r="X38" s="1343"/>
      <c r="Y38" s="1343"/>
      <c r="Z38" s="1343"/>
      <c r="AA38" s="1343"/>
      <c r="AB38" s="1343"/>
      <c r="AC38" s="1343"/>
      <c r="AD38" s="1343"/>
      <c r="AE38" s="1343"/>
      <c r="AF38" s="204" t="s">
        <v>1756</v>
      </c>
    </row>
    <row r="39" spans="1:32" x14ac:dyDescent="0.25">
      <c r="C39" s="379" t="s">
        <v>2818</v>
      </c>
    </row>
    <row r="40" spans="1:32" ht="30.75" customHeight="1" x14ac:dyDescent="0.25">
      <c r="C40" s="1343"/>
      <c r="D40" s="1343"/>
      <c r="E40" s="1343"/>
      <c r="F40" s="1343"/>
      <c r="G40" s="1343"/>
      <c r="H40" s="1343"/>
      <c r="I40" s="1343"/>
      <c r="J40" s="1343"/>
      <c r="K40" s="1343"/>
      <c r="L40" s="1343"/>
      <c r="M40" s="1343"/>
      <c r="N40" s="1343"/>
      <c r="O40" s="1343"/>
      <c r="P40" s="1343"/>
      <c r="Q40" s="1343"/>
      <c r="R40" s="1343"/>
      <c r="S40" s="1343"/>
      <c r="T40" s="1343"/>
      <c r="U40" s="1343"/>
      <c r="V40" s="1343"/>
      <c r="W40" s="1343"/>
      <c r="X40" s="1343"/>
      <c r="Y40" s="1343"/>
      <c r="Z40" s="1343"/>
      <c r="AA40" s="1343"/>
      <c r="AB40" s="1343"/>
      <c r="AC40" s="1343"/>
      <c r="AD40" s="1343"/>
      <c r="AE40" s="1343"/>
      <c r="AF40" s="204" t="s">
        <v>1788</v>
      </c>
    </row>
    <row r="41" spans="1:32" x14ac:dyDescent="0.25">
      <c r="C41" s="379" t="s">
        <v>2819</v>
      </c>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row>
    <row r="42" spans="1:32" ht="30.75" customHeight="1" x14ac:dyDescent="0.25">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204" t="s">
        <v>1789</v>
      </c>
    </row>
    <row r="43" spans="1:32" x14ac:dyDescent="0.25">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204"/>
    </row>
    <row r="44" spans="1:32" x14ac:dyDescent="0.25">
      <c r="A44"/>
      <c r="N44"/>
      <c r="O44"/>
      <c r="P44"/>
      <c r="Q44"/>
      <c r="R44"/>
      <c r="S44"/>
      <c r="T44"/>
      <c r="U44"/>
      <c r="V44"/>
      <c r="W44"/>
      <c r="X44"/>
      <c r="Y44"/>
      <c r="Z44"/>
      <c r="AA44"/>
      <c r="AB44"/>
      <c r="AC44"/>
      <c r="AD44"/>
      <c r="AE44"/>
      <c r="AF44"/>
    </row>
    <row r="45" spans="1:32" x14ac:dyDescent="0.25">
      <c r="A45" s="1148" t="s">
        <v>15</v>
      </c>
      <c r="B45" s="1149"/>
      <c r="C45" s="1149"/>
      <c r="D45" s="1149"/>
      <c r="E45" s="1149"/>
      <c r="F45" s="1149"/>
      <c r="G45" s="1149"/>
      <c r="H45" s="1149"/>
      <c r="I45" s="1149"/>
      <c r="J45" s="1149"/>
      <c r="K45" s="1149"/>
      <c r="L45" s="1149"/>
      <c r="M45" s="1149"/>
      <c r="N45" s="1149"/>
      <c r="O45" s="1149"/>
      <c r="P45" s="1149"/>
      <c r="Q45" s="1149"/>
      <c r="R45" s="1149"/>
      <c r="S45" s="1149"/>
      <c r="T45" s="1149"/>
      <c r="U45" s="1149"/>
      <c r="V45" s="1149"/>
      <c r="W45" s="1149"/>
      <c r="X45" s="1149"/>
      <c r="Y45" s="1149"/>
      <c r="Z45" s="1149"/>
      <c r="AA45" s="1149"/>
      <c r="AB45" s="1149"/>
      <c r="AC45" s="1149"/>
      <c r="AD45" s="1149"/>
      <c r="AE45" s="1149"/>
      <c r="AF45" s="1150"/>
    </row>
    <row r="46" spans="1:32" x14ac:dyDescent="0.25">
      <c r="A46" s="1590" t="s">
        <v>16</v>
      </c>
      <c r="B46" s="1591"/>
      <c r="C46" s="1591"/>
      <c r="D46" s="1751"/>
      <c r="E46" s="1590" t="s">
        <v>10</v>
      </c>
      <c r="F46" s="1591"/>
      <c r="G46" s="1591"/>
      <c r="H46" s="1591"/>
      <c r="I46" s="1591"/>
      <c r="J46" s="1591"/>
      <c r="K46" s="1591"/>
      <c r="L46" s="1591"/>
      <c r="M46" s="1591"/>
      <c r="N46" s="1591"/>
      <c r="O46" s="1591"/>
      <c r="P46" s="1751"/>
      <c r="Q46" s="1590" t="s">
        <v>17</v>
      </c>
      <c r="R46" s="1591"/>
      <c r="S46" s="1591"/>
      <c r="T46" s="1751"/>
      <c r="U46" s="1590" t="s">
        <v>18</v>
      </c>
      <c r="V46" s="1591"/>
      <c r="W46" s="1751"/>
      <c r="X46" s="1590" t="s">
        <v>1708</v>
      </c>
      <c r="Y46" s="1591"/>
      <c r="Z46" s="1591"/>
      <c r="AA46" s="1591"/>
      <c r="AB46" s="1591"/>
      <c r="AC46" s="1591"/>
      <c r="AD46" s="1591"/>
      <c r="AE46" s="1591"/>
      <c r="AF46" s="1751"/>
    </row>
    <row r="47" spans="1:32" ht="33" customHeight="1" x14ac:dyDescent="0.25">
      <c r="A47" s="1479" t="s">
        <v>2820</v>
      </c>
      <c r="B47" s="1480"/>
      <c r="C47" s="1480"/>
      <c r="D47" s="1481"/>
      <c r="E47" s="1485" t="s">
        <v>2821</v>
      </c>
      <c r="F47" s="1486"/>
      <c r="G47" s="1486"/>
      <c r="H47" s="1486"/>
      <c r="I47" s="1486"/>
      <c r="J47" s="1486"/>
      <c r="K47" s="1486"/>
      <c r="L47" s="1486"/>
      <c r="M47" s="1486"/>
      <c r="N47" s="1486"/>
      <c r="O47" s="1486"/>
      <c r="P47" s="1487"/>
      <c r="Q47" s="1482" t="s">
        <v>43</v>
      </c>
      <c r="R47" s="1483"/>
      <c r="S47" s="1483"/>
      <c r="T47" s="1484"/>
      <c r="U47" s="1482" t="s">
        <v>2822</v>
      </c>
      <c r="V47" s="1483"/>
      <c r="W47" s="1484"/>
      <c r="X47" s="1482"/>
      <c r="Y47" s="1483"/>
      <c r="Z47" s="1483"/>
      <c r="AA47" s="1483"/>
      <c r="AB47" s="1483"/>
      <c r="AC47" s="1483"/>
      <c r="AD47" s="1483"/>
      <c r="AE47" s="1483"/>
      <c r="AF47" s="1484"/>
    </row>
    <row r="48" spans="1:32" ht="32.25" customHeight="1" x14ac:dyDescent="0.25">
      <c r="A48" s="1479" t="s">
        <v>2823</v>
      </c>
      <c r="B48" s="1480"/>
      <c r="C48" s="1480"/>
      <c r="D48" s="1481"/>
      <c r="E48" s="1479" t="s">
        <v>2824</v>
      </c>
      <c r="F48" s="1480"/>
      <c r="G48" s="1480"/>
      <c r="H48" s="1480"/>
      <c r="I48" s="1480"/>
      <c r="J48" s="1480"/>
      <c r="K48" s="1480"/>
      <c r="L48" s="1480"/>
      <c r="M48" s="1480"/>
      <c r="N48" s="1480"/>
      <c r="O48" s="1480"/>
      <c r="P48" s="1481"/>
      <c r="Q48" s="1482" t="s">
        <v>43</v>
      </c>
      <c r="R48" s="1483"/>
      <c r="S48" s="1483"/>
      <c r="T48" s="1484"/>
      <c r="U48" s="1482" t="s">
        <v>2825</v>
      </c>
      <c r="V48" s="1483"/>
      <c r="W48" s="1484"/>
      <c r="X48" s="1482"/>
      <c r="Y48" s="1483"/>
      <c r="Z48" s="1483"/>
      <c r="AA48" s="1483"/>
      <c r="AB48" s="1483"/>
      <c r="AC48" s="1483"/>
      <c r="AD48" s="1483"/>
      <c r="AE48" s="1483"/>
      <c r="AF48" s="1484"/>
    </row>
    <row r="49" spans="1:32" x14ac:dyDescent="0.25">
      <c r="A49" s="1485" t="s">
        <v>167</v>
      </c>
      <c r="B49" s="1486"/>
      <c r="C49" s="1486"/>
      <c r="D49" s="1487"/>
      <c r="E49" s="1485" t="s">
        <v>2826</v>
      </c>
      <c r="F49" s="1486"/>
      <c r="G49" s="1486"/>
      <c r="H49" s="1486"/>
      <c r="I49" s="1486"/>
      <c r="J49" s="1486"/>
      <c r="K49" s="1486"/>
      <c r="L49" s="1486"/>
      <c r="M49" s="1486"/>
      <c r="N49" s="1486"/>
      <c r="O49" s="1486"/>
      <c r="P49" s="1487"/>
      <c r="Q49" s="1574">
        <v>0.746</v>
      </c>
      <c r="R49" s="1575"/>
      <c r="S49" s="1575"/>
      <c r="T49" s="1576"/>
      <c r="U49" s="1574" t="s">
        <v>2825</v>
      </c>
      <c r="V49" s="1575"/>
      <c r="W49" s="1576"/>
      <c r="X49" s="1485"/>
      <c r="Y49" s="1486"/>
      <c r="Z49" s="1486"/>
      <c r="AA49" s="1486"/>
      <c r="AB49" s="1486"/>
      <c r="AC49" s="1486"/>
      <c r="AD49" s="1486"/>
      <c r="AE49" s="1486"/>
      <c r="AF49" s="1487"/>
    </row>
    <row r="50" spans="1:32" x14ac:dyDescent="0.25">
      <c r="A50" s="1485" t="s">
        <v>2827</v>
      </c>
      <c r="B50" s="1486"/>
      <c r="C50" s="1486"/>
      <c r="D50" s="1487"/>
      <c r="E50" s="1485" t="s">
        <v>336</v>
      </c>
      <c r="F50" s="1486"/>
      <c r="G50" s="1486"/>
      <c r="H50" s="1486"/>
      <c r="I50" s="1486"/>
      <c r="J50" s="1486"/>
      <c r="K50" s="1486"/>
      <c r="L50" s="1486"/>
      <c r="M50" s="1486"/>
      <c r="N50" s="1486"/>
      <c r="O50" s="1486"/>
      <c r="P50" s="1487"/>
      <c r="Q50" s="1574">
        <v>8760</v>
      </c>
      <c r="R50" s="1575"/>
      <c r="S50" s="1575"/>
      <c r="T50" s="1576"/>
      <c r="U50" s="1574" t="s">
        <v>45</v>
      </c>
      <c r="V50" s="1575"/>
      <c r="W50" s="1576"/>
      <c r="X50" s="1485" t="s">
        <v>1724</v>
      </c>
      <c r="Y50" s="1486"/>
      <c r="Z50" s="1486"/>
      <c r="AA50" s="1486"/>
      <c r="AB50" s="1486"/>
      <c r="AC50" s="1486"/>
      <c r="AD50" s="1486"/>
      <c r="AE50" s="1486"/>
      <c r="AF50" s="1487"/>
    </row>
    <row r="51" spans="1:32" ht="31.5" customHeight="1" x14ac:dyDescent="0.25">
      <c r="A51" s="1485" t="s">
        <v>250</v>
      </c>
      <c r="B51" s="1486"/>
      <c r="C51" s="1486"/>
      <c r="D51" s="1487"/>
      <c r="E51" s="1479" t="s">
        <v>2828</v>
      </c>
      <c r="F51" s="1480"/>
      <c r="G51" s="1480"/>
      <c r="H51" s="1480"/>
      <c r="I51" s="1480"/>
      <c r="J51" s="1480"/>
      <c r="K51" s="1480"/>
      <c r="L51" s="1480"/>
      <c r="M51" s="1480"/>
      <c r="N51" s="1480"/>
      <c r="O51" s="1480"/>
      <c r="P51" s="1481"/>
      <c r="Q51" s="1775">
        <v>0.6</v>
      </c>
      <c r="R51" s="1776"/>
      <c r="S51" s="1776"/>
      <c r="T51" s="1777"/>
      <c r="U51" s="1574" t="s">
        <v>28</v>
      </c>
      <c r="V51" s="1575"/>
      <c r="W51" s="1576"/>
      <c r="X51" s="1485" t="s">
        <v>1724</v>
      </c>
      <c r="Y51" s="1486"/>
      <c r="Z51" s="1486"/>
      <c r="AA51" s="1486"/>
      <c r="AB51" s="1486"/>
      <c r="AC51" s="1486"/>
      <c r="AD51" s="1486"/>
      <c r="AE51" s="1486"/>
      <c r="AF51" s="1487"/>
    </row>
    <row r="52" spans="1:32" x14ac:dyDescent="0.25">
      <c r="A52" s="1485" t="s">
        <v>29</v>
      </c>
      <c r="B52" s="1486"/>
      <c r="C52" s="1486"/>
      <c r="D52" s="1487"/>
      <c r="E52" s="1485" t="s">
        <v>104</v>
      </c>
      <c r="F52" s="1486"/>
      <c r="G52" s="1486"/>
      <c r="H52" s="1486"/>
      <c r="I52" s="1486"/>
      <c r="J52" s="1486"/>
      <c r="K52" s="1486"/>
      <c r="L52" s="1486"/>
      <c r="M52" s="1486"/>
      <c r="N52" s="1486"/>
      <c r="O52" s="1486"/>
      <c r="P52" s="1487"/>
      <c r="Q52" s="2518">
        <v>0.5</v>
      </c>
      <c r="R52" s="2519"/>
      <c r="S52" s="2519"/>
      <c r="T52" s="2520"/>
      <c r="U52" s="1574" t="s">
        <v>28</v>
      </c>
      <c r="V52" s="1575"/>
      <c r="W52" s="1576"/>
      <c r="X52" s="1485" t="s">
        <v>1724</v>
      </c>
      <c r="Y52" s="1486"/>
      <c r="Z52" s="1486"/>
      <c r="AA52" s="1486"/>
      <c r="AB52" s="1486"/>
      <c r="AC52" s="1486"/>
      <c r="AD52" s="1486"/>
      <c r="AE52" s="1486"/>
      <c r="AF52" s="1487"/>
    </row>
    <row r="53" spans="1:32" ht="105.75" customHeight="1" x14ac:dyDescent="0.25">
      <c r="A53" s="1479" t="s">
        <v>2829</v>
      </c>
      <c r="B53" s="1480"/>
      <c r="C53" s="1480"/>
      <c r="D53" s="1481"/>
      <c r="E53" s="1479" t="s">
        <v>2830</v>
      </c>
      <c r="F53" s="1480"/>
      <c r="G53" s="1480"/>
      <c r="H53" s="1480"/>
      <c r="I53" s="1480"/>
      <c r="J53" s="1480"/>
      <c r="K53" s="1480"/>
      <c r="L53" s="1480"/>
      <c r="M53" s="1480"/>
      <c r="N53" s="1480"/>
      <c r="O53" s="1480"/>
      <c r="P53" s="1481"/>
      <c r="Q53" s="2493">
        <v>0.89852145495998992</v>
      </c>
      <c r="R53" s="2494"/>
      <c r="S53" s="2494"/>
      <c r="T53" s="2495"/>
      <c r="U53" s="1574" t="s">
        <v>28</v>
      </c>
      <c r="V53" s="1575"/>
      <c r="W53" s="1576"/>
      <c r="X53" s="1479" t="s">
        <v>2835</v>
      </c>
      <c r="Y53" s="1480"/>
      <c r="Z53" s="1480"/>
      <c r="AA53" s="1480"/>
      <c r="AB53" s="1480"/>
      <c r="AC53" s="1480"/>
      <c r="AD53" s="1480"/>
      <c r="AE53" s="1480"/>
      <c r="AF53" s="1481"/>
    </row>
    <row r="54" spans="1:32" ht="108" customHeight="1" x14ac:dyDescent="0.25">
      <c r="A54" s="1479" t="s">
        <v>2831</v>
      </c>
      <c r="B54" s="1480"/>
      <c r="C54" s="1480"/>
      <c r="D54" s="1481"/>
      <c r="E54" s="1479" t="s">
        <v>2832</v>
      </c>
      <c r="F54" s="1480"/>
      <c r="G54" s="1480"/>
      <c r="H54" s="1480"/>
      <c r="I54" s="1480"/>
      <c r="J54" s="1480"/>
      <c r="K54" s="1480"/>
      <c r="L54" s="1480"/>
      <c r="M54" s="1480"/>
      <c r="N54" s="1480"/>
      <c r="O54" s="1480"/>
      <c r="P54" s="1481"/>
      <c r="Q54" s="2493">
        <v>0.67123029122763689</v>
      </c>
      <c r="R54" s="2494"/>
      <c r="S54" s="2494"/>
      <c r="T54" s="2495"/>
      <c r="U54" s="1574" t="s">
        <v>28</v>
      </c>
      <c r="V54" s="1575"/>
      <c r="W54" s="1576"/>
      <c r="X54" s="1479" t="s">
        <v>2835</v>
      </c>
      <c r="Y54" s="1480"/>
      <c r="Z54" s="1480"/>
      <c r="AA54" s="1480"/>
      <c r="AB54" s="1480"/>
      <c r="AC54" s="1480"/>
      <c r="AD54" s="1480"/>
      <c r="AE54" s="1480"/>
      <c r="AF54" s="1481"/>
    </row>
    <row r="55" spans="1:32" ht="51.75" customHeight="1" x14ac:dyDescent="0.25">
      <c r="A55" s="1485" t="s">
        <v>2724</v>
      </c>
      <c r="B55" s="1486"/>
      <c r="C55" s="1486"/>
      <c r="D55" s="1487"/>
      <c r="E55" s="1485" t="s">
        <v>2217</v>
      </c>
      <c r="F55" s="1486"/>
      <c r="G55" s="1486"/>
      <c r="H55" s="1486"/>
      <c r="I55" s="1486"/>
      <c r="J55" s="1486"/>
      <c r="K55" s="1486"/>
      <c r="L55" s="1486"/>
      <c r="M55" s="1486"/>
      <c r="N55" s="1486"/>
      <c r="O55" s="1486"/>
      <c r="P55" s="1487"/>
      <c r="Q55" s="1574">
        <f>'Master EUL'!X85</f>
        <v>15</v>
      </c>
      <c r="R55" s="1575"/>
      <c r="S55" s="1575"/>
      <c r="T55" s="1576"/>
      <c r="U55" s="1574" t="s">
        <v>46</v>
      </c>
      <c r="V55" s="1575"/>
      <c r="W55" s="1576"/>
      <c r="X55" s="1479" t="s">
        <v>2725</v>
      </c>
      <c r="Y55" s="1480"/>
      <c r="Z55" s="1480"/>
      <c r="AA55" s="1480"/>
      <c r="AB55" s="1480"/>
      <c r="AC55" s="1480"/>
      <c r="AD55" s="1480"/>
      <c r="AE55" s="1480"/>
      <c r="AF55" s="1481"/>
    </row>
    <row r="58" spans="1:32" x14ac:dyDescent="0.25">
      <c r="A58" s="1148" t="s">
        <v>21</v>
      </c>
      <c r="B58" s="1149"/>
      <c r="C58" s="1149"/>
      <c r="D58" s="1149"/>
      <c r="E58" s="1149"/>
      <c r="F58" s="1149"/>
      <c r="G58" s="1149"/>
      <c r="H58" s="1149"/>
      <c r="I58" s="1149"/>
      <c r="J58" s="1149"/>
      <c r="K58" s="1149"/>
      <c r="L58" s="1149"/>
      <c r="M58" s="1149"/>
      <c r="N58" s="1149"/>
      <c r="O58" s="1149"/>
      <c r="P58" s="1149"/>
      <c r="Q58" s="1149"/>
      <c r="R58" s="1149"/>
      <c r="S58" s="1149"/>
      <c r="T58" s="1149"/>
      <c r="U58" s="1149"/>
      <c r="V58" s="1149"/>
      <c r="W58" s="1149"/>
      <c r="X58" s="1149"/>
      <c r="Y58" s="1149"/>
      <c r="Z58" s="1149"/>
      <c r="AA58" s="1149"/>
      <c r="AB58" s="1149"/>
      <c r="AC58" s="1149"/>
      <c r="AD58" s="1149"/>
      <c r="AE58" s="1149"/>
      <c r="AF58" s="1150"/>
    </row>
    <row r="59" spans="1:32" ht="15.75" thickBot="1" x14ac:dyDescent="0.3"/>
    <row r="60" spans="1:32" ht="32.25" customHeight="1" x14ac:dyDescent="0.25">
      <c r="A60" s="2804" t="s">
        <v>995</v>
      </c>
      <c r="B60" s="2805"/>
      <c r="C60" s="2805"/>
      <c r="D60" s="2805"/>
      <c r="E60" s="2805"/>
      <c r="F60" s="2805"/>
      <c r="G60" s="2805"/>
      <c r="H60" s="2806"/>
      <c r="I60" s="2484" t="s">
        <v>2922</v>
      </c>
      <c r="J60" s="2749"/>
      <c r="K60" s="2749"/>
      <c r="L60" s="2749"/>
      <c r="M60" s="2749"/>
      <c r="N60" s="2749"/>
      <c r="O60" s="2749"/>
      <c r="P60" s="2750"/>
      <c r="Q60" s="2484" t="s">
        <v>2923</v>
      </c>
      <c r="R60" s="2749"/>
      <c r="S60" s="2749"/>
      <c r="T60" s="2749"/>
      <c r="U60" s="2749"/>
      <c r="V60" s="2749"/>
      <c r="W60" s="2749"/>
      <c r="X60" s="2750"/>
      <c r="Y60" s="2484" t="s">
        <v>1786</v>
      </c>
      <c r="Z60" s="2749"/>
      <c r="AA60" s="2749"/>
      <c r="AB60" s="2749"/>
      <c r="AC60" s="2749"/>
      <c r="AD60" s="2749"/>
      <c r="AE60" s="2749"/>
      <c r="AF60" s="2779"/>
    </row>
    <row r="61" spans="1:32" x14ac:dyDescent="0.25">
      <c r="A61" s="2780" t="s">
        <v>996</v>
      </c>
      <c r="B61" s="2781"/>
      <c r="C61" s="2781"/>
      <c r="D61" s="2781"/>
      <c r="E61" s="2781"/>
      <c r="F61" s="2781"/>
      <c r="G61" s="2781"/>
      <c r="H61" s="2782"/>
      <c r="I61" s="2783">
        <f>ROUND(Q49*Q52*Q53,3)</f>
        <v>0.33500000000000002</v>
      </c>
      <c r="J61" s="2784"/>
      <c r="K61" s="2784"/>
      <c r="L61" s="2784"/>
      <c r="M61" s="2784"/>
      <c r="N61" s="2784"/>
      <c r="O61" s="2784"/>
      <c r="P61" s="2785"/>
      <c r="Q61" s="2786">
        <f>ROUND(Q49*Q50*Q51*Q53,2)</f>
        <v>3523.08</v>
      </c>
      <c r="R61" s="2787"/>
      <c r="S61" s="2787"/>
      <c r="T61" s="2787"/>
      <c r="U61" s="2787"/>
      <c r="V61" s="2787"/>
      <c r="W61" s="2787"/>
      <c r="X61" s="2788"/>
      <c r="Y61" s="2789">
        <f>ROUND(Q61*Q55,2)</f>
        <v>52846.2</v>
      </c>
      <c r="Z61" s="2790"/>
      <c r="AA61" s="2790"/>
      <c r="AB61" s="2790"/>
      <c r="AC61" s="2790"/>
      <c r="AD61" s="2790"/>
      <c r="AE61" s="2790"/>
      <c r="AF61" s="2791"/>
    </row>
    <row r="62" spans="1:32" ht="15.75" thickBot="1" x14ac:dyDescent="0.3">
      <c r="A62" s="2792" t="s">
        <v>997</v>
      </c>
      <c r="B62" s="2793"/>
      <c r="C62" s="2793"/>
      <c r="D62" s="2793"/>
      <c r="E62" s="2793"/>
      <c r="F62" s="2793"/>
      <c r="G62" s="2793"/>
      <c r="H62" s="2794"/>
      <c r="I62" s="2795">
        <f>ROUND(Q49*Q52*(Q53-Q54),3)</f>
        <v>8.5000000000000006E-2</v>
      </c>
      <c r="J62" s="2796"/>
      <c r="K62" s="2796"/>
      <c r="L62" s="2796"/>
      <c r="M62" s="2796"/>
      <c r="N62" s="2796"/>
      <c r="O62" s="2796"/>
      <c r="P62" s="2797"/>
      <c r="Q62" s="2798">
        <f>ROUND(Q49*Q50*Q51*(Q53-Q54),2)</f>
        <v>891.2</v>
      </c>
      <c r="R62" s="2799"/>
      <c r="S62" s="2799"/>
      <c r="T62" s="2799"/>
      <c r="U62" s="2799"/>
      <c r="V62" s="2799"/>
      <c r="W62" s="2799"/>
      <c r="X62" s="2800"/>
      <c r="Y62" s="2801">
        <f>ROUND(Q62*Q55,2)</f>
        <v>13368</v>
      </c>
      <c r="Z62" s="2802"/>
      <c r="AA62" s="2802"/>
      <c r="AB62" s="2802"/>
      <c r="AC62" s="2802"/>
      <c r="AD62" s="2802"/>
      <c r="AE62" s="2802"/>
      <c r="AF62" s="2803"/>
    </row>
    <row r="64" spans="1:32" x14ac:dyDescent="0.25">
      <c r="A64" s="1148" t="s">
        <v>1753</v>
      </c>
      <c r="B64" s="1149"/>
      <c r="C64" s="1149"/>
      <c r="D64" s="1149"/>
      <c r="E64" s="1149"/>
      <c r="F64" s="1149"/>
      <c r="G64" s="1149"/>
      <c r="H64" s="1149"/>
      <c r="I64" s="1149"/>
      <c r="J64" s="1149"/>
      <c r="K64" s="1149"/>
      <c r="L64" s="1149"/>
      <c r="M64" s="1149"/>
      <c r="N64" s="1149"/>
      <c r="O64" s="1149"/>
      <c r="P64" s="1149"/>
      <c r="Q64" s="1149"/>
      <c r="R64" s="1149"/>
      <c r="S64" s="1149"/>
      <c r="T64" s="1149"/>
      <c r="U64" s="1149"/>
      <c r="V64" s="1149"/>
      <c r="W64" s="1149"/>
      <c r="X64" s="1149"/>
      <c r="Y64" s="1149"/>
      <c r="Z64" s="1149"/>
      <c r="AA64" s="1149"/>
      <c r="AB64" s="1149"/>
      <c r="AC64" s="1149"/>
      <c r="AD64" s="1149"/>
      <c r="AE64" s="1149"/>
      <c r="AF64" s="1150"/>
    </row>
    <row r="66" spans="1:32" x14ac:dyDescent="0.25">
      <c r="A66" s="515" t="s">
        <v>1013</v>
      </c>
      <c r="B66" s="1142" t="s">
        <v>2833</v>
      </c>
      <c r="C66" s="1142"/>
      <c r="D66" s="1142"/>
      <c r="E66" s="1142"/>
      <c r="F66" s="1142"/>
      <c r="G66" s="1142"/>
      <c r="H66" s="1142"/>
      <c r="I66" s="1142"/>
      <c r="J66" s="1142"/>
      <c r="K66" s="1142"/>
      <c r="L66" s="1142"/>
      <c r="M66" s="1142"/>
      <c r="N66" s="1142"/>
      <c r="O66" s="1142"/>
      <c r="P66" s="1142"/>
      <c r="Q66" s="1142"/>
      <c r="R66" s="1142"/>
      <c r="S66" s="1142"/>
      <c r="T66" s="1142"/>
      <c r="U66" s="1142"/>
      <c r="V66" s="1142"/>
      <c r="W66" s="1142"/>
      <c r="X66" s="1142"/>
      <c r="Y66" s="1142"/>
      <c r="Z66" s="1142"/>
      <c r="AA66" s="1142"/>
      <c r="AB66" s="1142"/>
      <c r="AC66" s="1142"/>
      <c r="AD66" s="1142"/>
      <c r="AE66" s="1142"/>
      <c r="AF66" s="1142"/>
    </row>
    <row r="67" spans="1:32" ht="64.5" customHeight="1" x14ac:dyDescent="0.25">
      <c r="A67" s="515" t="s">
        <v>1013</v>
      </c>
      <c r="B67" s="1142" t="s">
        <v>2834</v>
      </c>
      <c r="C67" s="1142"/>
      <c r="D67" s="1142"/>
      <c r="E67" s="1142"/>
      <c r="F67" s="1142"/>
      <c r="G67" s="1142"/>
      <c r="H67" s="1142"/>
      <c r="I67" s="1142"/>
      <c r="J67" s="1142"/>
      <c r="K67" s="1142"/>
      <c r="L67" s="1142"/>
      <c r="M67" s="1142"/>
      <c r="N67" s="1142"/>
      <c r="O67" s="1142"/>
      <c r="P67" s="1142"/>
      <c r="Q67" s="1142"/>
      <c r="R67" s="1142"/>
      <c r="S67" s="1142"/>
      <c r="T67" s="1142"/>
      <c r="U67" s="1142"/>
      <c r="V67" s="1142"/>
      <c r="W67" s="1142"/>
      <c r="X67" s="1142"/>
      <c r="Y67" s="1142"/>
      <c r="Z67" s="1142"/>
      <c r="AA67" s="1142"/>
      <c r="AB67" s="1142"/>
      <c r="AC67" s="1142"/>
      <c r="AD67" s="1142"/>
      <c r="AE67" s="1142"/>
      <c r="AF67" s="1142"/>
    </row>
    <row r="68" spans="1:32" ht="51.75" customHeight="1" x14ac:dyDescent="0.25">
      <c r="A68" s="515" t="s">
        <v>1013</v>
      </c>
      <c r="B68" s="1142" t="s">
        <v>2837</v>
      </c>
      <c r="C68" s="1142"/>
      <c r="D68" s="1142"/>
      <c r="E68" s="1142"/>
      <c r="F68" s="1142"/>
      <c r="G68" s="1142"/>
      <c r="H68" s="1142"/>
      <c r="I68" s="1142"/>
      <c r="J68" s="1142"/>
      <c r="K68" s="1142"/>
      <c r="L68" s="1142"/>
      <c r="M68" s="1142"/>
      <c r="N68" s="1142"/>
      <c r="O68" s="1142"/>
      <c r="P68" s="1142"/>
      <c r="Q68" s="1142"/>
      <c r="R68" s="1142"/>
      <c r="S68" s="1142"/>
      <c r="T68" s="1142"/>
      <c r="U68" s="1142"/>
      <c r="V68" s="1142"/>
      <c r="W68" s="1142"/>
      <c r="X68" s="1142"/>
      <c r="Y68" s="1142"/>
      <c r="Z68" s="1142"/>
      <c r="AA68" s="1142"/>
      <c r="AB68" s="1142"/>
      <c r="AC68" s="1142"/>
      <c r="AD68" s="1142"/>
      <c r="AE68" s="1142"/>
      <c r="AF68" s="1142"/>
    </row>
  </sheetData>
  <sheetProtection algorithmName="SHA-512" hashValue="6mQkEWv1Sys36vphbLeRo4HK/6j+CYOCMx5z05duFnUmovVjyCgHqhmOyEctmQMmhvS+N6qP71ni2RGDx/vuaw==" saltValue="wlN7yP7jzMRrIqUz4R5SWw==" spinCount="100000" sheet="1" objects="1" scenarios="1"/>
  <mergeCells count="82">
    <mergeCell ref="A64:AF64"/>
    <mergeCell ref="B66:AF66"/>
    <mergeCell ref="B67:AF67"/>
    <mergeCell ref="B68:AF68"/>
    <mergeCell ref="A3:AF3"/>
    <mergeCell ref="B5:AF5"/>
    <mergeCell ref="A61:H61"/>
    <mergeCell ref="I61:P61"/>
    <mergeCell ref="Q61:X61"/>
    <mergeCell ref="Y61:AF61"/>
    <mergeCell ref="A62:H62"/>
    <mergeCell ref="I62:P62"/>
    <mergeCell ref="Q62:X62"/>
    <mergeCell ref="Y62:AF62"/>
    <mergeCell ref="A58:AF58"/>
    <mergeCell ref="A60:H60"/>
    <mergeCell ref="I60:P60"/>
    <mergeCell ref="Q60:X60"/>
    <mergeCell ref="Y60:AF60"/>
    <mergeCell ref="A55:D55"/>
    <mergeCell ref="E55:P55"/>
    <mergeCell ref="Q55:T55"/>
    <mergeCell ref="U55:W55"/>
    <mergeCell ref="X55:AF55"/>
    <mergeCell ref="A54:D54"/>
    <mergeCell ref="E54:P54"/>
    <mergeCell ref="Q54:T54"/>
    <mergeCell ref="U54:W54"/>
    <mergeCell ref="X54:AF54"/>
    <mergeCell ref="A53:D53"/>
    <mergeCell ref="E53:P53"/>
    <mergeCell ref="Q53:T53"/>
    <mergeCell ref="U53:W53"/>
    <mergeCell ref="X53:AF53"/>
    <mergeCell ref="A52:D52"/>
    <mergeCell ref="E52:P52"/>
    <mergeCell ref="Q52:T52"/>
    <mergeCell ref="U52:W52"/>
    <mergeCell ref="X52:AF52"/>
    <mergeCell ref="A51:D51"/>
    <mergeCell ref="E51:P51"/>
    <mergeCell ref="Q51:T51"/>
    <mergeCell ref="U51:W51"/>
    <mergeCell ref="X51:AF51"/>
    <mergeCell ref="A50:D50"/>
    <mergeCell ref="E50:P50"/>
    <mergeCell ref="Q50:T50"/>
    <mergeCell ref="U50:W50"/>
    <mergeCell ref="X50:AF50"/>
    <mergeCell ref="A49:D49"/>
    <mergeCell ref="E49:P49"/>
    <mergeCell ref="Q49:T49"/>
    <mergeCell ref="U49:W49"/>
    <mergeCell ref="X49:AF49"/>
    <mergeCell ref="A48:D48"/>
    <mergeCell ref="E48:P48"/>
    <mergeCell ref="Q48:T48"/>
    <mergeCell ref="U48:W48"/>
    <mergeCell ref="X48:AF48"/>
    <mergeCell ref="A47:D47"/>
    <mergeCell ref="E47:P47"/>
    <mergeCell ref="Q47:T47"/>
    <mergeCell ref="U47:W47"/>
    <mergeCell ref="X47:AF47"/>
    <mergeCell ref="A45:AF45"/>
    <mergeCell ref="A46:D46"/>
    <mergeCell ref="E46:P46"/>
    <mergeCell ref="Q46:T46"/>
    <mergeCell ref="U46:W46"/>
    <mergeCell ref="X46:AF46"/>
    <mergeCell ref="C40:AE40"/>
    <mergeCell ref="A1:AF1"/>
    <mergeCell ref="B22:AF22"/>
    <mergeCell ref="A24:AF24"/>
    <mergeCell ref="C29:AE29"/>
    <mergeCell ref="C31:AE31"/>
    <mergeCell ref="C38:AE38"/>
    <mergeCell ref="B16:AF16"/>
    <mergeCell ref="B19:AF19"/>
    <mergeCell ref="A7:AF7"/>
    <mergeCell ref="B10:AF10"/>
    <mergeCell ref="B13:AF13"/>
  </mergeCells>
  <hyperlinks>
    <hyperlink ref="A2" location="TOC!A1" display="Return to TOC" xr:uid="{00000000-0004-0000-3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42" numberStoredAsText="1"/>
  </ignoredError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6">
    <tabColor theme="7" tint="0.59999389629810485"/>
    <pageSetUpPr autoPageBreaks="0"/>
  </sheetPr>
  <dimension ref="A1:BR238"/>
  <sheetViews>
    <sheetView zoomScaleNormal="100" workbookViewId="0">
      <selection sqref="A1:AF1"/>
    </sheetView>
  </sheetViews>
  <sheetFormatPr defaultColWidth="2.7109375" defaultRowHeight="15" x14ac:dyDescent="0.25"/>
  <cols>
    <col min="1" max="16384" width="2.7109375" style="1"/>
  </cols>
  <sheetData>
    <row r="1" spans="1:70" customFormat="1" ht="18.75" x14ac:dyDescent="0.25">
      <c r="A1" s="2776" t="s">
        <v>1147</v>
      </c>
      <c r="B1" s="2777"/>
      <c r="C1" s="2777"/>
      <c r="D1" s="2777"/>
      <c r="E1" s="2777"/>
      <c r="F1" s="2777"/>
      <c r="G1" s="2777"/>
      <c r="H1" s="2777"/>
      <c r="I1" s="2777"/>
      <c r="J1" s="2777"/>
      <c r="K1" s="2777"/>
      <c r="L1" s="2777"/>
      <c r="M1" s="2777"/>
      <c r="N1" s="2777"/>
      <c r="O1" s="2777"/>
      <c r="P1" s="2777"/>
      <c r="Q1" s="2777"/>
      <c r="R1" s="2777"/>
      <c r="S1" s="2777"/>
      <c r="T1" s="2777"/>
      <c r="U1" s="2777"/>
      <c r="V1" s="2777"/>
      <c r="W1" s="2777"/>
      <c r="X1" s="2777"/>
      <c r="Y1" s="2777"/>
      <c r="Z1" s="2777"/>
      <c r="AA1" s="2777"/>
      <c r="AB1" s="2777"/>
      <c r="AC1" s="2777"/>
      <c r="AD1" s="2777"/>
      <c r="AE1" s="2777"/>
      <c r="AF1" s="2778"/>
      <c r="AG1" s="1"/>
      <c r="AL1" s="902"/>
    </row>
    <row r="2" spans="1:70"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70" s="262" customFormat="1"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c r="AL3" s="638"/>
      <c r="AM3" s="638"/>
      <c r="AN3" s="638"/>
      <c r="AO3" s="638"/>
      <c r="AP3" s="638"/>
      <c r="AQ3" s="638"/>
      <c r="AR3" s="638"/>
      <c r="AS3" s="638"/>
      <c r="AT3" s="638"/>
      <c r="AU3" s="638"/>
      <c r="AV3" s="638"/>
      <c r="AW3" s="638"/>
      <c r="AX3" s="638"/>
      <c r="AY3" s="638"/>
      <c r="AZ3" s="638"/>
      <c r="BA3" s="638"/>
      <c r="BB3" s="638"/>
      <c r="BC3" s="638"/>
      <c r="BD3" s="638"/>
      <c r="BE3" s="638"/>
      <c r="BF3" s="638"/>
      <c r="BG3" s="638"/>
      <c r="BH3" s="638"/>
      <c r="BI3" s="638"/>
      <c r="BJ3" s="638"/>
      <c r="BK3" s="638"/>
      <c r="BL3" s="638"/>
      <c r="BM3" s="638"/>
    </row>
    <row r="4" spans="1:70" s="262" customFormat="1"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L4" s="638"/>
      <c r="AM4" s="638"/>
      <c r="AN4" s="638"/>
      <c r="AO4" s="638"/>
      <c r="AP4" s="638"/>
      <c r="AQ4" s="638"/>
      <c r="AR4" s="638"/>
      <c r="AS4" s="638"/>
      <c r="AT4" s="638"/>
      <c r="AU4" s="638"/>
      <c r="AV4" s="638"/>
      <c r="AW4" s="638"/>
      <c r="AX4" s="638"/>
      <c r="AY4" s="638"/>
      <c r="AZ4" s="638"/>
      <c r="BA4" s="638"/>
      <c r="BB4" s="638"/>
      <c r="BC4" s="638"/>
      <c r="BD4" s="638"/>
      <c r="BE4" s="638"/>
      <c r="BF4" s="638"/>
      <c r="BG4" s="638"/>
      <c r="BH4" s="638"/>
      <c r="BI4" s="638"/>
      <c r="BJ4" s="638"/>
      <c r="BK4" s="638"/>
      <c r="BL4" s="638"/>
      <c r="BM4" s="638"/>
    </row>
    <row r="5" spans="1:70" s="262" customFormat="1" ht="79.5" customHeight="1" x14ac:dyDescent="0.25">
      <c r="B5" s="1589" t="s">
        <v>6597</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L5" s="638"/>
      <c r="AM5" s="638"/>
      <c r="AN5" s="638"/>
      <c r="AO5" s="638"/>
      <c r="AP5" s="638"/>
      <c r="AQ5" s="638"/>
      <c r="AR5" s="638"/>
      <c r="AS5" s="638"/>
      <c r="AT5" s="638"/>
      <c r="AU5" s="638"/>
      <c r="AV5" s="638"/>
      <c r="AW5" s="638"/>
      <c r="AX5" s="638"/>
      <c r="AY5" s="638"/>
      <c r="AZ5" s="638"/>
      <c r="BA5" s="638"/>
      <c r="BB5" s="638"/>
      <c r="BC5" s="638"/>
      <c r="BD5" s="638"/>
      <c r="BE5" s="638"/>
      <c r="BF5" s="638"/>
      <c r="BG5" s="638"/>
      <c r="BH5" s="638"/>
      <c r="BI5" s="638"/>
      <c r="BJ5" s="638"/>
      <c r="BK5" s="638"/>
      <c r="BL5" s="638"/>
      <c r="BM5" s="638"/>
    </row>
    <row r="6" spans="1:70" s="227" customFormat="1" x14ac:dyDescent="0.25">
      <c r="AL6" s="638"/>
      <c r="AM6" s="638"/>
      <c r="AN6" s="638"/>
      <c r="AO6" s="638"/>
      <c r="AP6" s="638"/>
      <c r="AQ6" s="638"/>
      <c r="AR6" s="638"/>
      <c r="AS6" s="638"/>
      <c r="AT6" s="638"/>
      <c r="AU6" s="638"/>
      <c r="AV6" s="638"/>
      <c r="AW6" s="638"/>
      <c r="AX6" s="638"/>
      <c r="AY6" s="638"/>
      <c r="AZ6" s="638"/>
      <c r="BA6" s="638"/>
      <c r="BB6" s="638"/>
      <c r="BC6" s="638"/>
      <c r="BD6" s="638"/>
      <c r="BE6" s="638"/>
      <c r="BF6" s="638"/>
      <c r="BG6" s="638"/>
      <c r="BH6" s="638"/>
      <c r="BI6" s="638"/>
      <c r="BJ6" s="638"/>
      <c r="BK6" s="638"/>
      <c r="BL6" s="638"/>
      <c r="BM6" s="638"/>
    </row>
    <row r="7" spans="1:70" s="227" customFormat="1" x14ac:dyDescent="0.25">
      <c r="A7" s="1385" t="s">
        <v>9</v>
      </c>
      <c r="B7" s="1386"/>
      <c r="C7" s="1386"/>
      <c r="D7" s="1386"/>
      <c r="E7" s="1386"/>
      <c r="F7" s="1386"/>
      <c r="G7" s="1386"/>
      <c r="H7" s="1386"/>
      <c r="I7" s="1386"/>
      <c r="J7" s="1386"/>
      <c r="K7" s="1386"/>
      <c r="L7" s="1386"/>
      <c r="M7" s="1386"/>
      <c r="N7" s="1386"/>
      <c r="O7" s="1386"/>
      <c r="P7" s="1386"/>
      <c r="Q7" s="1386"/>
      <c r="R7" s="1386"/>
      <c r="S7" s="1386"/>
      <c r="T7" s="1386"/>
      <c r="U7" s="1386"/>
      <c r="V7" s="1386"/>
      <c r="W7" s="1386"/>
      <c r="X7" s="1386"/>
      <c r="Y7" s="1386"/>
      <c r="Z7" s="1386"/>
      <c r="AA7" s="1386"/>
      <c r="AB7" s="1386"/>
      <c r="AC7" s="1386"/>
      <c r="AD7" s="1386"/>
      <c r="AE7" s="1386"/>
      <c r="AF7" s="1387"/>
      <c r="AG7" s="262"/>
      <c r="AL7" s="638"/>
      <c r="AM7" s="638"/>
      <c r="AN7" s="638"/>
      <c r="AO7" s="638"/>
      <c r="AP7" s="638"/>
      <c r="AQ7" s="638"/>
      <c r="AR7" s="638"/>
      <c r="AS7" s="638"/>
      <c r="AT7" s="638"/>
      <c r="AU7" s="638"/>
      <c r="AV7" s="638"/>
      <c r="AW7" s="638"/>
      <c r="AX7" s="638"/>
      <c r="AY7" s="638"/>
      <c r="AZ7" s="638"/>
      <c r="BA7" s="638"/>
      <c r="BB7" s="638"/>
      <c r="BC7" s="638"/>
      <c r="BD7" s="638"/>
      <c r="BE7" s="638"/>
      <c r="BF7" s="638"/>
      <c r="BG7" s="638"/>
      <c r="BH7" s="638"/>
      <c r="BI7" s="638"/>
      <c r="BJ7" s="638"/>
      <c r="BK7" s="638"/>
      <c r="BL7" s="638"/>
      <c r="BM7" s="638"/>
    </row>
    <row r="8" spans="1:70" s="227" customFormat="1" x14ac:dyDescent="0.25">
      <c r="A8" s="190"/>
      <c r="B8" s="190"/>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G8" s="262"/>
      <c r="AL8" s="638"/>
    </row>
    <row r="9" spans="1:70" s="227" customFormat="1" x14ac:dyDescent="0.25">
      <c r="A9" s="262"/>
      <c r="B9" s="414" t="s">
        <v>10</v>
      </c>
      <c r="C9" s="414"/>
      <c r="D9" s="414"/>
      <c r="E9" s="414"/>
      <c r="F9" s="414"/>
      <c r="G9" s="414"/>
      <c r="H9" s="414"/>
      <c r="I9" s="414"/>
      <c r="J9" s="262"/>
      <c r="K9" s="262"/>
      <c r="L9" s="262"/>
      <c r="M9" s="262"/>
      <c r="N9" s="262"/>
      <c r="O9" s="262"/>
      <c r="P9" s="262"/>
      <c r="Q9" s="262"/>
      <c r="R9" s="262"/>
      <c r="S9" s="262"/>
      <c r="T9" s="262"/>
      <c r="U9" s="262"/>
      <c r="V9" s="262"/>
      <c r="W9" s="262"/>
      <c r="X9" s="262"/>
      <c r="Y9" s="262"/>
      <c r="Z9" s="262"/>
      <c r="AA9" s="262"/>
      <c r="AB9" s="262"/>
      <c r="AC9" s="262"/>
      <c r="AD9" s="262"/>
      <c r="AE9" s="262"/>
      <c r="AF9" s="262"/>
      <c r="AG9" s="262"/>
      <c r="AL9" s="638"/>
    </row>
    <row r="10" spans="1:70" s="227" customFormat="1" ht="63.75" customHeight="1" x14ac:dyDescent="0.25">
      <c r="A10" s="262"/>
      <c r="B10" s="1173" t="s">
        <v>6680</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G10" s="262"/>
      <c r="AL10" s="638"/>
    </row>
    <row r="11" spans="1:70" s="227" customFormat="1" x14ac:dyDescent="0.25">
      <c r="A11" s="262"/>
      <c r="B11" s="647" t="s">
        <v>6598</v>
      </c>
      <c r="C11" s="1779" t="s">
        <v>6599</v>
      </c>
      <c r="D11" s="1779"/>
      <c r="E11" s="1779"/>
      <c r="F11" s="1779"/>
      <c r="G11" s="1779"/>
      <c r="H11" s="1779"/>
      <c r="I11" s="1779"/>
      <c r="J11" s="1779"/>
      <c r="K11" s="1779"/>
      <c r="L11" s="1779"/>
      <c r="M11" s="1779"/>
      <c r="N11" s="1779"/>
      <c r="O11" s="1779"/>
      <c r="P11" s="1779"/>
      <c r="Q11" s="1779"/>
      <c r="R11" s="1779"/>
      <c r="S11" s="1779"/>
      <c r="T11" s="1779"/>
      <c r="U11" s="1779"/>
      <c r="V11" s="1779"/>
      <c r="W11" s="1779"/>
      <c r="X11" s="1779"/>
      <c r="Y11" s="1779"/>
      <c r="Z11" s="1779"/>
      <c r="AA11" s="1779"/>
      <c r="AB11" s="1779"/>
      <c r="AC11" s="1779"/>
      <c r="AD11" s="1779"/>
      <c r="AE11" s="1779"/>
      <c r="AF11" s="1779"/>
      <c r="AG11" s="262"/>
      <c r="AL11" s="638"/>
    </row>
    <row r="12" spans="1:70" s="227" customFormat="1" x14ac:dyDescent="0.25">
      <c r="A12" s="262"/>
      <c r="B12" s="647" t="s">
        <v>6598</v>
      </c>
      <c r="C12" s="1779" t="s">
        <v>6600</v>
      </c>
      <c r="D12" s="1779"/>
      <c r="E12" s="1779"/>
      <c r="F12" s="1779"/>
      <c r="G12" s="1779"/>
      <c r="H12" s="1779"/>
      <c r="I12" s="1779"/>
      <c r="J12" s="1779"/>
      <c r="K12" s="1779"/>
      <c r="L12" s="1779"/>
      <c r="M12" s="1779"/>
      <c r="N12" s="1779"/>
      <c r="O12" s="1779"/>
      <c r="P12" s="1779"/>
      <c r="Q12" s="1779"/>
      <c r="R12" s="1779"/>
      <c r="S12" s="1779"/>
      <c r="T12" s="1779"/>
      <c r="U12" s="1779"/>
      <c r="V12" s="1779"/>
      <c r="W12" s="1779"/>
      <c r="X12" s="1779"/>
      <c r="Y12" s="1779"/>
      <c r="Z12" s="1779"/>
      <c r="AA12" s="1779"/>
      <c r="AB12" s="1779"/>
      <c r="AC12" s="1779"/>
      <c r="AD12" s="1779"/>
      <c r="AE12" s="1779"/>
      <c r="AF12" s="1779"/>
      <c r="AG12" s="262"/>
      <c r="AL12" s="647"/>
      <c r="AM12" s="647"/>
      <c r="AN12" s="647"/>
      <c r="AO12" s="647"/>
      <c r="AP12" s="647"/>
      <c r="AQ12" s="647"/>
      <c r="AR12" s="647"/>
      <c r="AS12" s="647"/>
      <c r="AT12" s="647"/>
      <c r="AU12" s="647"/>
      <c r="AV12" s="647"/>
      <c r="AW12" s="647"/>
      <c r="AX12" s="647"/>
      <c r="AY12" s="647"/>
      <c r="AZ12" s="647"/>
      <c r="BA12" s="647"/>
      <c r="BB12" s="647"/>
      <c r="BC12" s="647"/>
      <c r="BD12" s="647"/>
      <c r="BE12" s="647"/>
      <c r="BF12" s="647"/>
      <c r="BG12" s="647"/>
      <c r="BH12" s="647"/>
      <c r="BI12" s="647"/>
      <c r="BJ12" s="647"/>
      <c r="BK12" s="647"/>
      <c r="BL12" s="647"/>
      <c r="BM12" s="647"/>
      <c r="BN12" s="647"/>
      <c r="BO12" s="647"/>
      <c r="BP12" s="647"/>
      <c r="BQ12" s="647"/>
      <c r="BR12" s="647"/>
    </row>
    <row r="13" spans="1:70" s="227" customFormat="1" x14ac:dyDescent="0.25">
      <c r="A13" s="262"/>
      <c r="B13" s="647" t="s">
        <v>6598</v>
      </c>
      <c r="C13" s="1779" t="s">
        <v>6601</v>
      </c>
      <c r="D13" s="1779"/>
      <c r="E13" s="1779"/>
      <c r="F13" s="1779"/>
      <c r="G13" s="1779"/>
      <c r="H13" s="1779"/>
      <c r="I13" s="1779"/>
      <c r="J13" s="1779"/>
      <c r="K13" s="1779"/>
      <c r="L13" s="1779"/>
      <c r="M13" s="1779"/>
      <c r="N13" s="1779"/>
      <c r="O13" s="1779"/>
      <c r="P13" s="1779"/>
      <c r="Q13" s="1779"/>
      <c r="R13" s="1779"/>
      <c r="S13" s="1779"/>
      <c r="T13" s="1779"/>
      <c r="U13" s="1779"/>
      <c r="V13" s="1779"/>
      <c r="W13" s="1779"/>
      <c r="X13" s="1779"/>
      <c r="Y13" s="1779"/>
      <c r="Z13" s="1779"/>
      <c r="AA13" s="1779"/>
      <c r="AB13" s="1779"/>
      <c r="AC13" s="1779"/>
      <c r="AD13" s="1779"/>
      <c r="AE13" s="1779"/>
      <c r="AF13" s="1779"/>
      <c r="AG13" s="262"/>
      <c r="AL13" s="638"/>
    </row>
    <row r="14" spans="1:70" s="227" customFormat="1" x14ac:dyDescent="0.25">
      <c r="A14" s="262"/>
      <c r="B14" s="647" t="s">
        <v>6598</v>
      </c>
      <c r="C14" s="1779" t="s">
        <v>6602</v>
      </c>
      <c r="D14" s="1779"/>
      <c r="E14" s="1779"/>
      <c r="F14" s="1779"/>
      <c r="G14" s="1779"/>
      <c r="H14" s="1779"/>
      <c r="I14" s="1779"/>
      <c r="J14" s="1779"/>
      <c r="K14" s="1779"/>
      <c r="L14" s="1779"/>
      <c r="M14" s="1779"/>
      <c r="N14" s="1779"/>
      <c r="O14" s="1779"/>
      <c r="P14" s="1779"/>
      <c r="Q14" s="1779"/>
      <c r="R14" s="1779"/>
      <c r="S14" s="1779"/>
      <c r="T14" s="1779"/>
      <c r="U14" s="1779"/>
      <c r="V14" s="1779"/>
      <c r="W14" s="1779"/>
      <c r="X14" s="1779"/>
      <c r="Y14" s="1779"/>
      <c r="Z14" s="1779"/>
      <c r="AA14" s="1779"/>
      <c r="AB14" s="1779"/>
      <c r="AC14" s="1779"/>
      <c r="AD14" s="1779"/>
      <c r="AE14" s="1779"/>
      <c r="AF14" s="1779"/>
      <c r="AG14" s="262"/>
      <c r="AL14" s="638"/>
    </row>
    <row r="15" spans="1:70" s="227" customFormat="1" x14ac:dyDescent="0.25">
      <c r="A15" s="262"/>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L15" s="638"/>
    </row>
    <row r="16" spans="1:70" s="227" customFormat="1" x14ac:dyDescent="0.25">
      <c r="A16" s="262"/>
      <c r="B16" s="414" t="s">
        <v>11</v>
      </c>
      <c r="C16" s="414"/>
      <c r="D16" s="414"/>
      <c r="E16" s="414"/>
      <c r="F16" s="414"/>
      <c r="G16" s="414"/>
      <c r="H16" s="414"/>
      <c r="I16" s="414"/>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L16" s="638"/>
    </row>
    <row r="17" spans="1:63" s="227" customFormat="1" ht="69.75" customHeight="1" x14ac:dyDescent="0.25">
      <c r="A17" s="262"/>
      <c r="B17" s="964" t="s">
        <v>1453</v>
      </c>
      <c r="C17" s="1168" t="s">
        <v>6603</v>
      </c>
      <c r="D17" s="1168"/>
      <c r="E17" s="1168"/>
      <c r="F17" s="1168"/>
      <c r="G17" s="1168"/>
      <c r="H17" s="1168"/>
      <c r="I17" s="1168"/>
      <c r="J17" s="1168"/>
      <c r="K17" s="1168"/>
      <c r="L17" s="1168"/>
      <c r="M17" s="1168"/>
      <c r="N17" s="1168"/>
      <c r="O17" s="1168"/>
      <c r="P17" s="1168"/>
      <c r="Q17" s="1168"/>
      <c r="R17" s="1168"/>
      <c r="S17" s="1168"/>
      <c r="T17" s="1168"/>
      <c r="U17" s="1168"/>
      <c r="V17" s="1168"/>
      <c r="W17" s="1168"/>
      <c r="X17" s="1168"/>
      <c r="Y17" s="1168"/>
      <c r="Z17" s="1168"/>
      <c r="AA17" s="1168"/>
      <c r="AB17" s="1168"/>
      <c r="AC17" s="1168"/>
      <c r="AD17" s="1168"/>
      <c r="AE17" s="1168"/>
      <c r="AF17" s="1168"/>
      <c r="AG17" s="262"/>
      <c r="AL17" s="638"/>
      <c r="BK17" s="638"/>
    </row>
    <row r="18" spans="1:63" s="227" customFormat="1" ht="78" customHeight="1" x14ac:dyDescent="0.25">
      <c r="A18" s="262"/>
      <c r="B18" s="964" t="s">
        <v>1454</v>
      </c>
      <c r="C18" s="1168" t="s">
        <v>6604</v>
      </c>
      <c r="D18" s="1168"/>
      <c r="E18" s="1168"/>
      <c r="F18" s="1168"/>
      <c r="G18" s="1168"/>
      <c r="H18" s="1168"/>
      <c r="I18" s="1168"/>
      <c r="J18" s="1168"/>
      <c r="K18" s="1168"/>
      <c r="L18" s="1168"/>
      <c r="M18" s="1168"/>
      <c r="N18" s="1168"/>
      <c r="O18" s="1168"/>
      <c r="P18" s="1168"/>
      <c r="Q18" s="1168"/>
      <c r="R18" s="1168"/>
      <c r="S18" s="1168"/>
      <c r="T18" s="1168"/>
      <c r="U18" s="1168"/>
      <c r="V18" s="1168"/>
      <c r="W18" s="1168"/>
      <c r="X18" s="1168"/>
      <c r="Y18" s="1168"/>
      <c r="Z18" s="1168"/>
      <c r="AA18" s="1168"/>
      <c r="AB18" s="1168"/>
      <c r="AC18" s="1168"/>
      <c r="AD18" s="1168"/>
      <c r="AE18" s="1168"/>
      <c r="AF18" s="1168"/>
      <c r="AG18" s="262"/>
      <c r="AL18" s="638"/>
    </row>
    <row r="19" spans="1:63" s="227" customFormat="1" ht="68.25" customHeight="1" x14ac:dyDescent="0.25">
      <c r="A19" s="262"/>
      <c r="B19" s="964" t="s">
        <v>3012</v>
      </c>
      <c r="C19" s="1168" t="s">
        <v>6605</v>
      </c>
      <c r="D19" s="1168"/>
      <c r="E19" s="1168"/>
      <c r="F19" s="1168"/>
      <c r="G19" s="1168"/>
      <c r="H19" s="1168"/>
      <c r="I19" s="1168"/>
      <c r="J19" s="1168"/>
      <c r="K19" s="1168"/>
      <c r="L19" s="1168"/>
      <c r="M19" s="1168"/>
      <c r="N19" s="1168"/>
      <c r="O19" s="1168"/>
      <c r="P19" s="1168"/>
      <c r="Q19" s="1168"/>
      <c r="R19" s="1168"/>
      <c r="S19" s="1168"/>
      <c r="T19" s="1168"/>
      <c r="U19" s="1168"/>
      <c r="V19" s="1168"/>
      <c r="W19" s="1168"/>
      <c r="X19" s="1168"/>
      <c r="Y19" s="1168"/>
      <c r="Z19" s="1168"/>
      <c r="AA19" s="1168"/>
      <c r="AB19" s="1168"/>
      <c r="AC19" s="1168"/>
      <c r="AD19" s="1168"/>
      <c r="AE19" s="1168"/>
      <c r="AF19" s="1168"/>
      <c r="AG19" s="262"/>
      <c r="AL19" s="638"/>
    </row>
    <row r="20" spans="1:63" s="227" customFormat="1" ht="51" customHeight="1" x14ac:dyDescent="0.25">
      <c r="A20" s="262"/>
      <c r="B20" s="964" t="s">
        <v>4794</v>
      </c>
      <c r="C20" s="1168" t="s">
        <v>6606</v>
      </c>
      <c r="D20" s="1168"/>
      <c r="E20" s="1168"/>
      <c r="F20" s="1168"/>
      <c r="G20" s="1168"/>
      <c r="H20" s="1168"/>
      <c r="I20" s="1168"/>
      <c r="J20" s="1168"/>
      <c r="K20" s="1168"/>
      <c r="L20" s="1168"/>
      <c r="M20" s="1168"/>
      <c r="N20" s="1168"/>
      <c r="O20" s="1168"/>
      <c r="P20" s="1168"/>
      <c r="Q20" s="1168"/>
      <c r="R20" s="1168"/>
      <c r="S20" s="1168"/>
      <c r="T20" s="1168"/>
      <c r="U20" s="1168"/>
      <c r="V20" s="1168"/>
      <c r="W20" s="1168"/>
      <c r="X20" s="1168"/>
      <c r="Y20" s="1168"/>
      <c r="Z20" s="1168"/>
      <c r="AA20" s="1168"/>
      <c r="AB20" s="1168"/>
      <c r="AC20" s="1168"/>
      <c r="AD20" s="1168"/>
      <c r="AE20" s="1168"/>
      <c r="AF20" s="1168"/>
      <c r="AG20" s="262"/>
      <c r="AL20" s="638"/>
    </row>
    <row r="21" spans="1:63" s="227" customFormat="1" x14ac:dyDescent="0.25">
      <c r="A21" s="262"/>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G21" s="262"/>
      <c r="AL21" s="638"/>
    </row>
    <row r="22" spans="1:63" s="227" customFormat="1" x14ac:dyDescent="0.25">
      <c r="A22" s="262"/>
      <c r="B22" s="414" t="s">
        <v>12</v>
      </c>
      <c r="C22" s="414"/>
      <c r="D22" s="414"/>
      <c r="E22" s="414"/>
      <c r="F22" s="414"/>
      <c r="G22" s="414"/>
      <c r="H22" s="414"/>
      <c r="I22" s="414"/>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c r="AG22" s="262"/>
      <c r="AL22" s="638"/>
    </row>
    <row r="23" spans="1:63" s="227" customFormat="1" x14ac:dyDescent="0.25">
      <c r="A23" s="262"/>
      <c r="B23" s="262" t="s">
        <v>6607</v>
      </c>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G23" s="262"/>
      <c r="AL23" s="638"/>
    </row>
    <row r="24" spans="1:63" s="227" customFormat="1" x14ac:dyDescent="0.25">
      <c r="A24" s="262"/>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L24" s="638"/>
    </row>
    <row r="25" spans="1:63" s="227" customFormat="1" x14ac:dyDescent="0.25">
      <c r="A25" s="262"/>
      <c r="B25" s="414" t="s">
        <v>13</v>
      </c>
      <c r="C25" s="414"/>
      <c r="D25" s="414"/>
      <c r="E25" s="414"/>
      <c r="F25" s="414"/>
      <c r="G25" s="414"/>
      <c r="H25" s="414"/>
      <c r="I25" s="414"/>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L25" s="638"/>
    </row>
    <row r="26" spans="1:63" s="227" customFormat="1" ht="31.5" customHeight="1" x14ac:dyDescent="0.25">
      <c r="A26" s="262"/>
      <c r="B26" s="1589" t="s">
        <v>6608</v>
      </c>
      <c r="C26" s="1589"/>
      <c r="D26" s="1589"/>
      <c r="E26" s="1589"/>
      <c r="F26" s="1589"/>
      <c r="G26" s="1589"/>
      <c r="H26" s="1589"/>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262"/>
      <c r="AL26" s="638"/>
    </row>
    <row r="27" spans="1:63" s="227" customFormat="1" x14ac:dyDescent="0.25">
      <c r="A27" s="262"/>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L27" s="638"/>
    </row>
    <row r="28" spans="1:63" s="227" customFormat="1" x14ac:dyDescent="0.25">
      <c r="A28" s="262"/>
      <c r="B28" s="414" t="s">
        <v>20</v>
      </c>
      <c r="C28" s="414"/>
      <c r="D28" s="414"/>
      <c r="E28" s="414"/>
      <c r="F28" s="414"/>
      <c r="G28" s="414"/>
      <c r="H28" s="414"/>
      <c r="I28" s="414"/>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L28" s="638"/>
    </row>
    <row r="29" spans="1:63" s="227" customFormat="1" ht="31.5" customHeight="1" x14ac:dyDescent="0.25">
      <c r="A29" s="262"/>
      <c r="B29" s="1589" t="s">
        <v>6609</v>
      </c>
      <c r="C29" s="1589"/>
      <c r="D29" s="1589"/>
      <c r="E29" s="1589"/>
      <c r="F29" s="1589"/>
      <c r="G29" s="1589"/>
      <c r="H29" s="1589"/>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262"/>
      <c r="AL29" s="638"/>
    </row>
    <row r="30" spans="1:63" s="227" customFormat="1" x14ac:dyDescent="0.25">
      <c r="A30" s="262"/>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G30" s="262"/>
    </row>
    <row r="31" spans="1:63" s="227" customFormat="1" x14ac:dyDescent="0.25">
      <c r="A31" s="262"/>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L31" s="638"/>
    </row>
    <row r="32" spans="1:63" s="227" customFormat="1" x14ac:dyDescent="0.25">
      <c r="A32" s="1385" t="s">
        <v>14</v>
      </c>
      <c r="B32" s="1386"/>
      <c r="C32" s="1386"/>
      <c r="D32" s="1386"/>
      <c r="E32" s="1386"/>
      <c r="F32" s="1386"/>
      <c r="G32" s="1386"/>
      <c r="H32" s="1386"/>
      <c r="I32" s="1386"/>
      <c r="J32" s="1386"/>
      <c r="K32" s="1386"/>
      <c r="L32" s="1386"/>
      <c r="M32" s="1386"/>
      <c r="N32" s="1386"/>
      <c r="O32" s="1386"/>
      <c r="P32" s="1386"/>
      <c r="Q32" s="1386"/>
      <c r="R32" s="1386"/>
      <c r="S32" s="1386"/>
      <c r="T32" s="1386"/>
      <c r="U32" s="1386"/>
      <c r="V32" s="1386"/>
      <c r="W32" s="1386"/>
      <c r="X32" s="1386"/>
      <c r="Y32" s="1386"/>
      <c r="Z32" s="1386"/>
      <c r="AA32" s="1386"/>
      <c r="AB32" s="1386"/>
      <c r="AC32" s="1386"/>
      <c r="AD32" s="1386"/>
      <c r="AE32" s="1386"/>
      <c r="AF32" s="1387"/>
      <c r="AG32" s="262"/>
      <c r="AL32" s="638"/>
    </row>
    <row r="33" spans="1:38" s="227" customFormat="1" x14ac:dyDescent="0.25">
      <c r="A33" s="190"/>
      <c r="B33" s="190"/>
      <c r="C33" s="190"/>
      <c r="D33" s="190"/>
      <c r="E33" s="190"/>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262"/>
      <c r="AL33" s="638"/>
    </row>
    <row r="34" spans="1:38" s="227" customFormat="1" x14ac:dyDescent="0.25">
      <c r="A34" s="190"/>
      <c r="B34" s="519" t="s">
        <v>6610</v>
      </c>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262"/>
      <c r="AL34" s="638"/>
    </row>
    <row r="35" spans="1:38" s="227" customFormat="1" x14ac:dyDescent="0.25">
      <c r="A35" s="190"/>
      <c r="B35" s="190"/>
      <c r="C35" s="190"/>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262"/>
      <c r="AG35" s="262"/>
      <c r="AL35" s="638"/>
    </row>
    <row r="36" spans="1:38" s="227" customFormat="1" x14ac:dyDescent="0.25">
      <c r="A36" s="190"/>
      <c r="B36" s="190"/>
      <c r="C36" s="190"/>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419" t="s">
        <v>1705</v>
      </c>
      <c r="AG36" s="262"/>
      <c r="AL36" s="638"/>
    </row>
    <row r="37" spans="1:38" s="227" customFormat="1" x14ac:dyDescent="0.25">
      <c r="A37" s="190"/>
      <c r="B37" s="190"/>
      <c r="C37" s="190"/>
      <c r="D37" s="190"/>
      <c r="E37" s="190"/>
      <c r="F37" s="190"/>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262"/>
      <c r="AG37" s="262"/>
      <c r="AL37" s="638"/>
    </row>
    <row r="38" spans="1:38" s="227" customFormat="1" x14ac:dyDescent="0.25">
      <c r="A38" s="190"/>
      <c r="B38" s="519" t="s">
        <v>6611</v>
      </c>
      <c r="C38" s="190"/>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262"/>
      <c r="AG38" s="262"/>
      <c r="AL38" s="638"/>
    </row>
    <row r="39" spans="1:38" s="227" customFormat="1" x14ac:dyDescent="0.25">
      <c r="A39" s="190"/>
      <c r="B39" s="519"/>
      <c r="C39" s="190"/>
      <c r="D39" s="190"/>
      <c r="E39" s="190"/>
      <c r="F39" s="190"/>
      <c r="G39" s="190"/>
      <c r="H39" s="190"/>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262"/>
      <c r="AG39" s="262"/>
      <c r="AL39" s="638"/>
    </row>
    <row r="40" spans="1:38" s="227" customFormat="1" x14ac:dyDescent="0.25">
      <c r="A40" s="190"/>
      <c r="B40" s="190"/>
      <c r="C40" s="190"/>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419" t="s">
        <v>1706</v>
      </c>
      <c r="AG40" s="262"/>
      <c r="AL40" s="638"/>
    </row>
    <row r="41" spans="1:38" s="227" customFormat="1" x14ac:dyDescent="0.25">
      <c r="A41" s="190"/>
      <c r="B41" s="190"/>
      <c r="C41" s="190"/>
      <c r="D41" s="190"/>
      <c r="E41" s="190"/>
      <c r="F41" s="190"/>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262"/>
      <c r="AG41" s="262"/>
      <c r="AL41" s="638"/>
    </row>
    <row r="42" spans="1:38" s="227" customFormat="1" x14ac:dyDescent="0.25">
      <c r="A42" s="965"/>
      <c r="B42" s="519" t="s">
        <v>2303</v>
      </c>
      <c r="C42" s="966"/>
      <c r="D42" s="966"/>
      <c r="E42" s="966"/>
      <c r="F42" s="966"/>
      <c r="G42" s="966"/>
      <c r="H42" s="967"/>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262"/>
      <c r="AG42" s="414"/>
    </row>
    <row r="43" spans="1:38" s="227" customFormat="1" x14ac:dyDescent="0.25">
      <c r="A43" s="965"/>
      <c r="B43" s="519"/>
      <c r="C43" s="966"/>
      <c r="D43" s="966"/>
      <c r="E43" s="966"/>
      <c r="F43" s="966"/>
      <c r="G43" s="966"/>
      <c r="H43" s="967"/>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262"/>
      <c r="AG43" s="414"/>
    </row>
    <row r="44" spans="1:38" s="227" customFormat="1" x14ac:dyDescent="0.25">
      <c r="A44" s="965"/>
      <c r="B44" s="519"/>
      <c r="C44" s="192" t="s">
        <v>6612</v>
      </c>
      <c r="D44" s="966"/>
      <c r="E44" s="966"/>
      <c r="F44" s="966"/>
      <c r="G44" s="966"/>
      <c r="H44" s="967"/>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262"/>
      <c r="AG44" s="414"/>
      <c r="AL44" s="638"/>
    </row>
    <row r="45" spans="1:38" s="227" customFormat="1" x14ac:dyDescent="0.25">
      <c r="A45" s="965"/>
      <c r="B45" s="519"/>
      <c r="C45" s="966"/>
      <c r="D45" s="966"/>
      <c r="E45" s="966"/>
      <c r="F45" s="966"/>
      <c r="G45" s="966"/>
      <c r="H45" s="967"/>
      <c r="I45" s="968"/>
      <c r="J45" s="968"/>
      <c r="K45" s="968"/>
      <c r="L45" s="968"/>
      <c r="M45" s="968"/>
      <c r="N45" s="968"/>
      <c r="O45" s="968"/>
      <c r="P45" s="968"/>
      <c r="Q45" s="968"/>
      <c r="R45" s="968"/>
      <c r="S45" s="968"/>
      <c r="T45" s="968"/>
      <c r="U45" s="968"/>
      <c r="V45" s="968"/>
      <c r="W45" s="968"/>
      <c r="X45" s="968"/>
      <c r="Y45" s="968"/>
      <c r="Z45" s="968"/>
      <c r="AA45" s="968"/>
      <c r="AB45" s="968"/>
      <c r="AC45" s="968"/>
      <c r="AD45" s="968"/>
      <c r="AE45" s="968"/>
      <c r="AF45" s="262"/>
      <c r="AG45" s="414"/>
    </row>
    <row r="46" spans="1:38" s="227" customFormat="1" x14ac:dyDescent="0.25">
      <c r="A46" s="625"/>
      <c r="B46" s="625"/>
      <c r="C46" s="625"/>
      <c r="D46" s="625"/>
      <c r="E46" s="625"/>
      <c r="F46" s="625"/>
      <c r="G46" s="625"/>
      <c r="H46" s="625"/>
      <c r="I46" s="625"/>
      <c r="J46" s="625"/>
      <c r="K46" s="419"/>
      <c r="L46" s="262"/>
      <c r="M46" s="262"/>
      <c r="N46" s="262"/>
      <c r="O46" s="262"/>
      <c r="P46" s="262"/>
      <c r="Q46" s="262"/>
      <c r="R46" s="262"/>
      <c r="S46" s="262"/>
      <c r="T46" s="262"/>
      <c r="U46" s="262"/>
      <c r="V46" s="262"/>
      <c r="W46" s="262"/>
      <c r="X46" s="262"/>
      <c r="Y46" s="262"/>
      <c r="Z46" s="262"/>
      <c r="AA46" s="262"/>
      <c r="AB46" s="262"/>
      <c r="AC46" s="262"/>
      <c r="AD46" s="262"/>
      <c r="AE46" s="262"/>
      <c r="AF46" s="419" t="s">
        <v>1707</v>
      </c>
      <c r="AG46" s="262"/>
      <c r="AL46" s="638"/>
    </row>
    <row r="47" spans="1:38" s="227" customFormat="1" x14ac:dyDescent="0.25">
      <c r="A47" s="625"/>
      <c r="B47" s="625"/>
      <c r="C47" s="625"/>
      <c r="D47" s="625"/>
      <c r="E47" s="625"/>
      <c r="F47" s="625"/>
      <c r="G47" s="625"/>
      <c r="H47" s="625"/>
      <c r="I47" s="625"/>
      <c r="J47" s="625"/>
      <c r="K47" s="419"/>
      <c r="L47" s="262"/>
      <c r="M47" s="262"/>
      <c r="N47" s="262"/>
      <c r="O47" s="262"/>
      <c r="P47" s="262"/>
      <c r="Q47" s="262"/>
      <c r="R47" s="262"/>
      <c r="S47" s="262"/>
      <c r="T47" s="262"/>
      <c r="U47" s="262"/>
      <c r="V47" s="262"/>
      <c r="W47" s="262"/>
      <c r="X47" s="262"/>
      <c r="Y47" s="262"/>
      <c r="Z47" s="262"/>
      <c r="AA47" s="262"/>
      <c r="AB47" s="262"/>
      <c r="AC47" s="262"/>
      <c r="AD47" s="262"/>
      <c r="AE47" s="262"/>
      <c r="AF47" s="262"/>
      <c r="AG47" s="262"/>
      <c r="AL47" s="638"/>
    </row>
    <row r="48" spans="1:38" s="227" customFormat="1" x14ac:dyDescent="0.25">
      <c r="A48" s="625"/>
      <c r="B48" s="625"/>
      <c r="C48" s="192" t="s">
        <v>6681</v>
      </c>
      <c r="D48" s="625"/>
      <c r="E48" s="625"/>
      <c r="F48" s="625"/>
      <c r="G48" s="625"/>
      <c r="H48" s="625"/>
      <c r="I48" s="625"/>
      <c r="J48" s="625"/>
      <c r="K48" s="419"/>
      <c r="L48" s="262"/>
      <c r="M48" s="262"/>
      <c r="N48" s="262"/>
      <c r="O48" s="262"/>
      <c r="P48" s="262"/>
      <c r="Q48" s="262"/>
      <c r="R48" s="262"/>
      <c r="S48" s="262"/>
      <c r="T48" s="262"/>
      <c r="U48" s="262"/>
      <c r="V48" s="262"/>
      <c r="W48" s="262"/>
      <c r="X48" s="262"/>
      <c r="Y48" s="262"/>
      <c r="Z48" s="262"/>
      <c r="AA48" s="262"/>
      <c r="AB48" s="262"/>
      <c r="AC48" s="262"/>
      <c r="AD48" s="262"/>
      <c r="AE48" s="262"/>
      <c r="AF48" s="262"/>
      <c r="AG48" s="262"/>
      <c r="AL48" s="638"/>
    </row>
    <row r="49" spans="1:38" s="227" customFormat="1" x14ac:dyDescent="0.25">
      <c r="A49" s="625"/>
      <c r="B49" s="625"/>
      <c r="C49" s="625"/>
      <c r="D49" s="625"/>
      <c r="E49" s="625"/>
      <c r="F49" s="625"/>
      <c r="G49" s="625"/>
      <c r="H49" s="625"/>
      <c r="I49" s="625"/>
      <c r="J49" s="625"/>
      <c r="K49" s="419"/>
      <c r="L49" s="262"/>
      <c r="M49" s="262"/>
      <c r="N49" s="262"/>
      <c r="O49" s="262"/>
      <c r="P49" s="262"/>
      <c r="Q49" s="262"/>
      <c r="R49" s="262"/>
      <c r="S49" s="262"/>
      <c r="T49" s="262"/>
      <c r="U49" s="262"/>
      <c r="V49" s="262"/>
      <c r="W49" s="262"/>
      <c r="X49" s="262"/>
      <c r="Y49" s="262"/>
      <c r="Z49" s="262"/>
      <c r="AA49" s="262"/>
      <c r="AB49" s="262"/>
      <c r="AC49" s="262"/>
      <c r="AD49" s="262"/>
      <c r="AE49" s="262"/>
      <c r="AF49" s="262"/>
      <c r="AG49" s="262"/>
      <c r="AL49" s="638"/>
    </row>
    <row r="50" spans="1:38" s="227" customFormat="1" x14ac:dyDescent="0.25">
      <c r="A50" s="625"/>
      <c r="B50" s="625"/>
      <c r="C50" s="625"/>
      <c r="D50" s="625"/>
      <c r="E50" s="625"/>
      <c r="F50" s="625"/>
      <c r="G50" s="625"/>
      <c r="H50" s="625"/>
      <c r="I50" s="625"/>
      <c r="J50" s="625"/>
      <c r="K50" s="419"/>
      <c r="L50" s="262"/>
      <c r="M50" s="262"/>
      <c r="N50" s="262"/>
      <c r="O50" s="262"/>
      <c r="P50" s="262"/>
      <c r="Q50" s="262"/>
      <c r="R50" s="262"/>
      <c r="S50" s="262"/>
      <c r="T50" s="262"/>
      <c r="U50" s="262"/>
      <c r="V50" s="262"/>
      <c r="W50" s="262"/>
      <c r="X50" s="262"/>
      <c r="Y50" s="262"/>
      <c r="Z50" s="262"/>
      <c r="AA50" s="262"/>
      <c r="AB50" s="262"/>
      <c r="AC50" s="262"/>
      <c r="AD50" s="262"/>
      <c r="AE50" s="262"/>
      <c r="AF50" s="419" t="s">
        <v>1756</v>
      </c>
      <c r="AG50" s="262"/>
      <c r="AL50" s="638"/>
    </row>
    <row r="51" spans="1:38" s="227" customFormat="1" x14ac:dyDescent="0.25">
      <c r="A51" s="625"/>
      <c r="B51" s="625"/>
      <c r="C51" s="625"/>
      <c r="D51" s="625"/>
      <c r="E51" s="625"/>
      <c r="F51" s="625"/>
      <c r="G51" s="625"/>
      <c r="H51" s="625"/>
      <c r="I51" s="625"/>
      <c r="J51" s="625"/>
      <c r="K51" s="419"/>
      <c r="L51" s="262"/>
      <c r="M51" s="262"/>
      <c r="N51" s="262"/>
      <c r="O51" s="262"/>
      <c r="P51" s="262"/>
      <c r="Q51" s="262"/>
      <c r="R51" s="262"/>
      <c r="S51" s="262"/>
      <c r="T51" s="262"/>
      <c r="U51" s="262"/>
      <c r="V51" s="262"/>
      <c r="W51" s="262"/>
      <c r="X51" s="262"/>
      <c r="Y51" s="262"/>
      <c r="Z51" s="262"/>
      <c r="AA51" s="262"/>
      <c r="AB51" s="262"/>
      <c r="AC51" s="262"/>
      <c r="AD51" s="262"/>
      <c r="AE51" s="262"/>
      <c r="AF51" s="262"/>
      <c r="AG51" s="262"/>
      <c r="AL51" s="638"/>
    </row>
    <row r="52" spans="1:38" s="227" customFormat="1" x14ac:dyDescent="0.25">
      <c r="A52" s="625"/>
      <c r="B52" s="625"/>
      <c r="C52" s="192" t="s">
        <v>6613</v>
      </c>
      <c r="D52" s="625"/>
      <c r="E52" s="625"/>
      <c r="F52" s="625"/>
      <c r="G52" s="625"/>
      <c r="H52" s="625"/>
      <c r="I52" s="625"/>
      <c r="J52" s="625"/>
      <c r="K52" s="419"/>
      <c r="L52" s="262"/>
      <c r="M52" s="262"/>
      <c r="N52" s="262"/>
      <c r="O52" s="262"/>
      <c r="P52" s="262"/>
      <c r="Q52" s="262"/>
      <c r="R52" s="262"/>
      <c r="S52" s="262"/>
      <c r="T52" s="262"/>
      <c r="U52" s="262"/>
      <c r="V52" s="262"/>
      <c r="W52" s="262"/>
      <c r="X52" s="262"/>
      <c r="Y52" s="262"/>
      <c r="Z52" s="262"/>
      <c r="AA52" s="262"/>
      <c r="AB52" s="262"/>
      <c r="AC52" s="262"/>
      <c r="AD52" s="262"/>
      <c r="AE52" s="262"/>
      <c r="AF52" s="262"/>
      <c r="AG52" s="262"/>
      <c r="AL52" s="638"/>
    </row>
    <row r="53" spans="1:38" s="227" customFormat="1" x14ac:dyDescent="0.25">
      <c r="A53" s="625"/>
      <c r="B53" s="625"/>
      <c r="C53" s="192"/>
      <c r="D53" s="625"/>
      <c r="E53" s="625"/>
      <c r="F53" s="625"/>
      <c r="G53" s="625"/>
      <c r="H53" s="625"/>
      <c r="I53" s="625"/>
      <c r="J53" s="625"/>
      <c r="K53" s="419"/>
      <c r="L53" s="262"/>
      <c r="M53" s="262"/>
      <c r="N53" s="262"/>
      <c r="O53" s="262"/>
      <c r="P53" s="262"/>
      <c r="Q53" s="262"/>
      <c r="R53" s="262"/>
      <c r="S53" s="262"/>
      <c r="T53" s="262"/>
      <c r="U53" s="262"/>
      <c r="V53" s="262"/>
      <c r="W53" s="262"/>
      <c r="X53" s="262"/>
      <c r="Y53" s="262"/>
      <c r="Z53" s="262"/>
      <c r="AA53" s="262"/>
      <c r="AB53" s="262"/>
      <c r="AC53" s="262"/>
      <c r="AD53" s="262"/>
      <c r="AE53" s="262"/>
      <c r="AF53" s="262"/>
      <c r="AG53" s="262"/>
      <c r="AL53" s="638"/>
    </row>
    <row r="54" spans="1:38" s="227" customFormat="1" x14ac:dyDescent="0.25">
      <c r="A54" s="625"/>
      <c r="B54" s="625"/>
      <c r="C54" s="192"/>
      <c r="D54" s="625"/>
      <c r="E54" s="625"/>
      <c r="F54" s="625"/>
      <c r="G54" s="625"/>
      <c r="H54" s="625"/>
      <c r="I54" s="625"/>
      <c r="J54" s="625"/>
      <c r="K54" s="419"/>
      <c r="L54" s="262"/>
      <c r="M54" s="262"/>
      <c r="N54" s="262"/>
      <c r="O54" s="262"/>
      <c r="P54" s="262"/>
      <c r="Q54" s="262"/>
      <c r="R54" s="262"/>
      <c r="S54" s="262"/>
      <c r="T54" s="262"/>
      <c r="U54" s="262"/>
      <c r="V54" s="262"/>
      <c r="W54" s="262"/>
      <c r="X54" s="262"/>
      <c r="Y54" s="262"/>
      <c r="Z54" s="262"/>
      <c r="AA54" s="262"/>
      <c r="AB54" s="262"/>
      <c r="AC54" s="262"/>
      <c r="AD54" s="262"/>
      <c r="AE54" s="262"/>
      <c r="AF54" s="419" t="s">
        <v>1788</v>
      </c>
      <c r="AG54" s="262"/>
      <c r="AL54" s="638"/>
    </row>
    <row r="55" spans="1:38" s="227" customFormat="1" x14ac:dyDescent="0.25">
      <c r="A55" s="625"/>
      <c r="B55" s="625"/>
      <c r="C55" s="625"/>
      <c r="D55" s="625"/>
      <c r="E55" s="625"/>
      <c r="F55" s="625"/>
      <c r="G55" s="625"/>
      <c r="H55" s="625"/>
      <c r="I55" s="625"/>
      <c r="J55" s="625"/>
      <c r="K55" s="419"/>
      <c r="L55" s="262"/>
      <c r="M55" s="262"/>
      <c r="N55" s="262"/>
      <c r="O55" s="262"/>
      <c r="P55" s="262"/>
      <c r="Q55" s="262"/>
      <c r="R55" s="262"/>
      <c r="S55" s="262"/>
      <c r="T55" s="262"/>
      <c r="U55" s="262"/>
      <c r="V55" s="262"/>
      <c r="W55" s="262"/>
      <c r="X55" s="262"/>
      <c r="Y55" s="262"/>
      <c r="Z55" s="262"/>
      <c r="AA55" s="262"/>
      <c r="AB55" s="262"/>
      <c r="AC55" s="262"/>
      <c r="AD55" s="262"/>
      <c r="AE55" s="262"/>
      <c r="AF55" s="262"/>
      <c r="AG55" s="262"/>
      <c r="AL55" s="638"/>
    </row>
    <row r="56" spans="1:38" s="227" customFormat="1" x14ac:dyDescent="0.25">
      <c r="A56" s="625"/>
      <c r="B56" s="625"/>
      <c r="C56" s="625"/>
      <c r="D56" s="625"/>
      <c r="E56" s="625"/>
      <c r="F56" s="625"/>
      <c r="G56" s="625"/>
      <c r="H56" s="625"/>
      <c r="I56" s="625"/>
      <c r="J56" s="625"/>
      <c r="K56" s="419"/>
      <c r="L56" s="262"/>
      <c r="M56" s="262"/>
      <c r="N56" s="262"/>
      <c r="O56" s="262"/>
      <c r="P56" s="262"/>
      <c r="Q56" s="262"/>
      <c r="R56" s="262"/>
      <c r="S56" s="262"/>
      <c r="T56" s="262"/>
      <c r="U56" s="262"/>
      <c r="V56" s="262"/>
      <c r="W56" s="262"/>
      <c r="X56" s="262"/>
      <c r="Y56" s="262"/>
      <c r="Z56" s="262"/>
      <c r="AA56" s="262"/>
      <c r="AB56" s="262"/>
      <c r="AC56" s="262"/>
      <c r="AD56" s="262"/>
      <c r="AE56" s="262"/>
      <c r="AF56" s="262"/>
      <c r="AG56" s="262"/>
      <c r="AL56" s="638"/>
    </row>
    <row r="57" spans="1:38" s="227" customFormat="1" x14ac:dyDescent="0.25">
      <c r="A57" s="625"/>
      <c r="B57" s="519" t="s">
        <v>2194</v>
      </c>
      <c r="C57" s="625"/>
      <c r="D57" s="625"/>
      <c r="E57" s="625"/>
      <c r="F57" s="625"/>
      <c r="G57" s="625"/>
      <c r="H57" s="625"/>
      <c r="I57" s="625"/>
      <c r="J57" s="625"/>
      <c r="K57" s="419"/>
      <c r="L57" s="262"/>
      <c r="M57" s="262"/>
      <c r="N57" s="262"/>
      <c r="O57" s="262"/>
      <c r="P57" s="262"/>
      <c r="Q57" s="262"/>
      <c r="R57" s="262"/>
      <c r="S57" s="262"/>
      <c r="T57" s="262"/>
      <c r="U57" s="262"/>
      <c r="V57" s="262"/>
      <c r="W57" s="262"/>
      <c r="X57" s="262"/>
      <c r="Y57" s="262"/>
      <c r="Z57" s="262"/>
      <c r="AA57" s="262"/>
      <c r="AB57" s="262"/>
      <c r="AC57" s="262"/>
      <c r="AD57" s="262"/>
      <c r="AE57" s="262"/>
      <c r="AF57" s="262"/>
      <c r="AG57" s="262"/>
      <c r="AL57" s="638"/>
    </row>
    <row r="58" spans="1:38" s="227" customFormat="1" x14ac:dyDescent="0.25">
      <c r="A58" s="625"/>
      <c r="B58" s="519"/>
      <c r="C58" s="625"/>
      <c r="D58" s="625"/>
      <c r="E58" s="625"/>
      <c r="F58" s="625"/>
      <c r="G58" s="625"/>
      <c r="H58" s="625"/>
      <c r="I58" s="625"/>
      <c r="J58" s="625"/>
      <c r="K58" s="419"/>
      <c r="L58" s="262"/>
      <c r="M58" s="262"/>
      <c r="N58" s="262"/>
      <c r="O58" s="262"/>
      <c r="P58" s="262"/>
      <c r="Q58" s="262"/>
      <c r="R58" s="262"/>
      <c r="S58" s="262"/>
      <c r="T58" s="262"/>
      <c r="U58" s="262"/>
      <c r="V58" s="262"/>
      <c r="W58" s="262"/>
      <c r="X58" s="262"/>
      <c r="Y58" s="262"/>
      <c r="Z58" s="262"/>
      <c r="AA58" s="262"/>
      <c r="AB58" s="262"/>
      <c r="AC58" s="262"/>
      <c r="AD58" s="262"/>
      <c r="AE58" s="262"/>
      <c r="AF58" s="262"/>
      <c r="AG58" s="262"/>
      <c r="AL58" s="638"/>
    </row>
    <row r="59" spans="1:38" s="227" customFormat="1" x14ac:dyDescent="0.25">
      <c r="A59" s="625"/>
      <c r="B59" s="519"/>
      <c r="C59" s="192" t="s">
        <v>6612</v>
      </c>
      <c r="D59" s="625"/>
      <c r="E59" s="625"/>
      <c r="F59" s="625"/>
      <c r="G59" s="625"/>
      <c r="H59" s="625"/>
      <c r="I59" s="625"/>
      <c r="J59" s="625"/>
      <c r="K59" s="419"/>
      <c r="L59" s="262"/>
      <c r="M59" s="262"/>
      <c r="N59" s="262"/>
      <c r="O59" s="262"/>
      <c r="P59" s="262"/>
      <c r="Q59" s="262"/>
      <c r="R59" s="262"/>
      <c r="S59" s="262"/>
      <c r="T59" s="262"/>
      <c r="U59" s="262"/>
      <c r="V59" s="262"/>
      <c r="W59" s="262"/>
      <c r="X59" s="262"/>
      <c r="Y59" s="262"/>
      <c r="Z59" s="262"/>
      <c r="AA59" s="262"/>
      <c r="AB59" s="262"/>
      <c r="AC59" s="262"/>
      <c r="AD59" s="262"/>
      <c r="AE59" s="262"/>
      <c r="AF59" s="262"/>
      <c r="AG59" s="262"/>
      <c r="AL59" s="638"/>
    </row>
    <row r="60" spans="1:38" s="227" customFormat="1" x14ac:dyDescent="0.25">
      <c r="A60" s="625"/>
      <c r="B60" s="519"/>
      <c r="C60" s="625"/>
      <c r="D60" s="625"/>
      <c r="E60" s="625"/>
      <c r="F60" s="625"/>
      <c r="G60" s="625"/>
      <c r="H60" s="625"/>
      <c r="I60" s="625"/>
      <c r="J60" s="625"/>
      <c r="K60" s="419"/>
      <c r="L60" s="262"/>
      <c r="M60" s="262"/>
      <c r="N60" s="262"/>
      <c r="O60" s="262"/>
      <c r="P60" s="262"/>
      <c r="Q60" s="262"/>
      <c r="R60" s="262"/>
      <c r="S60" s="262"/>
      <c r="T60" s="262"/>
      <c r="U60" s="262"/>
      <c r="V60" s="262"/>
      <c r="W60" s="262"/>
      <c r="X60" s="262"/>
      <c r="Y60" s="262"/>
      <c r="Z60" s="262"/>
      <c r="AA60" s="262"/>
      <c r="AB60" s="262"/>
      <c r="AC60" s="262"/>
      <c r="AD60" s="262"/>
      <c r="AE60" s="262"/>
      <c r="AF60" s="262"/>
      <c r="AG60" s="262"/>
      <c r="AL60" s="638"/>
    </row>
    <row r="61" spans="1:38" s="227" customFormat="1" x14ac:dyDescent="0.25">
      <c r="A61" s="625"/>
      <c r="B61" s="519"/>
      <c r="C61" s="625"/>
      <c r="D61" s="625"/>
      <c r="E61" s="625"/>
      <c r="F61" s="625"/>
      <c r="G61" s="625"/>
      <c r="H61" s="625"/>
      <c r="I61" s="625"/>
      <c r="J61" s="625"/>
      <c r="K61" s="419"/>
      <c r="L61" s="262"/>
      <c r="M61" s="262"/>
      <c r="N61" s="262"/>
      <c r="O61" s="262"/>
      <c r="P61" s="262"/>
      <c r="Q61" s="262"/>
      <c r="R61" s="262"/>
      <c r="S61" s="262"/>
      <c r="T61" s="262"/>
      <c r="U61" s="262"/>
      <c r="V61" s="262"/>
      <c r="W61" s="262"/>
      <c r="X61" s="262"/>
      <c r="Y61" s="262"/>
      <c r="Z61" s="262"/>
      <c r="AA61" s="262"/>
      <c r="AB61" s="262"/>
      <c r="AC61" s="262"/>
      <c r="AD61" s="262"/>
      <c r="AE61" s="262"/>
      <c r="AF61" s="419" t="s">
        <v>1789</v>
      </c>
      <c r="AG61" s="262"/>
      <c r="AL61" s="638"/>
    </row>
    <row r="62" spans="1:38" s="227" customFormat="1" x14ac:dyDescent="0.25">
      <c r="A62" s="625"/>
      <c r="B62" s="519"/>
      <c r="C62" s="625"/>
      <c r="D62" s="625"/>
      <c r="E62" s="625"/>
      <c r="F62" s="625"/>
      <c r="G62" s="625"/>
      <c r="H62" s="625"/>
      <c r="I62" s="625"/>
      <c r="J62" s="625"/>
      <c r="K62" s="419"/>
      <c r="L62" s="262"/>
      <c r="M62" s="262"/>
      <c r="N62" s="262"/>
      <c r="O62" s="262"/>
      <c r="P62" s="262"/>
      <c r="Q62" s="262"/>
      <c r="R62" s="262"/>
      <c r="S62" s="262"/>
      <c r="T62" s="262"/>
      <c r="U62" s="262"/>
      <c r="V62" s="262"/>
      <c r="W62" s="262"/>
      <c r="X62" s="262"/>
      <c r="Y62" s="262"/>
      <c r="Z62" s="262"/>
      <c r="AA62" s="262"/>
      <c r="AB62" s="262"/>
      <c r="AC62" s="262"/>
      <c r="AD62" s="262"/>
      <c r="AE62" s="262"/>
      <c r="AF62" s="262"/>
      <c r="AG62" s="262"/>
      <c r="AL62" s="638"/>
    </row>
    <row r="63" spans="1:38" s="227" customFormat="1" x14ac:dyDescent="0.25">
      <c r="A63" s="625"/>
      <c r="B63" s="519"/>
      <c r="C63" s="192" t="s">
        <v>6681</v>
      </c>
      <c r="D63" s="625"/>
      <c r="E63" s="625"/>
      <c r="F63" s="625"/>
      <c r="G63" s="625"/>
      <c r="H63" s="625"/>
      <c r="I63" s="625"/>
      <c r="J63" s="625"/>
      <c r="K63" s="419"/>
      <c r="L63" s="262"/>
      <c r="M63" s="262"/>
      <c r="N63" s="262"/>
      <c r="O63" s="262"/>
      <c r="P63" s="262"/>
      <c r="Q63" s="262"/>
      <c r="R63" s="262"/>
      <c r="S63" s="262"/>
      <c r="T63" s="262"/>
      <c r="U63" s="262"/>
      <c r="V63" s="262"/>
      <c r="W63" s="262"/>
      <c r="X63" s="262"/>
      <c r="Y63" s="262"/>
      <c r="Z63" s="262"/>
      <c r="AA63" s="262"/>
      <c r="AB63" s="262"/>
      <c r="AC63" s="262"/>
      <c r="AD63" s="262"/>
      <c r="AE63" s="262"/>
      <c r="AF63" s="262"/>
      <c r="AG63" s="262"/>
      <c r="AL63" s="638"/>
    </row>
    <row r="64" spans="1:38" customFormat="1" x14ac:dyDescent="0.25">
      <c r="A64" s="963"/>
      <c r="B64" s="961"/>
      <c r="C64" s="963"/>
      <c r="D64" s="963"/>
      <c r="E64" s="963"/>
      <c r="F64" s="963"/>
      <c r="G64" s="963"/>
      <c r="H64" s="963"/>
      <c r="I64" s="963"/>
      <c r="J64" s="963"/>
      <c r="K64" s="962"/>
      <c r="L64" s="656"/>
      <c r="M64" s="656"/>
      <c r="N64" s="656"/>
      <c r="O64" s="656"/>
      <c r="P64" s="656"/>
      <c r="Q64" s="656"/>
      <c r="R64" s="656"/>
      <c r="S64" s="656"/>
      <c r="T64" s="656"/>
      <c r="U64" s="656"/>
      <c r="V64" s="656"/>
      <c r="W64" s="656"/>
      <c r="X64" s="656"/>
      <c r="Y64" s="656"/>
      <c r="Z64" s="656"/>
      <c r="AA64" s="656"/>
      <c r="AB64" s="656"/>
      <c r="AC64" s="656"/>
      <c r="AD64" s="656"/>
      <c r="AE64" s="656"/>
      <c r="AF64" s="1"/>
      <c r="AG64" s="1"/>
      <c r="AL64" s="624"/>
    </row>
    <row r="65" spans="1:38" s="227" customFormat="1" x14ac:dyDescent="0.25">
      <c r="A65" s="625"/>
      <c r="B65" s="519"/>
      <c r="C65" s="625"/>
      <c r="D65" s="625"/>
      <c r="E65" s="625"/>
      <c r="F65" s="625"/>
      <c r="G65" s="625"/>
      <c r="H65" s="625"/>
      <c r="I65" s="625"/>
      <c r="J65" s="625"/>
      <c r="K65" s="419"/>
      <c r="L65" s="262"/>
      <c r="M65" s="262"/>
      <c r="N65" s="262"/>
      <c r="O65" s="262"/>
      <c r="P65" s="262"/>
      <c r="Q65" s="262"/>
      <c r="R65" s="262"/>
      <c r="S65" s="262"/>
      <c r="T65" s="262"/>
      <c r="U65" s="262"/>
      <c r="V65" s="262"/>
      <c r="W65" s="262"/>
      <c r="X65" s="262"/>
      <c r="Y65" s="262"/>
      <c r="Z65" s="262"/>
      <c r="AA65" s="262"/>
      <c r="AB65" s="262"/>
      <c r="AC65" s="262"/>
      <c r="AD65" s="262"/>
      <c r="AE65" s="262"/>
      <c r="AF65" s="419" t="s">
        <v>1826</v>
      </c>
      <c r="AG65" s="262"/>
      <c r="AL65" s="638"/>
    </row>
    <row r="66" spans="1:38" s="227" customFormat="1" x14ac:dyDescent="0.25">
      <c r="A66" s="625"/>
      <c r="B66" s="519"/>
      <c r="C66" s="625"/>
      <c r="D66" s="625"/>
      <c r="E66" s="625"/>
      <c r="F66" s="625"/>
      <c r="G66" s="625"/>
      <c r="H66" s="625"/>
      <c r="I66" s="625"/>
      <c r="J66" s="625"/>
      <c r="K66" s="419"/>
      <c r="L66" s="262"/>
      <c r="M66" s="262"/>
      <c r="N66" s="262"/>
      <c r="O66" s="262"/>
      <c r="P66" s="262"/>
      <c r="Q66" s="262"/>
      <c r="R66" s="262"/>
      <c r="S66" s="262"/>
      <c r="T66" s="262"/>
      <c r="U66" s="262"/>
      <c r="V66" s="262"/>
      <c r="W66" s="262"/>
      <c r="X66" s="262"/>
      <c r="Y66" s="262"/>
      <c r="Z66" s="262"/>
      <c r="AA66" s="262"/>
      <c r="AB66" s="262"/>
      <c r="AC66" s="262"/>
      <c r="AD66" s="262"/>
      <c r="AE66" s="262"/>
      <c r="AF66" s="262"/>
      <c r="AG66" s="262"/>
      <c r="AL66" s="638"/>
    </row>
    <row r="67" spans="1:38" s="227" customFormat="1" x14ac:dyDescent="0.25">
      <c r="A67" s="625"/>
      <c r="B67" s="519"/>
      <c r="C67" s="192" t="s">
        <v>6613</v>
      </c>
      <c r="D67" s="262"/>
      <c r="E67" s="625"/>
      <c r="F67" s="625"/>
      <c r="G67" s="625"/>
      <c r="H67" s="625"/>
      <c r="I67" s="625"/>
      <c r="J67" s="625"/>
      <c r="K67" s="419"/>
      <c r="L67" s="262"/>
      <c r="M67" s="262"/>
      <c r="N67" s="262"/>
      <c r="O67" s="262"/>
      <c r="P67" s="262"/>
      <c r="Q67" s="262"/>
      <c r="R67" s="262"/>
      <c r="S67" s="262"/>
      <c r="T67" s="262"/>
      <c r="U67" s="262"/>
      <c r="V67" s="262"/>
      <c r="W67" s="262"/>
      <c r="X67" s="262"/>
      <c r="Y67" s="262"/>
      <c r="Z67" s="262"/>
      <c r="AA67" s="262"/>
      <c r="AB67" s="262"/>
      <c r="AC67" s="262"/>
      <c r="AD67" s="262"/>
      <c r="AE67" s="262"/>
      <c r="AF67" s="262"/>
      <c r="AG67" s="262"/>
      <c r="AL67" s="638"/>
    </row>
    <row r="68" spans="1:38" s="227" customFormat="1" x14ac:dyDescent="0.25">
      <c r="A68" s="625"/>
      <c r="B68" s="519"/>
      <c r="C68" s="625"/>
      <c r="D68" s="192"/>
      <c r="E68" s="625"/>
      <c r="F68" s="625"/>
      <c r="G68" s="625"/>
      <c r="H68" s="625"/>
      <c r="I68" s="625"/>
      <c r="J68" s="625"/>
      <c r="K68" s="419"/>
      <c r="L68" s="262"/>
      <c r="M68" s="262"/>
      <c r="N68" s="262"/>
      <c r="O68" s="262"/>
      <c r="P68" s="262"/>
      <c r="Q68" s="262"/>
      <c r="R68" s="262"/>
      <c r="S68" s="262"/>
      <c r="T68" s="262"/>
      <c r="U68" s="262"/>
      <c r="V68" s="262"/>
      <c r="W68" s="262"/>
      <c r="X68" s="262"/>
      <c r="Y68" s="262"/>
      <c r="Z68" s="262"/>
      <c r="AA68" s="262"/>
      <c r="AB68" s="262"/>
      <c r="AC68" s="262"/>
      <c r="AD68" s="262"/>
      <c r="AE68" s="262"/>
      <c r="AF68" s="262"/>
      <c r="AG68" s="262"/>
      <c r="AL68" s="638"/>
    </row>
    <row r="69" spans="1:38" s="227" customFormat="1" x14ac:dyDescent="0.25">
      <c r="A69" s="625"/>
      <c r="B69" s="519"/>
      <c r="C69" s="625"/>
      <c r="D69" s="192"/>
      <c r="E69" s="625"/>
      <c r="F69" s="625"/>
      <c r="G69" s="625"/>
      <c r="H69" s="625"/>
      <c r="I69" s="625"/>
      <c r="J69" s="625"/>
      <c r="K69" s="419"/>
      <c r="L69" s="262"/>
      <c r="M69" s="262"/>
      <c r="N69" s="262"/>
      <c r="O69" s="262"/>
      <c r="P69" s="262"/>
      <c r="Q69" s="262"/>
      <c r="R69" s="262"/>
      <c r="S69" s="262"/>
      <c r="T69" s="262"/>
      <c r="U69" s="262"/>
      <c r="V69" s="262"/>
      <c r="W69" s="262"/>
      <c r="X69" s="262"/>
      <c r="Y69" s="262"/>
      <c r="Z69" s="262"/>
      <c r="AA69" s="262"/>
      <c r="AB69" s="262"/>
      <c r="AC69" s="262"/>
      <c r="AD69" s="262"/>
      <c r="AE69" s="262"/>
      <c r="AF69" s="419" t="s">
        <v>1827</v>
      </c>
      <c r="AG69" s="262"/>
      <c r="AL69" s="638"/>
    </row>
    <row r="70" spans="1:38" s="227" customFormat="1" x14ac:dyDescent="0.25">
      <c r="A70" s="625"/>
      <c r="B70" s="519"/>
      <c r="C70" s="625"/>
      <c r="D70" s="192"/>
      <c r="E70" s="625"/>
      <c r="F70" s="625"/>
      <c r="G70" s="625"/>
      <c r="H70" s="625"/>
      <c r="I70" s="625"/>
      <c r="J70" s="625"/>
      <c r="K70" s="419"/>
      <c r="L70" s="262"/>
      <c r="M70" s="262"/>
      <c r="N70" s="262"/>
      <c r="O70" s="262"/>
      <c r="P70" s="262"/>
      <c r="Q70" s="262"/>
      <c r="R70" s="262"/>
      <c r="S70" s="262"/>
      <c r="T70" s="262"/>
      <c r="U70" s="262"/>
      <c r="V70" s="262"/>
      <c r="W70" s="262"/>
      <c r="X70" s="262"/>
      <c r="Y70" s="262"/>
      <c r="Z70" s="262"/>
      <c r="AA70" s="262"/>
      <c r="AB70" s="262"/>
      <c r="AC70" s="262"/>
      <c r="AD70" s="262"/>
      <c r="AE70" s="262"/>
      <c r="AF70" s="262"/>
      <c r="AG70" s="262"/>
      <c r="AL70" s="638"/>
    </row>
    <row r="71" spans="1:38" s="227" customFormat="1" x14ac:dyDescent="0.25">
      <c r="A71" s="625"/>
      <c r="B71" s="625"/>
      <c r="C71" s="625"/>
      <c r="D71" s="625"/>
      <c r="E71" s="625"/>
      <c r="F71" s="625"/>
      <c r="G71" s="625"/>
      <c r="H71" s="625"/>
      <c r="I71" s="625"/>
      <c r="J71" s="625"/>
      <c r="K71" s="419"/>
      <c r="L71" s="262"/>
      <c r="M71" s="262"/>
      <c r="N71" s="262"/>
      <c r="O71" s="262"/>
      <c r="P71" s="262"/>
      <c r="Q71" s="262"/>
      <c r="R71" s="262"/>
      <c r="S71" s="262"/>
      <c r="T71" s="262"/>
      <c r="U71" s="262"/>
      <c r="V71" s="262"/>
      <c r="W71" s="262"/>
      <c r="X71" s="262"/>
      <c r="Y71" s="262"/>
      <c r="Z71" s="262"/>
      <c r="AA71" s="262"/>
      <c r="AB71" s="262"/>
      <c r="AC71" s="262"/>
      <c r="AD71" s="262"/>
      <c r="AE71" s="262"/>
      <c r="AF71" s="262"/>
      <c r="AG71" s="262"/>
      <c r="AL71" s="638"/>
    </row>
    <row r="72" spans="1:38" s="227" customFormat="1" x14ac:dyDescent="0.25">
      <c r="A72" s="625"/>
      <c r="B72" s="519" t="s">
        <v>1998</v>
      </c>
      <c r="C72" s="625"/>
      <c r="D72" s="625"/>
      <c r="E72" s="625"/>
      <c r="F72" s="625"/>
      <c r="G72" s="625"/>
      <c r="H72" s="625"/>
      <c r="I72" s="625"/>
      <c r="J72" s="625"/>
      <c r="K72" s="419"/>
      <c r="L72" s="262"/>
      <c r="M72" s="262"/>
      <c r="N72" s="262"/>
      <c r="O72" s="262"/>
      <c r="P72" s="262"/>
      <c r="Q72" s="262"/>
      <c r="R72" s="262"/>
      <c r="S72" s="262"/>
      <c r="T72" s="262"/>
      <c r="U72" s="262"/>
      <c r="V72" s="262"/>
      <c r="W72" s="262"/>
      <c r="X72" s="262"/>
      <c r="Y72" s="262"/>
      <c r="Z72" s="262"/>
      <c r="AA72" s="262"/>
      <c r="AB72" s="262"/>
      <c r="AC72" s="262"/>
      <c r="AD72" s="262"/>
      <c r="AE72" s="262"/>
      <c r="AF72" s="262"/>
      <c r="AG72" s="262"/>
      <c r="AL72" s="638"/>
    </row>
    <row r="73" spans="1:38" s="227" customFormat="1" x14ac:dyDescent="0.25">
      <c r="A73" s="519"/>
      <c r="B73" s="519"/>
      <c r="C73" s="519"/>
      <c r="D73" s="519"/>
      <c r="E73" s="519"/>
      <c r="F73" s="519"/>
      <c r="G73" s="519"/>
      <c r="H73" s="519"/>
      <c r="I73" s="519"/>
      <c r="J73" s="519"/>
      <c r="K73" s="519"/>
      <c r="L73" s="519"/>
      <c r="M73" s="519"/>
      <c r="N73" s="519"/>
      <c r="O73" s="519"/>
      <c r="P73" s="519"/>
      <c r="Q73" s="519"/>
      <c r="R73" s="519"/>
      <c r="S73" s="262"/>
      <c r="T73" s="262"/>
      <c r="U73" s="262"/>
      <c r="V73" s="262"/>
      <c r="W73" s="262"/>
      <c r="X73" s="262"/>
      <c r="Y73" s="262"/>
      <c r="Z73" s="262"/>
      <c r="AA73" s="262"/>
      <c r="AB73" s="262"/>
      <c r="AC73" s="262"/>
      <c r="AD73" s="262"/>
      <c r="AE73" s="262"/>
      <c r="AF73" s="262"/>
      <c r="AG73" s="262"/>
      <c r="AL73" s="638"/>
    </row>
    <row r="74" spans="1:38" s="227" customFormat="1" x14ac:dyDescent="0.25">
      <c r="A74" s="519"/>
      <c r="B74" s="519"/>
      <c r="C74" s="192" t="s">
        <v>6614</v>
      </c>
      <c r="D74" s="519"/>
      <c r="E74" s="519"/>
      <c r="F74" s="519"/>
      <c r="G74" s="519"/>
      <c r="H74" s="519"/>
      <c r="I74" s="519"/>
      <c r="J74" s="519"/>
      <c r="K74" s="519"/>
      <c r="L74" s="519"/>
      <c r="M74" s="519"/>
      <c r="N74" s="519"/>
      <c r="O74" s="519"/>
      <c r="P74" s="519"/>
      <c r="Q74" s="519"/>
      <c r="R74" s="519"/>
      <c r="S74" s="262"/>
      <c r="T74" s="262"/>
      <c r="U74" s="262"/>
      <c r="V74" s="262"/>
      <c r="W74" s="262"/>
      <c r="X74" s="262"/>
      <c r="Y74" s="262"/>
      <c r="Z74" s="262"/>
      <c r="AA74" s="262"/>
      <c r="AB74" s="262"/>
      <c r="AC74" s="262"/>
      <c r="AD74" s="262"/>
      <c r="AE74" s="262"/>
      <c r="AF74" s="262"/>
      <c r="AG74" s="262"/>
      <c r="AL74" s="638"/>
    </row>
    <row r="75" spans="1:38" s="227" customFormat="1" x14ac:dyDescent="0.25">
      <c r="A75" s="519"/>
      <c r="B75" s="519"/>
      <c r="C75" s="519"/>
      <c r="D75" s="519"/>
      <c r="E75" s="519"/>
      <c r="F75" s="519"/>
      <c r="G75" s="519"/>
      <c r="H75" s="519"/>
      <c r="I75" s="519"/>
      <c r="J75" s="519"/>
      <c r="K75" s="519"/>
      <c r="L75" s="519"/>
      <c r="M75" s="519"/>
      <c r="N75" s="519"/>
      <c r="O75" s="519"/>
      <c r="P75" s="519"/>
      <c r="Q75" s="519"/>
      <c r="R75" s="519"/>
      <c r="S75" s="262"/>
      <c r="T75" s="262"/>
      <c r="U75" s="262"/>
      <c r="V75" s="262"/>
      <c r="W75" s="262"/>
      <c r="X75" s="262"/>
      <c r="Y75" s="262"/>
      <c r="Z75" s="262"/>
      <c r="AA75" s="262"/>
      <c r="AB75" s="262"/>
      <c r="AC75" s="262"/>
      <c r="AD75" s="262"/>
      <c r="AE75" s="262"/>
      <c r="AF75" s="419" t="s">
        <v>2116</v>
      </c>
      <c r="AG75" s="262"/>
      <c r="AL75" s="638"/>
    </row>
    <row r="76" spans="1:38" s="227" customFormat="1" x14ac:dyDescent="0.25">
      <c r="A76" s="519"/>
      <c r="B76" s="519"/>
      <c r="C76" s="519"/>
      <c r="D76" s="519"/>
      <c r="E76" s="519"/>
      <c r="F76" s="519"/>
      <c r="G76" s="519"/>
      <c r="H76" s="519"/>
      <c r="I76" s="519"/>
      <c r="J76" s="519"/>
      <c r="K76" s="519"/>
      <c r="L76" s="519"/>
      <c r="M76" s="519"/>
      <c r="N76" s="519"/>
      <c r="O76" s="519"/>
      <c r="P76" s="519"/>
      <c r="Q76" s="519"/>
      <c r="R76" s="519"/>
      <c r="S76" s="262"/>
      <c r="T76" s="262"/>
      <c r="U76" s="262"/>
      <c r="V76" s="262"/>
      <c r="W76" s="262"/>
      <c r="X76" s="262"/>
      <c r="Y76" s="262"/>
      <c r="Z76" s="262"/>
      <c r="AA76" s="262"/>
      <c r="AB76" s="262"/>
      <c r="AC76" s="262"/>
      <c r="AD76" s="262"/>
      <c r="AE76" s="262"/>
      <c r="AF76" s="262"/>
      <c r="AG76" s="262"/>
      <c r="AL76" s="638"/>
    </row>
    <row r="77" spans="1:38" s="227" customFormat="1" x14ac:dyDescent="0.25">
      <c r="A77" s="519"/>
      <c r="B77" s="519"/>
      <c r="C77" s="192" t="s">
        <v>6682</v>
      </c>
      <c r="D77" s="519"/>
      <c r="E77" s="519"/>
      <c r="F77" s="519"/>
      <c r="G77" s="519"/>
      <c r="H77" s="519"/>
      <c r="I77" s="519"/>
      <c r="J77" s="519"/>
      <c r="K77" s="519"/>
      <c r="L77" s="519"/>
      <c r="M77" s="519"/>
      <c r="N77" s="519"/>
      <c r="O77" s="519"/>
      <c r="P77" s="519"/>
      <c r="Q77" s="519"/>
      <c r="R77" s="519"/>
      <c r="S77" s="262"/>
      <c r="T77" s="262"/>
      <c r="U77" s="262"/>
      <c r="V77" s="262"/>
      <c r="W77" s="262"/>
      <c r="X77" s="262"/>
      <c r="Y77" s="262"/>
      <c r="Z77" s="262"/>
      <c r="AA77" s="262"/>
      <c r="AB77" s="262"/>
      <c r="AC77" s="262"/>
      <c r="AD77" s="262"/>
      <c r="AE77" s="262"/>
      <c r="AF77" s="262"/>
      <c r="AG77" s="262"/>
      <c r="AL77" s="638"/>
    </row>
    <row r="78" spans="1:38" s="227" customFormat="1" x14ac:dyDescent="0.25">
      <c r="A78" s="519"/>
      <c r="B78" s="519"/>
      <c r="C78" s="519"/>
      <c r="D78" s="519"/>
      <c r="E78" s="519"/>
      <c r="F78" s="519"/>
      <c r="G78" s="519"/>
      <c r="H78" s="519"/>
      <c r="I78" s="519"/>
      <c r="J78" s="519"/>
      <c r="K78" s="519"/>
      <c r="L78" s="519"/>
      <c r="M78" s="519"/>
      <c r="N78" s="519"/>
      <c r="O78" s="519"/>
      <c r="P78" s="519"/>
      <c r="Q78" s="519"/>
      <c r="R78" s="519"/>
      <c r="S78" s="262"/>
      <c r="T78" s="262"/>
      <c r="U78" s="262"/>
      <c r="V78" s="262"/>
      <c r="W78" s="262"/>
      <c r="X78" s="262"/>
      <c r="Y78" s="262"/>
      <c r="Z78" s="262"/>
      <c r="AA78" s="262"/>
      <c r="AB78" s="262"/>
      <c r="AC78" s="262"/>
      <c r="AD78" s="262"/>
      <c r="AE78" s="262"/>
      <c r="AF78" s="713" t="s">
        <v>2118</v>
      </c>
      <c r="AG78" s="262"/>
      <c r="AL78" s="638"/>
    </row>
    <row r="79" spans="1:38" s="227" customFormat="1" x14ac:dyDescent="0.25">
      <c r="A79" s="519"/>
      <c r="B79" s="519"/>
      <c r="C79" s="519"/>
      <c r="D79" s="519"/>
      <c r="E79" s="519"/>
      <c r="F79" s="519"/>
      <c r="G79" s="519"/>
      <c r="H79" s="519"/>
      <c r="I79" s="519"/>
      <c r="J79" s="519"/>
      <c r="K79" s="519"/>
      <c r="L79" s="519"/>
      <c r="M79" s="519"/>
      <c r="N79" s="519"/>
      <c r="O79" s="519"/>
      <c r="P79" s="519"/>
      <c r="Q79" s="519"/>
      <c r="R79" s="519"/>
      <c r="S79" s="262"/>
      <c r="T79" s="262"/>
      <c r="U79" s="262"/>
      <c r="V79" s="262"/>
      <c r="W79" s="262"/>
      <c r="X79" s="262"/>
      <c r="Y79" s="262"/>
      <c r="Z79" s="262"/>
      <c r="AA79" s="262"/>
      <c r="AB79" s="262"/>
      <c r="AC79" s="262"/>
      <c r="AD79" s="262"/>
      <c r="AE79" s="262"/>
      <c r="AF79" s="262"/>
      <c r="AG79" s="262"/>
      <c r="AL79" s="638"/>
    </row>
    <row r="80" spans="1:38" s="227" customFormat="1" x14ac:dyDescent="0.25">
      <c r="A80" s="519"/>
      <c r="B80" s="519"/>
      <c r="C80" s="192" t="s">
        <v>6615</v>
      </c>
      <c r="D80" s="519"/>
      <c r="E80" s="519"/>
      <c r="F80" s="519"/>
      <c r="G80" s="519"/>
      <c r="H80" s="519"/>
      <c r="I80" s="519"/>
      <c r="J80" s="519"/>
      <c r="K80" s="519"/>
      <c r="L80" s="519"/>
      <c r="M80" s="519"/>
      <c r="N80" s="519"/>
      <c r="O80" s="519"/>
      <c r="P80" s="519"/>
      <c r="Q80" s="519"/>
      <c r="R80" s="519"/>
      <c r="S80" s="262"/>
      <c r="T80" s="262"/>
      <c r="U80" s="262"/>
      <c r="V80" s="262"/>
      <c r="W80" s="262"/>
      <c r="X80" s="262"/>
      <c r="Y80" s="262"/>
      <c r="Z80" s="262"/>
      <c r="AA80" s="262"/>
      <c r="AB80" s="262"/>
      <c r="AC80" s="262"/>
      <c r="AD80" s="262"/>
      <c r="AE80" s="262"/>
      <c r="AF80" s="262"/>
      <c r="AG80" s="262"/>
      <c r="AL80" s="638"/>
    </row>
    <row r="81" spans="1:38" s="227" customFormat="1" x14ac:dyDescent="0.25">
      <c r="A81" s="519"/>
      <c r="B81" s="519"/>
      <c r="C81" s="519"/>
      <c r="D81" s="519"/>
      <c r="E81" s="519"/>
      <c r="F81" s="519"/>
      <c r="G81" s="519"/>
      <c r="H81" s="519"/>
      <c r="I81" s="519"/>
      <c r="J81" s="519"/>
      <c r="K81" s="519"/>
      <c r="L81" s="519"/>
      <c r="M81" s="519"/>
      <c r="N81" s="519"/>
      <c r="O81" s="519"/>
      <c r="P81" s="519"/>
      <c r="Q81" s="519"/>
      <c r="R81" s="519"/>
      <c r="S81" s="262"/>
      <c r="T81" s="262"/>
      <c r="U81" s="262"/>
      <c r="V81" s="262"/>
      <c r="W81" s="262"/>
      <c r="X81" s="262"/>
      <c r="Y81" s="262"/>
      <c r="Z81" s="262"/>
      <c r="AA81" s="262"/>
      <c r="AB81" s="262"/>
      <c r="AC81" s="262"/>
      <c r="AD81" s="262"/>
      <c r="AE81" s="262"/>
      <c r="AF81" s="713" t="s">
        <v>2119</v>
      </c>
      <c r="AG81" s="262"/>
    </row>
    <row r="82" spans="1:38" s="227" customFormat="1" x14ac:dyDescent="0.25">
      <c r="A82" s="519"/>
      <c r="B82" s="519"/>
      <c r="C82" s="519"/>
      <c r="D82" s="519"/>
      <c r="E82" s="519"/>
      <c r="F82" s="519"/>
      <c r="G82" s="519"/>
      <c r="H82" s="519"/>
      <c r="I82" s="519"/>
      <c r="J82" s="519"/>
      <c r="K82" s="519"/>
      <c r="L82" s="519"/>
      <c r="M82" s="519"/>
      <c r="N82" s="519"/>
      <c r="O82" s="519"/>
      <c r="P82" s="519"/>
      <c r="Q82" s="519"/>
      <c r="R82" s="519"/>
      <c r="S82" s="262"/>
      <c r="T82" s="262"/>
      <c r="U82" s="262"/>
      <c r="V82" s="262"/>
      <c r="W82" s="262"/>
      <c r="X82" s="262"/>
      <c r="Y82" s="262"/>
      <c r="Z82" s="262"/>
      <c r="AA82" s="262"/>
      <c r="AB82" s="262"/>
      <c r="AC82" s="262"/>
      <c r="AD82" s="262"/>
      <c r="AE82" s="262"/>
      <c r="AF82" s="419"/>
      <c r="AG82" s="262"/>
    </row>
    <row r="83" spans="1:38" s="227" customFormat="1" x14ac:dyDescent="0.25">
      <c r="A83" s="190"/>
      <c r="B83" s="419"/>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62"/>
      <c r="AE83" s="262"/>
      <c r="AF83" s="262"/>
      <c r="AG83" s="262"/>
      <c r="AL83" s="638"/>
    </row>
    <row r="84" spans="1:38" s="227" customFormat="1" x14ac:dyDescent="0.25">
      <c r="A84" s="1385" t="s">
        <v>15</v>
      </c>
      <c r="B84" s="1386"/>
      <c r="C84" s="1386"/>
      <c r="D84" s="1386"/>
      <c r="E84" s="1386"/>
      <c r="F84" s="1386"/>
      <c r="G84" s="1386"/>
      <c r="H84" s="1386"/>
      <c r="I84" s="1386"/>
      <c r="J84" s="1386"/>
      <c r="K84" s="1386"/>
      <c r="L84" s="1386"/>
      <c r="M84" s="1386"/>
      <c r="N84" s="1386"/>
      <c r="O84" s="1386"/>
      <c r="P84" s="1386"/>
      <c r="Q84" s="1386"/>
      <c r="R84" s="1386"/>
      <c r="S84" s="1386"/>
      <c r="T84" s="1386"/>
      <c r="U84" s="1386"/>
      <c r="V84" s="1386"/>
      <c r="W84" s="1386"/>
      <c r="X84" s="1386"/>
      <c r="Y84" s="1386"/>
      <c r="Z84" s="1386"/>
      <c r="AA84" s="1386"/>
      <c r="AB84" s="1386"/>
      <c r="AC84" s="1386"/>
      <c r="AD84" s="1386"/>
      <c r="AE84" s="1386"/>
      <c r="AF84" s="1387"/>
      <c r="AG84" s="262"/>
      <c r="AL84" s="638"/>
    </row>
    <row r="85" spans="1:38" s="227" customFormat="1" x14ac:dyDescent="0.25">
      <c r="A85" s="1697" t="s">
        <v>16</v>
      </c>
      <c r="B85" s="1698"/>
      <c r="C85" s="1698"/>
      <c r="D85" s="1699"/>
      <c r="E85" s="1697" t="s">
        <v>10</v>
      </c>
      <c r="F85" s="1698"/>
      <c r="G85" s="1698"/>
      <c r="H85" s="1698"/>
      <c r="I85" s="1698"/>
      <c r="J85" s="1698"/>
      <c r="K85" s="1698"/>
      <c r="L85" s="1698"/>
      <c r="M85" s="1698"/>
      <c r="N85" s="1698"/>
      <c r="O85" s="1698"/>
      <c r="P85" s="1699"/>
      <c r="Q85" s="1697" t="s">
        <v>17</v>
      </c>
      <c r="R85" s="1698"/>
      <c r="S85" s="1698"/>
      <c r="T85" s="1699"/>
      <c r="U85" s="948" t="s">
        <v>18</v>
      </c>
      <c r="V85" s="948"/>
      <c r="W85" s="1697" t="s">
        <v>2772</v>
      </c>
      <c r="X85" s="1698"/>
      <c r="Y85" s="1698"/>
      <c r="Z85" s="1698"/>
      <c r="AA85" s="1698"/>
      <c r="AB85" s="1698"/>
      <c r="AC85" s="1698"/>
      <c r="AD85" s="1698"/>
      <c r="AE85" s="1698"/>
      <c r="AF85" s="1699"/>
      <c r="AG85" s="262"/>
      <c r="AL85" s="638"/>
    </row>
    <row r="86" spans="1:38" s="227" customFormat="1" ht="30.75" customHeight="1" x14ac:dyDescent="0.25">
      <c r="A86" s="2848" t="s">
        <v>4408</v>
      </c>
      <c r="B86" s="2849"/>
      <c r="C86" s="2849"/>
      <c r="D86" s="2850"/>
      <c r="E86" s="1494" t="s">
        <v>6616</v>
      </c>
      <c r="F86" s="1495"/>
      <c r="G86" s="1495"/>
      <c r="H86" s="1495"/>
      <c r="I86" s="1495"/>
      <c r="J86" s="1495"/>
      <c r="K86" s="1495"/>
      <c r="L86" s="1495"/>
      <c r="M86" s="1495"/>
      <c r="N86" s="1495"/>
      <c r="O86" s="1495"/>
      <c r="P86" s="1496"/>
      <c r="Q86" s="1725" t="s">
        <v>326</v>
      </c>
      <c r="R86" s="1726"/>
      <c r="S86" s="1726"/>
      <c r="T86" s="1727"/>
      <c r="U86" s="1683" t="s">
        <v>4408</v>
      </c>
      <c r="V86" s="1685"/>
      <c r="W86" s="1494" t="s">
        <v>4568</v>
      </c>
      <c r="X86" s="1495"/>
      <c r="Y86" s="1495"/>
      <c r="Z86" s="1495"/>
      <c r="AA86" s="1495"/>
      <c r="AB86" s="1495"/>
      <c r="AC86" s="1495"/>
      <c r="AD86" s="1495"/>
      <c r="AE86" s="1495"/>
      <c r="AF86" s="1496"/>
      <c r="AG86" s="262"/>
      <c r="AL86" s="638"/>
    </row>
    <row r="87" spans="1:38" s="227" customFormat="1" ht="15" customHeight="1" x14ac:dyDescent="0.25">
      <c r="A87" s="2848">
        <v>746</v>
      </c>
      <c r="B87" s="2849"/>
      <c r="C87" s="2849"/>
      <c r="D87" s="2850"/>
      <c r="E87" s="1494" t="s">
        <v>3600</v>
      </c>
      <c r="F87" s="1495"/>
      <c r="G87" s="1495"/>
      <c r="H87" s="1495"/>
      <c r="I87" s="1495"/>
      <c r="J87" s="1495"/>
      <c r="K87" s="1495"/>
      <c r="L87" s="1495"/>
      <c r="M87" s="1495"/>
      <c r="N87" s="1495"/>
      <c r="O87" s="1495"/>
      <c r="P87" s="1496"/>
      <c r="Q87" s="2861">
        <v>746</v>
      </c>
      <c r="R87" s="2862"/>
      <c r="S87" s="2862"/>
      <c r="T87" s="2863"/>
      <c r="U87" s="1683" t="s">
        <v>6617</v>
      </c>
      <c r="V87" s="1685"/>
      <c r="W87" s="1494"/>
      <c r="X87" s="1495"/>
      <c r="Y87" s="1495"/>
      <c r="Z87" s="1495"/>
      <c r="AA87" s="1495"/>
      <c r="AB87" s="1495"/>
      <c r="AC87" s="1495"/>
      <c r="AD87" s="1495"/>
      <c r="AE87" s="1495"/>
      <c r="AF87" s="1496"/>
      <c r="AG87" s="262"/>
      <c r="AL87" s="638"/>
    </row>
    <row r="88" spans="1:38" s="227" customFormat="1" x14ac:dyDescent="0.25">
      <c r="A88" s="2848" t="s">
        <v>6683</v>
      </c>
      <c r="B88" s="2849"/>
      <c r="C88" s="2849"/>
      <c r="D88" s="2850"/>
      <c r="E88" s="1494" t="s">
        <v>6618</v>
      </c>
      <c r="F88" s="1495"/>
      <c r="G88" s="1495"/>
      <c r="H88" s="1495"/>
      <c r="I88" s="1495"/>
      <c r="J88" s="1495"/>
      <c r="K88" s="1495"/>
      <c r="L88" s="1495"/>
      <c r="M88" s="1495"/>
      <c r="N88" s="1495"/>
      <c r="O88" s="1495"/>
      <c r="P88" s="1496"/>
      <c r="Q88" s="1725" t="s">
        <v>4410</v>
      </c>
      <c r="R88" s="1726"/>
      <c r="S88" s="1726"/>
      <c r="T88" s="1727"/>
      <c r="U88" s="1696" t="s">
        <v>28</v>
      </c>
      <c r="V88" s="2860"/>
      <c r="W88" s="1494" t="s">
        <v>6684</v>
      </c>
      <c r="X88" s="1495"/>
      <c r="Y88" s="1495"/>
      <c r="Z88" s="1495"/>
      <c r="AA88" s="1495"/>
      <c r="AB88" s="1495"/>
      <c r="AC88" s="1495"/>
      <c r="AD88" s="1495"/>
      <c r="AE88" s="1495"/>
      <c r="AF88" s="1496"/>
      <c r="AG88" s="262"/>
      <c r="AL88" s="638"/>
    </row>
    <row r="89" spans="1:38" s="227" customFormat="1" ht="15" customHeight="1" x14ac:dyDescent="0.25">
      <c r="A89" s="2848" t="s">
        <v>6685</v>
      </c>
      <c r="B89" s="2849"/>
      <c r="C89" s="2849"/>
      <c r="D89" s="2850"/>
      <c r="E89" s="1494" t="s">
        <v>6619</v>
      </c>
      <c r="F89" s="1495"/>
      <c r="G89" s="1495"/>
      <c r="H89" s="1495"/>
      <c r="I89" s="1495"/>
      <c r="J89" s="1495"/>
      <c r="K89" s="1495"/>
      <c r="L89" s="1495"/>
      <c r="M89" s="1495"/>
      <c r="N89" s="1495"/>
      <c r="O89" s="1495"/>
      <c r="P89" s="1496"/>
      <c r="Q89" s="1725" t="s">
        <v>4410</v>
      </c>
      <c r="R89" s="1726"/>
      <c r="S89" s="1726"/>
      <c r="T89" s="1727"/>
      <c r="U89" s="1696" t="s">
        <v>28</v>
      </c>
      <c r="V89" s="2860"/>
      <c r="W89" s="1494" t="s">
        <v>6684</v>
      </c>
      <c r="X89" s="1495"/>
      <c r="Y89" s="1495"/>
      <c r="Z89" s="1495"/>
      <c r="AA89" s="1495"/>
      <c r="AB89" s="1495"/>
      <c r="AC89" s="1495"/>
      <c r="AD89" s="1495"/>
      <c r="AE89" s="1495"/>
      <c r="AF89" s="1496"/>
      <c r="AG89" s="262"/>
      <c r="AL89" s="638"/>
    </row>
    <row r="90" spans="1:38" s="227" customFormat="1" x14ac:dyDescent="0.25">
      <c r="A90" s="2848" t="s">
        <v>6686</v>
      </c>
      <c r="B90" s="2849"/>
      <c r="C90" s="2849"/>
      <c r="D90" s="2850"/>
      <c r="E90" s="1494" t="s">
        <v>6620</v>
      </c>
      <c r="F90" s="1495"/>
      <c r="G90" s="1495"/>
      <c r="H90" s="1495"/>
      <c r="I90" s="1495"/>
      <c r="J90" s="1495"/>
      <c r="K90" s="1495"/>
      <c r="L90" s="1495"/>
      <c r="M90" s="1495"/>
      <c r="N90" s="1495"/>
      <c r="O90" s="1495"/>
      <c r="P90" s="1496"/>
      <c r="Q90" s="1725" t="s">
        <v>6621</v>
      </c>
      <c r="R90" s="1726"/>
      <c r="S90" s="1726"/>
      <c r="T90" s="1727"/>
      <c r="U90" s="1683" t="s">
        <v>291</v>
      </c>
      <c r="V90" s="1685"/>
      <c r="W90" s="1494"/>
      <c r="X90" s="1495"/>
      <c r="Y90" s="1495"/>
      <c r="Z90" s="1495"/>
      <c r="AA90" s="1495"/>
      <c r="AB90" s="1495"/>
      <c r="AC90" s="1495"/>
      <c r="AD90" s="1495"/>
      <c r="AE90" s="1495"/>
      <c r="AF90" s="1496"/>
      <c r="AG90" s="262"/>
      <c r="AL90" s="638"/>
    </row>
    <row r="91" spans="1:38" s="227" customFormat="1" x14ac:dyDescent="0.25">
      <c r="A91" s="2848" t="s">
        <v>6687</v>
      </c>
      <c r="B91" s="2849"/>
      <c r="C91" s="2849"/>
      <c r="D91" s="2850"/>
      <c r="E91" s="1494" t="s">
        <v>6622</v>
      </c>
      <c r="F91" s="1495"/>
      <c r="G91" s="1495"/>
      <c r="H91" s="1495"/>
      <c r="I91" s="1495"/>
      <c r="J91" s="1495"/>
      <c r="K91" s="1495"/>
      <c r="L91" s="1495"/>
      <c r="M91" s="1495"/>
      <c r="N91" s="1495"/>
      <c r="O91" s="1495"/>
      <c r="P91" s="1496"/>
      <c r="Q91" s="1725" t="s">
        <v>6623</v>
      </c>
      <c r="R91" s="1726"/>
      <c r="S91" s="1726"/>
      <c r="T91" s="1727"/>
      <c r="U91" s="1683" t="s">
        <v>291</v>
      </c>
      <c r="V91" s="1685"/>
      <c r="W91" s="1494"/>
      <c r="X91" s="1495"/>
      <c r="Y91" s="1495"/>
      <c r="Z91" s="1495"/>
      <c r="AA91" s="1495"/>
      <c r="AB91" s="1495"/>
      <c r="AC91" s="1495"/>
      <c r="AD91" s="1495"/>
      <c r="AE91" s="1495"/>
      <c r="AF91" s="1496"/>
      <c r="AG91" s="262"/>
      <c r="AL91" s="638"/>
    </row>
    <row r="92" spans="1:38" s="227" customFormat="1" x14ac:dyDescent="0.25">
      <c r="A92" s="2848" t="s">
        <v>243</v>
      </c>
      <c r="B92" s="2849"/>
      <c r="C92" s="2849"/>
      <c r="D92" s="2850"/>
      <c r="E92" s="1494" t="s">
        <v>6624</v>
      </c>
      <c r="F92" s="1495"/>
      <c r="G92" s="1495"/>
      <c r="H92" s="1495"/>
      <c r="I92" s="1495"/>
      <c r="J92" s="1495"/>
      <c r="K92" s="1495"/>
      <c r="L92" s="1495"/>
      <c r="M92" s="1495"/>
      <c r="N92" s="1495"/>
      <c r="O92" s="1495"/>
      <c r="P92" s="1496"/>
      <c r="Q92" s="1725" t="s">
        <v>4975</v>
      </c>
      <c r="R92" s="1726"/>
      <c r="S92" s="1726"/>
      <c r="T92" s="1727"/>
      <c r="U92" s="1696" t="s">
        <v>28</v>
      </c>
      <c r="V92" s="2860"/>
      <c r="W92" s="1494" t="s">
        <v>6684</v>
      </c>
      <c r="X92" s="1495"/>
      <c r="Y92" s="1495"/>
      <c r="Z92" s="1495"/>
      <c r="AA92" s="1495"/>
      <c r="AB92" s="1495"/>
      <c r="AC92" s="1495"/>
      <c r="AD92" s="1495"/>
      <c r="AE92" s="1495"/>
      <c r="AF92" s="1496"/>
      <c r="AG92" s="262"/>
      <c r="AL92" s="638"/>
    </row>
    <row r="93" spans="1:38" s="227" customFormat="1" x14ac:dyDescent="0.25">
      <c r="A93" s="2848" t="s">
        <v>29</v>
      </c>
      <c r="B93" s="2849"/>
      <c r="C93" s="2849"/>
      <c r="D93" s="2850"/>
      <c r="E93" s="1494" t="s">
        <v>104</v>
      </c>
      <c r="F93" s="1495"/>
      <c r="G93" s="1495"/>
      <c r="H93" s="1495"/>
      <c r="I93" s="1495"/>
      <c r="J93" s="1495"/>
      <c r="K93" s="1495"/>
      <c r="L93" s="1495"/>
      <c r="M93" s="1495"/>
      <c r="N93" s="1495"/>
      <c r="O93" s="1495"/>
      <c r="P93" s="1496"/>
      <c r="Q93" s="1725" t="s">
        <v>4978</v>
      </c>
      <c r="R93" s="1726"/>
      <c r="S93" s="1726"/>
      <c r="T93" s="1727"/>
      <c r="U93" s="1696" t="s">
        <v>28</v>
      </c>
      <c r="V93" s="2860"/>
      <c r="W93" s="1494" t="s">
        <v>6684</v>
      </c>
      <c r="X93" s="1495"/>
      <c r="Y93" s="1495"/>
      <c r="Z93" s="1495"/>
      <c r="AA93" s="1495"/>
      <c r="AB93" s="1495"/>
      <c r="AC93" s="1495"/>
      <c r="AD93" s="1495"/>
      <c r="AE93" s="1495"/>
      <c r="AF93" s="1496"/>
      <c r="AG93" s="262"/>
      <c r="AL93" s="638"/>
    </row>
    <row r="94" spans="1:38" s="227" customFormat="1" x14ac:dyDescent="0.25">
      <c r="A94" s="2848" t="s">
        <v>32</v>
      </c>
      <c r="B94" s="2849"/>
      <c r="C94" s="2849"/>
      <c r="D94" s="2850"/>
      <c r="E94" s="1494" t="s">
        <v>114</v>
      </c>
      <c r="F94" s="1495"/>
      <c r="G94" s="1495"/>
      <c r="H94" s="1495"/>
      <c r="I94" s="1495"/>
      <c r="J94" s="1495"/>
      <c r="K94" s="1495"/>
      <c r="L94" s="1495"/>
      <c r="M94" s="1495"/>
      <c r="N94" s="1495"/>
      <c r="O94" s="1495"/>
      <c r="P94" s="1496"/>
      <c r="Q94" s="1725" t="s">
        <v>4978</v>
      </c>
      <c r="R94" s="1726"/>
      <c r="S94" s="1726"/>
      <c r="T94" s="1727"/>
      <c r="U94" s="1683" t="s">
        <v>45</v>
      </c>
      <c r="V94" s="1685"/>
      <c r="W94" s="1494" t="s">
        <v>6684</v>
      </c>
      <c r="X94" s="1495"/>
      <c r="Y94" s="1495"/>
      <c r="Z94" s="1495"/>
      <c r="AA94" s="1495"/>
      <c r="AB94" s="1495"/>
      <c r="AC94" s="1495"/>
      <c r="AD94" s="1495"/>
      <c r="AE94" s="1495"/>
      <c r="AF94" s="1496"/>
      <c r="AG94" s="262"/>
      <c r="AL94" s="638"/>
    </row>
    <row r="95" spans="1:38" s="227" customFormat="1" ht="29.25" customHeight="1" x14ac:dyDescent="0.25">
      <c r="A95" s="2848" t="s">
        <v>6688</v>
      </c>
      <c r="B95" s="2849"/>
      <c r="C95" s="2849"/>
      <c r="D95" s="2850"/>
      <c r="E95" s="1494" t="s">
        <v>6625</v>
      </c>
      <c r="F95" s="1495"/>
      <c r="G95" s="1495"/>
      <c r="H95" s="1495"/>
      <c r="I95" s="1495"/>
      <c r="J95" s="1495"/>
      <c r="K95" s="1495"/>
      <c r="L95" s="1495"/>
      <c r="M95" s="1495"/>
      <c r="N95" s="1495"/>
      <c r="O95" s="1495"/>
      <c r="P95" s="1496"/>
      <c r="Q95" s="2854" t="s">
        <v>6626</v>
      </c>
      <c r="R95" s="2855"/>
      <c r="S95" s="2855"/>
      <c r="T95" s="2856"/>
      <c r="U95" s="1683" t="s">
        <v>26</v>
      </c>
      <c r="V95" s="1685"/>
      <c r="W95" s="2857" t="s">
        <v>6627</v>
      </c>
      <c r="X95" s="2858"/>
      <c r="Y95" s="2858"/>
      <c r="Z95" s="2858"/>
      <c r="AA95" s="2858"/>
      <c r="AB95" s="2858"/>
      <c r="AC95" s="2858"/>
      <c r="AD95" s="2858"/>
      <c r="AE95" s="2858"/>
      <c r="AF95" s="2859"/>
      <c r="AG95" s="262"/>
      <c r="AL95" s="262"/>
    </row>
    <row r="96" spans="1:38" s="227" customFormat="1" ht="32.25" customHeight="1" x14ac:dyDescent="0.25">
      <c r="A96" s="2848" t="s">
        <v>6689</v>
      </c>
      <c r="B96" s="2849"/>
      <c r="C96" s="2849"/>
      <c r="D96" s="2850"/>
      <c r="E96" s="1494" t="s">
        <v>6628</v>
      </c>
      <c r="F96" s="1495"/>
      <c r="G96" s="1495"/>
      <c r="H96" s="1495"/>
      <c r="I96" s="1495"/>
      <c r="J96" s="1495"/>
      <c r="K96" s="1495"/>
      <c r="L96" s="1495"/>
      <c r="M96" s="1495"/>
      <c r="N96" s="1495"/>
      <c r="O96" s="1495"/>
      <c r="P96" s="1496"/>
      <c r="Q96" s="2854" t="s">
        <v>6626</v>
      </c>
      <c r="R96" s="2855"/>
      <c r="S96" s="2855"/>
      <c r="T96" s="2856"/>
      <c r="U96" s="1683" t="s">
        <v>44</v>
      </c>
      <c r="V96" s="1685"/>
      <c r="W96" s="2857" t="s">
        <v>6627</v>
      </c>
      <c r="X96" s="2858"/>
      <c r="Y96" s="2858"/>
      <c r="Z96" s="2858"/>
      <c r="AA96" s="2858"/>
      <c r="AB96" s="2858"/>
      <c r="AC96" s="2858"/>
      <c r="AD96" s="2858"/>
      <c r="AE96" s="2858"/>
      <c r="AF96" s="2859"/>
      <c r="AG96" s="262"/>
      <c r="AL96" s="262"/>
    </row>
    <row r="97" spans="1:48" s="227" customFormat="1" x14ac:dyDescent="0.25">
      <c r="A97" s="2848" t="s">
        <v>1828</v>
      </c>
      <c r="B97" s="2849"/>
      <c r="C97" s="2849"/>
      <c r="D97" s="2850"/>
      <c r="E97" s="1494" t="s">
        <v>6629</v>
      </c>
      <c r="F97" s="1495"/>
      <c r="G97" s="1495"/>
      <c r="H97" s="1495"/>
      <c r="I97" s="1495"/>
      <c r="J97" s="1495"/>
      <c r="K97" s="1495"/>
      <c r="L97" s="1495"/>
      <c r="M97" s="1495"/>
      <c r="N97" s="1495"/>
      <c r="O97" s="1495"/>
      <c r="P97" s="1496"/>
      <c r="Q97" s="2851">
        <f>'Master EUL'!X89</f>
        <v>5</v>
      </c>
      <c r="R97" s="2852"/>
      <c r="S97" s="2852"/>
      <c r="T97" s="2853"/>
      <c r="U97" s="1683" t="s">
        <v>46</v>
      </c>
      <c r="V97" s="1685"/>
      <c r="W97" s="1494" t="s">
        <v>6684</v>
      </c>
      <c r="X97" s="1495"/>
      <c r="Y97" s="1495"/>
      <c r="Z97" s="1495"/>
      <c r="AA97" s="1495"/>
      <c r="AB97" s="1495"/>
      <c r="AC97" s="1495"/>
      <c r="AD97" s="1495"/>
      <c r="AE97" s="1495"/>
      <c r="AF97" s="1496"/>
      <c r="AG97" s="262"/>
      <c r="AL97" s="638"/>
    </row>
    <row r="98" spans="1:48" s="227" customFormat="1" x14ac:dyDescent="0.25">
      <c r="A98" s="2848" t="s">
        <v>2724</v>
      </c>
      <c r="B98" s="2849"/>
      <c r="C98" s="2849"/>
      <c r="D98" s="2850"/>
      <c r="E98" s="1680" t="s">
        <v>2217</v>
      </c>
      <c r="F98" s="1681"/>
      <c r="G98" s="1681"/>
      <c r="H98" s="1681"/>
      <c r="I98" s="1681"/>
      <c r="J98" s="1681"/>
      <c r="K98" s="1681"/>
      <c r="L98" s="1681"/>
      <c r="M98" s="1681"/>
      <c r="N98" s="1681"/>
      <c r="O98" s="1681"/>
      <c r="P98" s="1682"/>
      <c r="Q98" s="2851">
        <f>'Master EUL'!X88</f>
        <v>15</v>
      </c>
      <c r="R98" s="2852"/>
      <c r="S98" s="2852"/>
      <c r="T98" s="2853"/>
      <c r="U98" s="1683" t="s">
        <v>46</v>
      </c>
      <c r="V98" s="1685"/>
      <c r="W98" s="1494" t="s">
        <v>6684</v>
      </c>
      <c r="X98" s="1495"/>
      <c r="Y98" s="1495"/>
      <c r="Z98" s="1495"/>
      <c r="AA98" s="1495"/>
      <c r="AB98" s="1495"/>
      <c r="AC98" s="1495"/>
      <c r="AD98" s="1495"/>
      <c r="AE98" s="1495"/>
      <c r="AF98" s="1496"/>
      <c r="AG98" s="262"/>
      <c r="AL98" s="638"/>
    </row>
    <row r="99" spans="1:48" s="227" customFormat="1" x14ac:dyDescent="0.25">
      <c r="A99" s="969" t="s">
        <v>6630</v>
      </c>
      <c r="B99" s="632"/>
      <c r="C99" s="632"/>
      <c r="D99" s="632"/>
      <c r="E99" s="629"/>
      <c r="F99" s="629"/>
      <c r="G99" s="629"/>
      <c r="H99" s="629"/>
      <c r="I99" s="629"/>
      <c r="J99" s="629"/>
      <c r="K99" s="629"/>
      <c r="L99" s="629"/>
      <c r="M99" s="629"/>
      <c r="N99" s="629"/>
      <c r="O99" s="629"/>
      <c r="P99" s="629"/>
      <c r="Q99" s="970"/>
      <c r="R99" s="970"/>
      <c r="S99" s="970"/>
      <c r="T99" s="970"/>
      <c r="U99" s="632"/>
      <c r="V99" s="632"/>
      <c r="W99" s="630"/>
      <c r="X99" s="630"/>
      <c r="Y99" s="630"/>
      <c r="Z99" s="630"/>
      <c r="AA99" s="630"/>
      <c r="AB99" s="630"/>
      <c r="AC99" s="630"/>
      <c r="AD99" s="630"/>
      <c r="AE99" s="630"/>
      <c r="AF99" s="630"/>
      <c r="AG99" s="262"/>
      <c r="AL99" s="638"/>
    </row>
    <row r="100" spans="1:48" s="227" customFormat="1" x14ac:dyDescent="0.25">
      <c r="A100" s="1290" t="s">
        <v>6631</v>
      </c>
      <c r="B100" s="1290"/>
      <c r="C100" s="1290"/>
      <c r="D100" s="1290"/>
      <c r="E100" s="1290"/>
      <c r="F100" s="1290"/>
      <c r="G100" s="1290"/>
      <c r="H100" s="1290"/>
      <c r="I100" s="1290"/>
      <c r="J100" s="1290"/>
      <c r="K100" s="1290"/>
      <c r="L100" s="1290"/>
      <c r="M100" s="1290"/>
      <c r="N100" s="1290"/>
      <c r="O100" s="1290"/>
      <c r="P100" s="1290"/>
      <c r="Q100" s="1290"/>
      <c r="R100" s="1290"/>
      <c r="S100" s="1290"/>
      <c r="T100" s="1290"/>
      <c r="U100" s="1290"/>
      <c r="V100" s="1290"/>
      <c r="W100" s="1290"/>
      <c r="X100" s="1290"/>
      <c r="Y100" s="1290"/>
      <c r="Z100" s="1290"/>
      <c r="AA100" s="1290"/>
      <c r="AB100" s="1290"/>
      <c r="AC100" s="1290"/>
      <c r="AD100" s="1290"/>
      <c r="AE100" s="1290"/>
      <c r="AF100" s="1290"/>
      <c r="AG100" s="262"/>
      <c r="AL100" s="638"/>
    </row>
    <row r="101" spans="1:48" s="227" customFormat="1" x14ac:dyDescent="0.25">
      <c r="A101" s="262"/>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F101" s="262"/>
      <c r="AG101" s="262"/>
      <c r="AL101" s="638"/>
    </row>
    <row r="102" spans="1:48" s="227" customFormat="1" x14ac:dyDescent="0.25">
      <c r="A102" s="190" t="s">
        <v>6632</v>
      </c>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62"/>
      <c r="AE102" s="262"/>
      <c r="AF102" s="262"/>
      <c r="AG102" s="262"/>
      <c r="AL102" s="638"/>
    </row>
    <row r="103" spans="1:48" s="227" customFormat="1" ht="30" customHeight="1" x14ac:dyDescent="0.25">
      <c r="A103" s="1439" t="s">
        <v>4429</v>
      </c>
      <c r="B103" s="1440"/>
      <c r="C103" s="1440"/>
      <c r="D103" s="1441"/>
      <c r="E103" s="1439" t="s">
        <v>6633</v>
      </c>
      <c r="F103" s="1440"/>
      <c r="G103" s="1440"/>
      <c r="H103" s="1440"/>
      <c r="I103" s="1440"/>
      <c r="J103" s="1440"/>
      <c r="K103" s="1440"/>
      <c r="L103" s="1440"/>
      <c r="M103" s="1441"/>
      <c r="N103" s="262"/>
      <c r="O103" s="262"/>
      <c r="P103" s="262"/>
      <c r="Q103" s="262"/>
      <c r="R103" s="262"/>
      <c r="S103" s="262"/>
      <c r="T103" s="262"/>
      <c r="U103" s="262"/>
      <c r="V103" s="262"/>
      <c r="W103" s="262"/>
      <c r="X103" s="262"/>
      <c r="Y103" s="262"/>
      <c r="Z103" s="262"/>
      <c r="AA103" s="262"/>
      <c r="AB103" s="262"/>
      <c r="AC103" s="262"/>
      <c r="AD103" s="262"/>
      <c r="AE103" s="262"/>
      <c r="AF103" s="262"/>
      <c r="AG103" s="262"/>
      <c r="AH103" s="262"/>
      <c r="AI103" s="262"/>
      <c r="AJ103" s="262"/>
      <c r="AO103" s="638"/>
    </row>
    <row r="104" spans="1:48" s="227" customFormat="1" x14ac:dyDescent="0.25">
      <c r="A104" s="1816" t="s">
        <v>4435</v>
      </c>
      <c r="B104" s="1817"/>
      <c r="C104" s="1817"/>
      <c r="D104" s="1818"/>
      <c r="E104" s="2846">
        <f>(1/47)*$Q$87</f>
        <v>15.872340425531915</v>
      </c>
      <c r="F104" s="1718"/>
      <c r="G104" s="1718"/>
      <c r="H104" s="1718"/>
      <c r="I104" s="1718"/>
      <c r="J104" s="1718"/>
      <c r="K104" s="1718"/>
      <c r="L104" s="1718"/>
      <c r="M104" s="1719"/>
      <c r="N104" s="262"/>
      <c r="O104" s="262"/>
      <c r="P104" s="262"/>
      <c r="Q104" s="262"/>
      <c r="R104" s="262"/>
      <c r="S104" s="262"/>
      <c r="T104" s="262"/>
      <c r="U104" s="262"/>
      <c r="V104" s="262"/>
      <c r="W104" s="262"/>
      <c r="X104" s="262"/>
      <c r="Y104" s="262"/>
      <c r="Z104" s="262"/>
      <c r="AA104" s="262"/>
      <c r="AB104" s="262"/>
      <c r="AC104" s="262"/>
      <c r="AD104" s="262"/>
      <c r="AE104" s="262"/>
      <c r="AF104" s="262"/>
      <c r="AG104" s="262"/>
      <c r="AH104" s="262"/>
      <c r="AI104" s="262"/>
      <c r="AJ104" s="262"/>
      <c r="AO104" s="638"/>
    </row>
    <row r="105" spans="1:48" s="227" customFormat="1" x14ac:dyDescent="0.25">
      <c r="A105" s="1816" t="s">
        <v>4436</v>
      </c>
      <c r="B105" s="1817"/>
      <c r="C105" s="1817"/>
      <c r="D105" s="1818"/>
      <c r="E105" s="2846">
        <f>(1/25)*$Q$87</f>
        <v>29.84</v>
      </c>
      <c r="F105" s="1718"/>
      <c r="G105" s="1718"/>
      <c r="H105" s="1718"/>
      <c r="I105" s="1718"/>
      <c r="J105" s="1718"/>
      <c r="K105" s="1718"/>
      <c r="L105" s="1718"/>
      <c r="M105" s="1719"/>
      <c r="N105" s="262"/>
      <c r="O105" s="262"/>
      <c r="P105" s="262"/>
      <c r="Q105" s="262"/>
      <c r="R105" s="262"/>
      <c r="S105" s="262"/>
      <c r="T105" s="262"/>
      <c r="U105" s="262"/>
      <c r="V105" s="262"/>
      <c r="W105" s="262"/>
      <c r="X105" s="262"/>
      <c r="Y105" s="262"/>
      <c r="Z105" s="262"/>
      <c r="AA105" s="262"/>
      <c r="AB105" s="262"/>
      <c r="AC105" s="262"/>
      <c r="AD105" s="262"/>
      <c r="AE105" s="262"/>
      <c r="AF105" s="262"/>
      <c r="AG105" s="262"/>
      <c r="AH105" s="262"/>
      <c r="AI105" s="262"/>
      <c r="AJ105" s="262"/>
      <c r="AO105" s="638"/>
    </row>
    <row r="106" spans="1:48" s="227" customFormat="1" x14ac:dyDescent="0.25">
      <c r="A106" s="1816" t="s">
        <v>4437</v>
      </c>
      <c r="B106" s="1817"/>
      <c r="C106" s="1817"/>
      <c r="D106" s="1818"/>
      <c r="E106" s="2846">
        <f>(1/20)*$Q$87</f>
        <v>37.300000000000004</v>
      </c>
      <c r="F106" s="1718"/>
      <c r="G106" s="1718"/>
      <c r="H106" s="1718"/>
      <c r="I106" s="1718"/>
      <c r="J106" s="1718"/>
      <c r="K106" s="1718"/>
      <c r="L106" s="1718"/>
      <c r="M106" s="1719"/>
      <c r="N106" s="262"/>
      <c r="O106" s="262"/>
      <c r="P106" s="262"/>
      <c r="Q106" s="262"/>
      <c r="R106" s="262"/>
      <c r="S106" s="262"/>
      <c r="T106" s="262"/>
      <c r="U106" s="262"/>
      <c r="V106" s="262"/>
      <c r="W106" s="262"/>
      <c r="X106" s="262"/>
      <c r="Y106" s="262"/>
      <c r="Z106" s="262"/>
      <c r="AA106" s="262"/>
      <c r="AB106" s="262"/>
      <c r="AC106" s="262"/>
      <c r="AD106" s="262"/>
      <c r="AE106" s="262"/>
      <c r="AF106" s="262"/>
      <c r="AG106" s="262"/>
      <c r="AH106" s="262"/>
      <c r="AI106" s="262"/>
      <c r="AJ106" s="262"/>
      <c r="AO106" s="638"/>
    </row>
    <row r="107" spans="1:48" s="227" customFormat="1" x14ac:dyDescent="0.25">
      <c r="A107" s="1816" t="s">
        <v>4438</v>
      </c>
      <c r="B107" s="1817"/>
      <c r="C107" s="1817"/>
      <c r="D107" s="1818"/>
      <c r="E107" s="2846">
        <f>(1/15)*$Q$87</f>
        <v>49.733333333333334</v>
      </c>
      <c r="F107" s="1718"/>
      <c r="G107" s="1718"/>
      <c r="H107" s="1718"/>
      <c r="I107" s="1718"/>
      <c r="J107" s="1718"/>
      <c r="K107" s="1718"/>
      <c r="L107" s="1718"/>
      <c r="M107" s="1719"/>
      <c r="N107" s="262"/>
      <c r="O107" s="262"/>
      <c r="P107" s="262"/>
      <c r="Q107" s="262"/>
      <c r="R107" s="262"/>
      <c r="S107" s="262"/>
      <c r="T107" s="262"/>
      <c r="U107" s="262"/>
      <c r="V107" s="262"/>
      <c r="W107" s="262"/>
      <c r="X107" s="262"/>
      <c r="Y107" s="262"/>
      <c r="Z107" s="262"/>
      <c r="AA107" s="262"/>
      <c r="AB107" s="262"/>
      <c r="AC107" s="262"/>
      <c r="AD107" s="262"/>
      <c r="AE107" s="262"/>
      <c r="AF107" s="262"/>
      <c r="AG107" s="262"/>
      <c r="AH107" s="262"/>
      <c r="AI107" s="262"/>
      <c r="AJ107" s="262"/>
      <c r="AO107" s="638"/>
    </row>
    <row r="108" spans="1:48" s="227" customFormat="1" x14ac:dyDescent="0.25">
      <c r="A108" s="1816" t="s">
        <v>4439</v>
      </c>
      <c r="B108" s="1817"/>
      <c r="C108" s="1817"/>
      <c r="D108" s="1818"/>
      <c r="E108" s="2846">
        <f>(1/8)*$Q$87</f>
        <v>93.25</v>
      </c>
      <c r="F108" s="1718"/>
      <c r="G108" s="1718"/>
      <c r="H108" s="1718"/>
      <c r="I108" s="1718"/>
      <c r="J108" s="1718"/>
      <c r="K108" s="1718"/>
      <c r="L108" s="1718"/>
      <c r="M108" s="1719"/>
      <c r="N108" s="262"/>
      <c r="O108" s="262"/>
      <c r="P108" s="262"/>
      <c r="Q108" s="262"/>
      <c r="R108" s="262"/>
      <c r="S108" s="262"/>
      <c r="T108" s="262"/>
      <c r="U108" s="262"/>
      <c r="V108" s="262"/>
      <c r="W108" s="262"/>
      <c r="X108" s="262"/>
      <c r="Y108" s="262"/>
      <c r="Z108" s="262"/>
      <c r="AA108" s="262"/>
      <c r="AB108" s="262"/>
      <c r="AC108" s="262"/>
      <c r="AD108" s="262"/>
      <c r="AE108" s="262"/>
      <c r="AF108" s="262"/>
      <c r="AG108" s="262"/>
      <c r="AH108" s="262"/>
      <c r="AI108" s="262"/>
      <c r="AJ108" s="262"/>
      <c r="AO108" s="638"/>
    </row>
    <row r="109" spans="1:48" s="227" customFormat="1" x14ac:dyDescent="0.25">
      <c r="A109" s="1816" t="s">
        <v>4440</v>
      </c>
      <c r="B109" s="1817"/>
      <c r="C109" s="1817"/>
      <c r="D109" s="1818"/>
      <c r="E109" s="2846">
        <f>(1/3)*$Q$87</f>
        <v>248.66666666666666</v>
      </c>
      <c r="F109" s="1718"/>
      <c r="G109" s="1718"/>
      <c r="H109" s="1718"/>
      <c r="I109" s="1718"/>
      <c r="J109" s="1718"/>
      <c r="K109" s="1718"/>
      <c r="L109" s="1718"/>
      <c r="M109" s="1719"/>
      <c r="N109" s="262"/>
      <c r="O109" s="262"/>
      <c r="P109" s="262"/>
      <c r="Q109" s="262"/>
      <c r="R109" s="262"/>
      <c r="S109" s="262"/>
      <c r="T109" s="262"/>
      <c r="U109" s="262"/>
      <c r="V109" s="262"/>
      <c r="W109" s="262"/>
      <c r="X109" s="262"/>
      <c r="Y109" s="262"/>
      <c r="Z109" s="262"/>
      <c r="AA109" s="262"/>
      <c r="AB109" s="262"/>
      <c r="AC109" s="262"/>
      <c r="AD109" s="262"/>
      <c r="AE109" s="262"/>
      <c r="AF109" s="262"/>
      <c r="AG109" s="262"/>
      <c r="AH109" s="262"/>
      <c r="AI109" s="262"/>
      <c r="AJ109" s="262"/>
      <c r="AO109" s="638"/>
    </row>
    <row r="110" spans="1:48" s="227" customFormat="1" x14ac:dyDescent="0.25">
      <c r="A110" s="262"/>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62"/>
      <c r="AE110" s="262"/>
      <c r="AF110" s="262"/>
      <c r="AG110" s="262"/>
      <c r="AL110" s="638"/>
    </row>
    <row r="111" spans="1:48" s="227" customFormat="1" x14ac:dyDescent="0.25">
      <c r="A111" s="262"/>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262"/>
      <c r="AF111" s="262"/>
      <c r="AG111" s="262"/>
      <c r="AL111" s="638"/>
    </row>
    <row r="112" spans="1:48" s="227" customFormat="1" x14ac:dyDescent="0.25">
      <c r="A112" s="190" t="s">
        <v>6634</v>
      </c>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62"/>
      <c r="AE112" s="262"/>
      <c r="AF112" s="262"/>
      <c r="AG112" s="262"/>
      <c r="AH112" s="262"/>
      <c r="AI112" s="262"/>
      <c r="AJ112" s="262"/>
      <c r="AK112" s="262"/>
      <c r="AL112" s="262"/>
      <c r="AM112" s="262"/>
      <c r="AN112" s="262"/>
      <c r="AO112" s="262"/>
      <c r="AP112" s="262"/>
      <c r="AQ112" s="262"/>
      <c r="AV112" s="638"/>
    </row>
    <row r="113" spans="1:50" s="227" customFormat="1" x14ac:dyDescent="0.25">
      <c r="A113" s="1313" t="s">
        <v>6635</v>
      </c>
      <c r="B113" s="1314"/>
      <c r="C113" s="1314"/>
      <c r="D113" s="1314"/>
      <c r="E113" s="1314"/>
      <c r="F113" s="1314"/>
      <c r="G113" s="1314"/>
      <c r="H113" s="1314"/>
      <c r="I113" s="1314"/>
      <c r="J113" s="1314"/>
      <c r="K113" s="1314"/>
      <c r="L113" s="1315"/>
      <c r="M113" s="2146" t="s">
        <v>6636</v>
      </c>
      <c r="N113" s="2147"/>
      <c r="O113" s="2147"/>
      <c r="P113" s="2147"/>
      <c r="Q113" s="2147"/>
      <c r="R113" s="2147"/>
      <c r="S113" s="2147"/>
      <c r="T113" s="2147"/>
      <c r="U113" s="2147"/>
      <c r="V113" s="2148"/>
      <c r="W113" s="971"/>
      <c r="X113" s="338"/>
      <c r="Y113" s="338"/>
      <c r="Z113" s="338"/>
      <c r="AA113" s="338"/>
      <c r="AB113" s="338"/>
      <c r="AC113" s="338"/>
      <c r="AD113" s="338"/>
      <c r="AE113" s="338"/>
      <c r="AF113" s="338"/>
      <c r="AG113" s="338"/>
      <c r="AH113" s="262"/>
      <c r="AM113" s="638"/>
    </row>
    <row r="114" spans="1:50" s="227" customFormat="1" x14ac:dyDescent="0.25">
      <c r="A114" s="1316"/>
      <c r="B114" s="1317"/>
      <c r="C114" s="1317"/>
      <c r="D114" s="1317"/>
      <c r="E114" s="1317"/>
      <c r="F114" s="1317"/>
      <c r="G114" s="1317"/>
      <c r="H114" s="1317"/>
      <c r="I114" s="1317"/>
      <c r="J114" s="1317"/>
      <c r="K114" s="1317"/>
      <c r="L114" s="1318"/>
      <c r="M114" s="2086" t="s">
        <v>4403</v>
      </c>
      <c r="N114" s="2847"/>
      <c r="O114" s="2847"/>
      <c r="P114" s="2847"/>
      <c r="Q114" s="2087"/>
      <c r="R114" s="2086" t="s">
        <v>4404</v>
      </c>
      <c r="S114" s="2847"/>
      <c r="T114" s="2847"/>
      <c r="U114" s="2847"/>
      <c r="V114" s="2087"/>
      <c r="W114" s="971"/>
      <c r="X114" s="338"/>
      <c r="Y114" s="338"/>
      <c r="Z114" s="338"/>
      <c r="AA114" s="338"/>
      <c r="AB114" s="338"/>
      <c r="AC114" s="338"/>
      <c r="AD114" s="338"/>
      <c r="AE114" s="338"/>
      <c r="AF114" s="338"/>
      <c r="AG114" s="338"/>
      <c r="AH114" s="262"/>
      <c r="AI114" s="262"/>
      <c r="AJ114" s="262"/>
      <c r="AK114" s="262"/>
      <c r="AL114" s="262"/>
      <c r="AM114" s="262"/>
      <c r="AN114" s="262"/>
      <c r="AO114" s="262"/>
      <c r="AP114" s="262"/>
      <c r="AQ114" s="262"/>
      <c r="AR114" s="262"/>
      <c r="AS114" s="262"/>
      <c r="AX114" s="638"/>
    </row>
    <row r="115" spans="1:50" s="227" customFormat="1" ht="17.25" x14ac:dyDescent="0.25">
      <c r="A115" s="1453" t="s">
        <v>6690</v>
      </c>
      <c r="B115" s="1454"/>
      <c r="C115" s="1454"/>
      <c r="D115" s="1454"/>
      <c r="E115" s="1454"/>
      <c r="F115" s="1454"/>
      <c r="G115" s="1454"/>
      <c r="H115" s="1454"/>
      <c r="I115" s="1454"/>
      <c r="J115" s="1454"/>
      <c r="K115" s="1454"/>
      <c r="L115" s="1455"/>
      <c r="M115" s="2843">
        <f>'C_Refrig_Evap Motor Control'!N46</f>
        <v>0.35</v>
      </c>
      <c r="N115" s="2844"/>
      <c r="O115" s="2844"/>
      <c r="P115" s="2844"/>
      <c r="Q115" s="2845"/>
      <c r="R115" s="2843">
        <f>'C_Refrig_Evap Motor Control'!Q46</f>
        <v>0.7</v>
      </c>
      <c r="S115" s="2844"/>
      <c r="T115" s="2844"/>
      <c r="U115" s="2844"/>
      <c r="V115" s="2845"/>
      <c r="W115" s="972"/>
      <c r="X115" s="262"/>
      <c r="Y115" s="262"/>
      <c r="Z115" s="262"/>
      <c r="AA115" s="262"/>
      <c r="AB115" s="262"/>
      <c r="AC115" s="262"/>
      <c r="AD115" s="262"/>
      <c r="AE115" s="262"/>
      <c r="AF115" s="262"/>
      <c r="AG115" s="262"/>
      <c r="AH115" s="262"/>
      <c r="AI115" s="262"/>
      <c r="AJ115" s="262"/>
      <c r="AK115" s="262"/>
      <c r="AL115" s="262"/>
      <c r="AN115" s="262"/>
      <c r="AO115" s="262"/>
      <c r="AP115" s="262"/>
      <c r="AQ115" s="262"/>
      <c r="AR115" s="262"/>
      <c r="AS115" s="262"/>
      <c r="AX115" s="638"/>
    </row>
    <row r="116" spans="1:50" s="227" customFormat="1" ht="17.25" x14ac:dyDescent="0.25">
      <c r="A116" s="1453" t="s">
        <v>6691</v>
      </c>
      <c r="B116" s="1454"/>
      <c r="C116" s="1454"/>
      <c r="D116" s="1454"/>
      <c r="E116" s="1454"/>
      <c r="F116" s="1454"/>
      <c r="G116" s="1454"/>
      <c r="H116" s="1454"/>
      <c r="I116" s="1454"/>
      <c r="J116" s="1454"/>
      <c r="K116" s="1454"/>
      <c r="L116" s="1455"/>
      <c r="M116" s="2843">
        <f>AVERAGE(20,34)/100</f>
        <v>0.27</v>
      </c>
      <c r="N116" s="2844"/>
      <c r="O116" s="2844"/>
      <c r="P116" s="2844"/>
      <c r="Q116" s="2845"/>
      <c r="R116" s="2843">
        <f>AVERAGE(66,76)/100</f>
        <v>0.71</v>
      </c>
      <c r="S116" s="2844"/>
      <c r="T116" s="2844"/>
      <c r="U116" s="2844"/>
      <c r="V116" s="2845"/>
      <c r="W116" s="972"/>
      <c r="X116" s="262"/>
      <c r="Y116" s="262"/>
      <c r="Z116" s="262"/>
      <c r="AA116" s="262"/>
      <c r="AB116" s="262"/>
      <c r="AC116" s="262"/>
      <c r="AD116" s="262"/>
      <c r="AE116" s="262"/>
      <c r="AF116" s="262"/>
      <c r="AG116" s="262"/>
      <c r="AH116" s="262"/>
      <c r="AI116" s="262"/>
      <c r="AJ116" s="262"/>
      <c r="AK116" s="262"/>
      <c r="AL116" s="262"/>
      <c r="AM116" s="262"/>
      <c r="AN116" s="262"/>
      <c r="AO116" s="262"/>
      <c r="AP116" s="262"/>
      <c r="AQ116" s="262"/>
      <c r="AR116" s="262"/>
      <c r="AS116" s="262"/>
      <c r="AX116" s="638"/>
    </row>
    <row r="117" spans="1:50" s="227" customFormat="1" ht="17.25" x14ac:dyDescent="0.25">
      <c r="A117" s="1453" t="s">
        <v>6692</v>
      </c>
      <c r="B117" s="1454"/>
      <c r="C117" s="1454"/>
      <c r="D117" s="1454"/>
      <c r="E117" s="1454"/>
      <c r="F117" s="1454"/>
      <c r="G117" s="1454"/>
      <c r="H117" s="1454"/>
      <c r="I117" s="1454"/>
      <c r="J117" s="1454"/>
      <c r="K117" s="1454"/>
      <c r="L117" s="1455"/>
      <c r="M117" s="2843">
        <f>AVERAGE(31,34)/100</f>
        <v>0.32500000000000001</v>
      </c>
      <c r="N117" s="2844"/>
      <c r="O117" s="2844"/>
      <c r="P117" s="2844"/>
      <c r="Q117" s="2845"/>
      <c r="R117" s="2843">
        <f>AVERAGE(69,77)/100</f>
        <v>0.73</v>
      </c>
      <c r="S117" s="2844"/>
      <c r="T117" s="2844"/>
      <c r="U117" s="2844"/>
      <c r="V117" s="2845"/>
      <c r="W117" s="972"/>
      <c r="X117" s="262"/>
      <c r="Y117" s="262"/>
      <c r="Z117" s="262"/>
      <c r="AA117" s="262"/>
      <c r="AB117" s="262"/>
      <c r="AC117" s="262"/>
      <c r="AD117" s="262"/>
      <c r="AE117" s="262"/>
      <c r="AF117" s="262"/>
      <c r="AG117" s="262"/>
      <c r="AH117" s="262"/>
      <c r="AI117" s="262"/>
      <c r="AJ117" s="262"/>
      <c r="AK117" s="262"/>
      <c r="AL117" s="262"/>
      <c r="AM117" s="262"/>
      <c r="AN117" s="262"/>
      <c r="AO117" s="262"/>
      <c r="AP117" s="262"/>
      <c r="AQ117" s="262"/>
      <c r="AR117" s="262"/>
      <c r="AS117" s="262"/>
      <c r="AX117" s="638"/>
    </row>
    <row r="118" spans="1:50" s="227" customFormat="1" ht="17.25" x14ac:dyDescent="0.25">
      <c r="A118" s="1453" t="s">
        <v>6693</v>
      </c>
      <c r="B118" s="1454"/>
      <c r="C118" s="1454"/>
      <c r="D118" s="1454"/>
      <c r="E118" s="1454"/>
      <c r="F118" s="1454"/>
      <c r="G118" s="1454"/>
      <c r="H118" s="1454"/>
      <c r="I118" s="1454"/>
      <c r="J118" s="1454"/>
      <c r="K118" s="1454"/>
      <c r="L118" s="1455"/>
      <c r="M118" s="2843">
        <f>AVERAGE(20,40)/100</f>
        <v>0.3</v>
      </c>
      <c r="N118" s="2844"/>
      <c r="O118" s="2844"/>
      <c r="P118" s="2844"/>
      <c r="Q118" s="2845"/>
      <c r="R118" s="2843">
        <v>0.7</v>
      </c>
      <c r="S118" s="2844"/>
      <c r="T118" s="2844"/>
      <c r="U118" s="2844"/>
      <c r="V118" s="2845"/>
      <c r="W118" s="972"/>
      <c r="X118" s="262"/>
      <c r="Y118" s="262"/>
      <c r="Z118" s="262"/>
      <c r="AA118" s="262"/>
      <c r="AB118" s="262"/>
      <c r="AC118" s="262"/>
      <c r="AD118" s="262"/>
      <c r="AE118" s="262"/>
      <c r="AF118" s="262"/>
      <c r="AG118" s="262"/>
      <c r="AH118" s="262"/>
      <c r="AI118" s="262"/>
      <c r="AJ118" s="262"/>
      <c r="AK118" s="262"/>
      <c r="AL118" s="262"/>
      <c r="AM118" s="262"/>
      <c r="AN118" s="262"/>
      <c r="AO118" s="262"/>
      <c r="AP118" s="262"/>
      <c r="AQ118" s="262"/>
      <c r="AR118" s="262"/>
      <c r="AS118" s="262"/>
      <c r="AX118" s="638"/>
    </row>
    <row r="119" spans="1:50" s="227" customFormat="1" x14ac:dyDescent="0.25">
      <c r="A119" s="947" t="s">
        <v>6630</v>
      </c>
      <c r="B119" s="638"/>
      <c r="C119" s="638"/>
      <c r="D119" s="638"/>
      <c r="E119" s="638"/>
      <c r="F119" s="638"/>
      <c r="G119" s="638"/>
      <c r="H119" s="638"/>
      <c r="I119" s="638"/>
      <c r="J119" s="638"/>
      <c r="K119" s="638"/>
      <c r="L119" s="638"/>
      <c r="M119" s="638"/>
      <c r="N119" s="638"/>
      <c r="O119" s="638"/>
      <c r="P119" s="638"/>
      <c r="Q119" s="638"/>
      <c r="R119" s="638"/>
      <c r="S119" s="638"/>
      <c r="T119" s="638"/>
      <c r="U119" s="638"/>
      <c r="V119" s="638"/>
      <c r="W119" s="638"/>
      <c r="X119" s="638"/>
      <c r="Y119" s="638"/>
      <c r="Z119" s="638"/>
      <c r="AA119" s="638"/>
      <c r="AB119" s="638"/>
      <c r="AC119" s="638"/>
      <c r="AD119" s="638"/>
      <c r="AE119" s="638"/>
      <c r="AF119" s="638"/>
      <c r="AG119" s="262"/>
      <c r="AH119" s="262"/>
      <c r="AI119" s="262"/>
      <c r="AJ119" s="262"/>
      <c r="AK119" s="262"/>
      <c r="AL119" s="262"/>
      <c r="AM119" s="262"/>
      <c r="AN119" s="262"/>
      <c r="AO119" s="262"/>
      <c r="AP119" s="262"/>
      <c r="AQ119" s="262"/>
      <c r="AV119" s="638"/>
    </row>
    <row r="120" spans="1:50" s="227" customFormat="1" ht="27.75" customHeight="1" x14ac:dyDescent="0.25">
      <c r="A120" s="1686" t="s">
        <v>6637</v>
      </c>
      <c r="B120" s="1686"/>
      <c r="C120" s="1686"/>
      <c r="D120" s="1686"/>
      <c r="E120" s="1686"/>
      <c r="F120" s="1686"/>
      <c r="G120" s="1686"/>
      <c r="H120" s="1686"/>
      <c r="I120" s="1686"/>
      <c r="J120" s="1686"/>
      <c r="K120" s="1686"/>
      <c r="L120" s="1686"/>
      <c r="M120" s="1686"/>
      <c r="N120" s="1686"/>
      <c r="O120" s="1686"/>
      <c r="P120" s="1686"/>
      <c r="Q120" s="1686"/>
      <c r="R120" s="1686"/>
      <c r="S120" s="1686"/>
      <c r="T120" s="1686"/>
      <c r="U120" s="1686"/>
      <c r="V120" s="1686"/>
      <c r="W120" s="1686"/>
      <c r="X120" s="1686"/>
      <c r="Y120" s="1686"/>
      <c r="Z120" s="1686"/>
      <c r="AA120" s="1686"/>
      <c r="AB120" s="1686"/>
      <c r="AC120" s="1686"/>
      <c r="AD120" s="1686"/>
      <c r="AE120" s="1686"/>
      <c r="AF120" s="1686"/>
      <c r="AG120" s="262"/>
      <c r="AL120" s="638"/>
    </row>
    <row r="121" spans="1:50" s="227" customFormat="1" ht="26.25" customHeight="1" x14ac:dyDescent="0.25">
      <c r="A121" s="1686" t="s">
        <v>6638</v>
      </c>
      <c r="B121" s="1686"/>
      <c r="C121" s="1686"/>
      <c r="D121" s="1686"/>
      <c r="E121" s="1686"/>
      <c r="F121" s="1686"/>
      <c r="G121" s="1686"/>
      <c r="H121" s="1686"/>
      <c r="I121" s="1686"/>
      <c r="J121" s="1686"/>
      <c r="K121" s="1686"/>
      <c r="L121" s="1686"/>
      <c r="M121" s="1686"/>
      <c r="N121" s="1686"/>
      <c r="O121" s="1686"/>
      <c r="P121" s="1686"/>
      <c r="Q121" s="1686"/>
      <c r="R121" s="1686"/>
      <c r="S121" s="1686"/>
      <c r="T121" s="1686"/>
      <c r="U121" s="1686"/>
      <c r="V121" s="1686"/>
      <c r="W121" s="1686"/>
      <c r="X121" s="1686"/>
      <c r="Y121" s="1686"/>
      <c r="Z121" s="1686"/>
      <c r="AA121" s="1686"/>
      <c r="AB121" s="1686"/>
      <c r="AC121" s="1686"/>
      <c r="AD121" s="1686"/>
      <c r="AE121" s="1686"/>
      <c r="AF121" s="1686"/>
      <c r="AG121" s="262"/>
      <c r="AL121" s="638"/>
      <c r="AN121" s="528"/>
      <c r="AO121" s="528"/>
    </row>
    <row r="122" spans="1:50" s="227" customFormat="1" ht="28.5" customHeight="1" x14ac:dyDescent="0.25">
      <c r="A122" s="1686" t="s">
        <v>6639</v>
      </c>
      <c r="B122" s="1686"/>
      <c r="C122" s="1686"/>
      <c r="D122" s="1686"/>
      <c r="E122" s="1686"/>
      <c r="F122" s="1686"/>
      <c r="G122" s="1686"/>
      <c r="H122" s="1686"/>
      <c r="I122" s="1686"/>
      <c r="J122" s="1686"/>
      <c r="K122" s="1686"/>
      <c r="L122" s="1686"/>
      <c r="M122" s="1686"/>
      <c r="N122" s="1686"/>
      <c r="O122" s="1686"/>
      <c r="P122" s="1686"/>
      <c r="Q122" s="1686"/>
      <c r="R122" s="1686"/>
      <c r="S122" s="1686"/>
      <c r="T122" s="1686"/>
      <c r="U122" s="1686"/>
      <c r="V122" s="1686"/>
      <c r="W122" s="1686"/>
      <c r="X122" s="1686"/>
      <c r="Y122" s="1686"/>
      <c r="Z122" s="1686"/>
      <c r="AA122" s="1686"/>
      <c r="AB122" s="1686"/>
      <c r="AC122" s="1686"/>
      <c r="AD122" s="1686"/>
      <c r="AE122" s="1686"/>
      <c r="AF122" s="1686"/>
      <c r="AG122" s="262"/>
      <c r="AL122" s="638"/>
    </row>
    <row r="123" spans="1:50" s="227" customFormat="1" ht="28.5" customHeight="1" x14ac:dyDescent="0.25">
      <c r="A123" s="1686" t="s">
        <v>6640</v>
      </c>
      <c r="B123" s="1686"/>
      <c r="C123" s="1686"/>
      <c r="D123" s="1686"/>
      <c r="E123" s="1686"/>
      <c r="F123" s="1686"/>
      <c r="G123" s="1686"/>
      <c r="H123" s="1686"/>
      <c r="I123" s="1686"/>
      <c r="J123" s="1686"/>
      <c r="K123" s="1686"/>
      <c r="L123" s="1686"/>
      <c r="M123" s="1686"/>
      <c r="N123" s="1686"/>
      <c r="O123" s="1686"/>
      <c r="P123" s="1686"/>
      <c r="Q123" s="1686"/>
      <c r="R123" s="1686"/>
      <c r="S123" s="1686"/>
      <c r="T123" s="1686"/>
      <c r="U123" s="1686"/>
      <c r="V123" s="1686"/>
      <c r="W123" s="1686"/>
      <c r="X123" s="1686"/>
      <c r="Y123" s="1686"/>
      <c r="Z123" s="1686"/>
      <c r="AA123" s="1686"/>
      <c r="AB123" s="1686"/>
      <c r="AC123" s="1686"/>
      <c r="AD123" s="1686"/>
      <c r="AE123" s="1686"/>
      <c r="AF123" s="1686"/>
      <c r="AG123" s="262"/>
      <c r="AL123" s="638"/>
    </row>
    <row r="124" spans="1:50" s="227" customFormat="1" x14ac:dyDescent="0.25">
      <c r="A124" s="870"/>
      <c r="B124" s="870"/>
      <c r="C124" s="870"/>
      <c r="D124" s="870"/>
      <c r="E124" s="870"/>
      <c r="F124" s="870"/>
      <c r="G124" s="870"/>
      <c r="H124" s="870"/>
      <c r="I124" s="870"/>
      <c r="J124" s="870"/>
      <c r="K124" s="870"/>
      <c r="L124" s="870"/>
      <c r="M124" s="870"/>
      <c r="N124" s="870"/>
      <c r="O124" s="870"/>
      <c r="P124" s="870"/>
      <c r="Q124" s="870"/>
      <c r="R124" s="870"/>
      <c r="S124" s="870"/>
      <c r="T124" s="870"/>
      <c r="U124" s="870"/>
      <c r="V124" s="870"/>
      <c r="W124" s="870"/>
      <c r="X124" s="870"/>
      <c r="Y124" s="870"/>
      <c r="Z124" s="870"/>
      <c r="AA124" s="870"/>
      <c r="AB124" s="870"/>
      <c r="AC124" s="870"/>
      <c r="AD124" s="870"/>
      <c r="AE124" s="870"/>
      <c r="AF124" s="870"/>
      <c r="AG124" s="262"/>
      <c r="AL124" s="638"/>
    </row>
    <row r="125" spans="1:50" s="227" customFormat="1" x14ac:dyDescent="0.25">
      <c r="A125" s="190" t="s">
        <v>6641</v>
      </c>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62"/>
      <c r="AE125" s="262"/>
      <c r="AF125" s="262"/>
      <c r="AG125" s="262"/>
      <c r="AL125" s="638"/>
    </row>
    <row r="126" spans="1:50" s="227" customFormat="1" x14ac:dyDescent="0.25">
      <c r="A126" s="2146" t="s">
        <v>6635</v>
      </c>
      <c r="B126" s="2147"/>
      <c r="C126" s="2147"/>
      <c r="D126" s="2147"/>
      <c r="E126" s="2147"/>
      <c r="F126" s="2147"/>
      <c r="G126" s="2147"/>
      <c r="H126" s="2147"/>
      <c r="I126" s="2147"/>
      <c r="J126" s="2147"/>
      <c r="K126" s="2147"/>
      <c r="L126" s="2148"/>
      <c r="M126" s="2146" t="s">
        <v>243</v>
      </c>
      <c r="N126" s="2147"/>
      <c r="O126" s="2147"/>
      <c r="P126" s="2147"/>
      <c r="Q126" s="2148"/>
      <c r="R126" s="971"/>
      <c r="S126" s="338"/>
      <c r="T126" s="338"/>
      <c r="U126" s="338"/>
      <c r="V126" s="338"/>
      <c r="W126" s="338"/>
      <c r="X126" s="338"/>
      <c r="Y126" s="338"/>
      <c r="Z126" s="338"/>
      <c r="AA126" s="338"/>
      <c r="AB126" s="338"/>
      <c r="AC126" s="338"/>
      <c r="AD126" s="338"/>
      <c r="AE126" s="338"/>
      <c r="AF126" s="338"/>
      <c r="AG126" s="262"/>
      <c r="AK126" s="528"/>
    </row>
    <row r="127" spans="1:50" s="227" customFormat="1" ht="17.25" customHeight="1" x14ac:dyDescent="0.25">
      <c r="A127" s="1453" t="s">
        <v>6694</v>
      </c>
      <c r="B127" s="1454"/>
      <c r="C127" s="1454"/>
      <c r="D127" s="1454"/>
      <c r="E127" s="1454"/>
      <c r="F127" s="1454"/>
      <c r="G127" s="1454"/>
      <c r="H127" s="1454"/>
      <c r="I127" s="1454"/>
      <c r="J127" s="1454"/>
      <c r="K127" s="1454"/>
      <c r="L127" s="1455"/>
      <c r="M127" s="2834">
        <f>(769000/3412)/99</f>
        <v>2.2765758404679857</v>
      </c>
      <c r="N127" s="2835"/>
      <c r="O127" s="2835"/>
      <c r="P127" s="2835"/>
      <c r="Q127" s="2836"/>
      <c r="R127" s="973"/>
      <c r="S127" s="697"/>
      <c r="T127" s="697"/>
      <c r="U127" s="697"/>
      <c r="V127" s="697"/>
      <c r="W127" s="262"/>
      <c r="X127" s="262"/>
      <c r="Y127" s="262"/>
      <c r="Z127" s="262"/>
      <c r="AA127" s="262"/>
      <c r="AB127" s="262"/>
      <c r="AC127" s="262"/>
      <c r="AD127" s="262"/>
      <c r="AE127" s="262"/>
      <c r="AF127" s="262"/>
      <c r="AG127" s="262"/>
    </row>
    <row r="128" spans="1:50" s="227" customFormat="1" ht="17.25" customHeight="1" x14ac:dyDescent="0.25">
      <c r="A128" s="1453" t="s">
        <v>6695</v>
      </c>
      <c r="B128" s="1454"/>
      <c r="C128" s="1454"/>
      <c r="D128" s="1454"/>
      <c r="E128" s="1454"/>
      <c r="F128" s="1454"/>
      <c r="G128" s="1454"/>
      <c r="H128" s="1454"/>
      <c r="I128" s="1454"/>
      <c r="J128" s="1454"/>
      <c r="K128" s="1454"/>
      <c r="L128" s="1455"/>
      <c r="M128" s="2834">
        <f>(308000/3412)/63</f>
        <v>1.4328513742347271</v>
      </c>
      <c r="N128" s="2835"/>
      <c r="O128" s="2835"/>
      <c r="P128" s="2835"/>
      <c r="Q128" s="2836"/>
      <c r="R128" s="973"/>
      <c r="S128" s="697"/>
      <c r="T128" s="697"/>
      <c r="U128" s="697"/>
      <c r="V128" s="697"/>
      <c r="W128" s="262"/>
      <c r="X128" s="262"/>
      <c r="Y128" s="262"/>
      <c r="Z128" s="262"/>
      <c r="AA128" s="262"/>
      <c r="AB128" s="262"/>
      <c r="AC128" s="262"/>
      <c r="AD128" s="262"/>
      <c r="AE128" s="262"/>
      <c r="AF128" s="262"/>
      <c r="AG128" s="262"/>
      <c r="AL128" s="638"/>
    </row>
    <row r="129" spans="1:50" s="227" customFormat="1" ht="17.25" x14ac:dyDescent="0.25">
      <c r="A129" s="1453" t="s">
        <v>6696</v>
      </c>
      <c r="B129" s="1454"/>
      <c r="C129" s="1454"/>
      <c r="D129" s="1454"/>
      <c r="E129" s="1454"/>
      <c r="F129" s="1454"/>
      <c r="G129" s="1454"/>
      <c r="H129" s="1454"/>
      <c r="I129" s="1454"/>
      <c r="J129" s="1454"/>
      <c r="K129" s="1454"/>
      <c r="L129" s="1455"/>
      <c r="M129" s="2834">
        <v>3.29</v>
      </c>
      <c r="N129" s="2835"/>
      <c r="O129" s="2835"/>
      <c r="P129" s="2835"/>
      <c r="Q129" s="2836"/>
      <c r="R129" s="973"/>
      <c r="S129" s="697"/>
      <c r="T129" s="697"/>
      <c r="U129" s="697"/>
      <c r="V129" s="697"/>
      <c r="W129" s="262"/>
      <c r="X129" s="262"/>
      <c r="Y129" s="262"/>
      <c r="Z129" s="262"/>
      <c r="AA129" s="262"/>
      <c r="AB129" s="262"/>
      <c r="AC129" s="262"/>
      <c r="AD129" s="262"/>
      <c r="AE129" s="262"/>
      <c r="AF129" s="262"/>
      <c r="AG129" s="262"/>
      <c r="AL129" s="638"/>
    </row>
    <row r="130" spans="1:50" s="227" customFormat="1" x14ac:dyDescent="0.25">
      <c r="A130" s="947" t="s">
        <v>6630</v>
      </c>
      <c r="B130" s="638"/>
      <c r="C130" s="638"/>
      <c r="D130" s="638"/>
      <c r="E130" s="638"/>
      <c r="F130" s="638"/>
      <c r="G130" s="638"/>
      <c r="H130" s="638"/>
      <c r="I130" s="638"/>
      <c r="J130" s="638"/>
      <c r="K130" s="638"/>
      <c r="L130" s="638"/>
      <c r="M130" s="638"/>
      <c r="N130" s="638"/>
      <c r="O130" s="638"/>
      <c r="P130" s="638"/>
      <c r="Q130" s="638"/>
      <c r="R130" s="638"/>
      <c r="S130" s="638"/>
      <c r="T130" s="638"/>
      <c r="U130" s="638"/>
      <c r="V130" s="638"/>
      <c r="W130" s="638"/>
      <c r="X130" s="638"/>
      <c r="Y130" s="638"/>
      <c r="Z130" s="638"/>
      <c r="AA130" s="638"/>
      <c r="AB130" s="638"/>
      <c r="AC130" s="638"/>
      <c r="AD130" s="638"/>
      <c r="AE130" s="638"/>
      <c r="AF130" s="638"/>
      <c r="AG130" s="262"/>
      <c r="AL130" s="638"/>
    </row>
    <row r="131" spans="1:50" s="227" customFormat="1" ht="41.25" customHeight="1" x14ac:dyDescent="0.25">
      <c r="A131" s="1686" t="s">
        <v>6642</v>
      </c>
      <c r="B131" s="1686"/>
      <c r="C131" s="1686"/>
      <c r="D131" s="1686"/>
      <c r="E131" s="1686"/>
      <c r="F131" s="1686"/>
      <c r="G131" s="1686"/>
      <c r="H131" s="1686"/>
      <c r="I131" s="1686"/>
      <c r="J131" s="1686"/>
      <c r="K131" s="1686"/>
      <c r="L131" s="1686"/>
      <c r="M131" s="1686"/>
      <c r="N131" s="1686"/>
      <c r="O131" s="1686"/>
      <c r="P131" s="1686"/>
      <c r="Q131" s="1686"/>
      <c r="R131" s="1686"/>
      <c r="S131" s="1686"/>
      <c r="T131" s="1686"/>
      <c r="U131" s="1686"/>
      <c r="V131" s="1686"/>
      <c r="W131" s="1686"/>
      <c r="X131" s="1686"/>
      <c r="Y131" s="1686"/>
      <c r="Z131" s="1686"/>
      <c r="AA131" s="1686"/>
      <c r="AB131" s="1686"/>
      <c r="AC131" s="1686"/>
      <c r="AD131" s="1686"/>
      <c r="AE131" s="1686"/>
      <c r="AF131" s="1686"/>
      <c r="AG131" s="262"/>
      <c r="AL131" s="638"/>
    </row>
    <row r="132" spans="1:50" s="227" customFormat="1" ht="37.5" customHeight="1" x14ac:dyDescent="0.25">
      <c r="A132" s="1686" t="s">
        <v>6643</v>
      </c>
      <c r="B132" s="1686"/>
      <c r="C132" s="1686"/>
      <c r="D132" s="1686"/>
      <c r="E132" s="1686"/>
      <c r="F132" s="1686"/>
      <c r="G132" s="1686"/>
      <c r="H132" s="1686"/>
      <c r="I132" s="1686"/>
      <c r="J132" s="1686"/>
      <c r="K132" s="1686"/>
      <c r="L132" s="1686"/>
      <c r="M132" s="1686"/>
      <c r="N132" s="1686"/>
      <c r="O132" s="1686"/>
      <c r="P132" s="1686"/>
      <c r="Q132" s="1686"/>
      <c r="R132" s="1686"/>
      <c r="S132" s="1686"/>
      <c r="T132" s="1686"/>
      <c r="U132" s="1686"/>
      <c r="V132" s="1686"/>
      <c r="W132" s="1686"/>
      <c r="X132" s="1686"/>
      <c r="Y132" s="1686"/>
      <c r="Z132" s="1686"/>
      <c r="AA132" s="1686"/>
      <c r="AB132" s="1686"/>
      <c r="AC132" s="1686"/>
      <c r="AD132" s="1686"/>
      <c r="AE132" s="1686"/>
      <c r="AF132" s="1686"/>
      <c r="AG132" s="262"/>
      <c r="AL132" s="638"/>
    </row>
    <row r="133" spans="1:50" s="227" customFormat="1" ht="38.25" customHeight="1" x14ac:dyDescent="0.25">
      <c r="A133" s="1686" t="s">
        <v>6644</v>
      </c>
      <c r="B133" s="1686"/>
      <c r="C133" s="1686"/>
      <c r="D133" s="1686"/>
      <c r="E133" s="1686"/>
      <c r="F133" s="1686"/>
      <c r="G133" s="1686"/>
      <c r="H133" s="1686"/>
      <c r="I133" s="1686"/>
      <c r="J133" s="1686"/>
      <c r="K133" s="1686"/>
      <c r="L133" s="1686"/>
      <c r="M133" s="1686"/>
      <c r="N133" s="1686"/>
      <c r="O133" s="1686"/>
      <c r="P133" s="1686"/>
      <c r="Q133" s="1686"/>
      <c r="R133" s="1686"/>
      <c r="S133" s="1686"/>
      <c r="T133" s="1686"/>
      <c r="U133" s="1686"/>
      <c r="V133" s="1686"/>
      <c r="W133" s="1686"/>
      <c r="X133" s="1686"/>
      <c r="Y133" s="1686"/>
      <c r="Z133" s="1686"/>
      <c r="AA133" s="1686"/>
      <c r="AB133" s="1686"/>
      <c r="AC133" s="1686"/>
      <c r="AD133" s="1686"/>
      <c r="AE133" s="1686"/>
      <c r="AF133" s="1686"/>
      <c r="AG133" s="262"/>
      <c r="AL133" s="638"/>
    </row>
    <row r="134" spans="1:50" s="227" customFormat="1" x14ac:dyDescent="0.25">
      <c r="A134" s="870"/>
      <c r="B134" s="870"/>
      <c r="C134" s="870"/>
      <c r="D134" s="870"/>
      <c r="E134" s="870"/>
      <c r="F134" s="870"/>
      <c r="G134" s="870"/>
      <c r="H134" s="870"/>
      <c r="I134" s="870"/>
      <c r="J134" s="870"/>
      <c r="K134" s="870"/>
      <c r="L134" s="870"/>
      <c r="M134" s="870"/>
      <c r="N134" s="870"/>
      <c r="O134" s="870"/>
      <c r="P134" s="870"/>
      <c r="Q134" s="870"/>
      <c r="R134" s="870"/>
      <c r="S134" s="870"/>
      <c r="T134" s="870"/>
      <c r="U134" s="870"/>
      <c r="V134" s="870"/>
      <c r="W134" s="870"/>
      <c r="X134" s="870"/>
      <c r="Y134" s="870"/>
      <c r="Z134" s="870"/>
      <c r="AA134" s="870"/>
      <c r="AB134" s="870"/>
      <c r="AC134" s="870"/>
      <c r="AD134" s="870"/>
      <c r="AE134" s="870"/>
      <c r="AF134" s="870"/>
      <c r="AG134" s="262"/>
      <c r="AL134" s="638"/>
    </row>
    <row r="135" spans="1:50" s="227" customFormat="1" x14ac:dyDescent="0.25">
      <c r="A135" s="190" t="s">
        <v>6645</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62"/>
      <c r="AE135" s="262"/>
      <c r="AF135" s="262"/>
      <c r="AG135" s="262"/>
    </row>
    <row r="136" spans="1:50" s="227" customFormat="1" ht="31.5" customHeight="1" x14ac:dyDescent="0.25">
      <c r="A136" s="1313" t="s">
        <v>6635</v>
      </c>
      <c r="B136" s="1314"/>
      <c r="C136" s="1314"/>
      <c r="D136" s="1314"/>
      <c r="E136" s="1314"/>
      <c r="F136" s="1314"/>
      <c r="G136" s="1314"/>
      <c r="H136" s="1314"/>
      <c r="I136" s="1314"/>
      <c r="J136" s="1314"/>
      <c r="K136" s="1314"/>
      <c r="L136" s="1315"/>
      <c r="M136" s="2837" t="s">
        <v>6646</v>
      </c>
      <c r="N136" s="2838"/>
      <c r="O136" s="2838"/>
      <c r="P136" s="2838"/>
      <c r="Q136" s="2838"/>
      <c r="R136" s="2839"/>
      <c r="S136" s="2837" t="s">
        <v>6647</v>
      </c>
      <c r="T136" s="2838"/>
      <c r="U136" s="2838"/>
      <c r="V136" s="2838"/>
      <c r="W136" s="2838"/>
      <c r="X136" s="2839"/>
      <c r="Y136" s="2837" t="s">
        <v>6648</v>
      </c>
      <c r="Z136" s="2838"/>
      <c r="AA136" s="2838"/>
      <c r="AB136" s="2838"/>
      <c r="AC136" s="2838"/>
      <c r="AD136" s="2839"/>
      <c r="AE136" s="974"/>
      <c r="AF136" s="974"/>
      <c r="AG136" s="338"/>
      <c r="AX136" s="638"/>
    </row>
    <row r="137" spans="1:50" s="227" customFormat="1" x14ac:dyDescent="0.25">
      <c r="A137" s="1316"/>
      <c r="B137" s="1317"/>
      <c r="C137" s="1317"/>
      <c r="D137" s="1317"/>
      <c r="E137" s="1317"/>
      <c r="F137" s="1317"/>
      <c r="G137" s="1317"/>
      <c r="H137" s="1317"/>
      <c r="I137" s="1317"/>
      <c r="J137" s="1317"/>
      <c r="K137" s="1317"/>
      <c r="L137" s="1318"/>
      <c r="M137" s="2840" t="s">
        <v>32</v>
      </c>
      <c r="N137" s="2841"/>
      <c r="O137" s="2842"/>
      <c r="P137" s="2840" t="s">
        <v>29</v>
      </c>
      <c r="Q137" s="2841"/>
      <c r="R137" s="2842"/>
      <c r="S137" s="2840" t="s">
        <v>32</v>
      </c>
      <c r="T137" s="2841"/>
      <c r="U137" s="2842"/>
      <c r="V137" s="2840" t="s">
        <v>29</v>
      </c>
      <c r="W137" s="2841"/>
      <c r="X137" s="2842"/>
      <c r="Y137" s="2840" t="s">
        <v>32</v>
      </c>
      <c r="Z137" s="2841"/>
      <c r="AA137" s="2842"/>
      <c r="AB137" s="2840" t="s">
        <v>29</v>
      </c>
      <c r="AC137" s="2841"/>
      <c r="AD137" s="2842"/>
      <c r="AE137" s="974"/>
      <c r="AF137" s="974"/>
      <c r="AG137" s="338"/>
      <c r="AX137" s="638"/>
    </row>
    <row r="138" spans="1:50" s="227" customFormat="1" x14ac:dyDescent="0.25">
      <c r="A138" s="1453" t="s">
        <v>6649</v>
      </c>
      <c r="B138" s="1454"/>
      <c r="C138" s="1454"/>
      <c r="D138" s="1454"/>
      <c r="E138" s="1454"/>
      <c r="F138" s="1454"/>
      <c r="G138" s="1454"/>
      <c r="H138" s="1454"/>
      <c r="I138" s="1454"/>
      <c r="J138" s="1454"/>
      <c r="K138" s="1454"/>
      <c r="L138" s="1455"/>
      <c r="M138" s="1448">
        <v>8760</v>
      </c>
      <c r="N138" s="2832"/>
      <c r="O138" s="2833"/>
      <c r="P138" s="2834">
        <v>1</v>
      </c>
      <c r="Q138" s="2835"/>
      <c r="R138" s="2836"/>
      <c r="S138" s="1448">
        <f>M138*0.94</f>
        <v>8234.4</v>
      </c>
      <c r="T138" s="2832"/>
      <c r="U138" s="2833"/>
      <c r="V138" s="2834">
        <v>0.94</v>
      </c>
      <c r="W138" s="2835"/>
      <c r="X138" s="2836"/>
      <c r="Y138" s="2829"/>
      <c r="Z138" s="2830"/>
      <c r="AA138" s="2831"/>
      <c r="AB138" s="2829"/>
      <c r="AC138" s="2830"/>
      <c r="AD138" s="2831"/>
      <c r="AE138" s="697"/>
      <c r="AF138" s="697"/>
      <c r="AG138" s="262"/>
      <c r="AX138" s="638"/>
    </row>
    <row r="139" spans="1:50" s="227" customFormat="1" x14ac:dyDescent="0.25">
      <c r="A139" s="1453" t="s">
        <v>6650</v>
      </c>
      <c r="B139" s="1454"/>
      <c r="C139" s="1454"/>
      <c r="D139" s="1454"/>
      <c r="E139" s="1454"/>
      <c r="F139" s="1454"/>
      <c r="G139" s="1454"/>
      <c r="H139" s="1454"/>
      <c r="I139" s="1454"/>
      <c r="J139" s="1454"/>
      <c r="K139" s="1454"/>
      <c r="L139" s="1455"/>
      <c r="M139" s="1448">
        <v>8760</v>
      </c>
      <c r="N139" s="2832"/>
      <c r="O139" s="2833"/>
      <c r="P139" s="2834">
        <v>1</v>
      </c>
      <c r="Q139" s="2835"/>
      <c r="R139" s="2836"/>
      <c r="S139" s="1448">
        <f>M139*0.94</f>
        <v>8234.4</v>
      </c>
      <c r="T139" s="2832"/>
      <c r="U139" s="2833"/>
      <c r="V139" s="2834">
        <v>0.94</v>
      </c>
      <c r="W139" s="2835"/>
      <c r="X139" s="2836"/>
      <c r="Y139" s="2829"/>
      <c r="Z139" s="2830"/>
      <c r="AA139" s="2831"/>
      <c r="AB139" s="2829"/>
      <c r="AC139" s="2830"/>
      <c r="AD139" s="2831"/>
      <c r="AE139" s="697"/>
      <c r="AF139" s="697"/>
      <c r="AG139" s="262"/>
      <c r="AX139" s="638"/>
    </row>
    <row r="140" spans="1:50" s="227" customFormat="1" ht="17.25" x14ac:dyDescent="0.25">
      <c r="A140" s="1453" t="s">
        <v>6697</v>
      </c>
      <c r="B140" s="1454"/>
      <c r="C140" s="1454"/>
      <c r="D140" s="1454"/>
      <c r="E140" s="1454"/>
      <c r="F140" s="1454"/>
      <c r="G140" s="1454"/>
      <c r="H140" s="1454"/>
      <c r="I140" s="1454"/>
      <c r="J140" s="1454"/>
      <c r="K140" s="1454"/>
      <c r="L140" s="1455"/>
      <c r="M140" s="1448">
        <f>8760*0.5</f>
        <v>4380</v>
      </c>
      <c r="N140" s="2832"/>
      <c r="O140" s="2833"/>
      <c r="P140" s="2834">
        <v>0.5</v>
      </c>
      <c r="Q140" s="2835"/>
      <c r="R140" s="2836"/>
      <c r="S140" s="1448">
        <f>8760*0.7</f>
        <v>6132</v>
      </c>
      <c r="T140" s="2832"/>
      <c r="U140" s="2833"/>
      <c r="V140" s="2834">
        <v>0.7</v>
      </c>
      <c r="W140" s="2835"/>
      <c r="X140" s="2836"/>
      <c r="Y140" s="2829"/>
      <c r="Z140" s="2830"/>
      <c r="AA140" s="2831"/>
      <c r="AB140" s="2829"/>
      <c r="AC140" s="2830"/>
      <c r="AD140" s="2831"/>
      <c r="AE140" s="697"/>
      <c r="AF140" s="697"/>
      <c r="AG140" s="262"/>
      <c r="AX140" s="638"/>
    </row>
    <row r="141" spans="1:50" s="227" customFormat="1" ht="17.25" x14ac:dyDescent="0.25">
      <c r="A141" s="1453" t="s">
        <v>6698</v>
      </c>
      <c r="B141" s="1454"/>
      <c r="C141" s="1454"/>
      <c r="D141" s="1454"/>
      <c r="E141" s="1454"/>
      <c r="F141" s="1454"/>
      <c r="G141" s="1454"/>
      <c r="H141" s="1454"/>
      <c r="I141" s="1454"/>
      <c r="J141" s="1454"/>
      <c r="K141" s="1454"/>
      <c r="L141" s="1455"/>
      <c r="M141" s="2829"/>
      <c r="N141" s="2830"/>
      <c r="O141" s="2831"/>
      <c r="P141" s="2829"/>
      <c r="Q141" s="2830"/>
      <c r="R141" s="2831"/>
      <c r="S141" s="2829"/>
      <c r="T141" s="2830"/>
      <c r="U141" s="2831"/>
      <c r="V141" s="2829"/>
      <c r="W141" s="2830"/>
      <c r="X141" s="2831"/>
      <c r="Y141" s="1448">
        <f>'EFLH &amp; CF'!I53</f>
        <v>2594</v>
      </c>
      <c r="Z141" s="2832"/>
      <c r="AA141" s="2833"/>
      <c r="AB141" s="2834">
        <f>'EFLH &amp; CF'!M53</f>
        <v>0.38</v>
      </c>
      <c r="AC141" s="2835"/>
      <c r="AD141" s="2836"/>
      <c r="AE141" s="697"/>
      <c r="AF141" s="697"/>
      <c r="AG141" s="262"/>
      <c r="AX141" s="638"/>
    </row>
    <row r="142" spans="1:50" s="227" customFormat="1" x14ac:dyDescent="0.25">
      <c r="A142" s="947" t="s">
        <v>6630</v>
      </c>
      <c r="B142" s="638"/>
      <c r="C142" s="638"/>
      <c r="D142" s="638"/>
      <c r="E142" s="638"/>
      <c r="F142" s="638"/>
      <c r="G142" s="638"/>
      <c r="H142" s="638"/>
      <c r="I142" s="638"/>
      <c r="J142" s="638"/>
      <c r="K142" s="638"/>
      <c r="L142" s="638"/>
      <c r="M142" s="638"/>
      <c r="N142" s="638"/>
      <c r="O142" s="638"/>
      <c r="P142" s="638"/>
      <c r="Q142" s="638"/>
      <c r="R142" s="638"/>
      <c r="S142" s="638"/>
      <c r="T142" s="638"/>
      <c r="U142" s="638"/>
      <c r="V142" s="638"/>
      <c r="W142" s="638"/>
      <c r="X142" s="638"/>
      <c r="Y142" s="638"/>
      <c r="Z142" s="638"/>
      <c r="AA142" s="638"/>
      <c r="AB142" s="638"/>
      <c r="AC142" s="638"/>
      <c r="AD142" s="638"/>
      <c r="AE142" s="638"/>
      <c r="AF142" s="638"/>
      <c r="AG142" s="262"/>
    </row>
    <row r="143" spans="1:50" s="227" customFormat="1" ht="27.75" customHeight="1" x14ac:dyDescent="0.25">
      <c r="A143" s="1686" t="s">
        <v>6651</v>
      </c>
      <c r="B143" s="1686"/>
      <c r="C143" s="1686"/>
      <c r="D143" s="1686"/>
      <c r="E143" s="1686"/>
      <c r="F143" s="1686"/>
      <c r="G143" s="1686"/>
      <c r="H143" s="1686"/>
      <c r="I143" s="1686"/>
      <c r="J143" s="1686"/>
      <c r="K143" s="1686"/>
      <c r="L143" s="1686"/>
      <c r="M143" s="1686"/>
      <c r="N143" s="1686"/>
      <c r="O143" s="1686"/>
      <c r="P143" s="1686"/>
      <c r="Q143" s="1686"/>
      <c r="R143" s="1686"/>
      <c r="S143" s="1686"/>
      <c r="T143" s="1686"/>
      <c r="U143" s="1686"/>
      <c r="V143" s="1686"/>
      <c r="W143" s="1686"/>
      <c r="X143" s="1686"/>
      <c r="Y143" s="1686"/>
      <c r="Z143" s="1686"/>
      <c r="AA143" s="1686"/>
      <c r="AB143" s="1686"/>
      <c r="AC143" s="1686"/>
      <c r="AD143" s="1686"/>
      <c r="AE143" s="1686"/>
      <c r="AF143" s="1686"/>
      <c r="AG143" s="262"/>
    </row>
    <row r="144" spans="1:50" s="227" customFormat="1" ht="15.75" customHeight="1" x14ac:dyDescent="0.25">
      <c r="A144" s="1686" t="s">
        <v>6652</v>
      </c>
      <c r="B144" s="1686"/>
      <c r="C144" s="1686"/>
      <c r="D144" s="1686"/>
      <c r="E144" s="1686"/>
      <c r="F144" s="1686"/>
      <c r="G144" s="1686"/>
      <c r="H144" s="1686"/>
      <c r="I144" s="1686"/>
      <c r="J144" s="1686"/>
      <c r="K144" s="1686"/>
      <c r="L144" s="1686"/>
      <c r="M144" s="1686"/>
      <c r="N144" s="1686"/>
      <c r="O144" s="1686"/>
      <c r="P144" s="1686"/>
      <c r="Q144" s="1686"/>
      <c r="R144" s="1686"/>
      <c r="S144" s="1686"/>
      <c r="T144" s="1686"/>
      <c r="U144" s="1686"/>
      <c r="V144" s="1686"/>
      <c r="W144" s="1686"/>
      <c r="X144" s="1686"/>
      <c r="Y144" s="1686"/>
      <c r="Z144" s="1686"/>
      <c r="AA144" s="1686"/>
      <c r="AB144" s="1686"/>
      <c r="AC144" s="1686"/>
      <c r="AD144" s="1686"/>
      <c r="AE144" s="1686"/>
      <c r="AF144" s="1686"/>
      <c r="AG144" s="262"/>
    </row>
    <row r="145" spans="1:38" s="227" customFormat="1" x14ac:dyDescent="0.25">
      <c r="A145" s="870"/>
      <c r="B145" s="870"/>
      <c r="C145" s="870"/>
      <c r="D145" s="870"/>
      <c r="E145" s="870"/>
      <c r="F145" s="870"/>
      <c r="G145" s="870"/>
      <c r="H145" s="870"/>
      <c r="I145" s="870"/>
      <c r="J145" s="870"/>
      <c r="K145" s="870"/>
      <c r="L145" s="870"/>
      <c r="M145" s="870"/>
      <c r="N145" s="870"/>
      <c r="O145" s="870"/>
      <c r="P145" s="870"/>
      <c r="Q145" s="870"/>
      <c r="R145" s="870"/>
      <c r="S145" s="870"/>
      <c r="T145" s="870"/>
      <c r="U145" s="870"/>
      <c r="V145" s="870"/>
      <c r="W145" s="870"/>
      <c r="X145" s="870"/>
      <c r="Y145" s="870"/>
      <c r="Z145" s="870"/>
      <c r="AA145" s="870"/>
      <c r="AB145" s="870"/>
      <c r="AC145" s="870"/>
      <c r="AD145" s="870"/>
      <c r="AE145" s="870"/>
      <c r="AF145" s="870"/>
      <c r="AG145" s="262"/>
    </row>
    <row r="146" spans="1:38" s="227" customFormat="1" x14ac:dyDescent="0.25">
      <c r="A146" s="190" t="s">
        <v>6653</v>
      </c>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row>
    <row r="147" spans="1:38" s="227" customFormat="1" x14ac:dyDescent="0.25">
      <c r="A147" s="1819" t="s">
        <v>4429</v>
      </c>
      <c r="B147" s="1720"/>
      <c r="C147" s="2825"/>
      <c r="D147" s="2146" t="s">
        <v>4430</v>
      </c>
      <c r="E147" s="2147"/>
      <c r="F147" s="2147"/>
      <c r="G147" s="2147"/>
      <c r="H147" s="2147"/>
      <c r="I147" s="2147"/>
      <c r="J147" s="2147"/>
      <c r="K147" s="2147"/>
      <c r="L147" s="2147"/>
      <c r="M147" s="2147"/>
      <c r="N147" s="2147"/>
      <c r="O147" s="2147"/>
      <c r="P147" s="2147"/>
      <c r="Q147" s="2147"/>
      <c r="R147" s="2148"/>
      <c r="S147" s="2146" t="s">
        <v>4431</v>
      </c>
      <c r="T147" s="2147"/>
      <c r="U147" s="2147"/>
      <c r="V147" s="2147"/>
      <c r="W147" s="2147"/>
      <c r="X147" s="2147"/>
      <c r="Y147" s="2147"/>
      <c r="Z147" s="2147"/>
      <c r="AA147" s="2147"/>
      <c r="AB147" s="2147"/>
      <c r="AC147" s="2147"/>
      <c r="AD147" s="2147"/>
      <c r="AE147" s="2147"/>
      <c r="AF147" s="2148"/>
      <c r="AL147" s="638"/>
    </row>
    <row r="148" spans="1:38" s="227" customFormat="1" ht="45.75" customHeight="1" x14ac:dyDescent="0.25">
      <c r="A148" s="2826"/>
      <c r="B148" s="2827"/>
      <c r="C148" s="2828"/>
      <c r="D148" s="1439" t="s">
        <v>4432</v>
      </c>
      <c r="E148" s="1440"/>
      <c r="F148" s="1440"/>
      <c r="G148" s="1440"/>
      <c r="H148" s="1441"/>
      <c r="I148" s="1439" t="s">
        <v>4433</v>
      </c>
      <c r="J148" s="1440"/>
      <c r="K148" s="1440"/>
      <c r="L148" s="1440"/>
      <c r="M148" s="1441"/>
      <c r="N148" s="1439" t="s">
        <v>4434</v>
      </c>
      <c r="O148" s="1440"/>
      <c r="P148" s="1440"/>
      <c r="Q148" s="1440"/>
      <c r="R148" s="1441"/>
      <c r="S148" s="1439" t="s">
        <v>4432</v>
      </c>
      <c r="T148" s="1440"/>
      <c r="U148" s="1440"/>
      <c r="V148" s="1440"/>
      <c r="W148" s="1441"/>
      <c r="X148" s="1439" t="s">
        <v>4433</v>
      </c>
      <c r="Y148" s="1440"/>
      <c r="Z148" s="1440"/>
      <c r="AA148" s="1440"/>
      <c r="AB148" s="1441"/>
      <c r="AC148" s="1439" t="s">
        <v>4434</v>
      </c>
      <c r="AD148" s="1440"/>
      <c r="AE148" s="1440"/>
      <c r="AF148" s="1441"/>
    </row>
    <row r="149" spans="1:38" s="227" customFormat="1" x14ac:dyDescent="0.25">
      <c r="A149" s="1816" t="s">
        <v>4435</v>
      </c>
      <c r="B149" s="1817"/>
      <c r="C149" s="1818"/>
      <c r="D149" s="2822">
        <f>ROUND(($E104/$M$115-$E104/$R$115)*(1+1/$M$127)*$P$138/1000,3)</f>
        <v>3.3000000000000002E-2</v>
      </c>
      <c r="E149" s="2823"/>
      <c r="F149" s="2823"/>
      <c r="G149" s="2823"/>
      <c r="H149" s="2824"/>
      <c r="I149" s="1760">
        <f>ROUND(($E104/$M$115-$E104/$R$115)*(1+1/$M$127)*$M$138/1000,2)</f>
        <v>285.88</v>
      </c>
      <c r="J149" s="1761"/>
      <c r="K149" s="1761"/>
      <c r="L149" s="1761"/>
      <c r="M149" s="1762"/>
      <c r="N149" s="1760">
        <f>ROUND($I149*$Q$98,2)</f>
        <v>4288.2</v>
      </c>
      <c r="O149" s="1761"/>
      <c r="P149" s="1761"/>
      <c r="Q149" s="1761"/>
      <c r="R149" s="1762"/>
      <c r="S149" s="2822">
        <f>ROUND(($E104/$M$115-$E104/$R$115)*(1+1/$M$128)*$V$138/1000,3)</f>
        <v>3.5999999999999997E-2</v>
      </c>
      <c r="T149" s="2823"/>
      <c r="U149" s="2823"/>
      <c r="V149" s="2823"/>
      <c r="W149" s="2824"/>
      <c r="X149" s="1760">
        <f>ROUND(($E104/$M$115-$E104/$R$115)*(1+1/$M$128)*$S$138/1000,2)</f>
        <v>317.02</v>
      </c>
      <c r="Y149" s="1761"/>
      <c r="Z149" s="1761"/>
      <c r="AA149" s="1761"/>
      <c r="AB149" s="1762"/>
      <c r="AC149" s="1760">
        <f>ROUND($X149*$Q$98,2)</f>
        <v>4755.3</v>
      </c>
      <c r="AD149" s="1761"/>
      <c r="AE149" s="1761"/>
      <c r="AF149" s="1762"/>
    </row>
    <row r="150" spans="1:38" s="227" customFormat="1" x14ac:dyDescent="0.25">
      <c r="A150" s="1816" t="s">
        <v>4436</v>
      </c>
      <c r="B150" s="1817"/>
      <c r="C150" s="1818"/>
      <c r="D150" s="2822">
        <f>ROUND(($E105/$M$115-$E105/$R$115)*(1+1/$M$127)*$P$138/1000,3)</f>
        <v>6.0999999999999999E-2</v>
      </c>
      <c r="E150" s="2823"/>
      <c r="F150" s="2823"/>
      <c r="G150" s="2823"/>
      <c r="H150" s="2824"/>
      <c r="I150" s="1760">
        <f t="shared" ref="I150:I153" si="0">ROUND(($E105/$M$115-$E105/$R$115)*(1+1/$M$127)*$M$138/1000,2)</f>
        <v>537.46</v>
      </c>
      <c r="J150" s="1761"/>
      <c r="K150" s="1761"/>
      <c r="L150" s="1761"/>
      <c r="M150" s="1762"/>
      <c r="N150" s="1760">
        <f t="shared" ref="N150:N153" si="1">ROUND($I150*$Q$98,2)</f>
        <v>8061.9</v>
      </c>
      <c r="O150" s="1761"/>
      <c r="P150" s="1761"/>
      <c r="Q150" s="1761"/>
      <c r="R150" s="1762"/>
      <c r="S150" s="2822">
        <f>ROUND(($E105/$M$115-$E105/$R$115)*(1+1/$M$128)*$V$138/1000,3)</f>
        <v>6.8000000000000005E-2</v>
      </c>
      <c r="T150" s="2823"/>
      <c r="U150" s="2823"/>
      <c r="V150" s="2823"/>
      <c r="W150" s="2824"/>
      <c r="X150" s="1760">
        <f t="shared" ref="X150:X153" si="2">ROUND(($E105/$M$115-$E105/$R$115)*(1+1/$M$128)*$S$138/1000,2)</f>
        <v>596</v>
      </c>
      <c r="Y150" s="1761"/>
      <c r="Z150" s="1761"/>
      <c r="AA150" s="1761"/>
      <c r="AB150" s="1762"/>
      <c r="AC150" s="1760">
        <f t="shared" ref="AC150:AC153" si="3">ROUND($X150*$Q$98,2)</f>
        <v>8940</v>
      </c>
      <c r="AD150" s="1761"/>
      <c r="AE150" s="1761"/>
      <c r="AF150" s="1762"/>
    </row>
    <row r="151" spans="1:38" s="227" customFormat="1" x14ac:dyDescent="0.25">
      <c r="A151" s="1816" t="s">
        <v>4437</v>
      </c>
      <c r="B151" s="1817"/>
      <c r="C151" s="1818"/>
      <c r="D151" s="2822">
        <f>ROUND(($E106/$M$115-$E106/$R$115)*(1+1/$M$127)*$P$138/1000,3)</f>
        <v>7.6999999999999999E-2</v>
      </c>
      <c r="E151" s="2823"/>
      <c r="F151" s="2823"/>
      <c r="G151" s="2823"/>
      <c r="H151" s="2824"/>
      <c r="I151" s="1760">
        <f t="shared" si="0"/>
        <v>671.82</v>
      </c>
      <c r="J151" s="1761"/>
      <c r="K151" s="1761"/>
      <c r="L151" s="1761"/>
      <c r="M151" s="1762"/>
      <c r="N151" s="1760">
        <f t="shared" si="1"/>
        <v>10077.299999999999</v>
      </c>
      <c r="O151" s="1761"/>
      <c r="P151" s="1761"/>
      <c r="Q151" s="1761"/>
      <c r="R151" s="1762"/>
      <c r="S151" s="2822">
        <f t="shared" ref="S151:S153" si="4">ROUND(($E106/$M$115-$E106/$R$115)*(1+1/$M$128)*$V$138/1000,3)</f>
        <v>8.5000000000000006E-2</v>
      </c>
      <c r="T151" s="2823"/>
      <c r="U151" s="2823"/>
      <c r="V151" s="2823"/>
      <c r="W151" s="2824"/>
      <c r="X151" s="1760">
        <f t="shared" si="2"/>
        <v>745</v>
      </c>
      <c r="Y151" s="1761"/>
      <c r="Z151" s="1761"/>
      <c r="AA151" s="1761"/>
      <c r="AB151" s="1762"/>
      <c r="AC151" s="1760">
        <f>ROUND($X151*$Q$98,2)</f>
        <v>11175</v>
      </c>
      <c r="AD151" s="1761"/>
      <c r="AE151" s="1761"/>
      <c r="AF151" s="1762"/>
      <c r="AL151" s="638"/>
    </row>
    <row r="152" spans="1:38" s="227" customFormat="1" x14ac:dyDescent="0.25">
      <c r="A152" s="1816" t="s">
        <v>4438</v>
      </c>
      <c r="B152" s="1817"/>
      <c r="C152" s="1818"/>
      <c r="D152" s="2822">
        <f t="shared" ref="D152:D154" si="5">ROUND(($E107/$M$115-$E107/$R$115)*(1+1/$M$127)*$P$138/1000,3)</f>
        <v>0.10199999999999999</v>
      </c>
      <c r="E152" s="2823"/>
      <c r="F152" s="2823"/>
      <c r="G152" s="2823"/>
      <c r="H152" s="2824"/>
      <c r="I152" s="1760">
        <f t="shared" si="0"/>
        <v>895.76</v>
      </c>
      <c r="J152" s="1761"/>
      <c r="K152" s="1761"/>
      <c r="L152" s="1761"/>
      <c r="M152" s="1762"/>
      <c r="N152" s="1760">
        <f t="shared" si="1"/>
        <v>13436.4</v>
      </c>
      <c r="O152" s="1761"/>
      <c r="P152" s="1761"/>
      <c r="Q152" s="1761"/>
      <c r="R152" s="1762"/>
      <c r="S152" s="2822">
        <f t="shared" si="4"/>
        <v>0.113</v>
      </c>
      <c r="T152" s="2823"/>
      <c r="U152" s="2823"/>
      <c r="V152" s="2823"/>
      <c r="W152" s="2824"/>
      <c r="X152" s="1760">
        <f t="shared" si="2"/>
        <v>993.34</v>
      </c>
      <c r="Y152" s="1761"/>
      <c r="Z152" s="1761"/>
      <c r="AA152" s="1761"/>
      <c r="AB152" s="1762"/>
      <c r="AC152" s="1760">
        <f t="shared" si="3"/>
        <v>14900.1</v>
      </c>
      <c r="AD152" s="1761"/>
      <c r="AE152" s="1761"/>
      <c r="AF152" s="1762"/>
    </row>
    <row r="153" spans="1:38" s="227" customFormat="1" x14ac:dyDescent="0.25">
      <c r="A153" s="1816" t="s">
        <v>4439</v>
      </c>
      <c r="B153" s="1817"/>
      <c r="C153" s="1818"/>
      <c r="D153" s="2822">
        <f t="shared" si="5"/>
        <v>0.192</v>
      </c>
      <c r="E153" s="2823"/>
      <c r="F153" s="2823"/>
      <c r="G153" s="2823"/>
      <c r="H153" s="2824"/>
      <c r="I153" s="1760">
        <f t="shared" si="0"/>
        <v>1679.55</v>
      </c>
      <c r="J153" s="1761"/>
      <c r="K153" s="1761"/>
      <c r="L153" s="1761"/>
      <c r="M153" s="1762"/>
      <c r="N153" s="1760">
        <f t="shared" si="1"/>
        <v>25193.25</v>
      </c>
      <c r="O153" s="1761"/>
      <c r="P153" s="1761"/>
      <c r="Q153" s="1761"/>
      <c r="R153" s="1762"/>
      <c r="S153" s="2822">
        <f t="shared" si="4"/>
        <v>0.21299999999999999</v>
      </c>
      <c r="T153" s="2823"/>
      <c r="U153" s="2823"/>
      <c r="V153" s="2823"/>
      <c r="W153" s="2824"/>
      <c r="X153" s="1760">
        <f t="shared" si="2"/>
        <v>1862.5</v>
      </c>
      <c r="Y153" s="1761"/>
      <c r="Z153" s="1761"/>
      <c r="AA153" s="1761"/>
      <c r="AB153" s="1762"/>
      <c r="AC153" s="1760">
        <f t="shared" si="3"/>
        <v>27937.5</v>
      </c>
      <c r="AD153" s="1761"/>
      <c r="AE153" s="1761"/>
      <c r="AF153" s="1762"/>
    </row>
    <row r="154" spans="1:38" s="227" customFormat="1" x14ac:dyDescent="0.25">
      <c r="A154" s="1816" t="s">
        <v>4440</v>
      </c>
      <c r="B154" s="1817"/>
      <c r="C154" s="1818"/>
      <c r="D154" s="2822">
        <f t="shared" si="5"/>
        <v>0.51100000000000001</v>
      </c>
      <c r="E154" s="2823"/>
      <c r="F154" s="2823"/>
      <c r="G154" s="2823"/>
      <c r="H154" s="2824"/>
      <c r="I154" s="1760">
        <f>ROUND(($E109/$M$115-$E109/$R$115)*(1+1/$M$127)*$M$138/1000,2)</f>
        <v>4478.8</v>
      </c>
      <c r="J154" s="1761"/>
      <c r="K154" s="1761"/>
      <c r="L154" s="1761"/>
      <c r="M154" s="1762"/>
      <c r="N154" s="1760">
        <f>ROUND($I154*$Q$98,2)</f>
        <v>67182</v>
      </c>
      <c r="O154" s="1761"/>
      <c r="P154" s="1761"/>
      <c r="Q154" s="1761"/>
      <c r="R154" s="1762"/>
      <c r="S154" s="2822">
        <f>ROUND(($E109/$M$115-$E109/$R$115)*(1+1/$M$128)*$V$138/1000,3)</f>
        <v>0.56699999999999995</v>
      </c>
      <c r="T154" s="2823"/>
      <c r="U154" s="2823"/>
      <c r="V154" s="2823"/>
      <c r="W154" s="2824"/>
      <c r="X154" s="1760">
        <f>ROUND(($E109/$M$115-$E109/$R$115)*(1+1/$M$128)*$S$138/1000,2)</f>
        <v>4966.68</v>
      </c>
      <c r="Y154" s="1761"/>
      <c r="Z154" s="1761"/>
      <c r="AA154" s="1761"/>
      <c r="AB154" s="1762"/>
      <c r="AC154" s="1760">
        <f>ROUND($X154*$Q$98,2)</f>
        <v>74500.2</v>
      </c>
      <c r="AD154" s="1761"/>
      <c r="AE154" s="1761"/>
      <c r="AF154" s="1762"/>
    </row>
    <row r="155" spans="1:38" s="227" customFormat="1" x14ac:dyDescent="0.25">
      <c r="A155" s="190"/>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row>
    <row r="156" spans="1:38" s="227" customFormat="1" x14ac:dyDescent="0.25">
      <c r="A156" s="190" t="s">
        <v>6654</v>
      </c>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row>
    <row r="157" spans="1:38" s="227" customFormat="1" x14ac:dyDescent="0.25">
      <c r="A157" s="1819" t="s">
        <v>4429</v>
      </c>
      <c r="B157" s="1720"/>
      <c r="C157" s="2825"/>
      <c r="D157" s="2146" t="s">
        <v>4430</v>
      </c>
      <c r="E157" s="2147"/>
      <c r="F157" s="2147"/>
      <c r="G157" s="2147"/>
      <c r="H157" s="2147"/>
      <c r="I157" s="2147"/>
      <c r="J157" s="2147"/>
      <c r="K157" s="2147"/>
      <c r="L157" s="2147"/>
      <c r="M157" s="2147"/>
      <c r="N157" s="2147"/>
      <c r="O157" s="2147"/>
      <c r="P157" s="2147"/>
      <c r="Q157" s="2147"/>
      <c r="R157" s="2148"/>
      <c r="S157" s="2146" t="s">
        <v>4431</v>
      </c>
      <c r="T157" s="2147"/>
      <c r="U157" s="2147"/>
      <c r="V157" s="2147"/>
      <c r="W157" s="2147"/>
      <c r="X157" s="2147"/>
      <c r="Y157" s="2147"/>
      <c r="Z157" s="2147"/>
      <c r="AA157" s="2147"/>
      <c r="AB157" s="2147"/>
      <c r="AC157" s="2147"/>
      <c r="AD157" s="2147"/>
      <c r="AE157" s="2147"/>
      <c r="AF157" s="2148"/>
      <c r="AL157" s="638"/>
    </row>
    <row r="158" spans="1:38" s="227" customFormat="1" ht="45.75" customHeight="1" x14ac:dyDescent="0.25">
      <c r="A158" s="2826"/>
      <c r="B158" s="2827"/>
      <c r="C158" s="2828"/>
      <c r="D158" s="1439" t="s">
        <v>4432</v>
      </c>
      <c r="E158" s="1440"/>
      <c r="F158" s="1440"/>
      <c r="G158" s="1440"/>
      <c r="H158" s="1441"/>
      <c r="I158" s="1439" t="s">
        <v>4433</v>
      </c>
      <c r="J158" s="1440"/>
      <c r="K158" s="1440"/>
      <c r="L158" s="1440"/>
      <c r="M158" s="1441"/>
      <c r="N158" s="1439" t="s">
        <v>4434</v>
      </c>
      <c r="O158" s="1440"/>
      <c r="P158" s="1440"/>
      <c r="Q158" s="1440"/>
      <c r="R158" s="1441"/>
      <c r="S158" s="1439" t="s">
        <v>4432</v>
      </c>
      <c r="T158" s="1440"/>
      <c r="U158" s="1440"/>
      <c r="V158" s="1440"/>
      <c r="W158" s="1441"/>
      <c r="X158" s="1439" t="s">
        <v>4433</v>
      </c>
      <c r="Y158" s="1440"/>
      <c r="Z158" s="1440"/>
      <c r="AA158" s="1440"/>
      <c r="AB158" s="1441"/>
      <c r="AC158" s="1439" t="s">
        <v>4434</v>
      </c>
      <c r="AD158" s="1440"/>
      <c r="AE158" s="1440"/>
      <c r="AF158" s="1441"/>
    </row>
    <row r="159" spans="1:38" s="227" customFormat="1" x14ac:dyDescent="0.25">
      <c r="A159" s="1816" t="s">
        <v>4435</v>
      </c>
      <c r="B159" s="1817"/>
      <c r="C159" s="1818"/>
      <c r="D159" s="2822">
        <f>ROUND(D149+'C_Refrig_Evap Motor Control'!D73,3)</f>
        <v>4.8000000000000001E-2</v>
      </c>
      <c r="E159" s="2823"/>
      <c r="F159" s="2823"/>
      <c r="G159" s="2823"/>
      <c r="H159" s="2824"/>
      <c r="I159" s="1760">
        <f>ROUND(I149+'C_Refrig_Evap Motor Control'!I73,2)</f>
        <v>414.99</v>
      </c>
      <c r="J159" s="1761"/>
      <c r="K159" s="1761"/>
      <c r="L159" s="1761"/>
      <c r="M159" s="1762"/>
      <c r="N159" s="1760">
        <f>ROUND(N149+'C_Refrig_Evap Motor Control'!N73,2)</f>
        <v>6224.85</v>
      </c>
      <c r="O159" s="1761"/>
      <c r="P159" s="1761"/>
      <c r="Q159" s="1761"/>
      <c r="R159" s="1762"/>
      <c r="S159" s="2822">
        <f>ROUND(S149+'C_Refrig_Evap Motor Control'!S73,3)</f>
        <v>4.5999999999999999E-2</v>
      </c>
      <c r="T159" s="2823"/>
      <c r="U159" s="2823"/>
      <c r="V159" s="2823"/>
      <c r="W159" s="2824"/>
      <c r="X159" s="1760">
        <f>ROUND(X149+'C_Refrig_Evap Motor Control'!X73,2)</f>
        <v>401.04</v>
      </c>
      <c r="Y159" s="1761"/>
      <c r="Z159" s="1761"/>
      <c r="AA159" s="1761"/>
      <c r="AB159" s="1762"/>
      <c r="AC159" s="1760">
        <f>ROUND(AC149+'C_Refrig_Evap Motor Control'!AC73,2)</f>
        <v>6015.61</v>
      </c>
      <c r="AD159" s="1761"/>
      <c r="AE159" s="1761"/>
      <c r="AF159" s="1762"/>
    </row>
    <row r="160" spans="1:38" s="227" customFormat="1" x14ac:dyDescent="0.25">
      <c r="A160" s="1816" t="s">
        <v>4436</v>
      </c>
      <c r="B160" s="1817"/>
      <c r="C160" s="1818"/>
      <c r="D160" s="2822">
        <f>ROUND(D150+'C_Refrig_Evap Motor Control'!D74,3)</f>
        <v>8.8999999999999996E-2</v>
      </c>
      <c r="E160" s="2823"/>
      <c r="F160" s="2823"/>
      <c r="G160" s="2823"/>
      <c r="H160" s="2824"/>
      <c r="I160" s="1760">
        <f>ROUND(I150+'C_Refrig_Evap Motor Control'!I74,2)</f>
        <v>780.19</v>
      </c>
      <c r="J160" s="1761"/>
      <c r="K160" s="1761"/>
      <c r="L160" s="1761"/>
      <c r="M160" s="1762"/>
      <c r="N160" s="1760">
        <f>ROUND(N150+'C_Refrig_Evap Motor Control'!N74,2)</f>
        <v>11702.81</v>
      </c>
      <c r="O160" s="1761"/>
      <c r="P160" s="1761"/>
      <c r="Q160" s="1761"/>
      <c r="R160" s="1762"/>
      <c r="S160" s="2822">
        <f>ROUND(S150+'C_Refrig_Evap Motor Control'!S74,3)</f>
        <v>8.5999999999999993E-2</v>
      </c>
      <c r="T160" s="2823"/>
      <c r="U160" s="2823"/>
      <c r="V160" s="2823"/>
      <c r="W160" s="2824"/>
      <c r="X160" s="1760">
        <f>ROUND(X150+'C_Refrig_Evap Motor Control'!X74,2)</f>
        <v>753.96</v>
      </c>
      <c r="Y160" s="1761"/>
      <c r="Z160" s="1761"/>
      <c r="AA160" s="1761"/>
      <c r="AB160" s="1762"/>
      <c r="AC160" s="1760">
        <f>ROUND(AC150+'C_Refrig_Evap Motor Control'!AC74,2)</f>
        <v>11309.39</v>
      </c>
      <c r="AD160" s="1761"/>
      <c r="AE160" s="1761"/>
      <c r="AF160" s="1762"/>
    </row>
    <row r="161" spans="1:33" s="227" customFormat="1" x14ac:dyDescent="0.25">
      <c r="A161" s="1816" t="s">
        <v>4437</v>
      </c>
      <c r="B161" s="1817"/>
      <c r="C161" s="1818"/>
      <c r="D161" s="2822">
        <f>ROUND(D151+'C_Refrig_Evap Motor Control'!D75,3)</f>
        <v>0.112</v>
      </c>
      <c r="E161" s="2823"/>
      <c r="F161" s="2823"/>
      <c r="G161" s="2823"/>
      <c r="H161" s="2824"/>
      <c r="I161" s="1760">
        <f>ROUND(I151+'C_Refrig_Evap Motor Control'!I75,2)</f>
        <v>975.23</v>
      </c>
      <c r="J161" s="1761"/>
      <c r="K161" s="1761"/>
      <c r="L161" s="1761"/>
      <c r="M161" s="1762"/>
      <c r="N161" s="1760">
        <f>ROUND(N151+'C_Refrig_Evap Motor Control'!N75,2)</f>
        <v>14628.43</v>
      </c>
      <c r="O161" s="1761"/>
      <c r="P161" s="1761"/>
      <c r="Q161" s="1761"/>
      <c r="R161" s="1762"/>
      <c r="S161" s="2822">
        <f>ROUND(S151+'C_Refrig_Evap Motor Control'!S75,3)</f>
        <v>0.108</v>
      </c>
      <c r="T161" s="2823"/>
      <c r="U161" s="2823"/>
      <c r="V161" s="2823"/>
      <c r="W161" s="2824"/>
      <c r="X161" s="1760">
        <f>ROUND(X151+'C_Refrig_Evap Motor Control'!X75,2)</f>
        <v>942.45</v>
      </c>
      <c r="Y161" s="1761"/>
      <c r="Z161" s="1761"/>
      <c r="AA161" s="1761"/>
      <c r="AB161" s="1762"/>
      <c r="AC161" s="1760">
        <f>ROUND(AC151+'C_Refrig_Evap Motor Control'!AC75,2)</f>
        <v>14136.74</v>
      </c>
      <c r="AD161" s="1761"/>
      <c r="AE161" s="1761"/>
      <c r="AF161" s="1762"/>
    </row>
    <row r="162" spans="1:33" s="227" customFormat="1" x14ac:dyDescent="0.25">
      <c r="A162" s="1816" t="s">
        <v>4438</v>
      </c>
      <c r="B162" s="1817"/>
      <c r="C162" s="1818"/>
      <c r="D162" s="2822">
        <f>ROUND(D152+'C_Refrig_Evap Motor Control'!D76,3)</f>
        <v>0.14799999999999999</v>
      </c>
      <c r="E162" s="2823"/>
      <c r="F162" s="2823"/>
      <c r="G162" s="2823"/>
      <c r="H162" s="2824"/>
      <c r="I162" s="1760">
        <f>ROUND(I152+'C_Refrig_Evap Motor Control'!I76,2)</f>
        <v>1300.31</v>
      </c>
      <c r="J162" s="1761"/>
      <c r="K162" s="1761"/>
      <c r="L162" s="1761"/>
      <c r="M162" s="1762"/>
      <c r="N162" s="1760">
        <f>ROUND(N152+'C_Refrig_Evap Motor Control'!N76,2)</f>
        <v>19504.580000000002</v>
      </c>
      <c r="O162" s="1761"/>
      <c r="P162" s="1761"/>
      <c r="Q162" s="1761"/>
      <c r="R162" s="1762"/>
      <c r="S162" s="2822">
        <f>ROUND(S152+'C_Refrig_Evap Motor Control'!S76,3)</f>
        <v>0.14299999999999999</v>
      </c>
      <c r="T162" s="2823"/>
      <c r="U162" s="2823"/>
      <c r="V162" s="2823"/>
      <c r="W162" s="2824"/>
      <c r="X162" s="1760">
        <f>ROUND(X152+'C_Refrig_Evap Motor Control'!X76,2)</f>
        <v>1256.6099999999999</v>
      </c>
      <c r="Y162" s="1761"/>
      <c r="Z162" s="1761"/>
      <c r="AA162" s="1761"/>
      <c r="AB162" s="1762"/>
      <c r="AC162" s="1760">
        <f>ROUND(AC152+'C_Refrig_Evap Motor Control'!AC76,2)</f>
        <v>18849.080000000002</v>
      </c>
      <c r="AD162" s="1761"/>
      <c r="AE162" s="1761"/>
      <c r="AF162" s="1762"/>
    </row>
    <row r="163" spans="1:33" s="227" customFormat="1" x14ac:dyDescent="0.25">
      <c r="A163" s="1816" t="s">
        <v>4439</v>
      </c>
      <c r="B163" s="1817"/>
      <c r="C163" s="1818"/>
      <c r="D163" s="2822">
        <f>ROUND(D153+'C_Refrig_Evap Motor Control'!D77,3)</f>
        <v>0.27900000000000003</v>
      </c>
      <c r="E163" s="2823"/>
      <c r="F163" s="2823"/>
      <c r="G163" s="2823"/>
      <c r="H163" s="2824"/>
      <c r="I163" s="1760">
        <f>ROUND(I153+'C_Refrig_Evap Motor Control'!I77,2)</f>
        <v>2438.0700000000002</v>
      </c>
      <c r="J163" s="1761"/>
      <c r="K163" s="1761"/>
      <c r="L163" s="1761"/>
      <c r="M163" s="1762"/>
      <c r="N163" s="1760">
        <f>ROUND(N153+'C_Refrig_Evap Motor Control'!N77,2)</f>
        <v>36571.08</v>
      </c>
      <c r="O163" s="1761"/>
      <c r="P163" s="1761"/>
      <c r="Q163" s="1761"/>
      <c r="R163" s="1762"/>
      <c r="S163" s="2822">
        <f>ROUND(S153+'C_Refrig_Evap Motor Control'!S77,3)</f>
        <v>0.26900000000000002</v>
      </c>
      <c r="T163" s="2823"/>
      <c r="U163" s="2823"/>
      <c r="V163" s="2823"/>
      <c r="W163" s="2824"/>
      <c r="X163" s="1760">
        <f>ROUND(X153+'C_Refrig_Evap Motor Control'!X77,2)</f>
        <v>2356.12</v>
      </c>
      <c r="Y163" s="1761"/>
      <c r="Z163" s="1761"/>
      <c r="AA163" s="1761"/>
      <c r="AB163" s="1762"/>
      <c r="AC163" s="1760">
        <f>ROUND(AC153+'C_Refrig_Evap Motor Control'!AC77,2)</f>
        <v>35341.839999999997</v>
      </c>
      <c r="AD163" s="1761"/>
      <c r="AE163" s="1761"/>
      <c r="AF163" s="1762"/>
    </row>
    <row r="164" spans="1:33" s="227" customFormat="1" x14ac:dyDescent="0.25">
      <c r="A164" s="1816" t="s">
        <v>4440</v>
      </c>
      <c r="B164" s="1817"/>
      <c r="C164" s="1818"/>
      <c r="D164" s="2822">
        <f>ROUND(D154+'C_Refrig_Evap Motor Control'!D78,3)</f>
        <v>0.74199999999999999</v>
      </c>
      <c r="E164" s="2823"/>
      <c r="F164" s="2823"/>
      <c r="G164" s="2823"/>
      <c r="H164" s="2824"/>
      <c r="I164" s="1760">
        <f>ROUND(I154+'C_Refrig_Evap Motor Control'!I78,2)</f>
        <v>6501.53</v>
      </c>
      <c r="J164" s="1761"/>
      <c r="K164" s="1761"/>
      <c r="L164" s="1761"/>
      <c r="M164" s="1762"/>
      <c r="N164" s="1760">
        <f>ROUND(N154+'C_Refrig_Evap Motor Control'!N78,2)</f>
        <v>97522.89</v>
      </c>
      <c r="O164" s="1761"/>
      <c r="P164" s="1761"/>
      <c r="Q164" s="1761"/>
      <c r="R164" s="1762"/>
      <c r="S164" s="2822">
        <f>ROUND(S154+'C_Refrig_Evap Motor Control'!S78,3)</f>
        <v>0.71699999999999997</v>
      </c>
      <c r="T164" s="2823"/>
      <c r="U164" s="2823"/>
      <c r="V164" s="2823"/>
      <c r="W164" s="2824"/>
      <c r="X164" s="1760">
        <f>ROUND(X154+'C_Refrig_Evap Motor Control'!X78,2)</f>
        <v>6283.01</v>
      </c>
      <c r="Y164" s="1761"/>
      <c r="Z164" s="1761"/>
      <c r="AA164" s="1761"/>
      <c r="AB164" s="1762"/>
      <c r="AC164" s="1760">
        <f>ROUND(AC154+'C_Refrig_Evap Motor Control'!AC78,2)</f>
        <v>94245.11</v>
      </c>
      <c r="AD164" s="1761"/>
      <c r="AE164" s="1761"/>
      <c r="AF164" s="1762"/>
    </row>
    <row r="165" spans="1:33" s="227" customFormat="1" x14ac:dyDescent="0.25">
      <c r="A165" s="870"/>
      <c r="B165" s="870"/>
      <c r="C165" s="870"/>
      <c r="D165" s="870"/>
      <c r="E165" s="870"/>
      <c r="F165" s="870"/>
      <c r="G165" s="870"/>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262"/>
    </row>
    <row r="166" spans="1:33" s="227" customFormat="1" x14ac:dyDescent="0.25">
      <c r="A166" s="190" t="s">
        <v>6655</v>
      </c>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row>
    <row r="167" spans="1:33" s="227" customFormat="1" x14ac:dyDescent="0.25">
      <c r="A167" s="1819" t="s">
        <v>4429</v>
      </c>
      <c r="B167" s="1720"/>
      <c r="C167" s="2825"/>
      <c r="D167" s="2146" t="s">
        <v>4430</v>
      </c>
      <c r="E167" s="2147"/>
      <c r="F167" s="2147"/>
      <c r="G167" s="2147"/>
      <c r="H167" s="2147"/>
      <c r="I167" s="2147"/>
      <c r="J167" s="2147"/>
      <c r="K167" s="2147"/>
      <c r="L167" s="2147"/>
      <c r="M167" s="2147"/>
      <c r="N167" s="2147"/>
      <c r="O167" s="2147"/>
      <c r="P167" s="2147"/>
      <c r="Q167" s="2147"/>
      <c r="R167" s="2148"/>
      <c r="S167" s="2146" t="s">
        <v>4431</v>
      </c>
      <c r="T167" s="2147"/>
      <c r="U167" s="2147"/>
      <c r="V167" s="2147"/>
      <c r="W167" s="2147"/>
      <c r="X167" s="2147"/>
      <c r="Y167" s="2147"/>
      <c r="Z167" s="2147"/>
      <c r="AA167" s="2147"/>
      <c r="AB167" s="2147"/>
      <c r="AC167" s="2147"/>
      <c r="AD167" s="2147"/>
      <c r="AE167" s="2147"/>
      <c r="AF167" s="2148"/>
    </row>
    <row r="168" spans="1:33" s="227" customFormat="1" ht="45" customHeight="1" x14ac:dyDescent="0.25">
      <c r="A168" s="2826"/>
      <c r="B168" s="2827"/>
      <c r="C168" s="2828"/>
      <c r="D168" s="1439" t="s">
        <v>4432</v>
      </c>
      <c r="E168" s="1440"/>
      <c r="F168" s="1440"/>
      <c r="G168" s="1440"/>
      <c r="H168" s="1441"/>
      <c r="I168" s="1439" t="s">
        <v>4433</v>
      </c>
      <c r="J168" s="1440"/>
      <c r="K168" s="1440"/>
      <c r="L168" s="1440"/>
      <c r="M168" s="1441"/>
      <c r="N168" s="1439" t="s">
        <v>4434</v>
      </c>
      <c r="O168" s="1440"/>
      <c r="P168" s="1440"/>
      <c r="Q168" s="1440"/>
      <c r="R168" s="1441"/>
      <c r="S168" s="1439" t="s">
        <v>4432</v>
      </c>
      <c r="T168" s="1440"/>
      <c r="U168" s="1440"/>
      <c r="V168" s="1440"/>
      <c r="W168" s="1441"/>
      <c r="X168" s="1439" t="s">
        <v>4433</v>
      </c>
      <c r="Y168" s="1440"/>
      <c r="Z168" s="1440"/>
      <c r="AA168" s="1440"/>
      <c r="AB168" s="1441"/>
      <c r="AC168" s="1439" t="s">
        <v>4434</v>
      </c>
      <c r="AD168" s="1440"/>
      <c r="AE168" s="1440"/>
      <c r="AF168" s="1441"/>
    </row>
    <row r="169" spans="1:33" s="227" customFormat="1" x14ac:dyDescent="0.25">
      <c r="A169" s="1816" t="s">
        <v>4435</v>
      </c>
      <c r="B169" s="1817"/>
      <c r="C169" s="1818"/>
      <c r="D169" s="2822">
        <f>ROUND(($E104/$M$116-$E104/$R$116)*(1+1/$M$127)*$P$139/1000,3)</f>
        <v>5.1999999999999998E-2</v>
      </c>
      <c r="E169" s="2823"/>
      <c r="F169" s="2823"/>
      <c r="G169" s="2823"/>
      <c r="H169" s="2824"/>
      <c r="I169" s="1760">
        <f>ROUND(($E104/$M$116-$E104/$R$116)*(1+1/$M$127)*$M$139/1000,2)</f>
        <v>459.32</v>
      </c>
      <c r="J169" s="1761"/>
      <c r="K169" s="1761"/>
      <c r="L169" s="1761"/>
      <c r="M169" s="1762"/>
      <c r="N169" s="1760">
        <f>ROUND(I169*$Q$98,2)</f>
        <v>6889.8</v>
      </c>
      <c r="O169" s="1761"/>
      <c r="P169" s="1761"/>
      <c r="Q169" s="1761"/>
      <c r="R169" s="1762"/>
      <c r="S169" s="2822">
        <f>ROUND(($E104/$M$116-$E104/$R$116)*(1+1/$M$128)*$V$139/1000,3)</f>
        <v>5.8000000000000003E-2</v>
      </c>
      <c r="T169" s="2823"/>
      <c r="U169" s="2823"/>
      <c r="V169" s="2823"/>
      <c r="W169" s="2824"/>
      <c r="X169" s="1760">
        <f>ROUND(($E104/$M$116-$E104/$R$116)*(1+1/$M$128)*$S$139/1000,2)</f>
        <v>509.35</v>
      </c>
      <c r="Y169" s="1761"/>
      <c r="Z169" s="1761"/>
      <c r="AA169" s="1761"/>
      <c r="AB169" s="1762"/>
      <c r="AC169" s="1760">
        <f>ROUND(X169*$Q$98,2)</f>
        <v>7640.25</v>
      </c>
      <c r="AD169" s="1761"/>
      <c r="AE169" s="1761"/>
      <c r="AF169" s="1762"/>
    </row>
    <row r="170" spans="1:33" s="227" customFormat="1" x14ac:dyDescent="0.25">
      <c r="A170" s="1816" t="s">
        <v>4436</v>
      </c>
      <c r="B170" s="1817"/>
      <c r="C170" s="1818"/>
      <c r="D170" s="2822">
        <f t="shared" ref="D170:D173" si="6">ROUND(($E105/$M$116-$E105/$R$116)*(1+1/$M$127)*$P$139/1000,3)</f>
        <v>9.9000000000000005E-2</v>
      </c>
      <c r="E170" s="2823"/>
      <c r="F170" s="2823"/>
      <c r="G170" s="2823"/>
      <c r="H170" s="2824"/>
      <c r="I170" s="1760">
        <f t="shared" ref="I170:I174" si="7">ROUND(($E105/$M$116-$E105/$R$116)*(1+1/$M$127)*$M$139/1000,2)</f>
        <v>863.52</v>
      </c>
      <c r="J170" s="1761"/>
      <c r="K170" s="1761"/>
      <c r="L170" s="1761"/>
      <c r="M170" s="1762"/>
      <c r="N170" s="1760">
        <f t="shared" ref="N170:N173" si="8">ROUND(I170*$Q$98,2)</f>
        <v>12952.8</v>
      </c>
      <c r="O170" s="1761"/>
      <c r="P170" s="1761"/>
      <c r="Q170" s="1761"/>
      <c r="R170" s="1762"/>
      <c r="S170" s="2822">
        <f t="shared" ref="S170:S173" si="9">ROUND(($E105/$M$116-$E105/$R$116)*(1+1/$M$128)*$V$139/1000,3)</f>
        <v>0.109</v>
      </c>
      <c r="T170" s="2823"/>
      <c r="U170" s="2823"/>
      <c r="V170" s="2823"/>
      <c r="W170" s="2824"/>
      <c r="X170" s="1760">
        <f t="shared" ref="X170:X173" si="10">ROUND(($E105/$M$116-$E105/$R$116)*(1+1/$M$128)*$S$139/1000,2)</f>
        <v>957.58</v>
      </c>
      <c r="Y170" s="1761"/>
      <c r="Z170" s="1761"/>
      <c r="AA170" s="1761"/>
      <c r="AB170" s="1762"/>
      <c r="AC170" s="1760">
        <f t="shared" ref="AC170:AC173" si="11">ROUND(X170*$Q$98,2)</f>
        <v>14363.7</v>
      </c>
      <c r="AD170" s="1761"/>
      <c r="AE170" s="1761"/>
      <c r="AF170" s="1762"/>
    </row>
    <row r="171" spans="1:33" s="227" customFormat="1" x14ac:dyDescent="0.25">
      <c r="A171" s="1816" t="s">
        <v>4437</v>
      </c>
      <c r="B171" s="1817"/>
      <c r="C171" s="1818"/>
      <c r="D171" s="2822">
        <f t="shared" si="6"/>
        <v>0.123</v>
      </c>
      <c r="E171" s="2823"/>
      <c r="F171" s="2823"/>
      <c r="G171" s="2823"/>
      <c r="H171" s="2824"/>
      <c r="I171" s="1760">
        <f t="shared" si="7"/>
        <v>1079.4000000000001</v>
      </c>
      <c r="J171" s="1761"/>
      <c r="K171" s="1761"/>
      <c r="L171" s="1761"/>
      <c r="M171" s="1762"/>
      <c r="N171" s="1760">
        <f t="shared" si="8"/>
        <v>16191</v>
      </c>
      <c r="O171" s="1761"/>
      <c r="P171" s="1761"/>
      <c r="Q171" s="1761"/>
      <c r="R171" s="1762"/>
      <c r="S171" s="2822">
        <f t="shared" si="9"/>
        <v>0.13700000000000001</v>
      </c>
      <c r="T171" s="2823"/>
      <c r="U171" s="2823"/>
      <c r="V171" s="2823"/>
      <c r="W171" s="2824"/>
      <c r="X171" s="1760">
        <f t="shared" si="10"/>
        <v>1196.98</v>
      </c>
      <c r="Y171" s="1761"/>
      <c r="Z171" s="1761"/>
      <c r="AA171" s="1761"/>
      <c r="AB171" s="1762"/>
      <c r="AC171" s="1760">
        <f t="shared" si="11"/>
        <v>17954.7</v>
      </c>
      <c r="AD171" s="1761"/>
      <c r="AE171" s="1761"/>
      <c r="AF171" s="1762"/>
    </row>
    <row r="172" spans="1:33" s="227" customFormat="1" x14ac:dyDescent="0.25">
      <c r="A172" s="1816" t="s">
        <v>4438</v>
      </c>
      <c r="B172" s="1817"/>
      <c r="C172" s="1818"/>
      <c r="D172" s="2822">
        <f t="shared" si="6"/>
        <v>0.16400000000000001</v>
      </c>
      <c r="E172" s="2823"/>
      <c r="F172" s="2823"/>
      <c r="G172" s="2823"/>
      <c r="H172" s="2824"/>
      <c r="I172" s="1760">
        <f t="shared" si="7"/>
        <v>1439.2</v>
      </c>
      <c r="J172" s="1761"/>
      <c r="K172" s="1761"/>
      <c r="L172" s="1761"/>
      <c r="M172" s="1762"/>
      <c r="N172" s="1760">
        <f t="shared" si="8"/>
        <v>21588</v>
      </c>
      <c r="O172" s="1761"/>
      <c r="P172" s="1761"/>
      <c r="Q172" s="1761"/>
      <c r="R172" s="1762"/>
      <c r="S172" s="2822">
        <f t="shared" si="9"/>
        <v>0.182</v>
      </c>
      <c r="T172" s="2823"/>
      <c r="U172" s="2823"/>
      <c r="V172" s="2823"/>
      <c r="W172" s="2824"/>
      <c r="X172" s="1760">
        <f t="shared" si="10"/>
        <v>1595.97</v>
      </c>
      <c r="Y172" s="1761"/>
      <c r="Z172" s="1761"/>
      <c r="AA172" s="1761"/>
      <c r="AB172" s="1762"/>
      <c r="AC172" s="1760">
        <f t="shared" si="11"/>
        <v>23939.55</v>
      </c>
      <c r="AD172" s="1761"/>
      <c r="AE172" s="1761"/>
      <c r="AF172" s="1762"/>
    </row>
    <row r="173" spans="1:33" s="227" customFormat="1" x14ac:dyDescent="0.25">
      <c r="A173" s="1816" t="s">
        <v>4439</v>
      </c>
      <c r="B173" s="1817"/>
      <c r="C173" s="1818"/>
      <c r="D173" s="2822">
        <f t="shared" si="6"/>
        <v>0.308</v>
      </c>
      <c r="E173" s="2823"/>
      <c r="F173" s="2823"/>
      <c r="G173" s="2823"/>
      <c r="H173" s="2824"/>
      <c r="I173" s="1760">
        <f t="shared" si="7"/>
        <v>2698.49</v>
      </c>
      <c r="J173" s="1761"/>
      <c r="K173" s="1761"/>
      <c r="L173" s="1761"/>
      <c r="M173" s="1762"/>
      <c r="N173" s="1760">
        <f t="shared" si="8"/>
        <v>40477.35</v>
      </c>
      <c r="O173" s="1761"/>
      <c r="P173" s="1761"/>
      <c r="Q173" s="1761"/>
      <c r="R173" s="1762"/>
      <c r="S173" s="2822">
        <f t="shared" si="9"/>
        <v>0.34200000000000003</v>
      </c>
      <c r="T173" s="2823"/>
      <c r="U173" s="2823"/>
      <c r="V173" s="2823"/>
      <c r="W173" s="2824"/>
      <c r="X173" s="1760">
        <f t="shared" si="10"/>
        <v>2992.44</v>
      </c>
      <c r="Y173" s="1761"/>
      <c r="Z173" s="1761"/>
      <c r="AA173" s="1761"/>
      <c r="AB173" s="1762"/>
      <c r="AC173" s="1760">
        <f t="shared" si="11"/>
        <v>44886.6</v>
      </c>
      <c r="AD173" s="1761"/>
      <c r="AE173" s="1761"/>
      <c r="AF173" s="1762"/>
    </row>
    <row r="174" spans="1:33" s="227" customFormat="1" x14ac:dyDescent="0.25">
      <c r="A174" s="1816" t="s">
        <v>4440</v>
      </c>
      <c r="B174" s="1817"/>
      <c r="C174" s="1818"/>
      <c r="D174" s="2822">
        <f>ROUND(($E109/$M$116-$E109/$R$116)*(1+1/$M$127)*$P$139/1000,3)</f>
        <v>0.82099999999999995</v>
      </c>
      <c r="E174" s="2823"/>
      <c r="F174" s="2823"/>
      <c r="G174" s="2823"/>
      <c r="H174" s="2824"/>
      <c r="I174" s="1760">
        <f t="shared" si="7"/>
        <v>7195.99</v>
      </c>
      <c r="J174" s="1761"/>
      <c r="K174" s="1761"/>
      <c r="L174" s="1761"/>
      <c r="M174" s="1762"/>
      <c r="N174" s="1760">
        <f>ROUND(I174*$Q$98,2)</f>
        <v>107939.85</v>
      </c>
      <c r="O174" s="1761"/>
      <c r="P174" s="1761"/>
      <c r="Q174" s="1761"/>
      <c r="R174" s="1762"/>
      <c r="S174" s="2822">
        <f>ROUND(($E109/$M$116-$E109/$R$116)*(1+1/$M$128)*$V$139/1000,3)</f>
        <v>0.91100000000000003</v>
      </c>
      <c r="T174" s="2823"/>
      <c r="U174" s="2823"/>
      <c r="V174" s="2823"/>
      <c r="W174" s="2824"/>
      <c r="X174" s="1760">
        <f>ROUND(($E109/$M$116-$E109/$R$116)*(1+1/$M$128)*$S$139/1000,2)</f>
        <v>7979.85</v>
      </c>
      <c r="Y174" s="1761"/>
      <c r="Z174" s="1761"/>
      <c r="AA174" s="1761"/>
      <c r="AB174" s="1762"/>
      <c r="AC174" s="1760">
        <f>ROUND(X174*$Q$98,2)</f>
        <v>119697.75</v>
      </c>
      <c r="AD174" s="1761"/>
      <c r="AE174" s="1761"/>
      <c r="AF174" s="1762"/>
    </row>
    <row r="175" spans="1:33" s="227" customFormat="1" x14ac:dyDescent="0.25">
      <c r="A175" s="190"/>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row>
    <row r="176" spans="1:33" s="227" customFormat="1" x14ac:dyDescent="0.25">
      <c r="A176" s="190" t="s">
        <v>6656</v>
      </c>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row>
    <row r="177" spans="1:38" s="227" customFormat="1" x14ac:dyDescent="0.25">
      <c r="A177" s="1819" t="s">
        <v>4429</v>
      </c>
      <c r="B177" s="1720"/>
      <c r="C177" s="2825"/>
      <c r="D177" s="2146" t="s">
        <v>4430</v>
      </c>
      <c r="E177" s="2147"/>
      <c r="F177" s="2147"/>
      <c r="G177" s="2147"/>
      <c r="H177" s="2147"/>
      <c r="I177" s="2147"/>
      <c r="J177" s="2147"/>
      <c r="K177" s="2147"/>
      <c r="L177" s="2147"/>
      <c r="M177" s="2147"/>
      <c r="N177" s="2147"/>
      <c r="O177" s="2147"/>
      <c r="P177" s="2147"/>
      <c r="Q177" s="2147"/>
      <c r="R177" s="2148"/>
      <c r="S177" s="2146" t="s">
        <v>4431</v>
      </c>
      <c r="T177" s="2147"/>
      <c r="U177" s="2147"/>
      <c r="V177" s="2147"/>
      <c r="W177" s="2147"/>
      <c r="X177" s="2147"/>
      <c r="Y177" s="2147"/>
      <c r="Z177" s="2147"/>
      <c r="AA177" s="2147"/>
      <c r="AB177" s="2147"/>
      <c r="AC177" s="2147"/>
      <c r="AD177" s="2147"/>
      <c r="AE177" s="2147"/>
      <c r="AF177" s="2148"/>
    </row>
    <row r="178" spans="1:38" s="227" customFormat="1" ht="45" customHeight="1" x14ac:dyDescent="0.25">
      <c r="A178" s="2826"/>
      <c r="B178" s="2827"/>
      <c r="C178" s="2828"/>
      <c r="D178" s="1439" t="s">
        <v>4432</v>
      </c>
      <c r="E178" s="1440"/>
      <c r="F178" s="1440"/>
      <c r="G178" s="1440"/>
      <c r="H178" s="1441"/>
      <c r="I178" s="1439" t="s">
        <v>4433</v>
      </c>
      <c r="J178" s="1440"/>
      <c r="K178" s="1440"/>
      <c r="L178" s="1440"/>
      <c r="M178" s="1441"/>
      <c r="N178" s="1439" t="s">
        <v>4434</v>
      </c>
      <c r="O178" s="1440"/>
      <c r="P178" s="1440"/>
      <c r="Q178" s="1440"/>
      <c r="R178" s="1441"/>
      <c r="S178" s="1439" t="s">
        <v>4432</v>
      </c>
      <c r="T178" s="1440"/>
      <c r="U178" s="1440"/>
      <c r="V178" s="1440"/>
      <c r="W178" s="1441"/>
      <c r="X178" s="1439" t="s">
        <v>4433</v>
      </c>
      <c r="Y178" s="1440"/>
      <c r="Z178" s="1440"/>
      <c r="AA178" s="1440"/>
      <c r="AB178" s="1441"/>
      <c r="AC178" s="1439" t="s">
        <v>4434</v>
      </c>
      <c r="AD178" s="1440"/>
      <c r="AE178" s="1440"/>
      <c r="AF178" s="1441"/>
    </row>
    <row r="179" spans="1:38" s="227" customFormat="1" x14ac:dyDescent="0.25">
      <c r="A179" s="1816" t="s">
        <v>4435</v>
      </c>
      <c r="B179" s="1817"/>
      <c r="C179" s="1818"/>
      <c r="D179" s="2822">
        <f>ROUND(($E104/$M$117-$E104/$R$117)*$P$140/1000,3)</f>
        <v>1.4E-2</v>
      </c>
      <c r="E179" s="2823"/>
      <c r="F179" s="2823"/>
      <c r="G179" s="2823"/>
      <c r="H179" s="2824"/>
      <c r="I179" s="1760">
        <f>ROUND(($E104/$M$117-$E104/$R$117)*$M$140/1000,2)</f>
        <v>118.68</v>
      </c>
      <c r="J179" s="1761"/>
      <c r="K179" s="1761"/>
      <c r="L179" s="1761"/>
      <c r="M179" s="1762"/>
      <c r="N179" s="1760">
        <f>ROUND(I179*$Q$98,2)</f>
        <v>1780.2</v>
      </c>
      <c r="O179" s="1761"/>
      <c r="P179" s="1761"/>
      <c r="Q179" s="1761"/>
      <c r="R179" s="1762"/>
      <c r="S179" s="2822">
        <f>ROUND(($E104/$M$117-$E104/$R$117)*$V$140/1000,3)</f>
        <v>1.9E-2</v>
      </c>
      <c r="T179" s="2823"/>
      <c r="U179" s="2823"/>
      <c r="V179" s="2823"/>
      <c r="W179" s="2824"/>
      <c r="X179" s="1760">
        <f>ROUND(($E104/$M$117-$E104/$R$117)*$S$140/1000,2)</f>
        <v>166.15</v>
      </c>
      <c r="Y179" s="1761"/>
      <c r="Z179" s="1761"/>
      <c r="AA179" s="1761"/>
      <c r="AB179" s="1762"/>
      <c r="AC179" s="1760">
        <f>ROUND(X179*$Q$98,2)</f>
        <v>2492.25</v>
      </c>
      <c r="AD179" s="1761"/>
      <c r="AE179" s="1761"/>
      <c r="AF179" s="1762"/>
      <c r="AL179" s="638"/>
    </row>
    <row r="180" spans="1:38" s="227" customFormat="1" x14ac:dyDescent="0.25">
      <c r="A180" s="1816" t="s">
        <v>4436</v>
      </c>
      <c r="B180" s="1817"/>
      <c r="C180" s="1818"/>
      <c r="D180" s="2822">
        <f t="shared" ref="D180:D184" si="12">ROUND(($E105/$M$117-$E105/$R$117)*$P$140/1000,3)</f>
        <v>2.5000000000000001E-2</v>
      </c>
      <c r="E180" s="2823"/>
      <c r="F180" s="2823"/>
      <c r="G180" s="2823"/>
      <c r="H180" s="2824"/>
      <c r="I180" s="1760">
        <f t="shared" ref="I180:I183" si="13">ROUND(($E105/$M$117-$E105/$R$117)*$M$140/1000,2)</f>
        <v>223.11</v>
      </c>
      <c r="J180" s="1761"/>
      <c r="K180" s="1761"/>
      <c r="L180" s="1761"/>
      <c r="M180" s="1762"/>
      <c r="N180" s="1760">
        <f t="shared" ref="N180:N183" si="14">ROUND(I180*$Q$98,2)</f>
        <v>3346.65</v>
      </c>
      <c r="O180" s="1761"/>
      <c r="P180" s="1761"/>
      <c r="Q180" s="1761"/>
      <c r="R180" s="1762"/>
      <c r="S180" s="2822">
        <f t="shared" ref="S180:S183" si="15">ROUND(($E105/$M$117-$E105/$R$117)*$V$140/1000,3)</f>
        <v>3.5999999999999997E-2</v>
      </c>
      <c r="T180" s="2823"/>
      <c r="U180" s="2823"/>
      <c r="V180" s="2823"/>
      <c r="W180" s="2824"/>
      <c r="X180" s="1760">
        <f t="shared" ref="X180:X183" si="16">ROUND(($E105/$M$117-$E105/$R$117)*$S$140/1000,2)</f>
        <v>312.36</v>
      </c>
      <c r="Y180" s="1761"/>
      <c r="Z180" s="1761"/>
      <c r="AA180" s="1761"/>
      <c r="AB180" s="1762"/>
      <c r="AC180" s="1760">
        <f t="shared" ref="AC180:AC183" si="17">ROUND(X180*$Q$98,2)</f>
        <v>4685.3999999999996</v>
      </c>
      <c r="AD180" s="1761"/>
      <c r="AE180" s="1761"/>
      <c r="AF180" s="1762"/>
    </row>
    <row r="181" spans="1:38" s="227" customFormat="1" x14ac:dyDescent="0.25">
      <c r="A181" s="1816" t="s">
        <v>4437</v>
      </c>
      <c r="B181" s="1817"/>
      <c r="C181" s="1818"/>
      <c r="D181" s="2822">
        <f t="shared" si="12"/>
        <v>3.2000000000000001E-2</v>
      </c>
      <c r="E181" s="2823"/>
      <c r="F181" s="2823"/>
      <c r="G181" s="2823"/>
      <c r="H181" s="2824"/>
      <c r="I181" s="1760">
        <f t="shared" si="13"/>
        <v>278.89</v>
      </c>
      <c r="J181" s="1761"/>
      <c r="K181" s="1761"/>
      <c r="L181" s="1761"/>
      <c r="M181" s="1762"/>
      <c r="N181" s="1760">
        <f t="shared" si="14"/>
        <v>4183.3500000000004</v>
      </c>
      <c r="O181" s="1761"/>
      <c r="P181" s="1761"/>
      <c r="Q181" s="1761"/>
      <c r="R181" s="1762"/>
      <c r="S181" s="2822">
        <f t="shared" si="15"/>
        <v>4.4999999999999998E-2</v>
      </c>
      <c r="T181" s="2823"/>
      <c r="U181" s="2823"/>
      <c r="V181" s="2823"/>
      <c r="W181" s="2824"/>
      <c r="X181" s="1760">
        <f t="shared" si="16"/>
        <v>390.44</v>
      </c>
      <c r="Y181" s="1761"/>
      <c r="Z181" s="1761"/>
      <c r="AA181" s="1761"/>
      <c r="AB181" s="1762"/>
      <c r="AC181" s="1760">
        <f>ROUND(X181*$Q$98,2)</f>
        <v>5856.6</v>
      </c>
      <c r="AD181" s="1761"/>
      <c r="AE181" s="1761"/>
      <c r="AF181" s="1762"/>
    </row>
    <row r="182" spans="1:38" s="227" customFormat="1" x14ac:dyDescent="0.25">
      <c r="A182" s="1816" t="s">
        <v>4438</v>
      </c>
      <c r="B182" s="1817"/>
      <c r="C182" s="1818"/>
      <c r="D182" s="2822">
        <f t="shared" si="12"/>
        <v>4.2000000000000003E-2</v>
      </c>
      <c r="E182" s="2823"/>
      <c r="F182" s="2823"/>
      <c r="G182" s="2823"/>
      <c r="H182" s="2824"/>
      <c r="I182" s="1760">
        <f t="shared" si="13"/>
        <v>371.85</v>
      </c>
      <c r="J182" s="1761"/>
      <c r="K182" s="1761"/>
      <c r="L182" s="1761"/>
      <c r="M182" s="1762"/>
      <c r="N182" s="1760">
        <f t="shared" si="14"/>
        <v>5577.75</v>
      </c>
      <c r="O182" s="1761"/>
      <c r="P182" s="1761"/>
      <c r="Q182" s="1761"/>
      <c r="R182" s="1762"/>
      <c r="S182" s="2822">
        <f t="shared" si="15"/>
        <v>5.8999999999999997E-2</v>
      </c>
      <c r="T182" s="2823"/>
      <c r="U182" s="2823"/>
      <c r="V182" s="2823"/>
      <c r="W182" s="2824"/>
      <c r="X182" s="1760">
        <f t="shared" si="16"/>
        <v>520.59</v>
      </c>
      <c r="Y182" s="1761"/>
      <c r="Z182" s="1761"/>
      <c r="AA182" s="1761"/>
      <c r="AB182" s="1762"/>
      <c r="AC182" s="1760">
        <f t="shared" si="17"/>
        <v>7808.85</v>
      </c>
      <c r="AD182" s="1761"/>
      <c r="AE182" s="1761"/>
      <c r="AF182" s="1762"/>
    </row>
    <row r="183" spans="1:38" s="227" customFormat="1" x14ac:dyDescent="0.25">
      <c r="A183" s="1816" t="s">
        <v>4439</v>
      </c>
      <c r="B183" s="1817"/>
      <c r="C183" s="1818"/>
      <c r="D183" s="2822">
        <f t="shared" si="12"/>
        <v>0.08</v>
      </c>
      <c r="E183" s="2823"/>
      <c r="F183" s="2823"/>
      <c r="G183" s="2823"/>
      <c r="H183" s="2824"/>
      <c r="I183" s="1760">
        <f t="shared" si="13"/>
        <v>697.22</v>
      </c>
      <c r="J183" s="1761"/>
      <c r="K183" s="1761"/>
      <c r="L183" s="1761"/>
      <c r="M183" s="1762"/>
      <c r="N183" s="1760">
        <f t="shared" si="14"/>
        <v>10458.299999999999</v>
      </c>
      <c r="O183" s="1761"/>
      <c r="P183" s="1761"/>
      <c r="Q183" s="1761"/>
      <c r="R183" s="1762"/>
      <c r="S183" s="2822">
        <f t="shared" si="15"/>
        <v>0.111</v>
      </c>
      <c r="T183" s="2823"/>
      <c r="U183" s="2823"/>
      <c r="V183" s="2823"/>
      <c r="W183" s="2824"/>
      <c r="X183" s="1760">
        <f t="shared" si="16"/>
        <v>976.11</v>
      </c>
      <c r="Y183" s="1761"/>
      <c r="Z183" s="1761"/>
      <c r="AA183" s="1761"/>
      <c r="AB183" s="1762"/>
      <c r="AC183" s="1760">
        <f t="shared" si="17"/>
        <v>14641.65</v>
      </c>
      <c r="AD183" s="1761"/>
      <c r="AE183" s="1761"/>
      <c r="AF183" s="1762"/>
    </row>
    <row r="184" spans="1:38" s="227" customFormat="1" x14ac:dyDescent="0.25">
      <c r="A184" s="1816" t="s">
        <v>4440</v>
      </c>
      <c r="B184" s="1817"/>
      <c r="C184" s="1818"/>
      <c r="D184" s="2822">
        <f t="shared" si="12"/>
        <v>0.21199999999999999</v>
      </c>
      <c r="E184" s="2823"/>
      <c r="F184" s="2823"/>
      <c r="G184" s="2823"/>
      <c r="H184" s="2824"/>
      <c r="I184" s="1760">
        <f>ROUND(($E109/$M$117-$E109/$R$117)*$M$140/1000,2)</f>
        <v>1859.26</v>
      </c>
      <c r="J184" s="1761"/>
      <c r="K184" s="1761"/>
      <c r="L184" s="1761"/>
      <c r="M184" s="1762"/>
      <c r="N184" s="1760">
        <f>ROUND(I184*$Q$98,2)</f>
        <v>27888.9</v>
      </c>
      <c r="O184" s="1761"/>
      <c r="P184" s="1761"/>
      <c r="Q184" s="1761"/>
      <c r="R184" s="1762"/>
      <c r="S184" s="2822">
        <f>ROUND(($E109/$M$117-$E109/$R$117)*$V$140/1000,3)</f>
        <v>0.29699999999999999</v>
      </c>
      <c r="T184" s="2823"/>
      <c r="U184" s="2823"/>
      <c r="V184" s="2823"/>
      <c r="W184" s="2824"/>
      <c r="X184" s="1760">
        <f>ROUND(($E109/$M$117-$E109/$R$117)*$S$140/1000,2)</f>
        <v>2602.9699999999998</v>
      </c>
      <c r="Y184" s="1761"/>
      <c r="Z184" s="1761"/>
      <c r="AA184" s="1761"/>
      <c r="AB184" s="1762"/>
      <c r="AC184" s="1760">
        <f>ROUND(X184*$Q$98,2)</f>
        <v>39044.550000000003</v>
      </c>
      <c r="AD184" s="1761"/>
      <c r="AE184" s="1761"/>
      <c r="AF184" s="1762"/>
    </row>
    <row r="185" spans="1:38" s="227" customFormat="1" x14ac:dyDescent="0.25">
      <c r="A185" s="190"/>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row>
    <row r="186" spans="1:38" s="227" customFormat="1" x14ac:dyDescent="0.25">
      <c r="A186" s="190" t="s">
        <v>6657</v>
      </c>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row>
    <row r="187" spans="1:38" s="227" customFormat="1" ht="30.75" customHeight="1" x14ac:dyDescent="0.25">
      <c r="A187" s="1439" t="s">
        <v>4429</v>
      </c>
      <c r="B187" s="1440"/>
      <c r="C187" s="1441"/>
      <c r="D187" s="1439" t="s">
        <v>4432</v>
      </c>
      <c r="E187" s="1440"/>
      <c r="F187" s="1440"/>
      <c r="G187" s="1440"/>
      <c r="H187" s="1441"/>
      <c r="I187" s="1439" t="s">
        <v>4433</v>
      </c>
      <c r="J187" s="1440"/>
      <c r="K187" s="1440"/>
      <c r="L187" s="1440"/>
      <c r="M187" s="1441"/>
      <c r="N187" s="1439" t="s">
        <v>4434</v>
      </c>
      <c r="O187" s="1440"/>
      <c r="P187" s="1440"/>
      <c r="Q187" s="1440"/>
      <c r="R187" s="1441"/>
      <c r="S187" s="975"/>
      <c r="T187" s="477"/>
      <c r="U187" s="477"/>
      <c r="V187" s="477"/>
      <c r="W187" s="477"/>
      <c r="X187" s="477"/>
      <c r="Y187" s="477"/>
      <c r="Z187" s="477"/>
      <c r="AA187" s="477"/>
      <c r="AB187" s="477"/>
      <c r="AC187" s="477"/>
      <c r="AD187" s="477"/>
      <c r="AE187" s="477"/>
      <c r="AF187" s="477"/>
    </row>
    <row r="188" spans="1:38" s="227" customFormat="1" x14ac:dyDescent="0.25">
      <c r="A188" s="1816" t="s">
        <v>4435</v>
      </c>
      <c r="B188" s="1817"/>
      <c r="C188" s="1818"/>
      <c r="D188" s="2822">
        <f>ROUND(($E104/$M$118-$E104/$R$118)*(1+1/$M$129)*$AB$141/1000,3)</f>
        <v>1.4999999999999999E-2</v>
      </c>
      <c r="E188" s="2823"/>
      <c r="F188" s="2823"/>
      <c r="G188" s="2823"/>
      <c r="H188" s="2824"/>
      <c r="I188" s="1760">
        <f>ROUND(($E104/$M$118-$E104/$R$118)*(1+1/$M$129)*$Y$141/1000,2)</f>
        <v>102.26</v>
      </c>
      <c r="J188" s="1761"/>
      <c r="K188" s="1761"/>
      <c r="L188" s="1761"/>
      <c r="M188" s="1762"/>
      <c r="N188" s="1760">
        <f>ROUND(I188*$Q$98,2)</f>
        <v>1533.9</v>
      </c>
      <c r="O188" s="1761"/>
      <c r="P188" s="1761"/>
      <c r="Q188" s="1761"/>
      <c r="R188" s="1762"/>
      <c r="S188" s="976"/>
      <c r="T188" s="977"/>
      <c r="U188" s="977"/>
      <c r="V188" s="977"/>
      <c r="W188" s="977"/>
      <c r="X188" s="978"/>
      <c r="Y188" s="978"/>
      <c r="Z188" s="978"/>
      <c r="AA188" s="978"/>
      <c r="AB188" s="978"/>
      <c r="AC188" s="978"/>
      <c r="AD188" s="978"/>
      <c r="AE188" s="978"/>
      <c r="AF188" s="978"/>
    </row>
    <row r="189" spans="1:38" s="227" customFormat="1" x14ac:dyDescent="0.25">
      <c r="A189" s="1816" t="s">
        <v>4436</v>
      </c>
      <c r="B189" s="1817"/>
      <c r="C189" s="1818"/>
      <c r="D189" s="2822">
        <f t="shared" ref="D189:D192" si="18">ROUND(($E105/$M$118-$E105/$R$118)*(1+1/$M$129)*$AB$141/1000,3)</f>
        <v>2.8000000000000001E-2</v>
      </c>
      <c r="E189" s="2823"/>
      <c r="F189" s="2823"/>
      <c r="G189" s="2823"/>
      <c r="H189" s="2824"/>
      <c r="I189" s="1760">
        <f t="shared" ref="I189:I192" si="19">ROUND(($E105/$M$118-$E105/$R$118)*(1+1/$M$129)*$Y$141/1000,2)</f>
        <v>192.25</v>
      </c>
      <c r="J189" s="1761"/>
      <c r="K189" s="1761"/>
      <c r="L189" s="1761"/>
      <c r="M189" s="1762"/>
      <c r="N189" s="1760">
        <f t="shared" ref="N189" si="20">ROUND(I189*$Q$98,2)</f>
        <v>2883.75</v>
      </c>
      <c r="O189" s="1761"/>
      <c r="P189" s="1761"/>
      <c r="Q189" s="1761"/>
      <c r="R189" s="1762"/>
      <c r="S189" s="976"/>
      <c r="T189" s="977"/>
      <c r="U189" s="977"/>
      <c r="V189" s="977"/>
      <c r="W189" s="977"/>
      <c r="X189" s="978"/>
      <c r="Y189" s="978"/>
      <c r="Z189" s="978"/>
      <c r="AA189" s="978"/>
      <c r="AB189" s="978"/>
      <c r="AC189" s="978"/>
      <c r="AD189" s="978"/>
      <c r="AE189" s="978"/>
      <c r="AF189" s="978"/>
    </row>
    <row r="190" spans="1:38" s="227" customFormat="1" x14ac:dyDescent="0.25">
      <c r="A190" s="1816" t="s">
        <v>4437</v>
      </c>
      <c r="B190" s="1817"/>
      <c r="C190" s="1818"/>
      <c r="D190" s="2822">
        <f t="shared" si="18"/>
        <v>3.5000000000000003E-2</v>
      </c>
      <c r="E190" s="2823"/>
      <c r="F190" s="2823"/>
      <c r="G190" s="2823"/>
      <c r="H190" s="2824"/>
      <c r="I190" s="1760">
        <f t="shared" si="19"/>
        <v>240.32</v>
      </c>
      <c r="J190" s="1761"/>
      <c r="K190" s="1761"/>
      <c r="L190" s="1761"/>
      <c r="M190" s="1762"/>
      <c r="N190" s="1760">
        <f>ROUND(I190*$Q$98,2)</f>
        <v>3604.8</v>
      </c>
      <c r="O190" s="1761"/>
      <c r="P190" s="1761"/>
      <c r="Q190" s="1761"/>
      <c r="R190" s="1762"/>
      <c r="S190" s="976"/>
      <c r="T190" s="977"/>
      <c r="U190" s="977"/>
      <c r="V190" s="977"/>
      <c r="W190" s="977"/>
      <c r="X190" s="978"/>
      <c r="Y190" s="978"/>
      <c r="Z190" s="978"/>
      <c r="AA190" s="978"/>
      <c r="AB190" s="978"/>
      <c r="AC190" s="978"/>
      <c r="AD190" s="978"/>
      <c r="AE190" s="978"/>
      <c r="AF190" s="978"/>
    </row>
    <row r="191" spans="1:38" s="227" customFormat="1" x14ac:dyDescent="0.25">
      <c r="A191" s="1816" t="s">
        <v>4438</v>
      </c>
      <c r="B191" s="1817"/>
      <c r="C191" s="1818"/>
      <c r="D191" s="2822">
        <f t="shared" si="18"/>
        <v>4.7E-2</v>
      </c>
      <c r="E191" s="2823"/>
      <c r="F191" s="2823"/>
      <c r="G191" s="2823"/>
      <c r="H191" s="2824"/>
      <c r="I191" s="1760">
        <f t="shared" si="19"/>
        <v>320.42</v>
      </c>
      <c r="J191" s="1761"/>
      <c r="K191" s="1761"/>
      <c r="L191" s="1761"/>
      <c r="M191" s="1762"/>
      <c r="N191" s="1760">
        <f>ROUND(I191*$Q$98,2)</f>
        <v>4806.3</v>
      </c>
      <c r="O191" s="1761"/>
      <c r="P191" s="1761"/>
      <c r="Q191" s="1761"/>
      <c r="R191" s="1762"/>
      <c r="S191" s="976"/>
      <c r="T191" s="977"/>
      <c r="U191" s="977"/>
      <c r="V191" s="977"/>
      <c r="W191" s="977"/>
      <c r="X191" s="978"/>
      <c r="Y191" s="978"/>
      <c r="Z191" s="978"/>
      <c r="AA191" s="978"/>
      <c r="AB191" s="978"/>
      <c r="AC191" s="978"/>
      <c r="AD191" s="978"/>
      <c r="AE191" s="978"/>
      <c r="AF191" s="978"/>
    </row>
    <row r="192" spans="1:38" s="227" customFormat="1" x14ac:dyDescent="0.25">
      <c r="A192" s="1816" t="s">
        <v>4439</v>
      </c>
      <c r="B192" s="1817"/>
      <c r="C192" s="1818"/>
      <c r="D192" s="2822">
        <f t="shared" si="18"/>
        <v>8.7999999999999995E-2</v>
      </c>
      <c r="E192" s="2823"/>
      <c r="F192" s="2823"/>
      <c r="G192" s="2823"/>
      <c r="H192" s="2824"/>
      <c r="I192" s="1760">
        <f t="shared" si="19"/>
        <v>600.79</v>
      </c>
      <c r="J192" s="1761"/>
      <c r="K192" s="1761"/>
      <c r="L192" s="1761"/>
      <c r="M192" s="1762"/>
      <c r="N192" s="1760">
        <f>ROUND(I192*$Q$97,2)</f>
        <v>3003.95</v>
      </c>
      <c r="O192" s="1761"/>
      <c r="P192" s="1761"/>
      <c r="Q192" s="1761"/>
      <c r="R192" s="1762"/>
      <c r="S192" s="976"/>
      <c r="T192" s="977"/>
      <c r="U192" s="977"/>
      <c r="V192" s="977"/>
      <c r="W192" s="977"/>
      <c r="X192" s="978"/>
      <c r="Y192" s="978"/>
      <c r="Z192" s="978"/>
      <c r="AA192" s="978"/>
      <c r="AB192" s="978"/>
      <c r="AC192" s="978"/>
      <c r="AD192" s="978"/>
      <c r="AE192" s="978"/>
      <c r="AF192" s="978"/>
    </row>
    <row r="193" spans="1:38" s="227" customFormat="1" x14ac:dyDescent="0.25">
      <c r="A193" s="1816" t="s">
        <v>4440</v>
      </c>
      <c r="B193" s="1817"/>
      <c r="C193" s="1818"/>
      <c r="D193" s="2822">
        <f>ROUND(($E109/$M$118-$E109/$R$118)*(1+1/$M$129)*$AB$141/1000,3)</f>
        <v>0.23499999999999999</v>
      </c>
      <c r="E193" s="2823"/>
      <c r="F193" s="2823"/>
      <c r="G193" s="2823"/>
      <c r="H193" s="2824"/>
      <c r="I193" s="1760">
        <f>ROUND(($E109/$M$118-$E109/$R$118)*(1+1/$M$129)*$Y$141/1000,2)</f>
        <v>1602.1</v>
      </c>
      <c r="J193" s="1761"/>
      <c r="K193" s="1761"/>
      <c r="L193" s="1761"/>
      <c r="M193" s="1762"/>
      <c r="N193" s="1760">
        <f>ROUND(I193*$Q$97,2)</f>
        <v>8010.5</v>
      </c>
      <c r="O193" s="1761"/>
      <c r="P193" s="1761"/>
      <c r="Q193" s="1761"/>
      <c r="R193" s="1762"/>
      <c r="S193" s="976"/>
      <c r="T193" s="977"/>
      <c r="U193" s="977"/>
      <c r="V193" s="977"/>
      <c r="W193" s="977"/>
      <c r="X193" s="978"/>
      <c r="Y193" s="978"/>
      <c r="Z193" s="978"/>
      <c r="AA193" s="978"/>
      <c r="AB193" s="978"/>
      <c r="AC193" s="978"/>
      <c r="AD193" s="978"/>
      <c r="AE193" s="978"/>
      <c r="AF193" s="978"/>
    </row>
    <row r="194" spans="1:38" customFormat="1" x14ac:dyDescent="0.25">
      <c r="A194" s="728">
        <v>1</v>
      </c>
      <c r="B194" s="728">
        <v>2</v>
      </c>
      <c r="C194" s="728">
        <v>3</v>
      </c>
      <c r="D194" s="728">
        <v>4</v>
      </c>
      <c r="E194" s="728">
        <v>5</v>
      </c>
      <c r="F194" s="728">
        <v>6</v>
      </c>
      <c r="G194" s="728">
        <v>7</v>
      </c>
      <c r="H194" s="728">
        <v>8</v>
      </c>
      <c r="I194" s="728">
        <v>9</v>
      </c>
      <c r="J194" s="728">
        <v>10</v>
      </c>
      <c r="K194" s="728">
        <v>11</v>
      </c>
      <c r="L194" s="728">
        <v>12</v>
      </c>
      <c r="M194" s="728">
        <v>13</v>
      </c>
      <c r="N194" s="728">
        <v>14</v>
      </c>
      <c r="O194" s="728">
        <v>15</v>
      </c>
      <c r="P194" s="728">
        <v>16</v>
      </c>
      <c r="Q194" s="728">
        <v>17</v>
      </c>
      <c r="R194" s="728">
        <v>18</v>
      </c>
      <c r="S194" s="728">
        <v>19</v>
      </c>
      <c r="T194" s="728">
        <v>20</v>
      </c>
      <c r="U194" s="728">
        <v>21</v>
      </c>
      <c r="V194" s="728">
        <v>22</v>
      </c>
      <c r="W194" s="728">
        <v>23</v>
      </c>
      <c r="X194" s="728">
        <v>24</v>
      </c>
      <c r="Y194" s="728">
        <v>25</v>
      </c>
      <c r="Z194" s="728">
        <v>26</v>
      </c>
      <c r="AA194" s="728">
        <v>27</v>
      </c>
      <c r="AB194" s="728">
        <v>28</v>
      </c>
      <c r="AC194" s="728">
        <v>29</v>
      </c>
      <c r="AD194" s="728">
        <v>30</v>
      </c>
      <c r="AE194" s="728">
        <v>31</v>
      </c>
      <c r="AF194" s="728">
        <v>32</v>
      </c>
    </row>
    <row r="195" spans="1:38" s="227" customFormat="1" x14ac:dyDescent="0.25">
      <c r="A195" s="870"/>
      <c r="B195" s="870"/>
      <c r="C195" s="870"/>
      <c r="D195" s="870"/>
      <c r="E195" s="870"/>
      <c r="F195" s="870"/>
      <c r="G195" s="870"/>
      <c r="H195" s="870"/>
      <c r="I195" s="870"/>
      <c r="J195" s="870"/>
      <c r="K195" s="870"/>
      <c r="L195" s="870"/>
      <c r="M195" s="870"/>
      <c r="N195" s="870"/>
      <c r="O195" s="870"/>
      <c r="P195" s="870"/>
      <c r="Q195" s="870"/>
      <c r="R195" s="870"/>
      <c r="S195" s="870"/>
      <c r="T195" s="870"/>
      <c r="U195" s="870"/>
      <c r="V195" s="870"/>
      <c r="W195" s="870"/>
      <c r="X195" s="870"/>
      <c r="Y195" s="870"/>
      <c r="Z195" s="870"/>
      <c r="AA195" s="870"/>
      <c r="AB195" s="870"/>
      <c r="AC195" s="870"/>
      <c r="AD195" s="870"/>
      <c r="AE195" s="870"/>
      <c r="AF195" s="870"/>
      <c r="AG195" s="262"/>
    </row>
    <row r="196" spans="1:38" s="227" customFormat="1" x14ac:dyDescent="0.25">
      <c r="A196" s="1385" t="s">
        <v>21</v>
      </c>
      <c r="B196" s="1386"/>
      <c r="C196" s="1386"/>
      <c r="D196" s="1386"/>
      <c r="E196" s="1386"/>
      <c r="F196" s="1386"/>
      <c r="G196" s="1386"/>
      <c r="H196" s="1386"/>
      <c r="I196" s="1386"/>
      <c r="J196" s="1386"/>
      <c r="K196" s="1386"/>
      <c r="L196" s="1386"/>
      <c r="M196" s="1386"/>
      <c r="N196" s="1386"/>
      <c r="O196" s="1386"/>
      <c r="P196" s="1386"/>
      <c r="Q196" s="1386"/>
      <c r="R196" s="1386"/>
      <c r="S196" s="1386"/>
      <c r="T196" s="1386"/>
      <c r="U196" s="1386"/>
      <c r="V196" s="1386"/>
      <c r="W196" s="1386"/>
      <c r="X196" s="1386"/>
      <c r="Y196" s="1386"/>
      <c r="Z196" s="1386"/>
      <c r="AA196" s="1386"/>
      <c r="AB196" s="1386"/>
      <c r="AC196" s="1386"/>
      <c r="AD196" s="1386"/>
      <c r="AE196" s="1386"/>
      <c r="AF196" s="1387"/>
      <c r="AG196" s="262"/>
      <c r="AL196" s="638"/>
    </row>
    <row r="197" spans="1:38" s="227" customFormat="1" x14ac:dyDescent="0.25"/>
    <row r="198" spans="1:38" s="227" customFormat="1" x14ac:dyDescent="0.25">
      <c r="A198" s="642" t="s">
        <v>4442</v>
      </c>
      <c r="J198" s="423"/>
      <c r="K198" s="423"/>
      <c r="L198" s="423"/>
      <c r="M198" s="423"/>
      <c r="N198" s="423"/>
      <c r="O198" s="423"/>
      <c r="P198" s="423"/>
      <c r="Q198" s="423"/>
      <c r="R198" s="423"/>
    </row>
    <row r="199" spans="1:38" s="227" customFormat="1" x14ac:dyDescent="0.25"/>
    <row r="200" spans="1:38" s="227" customFormat="1" x14ac:dyDescent="0.25">
      <c r="C200" s="227" t="s">
        <v>6658</v>
      </c>
    </row>
    <row r="201" spans="1:38" customFormat="1" x14ac:dyDescent="0.25">
      <c r="A201" s="227"/>
      <c r="B201" s="227"/>
      <c r="C201" s="227"/>
      <c r="D201" s="227"/>
      <c r="E201" s="227"/>
      <c r="F201" s="2721" t="s">
        <v>6659</v>
      </c>
      <c r="G201" s="2722"/>
      <c r="H201" s="2722"/>
      <c r="I201" s="2722"/>
      <c r="J201" s="2722"/>
      <c r="K201" s="2722"/>
      <c r="L201" s="2722"/>
      <c r="M201" s="2723"/>
      <c r="N201" s="227"/>
      <c r="O201" s="227"/>
      <c r="P201" s="227"/>
      <c r="Q201" s="227"/>
      <c r="R201" s="227"/>
      <c r="S201" s="227"/>
      <c r="T201" s="227"/>
      <c r="U201" s="227"/>
      <c r="V201" s="227"/>
      <c r="W201" s="227"/>
      <c r="X201" s="227"/>
      <c r="Y201" s="227"/>
      <c r="Z201" s="227"/>
      <c r="AA201" s="227"/>
      <c r="AB201" s="227"/>
      <c r="AC201" s="227"/>
      <c r="AD201" s="227"/>
      <c r="AE201" s="227"/>
      <c r="AF201" s="227"/>
    </row>
    <row r="202" spans="1:38" customFormat="1" x14ac:dyDescent="0.25">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c r="AC202" s="227"/>
      <c r="AD202" s="227"/>
      <c r="AE202" s="227"/>
      <c r="AF202" s="227"/>
    </row>
    <row r="203" spans="1:38" s="227" customFormat="1" x14ac:dyDescent="0.25">
      <c r="C203" s="227" t="s">
        <v>6660</v>
      </c>
    </row>
    <row r="204" spans="1:38" customFormat="1" x14ac:dyDescent="0.25">
      <c r="A204" s="227"/>
      <c r="B204" s="227"/>
      <c r="C204" s="227"/>
      <c r="D204" s="227"/>
      <c r="E204" s="227"/>
      <c r="F204" s="2721" t="s">
        <v>1328</v>
      </c>
      <c r="G204" s="2722"/>
      <c r="H204" s="2723"/>
      <c r="I204" s="227"/>
      <c r="J204" s="227"/>
      <c r="K204" s="227"/>
      <c r="L204" s="227"/>
      <c r="M204" s="227"/>
      <c r="N204" s="227"/>
      <c r="O204" s="227"/>
      <c r="P204" s="227"/>
      <c r="Q204" s="227"/>
      <c r="R204" s="227"/>
      <c r="S204" s="227"/>
      <c r="T204" s="227"/>
      <c r="U204" s="227"/>
      <c r="V204" s="227"/>
      <c r="W204" s="227"/>
      <c r="X204" s="227"/>
      <c r="Y204" s="227"/>
      <c r="Z204" s="227"/>
      <c r="AA204" s="227"/>
      <c r="AB204" s="227"/>
      <c r="AC204" s="227"/>
      <c r="AD204" s="227"/>
      <c r="AE204" s="227"/>
      <c r="AF204" s="227"/>
    </row>
    <row r="205" spans="1:38" customFormat="1" x14ac:dyDescent="0.25">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27"/>
      <c r="AC205" s="227"/>
      <c r="AD205" s="227"/>
      <c r="AE205" s="227"/>
      <c r="AF205" s="227"/>
    </row>
    <row r="206" spans="1:38" s="227" customFormat="1" x14ac:dyDescent="0.25">
      <c r="C206" s="227" t="s">
        <v>6661</v>
      </c>
    </row>
    <row r="207" spans="1:38" customFormat="1" x14ac:dyDescent="0.25">
      <c r="A207" s="227"/>
      <c r="B207" s="227"/>
      <c r="C207" s="227"/>
      <c r="D207" s="227"/>
      <c r="E207" s="227"/>
      <c r="F207" s="2721" t="s">
        <v>6662</v>
      </c>
      <c r="G207" s="2722"/>
      <c r="H207" s="2723"/>
      <c r="I207" s="523" t="s">
        <v>6663</v>
      </c>
      <c r="J207" s="1"/>
      <c r="K207" s="227"/>
      <c r="L207" s="227"/>
      <c r="M207" s="227"/>
      <c r="N207" s="227"/>
      <c r="O207" s="227"/>
      <c r="P207" s="227"/>
      <c r="Q207" s="227"/>
      <c r="R207" s="227"/>
      <c r="S207" s="227"/>
      <c r="T207" s="227"/>
      <c r="U207" s="227"/>
      <c r="V207" s="227"/>
      <c r="W207" s="227"/>
      <c r="X207" s="227"/>
      <c r="Y207" s="227"/>
      <c r="Z207" s="227"/>
      <c r="AA207" s="227"/>
      <c r="AB207" s="227"/>
      <c r="AC207" s="227"/>
      <c r="AD207" s="227"/>
      <c r="AE207" s="227"/>
      <c r="AF207" s="227"/>
    </row>
    <row r="208" spans="1:38" customFormat="1" x14ac:dyDescent="0.25">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27"/>
      <c r="AC208" s="227"/>
      <c r="AD208" s="227"/>
      <c r="AE208" s="227"/>
      <c r="AF208" s="227"/>
    </row>
    <row r="209" spans="1:38" customFormat="1" x14ac:dyDescent="0.25">
      <c r="A209" s="227"/>
      <c r="B209" s="227"/>
      <c r="C209" s="227" t="s">
        <v>6664</v>
      </c>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27"/>
      <c r="AC209" s="227"/>
      <c r="AD209" s="227"/>
      <c r="AE209" s="227"/>
      <c r="AF209" s="227"/>
    </row>
    <row r="210" spans="1:38" customFormat="1" x14ac:dyDescent="0.25">
      <c r="A210" s="227"/>
      <c r="B210" s="227"/>
      <c r="C210" s="227"/>
      <c r="D210" s="227"/>
      <c r="E210" s="227"/>
      <c r="F210" s="2721" t="s">
        <v>4438</v>
      </c>
      <c r="G210" s="2722"/>
      <c r="H210" s="2723"/>
      <c r="I210" s="227"/>
      <c r="J210" s="227"/>
      <c r="K210" s="227"/>
      <c r="L210" s="227"/>
      <c r="M210" s="227"/>
      <c r="N210" s="227"/>
      <c r="O210" s="227"/>
      <c r="P210" s="227"/>
      <c r="Q210" s="227"/>
      <c r="R210" s="227"/>
      <c r="S210" s="227"/>
      <c r="T210" s="227"/>
      <c r="U210" s="227"/>
      <c r="V210" s="227"/>
      <c r="W210" s="227"/>
      <c r="X210" s="227"/>
      <c r="Y210" s="227"/>
      <c r="Z210" s="227"/>
      <c r="AA210" s="227"/>
      <c r="AB210" s="227"/>
      <c r="AC210" s="227"/>
      <c r="AD210" s="227"/>
      <c r="AE210" s="227"/>
      <c r="AF210" s="227"/>
    </row>
    <row r="211" spans="1:38" customFormat="1" x14ac:dyDescent="0.25">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27"/>
      <c r="AC211" s="227"/>
      <c r="AD211" s="227"/>
      <c r="AE211" s="227"/>
      <c r="AF211" s="227"/>
    </row>
    <row r="212" spans="1:38" customFormat="1" x14ac:dyDescent="0.25">
      <c r="A212" s="227"/>
      <c r="B212" s="227"/>
      <c r="C212" s="227" t="s">
        <v>4447</v>
      </c>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27"/>
      <c r="AC212" s="227"/>
      <c r="AD212" s="227"/>
      <c r="AE212" s="227"/>
      <c r="AF212" s="227"/>
    </row>
    <row r="213" spans="1:38" customFormat="1" x14ac:dyDescent="0.25">
      <c r="A213" s="227"/>
      <c r="B213" s="227"/>
      <c r="C213" s="227"/>
      <c r="D213" s="227"/>
      <c r="E213" s="227"/>
      <c r="F213" s="2721">
        <v>1</v>
      </c>
      <c r="G213" s="2722"/>
      <c r="H213" s="2723"/>
      <c r="I213" s="227"/>
      <c r="J213" s="227"/>
      <c r="K213" s="227"/>
      <c r="L213" s="227"/>
      <c r="M213" s="227"/>
      <c r="N213" s="227"/>
      <c r="O213" s="227"/>
      <c r="P213" s="227"/>
      <c r="Q213" s="227"/>
      <c r="R213" s="227"/>
      <c r="S213" s="227"/>
      <c r="T213" s="227"/>
      <c r="U213" s="227"/>
      <c r="V213" s="227"/>
      <c r="W213" s="227"/>
      <c r="X213" s="227"/>
      <c r="Y213" s="227"/>
      <c r="Z213" s="227"/>
      <c r="AA213" s="227"/>
      <c r="AB213" s="227"/>
      <c r="AC213" s="227"/>
      <c r="AD213" s="227"/>
      <c r="AE213" s="227"/>
      <c r="AF213" s="227"/>
    </row>
    <row r="214" spans="1:38" customFormat="1" ht="16.5" thickBot="1" x14ac:dyDescent="0.3">
      <c r="A214" s="185"/>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L214" s="624"/>
    </row>
    <row r="215" spans="1:38" customFormat="1" ht="38.25" customHeight="1" x14ac:dyDescent="0.25">
      <c r="A215" s="2807" t="s">
        <v>22</v>
      </c>
      <c r="B215" s="2808"/>
      <c r="C215" s="2808"/>
      <c r="D215" s="2808"/>
      <c r="E215" s="2808"/>
      <c r="F215" s="2808"/>
      <c r="G215" s="2808"/>
      <c r="H215" s="2809"/>
      <c r="I215" s="1858" t="s">
        <v>2922</v>
      </c>
      <c r="J215" s="2810"/>
      <c r="K215" s="2810"/>
      <c r="L215" s="2810"/>
      <c r="M215" s="2810"/>
      <c r="N215" s="2810"/>
      <c r="O215" s="2810"/>
      <c r="P215" s="2811"/>
      <c r="Q215" s="1858" t="s">
        <v>2918</v>
      </c>
      <c r="R215" s="2810"/>
      <c r="S215" s="2810"/>
      <c r="T215" s="2810"/>
      <c r="U215" s="2810"/>
      <c r="V215" s="2810"/>
      <c r="W215" s="2810"/>
      <c r="X215" s="2811"/>
      <c r="Y215" s="1858" t="s">
        <v>1786</v>
      </c>
      <c r="Z215" s="2810"/>
      <c r="AA215" s="2810"/>
      <c r="AB215" s="2810"/>
      <c r="AC215" s="2810"/>
      <c r="AD215" s="2810"/>
      <c r="AE215" s="2810"/>
      <c r="AF215" s="2812"/>
      <c r="AG215" s="8"/>
      <c r="AL215" s="624"/>
    </row>
    <row r="216" spans="1:38" customFormat="1" ht="63" customHeight="1" thickBot="1" x14ac:dyDescent="0.3">
      <c r="A216" s="2813" t="str">
        <f>F201&amp;" "&amp;F204&amp;", "&amp;F210&amp;" hp, "&amp;F207&amp;" controls, "&amp;F213&amp;" motor(s)"</f>
        <v>Walk-in Freezer, 1/15 hp, without controls, 1 motor(s)</v>
      </c>
      <c r="B216" s="2814"/>
      <c r="C216" s="2814"/>
      <c r="D216" s="2814"/>
      <c r="E216" s="2814"/>
      <c r="F216" s="2814"/>
      <c r="G216" s="2814"/>
      <c r="H216" s="2815"/>
      <c r="I216" s="2735">
        <f>IF(AND($F$201="Walk-in",$F$204="Cooler",$F$207="without"),VLOOKUP($F$210,$A$147:$AF$154,4,FALSE)*$F$213,IF(AND($F$201="Walk-in",$F$204="Cooler",$F$207="with"),VLOOKUP($F$210,$A$157:$AF$164,4,FALSE)*$F$213,IF(AND($F$201="Walk-in",$F$204="Freezer",$F$207="without"),VLOOKUP($F$210,$A$147:$AF$154,19,FALSE)*$F$213,IF(AND($F$201="Walk-in",$F$204="Freezer",$F$207="with"),VLOOKUP($F$210,$A$157:$AF$164,19,FALSE)*$F$213,IF(AND($F$201="Case",$F$204="Cooler",$F$207="without"),VLOOKUP($F$210,$A$167:$AF$174,4,FALSE)*$F$213,IF(AND($F$201="Case",$F$204="Freezer",$F$207="without"),VLOOKUP($F$210,$A$167:$AF$174,19,FALSE)*$F$213,IF(AND($F$201="Compressor/Condenser",$F$204="Cooler",$F$207="without"),VLOOKUP($F$210,$A$177:$AF$184,4,FALSE)*$F$213,IF(AND($F$201="Compressor/Condenser",$F$204="Freezer",$F$207="without"),VLOOKUP($F$210,$A$177:$AF$184,19,FALSE)*$F$213,IF(AND($F$201="HVAC",$F$204="FCU",$F$207="without"),VLOOKUP($F$210,$A$186:$R$193,4,FALSE)*$F$213)))))))))</f>
        <v>0.113</v>
      </c>
      <c r="J216" s="2736"/>
      <c r="K216" s="2736"/>
      <c r="L216" s="2736"/>
      <c r="M216" s="2736"/>
      <c r="N216" s="2736"/>
      <c r="O216" s="2736"/>
      <c r="P216" s="2737"/>
      <c r="Q216" s="2816">
        <f>IF(AND($F$201="Walk-in",$F$204="Cooler",$F$207="without"),VLOOKUP($F$210,$A$147:$AF$154,9,FALSE)*$F$213,IF(AND($F$201="Walk-in",$F$204="Cooler",$F$207="with"),VLOOKUP($F$210,$A$157:$AF$164,9,FALSE)*$F$213,IF(AND($F$201="Walk-in",$F$204="Freezer",$F$207="without"),VLOOKUP($F$210,$A$147:$AF$154,24,FALSE)*$F$213,IF(AND($F$201="Walk-in",$F$204="Freezer",$F$207="with"),VLOOKUP($F$210,$A$157:$AF$164,24,FALSE)*$F$213,IF(AND($F$201="Case",$F$204="Cooler",$F$207="without"),VLOOKUP($F$210,$A$167:$AF$174,9,FALSE)*$F$213,IF(AND($F$201="Case",$F$204="Freezer",$F$207="without"),VLOOKUP($F$210,$A$167:$AF$174,24,FALSE)*$F$213,IF(AND($F$201="Compressor/Condenser",$F$204="Cooler",$F$207="without"),VLOOKUP($F$210,$A$177:$AF$184,9,FALSE)*$F$213,IF(AND($F$201="Compressor/Condenser",$F$204="Freezer",$F$207="without"),VLOOKUP($F$210,$A$177:$AF$184,24,FALSE)*$F$213,IF(AND($F$201="HVAC",$F$204="FCU",$F$207="without"),VLOOKUP($F$210,$A$186:$R$193,9,FALSE)*$F$213)))))))))</f>
        <v>993.34</v>
      </c>
      <c r="R216" s="2817"/>
      <c r="S216" s="2817"/>
      <c r="T216" s="2817"/>
      <c r="U216" s="2817"/>
      <c r="V216" s="2817"/>
      <c r="W216" s="2817"/>
      <c r="X216" s="2818"/>
      <c r="Y216" s="2819">
        <f>IF(AND($F$201="Walk-in",$F$204="Cooler",$F$207="without"),VLOOKUP($F$210,$A$147:$AF$154,14,FALSE)*$F$213,IF(AND($F$201="Walk-in",$F$204="Cooler",$F$207="with"),VLOOKUP($F$210,$A$157:$AF$164,14,FALSE)*$F$213,IF(AND($F$201="Walk-in",$F$204="Freezer",$F$207="without"),VLOOKUP($F$210,$A$147:$AF$154,29,FALSE)*$F$213,IF(AND($F$201="Walk-in",$F$204="Freezer",$F$207="with"),VLOOKUP($F$210,$A$157:$AF$164,29,FALSE)*$F$213,IF(AND($F$201="Case",$F$204="Cooler",$F$207="without"),VLOOKUP($F$210,$A$167:$AF$174,14,FALSE)*$F$213,IF(AND($F$201="Case",$F$204="Freezer",$F$207="without"),VLOOKUP($F$210,$A$167:$AF$174,29,FALSE)*$F$213,IF(AND($F$201="Compressor/Condenser",$F$204="Cooler",$F$207="without"),VLOOKUP($F$210,$A$177:$AF$184,14,FALSE)*$F$213,IF(AND($F$201="Compressor/Condenser",$F$204="Freezer",$F$207="without"),VLOOKUP($F$210,$A$177:$AF$184,29,FALSE)*$F$213,IF(AND($F$201="HVAC",$F$204="FCU",$F$207="without"),VLOOKUP($F$210,$A$186:$R$193,14,FALSE)*$F$213)))))))))</f>
        <v>14900.1</v>
      </c>
      <c r="Z216" s="2820"/>
      <c r="AA216" s="2820"/>
      <c r="AB216" s="2820"/>
      <c r="AC216" s="2820"/>
      <c r="AD216" s="2820"/>
      <c r="AE216" s="2820"/>
      <c r="AF216" s="2821"/>
      <c r="AG216" s="8"/>
      <c r="AL216" s="624"/>
    </row>
    <row r="217" spans="1:38" s="227" customFormat="1" x14ac:dyDescent="0.25">
      <c r="A217" s="416" t="s">
        <v>5552</v>
      </c>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262"/>
      <c r="AE217" s="262"/>
      <c r="AF217" s="262"/>
      <c r="AG217" s="262"/>
      <c r="AL217" s="638"/>
    </row>
    <row r="218" spans="1:38" s="227" customFormat="1" x14ac:dyDescent="0.25">
      <c r="A218" s="416"/>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262"/>
      <c r="AE218" s="262"/>
      <c r="AF218" s="262"/>
      <c r="AG218" s="262"/>
      <c r="AL218" s="638"/>
    </row>
    <row r="219" spans="1:38" s="227" customFormat="1" x14ac:dyDescent="0.25">
      <c r="A219" s="1385" t="s">
        <v>1753</v>
      </c>
      <c r="B219" s="1386"/>
      <c r="C219" s="1386"/>
      <c r="D219" s="1386"/>
      <c r="E219" s="1386"/>
      <c r="F219" s="1386"/>
      <c r="G219" s="1386"/>
      <c r="H219" s="1386"/>
      <c r="I219" s="1386"/>
      <c r="J219" s="1386"/>
      <c r="K219" s="1386"/>
      <c r="L219" s="1386"/>
      <c r="M219" s="1386"/>
      <c r="N219" s="1386"/>
      <c r="O219" s="1386"/>
      <c r="P219" s="1386"/>
      <c r="Q219" s="1386"/>
      <c r="R219" s="1386"/>
      <c r="S219" s="1386"/>
      <c r="T219" s="1386"/>
      <c r="U219" s="1386"/>
      <c r="V219" s="1386"/>
      <c r="W219" s="1386"/>
      <c r="X219" s="1386"/>
      <c r="Y219" s="1386"/>
      <c r="Z219" s="1386"/>
      <c r="AA219" s="1386"/>
      <c r="AB219" s="1386"/>
      <c r="AC219" s="1386"/>
      <c r="AD219" s="1386"/>
      <c r="AE219" s="1386"/>
      <c r="AF219" s="1387"/>
      <c r="AG219" s="262"/>
      <c r="AL219" s="638"/>
    </row>
    <row r="220" spans="1:38" s="227" customFormat="1" x14ac:dyDescent="0.25">
      <c r="AG220" s="262"/>
      <c r="AL220" s="638"/>
    </row>
    <row r="221" spans="1:38" s="227" customFormat="1" x14ac:dyDescent="0.25">
      <c r="A221" s="517" t="s">
        <v>1013</v>
      </c>
      <c r="B221" s="1173" t="s">
        <v>6665</v>
      </c>
      <c r="C221" s="1173"/>
      <c r="D221" s="1173"/>
      <c r="E221" s="1173"/>
      <c r="F221" s="1173"/>
      <c r="G221" s="1173"/>
      <c r="H221" s="1173"/>
      <c r="I221" s="1173"/>
      <c r="J221" s="1173"/>
      <c r="K221" s="1173"/>
      <c r="L221" s="1173"/>
      <c r="M221" s="1173"/>
      <c r="N221" s="1173"/>
      <c r="O221" s="1173"/>
      <c r="P221" s="1173"/>
      <c r="Q221" s="1173"/>
      <c r="R221" s="1173"/>
      <c r="S221" s="1173"/>
      <c r="T221" s="1173"/>
      <c r="U221" s="1173"/>
      <c r="V221" s="1173"/>
      <c r="W221" s="1173"/>
      <c r="X221" s="1173"/>
      <c r="Y221" s="1173"/>
      <c r="Z221" s="1173"/>
      <c r="AA221" s="1173"/>
      <c r="AB221" s="1173"/>
      <c r="AC221" s="1173"/>
      <c r="AD221" s="1173"/>
      <c r="AE221" s="1173"/>
      <c r="AF221" s="1173"/>
      <c r="AG221" s="262"/>
      <c r="AL221" s="638"/>
    </row>
    <row r="222" spans="1:38" s="227" customFormat="1" x14ac:dyDescent="0.25">
      <c r="A222" s="517" t="s">
        <v>1013</v>
      </c>
      <c r="B222" s="1173" t="s">
        <v>4558</v>
      </c>
      <c r="C222" s="1173"/>
      <c r="D222" s="1173"/>
      <c r="E222" s="1173"/>
      <c r="F222" s="1173"/>
      <c r="G222" s="1173"/>
      <c r="H222" s="1173"/>
      <c r="I222" s="1173"/>
      <c r="J222" s="1173"/>
      <c r="K222" s="1173"/>
      <c r="L222" s="1173"/>
      <c r="M222" s="1173"/>
      <c r="N222" s="1173"/>
      <c r="O222" s="1173"/>
      <c r="P222" s="1173"/>
      <c r="Q222" s="1173"/>
      <c r="R222" s="1173"/>
      <c r="S222" s="1173"/>
      <c r="T222" s="1173"/>
      <c r="U222" s="1173"/>
      <c r="V222" s="1173"/>
      <c r="W222" s="1173"/>
      <c r="X222" s="1173"/>
      <c r="Y222" s="1173"/>
      <c r="Z222" s="1173"/>
      <c r="AA222" s="1173"/>
      <c r="AB222" s="1173"/>
      <c r="AC222" s="1173"/>
      <c r="AD222" s="1173"/>
      <c r="AE222" s="1173"/>
      <c r="AF222" s="1173"/>
      <c r="AL222" s="638"/>
    </row>
    <row r="223" spans="1:38" s="227" customFormat="1" x14ac:dyDescent="0.25">
      <c r="A223" s="517" t="s">
        <v>1013</v>
      </c>
      <c r="B223" s="1173" t="s">
        <v>6666</v>
      </c>
      <c r="C223" s="1173"/>
      <c r="D223" s="1173"/>
      <c r="E223" s="1173"/>
      <c r="F223" s="1173"/>
      <c r="G223" s="1173"/>
      <c r="H223" s="1173"/>
      <c r="I223" s="1173"/>
      <c r="J223" s="1173"/>
      <c r="K223" s="1173"/>
      <c r="L223" s="1173"/>
      <c r="M223" s="1173"/>
      <c r="N223" s="1173"/>
      <c r="O223" s="1173"/>
      <c r="P223" s="1173"/>
      <c r="Q223" s="1173"/>
      <c r="R223" s="1173"/>
      <c r="S223" s="1173"/>
      <c r="T223" s="1173"/>
      <c r="U223" s="1173"/>
      <c r="V223" s="1173"/>
      <c r="W223" s="1173"/>
      <c r="X223" s="1173"/>
      <c r="Y223" s="1173"/>
      <c r="Z223" s="1173"/>
      <c r="AA223" s="1173"/>
      <c r="AB223" s="1173"/>
      <c r="AC223" s="1173"/>
      <c r="AD223" s="1173"/>
      <c r="AE223" s="1173"/>
      <c r="AF223" s="1173"/>
      <c r="AG223" s="262"/>
      <c r="AL223" s="638"/>
    </row>
    <row r="224" spans="1:38" s="227" customFormat="1" ht="33" customHeight="1" x14ac:dyDescent="0.25">
      <c r="A224" s="517" t="s">
        <v>1013</v>
      </c>
      <c r="B224" s="1173" t="s">
        <v>6667</v>
      </c>
      <c r="C224" s="1173"/>
      <c r="D224" s="1173"/>
      <c r="E224" s="1173"/>
      <c r="F224" s="1173"/>
      <c r="G224" s="1173"/>
      <c r="H224" s="1173"/>
      <c r="I224" s="1173"/>
      <c r="J224" s="1173"/>
      <c r="K224" s="1173"/>
      <c r="L224" s="1173"/>
      <c r="M224" s="1173"/>
      <c r="N224" s="1173"/>
      <c r="O224" s="1173"/>
      <c r="P224" s="1173"/>
      <c r="Q224" s="1173"/>
      <c r="R224" s="1173"/>
      <c r="S224" s="1173"/>
      <c r="T224" s="1173"/>
      <c r="U224" s="1173"/>
      <c r="V224" s="1173"/>
      <c r="W224" s="1173"/>
      <c r="X224" s="1173"/>
      <c r="Y224" s="1173"/>
      <c r="Z224" s="1173"/>
      <c r="AA224" s="1173"/>
      <c r="AB224" s="1173"/>
      <c r="AC224" s="1173"/>
      <c r="AD224" s="1173"/>
      <c r="AE224" s="1173"/>
      <c r="AF224" s="1173"/>
      <c r="AG224" s="262"/>
      <c r="AL224" s="638"/>
    </row>
    <row r="225" spans="1:38" s="227" customFormat="1" ht="31.5" customHeight="1" x14ac:dyDescent="0.25">
      <c r="A225" s="517" t="s">
        <v>1013</v>
      </c>
      <c r="B225" s="1173" t="s">
        <v>6668</v>
      </c>
      <c r="C225" s="1173"/>
      <c r="D225" s="1173"/>
      <c r="E225" s="1173"/>
      <c r="F225" s="1173"/>
      <c r="G225" s="1173"/>
      <c r="H225" s="1173"/>
      <c r="I225" s="1173"/>
      <c r="J225" s="1173"/>
      <c r="K225" s="1173"/>
      <c r="L225" s="1173"/>
      <c r="M225" s="1173"/>
      <c r="N225" s="1173"/>
      <c r="O225" s="1173"/>
      <c r="P225" s="1173"/>
      <c r="Q225" s="1173"/>
      <c r="R225" s="1173"/>
      <c r="S225" s="1173"/>
      <c r="T225" s="1173"/>
      <c r="U225" s="1173"/>
      <c r="V225" s="1173"/>
      <c r="W225" s="1173"/>
      <c r="X225" s="1173"/>
      <c r="Y225" s="1173"/>
      <c r="Z225" s="1173"/>
      <c r="AA225" s="1173"/>
      <c r="AB225" s="1173"/>
      <c r="AC225" s="1173"/>
      <c r="AD225" s="1173"/>
      <c r="AE225" s="1173"/>
      <c r="AF225" s="1173"/>
      <c r="AG225" s="262"/>
      <c r="AL225" s="638"/>
    </row>
    <row r="226" spans="1:38" s="227" customFormat="1" ht="31.5" customHeight="1" x14ac:dyDescent="0.25">
      <c r="A226" s="517" t="s">
        <v>1013</v>
      </c>
      <c r="B226" s="1173" t="s">
        <v>6669</v>
      </c>
      <c r="C226" s="1173"/>
      <c r="D226" s="1173"/>
      <c r="E226" s="1173"/>
      <c r="F226" s="1173"/>
      <c r="G226" s="1173"/>
      <c r="H226" s="1173"/>
      <c r="I226" s="1173"/>
      <c r="J226" s="1173"/>
      <c r="K226" s="1173"/>
      <c r="L226" s="1173"/>
      <c r="M226" s="1173"/>
      <c r="N226" s="1173"/>
      <c r="O226" s="1173"/>
      <c r="P226" s="1173"/>
      <c r="Q226" s="1173"/>
      <c r="R226" s="1173"/>
      <c r="S226" s="1173"/>
      <c r="T226" s="1173"/>
      <c r="U226" s="1173"/>
      <c r="V226" s="1173"/>
      <c r="W226" s="1173"/>
      <c r="X226" s="1173"/>
      <c r="Y226" s="1173"/>
      <c r="Z226" s="1173"/>
      <c r="AA226" s="1173"/>
      <c r="AB226" s="1173"/>
      <c r="AC226" s="1173"/>
      <c r="AD226" s="1173"/>
      <c r="AE226" s="1173"/>
      <c r="AF226" s="1173"/>
      <c r="AG226" s="262"/>
      <c r="AL226" s="638"/>
    </row>
    <row r="227" spans="1:38" s="227" customFormat="1" x14ac:dyDescent="0.25">
      <c r="A227" s="517" t="s">
        <v>1013</v>
      </c>
      <c r="B227" s="1173" t="s">
        <v>6670</v>
      </c>
      <c r="C227" s="1173"/>
      <c r="D227" s="1173"/>
      <c r="E227" s="1173"/>
      <c r="F227" s="1173"/>
      <c r="G227" s="1173"/>
      <c r="H227" s="1173"/>
      <c r="I227" s="1173"/>
      <c r="J227" s="1173"/>
      <c r="K227" s="1173"/>
      <c r="L227" s="1173"/>
      <c r="M227" s="1173"/>
      <c r="N227" s="1173"/>
      <c r="O227" s="1173"/>
      <c r="P227" s="1173"/>
      <c r="Q227" s="1173"/>
      <c r="R227" s="1173"/>
      <c r="S227" s="1173"/>
      <c r="T227" s="1173"/>
      <c r="U227" s="1173"/>
      <c r="V227" s="1173"/>
      <c r="W227" s="1173"/>
      <c r="X227" s="1173"/>
      <c r="Y227" s="1173"/>
      <c r="Z227" s="1173"/>
      <c r="AA227" s="1173"/>
      <c r="AB227" s="1173"/>
      <c r="AC227" s="1173"/>
      <c r="AD227" s="1173"/>
      <c r="AE227" s="1173"/>
      <c r="AF227" s="1173"/>
      <c r="AG227" s="262"/>
      <c r="AL227" s="638"/>
    </row>
    <row r="228" spans="1:38" s="227" customFormat="1" ht="30.75" customHeight="1" x14ac:dyDescent="0.25">
      <c r="A228" s="517" t="s">
        <v>1013</v>
      </c>
      <c r="B228" s="1173" t="s">
        <v>6671</v>
      </c>
      <c r="C228" s="1173"/>
      <c r="D228" s="1173"/>
      <c r="E228" s="1173"/>
      <c r="F228" s="1173"/>
      <c r="G228" s="1173"/>
      <c r="H228" s="1173"/>
      <c r="I228" s="1173"/>
      <c r="J228" s="1173"/>
      <c r="K228" s="1173"/>
      <c r="L228" s="1173"/>
      <c r="M228" s="1173"/>
      <c r="N228" s="1173"/>
      <c r="O228" s="1173"/>
      <c r="P228" s="1173"/>
      <c r="Q228" s="1173"/>
      <c r="R228" s="1173"/>
      <c r="S228" s="1173"/>
      <c r="T228" s="1173"/>
      <c r="U228" s="1173"/>
      <c r="V228" s="1173"/>
      <c r="W228" s="1173"/>
      <c r="X228" s="1173"/>
      <c r="Y228" s="1173"/>
      <c r="Z228" s="1173"/>
      <c r="AA228" s="1173"/>
      <c r="AB228" s="1173"/>
      <c r="AC228" s="1173"/>
      <c r="AD228" s="1173"/>
      <c r="AE228" s="1173"/>
      <c r="AF228" s="1173"/>
      <c r="AG228" s="262"/>
      <c r="AL228" s="638"/>
    </row>
    <row r="229" spans="1:38" s="227" customFormat="1" ht="45.75" customHeight="1" x14ac:dyDescent="0.25">
      <c r="A229" s="517" t="s">
        <v>1013</v>
      </c>
      <c r="B229" s="1173" t="s">
        <v>6672</v>
      </c>
      <c r="C229" s="1173"/>
      <c r="D229" s="1173"/>
      <c r="E229" s="1173"/>
      <c r="F229" s="1173"/>
      <c r="G229" s="1173"/>
      <c r="H229" s="1173"/>
      <c r="I229" s="1173"/>
      <c r="J229" s="1173"/>
      <c r="K229" s="1173"/>
      <c r="L229" s="1173"/>
      <c r="M229" s="1173"/>
      <c r="N229" s="1173"/>
      <c r="O229" s="1173"/>
      <c r="P229" s="1173"/>
      <c r="Q229" s="1173"/>
      <c r="R229" s="1173"/>
      <c r="S229" s="1173"/>
      <c r="T229" s="1173"/>
      <c r="U229" s="1173"/>
      <c r="V229" s="1173"/>
      <c r="W229" s="1173"/>
      <c r="X229" s="1173"/>
      <c r="Y229" s="1173"/>
      <c r="Z229" s="1173"/>
      <c r="AA229" s="1173"/>
      <c r="AB229" s="1173"/>
      <c r="AC229" s="1173"/>
      <c r="AD229" s="1173"/>
      <c r="AE229" s="1173"/>
      <c r="AF229" s="1173"/>
      <c r="AG229" s="262"/>
      <c r="AL229" s="638"/>
    </row>
    <row r="230" spans="1:38" s="227" customFormat="1" ht="45.75" customHeight="1" x14ac:dyDescent="0.25">
      <c r="A230" s="517" t="s">
        <v>1013</v>
      </c>
      <c r="B230" s="1173" t="s">
        <v>6673</v>
      </c>
      <c r="C230" s="1173"/>
      <c r="D230" s="1173"/>
      <c r="E230" s="1173"/>
      <c r="F230" s="1173"/>
      <c r="G230" s="1173"/>
      <c r="H230" s="1173"/>
      <c r="I230" s="1173"/>
      <c r="J230" s="1173"/>
      <c r="K230" s="1173"/>
      <c r="L230" s="1173"/>
      <c r="M230" s="1173"/>
      <c r="N230" s="1173"/>
      <c r="O230" s="1173"/>
      <c r="P230" s="1173"/>
      <c r="Q230" s="1173"/>
      <c r="R230" s="1173"/>
      <c r="S230" s="1173"/>
      <c r="T230" s="1173"/>
      <c r="U230" s="1173"/>
      <c r="V230" s="1173"/>
      <c r="W230" s="1173"/>
      <c r="X230" s="1173"/>
      <c r="Y230" s="1173"/>
      <c r="Z230" s="1173"/>
      <c r="AA230" s="1173"/>
      <c r="AB230" s="1173"/>
      <c r="AC230" s="1173"/>
      <c r="AD230" s="1173"/>
      <c r="AE230" s="1173"/>
      <c r="AF230" s="1173"/>
      <c r="AG230" s="262"/>
      <c r="AL230" s="638"/>
    </row>
    <row r="231" spans="1:38" s="227" customFormat="1" ht="45.75" customHeight="1" x14ac:dyDescent="0.25">
      <c r="A231" s="517" t="s">
        <v>1013</v>
      </c>
      <c r="B231" s="1173" t="s">
        <v>6674</v>
      </c>
      <c r="C231" s="1173"/>
      <c r="D231" s="1173"/>
      <c r="E231" s="1173"/>
      <c r="F231" s="1173"/>
      <c r="G231" s="1173"/>
      <c r="H231" s="1173"/>
      <c r="I231" s="1173"/>
      <c r="J231" s="1173"/>
      <c r="K231" s="1173"/>
      <c r="L231" s="1173"/>
      <c r="M231" s="1173"/>
      <c r="N231" s="1173"/>
      <c r="O231" s="1173"/>
      <c r="P231" s="1173"/>
      <c r="Q231" s="1173"/>
      <c r="R231" s="1173"/>
      <c r="S231" s="1173"/>
      <c r="T231" s="1173"/>
      <c r="U231" s="1173"/>
      <c r="V231" s="1173"/>
      <c r="W231" s="1173"/>
      <c r="X231" s="1173"/>
      <c r="Y231" s="1173"/>
      <c r="Z231" s="1173"/>
      <c r="AA231" s="1173"/>
      <c r="AB231" s="1173"/>
      <c r="AC231" s="1173"/>
      <c r="AD231" s="1173"/>
      <c r="AE231" s="1173"/>
      <c r="AF231" s="1173"/>
      <c r="AG231" s="262"/>
      <c r="AL231" s="638"/>
    </row>
    <row r="232" spans="1:38" s="227" customFormat="1" ht="30.75" customHeight="1" x14ac:dyDescent="0.25">
      <c r="A232" s="517" t="s">
        <v>1013</v>
      </c>
      <c r="B232" s="1173" t="s">
        <v>6675</v>
      </c>
      <c r="C232" s="1173"/>
      <c r="D232" s="1173"/>
      <c r="E232" s="1173"/>
      <c r="F232" s="1173"/>
      <c r="G232" s="1173"/>
      <c r="H232" s="1173"/>
      <c r="I232" s="1173"/>
      <c r="J232" s="1173"/>
      <c r="K232" s="1173"/>
      <c r="L232" s="1173"/>
      <c r="M232" s="1173"/>
      <c r="N232" s="1173"/>
      <c r="O232" s="1173"/>
      <c r="P232" s="1173"/>
      <c r="Q232" s="1173"/>
      <c r="R232" s="1173"/>
      <c r="S232" s="1173"/>
      <c r="T232" s="1173"/>
      <c r="U232" s="1173"/>
      <c r="V232" s="1173"/>
      <c r="W232" s="1173"/>
      <c r="X232" s="1173"/>
      <c r="Y232" s="1173"/>
      <c r="Z232" s="1173"/>
      <c r="AA232" s="1173"/>
      <c r="AB232" s="1173"/>
      <c r="AC232" s="1173"/>
      <c r="AD232" s="1173"/>
      <c r="AE232" s="1173"/>
      <c r="AF232" s="1173"/>
      <c r="AG232" s="262"/>
      <c r="AL232" s="638"/>
    </row>
    <row r="233" spans="1:38" s="227" customFormat="1" ht="30" customHeight="1" x14ac:dyDescent="0.25">
      <c r="A233" s="517" t="s">
        <v>1013</v>
      </c>
      <c r="B233" s="1173" t="s">
        <v>6676</v>
      </c>
      <c r="C233" s="1173"/>
      <c r="D233" s="1173"/>
      <c r="E233" s="1173"/>
      <c r="F233" s="1173"/>
      <c r="G233" s="1173"/>
      <c r="H233" s="1173"/>
      <c r="I233" s="1173"/>
      <c r="J233" s="1173"/>
      <c r="K233" s="1173"/>
      <c r="L233" s="1173"/>
      <c r="M233" s="1173"/>
      <c r="N233" s="1173"/>
      <c r="O233" s="1173"/>
      <c r="P233" s="1173"/>
      <c r="Q233" s="1173"/>
      <c r="R233" s="1173"/>
      <c r="S233" s="1173"/>
      <c r="T233" s="1173"/>
      <c r="U233" s="1173"/>
      <c r="V233" s="1173"/>
      <c r="W233" s="1173"/>
      <c r="X233" s="1173"/>
      <c r="Y233" s="1173"/>
      <c r="Z233" s="1173"/>
      <c r="AA233" s="1173"/>
      <c r="AB233" s="1173"/>
      <c r="AC233" s="1173"/>
      <c r="AD233" s="1173"/>
      <c r="AE233" s="1173"/>
      <c r="AF233" s="1173"/>
      <c r="AG233" s="262"/>
      <c r="AL233" s="638"/>
    </row>
    <row r="234" spans="1:38" s="227" customFormat="1" ht="30" customHeight="1" x14ac:dyDescent="0.25">
      <c r="A234" s="517" t="s">
        <v>1013</v>
      </c>
      <c r="B234" s="1173" t="s">
        <v>6677</v>
      </c>
      <c r="C234" s="1173"/>
      <c r="D234" s="1173"/>
      <c r="E234" s="1173"/>
      <c r="F234" s="1173"/>
      <c r="G234" s="1173"/>
      <c r="H234" s="1173"/>
      <c r="I234" s="1173"/>
      <c r="J234" s="1173"/>
      <c r="K234" s="1173"/>
      <c r="L234" s="1173"/>
      <c r="M234" s="1173"/>
      <c r="N234" s="1173"/>
      <c r="O234" s="1173"/>
      <c r="P234" s="1173"/>
      <c r="Q234" s="1173"/>
      <c r="R234" s="1173"/>
      <c r="S234" s="1173"/>
      <c r="T234" s="1173"/>
      <c r="U234" s="1173"/>
      <c r="V234" s="1173"/>
      <c r="W234" s="1173"/>
      <c r="X234" s="1173"/>
      <c r="Y234" s="1173"/>
      <c r="Z234" s="1173"/>
      <c r="AA234" s="1173"/>
      <c r="AB234" s="1173"/>
      <c r="AC234" s="1173"/>
      <c r="AD234" s="1173"/>
      <c r="AE234" s="1173"/>
      <c r="AF234" s="1173"/>
      <c r="AG234" s="262"/>
      <c r="AL234" s="638"/>
    </row>
    <row r="235" spans="1:38" s="227" customFormat="1" ht="49.5" customHeight="1" x14ac:dyDescent="0.25">
      <c r="A235" s="517" t="s">
        <v>1013</v>
      </c>
      <c r="B235" s="1173" t="s">
        <v>6678</v>
      </c>
      <c r="C235" s="1173"/>
      <c r="D235" s="1173"/>
      <c r="E235" s="1173"/>
      <c r="F235" s="1173"/>
      <c r="G235" s="1173"/>
      <c r="H235" s="1173"/>
      <c r="I235" s="1173"/>
      <c r="J235" s="1173"/>
      <c r="K235" s="1173"/>
      <c r="L235" s="1173"/>
      <c r="M235" s="1173"/>
      <c r="N235" s="1173"/>
      <c r="O235" s="1173"/>
      <c r="P235" s="1173"/>
      <c r="Q235" s="1173"/>
      <c r="R235" s="1173"/>
      <c r="S235" s="1173"/>
      <c r="T235" s="1173"/>
      <c r="U235" s="1173"/>
      <c r="V235" s="1173"/>
      <c r="W235" s="1173"/>
      <c r="X235" s="1173"/>
      <c r="Y235" s="1173"/>
      <c r="Z235" s="1173"/>
      <c r="AA235" s="1173"/>
      <c r="AB235" s="1173"/>
      <c r="AC235" s="1173"/>
      <c r="AD235" s="1173"/>
      <c r="AE235" s="1173"/>
      <c r="AF235" s="1173"/>
      <c r="AG235" s="262"/>
      <c r="AL235" s="638"/>
    </row>
    <row r="236" spans="1:38" s="227" customFormat="1" ht="45" customHeight="1" x14ac:dyDescent="0.25">
      <c r="A236" s="517" t="s">
        <v>1013</v>
      </c>
      <c r="B236" s="1173" t="s">
        <v>6679</v>
      </c>
      <c r="C236" s="1173"/>
      <c r="D236" s="1173"/>
      <c r="E236" s="1173"/>
      <c r="F236" s="1173"/>
      <c r="G236" s="1173"/>
      <c r="H236" s="1173"/>
      <c r="I236" s="1173"/>
      <c r="J236" s="1173"/>
      <c r="K236" s="1173"/>
      <c r="L236" s="1173"/>
      <c r="M236" s="1173"/>
      <c r="N236" s="1173"/>
      <c r="O236" s="1173"/>
      <c r="P236" s="1173"/>
      <c r="Q236" s="1173"/>
      <c r="R236" s="1173"/>
      <c r="S236" s="1173"/>
      <c r="T236" s="1173"/>
      <c r="U236" s="1173"/>
      <c r="V236" s="1173"/>
      <c r="W236" s="1173"/>
      <c r="X236" s="1173"/>
      <c r="Y236" s="1173"/>
      <c r="Z236" s="1173"/>
      <c r="AA236" s="1173"/>
      <c r="AB236" s="1173"/>
      <c r="AC236" s="1173"/>
      <c r="AD236" s="1173"/>
      <c r="AE236" s="1173"/>
      <c r="AF236" s="1173"/>
      <c r="AG236" s="262"/>
      <c r="AL236" s="638"/>
    </row>
    <row r="237" spans="1:38" s="262" customFormat="1" x14ac:dyDescent="0.2">
      <c r="B237" s="979"/>
    </row>
    <row r="238" spans="1:38" s="262" customFormat="1" x14ac:dyDescent="0.25"/>
  </sheetData>
  <sheetProtection algorithmName="SHA-512" hashValue="GzfSCaKPVtwxcyGjnJkGJcfNbQl4w8gzBkgfNyQFfw1fR/LGvfjeZStUxvXGBcIYei7vPZ5gXSvt7gWo00KawQ==" saltValue="1EL1p3suO3d2JuuVQldgwg==" spinCount="100000" sheet="1" objects="1" scenarios="1"/>
  <mergeCells count="435">
    <mergeCell ref="B5:AF5"/>
    <mergeCell ref="A7:AF7"/>
    <mergeCell ref="B10:AF10"/>
    <mergeCell ref="C11:AF11"/>
    <mergeCell ref="C12:AF12"/>
    <mergeCell ref="A1:AF1"/>
    <mergeCell ref="A3:AF3"/>
    <mergeCell ref="C20:AF20"/>
    <mergeCell ref="B26:AF26"/>
    <mergeCell ref="B29:AF29"/>
    <mergeCell ref="A32:AF32"/>
    <mergeCell ref="A84:AF84"/>
    <mergeCell ref="C13:AF13"/>
    <mergeCell ref="C14:AF14"/>
    <mergeCell ref="C17:AF17"/>
    <mergeCell ref="C18:AF18"/>
    <mergeCell ref="C19:AF19"/>
    <mergeCell ref="A87:D87"/>
    <mergeCell ref="E87:P87"/>
    <mergeCell ref="Q87:T87"/>
    <mergeCell ref="U87:V87"/>
    <mergeCell ref="W87:AF87"/>
    <mergeCell ref="A85:D85"/>
    <mergeCell ref="E85:P85"/>
    <mergeCell ref="Q85:T85"/>
    <mergeCell ref="W85:AF85"/>
    <mergeCell ref="A86:D86"/>
    <mergeCell ref="E86:P86"/>
    <mergeCell ref="Q86:T86"/>
    <mergeCell ref="U86:V86"/>
    <mergeCell ref="W86:AF86"/>
    <mergeCell ref="A89:D89"/>
    <mergeCell ref="E89:P89"/>
    <mergeCell ref="Q89:T89"/>
    <mergeCell ref="U89:V89"/>
    <mergeCell ref="W89:AF89"/>
    <mergeCell ref="A88:D88"/>
    <mergeCell ref="E88:P88"/>
    <mergeCell ref="Q88:T88"/>
    <mergeCell ref="U88:V88"/>
    <mergeCell ref="W88:AF88"/>
    <mergeCell ref="A91:D91"/>
    <mergeCell ref="E91:P91"/>
    <mergeCell ref="Q91:T91"/>
    <mergeCell ref="U91:V91"/>
    <mergeCell ref="W91:AF91"/>
    <mergeCell ref="A90:D90"/>
    <mergeCell ref="E90:P90"/>
    <mergeCell ref="Q90:T90"/>
    <mergeCell ref="U90:V90"/>
    <mergeCell ref="W90:AF90"/>
    <mergeCell ref="A93:D93"/>
    <mergeCell ref="E93:P93"/>
    <mergeCell ref="Q93:T93"/>
    <mergeCell ref="U93:V93"/>
    <mergeCell ref="W93:AF93"/>
    <mergeCell ref="A92:D92"/>
    <mergeCell ref="E92:P92"/>
    <mergeCell ref="Q92:T92"/>
    <mergeCell ref="U92:V92"/>
    <mergeCell ref="W92:AF92"/>
    <mergeCell ref="A95:D95"/>
    <mergeCell ref="E95:P95"/>
    <mergeCell ref="Q95:T95"/>
    <mergeCell ref="U95:V95"/>
    <mergeCell ref="W95:AF95"/>
    <mergeCell ref="A94:D94"/>
    <mergeCell ref="E94:P94"/>
    <mergeCell ref="Q94:T94"/>
    <mergeCell ref="U94:V94"/>
    <mergeCell ref="W94:AF94"/>
    <mergeCell ref="A97:D97"/>
    <mergeCell ref="E97:P97"/>
    <mergeCell ref="Q97:T97"/>
    <mergeCell ref="U97:V97"/>
    <mergeCell ref="W97:AF97"/>
    <mergeCell ref="A96:D96"/>
    <mergeCell ref="E96:P96"/>
    <mergeCell ref="Q96:T96"/>
    <mergeCell ref="U96:V96"/>
    <mergeCell ref="W96:AF96"/>
    <mergeCell ref="A100:AF100"/>
    <mergeCell ref="A103:D103"/>
    <mergeCell ref="E103:M103"/>
    <mergeCell ref="A104:D104"/>
    <mergeCell ref="E104:M104"/>
    <mergeCell ref="A98:D98"/>
    <mergeCell ref="E98:P98"/>
    <mergeCell ref="Q98:T98"/>
    <mergeCell ref="U98:V98"/>
    <mergeCell ref="W98:AF98"/>
    <mergeCell ref="A108:D108"/>
    <mergeCell ref="E108:M108"/>
    <mergeCell ref="A109:D109"/>
    <mergeCell ref="E109:M109"/>
    <mergeCell ref="A113:L114"/>
    <mergeCell ref="M113:V113"/>
    <mergeCell ref="M114:Q114"/>
    <mergeCell ref="R114:V114"/>
    <mergeCell ref="A105:D105"/>
    <mergeCell ref="E105:M105"/>
    <mergeCell ref="A106:D106"/>
    <mergeCell ref="E106:M106"/>
    <mergeCell ref="A107:D107"/>
    <mergeCell ref="E107:M107"/>
    <mergeCell ref="A117:L117"/>
    <mergeCell ref="M117:Q117"/>
    <mergeCell ref="R117:V117"/>
    <mergeCell ref="A118:L118"/>
    <mergeCell ref="M118:Q118"/>
    <mergeCell ref="R118:V118"/>
    <mergeCell ref="A115:L115"/>
    <mergeCell ref="M115:Q115"/>
    <mergeCell ref="R115:V115"/>
    <mergeCell ref="A116:L116"/>
    <mergeCell ref="M116:Q116"/>
    <mergeCell ref="R116:V116"/>
    <mergeCell ref="A127:L127"/>
    <mergeCell ref="M127:Q127"/>
    <mergeCell ref="A128:L128"/>
    <mergeCell ref="M128:Q128"/>
    <mergeCell ref="A129:L129"/>
    <mergeCell ref="M129:Q129"/>
    <mergeCell ref="A120:AF120"/>
    <mergeCell ref="A121:AF121"/>
    <mergeCell ref="A122:AF122"/>
    <mergeCell ref="A123:AF123"/>
    <mergeCell ref="A126:L126"/>
    <mergeCell ref="M126:Q126"/>
    <mergeCell ref="A131:AF131"/>
    <mergeCell ref="A132:AF132"/>
    <mergeCell ref="A133:AF133"/>
    <mergeCell ref="A136:L137"/>
    <mergeCell ref="M136:R136"/>
    <mergeCell ref="S136:X136"/>
    <mergeCell ref="Y136:AD136"/>
    <mergeCell ref="M137:O137"/>
    <mergeCell ref="P137:R137"/>
    <mergeCell ref="S137:U137"/>
    <mergeCell ref="V137:X137"/>
    <mergeCell ref="Y137:AA137"/>
    <mergeCell ref="AB137:AD137"/>
    <mergeCell ref="Y138:AA138"/>
    <mergeCell ref="AB138:AD138"/>
    <mergeCell ref="A139:L139"/>
    <mergeCell ref="M139:O139"/>
    <mergeCell ref="P139:R139"/>
    <mergeCell ref="S139:U139"/>
    <mergeCell ref="V139:X139"/>
    <mergeCell ref="Y139:AA139"/>
    <mergeCell ref="AB139:AD139"/>
    <mergeCell ref="A138:L138"/>
    <mergeCell ref="M138:O138"/>
    <mergeCell ref="P138:R138"/>
    <mergeCell ref="S138:U138"/>
    <mergeCell ref="V138:X138"/>
    <mergeCell ref="Y140:AA140"/>
    <mergeCell ref="AB140:AD140"/>
    <mergeCell ref="A141:L141"/>
    <mergeCell ref="M141:O141"/>
    <mergeCell ref="P141:R141"/>
    <mergeCell ref="S141:U141"/>
    <mergeCell ref="V141:X141"/>
    <mergeCell ref="Y141:AA141"/>
    <mergeCell ref="AB141:AD141"/>
    <mergeCell ref="A140:L140"/>
    <mergeCell ref="M140:O140"/>
    <mergeCell ref="P140:R140"/>
    <mergeCell ref="S140:U140"/>
    <mergeCell ref="V140:X140"/>
    <mergeCell ref="A143:AF143"/>
    <mergeCell ref="A144:AF144"/>
    <mergeCell ref="A147:C148"/>
    <mergeCell ref="D147:R147"/>
    <mergeCell ref="S147:AF147"/>
    <mergeCell ref="D148:H148"/>
    <mergeCell ref="I148:M148"/>
    <mergeCell ref="N148:R148"/>
    <mergeCell ref="S148:W148"/>
    <mergeCell ref="X148:AB148"/>
    <mergeCell ref="AC148:AF148"/>
    <mergeCell ref="X149:AB149"/>
    <mergeCell ref="AC149:AF149"/>
    <mergeCell ref="A150:C150"/>
    <mergeCell ref="D150:H150"/>
    <mergeCell ref="I150:M150"/>
    <mergeCell ref="N150:R150"/>
    <mergeCell ref="S150:W150"/>
    <mergeCell ref="X150:AB150"/>
    <mergeCell ref="AC150:AF150"/>
    <mergeCell ref="A149:C149"/>
    <mergeCell ref="D149:H149"/>
    <mergeCell ref="I149:M149"/>
    <mergeCell ref="N149:R149"/>
    <mergeCell ref="S149:W149"/>
    <mergeCell ref="X151:AB151"/>
    <mergeCell ref="AC151:AF151"/>
    <mergeCell ref="A152:C152"/>
    <mergeCell ref="D152:H152"/>
    <mergeCell ref="I152:M152"/>
    <mergeCell ref="N152:R152"/>
    <mergeCell ref="S152:W152"/>
    <mergeCell ref="X152:AB152"/>
    <mergeCell ref="AC152:AF152"/>
    <mergeCell ref="A151:C151"/>
    <mergeCell ref="D151:H151"/>
    <mergeCell ref="I151:M151"/>
    <mergeCell ref="N151:R151"/>
    <mergeCell ref="S151:W151"/>
    <mergeCell ref="X153:AB153"/>
    <mergeCell ref="AC153:AF153"/>
    <mergeCell ref="A154:C154"/>
    <mergeCell ref="D154:H154"/>
    <mergeCell ref="I154:M154"/>
    <mergeCell ref="N154:R154"/>
    <mergeCell ref="S154:W154"/>
    <mergeCell ref="X154:AB154"/>
    <mergeCell ref="AC154:AF154"/>
    <mergeCell ref="A153:C153"/>
    <mergeCell ref="D153:H153"/>
    <mergeCell ref="I153:M153"/>
    <mergeCell ref="N153:R153"/>
    <mergeCell ref="S153:W153"/>
    <mergeCell ref="A157:C158"/>
    <mergeCell ref="D157:R157"/>
    <mergeCell ref="S157:AF157"/>
    <mergeCell ref="D158:H158"/>
    <mergeCell ref="I158:M158"/>
    <mergeCell ref="N158:R158"/>
    <mergeCell ref="S158:W158"/>
    <mergeCell ref="X158:AB158"/>
    <mergeCell ref="AC158:AF158"/>
    <mergeCell ref="X159:AB159"/>
    <mergeCell ref="AC159:AF159"/>
    <mergeCell ref="A160:C160"/>
    <mergeCell ref="D160:H160"/>
    <mergeCell ref="I160:M160"/>
    <mergeCell ref="N160:R160"/>
    <mergeCell ref="S160:W160"/>
    <mergeCell ref="X160:AB160"/>
    <mergeCell ref="AC160:AF160"/>
    <mergeCell ref="A159:C159"/>
    <mergeCell ref="D159:H159"/>
    <mergeCell ref="I159:M159"/>
    <mergeCell ref="N159:R159"/>
    <mergeCell ref="S159:W159"/>
    <mergeCell ref="X161:AB161"/>
    <mergeCell ref="AC161:AF161"/>
    <mergeCell ref="A162:C162"/>
    <mergeCell ref="D162:H162"/>
    <mergeCell ref="I162:M162"/>
    <mergeCell ref="N162:R162"/>
    <mergeCell ref="S162:W162"/>
    <mergeCell ref="X162:AB162"/>
    <mergeCell ref="AC162:AF162"/>
    <mergeCell ref="A161:C161"/>
    <mergeCell ref="D161:H161"/>
    <mergeCell ref="I161:M161"/>
    <mergeCell ref="N161:R161"/>
    <mergeCell ref="S161:W161"/>
    <mergeCell ref="X163:AB163"/>
    <mergeCell ref="AC163:AF163"/>
    <mergeCell ref="A164:C164"/>
    <mergeCell ref="D164:H164"/>
    <mergeCell ref="I164:M164"/>
    <mergeCell ref="N164:R164"/>
    <mergeCell ref="S164:W164"/>
    <mergeCell ref="X164:AB164"/>
    <mergeCell ref="AC164:AF164"/>
    <mergeCell ref="A163:C163"/>
    <mergeCell ref="D163:H163"/>
    <mergeCell ref="I163:M163"/>
    <mergeCell ref="N163:R163"/>
    <mergeCell ref="S163:W163"/>
    <mergeCell ref="A167:C168"/>
    <mergeCell ref="D167:R167"/>
    <mergeCell ref="S167:AF167"/>
    <mergeCell ref="D168:H168"/>
    <mergeCell ref="I168:M168"/>
    <mergeCell ref="N168:R168"/>
    <mergeCell ref="S168:W168"/>
    <mergeCell ref="X168:AB168"/>
    <mergeCell ref="AC168:AF168"/>
    <mergeCell ref="X169:AB169"/>
    <mergeCell ref="AC169:AF169"/>
    <mergeCell ref="A170:C170"/>
    <mergeCell ref="D170:H170"/>
    <mergeCell ref="I170:M170"/>
    <mergeCell ref="N170:R170"/>
    <mergeCell ref="S170:W170"/>
    <mergeCell ref="X170:AB170"/>
    <mergeCell ref="AC170:AF170"/>
    <mergeCell ref="A169:C169"/>
    <mergeCell ref="D169:H169"/>
    <mergeCell ref="I169:M169"/>
    <mergeCell ref="N169:R169"/>
    <mergeCell ref="S169:W169"/>
    <mergeCell ref="X171:AB171"/>
    <mergeCell ref="AC171:AF171"/>
    <mergeCell ref="A172:C172"/>
    <mergeCell ref="D172:H172"/>
    <mergeCell ref="I172:M172"/>
    <mergeCell ref="N172:R172"/>
    <mergeCell ref="S172:W172"/>
    <mergeCell ref="X172:AB172"/>
    <mergeCell ref="AC172:AF172"/>
    <mergeCell ref="A171:C171"/>
    <mergeCell ref="D171:H171"/>
    <mergeCell ref="I171:M171"/>
    <mergeCell ref="N171:R171"/>
    <mergeCell ref="S171:W171"/>
    <mergeCell ref="X173:AB173"/>
    <mergeCell ref="AC173:AF173"/>
    <mergeCell ref="A174:C174"/>
    <mergeCell ref="D174:H174"/>
    <mergeCell ref="I174:M174"/>
    <mergeCell ref="N174:R174"/>
    <mergeCell ref="S174:W174"/>
    <mergeCell ref="X174:AB174"/>
    <mergeCell ref="AC174:AF174"/>
    <mergeCell ref="A173:C173"/>
    <mergeCell ref="D173:H173"/>
    <mergeCell ref="I173:M173"/>
    <mergeCell ref="N173:R173"/>
    <mergeCell ref="S173:W173"/>
    <mergeCell ref="A177:C178"/>
    <mergeCell ref="D177:R177"/>
    <mergeCell ref="S177:AF177"/>
    <mergeCell ref="D178:H178"/>
    <mergeCell ref="I178:M178"/>
    <mergeCell ref="N178:R178"/>
    <mergeCell ref="S178:W178"/>
    <mergeCell ref="X178:AB178"/>
    <mergeCell ref="AC178:AF178"/>
    <mergeCell ref="X179:AB179"/>
    <mergeCell ref="AC179:AF179"/>
    <mergeCell ref="A180:C180"/>
    <mergeCell ref="D180:H180"/>
    <mergeCell ref="I180:M180"/>
    <mergeCell ref="N180:R180"/>
    <mergeCell ref="S180:W180"/>
    <mergeCell ref="X180:AB180"/>
    <mergeCell ref="AC180:AF180"/>
    <mergeCell ref="A179:C179"/>
    <mergeCell ref="D179:H179"/>
    <mergeCell ref="I179:M179"/>
    <mergeCell ref="N179:R179"/>
    <mergeCell ref="S179:W179"/>
    <mergeCell ref="X181:AB181"/>
    <mergeCell ref="AC181:AF181"/>
    <mergeCell ref="A182:C182"/>
    <mergeCell ref="D182:H182"/>
    <mergeCell ref="I182:M182"/>
    <mergeCell ref="N182:R182"/>
    <mergeCell ref="S182:W182"/>
    <mergeCell ref="X182:AB182"/>
    <mergeCell ref="AC182:AF182"/>
    <mergeCell ref="A181:C181"/>
    <mergeCell ref="D181:H181"/>
    <mergeCell ref="I181:M181"/>
    <mergeCell ref="N181:R181"/>
    <mergeCell ref="S181:W181"/>
    <mergeCell ref="AC183:AF183"/>
    <mergeCell ref="A184:C184"/>
    <mergeCell ref="D184:H184"/>
    <mergeCell ref="I184:M184"/>
    <mergeCell ref="N184:R184"/>
    <mergeCell ref="S184:W184"/>
    <mergeCell ref="X184:AB184"/>
    <mergeCell ref="AC184:AF184"/>
    <mergeCell ref="A183:C183"/>
    <mergeCell ref="D183:H183"/>
    <mergeCell ref="I183:M183"/>
    <mergeCell ref="N183:R183"/>
    <mergeCell ref="S183:W183"/>
    <mergeCell ref="A187:C187"/>
    <mergeCell ref="D187:H187"/>
    <mergeCell ref="I187:M187"/>
    <mergeCell ref="N187:R187"/>
    <mergeCell ref="A188:C188"/>
    <mergeCell ref="D188:H188"/>
    <mergeCell ref="I188:M188"/>
    <mergeCell ref="N188:R188"/>
    <mergeCell ref="X183:AB183"/>
    <mergeCell ref="A191:C191"/>
    <mergeCell ref="D191:H191"/>
    <mergeCell ref="I191:M191"/>
    <mergeCell ref="N191:R191"/>
    <mergeCell ref="A192:C192"/>
    <mergeCell ref="D192:H192"/>
    <mergeCell ref="I192:M192"/>
    <mergeCell ref="N192:R192"/>
    <mergeCell ref="A189:C189"/>
    <mergeCell ref="D189:H189"/>
    <mergeCell ref="I189:M189"/>
    <mergeCell ref="N189:R189"/>
    <mergeCell ref="A190:C190"/>
    <mergeCell ref="D190:H190"/>
    <mergeCell ref="I190:M190"/>
    <mergeCell ref="N190:R190"/>
    <mergeCell ref="F201:M201"/>
    <mergeCell ref="F204:H204"/>
    <mergeCell ref="F207:H207"/>
    <mergeCell ref="F210:H210"/>
    <mergeCell ref="F213:H213"/>
    <mergeCell ref="A193:C193"/>
    <mergeCell ref="D193:H193"/>
    <mergeCell ref="I193:M193"/>
    <mergeCell ref="N193:R193"/>
    <mergeCell ref="A196:AF196"/>
    <mergeCell ref="A219:AF219"/>
    <mergeCell ref="B221:AF221"/>
    <mergeCell ref="B222:AF222"/>
    <mergeCell ref="B223:AF223"/>
    <mergeCell ref="B224:AF224"/>
    <mergeCell ref="A215:H215"/>
    <mergeCell ref="I215:P215"/>
    <mergeCell ref="Q215:X215"/>
    <mergeCell ref="Y215:AF215"/>
    <mergeCell ref="A216:H216"/>
    <mergeCell ref="I216:P216"/>
    <mergeCell ref="Q216:X216"/>
    <mergeCell ref="Y216:AF216"/>
    <mergeCell ref="B235:AF235"/>
    <mergeCell ref="B236:AF236"/>
    <mergeCell ref="B230:AF230"/>
    <mergeCell ref="B231:AF231"/>
    <mergeCell ref="B232:AF232"/>
    <mergeCell ref="B233:AF233"/>
    <mergeCell ref="B234:AF234"/>
    <mergeCell ref="B225:AF225"/>
    <mergeCell ref="B226:AF226"/>
    <mergeCell ref="B227:AF227"/>
    <mergeCell ref="B228:AF228"/>
    <mergeCell ref="B229:AF229"/>
  </mergeCells>
  <dataValidations count="4">
    <dataValidation type="list" allowBlank="1" showInputMessage="1" showErrorMessage="1" sqref="F204:H204" xr:uid="{6FD0024A-E658-490A-9FD6-991DB2113A56}">
      <formula1>"Cooler,Freezer,FCU"</formula1>
    </dataValidation>
    <dataValidation type="list" allowBlank="1" showInputMessage="1" showErrorMessage="1" sqref="F210:H210" xr:uid="{FCC3DCC8-F2D6-4E8D-BE55-20EEAD27B70A}">
      <formula1>$A$104:$A$109</formula1>
    </dataValidation>
    <dataValidation type="list" allowBlank="1" showInputMessage="1" showErrorMessage="1" sqref="F207:H207" xr:uid="{DF02F557-1510-4BC9-B679-BA6A6920E2D1}">
      <formula1>"with,without"</formula1>
    </dataValidation>
    <dataValidation type="list" allowBlank="1" showInputMessage="1" showErrorMessage="1" sqref="F201" xr:uid="{6F307142-8AF2-4FFD-BA20-63BFE1050A3C}">
      <formula1>"Walk-in,Case,Compressor/Condenser,HVAC"</formula1>
    </dataValidation>
  </dataValidations>
  <hyperlinks>
    <hyperlink ref="AT2" location="TOC!A1" display="Return to TOC" xr:uid="{FA03E916-A0E4-47F6-82F6-FA4E20087EE2}"/>
    <hyperlink ref="BP95:BY95" location="'C_Refrig_Evap Motor Control'!A1" display="See Table 2 of the Evaporator Motor Control measure" xr:uid="{85693AD9-5AD7-4B01-BD43-6492BB8C878D}"/>
    <hyperlink ref="BP96:BY96" location="'C_Refrig_Evap Motor Control'!A1" display="See Table 2 of the Evaporator Motor Control measure" xr:uid="{15963AEA-48EE-49DD-ABAC-26DDD1834015}"/>
    <hyperlink ref="A2" location="TOC!A1" display="Return to TOC" xr:uid="{6E96CBA4-049F-4790-9814-7B6EF45895BF}"/>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6:AF69 AF75:AF81 B17:B20" numberStoredAsText="1"/>
    <ignoredError sqref="A149:C188" twoDigitTextYear="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59999389629810485"/>
    <pageSetUpPr autoPageBreaks="0"/>
  </sheetPr>
  <dimension ref="A1:AF64"/>
  <sheetViews>
    <sheetView workbookViewId="0">
      <selection sqref="A1:AF1"/>
    </sheetView>
  </sheetViews>
  <sheetFormatPr defaultColWidth="2.7109375" defaultRowHeight="15" x14ac:dyDescent="0.25"/>
  <cols>
    <col min="1" max="7" width="2.7109375" style="1"/>
    <col min="8" max="8" width="3.28515625" style="1" customWidth="1"/>
    <col min="9" max="13" width="2.7109375" style="1"/>
    <col min="14" max="14" width="2.7109375" style="1" customWidth="1"/>
    <col min="15" max="40" width="2.7109375" style="1"/>
    <col min="41" max="41" width="5" style="1" bestFit="1" customWidth="1"/>
    <col min="42" max="16384" width="2.7109375" style="1"/>
  </cols>
  <sheetData>
    <row r="1" spans="1:32" ht="18.75" x14ac:dyDescent="0.25">
      <c r="A1" s="1464" t="s">
        <v>1487</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472" t="s">
        <v>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171" t="s">
        <v>10</v>
      </c>
      <c r="C5" s="171"/>
      <c r="D5" s="171"/>
      <c r="E5" s="171"/>
      <c r="F5" s="171"/>
      <c r="G5" s="171"/>
      <c r="H5" s="171"/>
      <c r="I5" s="171"/>
    </row>
    <row r="6" spans="1:32" ht="67.5" customHeight="1" x14ac:dyDescent="0.25">
      <c r="B6" s="1247" t="s">
        <v>1684</v>
      </c>
      <c r="C6" s="1476"/>
      <c r="D6" s="1476"/>
      <c r="E6" s="1476"/>
      <c r="F6" s="1476"/>
      <c r="G6" s="1476"/>
      <c r="H6" s="1476"/>
      <c r="I6" s="1476"/>
      <c r="J6" s="1476"/>
      <c r="K6" s="1476"/>
      <c r="L6" s="1476"/>
      <c r="M6" s="1476"/>
      <c r="N6" s="1476"/>
      <c r="O6" s="1476"/>
      <c r="P6" s="1476"/>
      <c r="Q6" s="1476"/>
      <c r="R6" s="1476"/>
      <c r="S6" s="1476"/>
      <c r="T6" s="1476"/>
      <c r="U6" s="1476"/>
      <c r="V6" s="1476"/>
      <c r="W6" s="1476"/>
      <c r="X6" s="1476"/>
      <c r="Y6" s="1476"/>
      <c r="Z6" s="1476"/>
      <c r="AA6" s="1476"/>
      <c r="AB6" s="1476"/>
      <c r="AC6" s="1476"/>
      <c r="AD6" s="1476"/>
      <c r="AE6" s="1476"/>
      <c r="AF6" s="1476"/>
    </row>
    <row r="8" spans="1:32" x14ac:dyDescent="0.25">
      <c r="B8" s="171" t="s">
        <v>11</v>
      </c>
      <c r="C8" s="171"/>
      <c r="D8" s="171"/>
      <c r="E8" s="171"/>
      <c r="F8" s="171"/>
      <c r="G8" s="171"/>
      <c r="H8" s="171"/>
      <c r="I8" s="171"/>
    </row>
    <row r="9" spans="1:32" s="4" customFormat="1" ht="109.5" customHeight="1" x14ac:dyDescent="0.25">
      <c r="B9" s="1247" t="s">
        <v>2961</v>
      </c>
      <c r="C9" s="1247"/>
      <c r="D9" s="1247"/>
      <c r="E9" s="1247"/>
      <c r="F9" s="1247"/>
      <c r="G9" s="1247"/>
      <c r="H9" s="1247"/>
      <c r="I9" s="1247"/>
      <c r="J9" s="1247"/>
      <c r="K9" s="1247"/>
      <c r="L9" s="1247"/>
      <c r="M9" s="1247"/>
      <c r="N9" s="1247"/>
      <c r="O9" s="1247"/>
      <c r="P9" s="1247"/>
      <c r="Q9" s="1247"/>
      <c r="R9" s="1247"/>
      <c r="S9" s="1247"/>
      <c r="T9" s="1247"/>
      <c r="U9" s="1247"/>
      <c r="V9" s="1247"/>
      <c r="W9" s="1247"/>
      <c r="X9" s="1247"/>
      <c r="Y9" s="1247"/>
      <c r="Z9" s="1247"/>
      <c r="AA9" s="1247"/>
      <c r="AB9" s="1247"/>
      <c r="AC9" s="1247"/>
      <c r="AD9" s="1247"/>
      <c r="AE9" s="1247"/>
      <c r="AF9" s="1247"/>
    </row>
    <row r="11" spans="1:32" x14ac:dyDescent="0.25">
      <c r="B11" s="171" t="s">
        <v>12</v>
      </c>
      <c r="C11" s="171"/>
      <c r="D11" s="171"/>
      <c r="E11" s="171"/>
      <c r="F11" s="171"/>
      <c r="G11" s="171"/>
      <c r="H11" s="171"/>
      <c r="I11" s="171"/>
    </row>
    <row r="12" spans="1:32" x14ac:dyDescent="0.25">
      <c r="B12" s="1473" t="s">
        <v>1483</v>
      </c>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row>
    <row r="14" spans="1:32" x14ac:dyDescent="0.25">
      <c r="B14" s="171" t="s">
        <v>13</v>
      </c>
      <c r="C14" s="171"/>
      <c r="D14" s="171"/>
      <c r="E14" s="171"/>
      <c r="F14" s="171"/>
      <c r="G14" s="171"/>
      <c r="H14" s="171"/>
      <c r="I14" s="171"/>
    </row>
    <row r="15" spans="1:32" x14ac:dyDescent="0.25">
      <c r="B15" s="1151" t="s">
        <v>1470</v>
      </c>
      <c r="C15" s="1151"/>
      <c r="D15" s="1151"/>
      <c r="E15" s="1151"/>
      <c r="F15" s="1151"/>
      <c r="G15" s="1151"/>
      <c r="H15" s="1151"/>
      <c r="I15" s="1151"/>
      <c r="J15" s="1151"/>
      <c r="K15" s="1151"/>
      <c r="L15" s="1151"/>
      <c r="M15" s="1151"/>
      <c r="N15" s="1151"/>
      <c r="O15" s="1151"/>
      <c r="P15" s="1151"/>
      <c r="Q15" s="1151"/>
      <c r="R15" s="1151"/>
      <c r="S15" s="1151"/>
      <c r="T15" s="1151"/>
      <c r="U15" s="1151"/>
      <c r="V15" s="1151"/>
      <c r="W15" s="1151"/>
      <c r="X15" s="1151"/>
      <c r="Y15" s="1151"/>
      <c r="Z15" s="1151"/>
      <c r="AA15" s="1151"/>
      <c r="AB15" s="1151"/>
      <c r="AC15" s="1151"/>
      <c r="AD15" s="1151"/>
      <c r="AE15" s="1151"/>
      <c r="AF15" s="1151"/>
    </row>
    <row r="17" spans="1:32" x14ac:dyDescent="0.25">
      <c r="B17" s="171" t="s">
        <v>20</v>
      </c>
      <c r="C17" s="171"/>
      <c r="D17" s="171"/>
      <c r="E17" s="171"/>
      <c r="F17" s="171"/>
      <c r="G17" s="171"/>
      <c r="H17" s="171"/>
      <c r="I17" s="171"/>
    </row>
    <row r="18" spans="1:32" ht="31.5" customHeight="1" x14ac:dyDescent="0.25">
      <c r="B18" s="1151" t="s">
        <v>2182</v>
      </c>
      <c r="C18" s="1151"/>
      <c r="D18" s="1151"/>
      <c r="E18" s="1151"/>
      <c r="F18" s="1151"/>
      <c r="G18" s="1151"/>
      <c r="H18" s="1151"/>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1151"/>
      <c r="AF18" s="1151"/>
    </row>
    <row r="21" spans="1:32" x14ac:dyDescent="0.25">
      <c r="A21" s="1472" t="s">
        <v>14</v>
      </c>
      <c r="B21" s="1472"/>
      <c r="C21" s="1472"/>
      <c r="D21" s="1472"/>
      <c r="E21" s="1472"/>
      <c r="F21" s="1472"/>
      <c r="G21" s="1472"/>
      <c r="H21" s="1472"/>
      <c r="I21" s="1472"/>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row>
    <row r="23" spans="1:32" customFormat="1" ht="18" x14ac:dyDescent="0.25">
      <c r="A23" s="2875" t="s">
        <v>1474</v>
      </c>
      <c r="B23" s="2875"/>
      <c r="C23" s="2875"/>
      <c r="D23" s="2875"/>
      <c r="E23" s="2875"/>
      <c r="F23" s="2875"/>
      <c r="G23" s="2875"/>
      <c r="H23" s="2875"/>
      <c r="I23" s="2875"/>
      <c r="J23" s="204" t="s">
        <v>1484</v>
      </c>
      <c r="K23" s="1"/>
      <c r="L23" s="1"/>
      <c r="M23" s="1"/>
      <c r="N23" s="1"/>
    </row>
    <row r="24" spans="1:32" customFormat="1" ht="18" x14ac:dyDescent="0.25">
      <c r="A24" s="2875" t="s">
        <v>1475</v>
      </c>
      <c r="B24" s="2875"/>
      <c r="C24" s="2875"/>
      <c r="D24" s="2875"/>
      <c r="E24" s="2875"/>
      <c r="F24" s="2875"/>
      <c r="G24" s="2875"/>
      <c r="H24" s="2875"/>
      <c r="I24" s="2875"/>
      <c r="J24" s="204" t="s">
        <v>1485</v>
      </c>
      <c r="K24" s="1"/>
      <c r="L24" s="1"/>
      <c r="M24" s="1"/>
      <c r="N24" s="1"/>
    </row>
    <row r="25" spans="1:32" customFormat="1" x14ac:dyDescent="0.25">
      <c r="B25" s="1"/>
      <c r="C25" s="1"/>
      <c r="D25" s="1"/>
      <c r="E25" s="1"/>
      <c r="F25" s="1"/>
      <c r="G25" s="1"/>
      <c r="H25" s="1"/>
      <c r="I25" s="1"/>
      <c r="J25" s="1"/>
      <c r="K25" s="1"/>
      <c r="L25" s="1"/>
      <c r="M25" s="1"/>
    </row>
    <row r="26" spans="1:32" customFormat="1" x14ac:dyDescent="0.25">
      <c r="B26" s="1"/>
      <c r="C26" s="1"/>
      <c r="D26" s="1"/>
      <c r="E26" s="1"/>
      <c r="F26" s="1"/>
      <c r="G26" s="1"/>
      <c r="H26" s="1"/>
      <c r="I26" s="1"/>
      <c r="J26" s="1"/>
      <c r="K26" s="1"/>
      <c r="L26" s="1"/>
      <c r="M26" s="1"/>
    </row>
    <row r="27" spans="1:32" customFormat="1" x14ac:dyDescent="0.25">
      <c r="A27" s="1472" t="s">
        <v>15</v>
      </c>
      <c r="B27" s="1472"/>
      <c r="C27" s="1472"/>
      <c r="D27" s="1472"/>
      <c r="E27" s="1472"/>
      <c r="F27" s="1472"/>
      <c r="G27" s="1472"/>
      <c r="H27" s="1472"/>
      <c r="I27" s="1472"/>
      <c r="J27" s="1472"/>
      <c r="K27" s="1472"/>
      <c r="L27" s="1472"/>
      <c r="M27" s="1472"/>
      <c r="N27" s="1472"/>
      <c r="O27" s="1472"/>
      <c r="P27" s="1472"/>
      <c r="Q27" s="1472"/>
      <c r="R27" s="1472"/>
      <c r="S27" s="1472"/>
      <c r="T27" s="1472"/>
      <c r="U27" s="1472"/>
      <c r="V27" s="1472"/>
      <c r="W27" s="1472"/>
      <c r="X27" s="1472"/>
      <c r="Y27" s="1472"/>
      <c r="Z27" s="1472"/>
      <c r="AA27" s="1472"/>
      <c r="AB27" s="1472"/>
      <c r="AC27" s="1472"/>
      <c r="AD27" s="1472"/>
      <c r="AE27" s="1472"/>
      <c r="AF27" s="1472"/>
    </row>
    <row r="28" spans="1:32" customFormat="1" x14ac:dyDescent="0.25">
      <c r="A28" s="1474" t="s">
        <v>16</v>
      </c>
      <c r="B28" s="1474"/>
      <c r="C28" s="1474"/>
      <c r="D28" s="1474"/>
      <c r="E28" s="1474" t="s">
        <v>10</v>
      </c>
      <c r="F28" s="1474"/>
      <c r="G28" s="1474"/>
      <c r="H28" s="1474"/>
      <c r="I28" s="1474"/>
      <c r="J28" s="1474"/>
      <c r="K28" s="1474"/>
      <c r="L28" s="1474"/>
      <c r="M28" s="1474"/>
      <c r="N28" s="1474"/>
      <c r="O28" s="1474"/>
      <c r="P28" s="1474"/>
      <c r="Q28" s="1474" t="s">
        <v>17</v>
      </c>
      <c r="R28" s="1474"/>
      <c r="S28" s="1474"/>
      <c r="T28" s="1474" t="s">
        <v>18</v>
      </c>
      <c r="U28" s="1474"/>
      <c r="V28" s="1474"/>
      <c r="W28" s="1474" t="s">
        <v>19</v>
      </c>
      <c r="X28" s="1474"/>
      <c r="Y28" s="1474"/>
      <c r="Z28" s="1474"/>
      <c r="AA28" s="1474"/>
      <c r="AB28" s="1474"/>
      <c r="AC28" s="1474"/>
      <c r="AD28" s="1474"/>
      <c r="AE28" s="1474"/>
      <c r="AF28" s="1474"/>
    </row>
    <row r="29" spans="1:32" customFormat="1" x14ac:dyDescent="0.25">
      <c r="A29" s="1606" t="s">
        <v>1685</v>
      </c>
      <c r="B29" s="1606"/>
      <c r="C29" s="1606"/>
      <c r="D29" s="1606"/>
      <c r="E29" s="1134" t="s">
        <v>1472</v>
      </c>
      <c r="F29" s="1134"/>
      <c r="G29" s="1134"/>
      <c r="H29" s="1134"/>
      <c r="I29" s="1134"/>
      <c r="J29" s="1134"/>
      <c r="K29" s="1134"/>
      <c r="L29" s="1134"/>
      <c r="M29" s="1134"/>
      <c r="N29" s="1134"/>
      <c r="O29" s="1134"/>
      <c r="P29" s="1134"/>
      <c r="Q29" s="2876">
        <v>0.746</v>
      </c>
      <c r="R29" s="2876"/>
      <c r="S29" s="2876"/>
      <c r="T29" s="1606" t="s">
        <v>994</v>
      </c>
      <c r="U29" s="1606"/>
      <c r="V29" s="1606"/>
      <c r="W29" s="1134"/>
      <c r="X29" s="1134"/>
      <c r="Y29" s="1134"/>
      <c r="Z29" s="1134"/>
      <c r="AA29" s="1134"/>
      <c r="AB29" s="1134"/>
      <c r="AC29" s="1134"/>
      <c r="AD29" s="1134"/>
      <c r="AE29" s="1134"/>
      <c r="AF29" s="1134"/>
    </row>
    <row r="30" spans="1:32" customFormat="1" ht="28.9" customHeight="1" x14ac:dyDescent="0.25">
      <c r="A30" s="2867" t="s">
        <v>1686</v>
      </c>
      <c r="B30" s="1606"/>
      <c r="C30" s="1606"/>
      <c r="D30" s="1606"/>
      <c r="E30" s="1134" t="s">
        <v>1471</v>
      </c>
      <c r="F30" s="1134"/>
      <c r="G30" s="1134"/>
      <c r="H30" s="1134"/>
      <c r="I30" s="1134"/>
      <c r="J30" s="1134"/>
      <c r="K30" s="1134"/>
      <c r="L30" s="1134"/>
      <c r="M30" s="1134"/>
      <c r="N30" s="1134"/>
      <c r="O30" s="1134"/>
      <c r="P30" s="1134"/>
      <c r="Q30" s="2759">
        <v>0.81669999999999998</v>
      </c>
      <c r="R30" s="2759"/>
      <c r="S30" s="2759"/>
      <c r="T30" s="1606" t="s">
        <v>28</v>
      </c>
      <c r="U30" s="1606"/>
      <c r="V30" s="1606"/>
      <c r="W30" s="1135" t="s">
        <v>1523</v>
      </c>
      <c r="X30" s="1135"/>
      <c r="Y30" s="1135"/>
      <c r="Z30" s="1135"/>
      <c r="AA30" s="1135"/>
      <c r="AB30" s="1135"/>
      <c r="AC30" s="1135"/>
      <c r="AD30" s="1135"/>
      <c r="AE30" s="1135"/>
      <c r="AF30" s="1135"/>
    </row>
    <row r="31" spans="1:32" customFormat="1" ht="28.9" customHeight="1" x14ac:dyDescent="0.25">
      <c r="A31" s="2867" t="s">
        <v>1687</v>
      </c>
      <c r="B31" s="1606"/>
      <c r="C31" s="1606"/>
      <c r="D31" s="1606"/>
      <c r="E31" s="1134" t="s">
        <v>1473</v>
      </c>
      <c r="F31" s="1134"/>
      <c r="G31" s="1134"/>
      <c r="H31" s="1134"/>
      <c r="I31" s="1134"/>
      <c r="J31" s="1134"/>
      <c r="K31" s="1134"/>
      <c r="L31" s="1134"/>
      <c r="M31" s="1134"/>
      <c r="N31" s="1134"/>
      <c r="O31" s="1134"/>
      <c r="P31" s="1134"/>
      <c r="Q31" s="2759">
        <v>0.84279999999999999</v>
      </c>
      <c r="R31" s="2759"/>
      <c r="S31" s="2759"/>
      <c r="T31" s="1606" t="s">
        <v>28</v>
      </c>
      <c r="U31" s="1606"/>
      <c r="V31" s="1606"/>
      <c r="W31" s="1135" t="s">
        <v>1524</v>
      </c>
      <c r="X31" s="1135"/>
      <c r="Y31" s="1135"/>
      <c r="Z31" s="1135"/>
      <c r="AA31" s="1135"/>
      <c r="AB31" s="1135"/>
      <c r="AC31" s="1135"/>
      <c r="AD31" s="1135"/>
      <c r="AE31" s="1135"/>
      <c r="AF31" s="1135"/>
    </row>
    <row r="32" spans="1:32" customFormat="1" ht="28.9" customHeight="1" x14ac:dyDescent="0.25">
      <c r="A32" s="1606" t="s">
        <v>250</v>
      </c>
      <c r="B32" s="1606"/>
      <c r="C32" s="1606"/>
      <c r="D32" s="1606"/>
      <c r="E32" s="1135" t="s">
        <v>993</v>
      </c>
      <c r="F32" s="1135"/>
      <c r="G32" s="1135"/>
      <c r="H32" s="1135"/>
      <c r="I32" s="1135"/>
      <c r="J32" s="1135"/>
      <c r="K32" s="1135"/>
      <c r="L32" s="1135"/>
      <c r="M32" s="1135"/>
      <c r="N32" s="1135"/>
      <c r="O32" s="1135"/>
      <c r="P32" s="1135"/>
      <c r="Q32" s="2758">
        <v>0.75</v>
      </c>
      <c r="R32" s="2758"/>
      <c r="S32" s="2758"/>
      <c r="T32" s="1606" t="s">
        <v>28</v>
      </c>
      <c r="U32" s="1606"/>
      <c r="V32" s="1606"/>
      <c r="W32" s="1134" t="s">
        <v>2962</v>
      </c>
      <c r="X32" s="1134"/>
      <c r="Y32" s="1134"/>
      <c r="Z32" s="1134"/>
      <c r="AA32" s="1134"/>
      <c r="AB32" s="1134"/>
      <c r="AC32" s="1134"/>
      <c r="AD32" s="1134"/>
      <c r="AE32" s="1134"/>
      <c r="AF32" s="1134"/>
    </row>
    <row r="33" spans="1:32" customFormat="1" ht="28.9" customHeight="1" x14ac:dyDescent="0.25">
      <c r="A33" s="1606" t="s">
        <v>32</v>
      </c>
      <c r="B33" s="1606"/>
      <c r="C33" s="1606"/>
      <c r="D33" s="1606"/>
      <c r="E33" s="1134" t="s">
        <v>163</v>
      </c>
      <c r="F33" s="1134"/>
      <c r="G33" s="1134"/>
      <c r="H33" s="1134"/>
      <c r="I33" s="1134"/>
      <c r="J33" s="1134"/>
      <c r="K33" s="1134"/>
      <c r="L33" s="1134"/>
      <c r="M33" s="1134"/>
      <c r="N33" s="1134"/>
      <c r="O33" s="1134"/>
      <c r="P33" s="1134"/>
      <c r="Q33" s="1606">
        <f>6*365</f>
        <v>2190</v>
      </c>
      <c r="R33" s="1606"/>
      <c r="S33" s="1606"/>
      <c r="T33" s="1606" t="s">
        <v>45</v>
      </c>
      <c r="U33" s="1606"/>
      <c r="V33" s="1606"/>
      <c r="W33" s="1135" t="s">
        <v>2963</v>
      </c>
      <c r="X33" s="1135"/>
      <c r="Y33" s="1135"/>
      <c r="Z33" s="1135"/>
      <c r="AA33" s="1135"/>
      <c r="AB33" s="1135"/>
      <c r="AC33" s="1135"/>
      <c r="AD33" s="1135"/>
      <c r="AE33" s="1135"/>
      <c r="AF33" s="1135"/>
    </row>
    <row r="34" spans="1:32" customFormat="1" x14ac:dyDescent="0.25">
      <c r="A34" s="1606" t="s">
        <v>34</v>
      </c>
      <c r="B34" s="1606"/>
      <c r="C34" s="1606"/>
      <c r="D34" s="1606"/>
      <c r="E34" s="1134" t="s">
        <v>290</v>
      </c>
      <c r="F34" s="1134"/>
      <c r="G34" s="1134"/>
      <c r="H34" s="1134"/>
      <c r="I34" s="1134"/>
      <c r="J34" s="1134"/>
      <c r="K34" s="1134"/>
      <c r="L34" s="1134"/>
      <c r="M34" s="1134"/>
      <c r="N34" s="1134"/>
      <c r="O34" s="1134"/>
      <c r="P34" s="1134"/>
      <c r="Q34" s="1606">
        <f>'Master EUL'!X87</f>
        <v>15</v>
      </c>
      <c r="R34" s="1606"/>
      <c r="S34" s="1606"/>
      <c r="T34" s="1606" t="s">
        <v>46</v>
      </c>
      <c r="U34" s="1606"/>
      <c r="V34" s="1606"/>
      <c r="W34" s="1134"/>
      <c r="X34" s="1134"/>
      <c r="Y34" s="1134"/>
      <c r="Z34" s="1134"/>
      <c r="AA34" s="1134"/>
      <c r="AB34" s="1134"/>
      <c r="AC34" s="1134"/>
      <c r="AD34" s="1134"/>
      <c r="AE34" s="1134"/>
      <c r="AF34" s="1134"/>
    </row>
    <row r="36" spans="1:32" ht="16.149999999999999" customHeight="1" x14ac:dyDescent="0.25">
      <c r="A36" s="338" t="s">
        <v>1482</v>
      </c>
      <c r="B36" s="337"/>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row>
    <row r="37" spans="1:32" ht="14.45" customHeight="1" x14ac:dyDescent="0.25">
      <c r="A37" s="1603" t="s">
        <v>1476</v>
      </c>
      <c r="B37" s="1603"/>
      <c r="C37" s="1603"/>
      <c r="D37" s="1603"/>
      <c r="E37" s="2874" t="s">
        <v>1477</v>
      </c>
      <c r="F37" s="2874"/>
      <c r="G37" s="2874"/>
      <c r="H37" s="2874"/>
      <c r="I37" s="2874"/>
      <c r="J37" s="2874"/>
      <c r="K37" s="2874"/>
      <c r="L37" s="2874"/>
      <c r="M37" s="2874" t="s">
        <v>1478</v>
      </c>
      <c r="N37" s="2874"/>
      <c r="O37" s="2874"/>
      <c r="P37" s="2874"/>
      <c r="Q37" s="2874"/>
      <c r="R37" s="2874"/>
      <c r="S37" s="2874"/>
      <c r="T37" s="2874"/>
      <c r="U37" s="2874" t="s">
        <v>1479</v>
      </c>
      <c r="V37" s="2874"/>
      <c r="W37" s="2874"/>
      <c r="X37" s="2874"/>
      <c r="Y37" s="2874"/>
      <c r="Z37" s="2874"/>
      <c r="AA37" s="2874"/>
      <c r="AB37" s="2874"/>
    </row>
    <row r="38" spans="1:32" x14ac:dyDescent="0.25">
      <c r="A38" s="1603"/>
      <c r="B38" s="1603"/>
      <c r="C38" s="1603"/>
      <c r="D38" s="1603"/>
      <c r="E38" s="2874"/>
      <c r="F38" s="2874"/>
      <c r="G38" s="2874"/>
      <c r="H38" s="2874"/>
      <c r="I38" s="2874"/>
      <c r="J38" s="2874"/>
      <c r="K38" s="2874"/>
      <c r="L38" s="2874"/>
      <c r="M38" s="2874"/>
      <c r="N38" s="2874"/>
      <c r="O38" s="2874"/>
      <c r="P38" s="2874"/>
      <c r="Q38" s="2874"/>
      <c r="R38" s="2874"/>
      <c r="S38" s="2874"/>
      <c r="T38" s="2874"/>
      <c r="U38" s="2874"/>
      <c r="V38" s="2874"/>
      <c r="W38" s="2874"/>
      <c r="X38" s="2874"/>
      <c r="Y38" s="2874"/>
      <c r="Z38" s="2874"/>
      <c r="AA38" s="2874"/>
      <c r="AB38" s="2874"/>
    </row>
    <row r="39" spans="1:32" ht="14.45" customHeight="1" x14ac:dyDescent="0.25">
      <c r="A39" s="1603"/>
      <c r="B39" s="1603"/>
      <c r="C39" s="1603"/>
      <c r="D39" s="1603"/>
      <c r="E39" s="2873" t="s">
        <v>1480</v>
      </c>
      <c r="F39" s="2873"/>
      <c r="G39" s="2873"/>
      <c r="H39" s="2873"/>
      <c r="I39" s="2873" t="s">
        <v>1481</v>
      </c>
      <c r="J39" s="2873"/>
      <c r="K39" s="2873"/>
      <c r="L39" s="2873"/>
      <c r="M39" s="2873" t="s">
        <v>1480</v>
      </c>
      <c r="N39" s="2873"/>
      <c r="O39" s="2873"/>
      <c r="P39" s="2873"/>
      <c r="Q39" s="2873" t="s">
        <v>1481</v>
      </c>
      <c r="R39" s="2873"/>
      <c r="S39" s="2873"/>
      <c r="T39" s="2873"/>
      <c r="U39" s="2873" t="s">
        <v>1480</v>
      </c>
      <c r="V39" s="2873"/>
      <c r="W39" s="2873"/>
      <c r="X39" s="2873"/>
      <c r="Y39" s="2873" t="s">
        <v>1481</v>
      </c>
      <c r="Z39" s="2873"/>
      <c r="AA39" s="2873"/>
      <c r="AB39" s="2873"/>
    </row>
    <row r="40" spans="1:32" x14ac:dyDescent="0.25">
      <c r="A40" s="2865">
        <v>1</v>
      </c>
      <c r="B40" s="2865"/>
      <c r="C40" s="2865"/>
      <c r="D40" s="2865"/>
      <c r="E40" s="2866">
        <v>80</v>
      </c>
      <c r="F40" s="2866"/>
      <c r="G40" s="2866"/>
      <c r="H40" s="2866"/>
      <c r="I40" s="2866">
        <v>84</v>
      </c>
      <c r="J40" s="2866"/>
      <c r="K40" s="2866"/>
      <c r="L40" s="2866"/>
      <c r="M40" s="2866">
        <v>86.4</v>
      </c>
      <c r="N40" s="2866"/>
      <c r="O40" s="2866"/>
      <c r="P40" s="2866"/>
      <c r="Q40" s="2866">
        <v>87.5</v>
      </c>
      <c r="R40" s="2866"/>
      <c r="S40" s="2866"/>
      <c r="T40" s="2866"/>
      <c r="U40" s="2866">
        <v>83.8</v>
      </c>
      <c r="V40" s="2866"/>
      <c r="W40" s="2866"/>
      <c r="X40" s="2866"/>
      <c r="Y40" s="2864">
        <v>84</v>
      </c>
      <c r="Z40" s="2864"/>
      <c r="AA40" s="2864"/>
      <c r="AB40" s="2864"/>
    </row>
    <row r="41" spans="1:32" ht="14.45" customHeight="1" x14ac:dyDescent="0.25">
      <c r="A41" s="2865">
        <v>1.5</v>
      </c>
      <c r="B41" s="2865"/>
      <c r="C41" s="2865"/>
      <c r="D41" s="2865"/>
      <c r="E41" s="2866">
        <v>86.5</v>
      </c>
      <c r="F41" s="2866">
        <v>86.5</v>
      </c>
      <c r="G41" s="2866">
        <v>86.5</v>
      </c>
      <c r="H41" s="2866">
        <v>86.5</v>
      </c>
      <c r="I41" s="2866">
        <v>87.5</v>
      </c>
      <c r="J41" s="2866">
        <v>87.5</v>
      </c>
      <c r="K41" s="2866">
        <v>87.5</v>
      </c>
      <c r="L41" s="2866">
        <v>87.5</v>
      </c>
      <c r="M41" s="2866">
        <v>87.3</v>
      </c>
      <c r="N41" s="2866">
        <v>86.5</v>
      </c>
      <c r="O41" s="2866">
        <v>86.5</v>
      </c>
      <c r="P41" s="2866">
        <v>86.5</v>
      </c>
      <c r="Q41" s="2866">
        <v>88.5</v>
      </c>
      <c r="R41" s="2866">
        <v>88.5</v>
      </c>
      <c r="S41" s="2866">
        <v>88.5</v>
      </c>
      <c r="T41" s="2866">
        <v>88.5</v>
      </c>
      <c r="U41" s="2866">
        <v>87.5</v>
      </c>
      <c r="V41" s="2866">
        <v>87.5</v>
      </c>
      <c r="W41" s="2866">
        <v>87.5</v>
      </c>
      <c r="X41" s="2866">
        <v>87.5</v>
      </c>
      <c r="Y41" s="2864">
        <v>89.2</v>
      </c>
      <c r="Z41" s="2864">
        <v>87.5</v>
      </c>
      <c r="AA41" s="2864">
        <v>87.5</v>
      </c>
      <c r="AB41" s="2864">
        <v>87.5</v>
      </c>
    </row>
    <row r="42" spans="1:32" customFormat="1" x14ac:dyDescent="0.25">
      <c r="A42" s="2865">
        <v>2</v>
      </c>
      <c r="B42" s="2865"/>
      <c r="C42" s="2865"/>
      <c r="D42" s="2865"/>
      <c r="E42" s="2866">
        <v>86.5</v>
      </c>
      <c r="F42" s="2866">
        <v>86.5</v>
      </c>
      <c r="G42" s="2866">
        <v>86.5</v>
      </c>
      <c r="H42" s="2866">
        <v>86.5</v>
      </c>
      <c r="I42" s="2866">
        <v>88.5</v>
      </c>
      <c r="J42" s="2866">
        <v>88.5</v>
      </c>
      <c r="K42" s="2866">
        <v>88.5</v>
      </c>
      <c r="L42" s="2866">
        <v>88.5</v>
      </c>
      <c r="M42" s="2866">
        <v>87.3</v>
      </c>
      <c r="N42" s="2866">
        <v>86.5</v>
      </c>
      <c r="O42" s="2866">
        <v>86.5</v>
      </c>
      <c r="P42" s="2866">
        <v>86.5</v>
      </c>
      <c r="Q42" s="2866">
        <v>88.5</v>
      </c>
      <c r="R42" s="2866">
        <v>88.5</v>
      </c>
      <c r="S42" s="2866">
        <v>88.5</v>
      </c>
      <c r="T42" s="2866">
        <v>88.5</v>
      </c>
      <c r="U42" s="2866">
        <v>88.5</v>
      </c>
      <c r="V42" s="2866">
        <v>88.5</v>
      </c>
      <c r="W42" s="2866">
        <v>88.5</v>
      </c>
      <c r="X42" s="2866">
        <v>88.5</v>
      </c>
      <c r="Y42" s="2864">
        <v>90.1</v>
      </c>
      <c r="Z42" s="2864">
        <v>88.5</v>
      </c>
      <c r="AA42" s="2864">
        <v>88.5</v>
      </c>
      <c r="AB42" s="2864">
        <v>88.5</v>
      </c>
    </row>
    <row r="43" spans="1:32" customFormat="1" ht="14.45" hidden="1" customHeight="1" x14ac:dyDescent="0.25">
      <c r="A43" s="2865">
        <v>3</v>
      </c>
      <c r="B43" s="2865"/>
      <c r="C43" s="2865"/>
      <c r="D43" s="2865"/>
      <c r="E43" s="2866">
        <v>86.5</v>
      </c>
      <c r="F43" s="2866">
        <v>86.5</v>
      </c>
      <c r="G43" s="2866">
        <v>86.5</v>
      </c>
      <c r="H43" s="2866">
        <v>86.5</v>
      </c>
      <c r="I43" s="2866">
        <v>89.5</v>
      </c>
      <c r="J43" s="2866">
        <v>89.5</v>
      </c>
      <c r="K43" s="2866">
        <v>89.5</v>
      </c>
      <c r="L43" s="2866">
        <v>89.5</v>
      </c>
      <c r="M43" s="2866">
        <v>90.3</v>
      </c>
      <c r="N43" s="2866">
        <v>89.5</v>
      </c>
      <c r="O43" s="2866">
        <v>89.5</v>
      </c>
      <c r="P43" s="2866">
        <v>89.5</v>
      </c>
      <c r="Q43" s="2866">
        <v>91</v>
      </c>
      <c r="R43" s="2866">
        <v>91</v>
      </c>
      <c r="S43" s="2866">
        <v>91</v>
      </c>
      <c r="T43" s="2866">
        <v>91</v>
      </c>
      <c r="U43" s="2866">
        <v>90.2</v>
      </c>
      <c r="V43" s="2866">
        <v>90.2</v>
      </c>
      <c r="W43" s="2866">
        <v>90.2</v>
      </c>
      <c r="X43" s="2866">
        <v>90.2</v>
      </c>
      <c r="Y43" s="2864">
        <v>90.2</v>
      </c>
      <c r="Z43" s="2864">
        <v>90.2</v>
      </c>
      <c r="AA43" s="2864">
        <v>90.2</v>
      </c>
      <c r="AB43" s="2864">
        <v>90.2</v>
      </c>
    </row>
    <row r="44" spans="1:32" customFormat="1" ht="14.45" hidden="1" customHeight="1" x14ac:dyDescent="0.25">
      <c r="A44" s="2865">
        <v>5</v>
      </c>
      <c r="B44" s="2865"/>
      <c r="C44" s="2865"/>
      <c r="D44" s="2865"/>
      <c r="E44" s="2866">
        <v>89.5</v>
      </c>
      <c r="F44" s="2866">
        <v>89.5</v>
      </c>
      <c r="G44" s="2866">
        <v>89.5</v>
      </c>
      <c r="H44" s="2866">
        <v>89.5</v>
      </c>
      <c r="I44" s="2866">
        <v>90.2</v>
      </c>
      <c r="J44" s="2866">
        <v>90.2</v>
      </c>
      <c r="K44" s="2866">
        <v>90.2</v>
      </c>
      <c r="L44" s="2866">
        <v>90.2</v>
      </c>
      <c r="M44" s="2866">
        <v>90.2</v>
      </c>
      <c r="N44" s="2866">
        <v>89.5</v>
      </c>
      <c r="O44" s="2866">
        <v>89.5</v>
      </c>
      <c r="P44" s="2866">
        <v>89.5</v>
      </c>
      <c r="Q44" s="2866">
        <v>91</v>
      </c>
      <c r="R44" s="2866">
        <v>91</v>
      </c>
      <c r="S44" s="2866">
        <v>91</v>
      </c>
      <c r="T44" s="2866">
        <v>91</v>
      </c>
      <c r="U44" s="2866">
        <v>90.5</v>
      </c>
      <c r="V44" s="2866">
        <v>90.5</v>
      </c>
      <c r="W44" s="2866">
        <v>90.5</v>
      </c>
      <c r="X44" s="2866">
        <v>90.5</v>
      </c>
      <c r="Y44" s="2864">
        <v>91</v>
      </c>
      <c r="Z44" s="2864">
        <v>91</v>
      </c>
      <c r="AA44" s="2864">
        <v>91</v>
      </c>
      <c r="AB44" s="2864">
        <v>91</v>
      </c>
    </row>
    <row r="45" spans="1:32" x14ac:dyDescent="0.25">
      <c r="A45" s="2865">
        <v>7.5</v>
      </c>
      <c r="B45" s="2865"/>
      <c r="C45" s="2865"/>
      <c r="D45" s="2865"/>
      <c r="E45" s="2866">
        <v>90.2</v>
      </c>
      <c r="F45" s="2866">
        <v>90.2</v>
      </c>
      <c r="G45" s="2866">
        <v>90.2</v>
      </c>
      <c r="H45" s="2866">
        <v>90.2</v>
      </c>
      <c r="I45" s="2866">
        <v>91.7</v>
      </c>
      <c r="J45" s="2866">
        <v>91.7</v>
      </c>
      <c r="K45" s="2866">
        <v>91.7</v>
      </c>
      <c r="L45" s="2866">
        <v>91.7</v>
      </c>
      <c r="M45" s="2866">
        <v>91.7</v>
      </c>
      <c r="N45" s="2866">
        <v>91.7</v>
      </c>
      <c r="O45" s="2866">
        <v>91.7</v>
      </c>
      <c r="P45" s="2866">
        <v>91.7</v>
      </c>
      <c r="Q45" s="2866">
        <v>93</v>
      </c>
      <c r="R45" s="2866">
        <v>93</v>
      </c>
      <c r="S45" s="2866">
        <v>93</v>
      </c>
      <c r="T45" s="2866">
        <v>93</v>
      </c>
      <c r="U45" s="2866">
        <v>91.7</v>
      </c>
      <c r="V45" s="2866">
        <v>91.7</v>
      </c>
      <c r="W45" s="2866">
        <v>91.7</v>
      </c>
      <c r="X45" s="2866">
        <v>91.7</v>
      </c>
      <c r="Y45" s="2864">
        <v>92.4</v>
      </c>
      <c r="Z45" s="2864">
        <v>92.4</v>
      </c>
      <c r="AA45" s="2864">
        <v>92.4</v>
      </c>
      <c r="AB45" s="2864">
        <v>92.4</v>
      </c>
    </row>
    <row r="46" spans="1:32" x14ac:dyDescent="0.25">
      <c r="A46" s="2865">
        <v>10</v>
      </c>
      <c r="B46" s="2865"/>
      <c r="C46" s="2865"/>
      <c r="D46" s="2865"/>
      <c r="E46" s="2866">
        <v>91.7</v>
      </c>
      <c r="F46" s="2866">
        <v>91.7</v>
      </c>
      <c r="G46" s="2866">
        <v>91.7</v>
      </c>
      <c r="H46" s="2866">
        <v>91.7</v>
      </c>
      <c r="I46" s="2866">
        <v>91.7</v>
      </c>
      <c r="J46" s="2866">
        <v>91.7</v>
      </c>
      <c r="K46" s="2866">
        <v>91.7</v>
      </c>
      <c r="L46" s="2866">
        <v>91.7</v>
      </c>
      <c r="M46" s="2866">
        <v>92.3</v>
      </c>
      <c r="N46" s="2866">
        <v>91.7</v>
      </c>
      <c r="O46" s="2866">
        <v>91.7</v>
      </c>
      <c r="P46" s="2866">
        <v>91.7</v>
      </c>
      <c r="Q46" s="2866">
        <v>93</v>
      </c>
      <c r="R46" s="2866">
        <v>93</v>
      </c>
      <c r="S46" s="2866">
        <v>93</v>
      </c>
      <c r="T46" s="2866">
        <v>93</v>
      </c>
      <c r="U46" s="2866">
        <v>92.4</v>
      </c>
      <c r="V46" s="2866">
        <v>92.4</v>
      </c>
      <c r="W46" s="2866">
        <v>92.4</v>
      </c>
      <c r="X46" s="2866">
        <v>92.4</v>
      </c>
      <c r="Y46" s="2864">
        <v>92.4</v>
      </c>
      <c r="Z46" s="2864">
        <v>92.4</v>
      </c>
      <c r="AA46" s="2864">
        <v>92.4</v>
      </c>
      <c r="AB46" s="2864">
        <v>92.4</v>
      </c>
    </row>
    <row r="47" spans="1:32" x14ac:dyDescent="0.25">
      <c r="A47" s="2865">
        <v>15</v>
      </c>
      <c r="B47" s="2865"/>
      <c r="C47" s="2865"/>
      <c r="D47" s="2865"/>
      <c r="E47" s="2866">
        <v>91.6</v>
      </c>
      <c r="F47" s="2866">
        <v>91</v>
      </c>
      <c r="G47" s="2866">
        <v>91</v>
      </c>
      <c r="H47" s="2866">
        <v>91</v>
      </c>
      <c r="I47" s="2866">
        <v>92.4</v>
      </c>
      <c r="J47" s="2866">
        <v>92.4</v>
      </c>
      <c r="K47" s="2866">
        <v>92.4</v>
      </c>
      <c r="L47" s="2866">
        <v>92.4</v>
      </c>
      <c r="M47" s="2866">
        <v>93.6</v>
      </c>
      <c r="N47" s="2866">
        <v>93</v>
      </c>
      <c r="O47" s="2866">
        <v>93</v>
      </c>
      <c r="P47" s="2866">
        <v>93</v>
      </c>
      <c r="Q47" s="2866">
        <v>93.6</v>
      </c>
      <c r="R47" s="2866">
        <v>93.6</v>
      </c>
      <c r="S47" s="2866">
        <v>93.6</v>
      </c>
      <c r="T47" s="2866">
        <v>93.6</v>
      </c>
      <c r="U47" s="2866">
        <v>92.4</v>
      </c>
      <c r="V47" s="2866">
        <v>92.4</v>
      </c>
      <c r="W47" s="2866">
        <v>92.4</v>
      </c>
      <c r="X47" s="2866">
        <v>92.4</v>
      </c>
      <c r="Y47" s="2864">
        <v>93</v>
      </c>
      <c r="Z47" s="2864">
        <v>93</v>
      </c>
      <c r="AA47" s="2864">
        <v>93</v>
      </c>
      <c r="AB47" s="2864">
        <v>93</v>
      </c>
    </row>
    <row r="48" spans="1:32" x14ac:dyDescent="0.25">
      <c r="A48" s="2865">
        <v>20</v>
      </c>
      <c r="B48" s="2865"/>
      <c r="C48" s="2865"/>
      <c r="D48" s="2865"/>
      <c r="E48" s="2866">
        <v>92.4</v>
      </c>
      <c r="F48" s="2866">
        <v>92.4</v>
      </c>
      <c r="G48" s="2866">
        <v>92.4</v>
      </c>
      <c r="H48" s="2866">
        <v>92.4</v>
      </c>
      <c r="I48" s="2866">
        <v>93</v>
      </c>
      <c r="J48" s="2866">
        <v>93</v>
      </c>
      <c r="K48" s="2866">
        <v>93</v>
      </c>
      <c r="L48" s="2866">
        <v>93</v>
      </c>
      <c r="M48" s="2866">
        <v>93.6</v>
      </c>
      <c r="N48" s="2866">
        <v>93.6</v>
      </c>
      <c r="O48" s="2866">
        <v>93.6</v>
      </c>
      <c r="P48" s="2866">
        <v>93.6</v>
      </c>
      <c r="Q48" s="2866">
        <v>94.1</v>
      </c>
      <c r="R48" s="2866">
        <v>94.1</v>
      </c>
      <c r="S48" s="2866">
        <v>94.1</v>
      </c>
      <c r="T48" s="2866">
        <v>94.1</v>
      </c>
      <c r="U48" s="2866">
        <v>93</v>
      </c>
      <c r="V48" s="2866">
        <v>93</v>
      </c>
      <c r="W48" s="2866">
        <v>93</v>
      </c>
      <c r="X48" s="2866">
        <v>93</v>
      </c>
      <c r="Y48" s="2864">
        <v>93</v>
      </c>
      <c r="Z48" s="2864">
        <v>93</v>
      </c>
      <c r="AA48" s="2864">
        <v>93</v>
      </c>
      <c r="AB48" s="2864">
        <v>93</v>
      </c>
    </row>
    <row r="49" spans="1:32" x14ac:dyDescent="0.25">
      <c r="A49" s="2865">
        <v>25</v>
      </c>
      <c r="B49" s="2865"/>
      <c r="C49" s="2865"/>
      <c r="D49" s="2865"/>
      <c r="E49" s="2866">
        <v>93</v>
      </c>
      <c r="F49" s="2866">
        <v>93</v>
      </c>
      <c r="G49" s="2866">
        <v>93</v>
      </c>
      <c r="H49" s="2866">
        <v>93</v>
      </c>
      <c r="I49" s="2866">
        <v>93.6</v>
      </c>
      <c r="J49" s="2866">
        <v>93.6</v>
      </c>
      <c r="K49" s="2866">
        <v>93.6</v>
      </c>
      <c r="L49" s="2866">
        <v>93.6</v>
      </c>
      <c r="M49" s="2866">
        <v>94.1</v>
      </c>
      <c r="N49" s="2866">
        <v>94.1</v>
      </c>
      <c r="O49" s="2866">
        <v>94.1</v>
      </c>
      <c r="P49" s="2866">
        <v>94.1</v>
      </c>
      <c r="Q49" s="2866">
        <v>94.5</v>
      </c>
      <c r="R49" s="2866">
        <v>94.5</v>
      </c>
      <c r="S49" s="2866">
        <v>94.5</v>
      </c>
      <c r="T49" s="2866">
        <v>94.5</v>
      </c>
      <c r="U49" s="2866">
        <v>93.6</v>
      </c>
      <c r="V49" s="2866">
        <v>93.6</v>
      </c>
      <c r="W49" s="2866">
        <v>93.6</v>
      </c>
      <c r="X49" s="2866">
        <v>93.6</v>
      </c>
      <c r="Y49" s="2864">
        <v>94.1</v>
      </c>
      <c r="Z49" s="2864">
        <v>94.1</v>
      </c>
      <c r="AA49" s="2864">
        <v>94.1</v>
      </c>
      <c r="AB49" s="2864">
        <v>94.1</v>
      </c>
    </row>
    <row r="50" spans="1:32" x14ac:dyDescent="0.25">
      <c r="A50" s="2865">
        <v>30</v>
      </c>
      <c r="B50" s="2865"/>
      <c r="C50" s="2865"/>
      <c r="D50" s="2865"/>
      <c r="E50" s="2866">
        <v>92.4</v>
      </c>
      <c r="F50" s="2866">
        <v>92.4</v>
      </c>
      <c r="G50" s="2866">
        <v>92.4</v>
      </c>
      <c r="H50" s="2866">
        <v>92.4</v>
      </c>
      <c r="I50" s="2866">
        <v>93.6</v>
      </c>
      <c r="J50" s="2866">
        <v>93.6</v>
      </c>
      <c r="K50" s="2866">
        <v>93.6</v>
      </c>
      <c r="L50" s="2866">
        <v>93.6</v>
      </c>
      <c r="M50" s="2866">
        <v>94.6</v>
      </c>
      <c r="N50" s="2866">
        <v>94.1</v>
      </c>
      <c r="O50" s="2866">
        <v>94.1</v>
      </c>
      <c r="P50" s="2866">
        <v>94.1</v>
      </c>
      <c r="Q50" s="2866">
        <v>94.5</v>
      </c>
      <c r="R50" s="2866">
        <v>94.5</v>
      </c>
      <c r="S50" s="2866">
        <v>94.5</v>
      </c>
      <c r="T50" s="2866">
        <v>94.5</v>
      </c>
      <c r="U50" s="2866">
        <v>94.1</v>
      </c>
      <c r="V50" s="2866">
        <v>94.1</v>
      </c>
      <c r="W50" s="2866">
        <v>94.1</v>
      </c>
      <c r="X50" s="2866">
        <v>94.1</v>
      </c>
      <c r="Y50" s="2864">
        <v>94.1</v>
      </c>
      <c r="Z50" s="2864">
        <v>94.1</v>
      </c>
      <c r="AA50" s="2864">
        <v>94.1</v>
      </c>
      <c r="AB50" s="2864">
        <v>94.1</v>
      </c>
    </row>
    <row r="51" spans="1:32" x14ac:dyDescent="0.25">
      <c r="A51" s="2865">
        <v>40</v>
      </c>
      <c r="B51" s="2865"/>
      <c r="C51" s="2865"/>
      <c r="D51" s="2865"/>
      <c r="E51" s="2866">
        <v>93.6</v>
      </c>
      <c r="F51" s="2866">
        <v>93.6</v>
      </c>
      <c r="G51" s="2866">
        <v>93.6</v>
      </c>
      <c r="H51" s="2866">
        <v>93.6</v>
      </c>
      <c r="I51" s="2866">
        <v>94.1</v>
      </c>
      <c r="J51" s="2866">
        <v>94.1</v>
      </c>
      <c r="K51" s="2866">
        <v>94.1</v>
      </c>
      <c r="L51" s="2866">
        <v>94.1</v>
      </c>
      <c r="M51" s="2866">
        <v>94.5</v>
      </c>
      <c r="N51" s="2866">
        <v>94.5</v>
      </c>
      <c r="O51" s="2866">
        <v>94.5</v>
      </c>
      <c r="P51" s="2866">
        <v>94.5</v>
      </c>
      <c r="Q51" s="2866">
        <v>95</v>
      </c>
      <c r="R51" s="2866">
        <v>95</v>
      </c>
      <c r="S51" s="2866">
        <v>95</v>
      </c>
      <c r="T51" s="2866">
        <v>95</v>
      </c>
      <c r="U51" s="2866">
        <v>94.5</v>
      </c>
      <c r="V51" s="2866">
        <v>94.5</v>
      </c>
      <c r="W51" s="2866">
        <v>94.5</v>
      </c>
      <c r="X51" s="2866">
        <v>94.5</v>
      </c>
      <c r="Y51" s="2864">
        <v>95</v>
      </c>
      <c r="Z51" s="2864">
        <v>95</v>
      </c>
      <c r="AA51" s="2864">
        <v>95</v>
      </c>
      <c r="AB51" s="2864">
        <v>95</v>
      </c>
    </row>
    <row r="52" spans="1:32" x14ac:dyDescent="0.25">
      <c r="A52" s="2865">
        <v>50</v>
      </c>
      <c r="B52" s="2865"/>
      <c r="C52" s="2865"/>
      <c r="D52" s="2865"/>
      <c r="E52" s="2866">
        <v>94.1</v>
      </c>
      <c r="F52" s="2866">
        <v>94.1</v>
      </c>
      <c r="G52" s="2866">
        <v>94.1</v>
      </c>
      <c r="H52" s="2866">
        <v>94.1</v>
      </c>
      <c r="I52" s="2866">
        <v>94.5</v>
      </c>
      <c r="J52" s="2866">
        <v>94.5</v>
      </c>
      <c r="K52" s="2866">
        <v>94.5</v>
      </c>
      <c r="L52" s="2866">
        <v>94.5</v>
      </c>
      <c r="M52" s="2866">
        <v>95</v>
      </c>
      <c r="N52" s="2866">
        <v>95</v>
      </c>
      <c r="O52" s="2866">
        <v>95</v>
      </c>
      <c r="P52" s="2866">
        <v>95</v>
      </c>
      <c r="Q52" s="2866">
        <v>95.4</v>
      </c>
      <c r="R52" s="2866">
        <v>95.4</v>
      </c>
      <c r="S52" s="2866">
        <v>95.4</v>
      </c>
      <c r="T52" s="2866">
        <v>95.4</v>
      </c>
      <c r="U52" s="2866">
        <v>94.5</v>
      </c>
      <c r="V52" s="2866">
        <v>94.5</v>
      </c>
      <c r="W52" s="2866">
        <v>94.5</v>
      </c>
      <c r="X52" s="2866">
        <v>94.5</v>
      </c>
      <c r="Y52" s="2864">
        <v>95</v>
      </c>
      <c r="Z52" s="2864">
        <v>95</v>
      </c>
      <c r="AA52" s="2864">
        <v>95</v>
      </c>
      <c r="AB52" s="2864">
        <v>95</v>
      </c>
    </row>
    <row r="53" spans="1:32" x14ac:dyDescent="0.25">
      <c r="A53" s="2865">
        <v>60</v>
      </c>
      <c r="B53" s="2865"/>
      <c r="C53" s="2865"/>
      <c r="D53" s="2865"/>
      <c r="E53" s="2866">
        <v>94.5</v>
      </c>
      <c r="F53" s="2866">
        <v>94.5</v>
      </c>
      <c r="G53" s="2866">
        <v>94.5</v>
      </c>
      <c r="H53" s="2866">
        <v>94.5</v>
      </c>
      <c r="I53" s="2866">
        <v>95</v>
      </c>
      <c r="J53" s="2866">
        <v>95</v>
      </c>
      <c r="K53" s="2866">
        <v>95</v>
      </c>
      <c r="L53" s="2866">
        <v>95</v>
      </c>
      <c r="M53" s="2866">
        <v>95.4</v>
      </c>
      <c r="N53" s="2866">
        <v>95.4</v>
      </c>
      <c r="O53" s="2866">
        <v>95.4</v>
      </c>
      <c r="P53" s="2866">
        <v>95.4</v>
      </c>
      <c r="Q53" s="2866">
        <v>95.8</v>
      </c>
      <c r="R53" s="2866">
        <v>95.8</v>
      </c>
      <c r="S53" s="2866">
        <v>95.8</v>
      </c>
      <c r="T53" s="2866">
        <v>95.8</v>
      </c>
      <c r="U53" s="2866">
        <v>95</v>
      </c>
      <c r="V53" s="2866">
        <v>95</v>
      </c>
      <c r="W53" s="2866">
        <v>95</v>
      </c>
      <c r="X53" s="2866">
        <v>95</v>
      </c>
      <c r="Y53" s="2864">
        <v>95.4</v>
      </c>
      <c r="Z53" s="2864">
        <v>95.4</v>
      </c>
      <c r="AA53" s="2864">
        <v>95.4</v>
      </c>
      <c r="AB53" s="2864">
        <v>95.4</v>
      </c>
    </row>
    <row r="54" spans="1:32" x14ac:dyDescent="0.25">
      <c r="A54" s="2865">
        <v>75</v>
      </c>
      <c r="B54" s="2865"/>
      <c r="C54" s="2865"/>
      <c r="D54" s="2865"/>
      <c r="E54" s="2866">
        <v>95</v>
      </c>
      <c r="F54" s="2866">
        <v>95</v>
      </c>
      <c r="G54" s="2866">
        <v>95</v>
      </c>
      <c r="H54" s="2866">
        <v>95</v>
      </c>
      <c r="I54" s="2866">
        <v>95.4</v>
      </c>
      <c r="J54" s="2866">
        <v>95.4</v>
      </c>
      <c r="K54" s="2866">
        <v>95.4</v>
      </c>
      <c r="L54" s="2866">
        <v>95.4</v>
      </c>
      <c r="M54" s="2866">
        <v>95.4</v>
      </c>
      <c r="N54" s="2866">
        <v>95.4</v>
      </c>
      <c r="O54" s="2866">
        <v>95.4</v>
      </c>
      <c r="P54" s="2866">
        <v>95.4</v>
      </c>
      <c r="Q54" s="2866">
        <v>95.8</v>
      </c>
      <c r="R54" s="2866">
        <v>95.8</v>
      </c>
      <c r="S54" s="2866">
        <v>95.8</v>
      </c>
      <c r="T54" s="2866">
        <v>95.8</v>
      </c>
      <c r="U54" s="2866">
        <v>95.4</v>
      </c>
      <c r="V54" s="2866">
        <v>95.4</v>
      </c>
      <c r="W54" s="2866">
        <v>95.4</v>
      </c>
      <c r="X54" s="2866">
        <v>95.4</v>
      </c>
      <c r="Y54" s="2864">
        <v>95.4</v>
      </c>
      <c r="Z54" s="2864">
        <v>95.4</v>
      </c>
      <c r="AA54" s="2864">
        <v>95.4</v>
      </c>
      <c r="AB54" s="2864">
        <v>95.4</v>
      </c>
    </row>
    <row r="55" spans="1:32" x14ac:dyDescent="0.25">
      <c r="A55" s="2865">
        <v>100</v>
      </c>
      <c r="B55" s="2865"/>
      <c r="C55" s="2865"/>
      <c r="D55" s="2865"/>
      <c r="E55" s="2866">
        <v>95.4</v>
      </c>
      <c r="F55" s="2866">
        <v>95.4</v>
      </c>
      <c r="G55" s="2866">
        <v>95.4</v>
      </c>
      <c r="H55" s="2866">
        <v>95.4</v>
      </c>
      <c r="I55" s="2866">
        <v>95.4</v>
      </c>
      <c r="J55" s="2866">
        <v>95.4</v>
      </c>
      <c r="K55" s="2866">
        <v>95.4</v>
      </c>
      <c r="L55" s="2866">
        <v>95.4</v>
      </c>
      <c r="M55" s="2866">
        <v>95.8</v>
      </c>
      <c r="N55" s="2866">
        <v>95.4</v>
      </c>
      <c r="O55" s="2866">
        <v>95.4</v>
      </c>
      <c r="P55" s="2866">
        <v>95.4</v>
      </c>
      <c r="Q55" s="2866">
        <v>96.2</v>
      </c>
      <c r="R55" s="2866">
        <v>96.2</v>
      </c>
      <c r="S55" s="2866">
        <v>96.2</v>
      </c>
      <c r="T55" s="2866">
        <v>96.2</v>
      </c>
      <c r="U55" s="2866">
        <v>95.4</v>
      </c>
      <c r="V55" s="2866">
        <v>95.4</v>
      </c>
      <c r="W55" s="2866">
        <v>95.4</v>
      </c>
      <c r="X55" s="2866">
        <v>95.4</v>
      </c>
      <c r="Y55" s="2864">
        <v>95.8</v>
      </c>
      <c r="Z55" s="2864">
        <v>95.8</v>
      </c>
      <c r="AA55" s="2864">
        <v>95.8</v>
      </c>
      <c r="AB55" s="2864">
        <v>95.8</v>
      </c>
    </row>
    <row r="56" spans="1:32" x14ac:dyDescent="0.25">
      <c r="A56" s="2865">
        <v>125</v>
      </c>
      <c r="B56" s="2865"/>
      <c r="C56" s="2865"/>
      <c r="D56" s="2865"/>
      <c r="E56" s="2866">
        <v>95.4</v>
      </c>
      <c r="F56" s="2866">
        <v>95.4</v>
      </c>
      <c r="G56" s="2866">
        <v>95.4</v>
      </c>
      <c r="H56" s="2866">
        <v>95.4</v>
      </c>
      <c r="I56" s="2866">
        <v>95.8</v>
      </c>
      <c r="J56" s="2866">
        <v>95.8</v>
      </c>
      <c r="K56" s="2866">
        <v>95.8</v>
      </c>
      <c r="L56" s="2866">
        <v>95.8</v>
      </c>
      <c r="M56" s="2866">
        <v>95.8</v>
      </c>
      <c r="N56" s="2866">
        <v>95.8</v>
      </c>
      <c r="O56" s="2866">
        <v>95.8</v>
      </c>
      <c r="P56" s="2866">
        <v>95.8</v>
      </c>
      <c r="Q56" s="2866">
        <v>96.2</v>
      </c>
      <c r="R56" s="2866">
        <v>96.2</v>
      </c>
      <c r="S56" s="2866">
        <v>96.2</v>
      </c>
      <c r="T56" s="2866">
        <v>96.2</v>
      </c>
      <c r="U56" s="2866">
        <v>95.8</v>
      </c>
      <c r="V56" s="2866">
        <v>95.8</v>
      </c>
      <c r="W56" s="2866">
        <v>95.8</v>
      </c>
      <c r="X56" s="2866">
        <v>95.8</v>
      </c>
      <c r="Y56" s="2864">
        <v>95.8</v>
      </c>
      <c r="Z56" s="2864">
        <v>95.8</v>
      </c>
      <c r="AA56" s="2864">
        <v>95.8</v>
      </c>
      <c r="AB56" s="2864">
        <v>95.8</v>
      </c>
    </row>
    <row r="57" spans="1:32" x14ac:dyDescent="0.25">
      <c r="A57" s="2865">
        <v>150</v>
      </c>
      <c r="B57" s="2865"/>
      <c r="C57" s="2865"/>
      <c r="D57" s="2865"/>
      <c r="E57" s="2866">
        <v>95.8</v>
      </c>
      <c r="F57" s="2866">
        <v>95.8</v>
      </c>
      <c r="G57" s="2866">
        <v>95.8</v>
      </c>
      <c r="H57" s="2866">
        <v>95.8</v>
      </c>
      <c r="I57" s="2866">
        <v>96.2</v>
      </c>
      <c r="J57" s="2866">
        <v>96.2</v>
      </c>
      <c r="K57" s="2866">
        <v>96.2</v>
      </c>
      <c r="L57" s="2866">
        <v>96.2</v>
      </c>
      <c r="M57" s="2866">
        <v>96.2</v>
      </c>
      <c r="N57" s="2866">
        <v>96.2</v>
      </c>
      <c r="O57" s="2866">
        <v>96.2</v>
      </c>
      <c r="P57" s="2866">
        <v>96.2</v>
      </c>
      <c r="Q57" s="2866">
        <v>96.5</v>
      </c>
      <c r="R57" s="2866">
        <v>96.5</v>
      </c>
      <c r="S57" s="2866">
        <v>96.5</v>
      </c>
      <c r="T57" s="2866">
        <v>96.5</v>
      </c>
      <c r="U57" s="2866">
        <v>95.8</v>
      </c>
      <c r="V57" s="2866">
        <v>95.8</v>
      </c>
      <c r="W57" s="2866">
        <v>95.8</v>
      </c>
      <c r="X57" s="2866">
        <v>95.8</v>
      </c>
      <c r="Y57" s="2864">
        <v>96.2</v>
      </c>
      <c r="Z57" s="2864">
        <v>96.2</v>
      </c>
      <c r="AA57" s="2864">
        <v>96.2</v>
      </c>
      <c r="AB57" s="2864">
        <v>96.2</v>
      </c>
    </row>
    <row r="58" spans="1:32" x14ac:dyDescent="0.25">
      <c r="A58" s="2865">
        <v>200</v>
      </c>
      <c r="B58" s="2865"/>
      <c r="C58" s="2865"/>
      <c r="D58" s="2865"/>
      <c r="E58" s="2866">
        <v>95.8</v>
      </c>
      <c r="F58" s="2866">
        <v>95.8</v>
      </c>
      <c r="G58" s="2866">
        <v>95.8</v>
      </c>
      <c r="H58" s="2866">
        <v>95.8</v>
      </c>
      <c r="I58" s="2866">
        <v>96.2</v>
      </c>
      <c r="J58" s="2866">
        <v>96.2</v>
      </c>
      <c r="K58" s="2866">
        <v>96.2</v>
      </c>
      <c r="L58" s="2866">
        <v>96.2</v>
      </c>
      <c r="M58" s="2866">
        <v>96.2</v>
      </c>
      <c r="N58" s="2866">
        <v>96.2</v>
      </c>
      <c r="O58" s="2866">
        <v>96.2</v>
      </c>
      <c r="P58" s="2866">
        <v>96.2</v>
      </c>
      <c r="Q58" s="2866">
        <v>96.8</v>
      </c>
      <c r="R58" s="2866">
        <v>96.8</v>
      </c>
      <c r="S58" s="2866">
        <v>96.8</v>
      </c>
      <c r="T58" s="2866">
        <v>96.8</v>
      </c>
      <c r="U58" s="2866">
        <v>95.8</v>
      </c>
      <c r="V58" s="2866">
        <v>95.8</v>
      </c>
      <c r="W58" s="2866">
        <v>95.8</v>
      </c>
      <c r="X58" s="2866">
        <v>95.8</v>
      </c>
      <c r="Y58" s="2864">
        <v>96.2</v>
      </c>
      <c r="Z58" s="2864">
        <v>96.2</v>
      </c>
      <c r="AA58" s="2864">
        <v>96.2</v>
      </c>
      <c r="AB58" s="2864">
        <v>96.2</v>
      </c>
    </row>
    <row r="61" spans="1:32" x14ac:dyDescent="0.25">
      <c r="A61" s="1472" t="s">
        <v>21</v>
      </c>
      <c r="B61" s="1472"/>
      <c r="C61" s="1472"/>
      <c r="D61" s="1472"/>
      <c r="E61" s="1472"/>
      <c r="F61" s="1472"/>
      <c r="G61" s="1472"/>
      <c r="H61" s="1472"/>
      <c r="I61" s="1472"/>
      <c r="J61" s="1472"/>
      <c r="K61" s="1472"/>
      <c r="L61" s="1472"/>
      <c r="M61" s="1472"/>
      <c r="N61" s="1472"/>
      <c r="O61" s="1472"/>
      <c r="P61" s="1472"/>
      <c r="Q61" s="1472"/>
      <c r="R61" s="1472"/>
      <c r="S61" s="1472"/>
      <c r="T61" s="1472"/>
      <c r="U61" s="1472"/>
      <c r="V61" s="1472"/>
      <c r="W61" s="1472"/>
      <c r="X61" s="1472"/>
      <c r="Y61" s="1472"/>
      <c r="Z61" s="1472"/>
      <c r="AA61" s="1472"/>
      <c r="AB61" s="1472"/>
      <c r="AC61" s="1472"/>
      <c r="AD61" s="1472"/>
      <c r="AE61" s="1472"/>
      <c r="AF61" s="1472"/>
    </row>
    <row r="62" spans="1:32" ht="15.75" thickBot="1" x14ac:dyDescent="0.3"/>
    <row r="63" spans="1:32" x14ac:dyDescent="0.25">
      <c r="A63" s="1583" t="s">
        <v>22</v>
      </c>
      <c r="B63" s="1584"/>
      <c r="C63" s="1584"/>
      <c r="D63" s="1584"/>
      <c r="E63" s="1584"/>
      <c r="F63" s="1584"/>
      <c r="G63" s="1584"/>
      <c r="H63" s="1584"/>
      <c r="I63" s="1584" t="s">
        <v>23</v>
      </c>
      <c r="J63" s="1584"/>
      <c r="K63" s="1584"/>
      <c r="L63" s="1584"/>
      <c r="M63" s="1584"/>
      <c r="N63" s="1584"/>
      <c r="O63" s="1584"/>
      <c r="P63" s="1584"/>
      <c r="Q63" s="1584" t="s">
        <v>24</v>
      </c>
      <c r="R63" s="1584"/>
      <c r="S63" s="1584"/>
      <c r="T63" s="1584"/>
      <c r="U63" s="1584"/>
      <c r="V63" s="1584"/>
      <c r="W63" s="1584"/>
      <c r="X63" s="1585"/>
    </row>
    <row r="64" spans="1:32" ht="15.75" thickBot="1" x14ac:dyDescent="0.3">
      <c r="A64" s="2868" t="s">
        <v>1489</v>
      </c>
      <c r="B64" s="2869"/>
      <c r="C64" s="2869"/>
      <c r="D64" s="2869"/>
      <c r="E64" s="2869"/>
      <c r="F64" s="2869"/>
      <c r="G64" s="2869"/>
      <c r="H64" s="2869"/>
      <c r="I64" s="2870">
        <f xml:space="preserve"> ROUND(1*Q29*((1/Q30)-(1/Q31)),3)</f>
        <v>2.8000000000000001E-2</v>
      </c>
      <c r="J64" s="2870"/>
      <c r="K64" s="2870"/>
      <c r="L64" s="2870"/>
      <c r="M64" s="2870"/>
      <c r="N64" s="2870"/>
      <c r="O64" s="2870"/>
      <c r="P64" s="2870"/>
      <c r="Q64" s="2871">
        <f>ROUND(1*Q29*((1/Q30)-(1/Q31))*Q32*Q33,2)</f>
        <v>46.46</v>
      </c>
      <c r="R64" s="2871"/>
      <c r="S64" s="2871"/>
      <c r="T64" s="2871"/>
      <c r="U64" s="2871"/>
      <c r="V64" s="2871"/>
      <c r="W64" s="2871"/>
      <c r="X64" s="2872"/>
    </row>
  </sheetData>
  <sheetProtection algorithmName="SHA-512" hashValue="qJGD/mR0SLAabTAlfbhc64nRnlB+47UwBUl6ia/kjsCJyLawdd4qb4BZGGFk7imIK8NGGYWF3K3Sf6o6oMJv/g==" saltValue="SNMud8ouzZyHk/wzwGhwuA==" spinCount="100000" sheet="1" objects="1" scenarios="1"/>
  <mergeCells count="196">
    <mergeCell ref="A1:AF1"/>
    <mergeCell ref="A3:AF3"/>
    <mergeCell ref="B6:AF6"/>
    <mergeCell ref="B9:AF9"/>
    <mergeCell ref="B12:AF12"/>
    <mergeCell ref="B15:AF15"/>
    <mergeCell ref="A23:I23"/>
    <mergeCell ref="A24:I24"/>
    <mergeCell ref="W31:AF31"/>
    <mergeCell ref="B18:AF18"/>
    <mergeCell ref="A21:AF21"/>
    <mergeCell ref="A27:AF27"/>
    <mergeCell ref="A28:D28"/>
    <mergeCell ref="E28:P28"/>
    <mergeCell ref="Q28:S28"/>
    <mergeCell ref="T28:V28"/>
    <mergeCell ref="W28:AF28"/>
    <mergeCell ref="A29:D29"/>
    <mergeCell ref="E29:P29"/>
    <mergeCell ref="Q29:S29"/>
    <mergeCell ref="T29:V29"/>
    <mergeCell ref="W29:AF29"/>
    <mergeCell ref="A63:H63"/>
    <mergeCell ref="I63:P63"/>
    <mergeCell ref="Q63:X63"/>
    <mergeCell ref="A64:H64"/>
    <mergeCell ref="I64:P64"/>
    <mergeCell ref="Q64:X64"/>
    <mergeCell ref="A34:D34"/>
    <mergeCell ref="E34:P34"/>
    <mergeCell ref="Q34:S34"/>
    <mergeCell ref="T34:V34"/>
    <mergeCell ref="W34:AF34"/>
    <mergeCell ref="A61:AF61"/>
    <mergeCell ref="M39:P39"/>
    <mergeCell ref="Q39:T39"/>
    <mergeCell ref="U39:X39"/>
    <mergeCell ref="Y39:AB39"/>
    <mergeCell ref="A37:D39"/>
    <mergeCell ref="E37:L38"/>
    <mergeCell ref="M37:T38"/>
    <mergeCell ref="U37:AB38"/>
    <mergeCell ref="E39:H39"/>
    <mergeCell ref="I39:L39"/>
    <mergeCell ref="Y40:AB40"/>
    <mergeCell ref="A41:D41"/>
    <mergeCell ref="A33:D33"/>
    <mergeCell ref="E33:P33"/>
    <mergeCell ref="Q33:S33"/>
    <mergeCell ref="T33:V33"/>
    <mergeCell ref="W33:AF33"/>
    <mergeCell ref="A30:D30"/>
    <mergeCell ref="E30:P30"/>
    <mergeCell ref="Q30:S30"/>
    <mergeCell ref="T30:V30"/>
    <mergeCell ref="W30:AF30"/>
    <mergeCell ref="A32:D32"/>
    <mergeCell ref="E32:P32"/>
    <mergeCell ref="Q32:S32"/>
    <mergeCell ref="T32:V32"/>
    <mergeCell ref="W32:AF32"/>
    <mergeCell ref="A31:D31"/>
    <mergeCell ref="E31:P31"/>
    <mergeCell ref="Q31:S31"/>
    <mergeCell ref="T31:V31"/>
    <mergeCell ref="E41:H41"/>
    <mergeCell ref="I41:L41"/>
    <mergeCell ref="M41:P41"/>
    <mergeCell ref="Q41:T41"/>
    <mergeCell ref="U41:X41"/>
    <mergeCell ref="Y41:AB41"/>
    <mergeCell ref="A40:D40"/>
    <mergeCell ref="E40:H40"/>
    <mergeCell ref="I40:L40"/>
    <mergeCell ref="M40:P40"/>
    <mergeCell ref="Q40:T40"/>
    <mergeCell ref="U40:X40"/>
    <mergeCell ref="Y42:AB42"/>
    <mergeCell ref="A43:D43"/>
    <mergeCell ref="E43:H43"/>
    <mergeCell ref="I43:L43"/>
    <mergeCell ref="M43:P43"/>
    <mergeCell ref="Q43:T43"/>
    <mergeCell ref="U43:X43"/>
    <mergeCell ref="Y43:AB43"/>
    <mergeCell ref="A42:D42"/>
    <mergeCell ref="E42:H42"/>
    <mergeCell ref="I42:L42"/>
    <mergeCell ref="M42:P42"/>
    <mergeCell ref="Q42:T42"/>
    <mergeCell ref="U42:X42"/>
    <mergeCell ref="Y44:AB44"/>
    <mergeCell ref="A45:D45"/>
    <mergeCell ref="E45:H45"/>
    <mergeCell ref="I45:L45"/>
    <mergeCell ref="M45:P45"/>
    <mergeCell ref="Q45:T45"/>
    <mergeCell ref="U45:X45"/>
    <mergeCell ref="Y45:AB45"/>
    <mergeCell ref="A44:D44"/>
    <mergeCell ref="E44:H44"/>
    <mergeCell ref="I44:L44"/>
    <mergeCell ref="M44:P44"/>
    <mergeCell ref="Q44:T44"/>
    <mergeCell ref="U44:X44"/>
    <mergeCell ref="Y46:AB46"/>
    <mergeCell ref="A47:D47"/>
    <mergeCell ref="E47:H47"/>
    <mergeCell ref="I47:L47"/>
    <mergeCell ref="M47:P47"/>
    <mergeCell ref="Q47:T47"/>
    <mergeCell ref="U47:X47"/>
    <mergeCell ref="Y47:AB47"/>
    <mergeCell ref="A46:D46"/>
    <mergeCell ref="E46:H46"/>
    <mergeCell ref="I46:L46"/>
    <mergeCell ref="M46:P46"/>
    <mergeCell ref="Q46:T46"/>
    <mergeCell ref="U46:X46"/>
    <mergeCell ref="Y48:AB48"/>
    <mergeCell ref="A49:D49"/>
    <mergeCell ref="E49:H49"/>
    <mergeCell ref="I49:L49"/>
    <mergeCell ref="M49:P49"/>
    <mergeCell ref="Q49:T49"/>
    <mergeCell ref="U49:X49"/>
    <mergeCell ref="Y49:AB49"/>
    <mergeCell ref="A48:D48"/>
    <mergeCell ref="E48:H48"/>
    <mergeCell ref="I48:L48"/>
    <mergeCell ref="M48:P48"/>
    <mergeCell ref="Q48:T48"/>
    <mergeCell ref="U48:X48"/>
    <mergeCell ref="Y50:AB50"/>
    <mergeCell ref="A51:D51"/>
    <mergeCell ref="E51:H51"/>
    <mergeCell ref="I51:L51"/>
    <mergeCell ref="M51:P51"/>
    <mergeCell ref="Q51:T51"/>
    <mergeCell ref="U51:X51"/>
    <mergeCell ref="Y51:AB51"/>
    <mergeCell ref="A50:D50"/>
    <mergeCell ref="E50:H50"/>
    <mergeCell ref="I50:L50"/>
    <mergeCell ref="M50:P50"/>
    <mergeCell ref="Q50:T50"/>
    <mergeCell ref="U50:X50"/>
    <mergeCell ref="Y52:AB52"/>
    <mergeCell ref="A53:D53"/>
    <mergeCell ref="E53:H53"/>
    <mergeCell ref="I53:L53"/>
    <mergeCell ref="M53:P53"/>
    <mergeCell ref="Q53:T53"/>
    <mergeCell ref="U53:X53"/>
    <mergeCell ref="Y53:AB53"/>
    <mergeCell ref="A52:D52"/>
    <mergeCell ref="E52:H52"/>
    <mergeCell ref="I52:L52"/>
    <mergeCell ref="M52:P52"/>
    <mergeCell ref="Q52:T52"/>
    <mergeCell ref="U52:X52"/>
    <mergeCell ref="Y54:AB54"/>
    <mergeCell ref="A55:D55"/>
    <mergeCell ref="E55:H55"/>
    <mergeCell ref="I55:L55"/>
    <mergeCell ref="M55:P55"/>
    <mergeCell ref="Q55:T55"/>
    <mergeCell ref="U55:X55"/>
    <mergeCell ref="Y55:AB55"/>
    <mergeCell ref="A54:D54"/>
    <mergeCell ref="E54:H54"/>
    <mergeCell ref="I54:L54"/>
    <mergeCell ref="M54:P54"/>
    <mergeCell ref="Q54:T54"/>
    <mergeCell ref="U54:X54"/>
    <mergeCell ref="Y58:AB58"/>
    <mergeCell ref="A58:D58"/>
    <mergeCell ref="E58:H58"/>
    <mergeCell ref="I58:L58"/>
    <mergeCell ref="M58:P58"/>
    <mergeCell ref="Q58:T58"/>
    <mergeCell ref="U58:X58"/>
    <mergeCell ref="Y56:AB56"/>
    <mergeCell ref="A57:D57"/>
    <mergeCell ref="E57:H57"/>
    <mergeCell ref="I57:L57"/>
    <mergeCell ref="M57:P57"/>
    <mergeCell ref="Q57:T57"/>
    <mergeCell ref="U57:X57"/>
    <mergeCell ref="Y57:AB57"/>
    <mergeCell ref="A56:D56"/>
    <mergeCell ref="E56:H56"/>
    <mergeCell ref="I56:L56"/>
    <mergeCell ref="M56:P56"/>
    <mergeCell ref="Q56:T56"/>
    <mergeCell ref="U56:X56"/>
  </mergeCells>
  <hyperlinks>
    <hyperlink ref="A2" location="TOC!A1" display="Return to TOC" xr:uid="{00000000-0004-0000-38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9">
    <pageSetUpPr autoPageBreaks="0"/>
  </sheetPr>
  <dimension ref="A1:AB20"/>
  <sheetViews>
    <sheetView showGridLines="0" workbookViewId="0"/>
  </sheetViews>
  <sheetFormatPr defaultColWidth="8.85546875" defaultRowHeight="15" x14ac:dyDescent="0.25"/>
  <cols>
    <col min="1" max="1" width="23.140625" style="298" customWidth="1"/>
    <col min="2" max="2" width="5.28515625" style="298" customWidth="1"/>
    <col min="3" max="3" width="3.7109375" style="298" customWidth="1"/>
    <col min="4" max="5" width="8.85546875" style="298"/>
    <col min="6" max="6" width="18.85546875" style="298" customWidth="1"/>
    <col min="7" max="7" width="4.5703125" style="298" customWidth="1"/>
    <col min="8" max="9" width="8.85546875" style="298"/>
  </cols>
  <sheetData>
    <row r="1" spans="1:28" s="272" customFormat="1" ht="18" customHeight="1" thickBot="1" x14ac:dyDescent="0.3">
      <c r="A1" s="359" t="s">
        <v>1336</v>
      </c>
      <c r="B1" s="360"/>
      <c r="C1" s="360"/>
      <c r="D1" s="360"/>
      <c r="E1" s="360"/>
      <c r="F1" s="360"/>
      <c r="G1" s="360"/>
      <c r="H1" s="360"/>
      <c r="I1" s="360"/>
      <c r="J1" s="327"/>
      <c r="K1" s="327"/>
      <c r="L1" s="327"/>
      <c r="M1" s="327"/>
      <c r="N1" s="327"/>
      <c r="O1" s="327"/>
      <c r="P1" s="327"/>
      <c r="Q1" s="327"/>
      <c r="R1" s="327"/>
      <c r="S1" s="327"/>
      <c r="T1" s="327"/>
      <c r="U1" s="327"/>
      <c r="V1" s="327"/>
      <c r="W1" s="327"/>
      <c r="X1" s="327"/>
      <c r="Y1" s="327"/>
      <c r="Z1" s="327"/>
      <c r="AA1" s="327"/>
      <c r="AB1" s="327"/>
    </row>
    <row r="2" spans="1:28" x14ac:dyDescent="0.25">
      <c r="A2" s="375" t="s">
        <v>1702</v>
      </c>
    </row>
    <row r="3" spans="1:28" x14ac:dyDescent="0.25">
      <c r="A3" s="298" t="s">
        <v>1390</v>
      </c>
      <c r="B3" s="298" t="s">
        <v>7198</v>
      </c>
    </row>
    <row r="4" spans="1:28" x14ac:dyDescent="0.25">
      <c r="A4" s="298" t="s">
        <v>4382</v>
      </c>
      <c r="B4" s="1064" t="s">
        <v>7244</v>
      </c>
      <c r="C4" s="1064"/>
      <c r="D4" s="227"/>
    </row>
    <row r="5" spans="1:28" x14ac:dyDescent="0.25">
      <c r="A5" s="298" t="s">
        <v>1391</v>
      </c>
      <c r="B5" s="328" t="s">
        <v>7275</v>
      </c>
    </row>
    <row r="6" spans="1:28" x14ac:dyDescent="0.25">
      <c r="B6" s="328"/>
    </row>
    <row r="7" spans="1:28" x14ac:dyDescent="0.25">
      <c r="A7" s="298" t="s">
        <v>1392</v>
      </c>
    </row>
    <row r="9" spans="1:28" ht="29.45" customHeight="1" x14ac:dyDescent="0.25">
      <c r="A9" s="306" t="s">
        <v>1396</v>
      </c>
    </row>
    <row r="10" spans="1:28" ht="29.45" customHeight="1" x14ac:dyDescent="0.25">
      <c r="A10" s="1159" t="s">
        <v>7229</v>
      </c>
      <c r="B10" s="1159"/>
      <c r="C10" s="362"/>
      <c r="D10" s="1164" t="s">
        <v>4637</v>
      </c>
      <c r="E10" s="1163"/>
      <c r="F10" s="1163"/>
      <c r="G10" s="362"/>
      <c r="H10" s="1155">
        <v>45600</v>
      </c>
      <c r="I10" s="1156"/>
    </row>
    <row r="11" spans="1:28" ht="29.45" customHeight="1" x14ac:dyDescent="0.25">
      <c r="A11" s="1158" t="s">
        <v>1393</v>
      </c>
      <c r="B11" s="1158"/>
      <c r="D11" s="1158" t="s">
        <v>1394</v>
      </c>
      <c r="E11" s="1158"/>
      <c r="F11" s="1158"/>
      <c r="G11"/>
      <c r="H11" s="1162" t="s">
        <v>1042</v>
      </c>
      <c r="I11" s="1162"/>
    </row>
    <row r="12" spans="1:28" ht="29.45" customHeight="1" x14ac:dyDescent="0.25">
      <c r="A12" s="306" t="s">
        <v>1395</v>
      </c>
      <c r="H12"/>
      <c r="I12"/>
    </row>
    <row r="13" spans="1:28" ht="32.1" customHeight="1" x14ac:dyDescent="0.25">
      <c r="A13" s="1163" t="s">
        <v>6347</v>
      </c>
      <c r="B13" s="1163"/>
      <c r="D13" s="1164" t="s">
        <v>4636</v>
      </c>
      <c r="E13" s="1163"/>
      <c r="F13" s="1163"/>
      <c r="H13" s="1165">
        <v>45527</v>
      </c>
      <c r="I13" s="1166"/>
    </row>
    <row r="14" spans="1:28" ht="29.45" customHeight="1" x14ac:dyDescent="0.25">
      <c r="A14" s="1158" t="s">
        <v>1393</v>
      </c>
      <c r="B14" s="1158"/>
      <c r="D14" s="1158" t="s">
        <v>1394</v>
      </c>
      <c r="E14" s="1158"/>
      <c r="F14" s="1158"/>
      <c r="G14"/>
      <c r="H14" s="1162" t="s">
        <v>1042</v>
      </c>
      <c r="I14" s="1162"/>
    </row>
    <row r="15" spans="1:28" ht="29.45" customHeight="1" x14ac:dyDescent="0.25">
      <c r="A15" s="306" t="s">
        <v>3758</v>
      </c>
      <c r="H15"/>
      <c r="I15"/>
    </row>
    <row r="16" spans="1:28" ht="32.1" customHeight="1" x14ac:dyDescent="0.25">
      <c r="A16" s="1159" t="s">
        <v>7230</v>
      </c>
      <c r="B16" s="1159"/>
      <c r="C16" s="362"/>
      <c r="D16" s="1160" t="s">
        <v>7232</v>
      </c>
      <c r="E16" s="1161"/>
      <c r="F16" s="1161"/>
      <c r="G16" s="362"/>
      <c r="H16" s="1155">
        <v>45530</v>
      </c>
      <c r="I16" s="1156"/>
    </row>
    <row r="17" spans="1:9" ht="29.45" customHeight="1" x14ac:dyDescent="0.25">
      <c r="A17" s="1158" t="s">
        <v>1393</v>
      </c>
      <c r="B17" s="1158"/>
      <c r="D17" s="1158" t="s">
        <v>1394</v>
      </c>
      <c r="E17" s="1158"/>
      <c r="F17" s="1158"/>
      <c r="G17"/>
      <c r="H17" s="1162" t="s">
        <v>1042</v>
      </c>
      <c r="I17" s="1162"/>
    </row>
    <row r="18" spans="1:9" ht="29.45" customHeight="1" x14ac:dyDescent="0.25">
      <c r="A18" s="306" t="s">
        <v>3435</v>
      </c>
      <c r="H18"/>
      <c r="I18"/>
    </row>
    <row r="19" spans="1:9" ht="29.45" customHeight="1" x14ac:dyDescent="0.25">
      <c r="A19" s="1159" t="s">
        <v>7231</v>
      </c>
      <c r="B19" s="1159"/>
      <c r="C19" s="362"/>
      <c r="D19" s="1160" t="s">
        <v>4638</v>
      </c>
      <c r="E19" s="1161"/>
      <c r="F19" s="1161"/>
      <c r="G19" s="362"/>
      <c r="H19" s="1152">
        <v>45594</v>
      </c>
      <c r="I19" s="1153"/>
    </row>
    <row r="20" spans="1:9" ht="29.45" customHeight="1" x14ac:dyDescent="0.25">
      <c r="A20" s="1157" t="s">
        <v>1393</v>
      </c>
      <c r="B20" s="1157"/>
      <c r="D20" s="1158" t="s">
        <v>1394</v>
      </c>
      <c r="E20" s="1158"/>
      <c r="F20" s="1158"/>
      <c r="G20"/>
      <c r="H20" s="1154" t="s">
        <v>1042</v>
      </c>
      <c r="I20" s="1154"/>
    </row>
  </sheetData>
  <sheetProtection algorithmName="SHA-512" hashValue="220FQUneUJUOypQY9q8w+zOs+OMxAhaUsH5dA1jXNkfI2De7lOzVj+nL/lTiViNEjH/Q+sTpnY9AtdsMecf7Jg==" saltValue="KiZ+hBuirkUwJt74UyFUmQ==" spinCount="100000" sheet="1" objects="1" scenarios="1"/>
  <mergeCells count="24">
    <mergeCell ref="A14:B14"/>
    <mergeCell ref="D14:F14"/>
    <mergeCell ref="A11:B11"/>
    <mergeCell ref="D11:F11"/>
    <mergeCell ref="H14:I14"/>
    <mergeCell ref="A10:B10"/>
    <mergeCell ref="A13:B13"/>
    <mergeCell ref="D10:F10"/>
    <mergeCell ref="D13:F13"/>
    <mergeCell ref="H10:I10"/>
    <mergeCell ref="H13:I13"/>
    <mergeCell ref="H11:I11"/>
    <mergeCell ref="H19:I19"/>
    <mergeCell ref="H20:I20"/>
    <mergeCell ref="H16:I16"/>
    <mergeCell ref="A20:B20"/>
    <mergeCell ref="D20:F20"/>
    <mergeCell ref="A19:B19"/>
    <mergeCell ref="D19:F19"/>
    <mergeCell ref="A16:B16"/>
    <mergeCell ref="D16:F16"/>
    <mergeCell ref="A17:B17"/>
    <mergeCell ref="D17:F17"/>
    <mergeCell ref="H17:I17"/>
  </mergeCells>
  <hyperlinks>
    <hyperlink ref="A2" location="TOC!A1" display="Return to TOC" xr:uid="{00000000-0004-0000-0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0">
    <tabColor theme="7" tint="0.59999389629810485"/>
    <pageSetUpPr autoPageBreaks="0"/>
  </sheetPr>
  <dimension ref="A1:DR127"/>
  <sheetViews>
    <sheetView zoomScaleNormal="100" workbookViewId="0">
      <selection activeCell="A2" sqref="A2"/>
    </sheetView>
  </sheetViews>
  <sheetFormatPr defaultColWidth="2.7109375" defaultRowHeight="15" x14ac:dyDescent="0.25"/>
  <cols>
    <col min="1" max="31" width="2.7109375" style="1"/>
    <col min="32" max="32" width="3.28515625" style="1" customWidth="1"/>
    <col min="33" max="33" width="2.7109375" style="262"/>
    <col min="34" max="122" width="2.7109375" style="227"/>
  </cols>
  <sheetData>
    <row r="1" spans="1:122" s="1" customFormat="1" ht="19.5" thickBot="1" x14ac:dyDescent="0.3">
      <c r="A1" s="1272" t="s">
        <v>2181</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c r="DG1" s="262"/>
      <c r="DH1" s="262"/>
      <c r="DI1" s="262"/>
      <c r="DJ1" s="262"/>
      <c r="DK1" s="262"/>
      <c r="DL1" s="262"/>
      <c r="DM1" s="262"/>
      <c r="DN1" s="262"/>
      <c r="DO1" s="262"/>
      <c r="DP1" s="262"/>
      <c r="DQ1" s="262"/>
      <c r="DR1" s="262"/>
    </row>
    <row r="2" spans="1:122" s="1" customFormat="1"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122" s="1"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row>
    <row r="4" spans="1:122" s="1"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262"/>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62"/>
      <c r="BT4" s="262"/>
      <c r="BU4" s="262"/>
      <c r="BV4" s="262"/>
      <c r="BW4" s="262"/>
      <c r="BX4" s="262"/>
      <c r="BY4" s="262"/>
      <c r="BZ4" s="262"/>
      <c r="CA4" s="262"/>
      <c r="CB4" s="262"/>
      <c r="CC4" s="262"/>
      <c r="CD4" s="262"/>
      <c r="CE4" s="262"/>
      <c r="CF4" s="262"/>
      <c r="CG4" s="262"/>
      <c r="CH4" s="262"/>
      <c r="CI4" s="262"/>
      <c r="CJ4" s="262"/>
      <c r="CK4" s="262"/>
      <c r="CL4" s="262"/>
      <c r="CM4" s="262"/>
      <c r="CN4" s="262"/>
      <c r="CO4" s="262"/>
      <c r="CP4" s="262"/>
      <c r="CQ4" s="262"/>
      <c r="CR4" s="262"/>
      <c r="CS4" s="262"/>
      <c r="CT4" s="262"/>
      <c r="CU4" s="262"/>
      <c r="CV4" s="262"/>
      <c r="CW4" s="262"/>
      <c r="CX4" s="262"/>
      <c r="CY4" s="262"/>
      <c r="CZ4" s="262"/>
      <c r="DA4" s="262"/>
      <c r="DB4" s="262"/>
      <c r="DC4" s="262"/>
      <c r="DD4" s="262"/>
      <c r="DE4" s="262"/>
      <c r="DF4" s="262"/>
      <c r="DG4" s="262"/>
      <c r="DH4" s="262"/>
      <c r="DI4" s="262"/>
      <c r="DJ4" s="262"/>
      <c r="DK4" s="262"/>
      <c r="DL4" s="262"/>
      <c r="DM4" s="262"/>
      <c r="DN4" s="262"/>
      <c r="DO4" s="262"/>
      <c r="DP4" s="262"/>
      <c r="DQ4" s="262"/>
      <c r="DR4" s="262"/>
    </row>
    <row r="5" spans="1:122" s="1" customFormat="1" ht="54" customHeight="1" x14ac:dyDescent="0.25">
      <c r="A5" s="262"/>
      <c r="B5" s="1589" t="s">
        <v>7039</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262"/>
      <c r="AH5" s="262"/>
      <c r="AI5" s="262"/>
      <c r="AJ5" s="262"/>
      <c r="AK5" s="262"/>
      <c r="AL5" s="262"/>
      <c r="AM5" s="262"/>
      <c r="AN5" s="262"/>
      <c r="AO5" s="262"/>
      <c r="AP5" s="262"/>
      <c r="AQ5" s="262"/>
      <c r="AR5" s="262"/>
      <c r="AS5" s="262"/>
      <c r="AT5" s="262"/>
      <c r="AU5" s="262"/>
      <c r="AV5" s="262"/>
      <c r="AW5" s="262"/>
      <c r="AX5" s="262"/>
      <c r="AY5" s="262"/>
      <c r="AZ5" s="262"/>
      <c r="BA5" s="262"/>
      <c r="BB5" s="262"/>
      <c r="BC5" s="262"/>
      <c r="BD5" s="262"/>
      <c r="BE5" s="262"/>
      <c r="BF5" s="262"/>
      <c r="BG5" s="262"/>
      <c r="BH5" s="262"/>
      <c r="BI5" s="262"/>
      <c r="BJ5" s="262"/>
      <c r="BK5" s="262"/>
      <c r="BL5" s="262"/>
      <c r="BM5" s="262"/>
      <c r="BN5" s="262"/>
      <c r="BO5" s="262"/>
      <c r="BP5" s="262"/>
      <c r="BQ5" s="262"/>
      <c r="BR5" s="262"/>
      <c r="BS5" s="262"/>
      <c r="BT5" s="262"/>
      <c r="BU5" s="262"/>
      <c r="BV5" s="262"/>
      <c r="BW5" s="262"/>
      <c r="BX5" s="262"/>
      <c r="BY5" s="262"/>
      <c r="BZ5" s="262"/>
      <c r="CA5" s="262"/>
      <c r="CB5" s="262"/>
      <c r="CC5" s="262"/>
      <c r="CD5" s="262"/>
      <c r="CE5" s="262"/>
      <c r="CF5" s="262"/>
      <c r="CG5" s="262"/>
      <c r="CH5" s="262"/>
      <c r="CI5" s="262"/>
      <c r="CJ5" s="262"/>
      <c r="CK5" s="262"/>
      <c r="CL5" s="262"/>
      <c r="CM5" s="262"/>
      <c r="CN5" s="262"/>
      <c r="CO5" s="262"/>
      <c r="CP5" s="262"/>
      <c r="CQ5" s="262"/>
      <c r="CR5" s="262"/>
      <c r="CS5" s="262"/>
      <c r="CT5" s="262"/>
      <c r="CU5" s="262"/>
      <c r="CV5" s="262"/>
      <c r="CW5" s="262"/>
      <c r="CX5" s="262"/>
      <c r="CY5" s="262"/>
      <c r="CZ5" s="262"/>
      <c r="DA5" s="262"/>
      <c r="DB5" s="262"/>
      <c r="DC5" s="262"/>
      <c r="DD5" s="262"/>
      <c r="DE5" s="262"/>
      <c r="DF5" s="262"/>
      <c r="DG5" s="262"/>
      <c r="DH5" s="262"/>
      <c r="DI5" s="262"/>
      <c r="DJ5" s="262"/>
      <c r="DK5" s="262"/>
      <c r="DL5" s="262"/>
      <c r="DM5" s="262"/>
      <c r="DN5" s="262"/>
      <c r="DO5" s="262"/>
      <c r="DP5" s="262"/>
      <c r="DQ5" s="262"/>
      <c r="DR5" s="262"/>
    </row>
    <row r="6" spans="1:122" s="1" customFormat="1" ht="14.45" customHeight="1" x14ac:dyDescent="0.25">
      <c r="A6" s="529"/>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62"/>
      <c r="AH6" s="262"/>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2"/>
      <c r="BG6" s="262"/>
      <c r="BH6" s="262"/>
      <c r="BI6" s="262"/>
      <c r="BJ6" s="262"/>
      <c r="BK6" s="262"/>
      <c r="BL6" s="262"/>
      <c r="BM6" s="262"/>
      <c r="BN6" s="262"/>
      <c r="BO6" s="262"/>
      <c r="BP6" s="262"/>
      <c r="BQ6" s="262"/>
      <c r="BR6" s="262"/>
      <c r="BS6" s="262"/>
      <c r="BT6" s="262"/>
      <c r="BU6" s="262"/>
      <c r="BV6" s="262"/>
      <c r="BW6" s="262"/>
      <c r="BX6" s="262"/>
      <c r="BY6" s="262"/>
      <c r="BZ6" s="262"/>
      <c r="CA6" s="262"/>
      <c r="CB6" s="262"/>
      <c r="CC6" s="262"/>
      <c r="CD6" s="262"/>
      <c r="CE6" s="262"/>
      <c r="CF6" s="262"/>
      <c r="CG6" s="262"/>
      <c r="CH6" s="262"/>
      <c r="CI6" s="262"/>
      <c r="CJ6" s="262"/>
      <c r="CK6" s="262"/>
      <c r="CL6" s="262"/>
      <c r="CM6" s="262"/>
      <c r="CN6" s="262"/>
      <c r="CO6" s="262"/>
      <c r="CP6" s="262"/>
      <c r="CQ6" s="262"/>
      <c r="CR6" s="262"/>
      <c r="CS6" s="262"/>
      <c r="CT6" s="262"/>
      <c r="CU6" s="262"/>
      <c r="CV6" s="262"/>
      <c r="CW6" s="262"/>
      <c r="CX6" s="262"/>
      <c r="CY6" s="262"/>
      <c r="CZ6" s="262"/>
      <c r="DA6" s="262"/>
      <c r="DB6" s="262"/>
      <c r="DC6" s="262"/>
      <c r="DD6" s="262"/>
      <c r="DE6" s="262"/>
      <c r="DF6" s="262"/>
      <c r="DG6" s="262"/>
      <c r="DH6" s="262"/>
      <c r="DI6" s="262"/>
      <c r="DJ6" s="262"/>
      <c r="DK6" s="262"/>
      <c r="DL6" s="262"/>
      <c r="DM6" s="262"/>
      <c r="DN6" s="262"/>
      <c r="DO6" s="262"/>
      <c r="DP6" s="262"/>
      <c r="DQ6" s="262"/>
      <c r="DR6" s="262"/>
    </row>
    <row r="7" spans="1:122" s="1" customFormat="1"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c r="CT7" s="262"/>
      <c r="CU7" s="262"/>
      <c r="CV7" s="262"/>
      <c r="CW7" s="262"/>
      <c r="CX7" s="262"/>
      <c r="CY7" s="262"/>
      <c r="CZ7" s="262"/>
      <c r="DA7" s="262"/>
      <c r="DB7" s="262"/>
      <c r="DC7" s="262"/>
      <c r="DD7" s="262"/>
      <c r="DE7" s="262"/>
      <c r="DF7" s="262"/>
      <c r="DG7" s="262"/>
      <c r="DH7" s="262"/>
      <c r="DI7" s="262"/>
      <c r="DJ7" s="262"/>
      <c r="DK7" s="262"/>
      <c r="DL7" s="262"/>
      <c r="DM7" s="262"/>
      <c r="DN7" s="262"/>
      <c r="DO7" s="262"/>
      <c r="DP7" s="262"/>
      <c r="DQ7" s="262"/>
      <c r="DR7" s="262"/>
    </row>
    <row r="8" spans="1:122" s="1" customFormat="1" x14ac:dyDescent="0.25">
      <c r="A8" s="19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262"/>
      <c r="AH8" s="262"/>
      <c r="AI8" s="262"/>
      <c r="AJ8" s="262"/>
      <c r="AK8" s="262"/>
      <c r="AL8" s="262"/>
      <c r="AM8" s="262"/>
      <c r="AN8" s="262"/>
      <c r="AO8" s="262"/>
      <c r="AP8" s="262"/>
      <c r="AQ8" s="262"/>
      <c r="AR8" s="262"/>
      <c r="AS8" s="262"/>
      <c r="AT8" s="262"/>
      <c r="AU8" s="262"/>
      <c r="AV8" s="262"/>
      <c r="AW8" s="262"/>
      <c r="AX8" s="262"/>
      <c r="AY8" s="262"/>
      <c r="AZ8" s="262"/>
      <c r="BA8" s="262"/>
      <c r="BB8" s="262"/>
      <c r="BC8" s="262"/>
      <c r="BD8" s="262"/>
      <c r="BE8" s="262"/>
      <c r="BF8" s="262"/>
      <c r="BG8" s="262"/>
      <c r="BH8" s="262"/>
      <c r="BI8" s="262"/>
      <c r="BJ8" s="262"/>
      <c r="BK8" s="262"/>
      <c r="BL8" s="262"/>
      <c r="BM8" s="262"/>
      <c r="BN8" s="262"/>
      <c r="BO8" s="262"/>
      <c r="BP8" s="262"/>
      <c r="BQ8" s="262"/>
      <c r="BR8" s="262"/>
      <c r="BS8" s="262"/>
      <c r="BT8" s="262"/>
      <c r="BU8" s="262"/>
      <c r="BV8" s="262"/>
      <c r="BW8" s="262"/>
      <c r="BX8" s="262"/>
      <c r="BY8" s="262"/>
      <c r="BZ8" s="262"/>
      <c r="CA8" s="262"/>
      <c r="CB8" s="262"/>
      <c r="CC8" s="262"/>
      <c r="CD8" s="262"/>
      <c r="CE8" s="262"/>
      <c r="CF8" s="262"/>
      <c r="CG8" s="262"/>
      <c r="CH8" s="262"/>
      <c r="CI8" s="262"/>
      <c r="CJ8" s="262"/>
      <c r="CK8" s="262"/>
      <c r="CL8" s="262"/>
      <c r="CM8" s="262"/>
      <c r="CN8" s="262"/>
      <c r="CO8" s="262"/>
      <c r="CP8" s="262"/>
      <c r="CQ8" s="262"/>
      <c r="CR8" s="262"/>
      <c r="CS8" s="262"/>
      <c r="CT8" s="262"/>
      <c r="CU8" s="262"/>
      <c r="CV8" s="262"/>
      <c r="CW8" s="262"/>
      <c r="CX8" s="262"/>
      <c r="CY8" s="262"/>
      <c r="CZ8" s="262"/>
      <c r="DA8" s="262"/>
      <c r="DB8" s="262"/>
      <c r="DC8" s="262"/>
      <c r="DD8" s="262"/>
      <c r="DE8" s="262"/>
      <c r="DF8" s="262"/>
      <c r="DG8" s="262"/>
      <c r="DH8" s="262"/>
      <c r="DI8" s="262"/>
      <c r="DJ8" s="262"/>
      <c r="DK8" s="262"/>
      <c r="DL8" s="262"/>
      <c r="DM8" s="262"/>
      <c r="DN8" s="262"/>
      <c r="DO8" s="262"/>
      <c r="DP8" s="262"/>
      <c r="DQ8" s="262"/>
      <c r="DR8" s="262"/>
    </row>
    <row r="9" spans="1:122" s="1" customFormat="1"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c r="AG9" s="262"/>
      <c r="AH9" s="262"/>
      <c r="AI9" s="262"/>
      <c r="AJ9" s="262"/>
      <c r="AK9" s="262"/>
      <c r="AL9" s="262"/>
      <c r="AM9" s="262"/>
      <c r="AN9" s="262"/>
      <c r="AO9" s="262"/>
      <c r="AP9" s="262"/>
      <c r="AQ9" s="262"/>
      <c r="AR9" s="262"/>
      <c r="AS9" s="262"/>
      <c r="AT9" s="262"/>
      <c r="AU9" s="262"/>
      <c r="AV9" s="262"/>
      <c r="AW9" s="262"/>
      <c r="AX9" s="262"/>
      <c r="AY9" s="262"/>
      <c r="AZ9" s="262"/>
      <c r="BA9" s="262"/>
      <c r="BB9" s="262"/>
      <c r="BC9" s="262"/>
      <c r="BD9" s="262"/>
      <c r="BE9" s="262"/>
      <c r="BF9" s="262"/>
      <c r="BG9" s="262"/>
      <c r="BH9" s="262"/>
      <c r="BI9" s="262"/>
      <c r="BJ9" s="262"/>
      <c r="BK9" s="262"/>
      <c r="BL9" s="262"/>
      <c r="BM9" s="262"/>
      <c r="BN9" s="262"/>
      <c r="BO9" s="262"/>
      <c r="BP9" s="262"/>
      <c r="BQ9" s="262"/>
      <c r="BR9" s="262"/>
      <c r="BS9" s="262"/>
      <c r="BT9" s="262"/>
      <c r="BU9" s="262"/>
      <c r="BV9" s="262"/>
      <c r="BW9" s="262"/>
      <c r="BX9" s="262"/>
      <c r="BY9" s="262"/>
      <c r="BZ9" s="262"/>
      <c r="CA9" s="262"/>
      <c r="CB9" s="262"/>
      <c r="CC9" s="262"/>
      <c r="CD9" s="262"/>
      <c r="CE9" s="262"/>
      <c r="CF9" s="262"/>
      <c r="CG9" s="262"/>
      <c r="CH9" s="262"/>
      <c r="CI9" s="262"/>
      <c r="CJ9" s="262"/>
      <c r="CK9" s="262"/>
      <c r="CL9" s="262"/>
      <c r="CM9" s="262"/>
      <c r="CN9" s="262"/>
      <c r="CO9" s="262"/>
      <c r="CP9" s="262"/>
      <c r="CQ9" s="262"/>
      <c r="CR9" s="262"/>
      <c r="CS9" s="262"/>
      <c r="CT9" s="262"/>
      <c r="CU9" s="262"/>
      <c r="CV9" s="262"/>
      <c r="CW9" s="262"/>
      <c r="CX9" s="262"/>
      <c r="CY9" s="262"/>
      <c r="CZ9" s="262"/>
      <c r="DA9" s="262"/>
      <c r="DB9" s="262"/>
      <c r="DC9" s="262"/>
      <c r="DD9" s="262"/>
      <c r="DE9" s="262"/>
      <c r="DF9" s="262"/>
      <c r="DG9" s="262"/>
      <c r="DH9" s="262"/>
      <c r="DI9" s="262"/>
      <c r="DJ9" s="262"/>
      <c r="DK9" s="262"/>
      <c r="DL9" s="262"/>
      <c r="DM9" s="262"/>
      <c r="DN9" s="262"/>
      <c r="DO9" s="262"/>
      <c r="DP9" s="262"/>
      <c r="DQ9" s="262"/>
      <c r="DR9" s="262"/>
    </row>
    <row r="10" spans="1:122" s="1" customFormat="1" ht="78" customHeight="1" x14ac:dyDescent="0.25">
      <c r="A10" s="263"/>
      <c r="B10" s="1173" t="s">
        <v>7040</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G10" s="263"/>
      <c r="AH10" s="262"/>
      <c r="AI10" s="262"/>
      <c r="AJ10" s="262"/>
      <c r="AK10" s="262"/>
      <c r="AL10" s="262"/>
      <c r="AM10" s="262"/>
      <c r="AN10" s="262"/>
      <c r="AO10" s="262"/>
      <c r="AP10" s="262"/>
      <c r="AQ10" s="262"/>
      <c r="AR10" s="262"/>
      <c r="AS10" s="262"/>
      <c r="AT10" s="262"/>
      <c r="AU10" s="262"/>
      <c r="AV10" s="262"/>
      <c r="AW10" s="262"/>
      <c r="AX10" s="262"/>
      <c r="AY10" s="262"/>
      <c r="AZ10" s="262"/>
      <c r="BA10" s="262"/>
      <c r="BB10" s="262"/>
      <c r="BC10" s="262"/>
      <c r="BD10" s="262"/>
      <c r="BE10" s="262"/>
      <c r="BF10" s="262"/>
      <c r="BG10" s="262"/>
      <c r="BH10" s="262"/>
      <c r="BI10" s="262"/>
      <c r="BJ10" s="262"/>
      <c r="BK10" s="262"/>
      <c r="BL10" s="262"/>
      <c r="BM10" s="262"/>
      <c r="BN10" s="262"/>
      <c r="BO10" s="262"/>
      <c r="BP10" s="262"/>
      <c r="BQ10" s="262"/>
      <c r="BR10" s="262"/>
      <c r="BS10" s="262"/>
      <c r="BT10" s="262"/>
      <c r="BU10" s="262"/>
      <c r="BV10" s="262"/>
      <c r="BW10" s="262"/>
      <c r="BX10" s="262"/>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2"/>
      <c r="CV10" s="262"/>
      <c r="CW10" s="262"/>
      <c r="CX10" s="262"/>
      <c r="CY10" s="262"/>
      <c r="CZ10" s="262"/>
      <c r="DA10" s="262"/>
      <c r="DB10" s="262"/>
      <c r="DC10" s="262"/>
      <c r="DD10" s="262"/>
      <c r="DE10" s="262"/>
      <c r="DF10" s="262"/>
      <c r="DG10" s="262"/>
      <c r="DH10" s="262"/>
      <c r="DI10" s="262"/>
      <c r="DJ10" s="262"/>
      <c r="DK10" s="262"/>
      <c r="DL10" s="262"/>
      <c r="DM10" s="262"/>
      <c r="DN10" s="262"/>
      <c r="DO10" s="262"/>
      <c r="DP10" s="262"/>
      <c r="DQ10" s="262"/>
      <c r="DR10" s="262"/>
    </row>
    <row r="11" spans="1:122" s="1" customFormat="1"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G11" s="262"/>
      <c r="AH11" s="262"/>
      <c r="AI11" s="262"/>
      <c r="AJ11" s="262"/>
      <c r="AK11" s="262"/>
      <c r="AL11" s="262"/>
      <c r="AM11" s="262"/>
      <c r="AN11" s="262"/>
      <c r="AO11" s="262"/>
      <c r="AP11" s="262"/>
      <c r="AQ11" s="262"/>
      <c r="AR11" s="262"/>
      <c r="AS11" s="262"/>
      <c r="AT11" s="262"/>
      <c r="AU11" s="262"/>
      <c r="AV11" s="262"/>
      <c r="AW11" s="262"/>
      <c r="AX11" s="262"/>
      <c r="AY11" s="262"/>
      <c r="AZ11" s="262"/>
      <c r="BA11" s="262"/>
      <c r="BB11" s="262"/>
      <c r="BC11" s="262"/>
      <c r="BD11" s="262"/>
      <c r="BE11" s="262"/>
      <c r="BF11" s="262"/>
      <c r="BG11" s="262"/>
      <c r="BH11" s="262"/>
      <c r="BI11" s="262"/>
      <c r="BJ11" s="262"/>
      <c r="BK11" s="262"/>
      <c r="BL11" s="262"/>
      <c r="BM11" s="262"/>
      <c r="BN11" s="262"/>
      <c r="BO11" s="262"/>
      <c r="BP11" s="262"/>
      <c r="BQ11" s="262"/>
      <c r="BR11" s="262"/>
      <c r="BS11" s="262"/>
      <c r="BT11" s="262"/>
      <c r="BU11" s="262"/>
      <c r="BV11" s="262"/>
      <c r="BW11" s="262"/>
      <c r="BX11" s="262"/>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2"/>
      <c r="CV11" s="262"/>
      <c r="CW11" s="262"/>
      <c r="CX11" s="262"/>
      <c r="CY11" s="262"/>
      <c r="CZ11" s="262"/>
      <c r="DA11" s="262"/>
      <c r="DB11" s="262"/>
      <c r="DC11" s="262"/>
      <c r="DD11" s="262"/>
      <c r="DE11" s="262"/>
      <c r="DF11" s="262"/>
      <c r="DG11" s="262"/>
      <c r="DH11" s="262"/>
      <c r="DI11" s="262"/>
      <c r="DJ11" s="262"/>
      <c r="DK11" s="262"/>
      <c r="DL11" s="262"/>
      <c r="DM11" s="262"/>
      <c r="DN11" s="262"/>
      <c r="DO11" s="262"/>
      <c r="DP11" s="262"/>
      <c r="DQ11" s="262"/>
      <c r="DR11" s="262"/>
    </row>
    <row r="12" spans="1:122" s="1" customFormat="1"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c r="BO12" s="262"/>
      <c r="BP12" s="262"/>
      <c r="BQ12" s="262"/>
      <c r="BR12" s="262"/>
      <c r="BS12" s="262"/>
      <c r="BT12" s="262"/>
      <c r="BU12" s="262"/>
      <c r="BV12" s="262"/>
      <c r="BW12" s="262"/>
      <c r="BX12" s="262"/>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2"/>
      <c r="CV12" s="262"/>
      <c r="CW12" s="262"/>
      <c r="CX12" s="262"/>
      <c r="CY12" s="262"/>
      <c r="CZ12" s="262"/>
      <c r="DA12" s="262"/>
      <c r="DB12" s="262"/>
      <c r="DC12" s="262"/>
      <c r="DD12" s="262"/>
      <c r="DE12" s="262"/>
      <c r="DF12" s="262"/>
      <c r="DG12" s="262"/>
      <c r="DH12" s="262"/>
      <c r="DI12" s="262"/>
      <c r="DJ12" s="262"/>
      <c r="DK12" s="262"/>
      <c r="DL12" s="262"/>
      <c r="DM12" s="262"/>
      <c r="DN12" s="262"/>
      <c r="DO12" s="262"/>
      <c r="DP12" s="262"/>
      <c r="DQ12" s="262"/>
      <c r="DR12" s="262"/>
    </row>
    <row r="13" spans="1:122" s="1" customFormat="1" ht="36" customHeight="1" x14ac:dyDescent="0.25">
      <c r="A13" s="262"/>
      <c r="B13" s="1589" t="s">
        <v>7041</v>
      </c>
      <c r="C13" s="1589"/>
      <c r="D13" s="1589"/>
      <c r="E13" s="1589"/>
      <c r="F13" s="1589"/>
      <c r="G13" s="1589"/>
      <c r="H13" s="1589"/>
      <c r="I13" s="1589"/>
      <c r="J13" s="1589"/>
      <c r="K13" s="1589"/>
      <c r="L13" s="1589"/>
      <c r="M13" s="1589"/>
      <c r="N13" s="1589"/>
      <c r="O13" s="1589"/>
      <c r="P13" s="1589"/>
      <c r="Q13" s="1589"/>
      <c r="R13" s="1589"/>
      <c r="S13" s="1589"/>
      <c r="T13" s="1589"/>
      <c r="U13" s="1589"/>
      <c r="V13" s="1589"/>
      <c r="W13" s="1589"/>
      <c r="X13" s="1589"/>
      <c r="Y13" s="1589"/>
      <c r="Z13" s="1589"/>
      <c r="AA13" s="1589"/>
      <c r="AB13" s="1589"/>
      <c r="AC13" s="1589"/>
      <c r="AD13" s="1589"/>
      <c r="AE13" s="1589"/>
      <c r="AF13" s="1589"/>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2"/>
      <c r="CV13" s="262"/>
      <c r="CW13" s="262"/>
      <c r="CX13" s="262"/>
      <c r="CY13" s="262"/>
      <c r="CZ13" s="262"/>
      <c r="DA13" s="262"/>
      <c r="DB13" s="262"/>
      <c r="DC13" s="262"/>
      <c r="DD13" s="262"/>
      <c r="DE13" s="262"/>
      <c r="DF13" s="262"/>
      <c r="DG13" s="262"/>
      <c r="DH13" s="262"/>
      <c r="DI13" s="262"/>
      <c r="DJ13" s="262"/>
      <c r="DK13" s="262"/>
      <c r="DL13" s="262"/>
      <c r="DM13" s="262"/>
      <c r="DN13" s="262"/>
      <c r="DO13" s="262"/>
      <c r="DP13" s="262"/>
      <c r="DQ13" s="262"/>
      <c r="DR13" s="262"/>
    </row>
    <row r="14" spans="1:122" s="4" customFormat="1" ht="64.5" customHeight="1" x14ac:dyDescent="0.25">
      <c r="A14" s="262"/>
      <c r="B14" s="1173" t="s">
        <v>7042</v>
      </c>
      <c r="C14" s="1173"/>
      <c r="D14" s="1173"/>
      <c r="E14" s="1173"/>
      <c r="F14" s="1173"/>
      <c r="G14" s="1173"/>
      <c r="H14" s="1173"/>
      <c r="I14" s="1173"/>
      <c r="J14" s="1173"/>
      <c r="K14" s="1173"/>
      <c r="L14" s="1173"/>
      <c r="M14" s="1173"/>
      <c r="N14" s="1173"/>
      <c r="O14" s="1173"/>
      <c r="P14" s="1173"/>
      <c r="Q14" s="1173"/>
      <c r="R14" s="1173"/>
      <c r="S14" s="1173"/>
      <c r="T14" s="1173"/>
      <c r="U14" s="1173"/>
      <c r="V14" s="1173"/>
      <c r="W14" s="1173"/>
      <c r="X14" s="1173"/>
      <c r="Y14" s="1173"/>
      <c r="Z14" s="1173"/>
      <c r="AA14" s="1173"/>
      <c r="AB14" s="1173"/>
      <c r="AC14" s="1173"/>
      <c r="AD14" s="1173"/>
      <c r="AE14" s="1173"/>
      <c r="AF14" s="1173"/>
      <c r="AG14" s="262"/>
      <c r="AH14" s="263"/>
      <c r="AI14" s="263"/>
      <c r="AJ14" s="262"/>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row>
    <row r="15" spans="1:122" s="4" customFormat="1" ht="17.25" customHeight="1" x14ac:dyDescent="0.25">
      <c r="A15" s="262"/>
      <c r="B15" s="1589" t="s">
        <v>7043</v>
      </c>
      <c r="C15" s="1589"/>
      <c r="D15" s="1589"/>
      <c r="E15" s="1589"/>
      <c r="F15" s="1589"/>
      <c r="G15" s="1589"/>
      <c r="H15" s="1589"/>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262"/>
      <c r="AH15" s="263"/>
      <c r="AI15" s="263"/>
      <c r="AJ15" s="262"/>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row>
    <row r="16" spans="1:122" s="1" customFormat="1" x14ac:dyDescent="0.25">
      <c r="AG16" s="262"/>
      <c r="AH16" s="262"/>
      <c r="AI16" s="262"/>
      <c r="AJ16" s="262"/>
      <c r="AK16" s="262"/>
      <c r="AL16" s="262"/>
      <c r="AM16" s="262"/>
      <c r="AN16" s="262"/>
      <c r="AO16" s="262"/>
      <c r="AP16" s="262"/>
      <c r="AQ16" s="262"/>
      <c r="AR16" s="262"/>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262"/>
      <c r="BT16" s="262"/>
      <c r="BU16" s="262"/>
      <c r="BV16" s="262"/>
      <c r="BW16" s="262"/>
      <c r="BX16" s="262"/>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2"/>
      <c r="CV16" s="262"/>
      <c r="CW16" s="262"/>
      <c r="CX16" s="262"/>
      <c r="CY16" s="262"/>
      <c r="CZ16" s="262"/>
      <c r="DA16" s="262"/>
      <c r="DB16" s="262"/>
      <c r="DC16" s="262"/>
      <c r="DD16" s="262"/>
      <c r="DE16" s="262"/>
      <c r="DF16" s="262"/>
      <c r="DG16" s="262"/>
      <c r="DH16" s="262"/>
      <c r="DI16" s="262"/>
      <c r="DJ16" s="262"/>
      <c r="DK16" s="262"/>
      <c r="DL16" s="262"/>
      <c r="DM16" s="262"/>
      <c r="DN16" s="262"/>
      <c r="DO16" s="262"/>
      <c r="DP16" s="262"/>
      <c r="DQ16" s="262"/>
      <c r="DR16" s="262"/>
    </row>
    <row r="17" spans="1:122" s="1" customFormat="1" x14ac:dyDescent="0.25">
      <c r="B17" s="1475" t="s">
        <v>12</v>
      </c>
      <c r="C17" s="1475"/>
      <c r="D17" s="1475"/>
      <c r="E17" s="1475"/>
      <c r="F17" s="1475"/>
      <c r="G17" s="1475"/>
      <c r="H17" s="1475"/>
      <c r="I17" s="1475"/>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row>
    <row r="18" spans="1:122" s="1" customFormat="1" x14ac:dyDescent="0.25">
      <c r="B18" s="1473" t="s">
        <v>3395</v>
      </c>
      <c r="C18" s="1473"/>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262"/>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262"/>
      <c r="BT18" s="262"/>
      <c r="BU18" s="262"/>
      <c r="BV18" s="262"/>
      <c r="BW18" s="262"/>
      <c r="BX18" s="262"/>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2"/>
      <c r="CV18" s="262"/>
      <c r="CW18" s="262"/>
      <c r="CX18" s="262"/>
      <c r="CY18" s="262"/>
      <c r="CZ18" s="262"/>
      <c r="DA18" s="262"/>
      <c r="DB18" s="262"/>
      <c r="DC18" s="262"/>
      <c r="DD18" s="262"/>
      <c r="DE18" s="262"/>
      <c r="DF18" s="262"/>
      <c r="DG18" s="262"/>
      <c r="DH18" s="262"/>
      <c r="DI18" s="262"/>
      <c r="DJ18" s="262"/>
      <c r="DK18" s="262"/>
      <c r="DL18" s="262"/>
      <c r="DM18" s="262"/>
      <c r="DN18" s="262"/>
      <c r="DO18" s="262"/>
      <c r="DP18" s="262"/>
      <c r="DQ18" s="262"/>
      <c r="DR18" s="262"/>
    </row>
    <row r="19" spans="1:122" s="1" customFormat="1" x14ac:dyDescent="0.25">
      <c r="AG19" s="262"/>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2"/>
      <c r="BG19" s="262"/>
      <c r="BH19" s="262"/>
      <c r="BI19" s="262"/>
      <c r="BJ19" s="262"/>
      <c r="BK19" s="262"/>
      <c r="BL19" s="262"/>
      <c r="BM19" s="262"/>
      <c r="BN19" s="262"/>
      <c r="BO19" s="262"/>
      <c r="BP19" s="262"/>
      <c r="BQ19" s="262"/>
      <c r="BR19" s="262"/>
      <c r="BS19" s="262"/>
      <c r="BT19" s="262"/>
      <c r="BU19" s="262"/>
      <c r="BV19" s="262"/>
      <c r="BW19" s="262"/>
      <c r="BX19" s="262"/>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2"/>
      <c r="CV19" s="262"/>
      <c r="CW19" s="262"/>
      <c r="CX19" s="262"/>
      <c r="CY19" s="262"/>
      <c r="CZ19" s="262"/>
      <c r="DA19" s="262"/>
      <c r="DB19" s="262"/>
      <c r="DC19" s="262"/>
      <c r="DD19" s="262"/>
      <c r="DE19" s="262"/>
      <c r="DF19" s="262"/>
      <c r="DG19" s="262"/>
      <c r="DH19" s="262"/>
      <c r="DI19" s="262"/>
      <c r="DJ19" s="262"/>
      <c r="DK19" s="262"/>
      <c r="DL19" s="262"/>
      <c r="DM19" s="262"/>
      <c r="DN19" s="262"/>
      <c r="DO19" s="262"/>
      <c r="DP19" s="262"/>
      <c r="DQ19" s="262"/>
      <c r="DR19" s="262"/>
    </row>
    <row r="20" spans="1:122" s="1" customFormat="1" x14ac:dyDescent="0.25">
      <c r="B20" s="1475" t="s">
        <v>13</v>
      </c>
      <c r="C20" s="1475"/>
      <c r="D20" s="1475"/>
      <c r="E20" s="1475"/>
      <c r="F20" s="1475"/>
      <c r="G20" s="1475"/>
      <c r="H20" s="1475"/>
      <c r="I20" s="1475"/>
      <c r="AG20" s="262"/>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262"/>
      <c r="BT20" s="262"/>
      <c r="BU20" s="262"/>
      <c r="BV20" s="262"/>
      <c r="BW20" s="262"/>
      <c r="BX20" s="262"/>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2"/>
      <c r="CV20" s="262"/>
      <c r="CW20" s="262"/>
      <c r="CX20" s="262"/>
      <c r="CY20" s="262"/>
      <c r="CZ20" s="262"/>
      <c r="DA20" s="262"/>
      <c r="DB20" s="262"/>
      <c r="DC20" s="262"/>
      <c r="DD20" s="262"/>
      <c r="DE20" s="262"/>
      <c r="DF20" s="262"/>
      <c r="DG20" s="262"/>
      <c r="DH20" s="262"/>
      <c r="DI20" s="262"/>
      <c r="DJ20" s="262"/>
      <c r="DK20" s="262"/>
      <c r="DL20" s="262"/>
      <c r="DM20" s="262"/>
      <c r="DN20" s="262"/>
      <c r="DO20" s="262"/>
      <c r="DP20" s="262"/>
      <c r="DQ20" s="262"/>
      <c r="DR20" s="262"/>
    </row>
    <row r="21" spans="1:122" s="1" customFormat="1" ht="33.75" customHeight="1" x14ac:dyDescent="0.25">
      <c r="A21" s="4"/>
      <c r="B21" s="1247" t="s">
        <v>2771</v>
      </c>
      <c r="C21" s="1247"/>
      <c r="D21" s="1247"/>
      <c r="E21" s="1247"/>
      <c r="F21" s="1247"/>
      <c r="G21" s="1247"/>
      <c r="H21" s="1247"/>
      <c r="I21" s="1247"/>
      <c r="J21" s="1247"/>
      <c r="K21" s="1247"/>
      <c r="L21" s="1247"/>
      <c r="M21" s="1247"/>
      <c r="N21" s="1247"/>
      <c r="O21" s="1247"/>
      <c r="P21" s="1247"/>
      <c r="Q21" s="1247"/>
      <c r="R21" s="1247"/>
      <c r="S21" s="1247"/>
      <c r="T21" s="1247"/>
      <c r="U21" s="1247"/>
      <c r="V21" s="1247"/>
      <c r="W21" s="1247"/>
      <c r="X21" s="1247"/>
      <c r="Y21" s="1247"/>
      <c r="Z21" s="1247"/>
      <c r="AA21" s="1247"/>
      <c r="AB21" s="1247"/>
      <c r="AC21" s="1247"/>
      <c r="AD21" s="1247"/>
      <c r="AE21" s="1247"/>
      <c r="AF21" s="1247"/>
      <c r="AG21" s="263"/>
      <c r="AH21" s="262"/>
      <c r="AI21" s="262"/>
      <c r="AJ21" s="262"/>
      <c r="AK21" s="262"/>
      <c r="AL21" s="262"/>
      <c r="AM21" s="262"/>
      <c r="AN21" s="262"/>
      <c r="AO21" s="262"/>
      <c r="AP21" s="262"/>
      <c r="AQ21" s="262"/>
      <c r="AR21" s="262"/>
      <c r="AS21" s="262"/>
      <c r="AT21" s="262"/>
      <c r="AU21" s="262"/>
      <c r="AV21" s="262"/>
      <c r="AW21" s="262"/>
      <c r="AX21" s="262"/>
      <c r="AY21" s="262"/>
      <c r="AZ21" s="262"/>
      <c r="BA21" s="262"/>
      <c r="BB21" s="262"/>
      <c r="BC21" s="262"/>
      <c r="BD21" s="262"/>
      <c r="BE21" s="262"/>
      <c r="BF21" s="262"/>
      <c r="BG21" s="262"/>
      <c r="BH21" s="262"/>
      <c r="BI21" s="262"/>
      <c r="BJ21" s="262"/>
      <c r="BK21" s="262"/>
      <c r="BL21" s="262"/>
      <c r="BM21" s="262"/>
      <c r="BN21" s="262"/>
      <c r="BO21" s="262"/>
      <c r="BP21" s="262"/>
      <c r="BQ21" s="262"/>
      <c r="BR21" s="262"/>
      <c r="BS21" s="262"/>
      <c r="BT21" s="262"/>
      <c r="BU21" s="262"/>
      <c r="BV21" s="262"/>
      <c r="BW21" s="262"/>
      <c r="BX21" s="262"/>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2"/>
      <c r="CV21" s="262"/>
      <c r="CW21" s="262"/>
      <c r="CX21" s="262"/>
      <c r="CY21" s="262"/>
      <c r="CZ21" s="262"/>
      <c r="DA21" s="262"/>
      <c r="DB21" s="262"/>
      <c r="DC21" s="262"/>
      <c r="DD21" s="262"/>
      <c r="DE21" s="262"/>
      <c r="DF21" s="262"/>
      <c r="DG21" s="262"/>
      <c r="DH21" s="262"/>
      <c r="DI21" s="262"/>
      <c r="DJ21" s="262"/>
      <c r="DK21" s="262"/>
      <c r="DL21" s="262"/>
      <c r="DM21" s="262"/>
      <c r="DN21" s="262"/>
      <c r="DO21" s="262"/>
      <c r="DP21" s="262"/>
      <c r="DQ21" s="262"/>
      <c r="DR21" s="262"/>
    </row>
    <row r="22" spans="1:122" s="1" customFormat="1" x14ac:dyDescent="0.25">
      <c r="AG22" s="262"/>
      <c r="AH22" s="262"/>
      <c r="AI22" s="262"/>
      <c r="AJ22" s="262"/>
      <c r="AK22" s="262"/>
      <c r="AL22" s="262"/>
      <c r="AM22" s="262"/>
      <c r="AN22" s="262"/>
      <c r="AO22" s="262"/>
      <c r="AP22" s="262"/>
      <c r="AQ22" s="262"/>
      <c r="AR22" s="262"/>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262"/>
      <c r="BT22" s="262"/>
      <c r="BU22" s="262"/>
      <c r="BV22" s="262"/>
      <c r="BW22" s="262"/>
      <c r="BX22" s="262"/>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2"/>
      <c r="CV22" s="262"/>
      <c r="CW22" s="262"/>
      <c r="CX22" s="262"/>
      <c r="CY22" s="262"/>
      <c r="CZ22" s="262"/>
      <c r="DA22" s="262"/>
      <c r="DB22" s="262"/>
      <c r="DC22" s="262"/>
      <c r="DD22" s="262"/>
      <c r="DE22" s="262"/>
      <c r="DF22" s="262"/>
      <c r="DG22" s="262"/>
      <c r="DH22" s="262"/>
      <c r="DI22" s="262"/>
      <c r="DJ22" s="262"/>
      <c r="DK22" s="262"/>
      <c r="DL22" s="262"/>
      <c r="DM22" s="262"/>
      <c r="DN22" s="262"/>
      <c r="DO22" s="262"/>
      <c r="DP22" s="262"/>
      <c r="DQ22" s="262"/>
      <c r="DR22" s="262"/>
    </row>
    <row r="23" spans="1:122" s="1" customFormat="1" x14ac:dyDescent="0.25">
      <c r="B23" s="171" t="s">
        <v>20</v>
      </c>
      <c r="C23" s="171"/>
      <c r="D23" s="171"/>
      <c r="E23" s="171"/>
      <c r="F23" s="171"/>
      <c r="G23" s="171"/>
      <c r="H23" s="171"/>
      <c r="I23" s="171"/>
      <c r="AG23" s="262"/>
      <c r="AH23" s="262"/>
      <c r="AI23" s="262"/>
      <c r="AJ23" s="262"/>
      <c r="AK23" s="262"/>
      <c r="AL23" s="262"/>
      <c r="AM23" s="262"/>
      <c r="AN23" s="262"/>
      <c r="AO23" s="262"/>
      <c r="AP23" s="262"/>
      <c r="AQ23" s="262"/>
      <c r="AR23" s="262"/>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262"/>
      <c r="BT23" s="262"/>
      <c r="BU23" s="262"/>
      <c r="BV23" s="262"/>
      <c r="BW23" s="262"/>
      <c r="BX23" s="262"/>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2"/>
      <c r="CV23" s="262"/>
      <c r="CW23" s="262"/>
      <c r="CX23" s="262"/>
      <c r="CY23" s="262"/>
      <c r="CZ23" s="262"/>
      <c r="DA23" s="262"/>
      <c r="DB23" s="262"/>
      <c r="DC23" s="262"/>
      <c r="DD23" s="262"/>
      <c r="DE23" s="262"/>
      <c r="DF23" s="262"/>
      <c r="DG23" s="262"/>
      <c r="DH23" s="262"/>
      <c r="DI23" s="262"/>
      <c r="DJ23" s="262"/>
      <c r="DK23" s="262"/>
      <c r="DL23" s="262"/>
      <c r="DM23" s="262"/>
      <c r="DN23" s="262"/>
      <c r="DO23" s="262"/>
      <c r="DP23" s="262"/>
      <c r="DQ23" s="262"/>
      <c r="DR23" s="262"/>
    </row>
    <row r="24" spans="1:122" s="1" customFormat="1" ht="31.5" customHeight="1" x14ac:dyDescent="0.25">
      <c r="B24" s="1589" t="s">
        <v>7044</v>
      </c>
      <c r="C24" s="1703"/>
      <c r="D24" s="1703"/>
      <c r="E24" s="1703"/>
      <c r="F24" s="1703"/>
      <c r="G24" s="1703"/>
      <c r="H24" s="1703"/>
      <c r="I24" s="1703"/>
      <c r="J24" s="1703"/>
      <c r="K24" s="1703"/>
      <c r="L24" s="1703"/>
      <c r="M24" s="1703"/>
      <c r="N24" s="1703"/>
      <c r="O24" s="1703"/>
      <c r="P24" s="1703"/>
      <c r="Q24" s="1703"/>
      <c r="R24" s="1703"/>
      <c r="S24" s="1703"/>
      <c r="T24" s="1703"/>
      <c r="U24" s="1703"/>
      <c r="V24" s="1703"/>
      <c r="W24" s="1703"/>
      <c r="X24" s="1703"/>
      <c r="Y24" s="1703"/>
      <c r="Z24" s="1703"/>
      <c r="AA24" s="1703"/>
      <c r="AB24" s="1703"/>
      <c r="AC24" s="1703"/>
      <c r="AD24" s="1703"/>
      <c r="AE24" s="1703"/>
      <c r="AF24" s="1703"/>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262"/>
      <c r="BT24" s="262"/>
      <c r="BU24" s="262"/>
      <c r="BV24" s="262"/>
      <c r="BW24" s="262"/>
      <c r="BX24" s="262"/>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2"/>
      <c r="CV24" s="262"/>
      <c r="CW24" s="262"/>
      <c r="CX24" s="262"/>
      <c r="CY24" s="262"/>
      <c r="CZ24" s="262"/>
      <c r="DA24" s="262"/>
      <c r="DB24" s="262"/>
      <c r="DC24" s="262"/>
      <c r="DD24" s="262"/>
      <c r="DE24" s="262"/>
      <c r="DF24" s="262"/>
      <c r="DG24" s="262"/>
      <c r="DH24" s="262"/>
      <c r="DI24" s="262"/>
      <c r="DJ24" s="262"/>
      <c r="DK24" s="262"/>
      <c r="DL24" s="262"/>
      <c r="DM24" s="262"/>
      <c r="DN24" s="262"/>
      <c r="DO24" s="262"/>
      <c r="DP24" s="262"/>
      <c r="DQ24" s="262"/>
      <c r="DR24" s="262"/>
    </row>
    <row r="25" spans="1:122" s="1" customFormat="1" ht="31.5" customHeight="1" x14ac:dyDescent="0.25">
      <c r="B25" s="1589" t="s">
        <v>7045</v>
      </c>
      <c r="C25" s="1589"/>
      <c r="D25" s="1589"/>
      <c r="E25" s="1589"/>
      <c r="F25" s="1589"/>
      <c r="G25" s="1589"/>
      <c r="H25" s="1589"/>
      <c r="I25" s="1589"/>
      <c r="J25" s="1589"/>
      <c r="K25" s="1589"/>
      <c r="L25" s="1589"/>
      <c r="M25" s="1589"/>
      <c r="N25" s="1589"/>
      <c r="O25" s="1589"/>
      <c r="P25" s="1589"/>
      <c r="Q25" s="1589"/>
      <c r="R25" s="1589"/>
      <c r="S25" s="1589"/>
      <c r="T25" s="1589"/>
      <c r="U25" s="1589"/>
      <c r="V25" s="1589"/>
      <c r="W25" s="1589"/>
      <c r="X25" s="1589"/>
      <c r="Y25" s="1589"/>
      <c r="Z25" s="1589"/>
      <c r="AA25" s="1589"/>
      <c r="AB25" s="1589"/>
      <c r="AC25" s="1589"/>
      <c r="AD25" s="1589"/>
      <c r="AE25" s="1589"/>
      <c r="AF25" s="1589"/>
      <c r="AG25" s="262"/>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262"/>
      <c r="BT25" s="262"/>
      <c r="BU25" s="262"/>
      <c r="BV25" s="262"/>
      <c r="BW25" s="262"/>
      <c r="BX25" s="262"/>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2"/>
      <c r="CV25" s="262"/>
      <c r="CW25" s="262"/>
      <c r="CX25" s="262"/>
      <c r="CY25" s="262"/>
      <c r="CZ25" s="262"/>
      <c r="DA25" s="262"/>
      <c r="DB25" s="262"/>
      <c r="DC25" s="262"/>
      <c r="DD25" s="262"/>
      <c r="DE25" s="262"/>
      <c r="DF25" s="262"/>
      <c r="DG25" s="262"/>
      <c r="DH25" s="262"/>
      <c r="DI25" s="262"/>
      <c r="DJ25" s="262"/>
      <c r="DK25" s="262"/>
      <c r="DL25" s="262"/>
      <c r="DM25" s="262"/>
      <c r="DN25" s="262"/>
      <c r="DO25" s="262"/>
      <c r="DP25" s="262"/>
      <c r="DQ25" s="262"/>
      <c r="DR25" s="262"/>
    </row>
    <row r="26" spans="1:122" s="1" customFormat="1" ht="31.5" customHeight="1" x14ac:dyDescent="0.25">
      <c r="B26" s="1704" t="s">
        <v>7046</v>
      </c>
      <c r="C26" s="1704"/>
      <c r="D26" s="1704"/>
      <c r="E26" s="1704"/>
      <c r="F26" s="1704"/>
      <c r="G26" s="1704"/>
      <c r="H26" s="1704"/>
      <c r="I26" s="1704"/>
      <c r="J26" s="1704"/>
      <c r="K26" s="1704"/>
      <c r="L26" s="1704"/>
      <c r="M26" s="1704"/>
      <c r="N26" s="1704"/>
      <c r="O26" s="1704"/>
      <c r="P26" s="1704"/>
      <c r="Q26" s="1704"/>
      <c r="R26" s="1704"/>
      <c r="S26" s="1704"/>
      <c r="T26" s="1704"/>
      <c r="U26" s="1704"/>
      <c r="V26" s="1704"/>
      <c r="W26" s="1704"/>
      <c r="X26" s="1704"/>
      <c r="Y26" s="1704"/>
      <c r="Z26" s="1704"/>
      <c r="AA26" s="1704"/>
      <c r="AB26" s="1704"/>
      <c r="AC26" s="1704"/>
      <c r="AD26" s="1704"/>
      <c r="AE26" s="1704"/>
      <c r="AF26" s="1704"/>
      <c r="AG26" s="262"/>
      <c r="AH26" s="262"/>
      <c r="AI26" s="262"/>
      <c r="AJ26" s="262"/>
      <c r="AK26" s="262"/>
      <c r="AL26" s="262"/>
      <c r="AM26" s="262"/>
      <c r="AN26" s="262"/>
      <c r="AO26" s="262"/>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2"/>
      <c r="CV26" s="262"/>
      <c r="CW26" s="262"/>
      <c r="CX26" s="262"/>
      <c r="CY26" s="262"/>
      <c r="CZ26" s="262"/>
      <c r="DA26" s="262"/>
      <c r="DB26" s="262"/>
      <c r="DC26" s="262"/>
      <c r="DD26" s="262"/>
      <c r="DE26" s="262"/>
      <c r="DF26" s="262"/>
      <c r="DG26" s="262"/>
      <c r="DH26" s="262"/>
      <c r="DI26" s="262"/>
      <c r="DJ26" s="262"/>
      <c r="DK26" s="262"/>
      <c r="DL26" s="262"/>
      <c r="DM26" s="262"/>
      <c r="DN26" s="262"/>
      <c r="DO26" s="262"/>
      <c r="DP26" s="262"/>
      <c r="DQ26" s="262"/>
      <c r="DR26" s="262"/>
    </row>
    <row r="27" spans="1:122" s="1" customFormat="1" ht="17.25" customHeight="1" x14ac:dyDescent="0.25">
      <c r="B27" s="884"/>
      <c r="C27" s="683"/>
      <c r="D27" s="683"/>
      <c r="E27" s="683"/>
      <c r="F27" s="683"/>
      <c r="G27" s="683"/>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262"/>
      <c r="BT27" s="262"/>
      <c r="BU27" s="262"/>
      <c r="BV27" s="262"/>
      <c r="BW27" s="262"/>
      <c r="BX27" s="262"/>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2"/>
      <c r="CV27" s="262"/>
      <c r="CW27" s="262"/>
      <c r="CX27" s="262"/>
      <c r="CY27" s="262"/>
      <c r="CZ27" s="262"/>
      <c r="DA27" s="262"/>
      <c r="DB27" s="262"/>
      <c r="DC27" s="262"/>
      <c r="DD27" s="262"/>
      <c r="DE27" s="262"/>
      <c r="DF27" s="262"/>
      <c r="DG27" s="262"/>
      <c r="DH27" s="262"/>
      <c r="DI27" s="262"/>
      <c r="DJ27" s="262"/>
      <c r="DK27" s="262"/>
      <c r="DL27" s="262"/>
      <c r="DM27" s="262"/>
      <c r="DN27" s="262"/>
      <c r="DO27" s="262"/>
      <c r="DP27" s="262"/>
      <c r="DQ27" s="262"/>
      <c r="DR27" s="262"/>
    </row>
    <row r="28" spans="1:122" s="1" customFormat="1" x14ac:dyDescent="0.25">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2"/>
      <c r="CV28" s="262"/>
      <c r="CW28" s="262"/>
      <c r="CX28" s="262"/>
      <c r="CY28" s="262"/>
      <c r="CZ28" s="262"/>
      <c r="DA28" s="262"/>
      <c r="DB28" s="262"/>
      <c r="DC28" s="262"/>
      <c r="DD28" s="262"/>
      <c r="DE28" s="262"/>
      <c r="DF28" s="262"/>
      <c r="DG28" s="262"/>
      <c r="DH28" s="262"/>
      <c r="DI28" s="262"/>
      <c r="DJ28" s="262"/>
      <c r="DK28" s="262"/>
      <c r="DL28" s="262"/>
      <c r="DM28" s="262"/>
      <c r="DN28" s="262"/>
      <c r="DO28" s="262"/>
      <c r="DP28" s="262"/>
      <c r="DQ28" s="262"/>
      <c r="DR28" s="262"/>
    </row>
    <row r="29" spans="1:122" s="1" customFormat="1" x14ac:dyDescent="0.25">
      <c r="A29" s="1472" t="s">
        <v>14</v>
      </c>
      <c r="B29" s="1472"/>
      <c r="C29" s="1472"/>
      <c r="D29" s="1472"/>
      <c r="E29" s="1472"/>
      <c r="F29" s="1472"/>
      <c r="G29" s="1472"/>
      <c r="H29" s="1472"/>
      <c r="I29" s="1472"/>
      <c r="J29" s="1472"/>
      <c r="K29" s="1472"/>
      <c r="L29" s="1472"/>
      <c r="M29" s="1472"/>
      <c r="N29" s="1472"/>
      <c r="O29" s="1472"/>
      <c r="P29" s="1472"/>
      <c r="Q29" s="1472"/>
      <c r="R29" s="1472"/>
      <c r="S29" s="1472"/>
      <c r="T29" s="1472"/>
      <c r="U29" s="1472"/>
      <c r="V29" s="1472"/>
      <c r="W29" s="1472"/>
      <c r="X29" s="1472"/>
      <c r="Y29" s="1472"/>
      <c r="Z29" s="1472"/>
      <c r="AA29" s="1472"/>
      <c r="AB29" s="1472"/>
      <c r="AC29" s="1472"/>
      <c r="AD29" s="1472"/>
      <c r="AE29" s="1472"/>
      <c r="AF29" s="147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2"/>
      <c r="CV29" s="262"/>
      <c r="CW29" s="262"/>
      <c r="CX29" s="262"/>
      <c r="CY29" s="262"/>
      <c r="CZ29" s="262"/>
      <c r="DA29" s="262"/>
      <c r="DB29" s="262"/>
      <c r="DC29" s="262"/>
      <c r="DD29" s="262"/>
      <c r="DE29" s="262"/>
      <c r="DF29" s="262"/>
      <c r="DG29" s="262"/>
      <c r="DH29" s="262"/>
      <c r="DI29" s="262"/>
      <c r="DJ29" s="262"/>
      <c r="DK29" s="262"/>
      <c r="DL29" s="262"/>
      <c r="DM29" s="262"/>
      <c r="DN29" s="262"/>
      <c r="DO29" s="262"/>
      <c r="DP29" s="262"/>
      <c r="DQ29" s="262"/>
      <c r="DR29" s="262"/>
    </row>
    <row r="30" spans="1:122" s="1" customFormat="1" x14ac:dyDescent="0.25">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2"/>
      <c r="CV30" s="262"/>
      <c r="CW30" s="262"/>
      <c r="CX30" s="262"/>
      <c r="CY30" s="262"/>
      <c r="CZ30" s="262"/>
      <c r="DA30" s="262"/>
      <c r="DB30" s="262"/>
      <c r="DC30" s="262"/>
      <c r="DD30" s="262"/>
      <c r="DE30" s="262"/>
      <c r="DF30" s="262"/>
      <c r="DG30" s="262"/>
      <c r="DH30" s="262"/>
      <c r="DI30" s="262"/>
      <c r="DJ30" s="262"/>
      <c r="DK30" s="262"/>
      <c r="DL30" s="262"/>
      <c r="DM30" s="262"/>
      <c r="DN30" s="262"/>
      <c r="DO30" s="262"/>
      <c r="DP30" s="262"/>
      <c r="DQ30" s="262"/>
      <c r="DR30" s="262"/>
    </row>
    <row r="31" spans="1:122" x14ac:dyDescent="0.25">
      <c r="A31" s="510"/>
      <c r="B31" s="379" t="s">
        <v>2194</v>
      </c>
      <c r="C31" s="511"/>
      <c r="D31" s="511"/>
      <c r="E31" s="511"/>
      <c r="F31" s="511"/>
      <c r="G31" s="511"/>
      <c r="H31" s="512"/>
      <c r="I31" s="513"/>
      <c r="J31" s="513"/>
      <c r="K31" s="513"/>
      <c r="L31" s="513"/>
      <c r="M31" s="513"/>
      <c r="N31" s="513"/>
      <c r="O31" s="513"/>
      <c r="P31" s="513"/>
      <c r="Q31" s="513"/>
      <c r="R31" s="513"/>
      <c r="S31" s="513"/>
      <c r="T31" s="513"/>
      <c r="U31" s="513"/>
      <c r="V31" s="513"/>
      <c r="W31" s="513"/>
      <c r="X31" s="513"/>
      <c r="Y31" s="513"/>
      <c r="Z31" s="513"/>
      <c r="AA31" s="513"/>
      <c r="AB31" s="513"/>
      <c r="AC31" s="513"/>
      <c r="AD31" s="513"/>
      <c r="AE31" s="513"/>
      <c r="AF31" s="513"/>
      <c r="AG31" s="414"/>
    </row>
    <row r="32" spans="1:122" x14ac:dyDescent="0.25">
      <c r="A32" s="413"/>
      <c r="B32" s="188"/>
      <c r="C32" s="188"/>
      <c r="D32" s="188"/>
      <c r="E32" s="188"/>
      <c r="F32" s="188"/>
      <c r="G32" s="188"/>
      <c r="H32" s="508"/>
      <c r="I32" s="2"/>
      <c r="J32" s="2"/>
      <c r="K32" s="2"/>
      <c r="L32" s="2"/>
      <c r="M32" s="2"/>
      <c r="N32" s="2"/>
      <c r="O32" s="2"/>
      <c r="P32" s="2"/>
      <c r="Q32" s="2"/>
      <c r="R32" s="2"/>
      <c r="S32" s="2"/>
      <c r="T32" s="2"/>
      <c r="U32" s="2"/>
      <c r="V32" s="2"/>
      <c r="W32" s="2"/>
      <c r="X32" s="2"/>
      <c r="Y32" s="2"/>
      <c r="Z32" s="2"/>
      <c r="AA32" s="2"/>
      <c r="AB32" s="2"/>
      <c r="AC32" s="2"/>
      <c r="AD32" s="2"/>
      <c r="AE32" s="2"/>
      <c r="AF32" s="2"/>
    </row>
    <row r="33" spans="1:122" ht="15" customHeight="1" x14ac:dyDescent="0.25">
      <c r="A33" s="413"/>
      <c r="B33" s="1343"/>
      <c r="C33" s="1343"/>
      <c r="D33" s="1343"/>
      <c r="E33" s="1343"/>
      <c r="F33" s="1343"/>
      <c r="G33" s="1343"/>
      <c r="H33" s="1343"/>
      <c r="I33" s="1343"/>
      <c r="J33" s="1343"/>
      <c r="K33" s="1343"/>
      <c r="L33" s="1343"/>
      <c r="M33" s="1343"/>
      <c r="N33" s="1343"/>
      <c r="O33" s="1343"/>
      <c r="P33" s="1343"/>
      <c r="Q33" s="1343"/>
      <c r="R33" s="1343"/>
      <c r="S33" s="1343"/>
      <c r="T33" s="1343"/>
      <c r="U33" s="1343"/>
      <c r="V33" s="1343"/>
      <c r="W33" s="1343"/>
      <c r="X33" s="1343"/>
      <c r="Y33" s="1343"/>
      <c r="Z33" s="1343"/>
      <c r="AA33" s="1343"/>
      <c r="AB33" s="1343"/>
      <c r="AC33" s="1343"/>
      <c r="AD33" s="1343"/>
      <c r="AE33" s="1343"/>
      <c r="AF33" s="508" t="s">
        <v>1705</v>
      </c>
    </row>
    <row r="34" spans="1:122" x14ac:dyDescent="0.25">
      <c r="A34" s="413"/>
      <c r="B34" s="188"/>
      <c r="C34" s="188"/>
      <c r="D34" s="188"/>
      <c r="E34" s="188"/>
      <c r="F34" s="188"/>
      <c r="G34" s="188"/>
      <c r="H34" s="508"/>
      <c r="I34" s="2"/>
      <c r="J34" s="2"/>
      <c r="K34" s="2"/>
      <c r="L34" s="2"/>
      <c r="M34" s="2"/>
      <c r="N34" s="2"/>
      <c r="O34" s="2"/>
      <c r="P34" s="2"/>
      <c r="Q34" s="2"/>
      <c r="R34" s="2"/>
      <c r="S34" s="2"/>
      <c r="T34" s="2"/>
      <c r="U34" s="2"/>
      <c r="V34" s="2"/>
      <c r="W34" s="2"/>
      <c r="X34" s="2"/>
      <c r="Y34" s="2"/>
      <c r="Z34" s="2"/>
      <c r="AA34" s="2"/>
      <c r="AB34" s="2"/>
      <c r="AC34" s="2"/>
      <c r="AD34" s="2"/>
      <c r="AE34" s="2"/>
      <c r="AF34" s="2"/>
    </row>
    <row r="35" spans="1:122" s="1" customFormat="1" x14ac:dyDescent="0.25">
      <c r="A35" s="510"/>
      <c r="B35" s="379" t="s">
        <v>2303</v>
      </c>
      <c r="C35" s="511"/>
      <c r="D35" s="511"/>
      <c r="E35" s="511"/>
      <c r="F35" s="511"/>
      <c r="G35" s="511"/>
      <c r="H35" s="512"/>
      <c r="I35" s="513"/>
      <c r="J35" s="513"/>
      <c r="K35" s="513"/>
      <c r="L35" s="513"/>
      <c r="M35" s="513"/>
      <c r="N35" s="513"/>
      <c r="O35" s="513"/>
      <c r="P35" s="513"/>
      <c r="Q35" s="513"/>
      <c r="R35" s="513"/>
      <c r="S35" s="513"/>
      <c r="T35" s="513"/>
      <c r="U35" s="513"/>
      <c r="V35" s="513"/>
      <c r="W35" s="513"/>
      <c r="X35" s="513"/>
      <c r="Y35" s="513"/>
      <c r="Z35" s="513"/>
      <c r="AA35" s="513"/>
      <c r="AB35" s="513"/>
      <c r="AC35" s="513"/>
      <c r="AD35" s="513"/>
      <c r="AE35" s="513"/>
      <c r="AF35" s="513"/>
      <c r="AG35" s="414"/>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262"/>
      <c r="BT35" s="262"/>
      <c r="BU35" s="262"/>
      <c r="BV35" s="262"/>
      <c r="BW35" s="262"/>
      <c r="BX35" s="262"/>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2"/>
      <c r="CV35" s="262"/>
      <c r="CW35" s="262"/>
      <c r="CX35" s="262"/>
      <c r="CY35" s="262"/>
      <c r="CZ35" s="262"/>
      <c r="DA35" s="262"/>
      <c r="DB35" s="262"/>
      <c r="DC35" s="262"/>
      <c r="DD35" s="262"/>
      <c r="DE35" s="262"/>
      <c r="DF35" s="262"/>
      <c r="DG35" s="262"/>
      <c r="DH35" s="262"/>
      <c r="DI35" s="262"/>
      <c r="DJ35" s="262"/>
      <c r="DK35" s="262"/>
      <c r="DL35" s="262"/>
      <c r="DM35" s="262"/>
      <c r="DN35" s="262"/>
      <c r="DO35" s="262"/>
      <c r="DP35" s="262"/>
      <c r="DQ35" s="262"/>
      <c r="DR35" s="262"/>
    </row>
    <row r="36" spans="1:122" s="1" customFormat="1" x14ac:dyDescent="0.25">
      <c r="A36" s="413"/>
      <c r="B36" s="188"/>
      <c r="C36" s="188"/>
      <c r="D36" s="188"/>
      <c r="E36" s="188"/>
      <c r="F36" s="188"/>
      <c r="G36" s="188"/>
      <c r="H36" s="508"/>
      <c r="I36" s="2"/>
      <c r="J36" s="2"/>
      <c r="K36" s="2"/>
      <c r="L36" s="2"/>
      <c r="M36" s="2"/>
      <c r="N36" s="2"/>
      <c r="O36" s="2"/>
      <c r="P36" s="2"/>
      <c r="Q36" s="2"/>
      <c r="R36" s="2"/>
      <c r="S36" s="2"/>
      <c r="T36" s="2"/>
      <c r="U36" s="2"/>
      <c r="V36" s="2"/>
      <c r="W36" s="2"/>
      <c r="X36" s="2"/>
      <c r="Y36" s="2"/>
      <c r="Z36" s="2"/>
      <c r="AA36" s="2"/>
      <c r="AB36" s="2"/>
      <c r="AC36" s="2"/>
      <c r="AD36" s="2"/>
      <c r="AE36" s="2"/>
      <c r="AF36" s="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262"/>
      <c r="BT36" s="262"/>
      <c r="BU36" s="262"/>
      <c r="BV36" s="262"/>
      <c r="BW36" s="262"/>
      <c r="BX36" s="262"/>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2"/>
      <c r="CV36" s="262"/>
      <c r="CW36" s="262"/>
      <c r="CX36" s="262"/>
      <c r="CY36" s="262"/>
      <c r="CZ36" s="262"/>
      <c r="DA36" s="262"/>
      <c r="DB36" s="262"/>
      <c r="DC36" s="262"/>
      <c r="DD36" s="262"/>
      <c r="DE36" s="262"/>
      <c r="DF36" s="262"/>
      <c r="DG36" s="262"/>
      <c r="DH36" s="262"/>
      <c r="DI36" s="262"/>
      <c r="DJ36" s="262"/>
      <c r="DK36" s="262"/>
      <c r="DL36" s="262"/>
      <c r="DM36" s="262"/>
      <c r="DN36" s="262"/>
      <c r="DO36" s="262"/>
      <c r="DP36" s="262"/>
      <c r="DQ36" s="262"/>
      <c r="DR36" s="262"/>
    </row>
    <row r="37" spans="1:122" s="1" customFormat="1" ht="14.45" customHeight="1" x14ac:dyDescent="0.25">
      <c r="A37" s="413"/>
      <c r="B37" s="1343"/>
      <c r="C37" s="1343"/>
      <c r="D37" s="1343"/>
      <c r="E37" s="1343"/>
      <c r="F37" s="1343"/>
      <c r="G37" s="1343"/>
      <c r="H37" s="1343"/>
      <c r="I37" s="1343"/>
      <c r="J37" s="1343"/>
      <c r="K37" s="1343"/>
      <c r="L37" s="1343"/>
      <c r="M37" s="1343"/>
      <c r="N37" s="1343"/>
      <c r="O37" s="1343"/>
      <c r="P37" s="1343"/>
      <c r="Q37" s="1343"/>
      <c r="R37" s="1343"/>
      <c r="S37" s="1343"/>
      <c r="T37" s="1343"/>
      <c r="U37" s="1343"/>
      <c r="V37" s="1343"/>
      <c r="W37" s="1343"/>
      <c r="X37" s="1343"/>
      <c r="Y37" s="1343"/>
      <c r="Z37" s="1343"/>
      <c r="AA37" s="1343"/>
      <c r="AB37" s="1343"/>
      <c r="AC37" s="1343"/>
      <c r="AD37" s="1343"/>
      <c r="AE37" s="1343"/>
      <c r="AF37" s="2926" t="s">
        <v>1706</v>
      </c>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262"/>
      <c r="BT37" s="262"/>
      <c r="BU37" s="262"/>
      <c r="BV37" s="262"/>
      <c r="BW37" s="262"/>
      <c r="BX37" s="262"/>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2"/>
      <c r="CV37" s="262"/>
      <c r="CW37" s="262"/>
      <c r="CX37" s="262"/>
      <c r="CY37" s="262"/>
      <c r="CZ37" s="262"/>
      <c r="DA37" s="262"/>
      <c r="DB37" s="262"/>
      <c r="DC37" s="262"/>
      <c r="DD37" s="262"/>
      <c r="DE37" s="262"/>
      <c r="DF37" s="262"/>
      <c r="DG37" s="262"/>
      <c r="DH37" s="262"/>
      <c r="DI37" s="262"/>
      <c r="DJ37" s="262"/>
      <c r="DK37" s="262"/>
      <c r="DL37" s="262"/>
      <c r="DM37" s="262"/>
      <c r="DN37" s="262"/>
      <c r="DO37" s="262"/>
      <c r="DP37" s="262"/>
      <c r="DQ37" s="262"/>
      <c r="DR37" s="262"/>
    </row>
    <row r="38" spans="1:122" s="1" customFormat="1" x14ac:dyDescent="0.25">
      <c r="A38" s="413"/>
      <c r="B38" s="1343"/>
      <c r="C38" s="1343"/>
      <c r="D38" s="1343"/>
      <c r="E38" s="1343"/>
      <c r="F38" s="1343"/>
      <c r="G38" s="1343"/>
      <c r="H38" s="1343"/>
      <c r="I38" s="1343"/>
      <c r="J38" s="1343"/>
      <c r="K38" s="1343"/>
      <c r="L38" s="1343"/>
      <c r="M38" s="1343"/>
      <c r="N38" s="1343"/>
      <c r="O38" s="1343"/>
      <c r="P38" s="1343"/>
      <c r="Q38" s="1343"/>
      <c r="R38" s="1343"/>
      <c r="S38" s="1343"/>
      <c r="T38" s="1343"/>
      <c r="U38" s="1343"/>
      <c r="V38" s="1343"/>
      <c r="W38" s="1343"/>
      <c r="X38" s="1343"/>
      <c r="Y38" s="1343"/>
      <c r="Z38" s="1343"/>
      <c r="AA38" s="1343"/>
      <c r="AB38" s="1343"/>
      <c r="AC38" s="1343"/>
      <c r="AD38" s="1343"/>
      <c r="AE38" s="1343"/>
      <c r="AF38" s="2926"/>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c r="BT38" s="262"/>
      <c r="BU38" s="262"/>
      <c r="BV38" s="262"/>
      <c r="BW38" s="262"/>
      <c r="BX38" s="262"/>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2"/>
      <c r="CV38" s="262"/>
      <c r="CW38" s="262"/>
      <c r="CX38" s="262"/>
      <c r="CY38" s="262"/>
      <c r="CZ38" s="262"/>
      <c r="DA38" s="262"/>
      <c r="DB38" s="262"/>
      <c r="DC38" s="262"/>
      <c r="DD38" s="262"/>
      <c r="DE38" s="262"/>
      <c r="DF38" s="262"/>
      <c r="DG38" s="262"/>
      <c r="DH38" s="262"/>
      <c r="DI38" s="262"/>
      <c r="DJ38" s="262"/>
      <c r="DK38" s="262"/>
      <c r="DL38" s="262"/>
      <c r="DM38" s="262"/>
      <c r="DN38" s="262"/>
      <c r="DO38" s="262"/>
      <c r="DP38" s="262"/>
      <c r="DQ38" s="262"/>
      <c r="DR38" s="262"/>
    </row>
    <row r="39" spans="1:122" s="1" customFormat="1" ht="14.45" customHeight="1" x14ac:dyDescent="0.25">
      <c r="A39" s="413"/>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509"/>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262"/>
      <c r="BT39" s="262"/>
      <c r="BU39" s="262"/>
      <c r="BV39" s="262"/>
      <c r="BW39" s="262"/>
      <c r="BX39" s="262"/>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2"/>
      <c r="CV39" s="262"/>
      <c r="CW39" s="262"/>
      <c r="CX39" s="262"/>
      <c r="CY39" s="262"/>
      <c r="CZ39" s="262"/>
      <c r="DA39" s="262"/>
      <c r="DB39" s="262"/>
      <c r="DC39" s="262"/>
      <c r="DD39" s="262"/>
      <c r="DE39" s="262"/>
      <c r="DF39" s="262"/>
      <c r="DG39" s="262"/>
      <c r="DH39" s="262"/>
      <c r="DI39" s="262"/>
      <c r="DJ39" s="262"/>
      <c r="DK39" s="262"/>
      <c r="DL39" s="262"/>
      <c r="DM39" s="262"/>
      <c r="DN39" s="262"/>
      <c r="DO39" s="262"/>
      <c r="DP39" s="262"/>
      <c r="DQ39" s="262"/>
      <c r="DR39" s="262"/>
    </row>
    <row r="40" spans="1:122" s="1" customFormat="1" x14ac:dyDescent="0.25">
      <c r="A40" s="413"/>
      <c r="B40" s="379" t="s">
        <v>1998</v>
      </c>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509"/>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c r="BT40" s="262"/>
      <c r="BU40" s="262"/>
      <c r="BV40" s="262"/>
      <c r="BW40" s="262"/>
      <c r="BX40" s="262"/>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2"/>
      <c r="CV40" s="262"/>
      <c r="CW40" s="262"/>
      <c r="CX40" s="262"/>
      <c r="CY40" s="262"/>
      <c r="CZ40" s="262"/>
      <c r="DA40" s="262"/>
      <c r="DB40" s="262"/>
      <c r="DC40" s="262"/>
      <c r="DD40" s="262"/>
      <c r="DE40" s="262"/>
      <c r="DF40" s="262"/>
      <c r="DG40" s="262"/>
      <c r="DH40" s="262"/>
      <c r="DI40" s="262"/>
      <c r="DJ40" s="262"/>
      <c r="DK40" s="262"/>
      <c r="DL40" s="262"/>
      <c r="DM40" s="262"/>
      <c r="DN40" s="262"/>
      <c r="DO40" s="262"/>
      <c r="DP40" s="262"/>
      <c r="DQ40" s="262"/>
      <c r="DR40" s="262"/>
    </row>
    <row r="41" spans="1:122" s="1" customFormat="1" x14ac:dyDescent="0.25">
      <c r="A41" s="413"/>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509"/>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262"/>
      <c r="BT41" s="262"/>
      <c r="BU41" s="262"/>
      <c r="BV41" s="262"/>
      <c r="BW41" s="262"/>
      <c r="BX41" s="262"/>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2"/>
      <c r="CV41" s="262"/>
      <c r="CW41" s="262"/>
      <c r="CX41" s="262"/>
      <c r="CY41" s="262"/>
      <c r="CZ41" s="262"/>
      <c r="DA41" s="262"/>
      <c r="DB41" s="262"/>
      <c r="DC41" s="262"/>
      <c r="DD41" s="262"/>
      <c r="DE41" s="262"/>
      <c r="DF41" s="262"/>
      <c r="DG41" s="262"/>
      <c r="DH41" s="262"/>
      <c r="DI41" s="262"/>
      <c r="DJ41" s="262"/>
      <c r="DK41" s="262"/>
      <c r="DL41" s="262"/>
      <c r="DM41" s="262"/>
      <c r="DN41" s="262"/>
      <c r="DO41" s="262"/>
      <c r="DP41" s="262"/>
      <c r="DQ41" s="262"/>
      <c r="DR41" s="262"/>
    </row>
    <row r="42" spans="1:122" s="1" customFormat="1" ht="15" customHeight="1" x14ac:dyDescent="0.25">
      <c r="A42" s="413"/>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508" t="s">
        <v>1707</v>
      </c>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262"/>
      <c r="BT42" s="262"/>
      <c r="BU42" s="262"/>
      <c r="BV42" s="262"/>
      <c r="BW42" s="262"/>
      <c r="BX42" s="262"/>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2"/>
      <c r="CV42" s="262"/>
      <c r="CW42" s="262"/>
      <c r="CX42" s="262"/>
      <c r="CY42" s="262"/>
      <c r="CZ42" s="262"/>
      <c r="DA42" s="262"/>
      <c r="DB42" s="262"/>
      <c r="DC42" s="262"/>
      <c r="DD42" s="262"/>
      <c r="DE42" s="262"/>
      <c r="DF42" s="262"/>
      <c r="DG42" s="262"/>
      <c r="DH42" s="262"/>
      <c r="DI42" s="262"/>
      <c r="DJ42" s="262"/>
      <c r="DK42" s="262"/>
      <c r="DL42" s="262"/>
      <c r="DM42" s="262"/>
      <c r="DN42" s="262"/>
      <c r="DO42" s="262"/>
      <c r="DP42" s="262"/>
      <c r="DQ42" s="262"/>
      <c r="DR42" s="262"/>
    </row>
    <row r="43" spans="1:122" s="1" customFormat="1" x14ac:dyDescent="0.25">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262"/>
      <c r="BT43" s="262"/>
      <c r="BU43" s="262"/>
      <c r="BV43" s="262"/>
      <c r="BW43" s="262"/>
      <c r="BX43" s="262"/>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2"/>
      <c r="CV43" s="262"/>
      <c r="CW43" s="262"/>
      <c r="CX43" s="262"/>
      <c r="CY43" s="262"/>
      <c r="CZ43" s="262"/>
      <c r="DA43" s="262"/>
      <c r="DB43" s="262"/>
      <c r="DC43" s="262"/>
      <c r="DD43" s="262"/>
      <c r="DE43" s="262"/>
      <c r="DF43" s="262"/>
      <c r="DG43" s="262"/>
      <c r="DH43" s="262"/>
      <c r="DI43" s="262"/>
      <c r="DJ43" s="262"/>
      <c r="DK43" s="262"/>
      <c r="DL43" s="262"/>
      <c r="DM43" s="262"/>
      <c r="DN43" s="262"/>
      <c r="DO43" s="262"/>
      <c r="DP43" s="262"/>
      <c r="DQ43" s="262"/>
      <c r="DR43" s="262"/>
    </row>
    <row r="44" spans="1:122" x14ac:dyDescent="0.25">
      <c r="A44" s="1472" t="s">
        <v>15</v>
      </c>
      <c r="B44" s="1472"/>
      <c r="C44" s="1472"/>
      <c r="D44" s="1472"/>
      <c r="E44" s="1472"/>
      <c r="F44" s="1472"/>
      <c r="G44" s="1472"/>
      <c r="H44" s="1472"/>
      <c r="I44" s="1472"/>
      <c r="J44" s="1472"/>
      <c r="K44" s="1472"/>
      <c r="L44" s="1472"/>
      <c r="M44" s="1472"/>
      <c r="N44" s="1472"/>
      <c r="O44" s="1472"/>
      <c r="P44" s="1472"/>
      <c r="Q44" s="1472"/>
      <c r="R44" s="1472"/>
      <c r="S44" s="1472"/>
      <c r="T44" s="1472"/>
      <c r="U44" s="1472"/>
      <c r="V44" s="1472"/>
      <c r="W44" s="1472"/>
      <c r="X44" s="1472"/>
      <c r="Y44" s="1472"/>
      <c r="Z44" s="1472"/>
      <c r="AA44" s="1472"/>
      <c r="AB44" s="1472"/>
      <c r="AC44" s="1472"/>
      <c r="AD44" s="1472"/>
      <c r="AE44" s="1472"/>
      <c r="AF44" s="1472"/>
    </row>
    <row r="45" spans="1:122" s="1" customFormat="1" x14ac:dyDescent="0.25">
      <c r="A45" s="1474" t="s">
        <v>16</v>
      </c>
      <c r="B45" s="1474"/>
      <c r="C45" s="1474"/>
      <c r="D45" s="1474"/>
      <c r="E45" s="1474" t="s">
        <v>10</v>
      </c>
      <c r="F45" s="1474"/>
      <c r="G45" s="1474"/>
      <c r="H45" s="1474"/>
      <c r="I45" s="1474"/>
      <c r="J45" s="1474"/>
      <c r="K45" s="1474"/>
      <c r="L45" s="1474"/>
      <c r="M45" s="1474"/>
      <c r="N45" s="1474"/>
      <c r="O45" s="1474"/>
      <c r="P45" s="1474"/>
      <c r="Q45" s="1474" t="s">
        <v>17</v>
      </c>
      <c r="R45" s="1474"/>
      <c r="S45" s="1474"/>
      <c r="T45" s="1474"/>
      <c r="U45" s="1590" t="s">
        <v>18</v>
      </c>
      <c r="V45" s="1591"/>
      <c r="W45" s="1751"/>
      <c r="X45" s="1590" t="s">
        <v>2772</v>
      </c>
      <c r="Y45" s="1591"/>
      <c r="Z45" s="1591"/>
      <c r="AA45" s="1591"/>
      <c r="AB45" s="1591"/>
      <c r="AC45" s="1591"/>
      <c r="AD45" s="1591"/>
      <c r="AE45" s="1591"/>
      <c r="AF45" s="1751"/>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2"/>
      <c r="BU45" s="262"/>
      <c r="BV45" s="262"/>
      <c r="BW45" s="262"/>
      <c r="BX45" s="262"/>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2"/>
      <c r="CV45" s="262"/>
      <c r="CW45" s="262"/>
      <c r="CX45" s="262"/>
      <c r="CY45" s="262"/>
      <c r="CZ45" s="262"/>
      <c r="DA45" s="262"/>
      <c r="DB45" s="262"/>
      <c r="DC45" s="262"/>
      <c r="DD45" s="262"/>
      <c r="DE45" s="262"/>
      <c r="DF45" s="262"/>
      <c r="DG45" s="262"/>
      <c r="DH45" s="262"/>
      <c r="DI45" s="262"/>
      <c r="DJ45" s="262"/>
      <c r="DK45" s="262"/>
      <c r="DL45" s="262"/>
      <c r="DM45" s="262"/>
      <c r="DN45" s="262"/>
      <c r="DO45" s="262"/>
      <c r="DP45" s="262"/>
      <c r="DQ45" s="262"/>
      <c r="DR45" s="262"/>
    </row>
    <row r="46" spans="1:122" s="1" customFormat="1" x14ac:dyDescent="0.25">
      <c r="A46" s="1382" t="s">
        <v>1516</v>
      </c>
      <c r="B46" s="1383"/>
      <c r="C46" s="1383"/>
      <c r="D46" s="1384"/>
      <c r="E46" s="2901" t="s">
        <v>1001</v>
      </c>
      <c r="F46" s="2902"/>
      <c r="G46" s="2902"/>
      <c r="H46" s="2902"/>
      <c r="I46" s="2902"/>
      <c r="J46" s="2902"/>
      <c r="K46" s="2902"/>
      <c r="L46" s="2902"/>
      <c r="M46" s="2902"/>
      <c r="N46" s="2902"/>
      <c r="O46" s="2902"/>
      <c r="P46" s="2903"/>
      <c r="Q46" s="2679" t="s">
        <v>43</v>
      </c>
      <c r="R46" s="2670"/>
      <c r="S46" s="2670"/>
      <c r="T46" s="2671"/>
      <c r="U46" s="2923" t="s">
        <v>49</v>
      </c>
      <c r="V46" s="2924"/>
      <c r="W46" s="2925"/>
      <c r="X46" s="1574"/>
      <c r="Y46" s="1575"/>
      <c r="Z46" s="1575"/>
      <c r="AA46" s="1575"/>
      <c r="AB46" s="1575"/>
      <c r="AC46" s="1575"/>
      <c r="AD46" s="1575"/>
      <c r="AE46" s="1575"/>
      <c r="AF46" s="1576"/>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262"/>
      <c r="BT46" s="262"/>
      <c r="BU46" s="262"/>
      <c r="BV46" s="262"/>
      <c r="BW46" s="262"/>
      <c r="BX46" s="262"/>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2"/>
      <c r="CV46" s="262"/>
      <c r="CW46" s="262"/>
      <c r="CX46" s="262"/>
      <c r="CY46" s="262"/>
      <c r="CZ46" s="262"/>
      <c r="DA46" s="262"/>
      <c r="DB46" s="262"/>
      <c r="DC46" s="262"/>
      <c r="DD46" s="262"/>
      <c r="DE46" s="262"/>
      <c r="DF46" s="262"/>
      <c r="DG46" s="262"/>
      <c r="DH46" s="262"/>
      <c r="DI46" s="262"/>
      <c r="DJ46" s="262"/>
      <c r="DK46" s="262"/>
      <c r="DL46" s="262"/>
      <c r="DM46" s="262"/>
      <c r="DN46" s="262"/>
      <c r="DO46" s="262"/>
      <c r="DP46" s="262"/>
      <c r="DQ46" s="262"/>
      <c r="DR46" s="262"/>
    </row>
    <row r="47" spans="1:122" x14ac:dyDescent="0.25">
      <c r="A47" s="1382" t="s">
        <v>1517</v>
      </c>
      <c r="B47" s="1383"/>
      <c r="C47" s="1383"/>
      <c r="D47" s="1384"/>
      <c r="E47" s="1479" t="s">
        <v>2773</v>
      </c>
      <c r="F47" s="1480"/>
      <c r="G47" s="1480"/>
      <c r="H47" s="1480"/>
      <c r="I47" s="1480"/>
      <c r="J47" s="1480"/>
      <c r="K47" s="1480"/>
      <c r="L47" s="1480"/>
      <c r="M47" s="1480"/>
      <c r="N47" s="1480"/>
      <c r="O47" s="1480"/>
      <c r="P47" s="1481"/>
      <c r="Q47" s="1482" t="s">
        <v>43</v>
      </c>
      <c r="R47" s="1483"/>
      <c r="S47" s="1483"/>
      <c r="T47" s="1484"/>
      <c r="U47" s="1574" t="s">
        <v>26</v>
      </c>
      <c r="V47" s="1575"/>
      <c r="W47" s="1576"/>
      <c r="X47" s="1574"/>
      <c r="Y47" s="1575"/>
      <c r="Z47" s="1575"/>
      <c r="AA47" s="1575"/>
      <c r="AB47" s="1575"/>
      <c r="AC47" s="1575"/>
      <c r="AD47" s="1575"/>
      <c r="AE47" s="1575"/>
      <c r="AF47" s="1576"/>
    </row>
    <row r="48" spans="1:122" ht="33.75" customHeight="1" x14ac:dyDescent="0.25">
      <c r="A48" s="2904" t="s">
        <v>2774</v>
      </c>
      <c r="B48" s="2878"/>
      <c r="C48" s="2878"/>
      <c r="D48" s="2878"/>
      <c r="E48" s="2901" t="s">
        <v>2775</v>
      </c>
      <c r="F48" s="2902"/>
      <c r="G48" s="2902"/>
      <c r="H48" s="2902"/>
      <c r="I48" s="2902"/>
      <c r="J48" s="2902"/>
      <c r="K48" s="2902"/>
      <c r="L48" s="2902"/>
      <c r="M48" s="2902"/>
      <c r="N48" s="2902"/>
      <c r="O48" s="2902"/>
      <c r="P48" s="2902"/>
      <c r="Q48" s="2672"/>
      <c r="R48" s="2673"/>
      <c r="S48" s="2673"/>
      <c r="T48" s="2674"/>
      <c r="U48" s="2884"/>
      <c r="V48" s="2884"/>
      <c r="W48" s="2885"/>
      <c r="X48" s="2476" t="s">
        <v>7050</v>
      </c>
      <c r="Y48" s="2476"/>
      <c r="Z48" s="2476"/>
      <c r="AA48" s="2476"/>
      <c r="AB48" s="2476"/>
      <c r="AC48" s="2476"/>
      <c r="AD48" s="2476"/>
      <c r="AE48" s="2476"/>
      <c r="AF48" s="2477"/>
    </row>
    <row r="49" spans="1:36" x14ac:dyDescent="0.25">
      <c r="A49" s="2879"/>
      <c r="B49" s="2880"/>
      <c r="C49" s="2880"/>
      <c r="D49" s="2880"/>
      <c r="E49" s="2886" t="s">
        <v>2776</v>
      </c>
      <c r="F49" s="2887"/>
      <c r="G49" s="2887"/>
      <c r="H49" s="2887"/>
      <c r="I49" s="2887"/>
      <c r="J49" s="2887"/>
      <c r="K49" s="2887"/>
      <c r="L49" s="2887"/>
      <c r="M49" s="2887"/>
      <c r="N49" s="2887"/>
      <c r="O49" s="2887"/>
      <c r="P49" s="2887"/>
      <c r="Q49" s="2889"/>
      <c r="R49" s="2890"/>
      <c r="S49" s="2890"/>
      <c r="T49" s="2891"/>
      <c r="U49" s="2893"/>
      <c r="V49" s="2893"/>
      <c r="W49" s="2894"/>
      <c r="X49" s="2908"/>
      <c r="Y49" s="2908"/>
      <c r="Z49" s="2908"/>
      <c r="AA49" s="2908"/>
      <c r="AB49" s="2908"/>
      <c r="AC49" s="2908"/>
      <c r="AD49" s="2908"/>
      <c r="AE49" s="2908"/>
      <c r="AF49" s="2909"/>
    </row>
    <row r="50" spans="1:36" x14ac:dyDescent="0.25">
      <c r="A50" s="2879"/>
      <c r="B50" s="2880"/>
      <c r="C50" s="2880"/>
      <c r="D50" s="2880"/>
      <c r="E50" s="2895" t="s">
        <v>2777</v>
      </c>
      <c r="F50" s="2896"/>
      <c r="G50" s="2896"/>
      <c r="H50" s="2896"/>
      <c r="I50" s="2896"/>
      <c r="J50" s="2896"/>
      <c r="K50" s="2896"/>
      <c r="L50" s="2896"/>
      <c r="M50" s="2896"/>
      <c r="N50" s="2896"/>
      <c r="O50" s="2896"/>
      <c r="P50" s="2896"/>
      <c r="Q50" s="2913">
        <v>14.622344550675299</v>
      </c>
      <c r="R50" s="2914"/>
      <c r="S50" s="2914"/>
      <c r="T50" s="2915"/>
      <c r="U50" s="2893" t="s">
        <v>82</v>
      </c>
      <c r="V50" s="2893"/>
      <c r="W50" s="2894"/>
      <c r="X50" s="2908"/>
      <c r="Y50" s="2908"/>
      <c r="Z50" s="2908"/>
      <c r="AA50" s="2908"/>
      <c r="AB50" s="2908"/>
      <c r="AC50" s="2908"/>
      <c r="AD50" s="2908"/>
      <c r="AE50" s="2908"/>
      <c r="AF50" s="2909"/>
      <c r="AJ50" s="262"/>
    </row>
    <row r="51" spans="1:36" x14ac:dyDescent="0.25">
      <c r="A51" s="2879"/>
      <c r="B51" s="2880"/>
      <c r="C51" s="2880"/>
      <c r="D51" s="2880"/>
      <c r="E51" s="2895" t="s">
        <v>2778</v>
      </c>
      <c r="F51" s="2896"/>
      <c r="G51" s="2896"/>
      <c r="H51" s="2896"/>
      <c r="I51" s="2896"/>
      <c r="J51" s="2896"/>
      <c r="K51" s="2896"/>
      <c r="L51" s="2896"/>
      <c r="M51" s="2896"/>
      <c r="N51" s="2896"/>
      <c r="O51" s="2896"/>
      <c r="P51" s="2896"/>
      <c r="Q51" s="2913">
        <v>22.185396836980502</v>
      </c>
      <c r="R51" s="2914"/>
      <c r="S51" s="2914"/>
      <c r="T51" s="2915"/>
      <c r="U51" s="2893" t="s">
        <v>82</v>
      </c>
      <c r="V51" s="2893"/>
      <c r="W51" s="2894"/>
      <c r="X51" s="2908"/>
      <c r="Y51" s="2908"/>
      <c r="Z51" s="2908"/>
      <c r="AA51" s="2908"/>
      <c r="AB51" s="2908"/>
      <c r="AC51" s="2908"/>
      <c r="AD51" s="2908"/>
      <c r="AE51" s="2908"/>
      <c r="AF51" s="2909"/>
      <c r="AJ51" s="262"/>
    </row>
    <row r="52" spans="1:36" x14ac:dyDescent="0.25">
      <c r="A52" s="2879"/>
      <c r="B52" s="2880"/>
      <c r="C52" s="2880"/>
      <c r="D52" s="2880"/>
      <c r="E52" s="2895" t="s">
        <v>2779</v>
      </c>
      <c r="F52" s="2896"/>
      <c r="G52" s="2896"/>
      <c r="H52" s="2896"/>
      <c r="I52" s="2896"/>
      <c r="J52" s="2896"/>
      <c r="K52" s="2896"/>
      <c r="L52" s="2896"/>
      <c r="M52" s="2896"/>
      <c r="N52" s="2896"/>
      <c r="O52" s="2896"/>
      <c r="P52" s="2896"/>
      <c r="Q52" s="2913">
        <v>31.513273428735999</v>
      </c>
      <c r="R52" s="2914"/>
      <c r="S52" s="2914"/>
      <c r="T52" s="2915"/>
      <c r="U52" s="2893" t="s">
        <v>82</v>
      </c>
      <c r="V52" s="2893"/>
      <c r="W52" s="2894"/>
      <c r="X52" s="2908"/>
      <c r="Y52" s="2908"/>
      <c r="Z52" s="2908"/>
      <c r="AA52" s="2908"/>
      <c r="AB52" s="2908"/>
      <c r="AC52" s="2908"/>
      <c r="AD52" s="2908"/>
      <c r="AE52" s="2908"/>
      <c r="AF52" s="2909"/>
      <c r="AJ52" s="262"/>
    </row>
    <row r="53" spans="1:36" x14ac:dyDescent="0.25">
      <c r="A53" s="2879"/>
      <c r="B53" s="2880"/>
      <c r="C53" s="2880"/>
      <c r="D53" s="2880"/>
      <c r="E53" s="2895" t="s">
        <v>2780</v>
      </c>
      <c r="F53" s="2896"/>
      <c r="G53" s="2896"/>
      <c r="H53" s="2896"/>
      <c r="I53" s="2896"/>
      <c r="J53" s="2896"/>
      <c r="K53" s="2896"/>
      <c r="L53" s="2896"/>
      <c r="M53" s="2896"/>
      <c r="N53" s="2896"/>
      <c r="O53" s="2896"/>
      <c r="P53" s="2896"/>
      <c r="Q53" s="2913">
        <v>51.822024638178945</v>
      </c>
      <c r="R53" s="2914"/>
      <c r="S53" s="2914"/>
      <c r="T53" s="2915"/>
      <c r="U53" s="2893" t="s">
        <v>82</v>
      </c>
      <c r="V53" s="2893"/>
      <c r="W53" s="2894"/>
      <c r="X53" s="2908"/>
      <c r="Y53" s="2908"/>
      <c r="Z53" s="2908"/>
      <c r="AA53" s="2908"/>
      <c r="AB53" s="2908"/>
      <c r="AC53" s="2908"/>
      <c r="AD53" s="2908"/>
      <c r="AE53" s="2908"/>
      <c r="AF53" s="2909"/>
    </row>
    <row r="54" spans="1:36" x14ac:dyDescent="0.25">
      <c r="A54" s="2879"/>
      <c r="B54" s="2880"/>
      <c r="C54" s="2880"/>
      <c r="D54" s="2880"/>
      <c r="E54" s="2886" t="s">
        <v>2781</v>
      </c>
      <c r="F54" s="2887"/>
      <c r="G54" s="2887"/>
      <c r="H54" s="2887"/>
      <c r="I54" s="2887"/>
      <c r="J54" s="2887"/>
      <c r="K54" s="2887"/>
      <c r="L54" s="2887"/>
      <c r="M54" s="2887"/>
      <c r="N54" s="2887"/>
      <c r="O54" s="2887"/>
      <c r="P54" s="2887"/>
      <c r="Q54" s="2889"/>
      <c r="R54" s="2890"/>
      <c r="S54" s="2890"/>
      <c r="T54" s="2891"/>
      <c r="U54" s="2893"/>
      <c r="V54" s="2893"/>
      <c r="W54" s="2894"/>
      <c r="X54" s="2908"/>
      <c r="Y54" s="2908"/>
      <c r="Z54" s="2908"/>
      <c r="AA54" s="2908"/>
      <c r="AB54" s="2908"/>
      <c r="AC54" s="2908"/>
      <c r="AD54" s="2908"/>
      <c r="AE54" s="2908"/>
      <c r="AF54" s="2909"/>
    </row>
    <row r="55" spans="1:36" x14ac:dyDescent="0.25">
      <c r="A55" s="2879"/>
      <c r="B55" s="2880"/>
      <c r="C55" s="2880"/>
      <c r="D55" s="2880"/>
      <c r="E55" s="2895" t="s">
        <v>2777</v>
      </c>
      <c r="F55" s="2896"/>
      <c r="G55" s="2896"/>
      <c r="H55" s="2896"/>
      <c r="I55" s="2896"/>
      <c r="J55" s="2896"/>
      <c r="K55" s="2896"/>
      <c r="L55" s="2896"/>
      <c r="M55" s="2896"/>
      <c r="N55" s="2896"/>
      <c r="O55" s="2896"/>
      <c r="P55" s="2896"/>
      <c r="Q55" s="2913">
        <v>18.971157180665642</v>
      </c>
      <c r="R55" s="2914"/>
      <c r="S55" s="2914"/>
      <c r="T55" s="2915"/>
      <c r="U55" s="2893" t="s">
        <v>82</v>
      </c>
      <c r="V55" s="2893"/>
      <c r="W55" s="2894"/>
      <c r="X55" s="2908"/>
      <c r="Y55" s="2908"/>
      <c r="Z55" s="2908"/>
      <c r="AA55" s="2908"/>
      <c r="AB55" s="2908"/>
      <c r="AC55" s="2908"/>
      <c r="AD55" s="2908"/>
      <c r="AE55" s="2908"/>
      <c r="AF55" s="2909"/>
    </row>
    <row r="56" spans="1:36" x14ac:dyDescent="0.25">
      <c r="A56" s="2879"/>
      <c r="B56" s="2880"/>
      <c r="C56" s="2880"/>
      <c r="D56" s="2880"/>
      <c r="E56" s="2895" t="s">
        <v>2778</v>
      </c>
      <c r="F56" s="2896"/>
      <c r="G56" s="2896"/>
      <c r="H56" s="2896"/>
      <c r="I56" s="2896"/>
      <c r="J56" s="2896"/>
      <c r="K56" s="2896"/>
      <c r="L56" s="2896"/>
      <c r="M56" s="2896"/>
      <c r="N56" s="2896"/>
      <c r="O56" s="2896"/>
      <c r="P56" s="2896"/>
      <c r="Q56" s="2913">
        <v>22.185396836980502</v>
      </c>
      <c r="R56" s="2914"/>
      <c r="S56" s="2914"/>
      <c r="T56" s="2915"/>
      <c r="U56" s="2893" t="s">
        <v>82</v>
      </c>
      <c r="V56" s="2893"/>
      <c r="W56" s="2894"/>
      <c r="X56" s="2908"/>
      <c r="Y56" s="2908"/>
      <c r="Z56" s="2908"/>
      <c r="AA56" s="2908"/>
      <c r="AB56" s="2908"/>
      <c r="AC56" s="2908"/>
      <c r="AD56" s="2908"/>
      <c r="AE56" s="2908"/>
      <c r="AF56" s="2909"/>
      <c r="AJ56" s="262"/>
    </row>
    <row r="57" spans="1:36" x14ac:dyDescent="0.25">
      <c r="A57" s="2879"/>
      <c r="B57" s="2880"/>
      <c r="C57" s="2880"/>
      <c r="D57" s="2880"/>
      <c r="E57" s="2895" t="s">
        <v>2779</v>
      </c>
      <c r="F57" s="2896"/>
      <c r="G57" s="2896"/>
      <c r="H57" s="2896"/>
      <c r="I57" s="2896"/>
      <c r="J57" s="2896"/>
      <c r="K57" s="2896"/>
      <c r="L57" s="2896"/>
      <c r="M57" s="2896"/>
      <c r="N57" s="2896"/>
      <c r="O57" s="2896"/>
      <c r="P57" s="2896"/>
      <c r="Q57" s="2913">
        <v>31.513273428735999</v>
      </c>
      <c r="R57" s="2914"/>
      <c r="S57" s="2914"/>
      <c r="T57" s="2915"/>
      <c r="U57" s="2893" t="s">
        <v>82</v>
      </c>
      <c r="V57" s="2893"/>
      <c r="W57" s="2894"/>
      <c r="X57" s="2908"/>
      <c r="Y57" s="2908"/>
      <c r="Z57" s="2908"/>
      <c r="AA57" s="2908"/>
      <c r="AB57" s="2908"/>
      <c r="AC57" s="2908"/>
      <c r="AD57" s="2908"/>
      <c r="AE57" s="2908"/>
      <c r="AF57" s="2909"/>
      <c r="AJ57" s="262"/>
    </row>
    <row r="58" spans="1:36" x14ac:dyDescent="0.25">
      <c r="A58" s="2881"/>
      <c r="B58" s="2882"/>
      <c r="C58" s="2882"/>
      <c r="D58" s="2882"/>
      <c r="E58" s="2910" t="s">
        <v>2780</v>
      </c>
      <c r="F58" s="2911"/>
      <c r="G58" s="2911"/>
      <c r="H58" s="2911"/>
      <c r="I58" s="2911"/>
      <c r="J58" s="2911"/>
      <c r="K58" s="2911"/>
      <c r="L58" s="2911"/>
      <c r="M58" s="2911"/>
      <c r="N58" s="2911"/>
      <c r="O58" s="2911"/>
      <c r="P58" s="2911"/>
      <c r="Q58" s="2913">
        <v>49.382508148471274</v>
      </c>
      <c r="R58" s="2914"/>
      <c r="S58" s="2914"/>
      <c r="T58" s="2915"/>
      <c r="U58" s="2918" t="s">
        <v>82</v>
      </c>
      <c r="V58" s="2918"/>
      <c r="W58" s="2919"/>
      <c r="X58" s="2479"/>
      <c r="Y58" s="2479"/>
      <c r="Z58" s="2479"/>
      <c r="AA58" s="2479"/>
      <c r="AB58" s="2479"/>
      <c r="AC58" s="2479"/>
      <c r="AD58" s="2479"/>
      <c r="AE58" s="2479"/>
      <c r="AF58" s="2480"/>
    </row>
    <row r="59" spans="1:36" ht="48.75" customHeight="1" x14ac:dyDescent="0.25">
      <c r="A59" s="2904" t="s">
        <v>2782</v>
      </c>
      <c r="B59" s="2878"/>
      <c r="C59" s="2878"/>
      <c r="D59" s="2905"/>
      <c r="E59" s="2901" t="s">
        <v>2783</v>
      </c>
      <c r="F59" s="2902"/>
      <c r="G59" s="2902"/>
      <c r="H59" s="2902"/>
      <c r="I59" s="2902"/>
      <c r="J59" s="2902"/>
      <c r="K59" s="2902"/>
      <c r="L59" s="2902"/>
      <c r="M59" s="2902"/>
      <c r="N59" s="2902"/>
      <c r="O59" s="2902"/>
      <c r="P59" s="2902"/>
      <c r="Q59" s="2672"/>
      <c r="R59" s="2673"/>
      <c r="S59" s="2673"/>
      <c r="T59" s="2674"/>
      <c r="U59" s="2883"/>
      <c r="V59" s="2884"/>
      <c r="W59" s="2885"/>
      <c r="X59" s="2475" t="s">
        <v>7051</v>
      </c>
      <c r="Y59" s="2476"/>
      <c r="Z59" s="2476"/>
      <c r="AA59" s="2476"/>
      <c r="AB59" s="2476"/>
      <c r="AC59" s="2476"/>
      <c r="AD59" s="2476"/>
      <c r="AE59" s="2476"/>
      <c r="AF59" s="2477"/>
    </row>
    <row r="60" spans="1:36" x14ac:dyDescent="0.25">
      <c r="A60" s="2879"/>
      <c r="B60" s="2880"/>
      <c r="C60" s="2880"/>
      <c r="D60" s="2906"/>
      <c r="E60" s="2886" t="s">
        <v>2784</v>
      </c>
      <c r="F60" s="2887"/>
      <c r="G60" s="2887"/>
      <c r="H60" s="2887"/>
      <c r="I60" s="2887"/>
      <c r="J60" s="2887"/>
      <c r="K60" s="2887"/>
      <c r="L60" s="2887"/>
      <c r="M60" s="2887"/>
      <c r="N60" s="2887"/>
      <c r="O60" s="2887"/>
      <c r="P60" s="2887"/>
      <c r="Q60" s="2889"/>
      <c r="R60" s="2890"/>
      <c r="S60" s="2890"/>
      <c r="T60" s="2891"/>
      <c r="U60" s="2892"/>
      <c r="V60" s="2893"/>
      <c r="W60" s="2894"/>
      <c r="X60" s="2912"/>
      <c r="Y60" s="2908"/>
      <c r="Z60" s="2908"/>
      <c r="AA60" s="2908"/>
      <c r="AB60" s="2908"/>
      <c r="AC60" s="2908"/>
      <c r="AD60" s="2908"/>
      <c r="AE60" s="2908"/>
      <c r="AF60" s="2909"/>
    </row>
    <row r="61" spans="1:36" x14ac:dyDescent="0.25">
      <c r="A61" s="2879"/>
      <c r="B61" s="2880"/>
      <c r="C61" s="2880"/>
      <c r="D61" s="2906"/>
      <c r="E61" s="2895" t="s">
        <v>2777</v>
      </c>
      <c r="F61" s="2896"/>
      <c r="G61" s="2896"/>
      <c r="H61" s="2896"/>
      <c r="I61" s="2896"/>
      <c r="J61" s="2896"/>
      <c r="K61" s="2896"/>
      <c r="L61" s="2896"/>
      <c r="M61" s="2896"/>
      <c r="N61" s="2896"/>
      <c r="O61" s="2896"/>
      <c r="P61" s="2896"/>
      <c r="Q61" s="2913">
        <v>9.2310423548580278</v>
      </c>
      <c r="R61" s="2914"/>
      <c r="S61" s="2914"/>
      <c r="T61" s="2915"/>
      <c r="U61" s="2892" t="s">
        <v>82</v>
      </c>
      <c r="V61" s="2893"/>
      <c r="W61" s="2894"/>
      <c r="X61" s="2912"/>
      <c r="Y61" s="2908"/>
      <c r="Z61" s="2908"/>
      <c r="AA61" s="2908"/>
      <c r="AB61" s="2908"/>
      <c r="AC61" s="2908"/>
      <c r="AD61" s="2908"/>
      <c r="AE61" s="2908"/>
      <c r="AF61" s="2909"/>
    </row>
    <row r="62" spans="1:36" x14ac:dyDescent="0.25">
      <c r="A62" s="2879"/>
      <c r="B62" s="2880"/>
      <c r="C62" s="2880"/>
      <c r="D62" s="2906"/>
      <c r="E62" s="2895" t="s">
        <v>2778</v>
      </c>
      <c r="F62" s="2896"/>
      <c r="G62" s="2896"/>
      <c r="H62" s="2896"/>
      <c r="I62" s="2896"/>
      <c r="J62" s="2896"/>
      <c r="K62" s="2896"/>
      <c r="L62" s="2896"/>
      <c r="M62" s="2896"/>
      <c r="N62" s="2896"/>
      <c r="O62" s="2896"/>
      <c r="P62" s="2896"/>
      <c r="Q62" s="2913">
        <v>13.926556080843367</v>
      </c>
      <c r="R62" s="2914"/>
      <c r="S62" s="2914"/>
      <c r="T62" s="2915"/>
      <c r="U62" s="2892" t="s">
        <v>82</v>
      </c>
      <c r="V62" s="2893"/>
      <c r="W62" s="2894"/>
      <c r="X62" s="2912"/>
      <c r="Y62" s="2908"/>
      <c r="Z62" s="2908"/>
      <c r="AA62" s="2908"/>
      <c r="AB62" s="2908"/>
      <c r="AC62" s="2908"/>
      <c r="AD62" s="2908"/>
      <c r="AE62" s="2908"/>
      <c r="AF62" s="2909"/>
      <c r="AJ62" s="262"/>
    </row>
    <row r="63" spans="1:36" x14ac:dyDescent="0.25">
      <c r="A63" s="2879"/>
      <c r="B63" s="2880"/>
      <c r="C63" s="2880"/>
      <c r="D63" s="2906"/>
      <c r="E63" s="2895" t="s">
        <v>2779</v>
      </c>
      <c r="F63" s="2896"/>
      <c r="G63" s="2896"/>
      <c r="H63" s="2896"/>
      <c r="I63" s="2896"/>
      <c r="J63" s="2896"/>
      <c r="K63" s="2896"/>
      <c r="L63" s="2896"/>
      <c r="M63" s="2896"/>
      <c r="N63" s="2896"/>
      <c r="O63" s="2896"/>
      <c r="P63" s="2896"/>
      <c r="Q63" s="2913">
        <v>18.334524665963698</v>
      </c>
      <c r="R63" s="2914"/>
      <c r="S63" s="2914"/>
      <c r="T63" s="2915"/>
      <c r="U63" s="2892" t="s">
        <v>82</v>
      </c>
      <c r="V63" s="2893"/>
      <c r="W63" s="2894"/>
      <c r="X63" s="2912"/>
      <c r="Y63" s="2908"/>
      <c r="Z63" s="2908"/>
      <c r="AA63" s="2908"/>
      <c r="AB63" s="2908"/>
      <c r="AC63" s="2908"/>
      <c r="AD63" s="2908"/>
      <c r="AE63" s="2908"/>
      <c r="AF63" s="2909"/>
      <c r="AJ63" s="262"/>
    </row>
    <row r="64" spans="1:36" ht="24" customHeight="1" x14ac:dyDescent="0.25">
      <c r="A64" s="2881"/>
      <c r="B64" s="2882"/>
      <c r="C64" s="2882"/>
      <c r="D64" s="2907"/>
      <c r="E64" s="2895" t="s">
        <v>2780</v>
      </c>
      <c r="F64" s="2896"/>
      <c r="G64" s="2896"/>
      <c r="H64" s="2896"/>
      <c r="I64" s="2896"/>
      <c r="J64" s="2896"/>
      <c r="K64" s="2896"/>
      <c r="L64" s="2896"/>
      <c r="M64" s="2896"/>
      <c r="N64" s="2896"/>
      <c r="O64" s="2896"/>
      <c r="P64" s="2896"/>
      <c r="Q64" s="2913">
        <v>27.04972447779863</v>
      </c>
      <c r="R64" s="2914"/>
      <c r="S64" s="2914"/>
      <c r="T64" s="2915"/>
      <c r="U64" s="2917" t="s">
        <v>82</v>
      </c>
      <c r="V64" s="2918"/>
      <c r="W64" s="2919"/>
      <c r="X64" s="2478"/>
      <c r="Y64" s="2479"/>
      <c r="Z64" s="2479"/>
      <c r="AA64" s="2479"/>
      <c r="AB64" s="2479"/>
      <c r="AC64" s="2479"/>
      <c r="AD64" s="2479"/>
      <c r="AE64" s="2479"/>
      <c r="AF64" s="2480"/>
    </row>
    <row r="65" spans="1:36" ht="33" customHeight="1" x14ac:dyDescent="0.25">
      <c r="A65" s="1382" t="s">
        <v>2785</v>
      </c>
      <c r="B65" s="1383"/>
      <c r="C65" s="1383"/>
      <c r="D65" s="1384"/>
      <c r="E65" s="1479" t="s">
        <v>2786</v>
      </c>
      <c r="F65" s="1480"/>
      <c r="G65" s="1480"/>
      <c r="H65" s="1480"/>
      <c r="I65" s="1480"/>
      <c r="J65" s="1480"/>
      <c r="K65" s="1480"/>
      <c r="L65" s="1480"/>
      <c r="M65" s="1480"/>
      <c r="N65" s="1480"/>
      <c r="O65" s="1480"/>
      <c r="P65" s="1481"/>
      <c r="Q65" s="1482">
        <v>365</v>
      </c>
      <c r="R65" s="1483"/>
      <c r="S65" s="1483"/>
      <c r="T65" s="1484"/>
      <c r="U65" s="2920" t="s">
        <v>2787</v>
      </c>
      <c r="V65" s="2921"/>
      <c r="W65" s="2922"/>
      <c r="X65" s="1485" t="s">
        <v>1724</v>
      </c>
      <c r="Y65" s="1486"/>
      <c r="Z65" s="1486"/>
      <c r="AA65" s="1486"/>
      <c r="AB65" s="1486"/>
      <c r="AC65" s="1486"/>
      <c r="AD65" s="1486"/>
      <c r="AE65" s="1486"/>
      <c r="AF65" s="1487"/>
    </row>
    <row r="66" spans="1:36" ht="34.5" customHeight="1" x14ac:dyDescent="0.25">
      <c r="A66" s="2877" t="s">
        <v>2788</v>
      </c>
      <c r="B66" s="2878"/>
      <c r="C66" s="2878"/>
      <c r="D66" s="2878"/>
      <c r="E66" s="2901" t="s">
        <v>2789</v>
      </c>
      <c r="F66" s="2902"/>
      <c r="G66" s="2902"/>
      <c r="H66" s="2902"/>
      <c r="I66" s="2902"/>
      <c r="J66" s="2902"/>
      <c r="K66" s="2902"/>
      <c r="L66" s="2902"/>
      <c r="M66" s="2902"/>
      <c r="N66" s="2902"/>
      <c r="O66" s="2902"/>
      <c r="P66" s="2902"/>
      <c r="Q66" s="2672"/>
      <c r="R66" s="2673"/>
      <c r="S66" s="2673"/>
      <c r="T66" s="2674"/>
      <c r="U66" s="2884"/>
      <c r="V66" s="2884"/>
      <c r="W66" s="2885"/>
      <c r="X66" s="2476" t="s">
        <v>7052</v>
      </c>
      <c r="Y66" s="2476"/>
      <c r="Z66" s="2476"/>
      <c r="AA66" s="2476"/>
      <c r="AB66" s="2476"/>
      <c r="AC66" s="2476"/>
      <c r="AD66" s="2476"/>
      <c r="AE66" s="2476"/>
      <c r="AF66" s="2477"/>
    </row>
    <row r="67" spans="1:36" x14ac:dyDescent="0.25">
      <c r="A67" s="2879"/>
      <c r="B67" s="2880"/>
      <c r="C67" s="2880"/>
      <c r="D67" s="2880"/>
      <c r="E67" s="2886" t="s">
        <v>2776</v>
      </c>
      <c r="F67" s="2887"/>
      <c r="G67" s="2887"/>
      <c r="H67" s="2887"/>
      <c r="I67" s="2887"/>
      <c r="J67" s="2887"/>
      <c r="K67" s="2887"/>
      <c r="L67" s="2887"/>
      <c r="M67" s="2887"/>
      <c r="N67" s="2887"/>
      <c r="O67" s="2887"/>
      <c r="P67" s="2887"/>
      <c r="Q67" s="2889"/>
      <c r="R67" s="2890"/>
      <c r="S67" s="2890"/>
      <c r="T67" s="2891"/>
      <c r="U67" s="2893"/>
      <c r="V67" s="2893"/>
      <c r="W67" s="2894"/>
      <c r="X67" s="2908"/>
      <c r="Y67" s="2908"/>
      <c r="Z67" s="2908"/>
      <c r="AA67" s="2908"/>
      <c r="AB67" s="2908"/>
      <c r="AC67" s="2908"/>
      <c r="AD67" s="2908"/>
      <c r="AE67" s="2908"/>
      <c r="AF67" s="2909"/>
    </row>
    <row r="68" spans="1:36" x14ac:dyDescent="0.25">
      <c r="A68" s="2879"/>
      <c r="B68" s="2880"/>
      <c r="C68" s="2880"/>
      <c r="D68" s="2880"/>
      <c r="E68" s="2895" t="s">
        <v>2777</v>
      </c>
      <c r="F68" s="2896"/>
      <c r="G68" s="2896"/>
      <c r="H68" s="2896"/>
      <c r="I68" s="2896"/>
      <c r="J68" s="2896"/>
      <c r="K68" s="2896"/>
      <c r="L68" s="2896"/>
      <c r="M68" s="2896"/>
      <c r="N68" s="2896"/>
      <c r="O68" s="2896"/>
      <c r="P68" s="2896"/>
      <c r="Q68" s="2913">
        <v>17.637018774890958</v>
      </c>
      <c r="R68" s="2914"/>
      <c r="S68" s="2914"/>
      <c r="T68" s="2915"/>
      <c r="U68" s="2892" t="s">
        <v>2790</v>
      </c>
      <c r="V68" s="2893"/>
      <c r="W68" s="2894"/>
      <c r="X68" s="2908"/>
      <c r="Y68" s="2908"/>
      <c r="Z68" s="2908"/>
      <c r="AA68" s="2908"/>
      <c r="AB68" s="2908"/>
      <c r="AC68" s="2908"/>
      <c r="AD68" s="2908"/>
      <c r="AE68" s="2908"/>
      <c r="AF68" s="2909"/>
    </row>
    <row r="69" spans="1:36" x14ac:dyDescent="0.25">
      <c r="A69" s="2879"/>
      <c r="B69" s="2880"/>
      <c r="C69" s="2880"/>
      <c r="D69" s="2880"/>
      <c r="E69" s="2895" t="s">
        <v>2778</v>
      </c>
      <c r="F69" s="2896"/>
      <c r="G69" s="2896"/>
      <c r="H69" s="2896"/>
      <c r="I69" s="2896"/>
      <c r="J69" s="2896"/>
      <c r="K69" s="2896"/>
      <c r="L69" s="2896"/>
      <c r="M69" s="2896"/>
      <c r="N69" s="2896"/>
      <c r="O69" s="2896"/>
      <c r="P69" s="2896"/>
      <c r="Q69" s="2913">
        <v>24</v>
      </c>
      <c r="R69" s="2914"/>
      <c r="S69" s="2914"/>
      <c r="T69" s="2915"/>
      <c r="U69" s="2892" t="s">
        <v>2790</v>
      </c>
      <c r="V69" s="2893"/>
      <c r="W69" s="2894"/>
      <c r="X69" s="2908"/>
      <c r="Y69" s="2908"/>
      <c r="Z69" s="2908"/>
      <c r="AA69" s="2908"/>
      <c r="AB69" s="2908"/>
      <c r="AC69" s="2908"/>
      <c r="AD69" s="2908"/>
      <c r="AE69" s="2908"/>
      <c r="AF69" s="2909"/>
      <c r="AJ69" s="262"/>
    </row>
    <row r="70" spans="1:36" x14ac:dyDescent="0.25">
      <c r="A70" s="2879"/>
      <c r="B70" s="2880"/>
      <c r="C70" s="2880"/>
      <c r="D70" s="2880"/>
      <c r="E70" s="2895" t="s">
        <v>2779</v>
      </c>
      <c r="F70" s="2896"/>
      <c r="G70" s="2896"/>
      <c r="H70" s="2896"/>
      <c r="I70" s="2896"/>
      <c r="J70" s="2896"/>
      <c r="K70" s="2896"/>
      <c r="L70" s="2896"/>
      <c r="M70" s="2896"/>
      <c r="N70" s="2896"/>
      <c r="O70" s="2896"/>
      <c r="P70" s="2896"/>
      <c r="Q70" s="2913">
        <v>24</v>
      </c>
      <c r="R70" s="2914"/>
      <c r="S70" s="2914"/>
      <c r="T70" s="2915"/>
      <c r="U70" s="2892" t="s">
        <v>2790</v>
      </c>
      <c r="V70" s="2893"/>
      <c r="W70" s="2894"/>
      <c r="X70" s="2908"/>
      <c r="Y70" s="2908"/>
      <c r="Z70" s="2908"/>
      <c r="AA70" s="2908"/>
      <c r="AB70" s="2908"/>
      <c r="AC70" s="2908"/>
      <c r="AD70" s="2908"/>
      <c r="AE70" s="2908"/>
      <c r="AF70" s="2909"/>
      <c r="AJ70" s="262"/>
    </row>
    <row r="71" spans="1:36" x14ac:dyDescent="0.25">
      <c r="A71" s="2879"/>
      <c r="B71" s="2880"/>
      <c r="C71" s="2880"/>
      <c r="D71" s="2880"/>
      <c r="E71" s="2895" t="s">
        <v>2780</v>
      </c>
      <c r="F71" s="2896"/>
      <c r="G71" s="2896"/>
      <c r="H71" s="2896"/>
      <c r="I71" s="2896"/>
      <c r="J71" s="2896"/>
      <c r="K71" s="2896"/>
      <c r="L71" s="2896"/>
      <c r="M71" s="2896"/>
      <c r="N71" s="2896"/>
      <c r="O71" s="2896"/>
      <c r="P71" s="2896"/>
      <c r="Q71" s="2913">
        <v>18.878205128205131</v>
      </c>
      <c r="R71" s="2914"/>
      <c r="S71" s="2914"/>
      <c r="T71" s="2915"/>
      <c r="U71" s="2892" t="s">
        <v>2790</v>
      </c>
      <c r="V71" s="2893"/>
      <c r="W71" s="2894"/>
      <c r="X71" s="2908"/>
      <c r="Y71" s="2908"/>
      <c r="Z71" s="2908"/>
      <c r="AA71" s="2908"/>
      <c r="AB71" s="2908"/>
      <c r="AC71" s="2908"/>
      <c r="AD71" s="2908"/>
      <c r="AE71" s="2908"/>
      <c r="AF71" s="2909"/>
    </row>
    <row r="72" spans="1:36" x14ac:dyDescent="0.25">
      <c r="A72" s="2879"/>
      <c r="B72" s="2880"/>
      <c r="C72" s="2880"/>
      <c r="D72" s="2880"/>
      <c r="E72" s="2886" t="s">
        <v>2781</v>
      </c>
      <c r="F72" s="2887"/>
      <c r="G72" s="2887"/>
      <c r="H72" s="2887"/>
      <c r="I72" s="2887"/>
      <c r="J72" s="2887"/>
      <c r="K72" s="2887"/>
      <c r="L72" s="2887"/>
      <c r="M72" s="2887"/>
      <c r="N72" s="2887"/>
      <c r="O72" s="2887"/>
      <c r="P72" s="2887"/>
      <c r="Q72" s="2889"/>
      <c r="R72" s="2890"/>
      <c r="S72" s="2890"/>
      <c r="T72" s="2891"/>
      <c r="U72" s="2893"/>
      <c r="V72" s="2893"/>
      <c r="W72" s="2894"/>
      <c r="X72" s="2908"/>
      <c r="Y72" s="2908"/>
      <c r="Z72" s="2908"/>
      <c r="AA72" s="2908"/>
      <c r="AB72" s="2908"/>
      <c r="AC72" s="2908"/>
      <c r="AD72" s="2908"/>
      <c r="AE72" s="2908"/>
      <c r="AF72" s="2909"/>
    </row>
    <row r="73" spans="1:36" x14ac:dyDescent="0.25">
      <c r="A73" s="2879"/>
      <c r="B73" s="2880"/>
      <c r="C73" s="2880"/>
      <c r="D73" s="2880"/>
      <c r="E73" s="2895" t="s">
        <v>2777</v>
      </c>
      <c r="F73" s="2896"/>
      <c r="G73" s="2896"/>
      <c r="H73" s="2896"/>
      <c r="I73" s="2896"/>
      <c r="J73" s="2896"/>
      <c r="K73" s="2896"/>
      <c r="L73" s="2896"/>
      <c r="M73" s="2896"/>
      <c r="N73" s="2896"/>
      <c r="O73" s="2896"/>
      <c r="P73" s="2896"/>
      <c r="Q73" s="2913">
        <v>24</v>
      </c>
      <c r="R73" s="2914"/>
      <c r="S73" s="2914"/>
      <c r="T73" s="2915"/>
      <c r="U73" s="2892" t="s">
        <v>2790</v>
      </c>
      <c r="V73" s="2893"/>
      <c r="W73" s="2894"/>
      <c r="X73" s="2908"/>
      <c r="Y73" s="2908"/>
      <c r="Z73" s="2908"/>
      <c r="AA73" s="2908"/>
      <c r="AB73" s="2908"/>
      <c r="AC73" s="2908"/>
      <c r="AD73" s="2908"/>
      <c r="AE73" s="2908"/>
      <c r="AF73" s="2909"/>
    </row>
    <row r="74" spans="1:36" x14ac:dyDescent="0.25">
      <c r="A74" s="2879"/>
      <c r="B74" s="2880"/>
      <c r="C74" s="2880"/>
      <c r="D74" s="2880"/>
      <c r="E74" s="2895" t="s">
        <v>2778</v>
      </c>
      <c r="F74" s="2896"/>
      <c r="G74" s="2896"/>
      <c r="H74" s="2896"/>
      <c r="I74" s="2896"/>
      <c r="J74" s="2896"/>
      <c r="K74" s="2896"/>
      <c r="L74" s="2896"/>
      <c r="M74" s="2896"/>
      <c r="N74" s="2896"/>
      <c r="O74" s="2896"/>
      <c r="P74" s="2896"/>
      <c r="Q74" s="2913">
        <v>24</v>
      </c>
      <c r="R74" s="2914"/>
      <c r="S74" s="2914"/>
      <c r="T74" s="2915"/>
      <c r="U74" s="2892" t="s">
        <v>2790</v>
      </c>
      <c r="V74" s="2893"/>
      <c r="W74" s="2894"/>
      <c r="X74" s="2908"/>
      <c r="Y74" s="2908"/>
      <c r="Z74" s="2908"/>
      <c r="AA74" s="2908"/>
      <c r="AB74" s="2908"/>
      <c r="AC74" s="2908"/>
      <c r="AD74" s="2908"/>
      <c r="AE74" s="2908"/>
      <c r="AF74" s="2909"/>
    </row>
    <row r="75" spans="1:36" x14ac:dyDescent="0.25">
      <c r="A75" s="2879"/>
      <c r="B75" s="2880"/>
      <c r="C75" s="2880"/>
      <c r="D75" s="2880"/>
      <c r="E75" s="2895" t="s">
        <v>2779</v>
      </c>
      <c r="F75" s="2896"/>
      <c r="G75" s="2896"/>
      <c r="H75" s="2896"/>
      <c r="I75" s="2896"/>
      <c r="J75" s="2896"/>
      <c r="K75" s="2896"/>
      <c r="L75" s="2896"/>
      <c r="M75" s="2896"/>
      <c r="N75" s="2896"/>
      <c r="O75" s="2896"/>
      <c r="P75" s="2896"/>
      <c r="Q75" s="2913">
        <v>24</v>
      </c>
      <c r="R75" s="2914"/>
      <c r="S75" s="2914"/>
      <c r="T75" s="2915"/>
      <c r="U75" s="2892" t="s">
        <v>2790</v>
      </c>
      <c r="V75" s="2893"/>
      <c r="W75" s="2894"/>
      <c r="X75" s="2908"/>
      <c r="Y75" s="2908"/>
      <c r="Z75" s="2908"/>
      <c r="AA75" s="2908"/>
      <c r="AB75" s="2908"/>
      <c r="AC75" s="2908"/>
      <c r="AD75" s="2908"/>
      <c r="AE75" s="2908"/>
      <c r="AF75" s="2909"/>
    </row>
    <row r="76" spans="1:36" x14ac:dyDescent="0.25">
      <c r="A76" s="2881"/>
      <c r="B76" s="2882"/>
      <c r="C76" s="2882"/>
      <c r="D76" s="2882"/>
      <c r="E76" s="2910" t="s">
        <v>2780</v>
      </c>
      <c r="F76" s="2911"/>
      <c r="G76" s="2911"/>
      <c r="H76" s="2911"/>
      <c r="I76" s="2911"/>
      <c r="J76" s="2911"/>
      <c r="K76" s="2911"/>
      <c r="L76" s="2911"/>
      <c r="M76" s="2911"/>
      <c r="N76" s="2911"/>
      <c r="O76" s="2911"/>
      <c r="P76" s="2911"/>
      <c r="Q76" s="2913">
        <v>24</v>
      </c>
      <c r="R76" s="2914"/>
      <c r="S76" s="2914"/>
      <c r="T76" s="2915"/>
      <c r="U76" s="2892" t="s">
        <v>2790</v>
      </c>
      <c r="V76" s="2893"/>
      <c r="W76" s="2894"/>
      <c r="X76" s="2479"/>
      <c r="Y76" s="2479"/>
      <c r="Z76" s="2479"/>
      <c r="AA76" s="2479"/>
      <c r="AB76" s="2479"/>
      <c r="AC76" s="2479"/>
      <c r="AD76" s="2479"/>
      <c r="AE76" s="2479"/>
      <c r="AF76" s="2480"/>
    </row>
    <row r="77" spans="1:36" ht="31.5" customHeight="1" x14ac:dyDescent="0.25">
      <c r="A77" s="2904" t="s">
        <v>2791</v>
      </c>
      <c r="B77" s="2878"/>
      <c r="C77" s="2878"/>
      <c r="D77" s="2905"/>
      <c r="E77" s="2901" t="s">
        <v>2792</v>
      </c>
      <c r="F77" s="2902"/>
      <c r="G77" s="2902"/>
      <c r="H77" s="2902"/>
      <c r="I77" s="2902"/>
      <c r="J77" s="2902"/>
      <c r="K77" s="2902"/>
      <c r="L77" s="2902"/>
      <c r="M77" s="2902"/>
      <c r="N77" s="2902"/>
      <c r="O77" s="2902"/>
      <c r="P77" s="2903"/>
      <c r="Q77" s="2672"/>
      <c r="R77" s="2673"/>
      <c r="S77" s="2673"/>
      <c r="T77" s="2674"/>
      <c r="U77" s="2883"/>
      <c r="V77" s="2884"/>
      <c r="W77" s="2885"/>
      <c r="X77" s="2475" t="s">
        <v>7051</v>
      </c>
      <c r="Y77" s="2476"/>
      <c r="Z77" s="2476"/>
      <c r="AA77" s="2476"/>
      <c r="AB77" s="2476"/>
      <c r="AC77" s="2476"/>
      <c r="AD77" s="2476"/>
      <c r="AE77" s="2476"/>
      <c r="AF77" s="2477"/>
    </row>
    <row r="78" spans="1:36" x14ac:dyDescent="0.25">
      <c r="A78" s="2879"/>
      <c r="B78" s="2880"/>
      <c r="C78" s="2880"/>
      <c r="D78" s="2906"/>
      <c r="E78" s="2886" t="s">
        <v>2784</v>
      </c>
      <c r="F78" s="2887"/>
      <c r="G78" s="2887"/>
      <c r="H78" s="2887"/>
      <c r="I78" s="2887"/>
      <c r="J78" s="2887"/>
      <c r="K78" s="2887"/>
      <c r="L78" s="2887"/>
      <c r="M78" s="2887"/>
      <c r="N78" s="2887"/>
      <c r="O78" s="2887"/>
      <c r="P78" s="2888"/>
      <c r="Q78" s="2889"/>
      <c r="R78" s="2890"/>
      <c r="S78" s="2890"/>
      <c r="T78" s="2891"/>
      <c r="U78" s="2892"/>
      <c r="V78" s="2893"/>
      <c r="W78" s="2894"/>
      <c r="X78" s="2912"/>
      <c r="Y78" s="2908"/>
      <c r="Z78" s="2908"/>
      <c r="AA78" s="2908"/>
      <c r="AB78" s="2908"/>
      <c r="AC78" s="2908"/>
      <c r="AD78" s="2908"/>
      <c r="AE78" s="2908"/>
      <c r="AF78" s="2909"/>
    </row>
    <row r="79" spans="1:36" x14ac:dyDescent="0.25">
      <c r="A79" s="2879"/>
      <c r="B79" s="2880"/>
      <c r="C79" s="2880"/>
      <c r="D79" s="2906"/>
      <c r="E79" s="2895" t="s">
        <v>2777</v>
      </c>
      <c r="F79" s="2896"/>
      <c r="G79" s="2896"/>
      <c r="H79" s="2896"/>
      <c r="I79" s="2896"/>
      <c r="J79" s="2896"/>
      <c r="K79" s="2896"/>
      <c r="L79" s="2896"/>
      <c r="M79" s="2896"/>
      <c r="N79" s="2896"/>
      <c r="O79" s="2896"/>
      <c r="P79" s="2897"/>
      <c r="Q79" s="2913">
        <v>22.692</v>
      </c>
      <c r="R79" s="2914"/>
      <c r="S79" s="2914"/>
      <c r="T79" s="2915"/>
      <c r="U79" s="2892" t="s">
        <v>2790</v>
      </c>
      <c r="V79" s="2893"/>
      <c r="W79" s="2894"/>
      <c r="X79" s="2912"/>
      <c r="Y79" s="2908"/>
      <c r="Z79" s="2908"/>
      <c r="AA79" s="2908"/>
      <c r="AB79" s="2908"/>
      <c r="AC79" s="2908"/>
      <c r="AD79" s="2908"/>
      <c r="AE79" s="2908"/>
      <c r="AF79" s="2909"/>
    </row>
    <row r="80" spans="1:36" x14ac:dyDescent="0.25">
      <c r="A80" s="2879"/>
      <c r="B80" s="2880"/>
      <c r="C80" s="2880"/>
      <c r="D80" s="2906"/>
      <c r="E80" s="2895" t="s">
        <v>2778</v>
      </c>
      <c r="F80" s="2896"/>
      <c r="G80" s="2896"/>
      <c r="H80" s="2896"/>
      <c r="I80" s="2896"/>
      <c r="J80" s="2896"/>
      <c r="K80" s="2896"/>
      <c r="L80" s="2896"/>
      <c r="M80" s="2896"/>
      <c r="N80" s="2896"/>
      <c r="O80" s="2896"/>
      <c r="P80" s="2897"/>
      <c r="Q80" s="2913">
        <v>22.692</v>
      </c>
      <c r="R80" s="2914"/>
      <c r="S80" s="2914"/>
      <c r="T80" s="2915"/>
      <c r="U80" s="2892" t="s">
        <v>2790</v>
      </c>
      <c r="V80" s="2893"/>
      <c r="W80" s="2894"/>
      <c r="X80" s="2912"/>
      <c r="Y80" s="2908"/>
      <c r="Z80" s="2908"/>
      <c r="AA80" s="2908"/>
      <c r="AB80" s="2908"/>
      <c r="AC80" s="2908"/>
      <c r="AD80" s="2908"/>
      <c r="AE80" s="2908"/>
      <c r="AF80" s="2909"/>
    </row>
    <row r="81" spans="1:36" x14ac:dyDescent="0.25">
      <c r="A81" s="2879"/>
      <c r="B81" s="2880"/>
      <c r="C81" s="2880"/>
      <c r="D81" s="2906"/>
      <c r="E81" s="2895" t="s">
        <v>2779</v>
      </c>
      <c r="F81" s="2896"/>
      <c r="G81" s="2896"/>
      <c r="H81" s="2896"/>
      <c r="I81" s="2896"/>
      <c r="J81" s="2896"/>
      <c r="K81" s="2896"/>
      <c r="L81" s="2896"/>
      <c r="M81" s="2896"/>
      <c r="N81" s="2896"/>
      <c r="O81" s="2896"/>
      <c r="P81" s="2897"/>
      <c r="Q81" s="2913">
        <v>22.692</v>
      </c>
      <c r="R81" s="2914"/>
      <c r="S81" s="2914"/>
      <c r="T81" s="2915"/>
      <c r="U81" s="2892" t="s">
        <v>2790</v>
      </c>
      <c r="V81" s="2893"/>
      <c r="W81" s="2894"/>
      <c r="X81" s="2912"/>
      <c r="Y81" s="2908"/>
      <c r="Z81" s="2908"/>
      <c r="AA81" s="2908"/>
      <c r="AB81" s="2908"/>
      <c r="AC81" s="2908"/>
      <c r="AD81" s="2908"/>
      <c r="AE81" s="2908"/>
      <c r="AF81" s="2909"/>
    </row>
    <row r="82" spans="1:36" ht="37.5" customHeight="1" x14ac:dyDescent="0.25">
      <c r="A82" s="2881"/>
      <c r="B82" s="2882"/>
      <c r="C82" s="2882"/>
      <c r="D82" s="2907"/>
      <c r="E82" s="2910" t="s">
        <v>2780</v>
      </c>
      <c r="F82" s="2911"/>
      <c r="G82" s="2911"/>
      <c r="H82" s="2911"/>
      <c r="I82" s="2911"/>
      <c r="J82" s="2911"/>
      <c r="K82" s="2911"/>
      <c r="L82" s="2911"/>
      <c r="M82" s="2911"/>
      <c r="N82" s="2911"/>
      <c r="O82" s="2911"/>
      <c r="P82" s="2916"/>
      <c r="Q82" s="2913">
        <v>23.509992862241255</v>
      </c>
      <c r="R82" s="2914"/>
      <c r="S82" s="2914"/>
      <c r="T82" s="2915"/>
      <c r="U82" s="2892" t="s">
        <v>2790</v>
      </c>
      <c r="V82" s="2893"/>
      <c r="W82" s="2894"/>
      <c r="X82" s="2478"/>
      <c r="Y82" s="2479"/>
      <c r="Z82" s="2479"/>
      <c r="AA82" s="2479"/>
      <c r="AB82" s="2479"/>
      <c r="AC82" s="2479"/>
      <c r="AD82" s="2479"/>
      <c r="AE82" s="2479"/>
      <c r="AF82" s="2480"/>
    </row>
    <row r="83" spans="1:36" ht="33.75" customHeight="1" x14ac:dyDescent="0.25">
      <c r="A83" s="2877" t="s">
        <v>2793</v>
      </c>
      <c r="B83" s="2878"/>
      <c r="C83" s="2878"/>
      <c r="D83" s="2878"/>
      <c r="E83" s="2901" t="s">
        <v>2794</v>
      </c>
      <c r="F83" s="2902"/>
      <c r="G83" s="2902"/>
      <c r="H83" s="2902"/>
      <c r="I83" s="2902"/>
      <c r="J83" s="2902"/>
      <c r="K83" s="2902"/>
      <c r="L83" s="2902"/>
      <c r="M83" s="2902"/>
      <c r="N83" s="2902"/>
      <c r="O83" s="2902"/>
      <c r="P83" s="2902"/>
      <c r="Q83" s="2672"/>
      <c r="R83" s="2673"/>
      <c r="S83" s="2673"/>
      <c r="T83" s="2674"/>
      <c r="U83" s="2884"/>
      <c r="V83" s="2884"/>
      <c r="W83" s="2885"/>
      <c r="X83" s="2476" t="s">
        <v>2836</v>
      </c>
      <c r="Y83" s="2476"/>
      <c r="Z83" s="2476"/>
      <c r="AA83" s="2476"/>
      <c r="AB83" s="2476"/>
      <c r="AC83" s="2476"/>
      <c r="AD83" s="2476"/>
      <c r="AE83" s="2476"/>
      <c r="AF83" s="2477"/>
    </row>
    <row r="84" spans="1:36" x14ac:dyDescent="0.25">
      <c r="A84" s="2879"/>
      <c r="B84" s="2880"/>
      <c r="C84" s="2880"/>
      <c r="D84" s="2880"/>
      <c r="E84" s="2886" t="s">
        <v>2776</v>
      </c>
      <c r="F84" s="2887"/>
      <c r="G84" s="2887"/>
      <c r="H84" s="2887"/>
      <c r="I84" s="2887"/>
      <c r="J84" s="2887"/>
      <c r="K84" s="2887"/>
      <c r="L84" s="2887"/>
      <c r="M84" s="2887"/>
      <c r="N84" s="2887"/>
      <c r="O84" s="2887"/>
      <c r="P84" s="2887"/>
      <c r="Q84" s="2889"/>
      <c r="R84" s="2890"/>
      <c r="S84" s="2890"/>
      <c r="T84" s="2891"/>
      <c r="U84" s="2893"/>
      <c r="V84" s="2893"/>
      <c r="W84" s="2894"/>
      <c r="X84" s="2908"/>
      <c r="Y84" s="2908"/>
      <c r="Z84" s="2908"/>
      <c r="AA84" s="2908"/>
      <c r="AB84" s="2908"/>
      <c r="AC84" s="2908"/>
      <c r="AD84" s="2908"/>
      <c r="AE84" s="2908"/>
      <c r="AF84" s="2909"/>
    </row>
    <row r="85" spans="1:36" x14ac:dyDescent="0.25">
      <c r="A85" s="2879"/>
      <c r="B85" s="2880"/>
      <c r="C85" s="2880"/>
      <c r="D85" s="2880"/>
      <c r="E85" s="2895" t="s">
        <v>2777</v>
      </c>
      <c r="F85" s="2896"/>
      <c r="G85" s="2896"/>
      <c r="H85" s="2896"/>
      <c r="I85" s="2896"/>
      <c r="J85" s="2896"/>
      <c r="K85" s="2896"/>
      <c r="L85" s="2896"/>
      <c r="M85" s="2896"/>
      <c r="N85" s="2896"/>
      <c r="O85" s="2896"/>
      <c r="P85" s="2896"/>
      <c r="Q85" s="2898">
        <f>Q68/24</f>
        <v>0.73487578228712325</v>
      </c>
      <c r="R85" s="2899"/>
      <c r="S85" s="2899"/>
      <c r="T85" s="2900"/>
      <c r="U85" s="2892"/>
      <c r="V85" s="2893"/>
      <c r="W85" s="2894"/>
      <c r="X85" s="2908"/>
      <c r="Y85" s="2908"/>
      <c r="Z85" s="2908"/>
      <c r="AA85" s="2908"/>
      <c r="AB85" s="2908"/>
      <c r="AC85" s="2908"/>
      <c r="AD85" s="2908"/>
      <c r="AE85" s="2908"/>
      <c r="AF85" s="2909"/>
    </row>
    <row r="86" spans="1:36" x14ac:dyDescent="0.25">
      <c r="A86" s="2879"/>
      <c r="B86" s="2880"/>
      <c r="C86" s="2880"/>
      <c r="D86" s="2880"/>
      <c r="E86" s="2895" t="s">
        <v>2778</v>
      </c>
      <c r="F86" s="2896"/>
      <c r="G86" s="2896"/>
      <c r="H86" s="2896"/>
      <c r="I86" s="2896"/>
      <c r="J86" s="2896"/>
      <c r="K86" s="2896"/>
      <c r="L86" s="2896"/>
      <c r="M86" s="2896"/>
      <c r="N86" s="2896"/>
      <c r="O86" s="2896"/>
      <c r="P86" s="2896"/>
      <c r="Q86" s="2898">
        <f t="shared" ref="Q86:Q88" si="0">Q69/24</f>
        <v>1</v>
      </c>
      <c r="R86" s="2899"/>
      <c r="S86" s="2899"/>
      <c r="T86" s="2900"/>
      <c r="U86" s="2892"/>
      <c r="V86" s="2893"/>
      <c r="W86" s="2894"/>
      <c r="X86" s="2908"/>
      <c r="Y86" s="2908"/>
      <c r="Z86" s="2908"/>
      <c r="AA86" s="2908"/>
      <c r="AB86" s="2908"/>
      <c r="AC86" s="2908"/>
      <c r="AD86" s="2908"/>
      <c r="AE86" s="2908"/>
      <c r="AF86" s="2909"/>
      <c r="AJ86" s="262"/>
    </row>
    <row r="87" spans="1:36" x14ac:dyDescent="0.25">
      <c r="A87" s="2879"/>
      <c r="B87" s="2880"/>
      <c r="C87" s="2880"/>
      <c r="D87" s="2880"/>
      <c r="E87" s="2895" t="s">
        <v>2779</v>
      </c>
      <c r="F87" s="2896"/>
      <c r="G87" s="2896"/>
      <c r="H87" s="2896"/>
      <c r="I87" s="2896"/>
      <c r="J87" s="2896"/>
      <c r="K87" s="2896"/>
      <c r="L87" s="2896"/>
      <c r="M87" s="2896"/>
      <c r="N87" s="2896"/>
      <c r="O87" s="2896"/>
      <c r="P87" s="2896"/>
      <c r="Q87" s="2898">
        <f>Q70/24</f>
        <v>1</v>
      </c>
      <c r="R87" s="2899"/>
      <c r="S87" s="2899"/>
      <c r="T87" s="2900"/>
      <c r="U87" s="2892"/>
      <c r="V87" s="2893"/>
      <c r="W87" s="2894"/>
      <c r="X87" s="2908"/>
      <c r="Y87" s="2908"/>
      <c r="Z87" s="2908"/>
      <c r="AA87" s="2908"/>
      <c r="AB87" s="2908"/>
      <c r="AC87" s="2908"/>
      <c r="AD87" s="2908"/>
      <c r="AE87" s="2908"/>
      <c r="AF87" s="2909"/>
      <c r="AJ87" s="262"/>
    </row>
    <row r="88" spans="1:36" x14ac:dyDescent="0.25">
      <c r="A88" s="2879"/>
      <c r="B88" s="2880"/>
      <c r="C88" s="2880"/>
      <c r="D88" s="2880"/>
      <c r="E88" s="2895" t="s">
        <v>2780</v>
      </c>
      <c r="F88" s="2896"/>
      <c r="G88" s="2896"/>
      <c r="H88" s="2896"/>
      <c r="I88" s="2896"/>
      <c r="J88" s="2896"/>
      <c r="K88" s="2896"/>
      <c r="L88" s="2896"/>
      <c r="M88" s="2896"/>
      <c r="N88" s="2896"/>
      <c r="O88" s="2896"/>
      <c r="P88" s="2896"/>
      <c r="Q88" s="2898">
        <f t="shared" si="0"/>
        <v>0.78659188034188043</v>
      </c>
      <c r="R88" s="2899"/>
      <c r="S88" s="2899"/>
      <c r="T88" s="2900"/>
      <c r="U88" s="2892"/>
      <c r="V88" s="2893"/>
      <c r="W88" s="2894"/>
      <c r="X88" s="2908"/>
      <c r="Y88" s="2908"/>
      <c r="Z88" s="2908"/>
      <c r="AA88" s="2908"/>
      <c r="AB88" s="2908"/>
      <c r="AC88" s="2908"/>
      <c r="AD88" s="2908"/>
      <c r="AE88" s="2908"/>
      <c r="AF88" s="2909"/>
    </row>
    <row r="89" spans="1:36" x14ac:dyDescent="0.25">
      <c r="A89" s="2879"/>
      <c r="B89" s="2880"/>
      <c r="C89" s="2880"/>
      <c r="D89" s="2880"/>
      <c r="E89" s="2886" t="s">
        <v>2781</v>
      </c>
      <c r="F89" s="2887"/>
      <c r="G89" s="2887"/>
      <c r="H89" s="2887"/>
      <c r="I89" s="2887"/>
      <c r="J89" s="2887"/>
      <c r="K89" s="2887"/>
      <c r="L89" s="2887"/>
      <c r="M89" s="2887"/>
      <c r="N89" s="2887"/>
      <c r="O89" s="2887"/>
      <c r="P89" s="2887"/>
      <c r="Q89" s="2898"/>
      <c r="R89" s="2899"/>
      <c r="S89" s="2899"/>
      <c r="T89" s="2900"/>
      <c r="U89" s="2893"/>
      <c r="V89" s="2893"/>
      <c r="W89" s="2894"/>
      <c r="X89" s="2908"/>
      <c r="Y89" s="2908"/>
      <c r="Z89" s="2908"/>
      <c r="AA89" s="2908"/>
      <c r="AB89" s="2908"/>
      <c r="AC89" s="2908"/>
      <c r="AD89" s="2908"/>
      <c r="AE89" s="2908"/>
      <c r="AF89" s="2909"/>
    </row>
    <row r="90" spans="1:36" x14ac:dyDescent="0.25">
      <c r="A90" s="2879"/>
      <c r="B90" s="2880"/>
      <c r="C90" s="2880"/>
      <c r="D90" s="2880"/>
      <c r="E90" s="2895" t="s">
        <v>2777</v>
      </c>
      <c r="F90" s="2896"/>
      <c r="G90" s="2896"/>
      <c r="H90" s="2896"/>
      <c r="I90" s="2896"/>
      <c r="J90" s="2896"/>
      <c r="K90" s="2896"/>
      <c r="L90" s="2896"/>
      <c r="M90" s="2896"/>
      <c r="N90" s="2896"/>
      <c r="O90" s="2896"/>
      <c r="P90" s="2896"/>
      <c r="Q90" s="2898">
        <f>Q73/24</f>
        <v>1</v>
      </c>
      <c r="R90" s="2899"/>
      <c r="S90" s="2899"/>
      <c r="T90" s="2900"/>
      <c r="U90" s="2892"/>
      <c r="V90" s="2893"/>
      <c r="W90" s="2894"/>
      <c r="X90" s="2908"/>
      <c r="Y90" s="2908"/>
      <c r="Z90" s="2908"/>
      <c r="AA90" s="2908"/>
      <c r="AB90" s="2908"/>
      <c r="AC90" s="2908"/>
      <c r="AD90" s="2908"/>
      <c r="AE90" s="2908"/>
      <c r="AF90" s="2909"/>
    </row>
    <row r="91" spans="1:36" x14ac:dyDescent="0.25">
      <c r="A91" s="2879"/>
      <c r="B91" s="2880"/>
      <c r="C91" s="2880"/>
      <c r="D91" s="2880"/>
      <c r="E91" s="2895" t="s">
        <v>2778</v>
      </c>
      <c r="F91" s="2896"/>
      <c r="G91" s="2896"/>
      <c r="H91" s="2896"/>
      <c r="I91" s="2896"/>
      <c r="J91" s="2896"/>
      <c r="K91" s="2896"/>
      <c r="L91" s="2896"/>
      <c r="M91" s="2896"/>
      <c r="N91" s="2896"/>
      <c r="O91" s="2896"/>
      <c r="P91" s="2896"/>
      <c r="Q91" s="2898">
        <f t="shared" ref="Q91:Q93" si="1">Q74/24</f>
        <v>1</v>
      </c>
      <c r="R91" s="2899"/>
      <c r="S91" s="2899"/>
      <c r="T91" s="2900"/>
      <c r="U91" s="2892"/>
      <c r="V91" s="2893"/>
      <c r="W91" s="2894"/>
      <c r="X91" s="2908"/>
      <c r="Y91" s="2908"/>
      <c r="Z91" s="2908"/>
      <c r="AA91" s="2908"/>
      <c r="AB91" s="2908"/>
      <c r="AC91" s="2908"/>
      <c r="AD91" s="2908"/>
      <c r="AE91" s="2908"/>
      <c r="AF91" s="2909"/>
    </row>
    <row r="92" spans="1:36" x14ac:dyDescent="0.25">
      <c r="A92" s="2879"/>
      <c r="B92" s="2880"/>
      <c r="C92" s="2880"/>
      <c r="D92" s="2880"/>
      <c r="E92" s="2895" t="s">
        <v>2779</v>
      </c>
      <c r="F92" s="2896"/>
      <c r="G92" s="2896"/>
      <c r="H92" s="2896"/>
      <c r="I92" s="2896"/>
      <c r="J92" s="2896"/>
      <c r="K92" s="2896"/>
      <c r="L92" s="2896"/>
      <c r="M92" s="2896"/>
      <c r="N92" s="2896"/>
      <c r="O92" s="2896"/>
      <c r="P92" s="2896"/>
      <c r="Q92" s="2898">
        <f t="shared" si="1"/>
        <v>1</v>
      </c>
      <c r="R92" s="2899"/>
      <c r="S92" s="2899"/>
      <c r="T92" s="2900"/>
      <c r="U92" s="2892"/>
      <c r="V92" s="2893"/>
      <c r="W92" s="2894"/>
      <c r="X92" s="2908"/>
      <c r="Y92" s="2908"/>
      <c r="Z92" s="2908"/>
      <c r="AA92" s="2908"/>
      <c r="AB92" s="2908"/>
      <c r="AC92" s="2908"/>
      <c r="AD92" s="2908"/>
      <c r="AE92" s="2908"/>
      <c r="AF92" s="2909"/>
    </row>
    <row r="93" spans="1:36" x14ac:dyDescent="0.25">
      <c r="A93" s="2881"/>
      <c r="B93" s="2882"/>
      <c r="C93" s="2882"/>
      <c r="D93" s="2882"/>
      <c r="E93" s="2910" t="s">
        <v>2780</v>
      </c>
      <c r="F93" s="2911"/>
      <c r="G93" s="2911"/>
      <c r="H93" s="2911"/>
      <c r="I93" s="2911"/>
      <c r="J93" s="2911"/>
      <c r="K93" s="2911"/>
      <c r="L93" s="2911"/>
      <c r="M93" s="2911"/>
      <c r="N93" s="2911"/>
      <c r="O93" s="2911"/>
      <c r="P93" s="2911"/>
      <c r="Q93" s="2898">
        <f t="shared" si="1"/>
        <v>1</v>
      </c>
      <c r="R93" s="2899"/>
      <c r="S93" s="2899"/>
      <c r="T93" s="2900"/>
      <c r="U93" s="2892"/>
      <c r="V93" s="2893"/>
      <c r="W93" s="2894"/>
      <c r="X93" s="2479"/>
      <c r="Y93" s="2479"/>
      <c r="Z93" s="2479"/>
      <c r="AA93" s="2479"/>
      <c r="AB93" s="2479"/>
      <c r="AC93" s="2479"/>
      <c r="AD93" s="2479"/>
      <c r="AE93" s="2479"/>
      <c r="AF93" s="2480"/>
    </row>
    <row r="94" spans="1:36" ht="31.5" customHeight="1" x14ac:dyDescent="0.25">
      <c r="A94" s="2904" t="s">
        <v>2795</v>
      </c>
      <c r="B94" s="2878"/>
      <c r="C94" s="2878"/>
      <c r="D94" s="2905"/>
      <c r="E94" s="2901" t="s">
        <v>2796</v>
      </c>
      <c r="F94" s="2902"/>
      <c r="G94" s="2902"/>
      <c r="H94" s="2902"/>
      <c r="I94" s="2902"/>
      <c r="J94" s="2902"/>
      <c r="K94" s="2902"/>
      <c r="L94" s="2902"/>
      <c r="M94" s="2902"/>
      <c r="N94" s="2902"/>
      <c r="O94" s="2902"/>
      <c r="P94" s="2903"/>
      <c r="Q94" s="2672"/>
      <c r="R94" s="2673"/>
      <c r="S94" s="2673"/>
      <c r="T94" s="2674"/>
      <c r="U94" s="2883"/>
      <c r="V94" s="2884"/>
      <c r="W94" s="2885"/>
      <c r="X94" s="2475" t="s">
        <v>2836</v>
      </c>
      <c r="Y94" s="2476"/>
      <c r="Z94" s="2476"/>
      <c r="AA94" s="2476"/>
      <c r="AB94" s="2476"/>
      <c r="AC94" s="2476"/>
      <c r="AD94" s="2476"/>
      <c r="AE94" s="2476"/>
      <c r="AF94" s="2477"/>
    </row>
    <row r="95" spans="1:36" x14ac:dyDescent="0.25">
      <c r="A95" s="2879"/>
      <c r="B95" s="2880"/>
      <c r="C95" s="2880"/>
      <c r="D95" s="2906"/>
      <c r="E95" s="2886" t="s">
        <v>2784</v>
      </c>
      <c r="F95" s="2887"/>
      <c r="G95" s="2887"/>
      <c r="H95" s="2887"/>
      <c r="I95" s="2887"/>
      <c r="J95" s="2887"/>
      <c r="K95" s="2887"/>
      <c r="L95" s="2887"/>
      <c r="M95" s="2887"/>
      <c r="N95" s="2887"/>
      <c r="O95" s="2887"/>
      <c r="P95" s="2888"/>
      <c r="Q95" s="2889"/>
      <c r="R95" s="2890"/>
      <c r="S95" s="2890"/>
      <c r="T95" s="2891"/>
      <c r="U95" s="2892"/>
      <c r="V95" s="2893"/>
      <c r="W95" s="2894"/>
      <c r="X95" s="2912"/>
      <c r="Y95" s="2908"/>
      <c r="Z95" s="2908"/>
      <c r="AA95" s="2908"/>
      <c r="AB95" s="2908"/>
      <c r="AC95" s="2908"/>
      <c r="AD95" s="2908"/>
      <c r="AE95" s="2908"/>
      <c r="AF95" s="2909"/>
    </row>
    <row r="96" spans="1:36" x14ac:dyDescent="0.25">
      <c r="A96" s="2879"/>
      <c r="B96" s="2880"/>
      <c r="C96" s="2880"/>
      <c r="D96" s="2906"/>
      <c r="E96" s="2895" t="s">
        <v>2777</v>
      </c>
      <c r="F96" s="2896"/>
      <c r="G96" s="2896"/>
      <c r="H96" s="2896"/>
      <c r="I96" s="2896"/>
      <c r="J96" s="2896"/>
      <c r="K96" s="2896"/>
      <c r="L96" s="2896"/>
      <c r="M96" s="2896"/>
      <c r="N96" s="2896"/>
      <c r="O96" s="2896"/>
      <c r="P96" s="2897"/>
      <c r="Q96" s="2898">
        <f>Q79/24</f>
        <v>0.94550000000000001</v>
      </c>
      <c r="R96" s="2899"/>
      <c r="S96" s="2899"/>
      <c r="T96" s="2900"/>
      <c r="U96" s="2892"/>
      <c r="V96" s="2893"/>
      <c r="W96" s="2894"/>
      <c r="X96" s="2912"/>
      <c r="Y96" s="2908"/>
      <c r="Z96" s="2908"/>
      <c r="AA96" s="2908"/>
      <c r="AB96" s="2908"/>
      <c r="AC96" s="2908"/>
      <c r="AD96" s="2908"/>
      <c r="AE96" s="2908"/>
      <c r="AF96" s="2909"/>
    </row>
    <row r="97" spans="1:36" x14ac:dyDescent="0.25">
      <c r="A97" s="2879"/>
      <c r="B97" s="2880"/>
      <c r="C97" s="2880"/>
      <c r="D97" s="2906"/>
      <c r="E97" s="2895" t="s">
        <v>2778</v>
      </c>
      <c r="F97" s="2896"/>
      <c r="G97" s="2896"/>
      <c r="H97" s="2896"/>
      <c r="I97" s="2896"/>
      <c r="J97" s="2896"/>
      <c r="K97" s="2896"/>
      <c r="L97" s="2896"/>
      <c r="M97" s="2896"/>
      <c r="N97" s="2896"/>
      <c r="O97" s="2896"/>
      <c r="P97" s="2897"/>
      <c r="Q97" s="2898">
        <f t="shared" ref="Q97:Q99" si="2">Q80/24</f>
        <v>0.94550000000000001</v>
      </c>
      <c r="R97" s="2899"/>
      <c r="S97" s="2899"/>
      <c r="T97" s="2900"/>
      <c r="U97" s="2892"/>
      <c r="V97" s="2893"/>
      <c r="W97" s="2894"/>
      <c r="X97" s="2912"/>
      <c r="Y97" s="2908"/>
      <c r="Z97" s="2908"/>
      <c r="AA97" s="2908"/>
      <c r="AB97" s="2908"/>
      <c r="AC97" s="2908"/>
      <c r="AD97" s="2908"/>
      <c r="AE97" s="2908"/>
      <c r="AF97" s="2909"/>
    </row>
    <row r="98" spans="1:36" x14ac:dyDescent="0.25">
      <c r="A98" s="2879"/>
      <c r="B98" s="2880"/>
      <c r="C98" s="2880"/>
      <c r="D98" s="2906"/>
      <c r="E98" s="2895" t="s">
        <v>2779</v>
      </c>
      <c r="F98" s="2896"/>
      <c r="G98" s="2896"/>
      <c r="H98" s="2896"/>
      <c r="I98" s="2896"/>
      <c r="J98" s="2896"/>
      <c r="K98" s="2896"/>
      <c r="L98" s="2896"/>
      <c r="M98" s="2896"/>
      <c r="N98" s="2896"/>
      <c r="O98" s="2896"/>
      <c r="P98" s="2897"/>
      <c r="Q98" s="2898">
        <f>Q81/24</f>
        <v>0.94550000000000001</v>
      </c>
      <c r="R98" s="2899"/>
      <c r="S98" s="2899"/>
      <c r="T98" s="2900"/>
      <c r="U98" s="2892"/>
      <c r="V98" s="2893"/>
      <c r="W98" s="2894"/>
      <c r="X98" s="2912"/>
      <c r="Y98" s="2908"/>
      <c r="Z98" s="2908"/>
      <c r="AA98" s="2908"/>
      <c r="AB98" s="2908"/>
      <c r="AC98" s="2908"/>
      <c r="AD98" s="2908"/>
      <c r="AE98" s="2908"/>
      <c r="AF98" s="2909"/>
    </row>
    <row r="99" spans="1:36" x14ac:dyDescent="0.25">
      <c r="A99" s="2881"/>
      <c r="B99" s="2882"/>
      <c r="C99" s="2882"/>
      <c r="D99" s="2907"/>
      <c r="E99" s="2910" t="s">
        <v>2780</v>
      </c>
      <c r="F99" s="2911"/>
      <c r="G99" s="2911"/>
      <c r="H99" s="2911"/>
      <c r="I99" s="2911"/>
      <c r="J99" s="2911"/>
      <c r="K99" s="2911"/>
      <c r="L99" s="2911"/>
      <c r="M99" s="2911"/>
      <c r="N99" s="2911"/>
      <c r="O99" s="2911"/>
      <c r="P99" s="2916"/>
      <c r="Q99" s="2898">
        <f t="shared" si="2"/>
        <v>0.97958303592671891</v>
      </c>
      <c r="R99" s="2899"/>
      <c r="S99" s="2899"/>
      <c r="T99" s="2900"/>
      <c r="U99" s="2892"/>
      <c r="V99" s="2893"/>
      <c r="W99" s="2894"/>
      <c r="X99" s="2478"/>
      <c r="Y99" s="2479"/>
      <c r="Z99" s="2479"/>
      <c r="AA99" s="2479"/>
      <c r="AB99" s="2479"/>
      <c r="AC99" s="2479"/>
      <c r="AD99" s="2479"/>
      <c r="AE99" s="2479"/>
      <c r="AF99" s="2480"/>
    </row>
    <row r="100" spans="1:36" x14ac:dyDescent="0.25">
      <c r="A100" s="1382" t="s">
        <v>2724</v>
      </c>
      <c r="B100" s="1383"/>
      <c r="C100" s="1383"/>
      <c r="D100" s="1384"/>
      <c r="E100" s="1479" t="s">
        <v>2217</v>
      </c>
      <c r="F100" s="1480"/>
      <c r="G100" s="1480"/>
      <c r="H100" s="1480"/>
      <c r="I100" s="1480"/>
      <c r="J100" s="1480"/>
      <c r="K100" s="1480"/>
      <c r="L100" s="1480"/>
      <c r="M100" s="1480"/>
      <c r="N100" s="1480"/>
      <c r="O100" s="1480"/>
      <c r="P100" s="1481"/>
      <c r="Q100" s="1482">
        <f>'Master EUL'!X86</f>
        <v>10</v>
      </c>
      <c r="R100" s="1483"/>
      <c r="S100" s="1483"/>
      <c r="T100" s="1484"/>
      <c r="U100" s="1574" t="s">
        <v>46</v>
      </c>
      <c r="V100" s="1575"/>
      <c r="W100" s="1576"/>
      <c r="X100" s="1485" t="s">
        <v>1757</v>
      </c>
      <c r="Y100" s="1486"/>
      <c r="Z100" s="1486"/>
      <c r="AA100" s="1486"/>
      <c r="AB100" s="1486"/>
      <c r="AC100" s="1486"/>
      <c r="AD100" s="1486"/>
      <c r="AE100" s="1486"/>
      <c r="AF100" s="1487"/>
    </row>
    <row r="101" spans="1:36" x14ac:dyDescent="0.25">
      <c r="A101" s="2927" t="s">
        <v>2672</v>
      </c>
      <c r="B101" s="2927"/>
      <c r="C101" s="2927"/>
      <c r="D101" s="2927"/>
      <c r="E101" s="2927"/>
      <c r="F101" s="2927"/>
      <c r="G101" s="2927"/>
      <c r="H101" s="2927"/>
      <c r="I101" s="2927"/>
      <c r="J101" s="2927"/>
      <c r="K101" s="2927"/>
      <c r="L101" s="2927"/>
      <c r="M101" s="2927"/>
      <c r="N101" s="2927"/>
      <c r="O101" s="2927"/>
      <c r="P101" s="2927"/>
      <c r="Q101" s="2927"/>
      <c r="R101" s="2927"/>
      <c r="S101" s="2927"/>
      <c r="T101" s="2927"/>
      <c r="U101" s="2927"/>
      <c r="V101" s="2927"/>
      <c r="W101" s="2927"/>
      <c r="X101" s="2927"/>
      <c r="Y101" s="2927"/>
      <c r="Z101" s="2927"/>
      <c r="AA101" s="2927"/>
      <c r="AB101" s="2927"/>
      <c r="AC101" s="2927"/>
      <c r="AD101" s="2927"/>
      <c r="AE101" s="2927"/>
      <c r="AF101" s="2927"/>
      <c r="AJ101" s="262"/>
    </row>
    <row r="102" spans="1:36" ht="30.75" customHeight="1" x14ac:dyDescent="0.25">
      <c r="A102" s="2928" t="s">
        <v>7053</v>
      </c>
      <c r="B102" s="2928"/>
      <c r="C102" s="2928"/>
      <c r="D102" s="2928"/>
      <c r="E102" s="2928"/>
      <c r="F102" s="2928"/>
      <c r="G102" s="2928"/>
      <c r="H102" s="2928"/>
      <c r="I102" s="2928"/>
      <c r="J102" s="2928"/>
      <c r="K102" s="2928"/>
      <c r="L102" s="2928"/>
      <c r="M102" s="2928"/>
      <c r="N102" s="2928"/>
      <c r="O102" s="2928"/>
      <c r="P102" s="2928"/>
      <c r="Q102" s="2928"/>
      <c r="R102" s="2928"/>
      <c r="S102" s="2928"/>
      <c r="T102" s="2928"/>
      <c r="U102" s="2928"/>
      <c r="V102" s="2928"/>
      <c r="W102" s="2928"/>
      <c r="X102" s="2928"/>
      <c r="Y102" s="2928"/>
      <c r="Z102" s="2928"/>
      <c r="AA102" s="2928"/>
      <c r="AB102" s="2928"/>
      <c r="AC102" s="2928"/>
      <c r="AD102" s="2928"/>
      <c r="AE102" s="2928"/>
      <c r="AF102" s="2928"/>
    </row>
    <row r="103" spans="1:36" ht="42.75" customHeight="1" x14ac:dyDescent="0.25">
      <c r="A103" s="2928" t="s">
        <v>7054</v>
      </c>
      <c r="B103" s="2928"/>
      <c r="C103" s="2928"/>
      <c r="D103" s="2928"/>
      <c r="E103" s="2928"/>
      <c r="F103" s="2928"/>
      <c r="G103" s="2928"/>
      <c r="H103" s="2928"/>
      <c r="I103" s="2928"/>
      <c r="J103" s="2928"/>
      <c r="K103" s="2928"/>
      <c r="L103" s="2928"/>
      <c r="M103" s="2928"/>
      <c r="N103" s="2928"/>
      <c r="O103" s="2928"/>
      <c r="P103" s="2928"/>
      <c r="Q103" s="2928"/>
      <c r="R103" s="2928"/>
      <c r="S103" s="2928"/>
      <c r="T103" s="2928"/>
      <c r="U103" s="2928"/>
      <c r="V103" s="2928"/>
      <c r="W103" s="2928"/>
      <c r="X103" s="2928"/>
      <c r="Y103" s="2928"/>
      <c r="Z103" s="2928"/>
      <c r="AA103" s="2928"/>
      <c r="AB103" s="2928"/>
      <c r="AC103" s="2928"/>
      <c r="AD103" s="2928"/>
      <c r="AE103" s="2928"/>
      <c r="AF103" s="2928"/>
    </row>
    <row r="104" spans="1:36" x14ac:dyDescent="0.25">
      <c r="A104" s="146"/>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62"/>
      <c r="AE104" s="262"/>
      <c r="AF104" s="262"/>
    </row>
    <row r="105" spans="1:36" x14ac:dyDescent="0.25">
      <c r="A105" s="146"/>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62"/>
      <c r="AE105" s="262"/>
      <c r="AF105" s="262"/>
    </row>
    <row r="106" spans="1:36" x14ac:dyDescent="0.25">
      <c r="A106" s="1621" t="s">
        <v>21</v>
      </c>
      <c r="B106" s="1621"/>
      <c r="C106" s="1621"/>
      <c r="D106" s="1621"/>
      <c r="E106" s="1621"/>
      <c r="F106" s="1621"/>
      <c r="G106" s="1621"/>
      <c r="H106" s="1621"/>
      <c r="I106" s="1621"/>
      <c r="J106" s="1621"/>
      <c r="K106" s="1621"/>
      <c r="L106" s="1621"/>
      <c r="M106" s="1621"/>
      <c r="N106" s="1621"/>
      <c r="O106" s="1621"/>
      <c r="P106" s="1621"/>
      <c r="Q106" s="1621"/>
      <c r="R106" s="1621"/>
      <c r="S106" s="1621"/>
      <c r="T106" s="1621"/>
      <c r="U106" s="1621"/>
      <c r="V106" s="1621"/>
      <c r="W106" s="1621"/>
      <c r="X106" s="1621"/>
      <c r="Y106" s="1621"/>
      <c r="Z106" s="1621"/>
      <c r="AA106" s="1621"/>
      <c r="AB106" s="1621"/>
      <c r="AC106" s="1621"/>
      <c r="AD106" s="1621"/>
      <c r="AE106" s="1621"/>
      <c r="AF106" s="1621"/>
    </row>
    <row r="107" spans="1:36" ht="15.75" thickBot="1" x14ac:dyDescent="0.3">
      <c r="A107" s="262"/>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62"/>
      <c r="AE107" s="262"/>
      <c r="AF107" s="262"/>
    </row>
    <row r="108" spans="1:36" x14ac:dyDescent="0.25">
      <c r="A108" s="1810" t="s">
        <v>22</v>
      </c>
      <c r="B108" s="1643"/>
      <c r="C108" s="1643"/>
      <c r="D108" s="1643"/>
      <c r="E108" s="1643"/>
      <c r="F108" s="1643"/>
      <c r="G108" s="1643"/>
      <c r="H108" s="1643"/>
      <c r="I108" s="2929" t="s">
        <v>2922</v>
      </c>
      <c r="J108" s="2930"/>
      <c r="K108" s="2930"/>
      <c r="L108" s="2930"/>
      <c r="M108" s="2930"/>
      <c r="N108" s="2930"/>
      <c r="O108" s="2930"/>
      <c r="P108" s="2931"/>
      <c r="Q108" s="2929" t="s">
        <v>2923</v>
      </c>
      <c r="R108" s="2930"/>
      <c r="S108" s="2930"/>
      <c r="T108" s="2930"/>
      <c r="U108" s="2930"/>
      <c r="V108" s="2930"/>
      <c r="W108" s="2930"/>
      <c r="X108" s="2931"/>
      <c r="Y108" s="2929" t="s">
        <v>1786</v>
      </c>
      <c r="Z108" s="2932"/>
      <c r="AA108" s="2932"/>
      <c r="AB108" s="2932"/>
      <c r="AC108" s="2932"/>
      <c r="AD108" s="2932"/>
      <c r="AE108" s="2932"/>
      <c r="AF108" s="2933"/>
    </row>
    <row r="109" spans="1:36" x14ac:dyDescent="0.25">
      <c r="A109" s="2943" t="s">
        <v>2807</v>
      </c>
      <c r="B109" s="2944"/>
      <c r="C109" s="2944"/>
      <c r="D109" s="2944"/>
      <c r="E109" s="2944"/>
      <c r="F109" s="2944"/>
      <c r="G109" s="2944"/>
      <c r="H109" s="2944"/>
      <c r="I109" s="1316"/>
      <c r="J109" s="1317"/>
      <c r="K109" s="1317"/>
      <c r="L109" s="1317"/>
      <c r="M109" s="1317"/>
      <c r="N109" s="1317"/>
      <c r="O109" s="1317"/>
      <c r="P109" s="1318"/>
      <c r="Q109" s="1316"/>
      <c r="R109" s="1317"/>
      <c r="S109" s="1317"/>
      <c r="T109" s="1317"/>
      <c r="U109" s="1317"/>
      <c r="V109" s="1317"/>
      <c r="W109" s="1317"/>
      <c r="X109" s="1318"/>
      <c r="Y109" s="2826"/>
      <c r="Z109" s="2827"/>
      <c r="AA109" s="2827"/>
      <c r="AB109" s="2827"/>
      <c r="AC109" s="2827"/>
      <c r="AD109" s="2827"/>
      <c r="AE109" s="2827"/>
      <c r="AF109" s="2934"/>
      <c r="AJ109" s="262"/>
    </row>
    <row r="110" spans="1:36" ht="48.95" customHeight="1" x14ac:dyDescent="0.25">
      <c r="A110" s="1846" t="s">
        <v>2797</v>
      </c>
      <c r="B110" s="1768"/>
      <c r="C110" s="1768"/>
      <c r="D110" s="1768"/>
      <c r="E110" s="1768"/>
      <c r="F110" s="1768"/>
      <c r="G110" s="1768"/>
      <c r="H110" s="1768"/>
      <c r="I110" s="1796">
        <f>ROUND((Q50*Q85/Q68)-(Q61*Q96/Q79),3)</f>
        <v>0.22500000000000001</v>
      </c>
      <c r="J110" s="1797"/>
      <c r="K110" s="1797"/>
      <c r="L110" s="1797"/>
      <c r="M110" s="1797"/>
      <c r="N110" s="1797"/>
      <c r="O110" s="1797"/>
      <c r="P110" s="1798"/>
      <c r="Q110" s="2937">
        <f>ROUND((Q50-Q61)*$Q$65,2)</f>
        <v>1967.83</v>
      </c>
      <c r="R110" s="2938"/>
      <c r="S110" s="2938"/>
      <c r="T110" s="2938"/>
      <c r="U110" s="2938"/>
      <c r="V110" s="2938"/>
      <c r="W110" s="2938"/>
      <c r="X110" s="2939"/>
      <c r="Y110" s="2940">
        <f>ROUND(Q110*$Q$100,2)</f>
        <v>19678.3</v>
      </c>
      <c r="Z110" s="2941"/>
      <c r="AA110" s="2941"/>
      <c r="AB110" s="2941"/>
      <c r="AC110" s="2941"/>
      <c r="AD110" s="2941"/>
      <c r="AE110" s="2941"/>
      <c r="AF110" s="2942"/>
      <c r="AJ110" s="262"/>
    </row>
    <row r="111" spans="1:36" ht="48.95" customHeight="1" x14ac:dyDescent="0.25">
      <c r="A111" s="2935" t="s">
        <v>2798</v>
      </c>
      <c r="B111" s="2936"/>
      <c r="C111" s="2936"/>
      <c r="D111" s="2936"/>
      <c r="E111" s="2936"/>
      <c r="F111" s="2936"/>
      <c r="G111" s="2936"/>
      <c r="H111" s="2936"/>
      <c r="I111" s="1796">
        <f>ROUND((Q51*Q86/Q69)-(Q62*Q97/Q80),3)</f>
        <v>0.34399999999999997</v>
      </c>
      <c r="J111" s="1797"/>
      <c r="K111" s="1797"/>
      <c r="L111" s="1797"/>
      <c r="M111" s="1797"/>
      <c r="N111" s="1797"/>
      <c r="O111" s="1797"/>
      <c r="P111" s="1798"/>
      <c r="Q111" s="2937">
        <f>ROUND((Q51-Q62)*$Q$65,2)</f>
        <v>3014.48</v>
      </c>
      <c r="R111" s="2938"/>
      <c r="S111" s="2938"/>
      <c r="T111" s="2938"/>
      <c r="U111" s="2938"/>
      <c r="V111" s="2938"/>
      <c r="W111" s="2938"/>
      <c r="X111" s="2939"/>
      <c r="Y111" s="2940">
        <f t="shared" ref="Y111:Y117" si="3">ROUND(Q111*$Q$100,2)</f>
        <v>30144.799999999999</v>
      </c>
      <c r="Z111" s="2941"/>
      <c r="AA111" s="2941"/>
      <c r="AB111" s="2941"/>
      <c r="AC111" s="2941"/>
      <c r="AD111" s="2941"/>
      <c r="AE111" s="2941"/>
      <c r="AF111" s="2942"/>
      <c r="AJ111" s="262"/>
    </row>
    <row r="112" spans="1:36" ht="48.95" customHeight="1" x14ac:dyDescent="0.25">
      <c r="A112" s="2935" t="s">
        <v>2799</v>
      </c>
      <c r="B112" s="2936"/>
      <c r="C112" s="2936"/>
      <c r="D112" s="2936"/>
      <c r="E112" s="2936"/>
      <c r="F112" s="2936"/>
      <c r="G112" s="2936"/>
      <c r="H112" s="2936"/>
      <c r="I112" s="1796">
        <f>ROUND((Q52*Q87/Q70)-(Q63*Q98/Q81),3)</f>
        <v>0.54900000000000004</v>
      </c>
      <c r="J112" s="1797"/>
      <c r="K112" s="1797"/>
      <c r="L112" s="1797"/>
      <c r="M112" s="1797"/>
      <c r="N112" s="1797"/>
      <c r="O112" s="1797"/>
      <c r="P112" s="1798"/>
      <c r="Q112" s="2937">
        <f>ROUND((Q52-Q63)*$Q$65,2)</f>
        <v>4810.24</v>
      </c>
      <c r="R112" s="2938"/>
      <c r="S112" s="2938"/>
      <c r="T112" s="2938"/>
      <c r="U112" s="2938"/>
      <c r="V112" s="2938"/>
      <c r="W112" s="2938"/>
      <c r="X112" s="2939"/>
      <c r="Y112" s="2940">
        <f t="shared" si="3"/>
        <v>48102.400000000001</v>
      </c>
      <c r="Z112" s="2941"/>
      <c r="AA112" s="2941"/>
      <c r="AB112" s="2941"/>
      <c r="AC112" s="2941"/>
      <c r="AD112" s="2941"/>
      <c r="AE112" s="2941"/>
      <c r="AF112" s="2942"/>
      <c r="AJ112" s="262"/>
    </row>
    <row r="113" spans="1:122" ht="48.95" customHeight="1" x14ac:dyDescent="0.25">
      <c r="A113" s="2935" t="s">
        <v>2800</v>
      </c>
      <c r="B113" s="2936"/>
      <c r="C113" s="2936"/>
      <c r="D113" s="2936"/>
      <c r="E113" s="2936"/>
      <c r="F113" s="2936"/>
      <c r="G113" s="2936"/>
      <c r="H113" s="2936"/>
      <c r="I113" s="1796">
        <f>ROUND((Q53*Q88/Q71)-(Q64*Q99/Q82),3)</f>
        <v>1.032</v>
      </c>
      <c r="J113" s="1797"/>
      <c r="K113" s="1797"/>
      <c r="L113" s="1797"/>
      <c r="M113" s="1797"/>
      <c r="N113" s="1797"/>
      <c r="O113" s="1797"/>
      <c r="P113" s="1798"/>
      <c r="Q113" s="2937">
        <f>ROUND((Q53-Q64)*$Q$65,2)</f>
        <v>9041.89</v>
      </c>
      <c r="R113" s="2938"/>
      <c r="S113" s="2938"/>
      <c r="T113" s="2938"/>
      <c r="U113" s="2938"/>
      <c r="V113" s="2938"/>
      <c r="W113" s="2938"/>
      <c r="X113" s="2939"/>
      <c r="Y113" s="2940">
        <f t="shared" si="3"/>
        <v>90418.9</v>
      </c>
      <c r="Z113" s="2941"/>
      <c r="AA113" s="2941"/>
      <c r="AB113" s="2941"/>
      <c r="AC113" s="2941"/>
      <c r="AD113" s="2941"/>
      <c r="AE113" s="2941"/>
      <c r="AF113" s="2942"/>
    </row>
    <row r="114" spans="1:122" ht="48.95" customHeight="1" x14ac:dyDescent="0.25">
      <c r="A114" s="2935" t="s">
        <v>2801</v>
      </c>
      <c r="B114" s="2936"/>
      <c r="C114" s="2936"/>
      <c r="D114" s="2936"/>
      <c r="E114" s="2936"/>
      <c r="F114" s="2936"/>
      <c r="G114" s="2936"/>
      <c r="H114" s="2936"/>
      <c r="I114" s="1796">
        <f>ROUND((Q55*Q90/Q73)-(Q61*Q96/Q79),3)</f>
        <v>0.40600000000000003</v>
      </c>
      <c r="J114" s="1797"/>
      <c r="K114" s="1797"/>
      <c r="L114" s="1797"/>
      <c r="M114" s="1797"/>
      <c r="N114" s="1797"/>
      <c r="O114" s="1797"/>
      <c r="P114" s="1798"/>
      <c r="Q114" s="2937">
        <f>ROUND((Q55-Q61)*$Q$65,2)</f>
        <v>3555.14</v>
      </c>
      <c r="R114" s="2938"/>
      <c r="S114" s="2938"/>
      <c r="T114" s="2938"/>
      <c r="U114" s="2938"/>
      <c r="V114" s="2938"/>
      <c r="W114" s="2938"/>
      <c r="X114" s="2939"/>
      <c r="Y114" s="2940">
        <f t="shared" si="3"/>
        <v>35551.4</v>
      </c>
      <c r="Z114" s="2941"/>
      <c r="AA114" s="2941"/>
      <c r="AB114" s="2941"/>
      <c r="AC114" s="2941"/>
      <c r="AD114" s="2941"/>
      <c r="AE114" s="2941"/>
      <c r="AF114" s="2942"/>
    </row>
    <row r="115" spans="1:122" ht="48.95" customHeight="1" x14ac:dyDescent="0.25">
      <c r="A115" s="2935" t="s">
        <v>2802</v>
      </c>
      <c r="B115" s="2936"/>
      <c r="C115" s="2936"/>
      <c r="D115" s="2936"/>
      <c r="E115" s="2936"/>
      <c r="F115" s="2936"/>
      <c r="G115" s="2936"/>
      <c r="H115" s="2936"/>
      <c r="I115" s="1796">
        <f>ROUND((Q56*Q91/Q74)-(Q62*Q97/Q80),3)</f>
        <v>0.34399999999999997</v>
      </c>
      <c r="J115" s="1797"/>
      <c r="K115" s="1797"/>
      <c r="L115" s="1797"/>
      <c r="M115" s="1797"/>
      <c r="N115" s="1797"/>
      <c r="O115" s="1797"/>
      <c r="P115" s="1798"/>
      <c r="Q115" s="2937">
        <f>ROUND((Q56-Q62)*$Q$65,2)</f>
        <v>3014.48</v>
      </c>
      <c r="R115" s="2938"/>
      <c r="S115" s="2938"/>
      <c r="T115" s="2938"/>
      <c r="U115" s="2938"/>
      <c r="V115" s="2938"/>
      <c r="W115" s="2938"/>
      <c r="X115" s="2939"/>
      <c r="Y115" s="2940">
        <f>ROUND(Q115*$Q$100,2)</f>
        <v>30144.799999999999</v>
      </c>
      <c r="Z115" s="2941"/>
      <c r="AA115" s="2941"/>
      <c r="AB115" s="2941"/>
      <c r="AC115" s="2941"/>
      <c r="AD115" s="2941"/>
      <c r="AE115" s="2941"/>
      <c r="AF115" s="2942"/>
      <c r="AJ115" s="262"/>
    </row>
    <row r="116" spans="1:122" ht="48.95" customHeight="1" x14ac:dyDescent="0.25">
      <c r="A116" s="2935" t="s">
        <v>2803</v>
      </c>
      <c r="B116" s="2936"/>
      <c r="C116" s="2936"/>
      <c r="D116" s="2936"/>
      <c r="E116" s="2936"/>
      <c r="F116" s="2936"/>
      <c r="G116" s="2936"/>
      <c r="H116" s="2936"/>
      <c r="I116" s="1796">
        <f>ROUND((Q57*Q92/Q75)-(Q63*Q98/Q81),3)</f>
        <v>0.54900000000000004</v>
      </c>
      <c r="J116" s="1797"/>
      <c r="K116" s="1797"/>
      <c r="L116" s="1797"/>
      <c r="M116" s="1797"/>
      <c r="N116" s="1797"/>
      <c r="O116" s="1797"/>
      <c r="P116" s="1798"/>
      <c r="Q116" s="2937">
        <f>ROUND((Q57-Q63)*$Q$65,2)</f>
        <v>4810.24</v>
      </c>
      <c r="R116" s="2938"/>
      <c r="S116" s="2938"/>
      <c r="T116" s="2938"/>
      <c r="U116" s="2938"/>
      <c r="V116" s="2938"/>
      <c r="W116" s="2938"/>
      <c r="X116" s="2939"/>
      <c r="Y116" s="2940">
        <f t="shared" si="3"/>
        <v>48102.400000000001</v>
      </c>
      <c r="Z116" s="2941"/>
      <c r="AA116" s="2941"/>
      <c r="AB116" s="2941"/>
      <c r="AC116" s="2941"/>
      <c r="AD116" s="2941"/>
      <c r="AE116" s="2941"/>
      <c r="AF116" s="2942"/>
      <c r="AJ116" s="262"/>
    </row>
    <row r="117" spans="1:122" ht="48.95" customHeight="1" thickBot="1" x14ac:dyDescent="0.3">
      <c r="A117" s="1851" t="s">
        <v>2804</v>
      </c>
      <c r="B117" s="1852"/>
      <c r="C117" s="1852"/>
      <c r="D117" s="1852"/>
      <c r="E117" s="1852"/>
      <c r="F117" s="1852"/>
      <c r="G117" s="1852"/>
      <c r="H117" s="1852"/>
      <c r="I117" s="1634">
        <f>ROUND((Q58*Q93/Q76)-(Q64*Q99/Q82),3)</f>
        <v>0.93100000000000005</v>
      </c>
      <c r="J117" s="1634"/>
      <c r="K117" s="1634"/>
      <c r="L117" s="1634"/>
      <c r="M117" s="1634"/>
      <c r="N117" s="1634"/>
      <c r="O117" s="1634"/>
      <c r="P117" s="1634"/>
      <c r="Q117" s="2945">
        <f>ROUND((Q58-Q64)*$Q$65,2)</f>
        <v>8151.47</v>
      </c>
      <c r="R117" s="2945"/>
      <c r="S117" s="2945"/>
      <c r="T117" s="2945"/>
      <c r="U117" s="2945"/>
      <c r="V117" s="2945"/>
      <c r="W117" s="2945"/>
      <c r="X117" s="2945"/>
      <c r="Y117" s="2946">
        <f t="shared" si="3"/>
        <v>81514.7</v>
      </c>
      <c r="Z117" s="2947"/>
      <c r="AA117" s="2947"/>
      <c r="AB117" s="2947"/>
      <c r="AC117" s="2947"/>
      <c r="AD117" s="2947"/>
      <c r="AE117" s="2947"/>
      <c r="AF117" s="2948"/>
    </row>
    <row r="118" spans="1:122" x14ac:dyDescent="0.25">
      <c r="A118" s="262"/>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62"/>
      <c r="AE118" s="262"/>
      <c r="AF118" s="262"/>
    </row>
    <row r="119" spans="1:122" x14ac:dyDescent="0.25">
      <c r="A119" s="1621" t="s">
        <v>1753</v>
      </c>
      <c r="B119" s="1621"/>
      <c r="C119" s="1621"/>
      <c r="D119" s="1621"/>
      <c r="E119" s="1621"/>
      <c r="F119" s="1621"/>
      <c r="G119" s="1621"/>
      <c r="H119" s="1621"/>
      <c r="I119" s="1621"/>
      <c r="J119" s="1621"/>
      <c r="K119" s="1621"/>
      <c r="L119" s="1621"/>
      <c r="M119" s="1621"/>
      <c r="N119" s="1621"/>
      <c r="O119" s="1621"/>
      <c r="P119" s="1621"/>
      <c r="Q119" s="1621"/>
      <c r="R119" s="1621"/>
      <c r="S119" s="1621"/>
      <c r="T119" s="1621"/>
      <c r="U119" s="1621"/>
      <c r="V119" s="1621"/>
      <c r="W119" s="1621"/>
      <c r="X119" s="1621"/>
      <c r="Y119" s="1621"/>
      <c r="Z119" s="1621"/>
      <c r="AA119" s="1621"/>
      <c r="AB119" s="1621"/>
      <c r="AC119" s="1621"/>
      <c r="AD119" s="1621"/>
      <c r="AE119" s="1621"/>
      <c r="AF119" s="1621"/>
    </row>
    <row r="120" spans="1:122" x14ac:dyDescent="0.25">
      <c r="A120" s="262"/>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262"/>
      <c r="AF120" s="262"/>
    </row>
    <row r="121" spans="1:122" ht="34.5" customHeight="1" x14ac:dyDescent="0.25">
      <c r="A121" s="517" t="s">
        <v>1013</v>
      </c>
      <c r="B121" s="1589" t="s">
        <v>7047</v>
      </c>
      <c r="C121" s="1589"/>
      <c r="D121" s="1589"/>
      <c r="E121" s="1589"/>
      <c r="F121" s="1589"/>
      <c r="G121" s="1589"/>
      <c r="H121" s="1589"/>
      <c r="I121" s="1589"/>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row>
    <row r="122" spans="1:122" s="1" customFormat="1" x14ac:dyDescent="0.25">
      <c r="A122" s="517" t="s">
        <v>1013</v>
      </c>
      <c r="B122" s="1173" t="s">
        <v>2813</v>
      </c>
      <c r="C122" s="1173"/>
      <c r="D122" s="1173"/>
      <c r="E122" s="1173"/>
      <c r="F122" s="1173"/>
      <c r="G122" s="1173"/>
      <c r="H122" s="1173"/>
      <c r="I122" s="1173"/>
      <c r="J122" s="1173"/>
      <c r="K122" s="1173"/>
      <c r="L122" s="1173"/>
      <c r="M122" s="1173"/>
      <c r="N122" s="1173"/>
      <c r="O122" s="1173"/>
      <c r="P122" s="1173"/>
      <c r="Q122" s="1173"/>
      <c r="R122" s="1173"/>
      <c r="S122" s="1173"/>
      <c r="T122" s="1173"/>
      <c r="U122" s="1173"/>
      <c r="V122" s="1173"/>
      <c r="W122" s="1173"/>
      <c r="X122" s="1173"/>
      <c r="Y122" s="1173"/>
      <c r="Z122" s="1173"/>
      <c r="AA122" s="1173"/>
      <c r="AB122" s="1173"/>
      <c r="AC122" s="1173"/>
      <c r="AD122" s="1173"/>
      <c r="AE122" s="1173"/>
      <c r="AF122" s="1173"/>
      <c r="AG122" s="262"/>
      <c r="AH122" s="262"/>
      <c r="AI122" s="262"/>
      <c r="AJ122" s="262"/>
      <c r="AK122" s="262"/>
      <c r="AL122" s="262"/>
      <c r="AM122" s="262"/>
      <c r="AN122" s="262"/>
      <c r="AO122" s="262"/>
      <c r="AP122" s="262"/>
      <c r="AQ122" s="262"/>
      <c r="AR122" s="262"/>
      <c r="AS122" s="262"/>
      <c r="AT122" s="262"/>
      <c r="AU122" s="262"/>
      <c r="AV122" s="262"/>
      <c r="AW122" s="262"/>
      <c r="AX122" s="262"/>
      <c r="AY122" s="262"/>
      <c r="AZ122" s="262"/>
      <c r="BA122" s="262"/>
      <c r="BB122" s="262"/>
      <c r="BC122" s="262"/>
      <c r="BD122" s="262"/>
      <c r="BE122" s="262"/>
      <c r="BF122" s="262"/>
      <c r="BG122" s="262"/>
      <c r="BH122" s="262"/>
      <c r="BI122" s="262"/>
      <c r="BJ122" s="262"/>
      <c r="BK122" s="262"/>
      <c r="BL122" s="262"/>
      <c r="BM122" s="262"/>
      <c r="BN122" s="262"/>
      <c r="BO122" s="262"/>
      <c r="BP122" s="262"/>
      <c r="BQ122" s="262"/>
      <c r="BR122" s="262"/>
      <c r="BS122" s="262"/>
      <c r="BT122" s="262"/>
      <c r="BU122" s="262"/>
      <c r="BV122" s="262"/>
      <c r="BW122" s="262"/>
      <c r="BX122" s="262"/>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2"/>
      <c r="CV122" s="262"/>
      <c r="CW122" s="262"/>
      <c r="CX122" s="262"/>
      <c r="CY122" s="262"/>
      <c r="CZ122" s="262"/>
      <c r="DA122" s="262"/>
      <c r="DB122" s="262"/>
      <c r="DC122" s="262"/>
      <c r="DD122" s="262"/>
      <c r="DE122" s="262"/>
      <c r="DF122" s="262"/>
      <c r="DG122" s="262"/>
      <c r="DH122" s="262"/>
      <c r="DI122" s="262"/>
      <c r="DJ122" s="262"/>
      <c r="DK122" s="262"/>
      <c r="DL122" s="262"/>
      <c r="DM122" s="262"/>
      <c r="DN122" s="262"/>
      <c r="DO122" s="262"/>
      <c r="DP122" s="262"/>
      <c r="DQ122" s="262"/>
      <c r="DR122" s="262"/>
    </row>
    <row r="123" spans="1:122" s="683" customFormat="1" ht="46.5" customHeight="1" x14ac:dyDescent="0.25">
      <c r="A123" s="517" t="s">
        <v>1013</v>
      </c>
      <c r="B123" s="1168" t="s">
        <v>7048</v>
      </c>
      <c r="C123" s="1168"/>
      <c r="D123" s="1168"/>
      <c r="E123" s="1168"/>
      <c r="F123" s="1168"/>
      <c r="G123" s="1168"/>
      <c r="H123" s="1168"/>
      <c r="I123" s="1168"/>
      <c r="J123" s="1168"/>
      <c r="K123" s="1168"/>
      <c r="L123" s="1168"/>
      <c r="M123" s="1168"/>
      <c r="N123" s="1168"/>
      <c r="O123" s="1168"/>
      <c r="P123" s="1168"/>
      <c r="Q123" s="1168"/>
      <c r="R123" s="1168"/>
      <c r="S123" s="1168"/>
      <c r="T123" s="1168"/>
      <c r="U123" s="1168"/>
      <c r="V123" s="1168"/>
      <c r="W123" s="1168"/>
      <c r="X123" s="1168"/>
      <c r="Y123" s="1168"/>
      <c r="Z123" s="1168"/>
      <c r="AA123" s="1168"/>
      <c r="AB123" s="1168"/>
      <c r="AC123" s="1168"/>
      <c r="AD123" s="1168"/>
      <c r="AE123" s="1168"/>
      <c r="AF123" s="1168"/>
      <c r="AG123" s="262"/>
      <c r="AH123" s="262"/>
      <c r="AI123" s="262"/>
      <c r="AJ123" s="227"/>
      <c r="AK123" s="262"/>
      <c r="AL123" s="262"/>
      <c r="AM123" s="262"/>
      <c r="AN123" s="262"/>
      <c r="AO123" s="262"/>
      <c r="AP123" s="262"/>
      <c r="AQ123" s="262"/>
      <c r="AR123" s="262"/>
      <c r="AS123" s="262"/>
      <c r="AT123" s="262"/>
      <c r="AU123" s="262"/>
      <c r="AV123" s="262"/>
      <c r="AW123" s="262"/>
      <c r="AX123" s="262"/>
      <c r="AY123" s="262"/>
      <c r="AZ123" s="262"/>
      <c r="BA123" s="262"/>
      <c r="BB123" s="262"/>
      <c r="BC123" s="262"/>
      <c r="BD123" s="262"/>
      <c r="BE123" s="262"/>
      <c r="BF123" s="262"/>
      <c r="BG123" s="262"/>
      <c r="BH123" s="262"/>
      <c r="BI123" s="262"/>
      <c r="BJ123" s="262"/>
      <c r="BK123" s="262"/>
      <c r="BL123" s="262"/>
      <c r="BM123" s="262"/>
      <c r="BN123" s="262"/>
      <c r="BO123" s="262"/>
      <c r="BP123" s="262"/>
      <c r="BQ123" s="262"/>
      <c r="BR123" s="262"/>
      <c r="BS123" s="262"/>
      <c r="BT123" s="262"/>
      <c r="BU123" s="262"/>
      <c r="BV123" s="262"/>
      <c r="BW123" s="262"/>
      <c r="BX123" s="262"/>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2"/>
      <c r="CV123" s="262"/>
      <c r="CW123" s="262"/>
      <c r="CX123" s="262"/>
      <c r="CY123" s="262"/>
      <c r="CZ123" s="262"/>
      <c r="DA123" s="262"/>
      <c r="DB123" s="262"/>
      <c r="DC123" s="262"/>
      <c r="DD123" s="262"/>
      <c r="DE123" s="262"/>
      <c r="DF123" s="262"/>
      <c r="DG123" s="262"/>
      <c r="DH123" s="262"/>
      <c r="DI123" s="262"/>
      <c r="DJ123" s="262"/>
      <c r="DK123" s="262"/>
      <c r="DL123" s="262"/>
      <c r="DM123" s="262"/>
      <c r="DN123" s="262"/>
      <c r="DO123" s="262"/>
      <c r="DP123" s="262"/>
      <c r="DQ123" s="262"/>
      <c r="DR123" s="262"/>
    </row>
    <row r="124" spans="1:122" s="683" customFormat="1" ht="46.5" customHeight="1" x14ac:dyDescent="0.25">
      <c r="A124" s="517" t="s">
        <v>1013</v>
      </c>
      <c r="B124" s="1173" t="s">
        <v>7049</v>
      </c>
      <c r="C124" s="1173"/>
      <c r="D124" s="1173"/>
      <c r="E124" s="1173"/>
      <c r="F124" s="1173"/>
      <c r="G124" s="1173"/>
      <c r="H124" s="1173"/>
      <c r="I124" s="1173"/>
      <c r="J124" s="1173"/>
      <c r="K124" s="1173"/>
      <c r="L124" s="1173"/>
      <c r="M124" s="1173"/>
      <c r="N124" s="1173"/>
      <c r="O124" s="1173"/>
      <c r="P124" s="1173"/>
      <c r="Q124" s="1173"/>
      <c r="R124" s="1173"/>
      <c r="S124" s="1173"/>
      <c r="T124" s="1173"/>
      <c r="U124" s="1173"/>
      <c r="V124" s="1173"/>
      <c r="W124" s="1173"/>
      <c r="X124" s="1173"/>
      <c r="Y124" s="1173"/>
      <c r="Z124" s="1173"/>
      <c r="AA124" s="1173"/>
      <c r="AB124" s="1173"/>
      <c r="AC124" s="1173"/>
      <c r="AD124" s="1173"/>
      <c r="AE124" s="1173"/>
      <c r="AF124" s="1173"/>
      <c r="AG124" s="262"/>
      <c r="AH124" s="262"/>
      <c r="AI124" s="262"/>
      <c r="AJ124" s="227"/>
      <c r="AK124" s="262"/>
      <c r="AL124" s="262"/>
      <c r="AM124" s="262"/>
      <c r="AN124" s="262"/>
      <c r="AO124" s="262"/>
      <c r="AP124" s="262"/>
      <c r="AQ124" s="262"/>
      <c r="AR124" s="262"/>
      <c r="AS124" s="262"/>
      <c r="AT124" s="262"/>
      <c r="AU124" s="262"/>
      <c r="AV124" s="262"/>
      <c r="AW124" s="262"/>
      <c r="AX124" s="262"/>
      <c r="AY124" s="262"/>
      <c r="AZ124" s="262"/>
      <c r="BA124" s="262"/>
      <c r="BB124" s="262"/>
      <c r="BC124" s="262"/>
      <c r="BD124" s="262"/>
      <c r="BE124" s="262"/>
      <c r="BF124" s="262"/>
      <c r="BG124" s="262"/>
      <c r="BH124" s="262"/>
      <c r="BI124" s="262"/>
      <c r="BJ124" s="262"/>
      <c r="BK124" s="262"/>
      <c r="BL124" s="262"/>
      <c r="BM124" s="262"/>
      <c r="BN124" s="262"/>
      <c r="BO124" s="262"/>
      <c r="BP124" s="262"/>
      <c r="BQ124" s="262"/>
      <c r="BR124" s="262"/>
      <c r="BS124" s="262"/>
      <c r="BT124" s="262"/>
      <c r="BU124" s="262"/>
      <c r="BV124" s="262"/>
      <c r="BW124" s="262"/>
      <c r="BX124" s="262"/>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2"/>
      <c r="CV124" s="262"/>
      <c r="CW124" s="262"/>
      <c r="CX124" s="262"/>
      <c r="CY124" s="262"/>
      <c r="CZ124" s="262"/>
      <c r="DA124" s="262"/>
      <c r="DB124" s="262"/>
      <c r="DC124" s="262"/>
      <c r="DD124" s="262"/>
      <c r="DE124" s="262"/>
      <c r="DF124" s="262"/>
      <c r="DG124" s="262"/>
      <c r="DH124" s="262"/>
      <c r="DI124" s="262"/>
      <c r="DJ124" s="262"/>
      <c r="DK124" s="262"/>
      <c r="DL124" s="262"/>
      <c r="DM124" s="262"/>
      <c r="DN124" s="262"/>
      <c r="DO124" s="262"/>
      <c r="DP124" s="262"/>
      <c r="DQ124" s="262"/>
      <c r="DR124" s="262"/>
    </row>
    <row r="125" spans="1:122" ht="45.75" customHeight="1" x14ac:dyDescent="0.25">
      <c r="A125" s="517" t="s">
        <v>1013</v>
      </c>
      <c r="B125" s="1168" t="s">
        <v>2810</v>
      </c>
      <c r="C125" s="1168"/>
      <c r="D125" s="1168"/>
      <c r="E125" s="1168"/>
      <c r="F125" s="1168"/>
      <c r="G125" s="1168"/>
      <c r="H125" s="1168"/>
      <c r="I125" s="1168"/>
      <c r="J125" s="1168"/>
      <c r="K125" s="1168"/>
      <c r="L125" s="1168"/>
      <c r="M125" s="1168"/>
      <c r="N125" s="1168"/>
      <c r="O125" s="1168"/>
      <c r="P125" s="1168"/>
      <c r="Q125" s="1168"/>
      <c r="R125" s="1168"/>
      <c r="S125" s="1168"/>
      <c r="T125" s="1168"/>
      <c r="U125" s="1168"/>
      <c r="V125" s="1168"/>
      <c r="W125" s="1168"/>
      <c r="X125" s="1168"/>
      <c r="Y125" s="1168"/>
      <c r="Z125" s="1168"/>
      <c r="AA125" s="1168"/>
      <c r="AB125" s="1168"/>
      <c r="AC125" s="1168"/>
      <c r="AD125" s="1168"/>
      <c r="AE125" s="1168"/>
      <c r="AF125" s="1168"/>
    </row>
    <row r="126" spans="1:122" ht="48" customHeight="1" x14ac:dyDescent="0.25">
      <c r="A126" s="517" t="s">
        <v>1013</v>
      </c>
      <c r="B126" s="1168" t="s">
        <v>3068</v>
      </c>
      <c r="C126" s="1168"/>
      <c r="D126" s="1168"/>
      <c r="E126" s="1168"/>
      <c r="F126" s="1168"/>
      <c r="G126" s="1168"/>
      <c r="H126" s="1168"/>
      <c r="I126" s="1168"/>
      <c r="J126" s="1168"/>
      <c r="K126" s="1168"/>
      <c r="L126" s="1168"/>
      <c r="M126" s="1168"/>
      <c r="N126" s="1168"/>
      <c r="O126" s="1168"/>
      <c r="P126" s="1168"/>
      <c r="Q126" s="1168"/>
      <c r="R126" s="1168"/>
      <c r="S126" s="1168"/>
      <c r="T126" s="1168"/>
      <c r="U126" s="1168"/>
      <c r="V126" s="1168"/>
      <c r="W126" s="1168"/>
      <c r="X126" s="1168"/>
      <c r="Y126" s="1168"/>
      <c r="Z126" s="1168"/>
      <c r="AA126" s="1168"/>
      <c r="AB126" s="1168"/>
      <c r="AC126" s="1168"/>
      <c r="AD126" s="1168"/>
      <c r="AE126" s="1168"/>
      <c r="AF126" s="1168"/>
    </row>
    <row r="127" spans="1:122" ht="50.25" customHeight="1" x14ac:dyDescent="0.25">
      <c r="A127" s="517" t="s">
        <v>1013</v>
      </c>
      <c r="B127" s="1168" t="s">
        <v>2809</v>
      </c>
      <c r="C127" s="1168"/>
      <c r="D127" s="1168"/>
      <c r="E127" s="1168"/>
      <c r="F127" s="1168"/>
      <c r="G127" s="1168"/>
      <c r="H127" s="1168"/>
      <c r="I127" s="1168"/>
      <c r="J127" s="1168"/>
      <c r="K127" s="1168"/>
      <c r="L127" s="1168"/>
      <c r="M127" s="1168"/>
      <c r="N127" s="1168"/>
      <c r="O127" s="1168"/>
      <c r="P127" s="1168"/>
      <c r="Q127" s="1168"/>
      <c r="R127" s="1168"/>
      <c r="S127" s="1168"/>
      <c r="T127" s="1168"/>
      <c r="U127" s="1168"/>
      <c r="V127" s="1168"/>
      <c r="W127" s="1168"/>
      <c r="X127" s="1168"/>
      <c r="Y127" s="1168"/>
      <c r="Z127" s="1168"/>
      <c r="AA127" s="1168"/>
      <c r="AB127" s="1168"/>
      <c r="AC127" s="1168"/>
      <c r="AD127" s="1168"/>
      <c r="AE127" s="1168"/>
      <c r="AF127" s="1168"/>
    </row>
  </sheetData>
  <sheetProtection algorithmName="SHA-512" hashValue="IULIv+NOEsZxdCnEu6wNHbBvIXmx8KDInwdl71SG0Siy8KpBt8gPa9F2qAveQCrsY35P6zxbtiwDInum0Fnc2w==" saltValue="TCkFS4bO9ncRpbdKa4rVxQ==" spinCount="100000" sheet="1" objects="1" scenarios="1"/>
  <mergeCells count="261">
    <mergeCell ref="B121:AF121"/>
    <mergeCell ref="B122:AF122"/>
    <mergeCell ref="B123:AF123"/>
    <mergeCell ref="B124:AF124"/>
    <mergeCell ref="B125:AF125"/>
    <mergeCell ref="B126:AF126"/>
    <mergeCell ref="B127:AF127"/>
    <mergeCell ref="A116:H116"/>
    <mergeCell ref="I116:P116"/>
    <mergeCell ref="Q116:X116"/>
    <mergeCell ref="Y116:AF116"/>
    <mergeCell ref="A117:H117"/>
    <mergeCell ref="I117:P117"/>
    <mergeCell ref="Q117:X117"/>
    <mergeCell ref="Y117:AF117"/>
    <mergeCell ref="A119:AF119"/>
    <mergeCell ref="A113:H113"/>
    <mergeCell ref="I113:P113"/>
    <mergeCell ref="Q113:X113"/>
    <mergeCell ref="Y113:AF113"/>
    <mergeCell ref="A114:H114"/>
    <mergeCell ref="I114:P114"/>
    <mergeCell ref="Q114:X114"/>
    <mergeCell ref="Y114:AF114"/>
    <mergeCell ref="A115:H115"/>
    <mergeCell ref="I115:P115"/>
    <mergeCell ref="Q115:X115"/>
    <mergeCell ref="Y115:AF115"/>
    <mergeCell ref="I108:P109"/>
    <mergeCell ref="Q108:X109"/>
    <mergeCell ref="Y108:AF109"/>
    <mergeCell ref="A111:H111"/>
    <mergeCell ref="I111:P111"/>
    <mergeCell ref="Q111:X111"/>
    <mergeCell ref="Y111:AF111"/>
    <mergeCell ref="A112:H112"/>
    <mergeCell ref="I112:P112"/>
    <mergeCell ref="Q112:X112"/>
    <mergeCell ref="Y112:AF112"/>
    <mergeCell ref="A110:H110"/>
    <mergeCell ref="I110:P110"/>
    <mergeCell ref="Q110:X110"/>
    <mergeCell ref="Y110:AF110"/>
    <mergeCell ref="A108:H108"/>
    <mergeCell ref="A109:H109"/>
    <mergeCell ref="A100:D100"/>
    <mergeCell ref="E100:P100"/>
    <mergeCell ref="Q100:T100"/>
    <mergeCell ref="U100:W100"/>
    <mergeCell ref="X100:AF100"/>
    <mergeCell ref="A101:AF101"/>
    <mergeCell ref="A102:AF102"/>
    <mergeCell ref="A103:AF103"/>
    <mergeCell ref="A106:AF106"/>
    <mergeCell ref="X94:AF99"/>
    <mergeCell ref="E97:P97"/>
    <mergeCell ref="Q97:T97"/>
    <mergeCell ref="U97:W97"/>
    <mergeCell ref="E98:P98"/>
    <mergeCell ref="Q98:T98"/>
    <mergeCell ref="U98:W98"/>
    <mergeCell ref="E99:P99"/>
    <mergeCell ref="Q99:T99"/>
    <mergeCell ref="U99:W99"/>
    <mergeCell ref="A47:D47"/>
    <mergeCell ref="X47:AF47"/>
    <mergeCell ref="A48:D58"/>
    <mergeCell ref="X48:AF58"/>
    <mergeCell ref="A59:D64"/>
    <mergeCell ref="X59:AF64"/>
    <mergeCell ref="A65:D65"/>
    <mergeCell ref="X65:AF65"/>
    <mergeCell ref="A66:D76"/>
    <mergeCell ref="X66:AF76"/>
    <mergeCell ref="U60:W60"/>
    <mergeCell ref="E53:P53"/>
    <mergeCell ref="Q53:T53"/>
    <mergeCell ref="U53:W53"/>
    <mergeCell ref="E54:P54"/>
    <mergeCell ref="Q54:T54"/>
    <mergeCell ref="U54:W54"/>
    <mergeCell ref="E51:P51"/>
    <mergeCell ref="Q51:T51"/>
    <mergeCell ref="U51:W51"/>
    <mergeCell ref="E52:P52"/>
    <mergeCell ref="Q52:T52"/>
    <mergeCell ref="U52:W52"/>
    <mergeCell ref="E61:P61"/>
    <mergeCell ref="A29:AF29"/>
    <mergeCell ref="B33:AE33"/>
    <mergeCell ref="B37:AE38"/>
    <mergeCell ref="AF37:AF38"/>
    <mergeCell ref="A44:AF44"/>
    <mergeCell ref="A45:D45"/>
    <mergeCell ref="X45:AF45"/>
    <mergeCell ref="A46:D46"/>
    <mergeCell ref="X46:AF46"/>
    <mergeCell ref="A1:AF1"/>
    <mergeCell ref="A7:AF7"/>
    <mergeCell ref="B9:I9"/>
    <mergeCell ref="B12:I12"/>
    <mergeCell ref="B10:AF10"/>
    <mergeCell ref="B13:AF13"/>
    <mergeCell ref="B14:AF14"/>
    <mergeCell ref="B15:AF15"/>
    <mergeCell ref="B17:I17"/>
    <mergeCell ref="A3:AF3"/>
    <mergeCell ref="B5:AF5"/>
    <mergeCell ref="B18:AF18"/>
    <mergeCell ref="B20:I20"/>
    <mergeCell ref="B21:AF21"/>
    <mergeCell ref="B24:AF24"/>
    <mergeCell ref="B25:AF25"/>
    <mergeCell ref="E49:P49"/>
    <mergeCell ref="Q49:T49"/>
    <mergeCell ref="U49:W49"/>
    <mergeCell ref="E50:P50"/>
    <mergeCell ref="Q50:T50"/>
    <mergeCell ref="U50:W50"/>
    <mergeCell ref="E47:P47"/>
    <mergeCell ref="Q47:T47"/>
    <mergeCell ref="U47:W47"/>
    <mergeCell ref="E48:P48"/>
    <mergeCell ref="Q48:T48"/>
    <mergeCell ref="U48:W48"/>
    <mergeCell ref="E45:P45"/>
    <mergeCell ref="Q45:T45"/>
    <mergeCell ref="U45:W45"/>
    <mergeCell ref="E46:P46"/>
    <mergeCell ref="Q46:T46"/>
    <mergeCell ref="U46:W46"/>
    <mergeCell ref="B26:AF26"/>
    <mergeCell ref="Q61:T61"/>
    <mergeCell ref="U61:W61"/>
    <mergeCell ref="E55:P55"/>
    <mergeCell ref="Q55:T55"/>
    <mergeCell ref="U55:W55"/>
    <mergeCell ref="E56:P56"/>
    <mergeCell ref="Q56:T56"/>
    <mergeCell ref="U56:W56"/>
    <mergeCell ref="E57:P57"/>
    <mergeCell ref="Q57:T57"/>
    <mergeCell ref="U57:W57"/>
    <mergeCell ref="E58:P58"/>
    <mergeCell ref="Q58:T58"/>
    <mergeCell ref="U58:W58"/>
    <mergeCell ref="E59:P59"/>
    <mergeCell ref="Q59:T59"/>
    <mergeCell ref="U59:W59"/>
    <mergeCell ref="E60:P60"/>
    <mergeCell ref="Q60:T60"/>
    <mergeCell ref="E63:P63"/>
    <mergeCell ref="Q63:T63"/>
    <mergeCell ref="U63:W63"/>
    <mergeCell ref="E64:P64"/>
    <mergeCell ref="Q64:T64"/>
    <mergeCell ref="U64:W64"/>
    <mergeCell ref="E65:P65"/>
    <mergeCell ref="Q65:T65"/>
    <mergeCell ref="U65:W65"/>
    <mergeCell ref="U73:W73"/>
    <mergeCell ref="E70:P70"/>
    <mergeCell ref="Q70:T70"/>
    <mergeCell ref="U70:W70"/>
    <mergeCell ref="E71:P71"/>
    <mergeCell ref="Q71:T71"/>
    <mergeCell ref="U71:W71"/>
    <mergeCell ref="E66:P66"/>
    <mergeCell ref="E68:P68"/>
    <mergeCell ref="Q68:T68"/>
    <mergeCell ref="U68:W68"/>
    <mergeCell ref="E69:P69"/>
    <mergeCell ref="Q69:T69"/>
    <mergeCell ref="U69:W69"/>
    <mergeCell ref="Q66:T66"/>
    <mergeCell ref="U66:W66"/>
    <mergeCell ref="E67:P67"/>
    <mergeCell ref="Q67:T67"/>
    <mergeCell ref="U67:W67"/>
    <mergeCell ref="E62:P62"/>
    <mergeCell ref="Q62:T62"/>
    <mergeCell ref="U62:W62"/>
    <mergeCell ref="A77:D82"/>
    <mergeCell ref="E74:P74"/>
    <mergeCell ref="Q74:T74"/>
    <mergeCell ref="U74:W74"/>
    <mergeCell ref="E75:P75"/>
    <mergeCell ref="Q75:T75"/>
    <mergeCell ref="U75:W75"/>
    <mergeCell ref="E76:P76"/>
    <mergeCell ref="Q76:T76"/>
    <mergeCell ref="U76:W76"/>
    <mergeCell ref="E77:P77"/>
    <mergeCell ref="Q77:T77"/>
    <mergeCell ref="U77:W77"/>
    <mergeCell ref="E78:P78"/>
    <mergeCell ref="Q78:T78"/>
    <mergeCell ref="U78:W78"/>
    <mergeCell ref="E72:P72"/>
    <mergeCell ref="Q72:T72"/>
    <mergeCell ref="U72:W72"/>
    <mergeCell ref="E73:P73"/>
    <mergeCell ref="Q73:T73"/>
    <mergeCell ref="X77:AF82"/>
    <mergeCell ref="E80:P80"/>
    <mergeCell ref="Q80:T80"/>
    <mergeCell ref="U80:W80"/>
    <mergeCell ref="E81:P81"/>
    <mergeCell ref="Q81:T81"/>
    <mergeCell ref="U81:W81"/>
    <mergeCell ref="E82:P82"/>
    <mergeCell ref="Q82:T82"/>
    <mergeCell ref="U82:W82"/>
    <mergeCell ref="E79:P79"/>
    <mergeCell ref="Q79:T79"/>
    <mergeCell ref="U79:W79"/>
    <mergeCell ref="X83:AF93"/>
    <mergeCell ref="Q94:T94"/>
    <mergeCell ref="E88:P88"/>
    <mergeCell ref="Q88:T88"/>
    <mergeCell ref="U88:W88"/>
    <mergeCell ref="E89:P89"/>
    <mergeCell ref="Q89:T89"/>
    <mergeCell ref="U89:W89"/>
    <mergeCell ref="Q84:T84"/>
    <mergeCell ref="U84:W84"/>
    <mergeCell ref="E85:P85"/>
    <mergeCell ref="Q85:T85"/>
    <mergeCell ref="U85:W85"/>
    <mergeCell ref="E92:P92"/>
    <mergeCell ref="Q92:T92"/>
    <mergeCell ref="U92:W92"/>
    <mergeCell ref="E93:P93"/>
    <mergeCell ref="Q93:T93"/>
    <mergeCell ref="U93:W93"/>
    <mergeCell ref="E83:P83"/>
    <mergeCell ref="Q83:T83"/>
    <mergeCell ref="E86:P86"/>
    <mergeCell ref="Q86:T86"/>
    <mergeCell ref="U86:W86"/>
    <mergeCell ref="A83:D93"/>
    <mergeCell ref="U94:W94"/>
    <mergeCell ref="E95:P95"/>
    <mergeCell ref="Q95:T95"/>
    <mergeCell ref="U95:W95"/>
    <mergeCell ref="E96:P96"/>
    <mergeCell ref="Q96:T96"/>
    <mergeCell ref="U96:W96"/>
    <mergeCell ref="E90:P90"/>
    <mergeCell ref="Q90:T90"/>
    <mergeCell ref="U90:W90"/>
    <mergeCell ref="E91:P91"/>
    <mergeCell ref="Q91:T91"/>
    <mergeCell ref="U91:W91"/>
    <mergeCell ref="E94:P94"/>
    <mergeCell ref="E87:P87"/>
    <mergeCell ref="Q87:T87"/>
    <mergeCell ref="U87:W87"/>
    <mergeCell ref="U83:W83"/>
    <mergeCell ref="E84:P84"/>
    <mergeCell ref="A94:D99"/>
  </mergeCells>
  <hyperlinks>
    <hyperlink ref="A2" location="TOC!A1" display="Return to TOC" xr:uid="{DF5257D1-0C2D-45A5-96D1-A57B1F917CD6}"/>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3:AF42" numberStoredAsText="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39997558519241921"/>
    <pageSetUpPr autoPageBreaks="0"/>
  </sheetPr>
  <dimension ref="A1:AF113"/>
  <sheetViews>
    <sheetView workbookViewId="0">
      <selection sqref="A1:AF1"/>
    </sheetView>
  </sheetViews>
  <sheetFormatPr defaultColWidth="2.7109375" defaultRowHeight="15" x14ac:dyDescent="0.25"/>
  <sheetData>
    <row r="1" spans="1:32" ht="18.75" x14ac:dyDescent="0.25">
      <c r="A1" s="1464" t="s">
        <v>4394</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x14ac:dyDescent="0.25">
      <c r="A2" s="655" t="s">
        <v>1702</v>
      </c>
    </row>
    <row r="3" spans="1:32"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row>
    <row r="4" spans="1:32"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row>
    <row r="5" spans="1:32" x14ac:dyDescent="0.25">
      <c r="A5" s="262"/>
      <c r="B5" s="1589" t="s">
        <v>4395</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9" spans="1:32" x14ac:dyDescent="0.25">
      <c r="B9" s="171" t="s">
        <v>10</v>
      </c>
      <c r="C9" s="171"/>
      <c r="D9" s="171"/>
      <c r="E9" s="171"/>
      <c r="F9" s="171"/>
      <c r="G9" s="171"/>
      <c r="H9" s="171"/>
      <c r="I9" s="171"/>
      <c r="J9" s="1"/>
      <c r="K9" s="1"/>
      <c r="L9" s="1"/>
      <c r="M9" s="1"/>
      <c r="N9" s="1"/>
      <c r="O9" s="1"/>
      <c r="P9" s="1"/>
      <c r="Q9" s="1"/>
      <c r="R9" s="1"/>
      <c r="S9" s="1"/>
      <c r="T9" s="1"/>
      <c r="U9" s="1"/>
      <c r="V9" s="1"/>
      <c r="W9" s="1"/>
      <c r="X9" s="1"/>
      <c r="Y9" s="1"/>
      <c r="Z9" s="1"/>
      <c r="AA9" s="1"/>
      <c r="AB9" s="1"/>
      <c r="AC9" s="1"/>
      <c r="AD9" s="1"/>
      <c r="AE9" s="1"/>
      <c r="AF9" s="1"/>
    </row>
    <row r="10" spans="1:32" ht="59.45" customHeight="1" x14ac:dyDescent="0.25">
      <c r="B10" s="1247" t="s">
        <v>4396</v>
      </c>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c r="AE10" s="1247"/>
      <c r="AF10" s="1247"/>
    </row>
    <row r="12" spans="1:32" x14ac:dyDescent="0.25">
      <c r="B12" s="171" t="s">
        <v>11</v>
      </c>
      <c r="C12" s="171"/>
      <c r="D12" s="171"/>
      <c r="E12" s="171"/>
      <c r="F12" s="171"/>
      <c r="G12" s="171"/>
      <c r="H12" s="171"/>
      <c r="I12" s="171"/>
      <c r="J12" s="1"/>
      <c r="K12" s="1"/>
      <c r="L12" s="1"/>
      <c r="M12" s="1"/>
      <c r="N12" s="1"/>
      <c r="O12" s="1"/>
      <c r="P12" s="1"/>
      <c r="Q12" s="1"/>
      <c r="R12" s="1"/>
      <c r="S12" s="1"/>
      <c r="T12" s="1"/>
      <c r="U12" s="1"/>
      <c r="V12" s="1"/>
      <c r="W12" s="1"/>
      <c r="X12" s="1"/>
      <c r="Y12" s="1"/>
      <c r="Z12" s="1"/>
      <c r="AA12" s="1"/>
      <c r="AB12" s="1"/>
      <c r="AC12" s="1"/>
      <c r="AD12" s="1"/>
      <c r="AE12" s="1"/>
      <c r="AF12" s="1"/>
    </row>
    <row r="13" spans="1:32" ht="33.6" customHeight="1" x14ac:dyDescent="0.25">
      <c r="B13" s="335" t="s">
        <v>1453</v>
      </c>
      <c r="C13" s="1247" t="s">
        <v>4397</v>
      </c>
      <c r="D13" s="1247"/>
      <c r="E13" s="1247"/>
      <c r="F13" s="1247"/>
      <c r="G13" s="1247"/>
      <c r="H13" s="1247"/>
      <c r="I13" s="1247"/>
      <c r="J13" s="1247"/>
      <c r="K13" s="1247"/>
      <c r="L13" s="1247"/>
      <c r="M13" s="1247"/>
      <c r="N13" s="1247"/>
      <c r="O13" s="1247"/>
      <c r="P13" s="1247"/>
      <c r="Q13" s="1247"/>
      <c r="R13" s="1247"/>
      <c r="S13" s="1247"/>
      <c r="T13" s="1247"/>
      <c r="U13" s="1247"/>
      <c r="V13" s="1247"/>
      <c r="W13" s="1247"/>
      <c r="X13" s="1247"/>
      <c r="Y13" s="1247"/>
      <c r="Z13" s="1247"/>
      <c r="AA13" s="1247"/>
      <c r="AB13" s="1247"/>
      <c r="AC13" s="1247"/>
      <c r="AD13" s="1247"/>
      <c r="AE13" s="1247"/>
      <c r="AF13" s="1247"/>
    </row>
    <row r="14" spans="1:32" ht="15.6" customHeight="1" x14ac:dyDescent="0.25">
      <c r="B14" s="335" t="s">
        <v>1454</v>
      </c>
      <c r="C14" s="1247" t="s">
        <v>4398</v>
      </c>
      <c r="D14" s="1247"/>
      <c r="E14" s="1247"/>
      <c r="F14" s="1247"/>
      <c r="G14" s="1247"/>
      <c r="H14" s="1247"/>
      <c r="I14" s="1247"/>
      <c r="J14" s="1247"/>
      <c r="K14" s="1247"/>
      <c r="L14" s="1247"/>
      <c r="M14" s="1247"/>
      <c r="N14" s="1247"/>
      <c r="O14" s="1247"/>
      <c r="P14" s="1247"/>
      <c r="Q14" s="1247"/>
      <c r="R14" s="1247"/>
      <c r="S14" s="1247"/>
      <c r="T14" s="1247"/>
      <c r="U14" s="1247"/>
      <c r="V14" s="1247"/>
      <c r="W14" s="1247"/>
      <c r="X14" s="1247"/>
      <c r="Y14" s="1247"/>
      <c r="Z14" s="1247"/>
      <c r="AA14" s="1247"/>
      <c r="AB14" s="1247"/>
      <c r="AC14" s="1247"/>
      <c r="AD14" s="1247"/>
      <c r="AE14" s="1247"/>
      <c r="AF14" s="1247"/>
    </row>
    <row r="16" spans="1:32" x14ac:dyDescent="0.25">
      <c r="B16" s="171" t="s">
        <v>12</v>
      </c>
      <c r="C16" s="171"/>
      <c r="D16" s="171"/>
      <c r="E16" s="171"/>
      <c r="F16" s="171"/>
      <c r="G16" s="171"/>
    </row>
    <row r="17" spans="1:32" ht="30.6" customHeight="1" x14ac:dyDescent="0.25">
      <c r="B17" s="1247" t="s">
        <v>4399</v>
      </c>
      <c r="C17" s="1247"/>
      <c r="D17" s="1247"/>
      <c r="E17" s="1247"/>
      <c r="F17" s="1247"/>
      <c r="G17" s="1247"/>
      <c r="H17" s="1247"/>
      <c r="I17" s="1247"/>
      <c r="J17" s="1247"/>
      <c r="K17" s="1247"/>
      <c r="L17" s="1247"/>
      <c r="M17" s="1247"/>
      <c r="N17" s="1247"/>
      <c r="O17" s="1247"/>
      <c r="P17" s="1247"/>
      <c r="Q17" s="1247"/>
      <c r="R17" s="1247"/>
      <c r="S17" s="1247"/>
      <c r="T17" s="1247"/>
      <c r="U17" s="1247"/>
      <c r="V17" s="1247"/>
      <c r="W17" s="1247"/>
      <c r="X17" s="1247"/>
      <c r="Y17" s="1247"/>
      <c r="Z17" s="1247"/>
      <c r="AA17" s="1247"/>
      <c r="AB17" s="1247"/>
      <c r="AC17" s="1247"/>
      <c r="AD17" s="1247"/>
      <c r="AE17" s="1247"/>
      <c r="AF17" s="1247"/>
    </row>
    <row r="19" spans="1:32" x14ac:dyDescent="0.25">
      <c r="B19" s="171" t="s">
        <v>13</v>
      </c>
      <c r="C19" s="171"/>
      <c r="D19" s="171"/>
      <c r="E19" s="171"/>
      <c r="F19" s="171"/>
      <c r="G19" s="171"/>
      <c r="H19" s="171"/>
      <c r="I19" s="171"/>
      <c r="J19" s="1"/>
      <c r="K19" s="1"/>
      <c r="L19" s="1"/>
      <c r="M19" s="1"/>
    </row>
    <row r="20" spans="1:32" x14ac:dyDescent="0.25">
      <c r="B20" s="1" t="s">
        <v>4400</v>
      </c>
      <c r="C20" s="1"/>
      <c r="D20" s="1"/>
      <c r="E20" s="1"/>
      <c r="F20" s="1"/>
      <c r="G20" s="1"/>
      <c r="H20" s="1"/>
      <c r="I20" s="1"/>
      <c r="J20" s="1"/>
      <c r="K20" s="1"/>
      <c r="L20" s="1"/>
      <c r="M20" s="1"/>
    </row>
    <row r="22" spans="1:32" x14ac:dyDescent="0.25">
      <c r="B22" s="171" t="s">
        <v>20</v>
      </c>
      <c r="C22" s="171"/>
      <c r="D22" s="171"/>
      <c r="E22" s="171"/>
      <c r="F22" s="171"/>
      <c r="G22" s="171"/>
      <c r="H22" s="171"/>
      <c r="I22" s="171"/>
      <c r="J22" s="1"/>
      <c r="K22" s="1"/>
      <c r="L22" s="1"/>
      <c r="M22" s="1"/>
      <c r="N22" s="1"/>
    </row>
    <row r="23" spans="1:32" x14ac:dyDescent="0.25">
      <c r="B23" s="1" t="s">
        <v>4401</v>
      </c>
      <c r="C23" s="1"/>
      <c r="D23" s="1"/>
      <c r="E23" s="1"/>
      <c r="F23" s="1"/>
      <c r="G23" s="1"/>
      <c r="H23" s="1"/>
      <c r="I23" s="1"/>
      <c r="J23" s="1"/>
      <c r="K23" s="1"/>
      <c r="L23" s="1"/>
      <c r="M23" s="1"/>
      <c r="N23" s="1"/>
    </row>
    <row r="26" spans="1:32" x14ac:dyDescent="0.25">
      <c r="A26" s="1472" t="s">
        <v>14</v>
      </c>
      <c r="B26" s="1472"/>
      <c r="C26" s="1472"/>
      <c r="D26" s="1472"/>
      <c r="E26" s="1472"/>
      <c r="F26" s="1472"/>
      <c r="G26" s="1472"/>
      <c r="H26" s="1472"/>
      <c r="I26" s="1472"/>
      <c r="J26" s="1472"/>
      <c r="K26" s="1472"/>
      <c r="L26" s="1472"/>
      <c r="M26" s="1472"/>
      <c r="N26" s="1472"/>
      <c r="O26" s="1472"/>
      <c r="P26" s="1472"/>
      <c r="Q26" s="1472"/>
      <c r="R26" s="1472"/>
      <c r="S26" s="1472"/>
      <c r="T26" s="1472"/>
      <c r="U26" s="1472"/>
      <c r="V26" s="1472"/>
      <c r="W26" s="1472"/>
      <c r="X26" s="1472"/>
      <c r="Y26" s="1472"/>
      <c r="Z26" s="1472"/>
      <c r="AA26" s="1472"/>
      <c r="AB26" s="1472"/>
      <c r="AC26" s="1472"/>
      <c r="AD26" s="1472"/>
      <c r="AE26" s="1472"/>
      <c r="AF26" s="1472"/>
    </row>
    <row r="28" spans="1:32" x14ac:dyDescent="0.25">
      <c r="B28" s="519" t="s">
        <v>2303</v>
      </c>
    </row>
    <row r="30" spans="1:32" x14ac:dyDescent="0.25">
      <c r="L30" s="1"/>
      <c r="M30" s="1"/>
      <c r="N30" s="1"/>
      <c r="O30" s="1"/>
      <c r="P30" s="1"/>
      <c r="Q30" s="1" t="s">
        <v>4402</v>
      </c>
      <c r="R30" s="1"/>
      <c r="S30" s="1"/>
      <c r="T30" s="1"/>
      <c r="U30" s="1"/>
      <c r="V30" s="1"/>
      <c r="W30" s="1"/>
      <c r="X30" s="1"/>
      <c r="Y30" s="1"/>
      <c r="Z30" s="1"/>
      <c r="AA30" s="1"/>
      <c r="AB30" s="1"/>
      <c r="AC30" s="1"/>
      <c r="AD30" s="1"/>
      <c r="AE30" s="1"/>
      <c r="AF30" s="204" t="s">
        <v>1705</v>
      </c>
    </row>
    <row r="31" spans="1:32" x14ac:dyDescent="0.25">
      <c r="L31" s="1"/>
      <c r="M31" s="1"/>
      <c r="N31" s="1"/>
      <c r="O31" s="1"/>
      <c r="P31" s="1"/>
      <c r="Q31" s="1"/>
      <c r="R31" s="1"/>
      <c r="S31" s="1"/>
      <c r="T31" s="1"/>
      <c r="U31" s="1"/>
      <c r="V31" s="1"/>
      <c r="W31" s="1"/>
      <c r="X31" s="1"/>
      <c r="Y31" s="1"/>
      <c r="Z31" s="1"/>
      <c r="AA31" s="1"/>
      <c r="AB31" s="1"/>
      <c r="AC31" s="1"/>
      <c r="AD31" s="1"/>
      <c r="AE31" s="1"/>
      <c r="AF31" s="1"/>
    </row>
    <row r="32" spans="1:32" x14ac:dyDescent="0.25">
      <c r="B32" s="519" t="s">
        <v>2194</v>
      </c>
      <c r="L32" s="1"/>
      <c r="M32" s="1"/>
      <c r="N32" s="1"/>
      <c r="O32" s="1"/>
      <c r="P32" s="1"/>
      <c r="Q32" s="1"/>
      <c r="R32" s="1"/>
      <c r="S32" s="1"/>
      <c r="T32" s="1"/>
      <c r="U32" s="1"/>
      <c r="V32" s="1"/>
      <c r="W32" s="1"/>
      <c r="X32" s="1"/>
      <c r="Y32" s="1"/>
      <c r="Z32" s="1"/>
      <c r="AA32" s="1"/>
      <c r="AB32" s="1"/>
      <c r="AC32" s="1"/>
      <c r="AD32" s="1"/>
      <c r="AE32" s="1"/>
      <c r="AF32" s="1"/>
    </row>
    <row r="34" spans="1:32" x14ac:dyDescent="0.25">
      <c r="A34" s="415"/>
      <c r="B34" s="415"/>
      <c r="C34" s="415"/>
      <c r="D34" s="415"/>
      <c r="E34" s="415"/>
      <c r="F34" s="415"/>
      <c r="G34" s="415"/>
      <c r="H34" s="415"/>
      <c r="I34" s="415"/>
      <c r="J34" s="415"/>
      <c r="K34" s="19"/>
      <c r="AF34" s="19" t="s">
        <v>1706</v>
      </c>
    </row>
    <row r="35" spans="1:32" x14ac:dyDescent="0.25">
      <c r="A35" s="415"/>
      <c r="B35" s="415"/>
      <c r="C35" s="415"/>
      <c r="D35" s="415"/>
      <c r="E35" s="415"/>
      <c r="F35" s="415"/>
      <c r="G35" s="415"/>
      <c r="H35" s="415"/>
      <c r="I35" s="415"/>
      <c r="J35" s="415"/>
      <c r="K35" s="19"/>
    </row>
    <row r="36" spans="1:32" x14ac:dyDescent="0.25">
      <c r="A36" s="415"/>
      <c r="B36" s="519" t="s">
        <v>1998</v>
      </c>
      <c r="C36" s="415"/>
      <c r="D36" s="415"/>
      <c r="E36" s="415"/>
      <c r="F36" s="415"/>
      <c r="G36" s="415"/>
      <c r="H36" s="415"/>
      <c r="I36" s="415"/>
      <c r="J36" s="415"/>
      <c r="K36" s="19"/>
    </row>
    <row r="37" spans="1:32" x14ac:dyDescent="0.25">
      <c r="A37" s="415"/>
      <c r="B37" s="519"/>
      <c r="C37" s="415"/>
      <c r="D37" s="415"/>
      <c r="E37" s="415"/>
      <c r="F37" s="415"/>
      <c r="G37" s="415"/>
      <c r="H37" s="415"/>
      <c r="I37" s="415"/>
      <c r="J37" s="415"/>
      <c r="K37" s="19"/>
    </row>
    <row r="38" spans="1:32" x14ac:dyDescent="0.25">
      <c r="AF38" s="19" t="s">
        <v>1707</v>
      </c>
    </row>
    <row r="40" spans="1:32" x14ac:dyDescent="0.25">
      <c r="A40" s="1148" t="s">
        <v>15</v>
      </c>
      <c r="B40" s="1149"/>
      <c r="C40" s="1149"/>
      <c r="D40" s="1149"/>
      <c r="E40" s="1149"/>
      <c r="F40" s="1149"/>
      <c r="G40" s="1149"/>
      <c r="H40" s="1149"/>
      <c r="I40" s="1149"/>
      <c r="J40" s="1149"/>
      <c r="K40" s="1149"/>
      <c r="L40" s="1149"/>
      <c r="M40" s="1149"/>
      <c r="N40" s="1149"/>
      <c r="O40" s="1149"/>
      <c r="P40" s="1149"/>
      <c r="Q40" s="1149"/>
      <c r="R40" s="1149"/>
      <c r="S40" s="1149"/>
      <c r="T40" s="1149"/>
      <c r="U40" s="1149"/>
      <c r="V40" s="1149"/>
      <c r="W40" s="1149"/>
      <c r="X40" s="1149"/>
      <c r="Y40" s="1149"/>
      <c r="Z40" s="1149"/>
      <c r="AA40" s="1149"/>
      <c r="AB40" s="1149"/>
      <c r="AC40" s="1149"/>
      <c r="AD40" s="1149"/>
      <c r="AE40" s="1149"/>
      <c r="AF40" s="1150"/>
    </row>
    <row r="41" spans="1:32" x14ac:dyDescent="0.25">
      <c r="A41" s="2968" t="s">
        <v>16</v>
      </c>
      <c r="B41" s="2969"/>
      <c r="C41" s="2969"/>
      <c r="D41" s="2970"/>
      <c r="E41" s="2968" t="s">
        <v>10</v>
      </c>
      <c r="F41" s="2969"/>
      <c r="G41" s="2969"/>
      <c r="H41" s="2969"/>
      <c r="I41" s="2969"/>
      <c r="J41" s="2969"/>
      <c r="K41" s="2969"/>
      <c r="L41" s="2969"/>
      <c r="M41" s="2970"/>
      <c r="N41" s="1590" t="s">
        <v>17</v>
      </c>
      <c r="O41" s="1591"/>
      <c r="P41" s="1591"/>
      <c r="Q41" s="1591"/>
      <c r="R41" s="1591"/>
      <c r="S41" s="1751"/>
      <c r="T41" s="2968" t="s">
        <v>18</v>
      </c>
      <c r="U41" s="2969"/>
      <c r="V41" s="2970"/>
      <c r="W41" s="2974" t="s">
        <v>1708</v>
      </c>
      <c r="X41" s="2975"/>
      <c r="Y41" s="2975"/>
      <c r="Z41" s="2975"/>
      <c r="AA41" s="2975"/>
      <c r="AB41" s="2975"/>
      <c r="AC41" s="2975"/>
      <c r="AD41" s="2975"/>
      <c r="AE41" s="2975"/>
      <c r="AF41" s="2976"/>
    </row>
    <row r="42" spans="1:32" x14ac:dyDescent="0.25">
      <c r="A42" s="2971"/>
      <c r="B42" s="2972"/>
      <c r="C42" s="2972"/>
      <c r="D42" s="2973"/>
      <c r="E42" s="2971"/>
      <c r="F42" s="2972"/>
      <c r="G42" s="2972"/>
      <c r="H42" s="2972"/>
      <c r="I42" s="2972"/>
      <c r="J42" s="2972"/>
      <c r="K42" s="2972"/>
      <c r="L42" s="2972"/>
      <c r="M42" s="2973"/>
      <c r="N42" s="1590" t="s">
        <v>4403</v>
      </c>
      <c r="O42" s="1591"/>
      <c r="P42" s="1751"/>
      <c r="Q42" s="1590" t="s">
        <v>4404</v>
      </c>
      <c r="R42" s="1591"/>
      <c r="S42" s="1751"/>
      <c r="T42" s="2971"/>
      <c r="U42" s="2972"/>
      <c r="V42" s="2973"/>
      <c r="W42" s="2977"/>
      <c r="X42" s="2978"/>
      <c r="Y42" s="2978"/>
      <c r="Z42" s="2978"/>
      <c r="AA42" s="2978"/>
      <c r="AB42" s="2978"/>
      <c r="AC42" s="2978"/>
      <c r="AD42" s="2978"/>
      <c r="AE42" s="2978"/>
      <c r="AF42" s="2979"/>
    </row>
    <row r="43" spans="1:32" ht="45.95" customHeight="1" x14ac:dyDescent="0.25">
      <c r="A43" s="1134" t="s">
        <v>4405</v>
      </c>
      <c r="B43" s="1134"/>
      <c r="C43" s="1134"/>
      <c r="D43" s="1134"/>
      <c r="E43" s="1479" t="s">
        <v>4406</v>
      </c>
      <c r="F43" s="1480"/>
      <c r="G43" s="1480"/>
      <c r="H43" s="1480"/>
      <c r="I43" s="1480"/>
      <c r="J43" s="1480"/>
      <c r="K43" s="1480"/>
      <c r="L43" s="1480"/>
      <c r="M43" s="1481"/>
      <c r="N43" s="2127" t="s">
        <v>2439</v>
      </c>
      <c r="O43" s="2128"/>
      <c r="P43" s="2128"/>
      <c r="Q43" s="2128"/>
      <c r="R43" s="2128"/>
      <c r="S43" s="2129"/>
      <c r="T43" s="1606" t="s">
        <v>4407</v>
      </c>
      <c r="U43" s="1606"/>
      <c r="V43" s="1606"/>
      <c r="W43" s="1135" t="s">
        <v>4567</v>
      </c>
      <c r="X43" s="1135"/>
      <c r="Y43" s="1135"/>
      <c r="Z43" s="1135"/>
      <c r="AA43" s="1135"/>
      <c r="AB43" s="1135"/>
      <c r="AC43" s="1135"/>
      <c r="AD43" s="1135"/>
      <c r="AE43" s="1135"/>
      <c r="AF43" s="1135"/>
    </row>
    <row r="44" spans="1:32" ht="32.1" customHeight="1" x14ac:dyDescent="0.25">
      <c r="A44" s="2521" t="s">
        <v>4408</v>
      </c>
      <c r="B44" s="1134"/>
      <c r="C44" s="1134"/>
      <c r="D44" s="1134"/>
      <c r="E44" s="1479" t="s">
        <v>4409</v>
      </c>
      <c r="F44" s="1480"/>
      <c r="G44" s="1480"/>
      <c r="H44" s="1480"/>
      <c r="I44" s="1480"/>
      <c r="J44" s="1480"/>
      <c r="K44" s="1480"/>
      <c r="L44" s="1480"/>
      <c r="M44" s="1481"/>
      <c r="N44" s="1574" t="s">
        <v>326</v>
      </c>
      <c r="O44" s="1575"/>
      <c r="P44" s="1576"/>
      <c r="Q44" s="2758" t="s">
        <v>4410</v>
      </c>
      <c r="R44" s="2758"/>
      <c r="S44" s="2758"/>
      <c r="T44" s="1606" t="s">
        <v>4408</v>
      </c>
      <c r="U44" s="1606"/>
      <c r="V44" s="1606"/>
      <c r="W44" s="1135" t="s">
        <v>4568</v>
      </c>
      <c r="X44" s="1135"/>
      <c r="Y44" s="1135"/>
      <c r="Z44" s="1135"/>
      <c r="AA44" s="1135"/>
      <c r="AB44" s="1135"/>
      <c r="AC44" s="1135"/>
      <c r="AD44" s="1135"/>
      <c r="AE44" s="1135"/>
      <c r="AF44" s="1135"/>
    </row>
    <row r="45" spans="1:32" ht="23.45" customHeight="1" x14ac:dyDescent="0.25">
      <c r="A45" s="1134">
        <v>0.746</v>
      </c>
      <c r="B45" s="1134"/>
      <c r="C45" s="1134"/>
      <c r="D45" s="1134"/>
      <c r="E45" s="1479" t="s">
        <v>3600</v>
      </c>
      <c r="F45" s="1480"/>
      <c r="G45" s="1480"/>
      <c r="H45" s="1480"/>
      <c r="I45" s="1480"/>
      <c r="J45" s="1480"/>
      <c r="K45" s="1480"/>
      <c r="L45" s="1480"/>
      <c r="M45" s="1481"/>
      <c r="N45" s="1574">
        <v>0.746</v>
      </c>
      <c r="O45" s="1575"/>
      <c r="P45" s="1575"/>
      <c r="Q45" s="1575"/>
      <c r="R45" s="1575"/>
      <c r="S45" s="1576"/>
      <c r="T45" s="1606" t="s">
        <v>2825</v>
      </c>
      <c r="U45" s="1606"/>
      <c r="V45" s="1606"/>
      <c r="W45" s="1134"/>
      <c r="X45" s="1134"/>
      <c r="Y45" s="1134"/>
      <c r="Z45" s="1134"/>
      <c r="AA45" s="1134"/>
      <c r="AB45" s="1134"/>
      <c r="AC45" s="1134"/>
      <c r="AD45" s="1134"/>
      <c r="AE45" s="1134"/>
      <c r="AF45" s="1134"/>
    </row>
    <row r="46" spans="1:32" ht="35.450000000000003" customHeight="1" x14ac:dyDescent="0.25">
      <c r="A46" s="1577" t="s">
        <v>27</v>
      </c>
      <c r="B46" s="1486"/>
      <c r="C46" s="1486"/>
      <c r="D46" s="1487"/>
      <c r="E46" s="1479" t="s">
        <v>4411</v>
      </c>
      <c r="F46" s="1480"/>
      <c r="G46" s="1480"/>
      <c r="H46" s="1480"/>
      <c r="I46" s="1480"/>
      <c r="J46" s="1480"/>
      <c r="K46" s="1480"/>
      <c r="L46" s="1480"/>
      <c r="M46" s="1481"/>
      <c r="N46" s="2644">
        <v>0.35</v>
      </c>
      <c r="O46" s="2645"/>
      <c r="P46" s="2646"/>
      <c r="Q46" s="2644">
        <v>0.7</v>
      </c>
      <c r="R46" s="2645"/>
      <c r="S46" s="2646"/>
      <c r="T46" s="1592" t="s">
        <v>28</v>
      </c>
      <c r="U46" s="1575"/>
      <c r="V46" s="1576"/>
      <c r="W46" s="1479" t="s">
        <v>4569</v>
      </c>
      <c r="X46" s="1480"/>
      <c r="Y46" s="1480"/>
      <c r="Z46" s="1480"/>
      <c r="AA46" s="1480"/>
      <c r="AB46" s="1480"/>
      <c r="AC46" s="1480"/>
      <c r="AD46" s="1480"/>
      <c r="AE46" s="1480"/>
      <c r="AF46" s="1481"/>
    </row>
    <row r="47" spans="1:32" ht="61.5" customHeight="1" x14ac:dyDescent="0.25">
      <c r="A47" s="2962" t="s">
        <v>4412</v>
      </c>
      <c r="B47" s="2963"/>
      <c r="C47" s="2963"/>
      <c r="D47" s="2964"/>
      <c r="E47" s="1479" t="s">
        <v>4413</v>
      </c>
      <c r="F47" s="1480"/>
      <c r="G47" s="1480"/>
      <c r="H47" s="1480"/>
      <c r="I47" s="1480"/>
      <c r="J47" s="1480"/>
      <c r="K47" s="1480"/>
      <c r="L47" s="1480"/>
      <c r="M47" s="1481"/>
      <c r="N47" s="2644">
        <v>0.5</v>
      </c>
      <c r="O47" s="2645"/>
      <c r="P47" s="2645"/>
      <c r="Q47" s="2645"/>
      <c r="R47" s="2645"/>
      <c r="S47" s="2646"/>
      <c r="T47" s="1606" t="s">
        <v>28</v>
      </c>
      <c r="U47" s="1606"/>
      <c r="V47" s="1606"/>
      <c r="W47" s="1135" t="s">
        <v>4414</v>
      </c>
      <c r="X47" s="1135"/>
      <c r="Y47" s="1135"/>
      <c r="Z47" s="1135"/>
      <c r="AA47" s="1135"/>
      <c r="AB47" s="1135"/>
      <c r="AC47" s="1135"/>
      <c r="AD47" s="1135"/>
      <c r="AE47" s="1135"/>
      <c r="AF47" s="1135"/>
    </row>
    <row r="48" spans="1:32" ht="62.1" customHeight="1" x14ac:dyDescent="0.25">
      <c r="A48" s="2965"/>
      <c r="B48" s="2966"/>
      <c r="C48" s="2966"/>
      <c r="D48" s="2967"/>
      <c r="E48" s="1479" t="s">
        <v>4415</v>
      </c>
      <c r="F48" s="1480"/>
      <c r="G48" s="1480"/>
      <c r="H48" s="1480"/>
      <c r="I48" s="1480"/>
      <c r="J48" s="1480"/>
      <c r="K48" s="1480"/>
      <c r="L48" s="1480"/>
      <c r="M48" s="1481"/>
      <c r="N48" s="2644">
        <v>0.7</v>
      </c>
      <c r="O48" s="2645"/>
      <c r="P48" s="2645"/>
      <c r="Q48" s="2645"/>
      <c r="R48" s="2645"/>
      <c r="S48" s="2646"/>
      <c r="T48" s="1606" t="s">
        <v>28</v>
      </c>
      <c r="U48" s="1606"/>
      <c r="V48" s="1606"/>
      <c r="W48" s="1135" t="s">
        <v>4416</v>
      </c>
      <c r="X48" s="1135"/>
      <c r="Y48" s="1135"/>
      <c r="Z48" s="1135"/>
      <c r="AA48" s="1135"/>
      <c r="AB48" s="1135"/>
      <c r="AC48" s="1135"/>
      <c r="AD48" s="1135"/>
      <c r="AE48" s="1135"/>
      <c r="AF48" s="1135"/>
    </row>
    <row r="49" spans="1:32" ht="51.6" customHeight="1" x14ac:dyDescent="0.25">
      <c r="A49" s="2962" t="s">
        <v>4417</v>
      </c>
      <c r="B49" s="2963"/>
      <c r="C49" s="2963"/>
      <c r="D49" s="2964"/>
      <c r="E49" s="1479" t="s">
        <v>4418</v>
      </c>
      <c r="F49" s="1480"/>
      <c r="G49" s="1480"/>
      <c r="H49" s="1480"/>
      <c r="I49" s="1480"/>
      <c r="J49" s="1480"/>
      <c r="K49" s="1480"/>
      <c r="L49" s="1480"/>
      <c r="M49" s="1481"/>
      <c r="N49" s="2644">
        <v>1</v>
      </c>
      <c r="O49" s="2645"/>
      <c r="P49" s="2645"/>
      <c r="Q49" s="2645"/>
      <c r="R49" s="2645"/>
      <c r="S49" s="2646"/>
      <c r="T49" s="1606" t="s">
        <v>28</v>
      </c>
      <c r="U49" s="1606"/>
      <c r="V49" s="1606"/>
      <c r="W49" s="1135" t="s">
        <v>4570</v>
      </c>
      <c r="X49" s="1135"/>
      <c r="Y49" s="1135"/>
      <c r="Z49" s="1135"/>
      <c r="AA49" s="1135"/>
      <c r="AB49" s="1135"/>
      <c r="AC49" s="1135"/>
      <c r="AD49" s="1135"/>
      <c r="AE49" s="1135"/>
      <c r="AF49" s="1135"/>
    </row>
    <row r="50" spans="1:32" ht="102.95" customHeight="1" x14ac:dyDescent="0.25">
      <c r="A50" s="2965"/>
      <c r="B50" s="2966"/>
      <c r="C50" s="2966"/>
      <c r="D50" s="2967"/>
      <c r="E50" s="1479" t="s">
        <v>4419</v>
      </c>
      <c r="F50" s="1480"/>
      <c r="G50" s="1480"/>
      <c r="H50" s="1480"/>
      <c r="I50" s="1480"/>
      <c r="J50" s="1480"/>
      <c r="K50" s="1480"/>
      <c r="L50" s="1480"/>
      <c r="M50" s="1481"/>
      <c r="N50" s="2644">
        <v>0.94</v>
      </c>
      <c r="O50" s="2645"/>
      <c r="P50" s="2645"/>
      <c r="Q50" s="2645"/>
      <c r="R50" s="2645"/>
      <c r="S50" s="2646"/>
      <c r="T50" s="1606" t="s">
        <v>28</v>
      </c>
      <c r="U50" s="1606"/>
      <c r="V50" s="1606"/>
      <c r="W50" s="1135" t="s">
        <v>4420</v>
      </c>
      <c r="X50" s="1135"/>
      <c r="Y50" s="1135"/>
      <c r="Z50" s="1135"/>
      <c r="AA50" s="1135"/>
      <c r="AB50" s="1135"/>
      <c r="AC50" s="1135"/>
      <c r="AD50" s="1135"/>
      <c r="AE50" s="1135"/>
      <c r="AF50" s="1135"/>
    </row>
    <row r="51" spans="1:32" ht="86.1" customHeight="1" x14ac:dyDescent="0.25">
      <c r="A51" s="2953" t="s">
        <v>4421</v>
      </c>
      <c r="B51" s="2954"/>
      <c r="C51" s="2954"/>
      <c r="D51" s="2955"/>
      <c r="E51" s="1479" t="s">
        <v>4422</v>
      </c>
      <c r="F51" s="1480"/>
      <c r="G51" s="1480"/>
      <c r="H51" s="1480"/>
      <c r="I51" s="1480"/>
      <c r="J51" s="1480"/>
      <c r="K51" s="1480"/>
      <c r="L51" s="1480"/>
      <c r="M51" s="1481"/>
      <c r="N51" s="1574">
        <v>1.3</v>
      </c>
      <c r="O51" s="1575"/>
      <c r="P51" s="1575"/>
      <c r="Q51" s="1575"/>
      <c r="R51" s="1575"/>
      <c r="S51" s="1576"/>
      <c r="T51" s="1606" t="s">
        <v>28</v>
      </c>
      <c r="U51" s="1606"/>
      <c r="V51" s="1606"/>
      <c r="W51" s="2901" t="s">
        <v>4571</v>
      </c>
      <c r="X51" s="2902"/>
      <c r="Y51" s="2902"/>
      <c r="Z51" s="2902"/>
      <c r="AA51" s="2902"/>
      <c r="AB51" s="2902"/>
      <c r="AC51" s="2902"/>
      <c r="AD51" s="2902"/>
      <c r="AE51" s="2902"/>
      <c r="AF51" s="2903"/>
    </row>
    <row r="52" spans="1:32" ht="71.45" customHeight="1" x14ac:dyDescent="0.25">
      <c r="A52" s="2956"/>
      <c r="B52" s="2957"/>
      <c r="C52" s="2957"/>
      <c r="D52" s="2958"/>
      <c r="E52" s="1479" t="s">
        <v>4423</v>
      </c>
      <c r="F52" s="1480"/>
      <c r="G52" s="1480"/>
      <c r="H52" s="1480"/>
      <c r="I52" s="1480"/>
      <c r="J52" s="1480"/>
      <c r="K52" s="1480"/>
      <c r="L52" s="1480"/>
      <c r="M52" s="1481"/>
      <c r="N52" s="1574">
        <v>1.5</v>
      </c>
      <c r="O52" s="1575"/>
      <c r="P52" s="1575"/>
      <c r="Q52" s="1575"/>
      <c r="R52" s="1575"/>
      <c r="S52" s="1576"/>
      <c r="T52" s="2496" t="s">
        <v>28</v>
      </c>
      <c r="U52" s="1606"/>
      <c r="V52" s="1606"/>
      <c r="W52" s="2959"/>
      <c r="X52" s="2960"/>
      <c r="Y52" s="2960"/>
      <c r="Z52" s="2960"/>
      <c r="AA52" s="2960"/>
      <c r="AB52" s="2960"/>
      <c r="AC52" s="2960"/>
      <c r="AD52" s="2960"/>
      <c r="AE52" s="2960"/>
      <c r="AF52" s="2961"/>
    </row>
    <row r="53" spans="1:32" ht="70.5" customHeight="1" x14ac:dyDescent="0.25">
      <c r="A53" s="1134" t="s">
        <v>29</v>
      </c>
      <c r="B53" s="1134"/>
      <c r="C53" s="1134"/>
      <c r="D53" s="1134"/>
      <c r="E53" s="1479" t="s">
        <v>104</v>
      </c>
      <c r="F53" s="1480"/>
      <c r="G53" s="1480"/>
      <c r="H53" s="1480"/>
      <c r="I53" s="1480"/>
      <c r="J53" s="1480"/>
      <c r="K53" s="1480"/>
      <c r="L53" s="1480"/>
      <c r="M53" s="1481"/>
      <c r="N53" s="1733" t="s">
        <v>4424</v>
      </c>
      <c r="O53" s="1917"/>
      <c r="P53" s="1917"/>
      <c r="Q53" s="1917"/>
      <c r="R53" s="1917"/>
      <c r="S53" s="1918"/>
      <c r="T53" s="2496" t="s">
        <v>28</v>
      </c>
      <c r="U53" s="1606"/>
      <c r="V53" s="1606"/>
      <c r="W53" s="1135" t="s">
        <v>4572</v>
      </c>
      <c r="X53" s="1135"/>
      <c r="Y53" s="1135"/>
      <c r="Z53" s="1135"/>
      <c r="AA53" s="1135"/>
      <c r="AB53" s="1135"/>
      <c r="AC53" s="1135"/>
      <c r="AD53" s="1135"/>
      <c r="AE53" s="1135"/>
      <c r="AF53" s="1135"/>
    </row>
    <row r="54" spans="1:32" ht="33.950000000000003" customHeight="1" x14ac:dyDescent="0.25">
      <c r="A54" s="1134" t="s">
        <v>32</v>
      </c>
      <c r="B54" s="1134"/>
      <c r="C54" s="1134"/>
      <c r="D54" s="1134"/>
      <c r="E54" s="1479" t="s">
        <v>114</v>
      </c>
      <c r="F54" s="1480"/>
      <c r="G54" s="1480"/>
      <c r="H54" s="1480"/>
      <c r="I54" s="1480"/>
      <c r="J54" s="1480"/>
      <c r="K54" s="1480"/>
      <c r="L54" s="1480"/>
      <c r="M54" s="1481"/>
      <c r="N54" s="1733">
        <v>8760</v>
      </c>
      <c r="O54" s="1917"/>
      <c r="P54" s="1917"/>
      <c r="Q54" s="1917"/>
      <c r="R54" s="1917"/>
      <c r="S54" s="1918"/>
      <c r="T54" s="1606" t="s">
        <v>45</v>
      </c>
      <c r="U54" s="1606"/>
      <c r="V54" s="1606"/>
      <c r="W54" s="1135" t="s">
        <v>4573</v>
      </c>
      <c r="X54" s="1135"/>
      <c r="Y54" s="1135"/>
      <c r="Z54" s="1135"/>
      <c r="AA54" s="1135"/>
      <c r="AB54" s="1135"/>
      <c r="AC54" s="1135"/>
      <c r="AD54" s="1135"/>
      <c r="AE54" s="1135"/>
      <c r="AF54" s="1135"/>
    </row>
    <row r="55" spans="1:32" ht="235.5" customHeight="1" x14ac:dyDescent="0.25">
      <c r="A55" s="1134" t="s">
        <v>2052</v>
      </c>
      <c r="B55" s="1134"/>
      <c r="C55" s="1134"/>
      <c r="D55" s="1134"/>
      <c r="E55" s="1479" t="s">
        <v>2217</v>
      </c>
      <c r="F55" s="1480"/>
      <c r="G55" s="1480"/>
      <c r="H55" s="1480"/>
      <c r="I55" s="1480"/>
      <c r="J55" s="1480"/>
      <c r="K55" s="1480"/>
      <c r="L55" s="1480"/>
      <c r="M55" s="1481"/>
      <c r="N55" s="1574">
        <f>'Master EUL'!X93</f>
        <v>5</v>
      </c>
      <c r="O55" s="1575"/>
      <c r="P55" s="1576"/>
      <c r="Q55" s="1574">
        <f>'Master EUL'!X92</f>
        <v>15</v>
      </c>
      <c r="R55" s="1575"/>
      <c r="S55" s="1576"/>
      <c r="T55" s="1606" t="s">
        <v>46</v>
      </c>
      <c r="U55" s="1606"/>
      <c r="V55" s="1606"/>
      <c r="W55" s="1135" t="s">
        <v>4557</v>
      </c>
      <c r="X55" s="1135"/>
      <c r="Y55" s="1135"/>
      <c r="Z55" s="1135"/>
      <c r="AA55" s="1135"/>
      <c r="AB55" s="1135"/>
      <c r="AC55" s="1135"/>
      <c r="AD55" s="1135"/>
      <c r="AE55" s="1135"/>
      <c r="AF55" s="1135"/>
    </row>
    <row r="56" spans="1:32" ht="41.45" customHeight="1" x14ac:dyDescent="0.25">
      <c r="A56" s="1290" t="s">
        <v>4425</v>
      </c>
      <c r="B56" s="1290"/>
      <c r="C56" s="1290"/>
      <c r="D56" s="1290"/>
      <c r="E56" s="1290"/>
      <c r="F56" s="1290"/>
      <c r="G56" s="1290"/>
      <c r="H56" s="1290"/>
      <c r="I56" s="1290"/>
      <c r="J56" s="1290"/>
      <c r="K56" s="1290"/>
      <c r="L56" s="1290"/>
      <c r="M56" s="1290"/>
      <c r="N56" s="1290"/>
      <c r="O56" s="1290"/>
      <c r="P56" s="1290"/>
      <c r="Q56" s="1290"/>
      <c r="R56" s="1290"/>
      <c r="S56" s="1290"/>
      <c r="T56" s="1290"/>
      <c r="U56" s="1290"/>
      <c r="V56" s="1290"/>
      <c r="W56" s="1290"/>
      <c r="X56" s="1290"/>
      <c r="Y56" s="1290"/>
      <c r="Z56" s="1290"/>
      <c r="AA56" s="1290"/>
      <c r="AB56" s="1290"/>
      <c r="AC56" s="1290"/>
      <c r="AD56" s="1290"/>
      <c r="AE56" s="1290"/>
      <c r="AF56" s="1290"/>
    </row>
    <row r="57" spans="1:32" ht="29.1" customHeight="1" x14ac:dyDescent="0.25">
      <c r="A57" s="1290" t="s">
        <v>4426</v>
      </c>
      <c r="B57" s="1290"/>
      <c r="C57" s="1290"/>
      <c r="D57" s="1290"/>
      <c r="E57" s="1290"/>
      <c r="F57" s="1290"/>
      <c r="G57" s="1290"/>
      <c r="H57" s="1290"/>
      <c r="I57" s="1290"/>
      <c r="J57" s="1290"/>
      <c r="K57" s="1290"/>
      <c r="L57" s="1290"/>
      <c r="M57" s="1290"/>
      <c r="N57" s="1290"/>
      <c r="O57" s="1290"/>
      <c r="P57" s="1290"/>
      <c r="Q57" s="1290"/>
      <c r="R57" s="1290"/>
      <c r="S57" s="1290"/>
      <c r="T57" s="1290"/>
      <c r="U57" s="1290"/>
      <c r="V57" s="1290"/>
      <c r="W57" s="1290"/>
      <c r="X57" s="1290"/>
      <c r="Y57" s="1290"/>
      <c r="Z57" s="1290"/>
      <c r="AA57" s="1290"/>
      <c r="AB57" s="1290"/>
      <c r="AC57" s="1290"/>
      <c r="AD57" s="1290"/>
      <c r="AE57" s="1290"/>
      <c r="AF57" s="1290"/>
    </row>
    <row r="58" spans="1:32" ht="27.6" customHeight="1" x14ac:dyDescent="0.25">
      <c r="A58" s="1290" t="s">
        <v>4427</v>
      </c>
      <c r="B58" s="1290"/>
      <c r="C58" s="1290"/>
      <c r="D58" s="1290"/>
      <c r="E58" s="1290"/>
      <c r="F58" s="1290"/>
      <c r="G58" s="1290"/>
      <c r="H58" s="1290"/>
      <c r="I58" s="1290"/>
      <c r="J58" s="1290"/>
      <c r="K58" s="1290"/>
      <c r="L58" s="1290"/>
      <c r="M58" s="1290"/>
      <c r="N58" s="1290"/>
      <c r="O58" s="1290"/>
      <c r="P58" s="1290"/>
      <c r="Q58" s="1290"/>
      <c r="R58" s="1290"/>
      <c r="S58" s="1290"/>
      <c r="T58" s="1290"/>
      <c r="U58" s="1290"/>
      <c r="V58" s="1290"/>
      <c r="W58" s="1290"/>
      <c r="X58" s="1290"/>
      <c r="Y58" s="1290"/>
      <c r="Z58" s="1290"/>
      <c r="AA58" s="1290"/>
      <c r="AB58" s="1290"/>
      <c r="AC58" s="1290"/>
      <c r="AD58" s="1290"/>
      <c r="AE58" s="1290"/>
      <c r="AF58" s="1290"/>
    </row>
    <row r="59" spans="1:32" ht="15.75" x14ac:dyDescent="0.25">
      <c r="A59" s="185"/>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spans="1:32" x14ac:dyDescent="0.25">
      <c r="A60" s="3" t="s">
        <v>4428</v>
      </c>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row>
    <row r="61" spans="1:32" x14ac:dyDescent="0.25">
      <c r="A61" s="1311" t="s">
        <v>4429</v>
      </c>
      <c r="B61" s="1311"/>
      <c r="C61" s="1311"/>
      <c r="D61" s="1303" t="s">
        <v>4430</v>
      </c>
      <c r="E61" s="1303"/>
      <c r="F61" s="1303"/>
      <c r="G61" s="1303"/>
      <c r="H61" s="1303"/>
      <c r="I61" s="1303"/>
      <c r="J61" s="1303"/>
      <c r="K61" s="1303"/>
      <c r="L61" s="1303"/>
      <c r="M61" s="1303"/>
      <c r="N61" s="1303"/>
      <c r="O61" s="1303"/>
      <c r="P61" s="1303"/>
      <c r="Q61" s="1303"/>
      <c r="R61" s="1303"/>
      <c r="S61" s="1303" t="s">
        <v>4431</v>
      </c>
      <c r="T61" s="1303"/>
      <c r="U61" s="1303"/>
      <c r="V61" s="1303"/>
      <c r="W61" s="1303"/>
      <c r="X61" s="1303"/>
      <c r="Y61" s="1303"/>
      <c r="Z61" s="1303"/>
      <c r="AA61" s="1303"/>
      <c r="AB61" s="1303"/>
      <c r="AC61" s="1303"/>
      <c r="AD61" s="1303"/>
      <c r="AE61" s="1303"/>
      <c r="AF61" s="1303"/>
    </row>
    <row r="62" spans="1:32" ht="42.95" customHeight="1" x14ac:dyDescent="0.25">
      <c r="A62" s="1311"/>
      <c r="B62" s="1311"/>
      <c r="C62" s="1311"/>
      <c r="D62" s="1311" t="s">
        <v>4432</v>
      </c>
      <c r="E62" s="1311"/>
      <c r="F62" s="1311"/>
      <c r="G62" s="1311"/>
      <c r="H62" s="1311"/>
      <c r="I62" s="1311" t="s">
        <v>4433</v>
      </c>
      <c r="J62" s="1311"/>
      <c r="K62" s="1311"/>
      <c r="L62" s="1311"/>
      <c r="M62" s="1311"/>
      <c r="N62" s="1311" t="s">
        <v>4434</v>
      </c>
      <c r="O62" s="1311"/>
      <c r="P62" s="1311"/>
      <c r="Q62" s="1311"/>
      <c r="R62" s="1311"/>
      <c r="S62" s="1311" t="s">
        <v>4432</v>
      </c>
      <c r="T62" s="1311"/>
      <c r="U62" s="1311"/>
      <c r="V62" s="1311"/>
      <c r="W62" s="1311"/>
      <c r="X62" s="1311" t="s">
        <v>4433</v>
      </c>
      <c r="Y62" s="1311"/>
      <c r="Z62" s="1311"/>
      <c r="AA62" s="1311"/>
      <c r="AB62" s="1311"/>
      <c r="AC62" s="1311" t="s">
        <v>4434</v>
      </c>
      <c r="AD62" s="1311"/>
      <c r="AE62" s="1311"/>
      <c r="AF62" s="1311"/>
    </row>
    <row r="63" spans="1:32" x14ac:dyDescent="0.25">
      <c r="A63" s="1749" t="s">
        <v>4435</v>
      </c>
      <c r="B63" s="1243"/>
      <c r="C63" s="1243"/>
      <c r="D63" s="2952">
        <f>(1/47)*($N$45/$N$46)*(1-$N$47)*$N$49*$N$51</f>
        <v>2.9477203647416416E-2</v>
      </c>
      <c r="E63" s="2952"/>
      <c r="F63" s="2952"/>
      <c r="G63" s="2952"/>
      <c r="H63" s="2952"/>
      <c r="I63" s="2951">
        <f>D63*$N$54</f>
        <v>258.22030395136778</v>
      </c>
      <c r="J63" s="2951"/>
      <c r="K63" s="2951"/>
      <c r="L63" s="2951"/>
      <c r="M63" s="2951"/>
      <c r="N63" s="2951">
        <f>I63*$N$55</f>
        <v>1291.101519756839</v>
      </c>
      <c r="O63" s="2951"/>
      <c r="P63" s="2951"/>
      <c r="Q63" s="2951"/>
      <c r="R63" s="2951"/>
      <c r="S63" s="2952">
        <f>(1/47)*($N$45/$N$46)*(1-$N$48)*$N$50*$N$52</f>
        <v>1.9182857142857147E-2</v>
      </c>
      <c r="T63" s="2952"/>
      <c r="U63" s="2952"/>
      <c r="V63" s="2952"/>
      <c r="W63" s="2952"/>
      <c r="X63" s="2951">
        <f>S63*$N$54</f>
        <v>168.04182857142862</v>
      </c>
      <c r="Y63" s="2951"/>
      <c r="Z63" s="2951"/>
      <c r="AA63" s="2951"/>
      <c r="AB63" s="2951"/>
      <c r="AC63" s="2951">
        <f t="shared" ref="AC63:AC68" si="0">X63*$N$55</f>
        <v>840.20914285714309</v>
      </c>
      <c r="AD63" s="2951"/>
      <c r="AE63" s="2951"/>
      <c r="AF63" s="2951"/>
    </row>
    <row r="64" spans="1:32" x14ac:dyDescent="0.25">
      <c r="A64" s="1749" t="s">
        <v>4436</v>
      </c>
      <c r="B64" s="1243"/>
      <c r="C64" s="1243"/>
      <c r="D64" s="2952">
        <f>(1/25)*($N$45/$N$46)*(1-$N$47)*$N$49*$N$51</f>
        <v>5.5417142857142866E-2</v>
      </c>
      <c r="E64" s="2952"/>
      <c r="F64" s="2952"/>
      <c r="G64" s="2952"/>
      <c r="H64" s="2952"/>
      <c r="I64" s="2951">
        <f t="shared" ref="I64:I68" si="1">D64*$N$54</f>
        <v>485.4541714285715</v>
      </c>
      <c r="J64" s="2951"/>
      <c r="K64" s="2951"/>
      <c r="L64" s="2951"/>
      <c r="M64" s="2951"/>
      <c r="N64" s="2951">
        <f>I64*$N$55</f>
        <v>2427.2708571428575</v>
      </c>
      <c r="O64" s="2951"/>
      <c r="P64" s="2951"/>
      <c r="Q64" s="2951"/>
      <c r="R64" s="2951"/>
      <c r="S64" s="2952">
        <f>(1/25)*($N$45/$N$46)*(1-$N$48)*$N$50*$N$52</f>
        <v>3.6063771428571437E-2</v>
      </c>
      <c r="T64" s="2952"/>
      <c r="U64" s="2952"/>
      <c r="V64" s="2952"/>
      <c r="W64" s="2952"/>
      <c r="X64" s="2951">
        <f t="shared" ref="X64:X67" si="2">S64*$N$54</f>
        <v>315.91863771428581</v>
      </c>
      <c r="Y64" s="2951"/>
      <c r="Z64" s="2951"/>
      <c r="AA64" s="2951"/>
      <c r="AB64" s="2951"/>
      <c r="AC64" s="2951">
        <f t="shared" si="0"/>
        <v>1579.593188571429</v>
      </c>
      <c r="AD64" s="2951"/>
      <c r="AE64" s="2951"/>
      <c r="AF64" s="2951"/>
    </row>
    <row r="65" spans="1:32" x14ac:dyDescent="0.25">
      <c r="A65" s="1749" t="s">
        <v>4437</v>
      </c>
      <c r="B65" s="1243"/>
      <c r="C65" s="1243"/>
      <c r="D65" s="2952">
        <f>(1/20)*($N$45/$N$46)*(1-$N$47)*$N$49*$N$51</f>
        <v>6.9271428571428595E-2</v>
      </c>
      <c r="E65" s="2952"/>
      <c r="F65" s="2952"/>
      <c r="G65" s="2952"/>
      <c r="H65" s="2952"/>
      <c r="I65" s="2951">
        <f t="shared" si="1"/>
        <v>606.81771428571449</v>
      </c>
      <c r="J65" s="2951"/>
      <c r="K65" s="2951"/>
      <c r="L65" s="2951"/>
      <c r="M65" s="2951"/>
      <c r="N65" s="2951">
        <f t="shared" ref="N65:N68" si="3">I65*$N$55</f>
        <v>3034.0885714285723</v>
      </c>
      <c r="O65" s="2951"/>
      <c r="P65" s="2951"/>
      <c r="Q65" s="2951"/>
      <c r="R65" s="2951"/>
      <c r="S65" s="2952">
        <f>(1/20)*($N$45/$N$46)*(1-$N$48)*$N$50*$N$52</f>
        <v>4.5079714285714299E-2</v>
      </c>
      <c r="T65" s="2952"/>
      <c r="U65" s="2952"/>
      <c r="V65" s="2952"/>
      <c r="W65" s="2952"/>
      <c r="X65" s="2951">
        <f>S65*$N$54</f>
        <v>394.89829714285725</v>
      </c>
      <c r="Y65" s="2951"/>
      <c r="Z65" s="2951"/>
      <c r="AA65" s="2951"/>
      <c r="AB65" s="2951"/>
      <c r="AC65" s="2951">
        <f t="shared" si="0"/>
        <v>1974.4914857142862</v>
      </c>
      <c r="AD65" s="2951"/>
      <c r="AE65" s="2951"/>
      <c r="AF65" s="2951"/>
    </row>
    <row r="66" spans="1:32" x14ac:dyDescent="0.25">
      <c r="A66" s="1749" t="s">
        <v>4438</v>
      </c>
      <c r="B66" s="1243"/>
      <c r="C66" s="1243"/>
      <c r="D66" s="2952">
        <f>(1/15)*($N$45/$N$46)*(1-$N$47)*$N$49*$N$51</f>
        <v>9.236190476190477E-2</v>
      </c>
      <c r="E66" s="2952"/>
      <c r="F66" s="2952"/>
      <c r="G66" s="2952"/>
      <c r="H66" s="2952"/>
      <c r="I66" s="2951">
        <f>D66*$N$54</f>
        <v>809.09028571428576</v>
      </c>
      <c r="J66" s="2951"/>
      <c r="K66" s="2951"/>
      <c r="L66" s="2951"/>
      <c r="M66" s="2951"/>
      <c r="N66" s="2951">
        <f t="shared" si="3"/>
        <v>4045.4514285714286</v>
      </c>
      <c r="O66" s="2951"/>
      <c r="P66" s="2951"/>
      <c r="Q66" s="2951"/>
      <c r="R66" s="2951"/>
      <c r="S66" s="2952">
        <f>(1/15)*($N$45/$N$46)*(1-$N$48)*$N$50*$N$52</f>
        <v>6.0106285714285723E-2</v>
      </c>
      <c r="T66" s="2952"/>
      <c r="U66" s="2952"/>
      <c r="V66" s="2952"/>
      <c r="W66" s="2952"/>
      <c r="X66" s="2951">
        <f t="shared" si="2"/>
        <v>526.53106285714296</v>
      </c>
      <c r="Y66" s="2951"/>
      <c r="Z66" s="2951"/>
      <c r="AA66" s="2951"/>
      <c r="AB66" s="2951"/>
      <c r="AC66" s="2951">
        <f t="shared" si="0"/>
        <v>2632.6553142857147</v>
      </c>
      <c r="AD66" s="2951"/>
      <c r="AE66" s="2951"/>
      <c r="AF66" s="2951"/>
    </row>
    <row r="67" spans="1:32" x14ac:dyDescent="0.25">
      <c r="A67" s="1749" t="s">
        <v>4439</v>
      </c>
      <c r="B67" s="1243"/>
      <c r="C67" s="1243"/>
      <c r="D67" s="2952">
        <f>(1/8)*($N$45/$N$46)*(1-$N$47)*$N$49*$N$51</f>
        <v>0.17317857142857146</v>
      </c>
      <c r="E67" s="2952"/>
      <c r="F67" s="2952"/>
      <c r="G67" s="2952"/>
      <c r="H67" s="2952"/>
      <c r="I67" s="2951">
        <f t="shared" si="1"/>
        <v>1517.0442857142859</v>
      </c>
      <c r="J67" s="2951"/>
      <c r="K67" s="2951"/>
      <c r="L67" s="2951"/>
      <c r="M67" s="2951"/>
      <c r="N67" s="2951">
        <f t="shared" si="3"/>
        <v>7585.2214285714299</v>
      </c>
      <c r="O67" s="2951"/>
      <c r="P67" s="2951"/>
      <c r="Q67" s="2951"/>
      <c r="R67" s="2951"/>
      <c r="S67" s="2952">
        <f>(1/8)*($N$45/$N$46)*(1-$N$48)*$N$50*$N$52</f>
        <v>0.11269928571428572</v>
      </c>
      <c r="T67" s="2952"/>
      <c r="U67" s="2952"/>
      <c r="V67" s="2952"/>
      <c r="W67" s="2952"/>
      <c r="X67" s="2951">
        <f t="shared" si="2"/>
        <v>987.24574285714289</v>
      </c>
      <c r="Y67" s="2951"/>
      <c r="Z67" s="2951"/>
      <c r="AA67" s="2951"/>
      <c r="AB67" s="2951"/>
      <c r="AC67" s="2951">
        <f t="shared" si="0"/>
        <v>4936.2287142857149</v>
      </c>
      <c r="AD67" s="2951"/>
      <c r="AE67" s="2951"/>
      <c r="AF67" s="2951"/>
    </row>
    <row r="68" spans="1:32" x14ac:dyDescent="0.25">
      <c r="A68" s="1749" t="s">
        <v>4440</v>
      </c>
      <c r="B68" s="1243"/>
      <c r="C68" s="1243"/>
      <c r="D68" s="2952">
        <f>(1/3)*($N$45/$N$46)*(1-$N$47)*$N$49*$N$51</f>
        <v>0.46180952380952384</v>
      </c>
      <c r="E68" s="2952"/>
      <c r="F68" s="2952"/>
      <c r="G68" s="2952"/>
      <c r="H68" s="2952"/>
      <c r="I68" s="2951">
        <f t="shared" si="1"/>
        <v>4045.451428571429</v>
      </c>
      <c r="J68" s="2951"/>
      <c r="K68" s="2951"/>
      <c r="L68" s="2951"/>
      <c r="M68" s="2951"/>
      <c r="N68" s="2951">
        <f t="shared" si="3"/>
        <v>20227.257142857146</v>
      </c>
      <c r="O68" s="2951"/>
      <c r="P68" s="2951"/>
      <c r="Q68" s="2951"/>
      <c r="R68" s="2951"/>
      <c r="S68" s="2952">
        <f>(1/3)*($N$45/$N$46)*(1-$N$48)*$N$50*$N$52</f>
        <v>0.30053142857142862</v>
      </c>
      <c r="T68" s="2952"/>
      <c r="U68" s="2952"/>
      <c r="V68" s="2952"/>
      <c r="W68" s="2952"/>
      <c r="X68" s="2951">
        <f>S68*$N$54</f>
        <v>2632.6553142857147</v>
      </c>
      <c r="Y68" s="2951"/>
      <c r="Z68" s="2951"/>
      <c r="AA68" s="2951"/>
      <c r="AB68" s="2951"/>
      <c r="AC68" s="2951">
        <f t="shared" si="0"/>
        <v>13163.276571428574</v>
      </c>
      <c r="AD68" s="2951"/>
      <c r="AE68" s="2951"/>
      <c r="AF68" s="2951"/>
    </row>
    <row r="69" spans="1:32" x14ac:dyDescent="0.25">
      <c r="A69" s="3"/>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x14ac:dyDescent="0.25">
      <c r="A70" s="3" t="s">
        <v>4441</v>
      </c>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x14ac:dyDescent="0.25">
      <c r="A71" s="1311" t="s">
        <v>4429</v>
      </c>
      <c r="B71" s="1311"/>
      <c r="C71" s="1311"/>
      <c r="D71" s="1303" t="s">
        <v>4430</v>
      </c>
      <c r="E71" s="1303"/>
      <c r="F71" s="1303"/>
      <c r="G71" s="1303"/>
      <c r="H71" s="1303"/>
      <c r="I71" s="1303"/>
      <c r="J71" s="1303"/>
      <c r="K71" s="1303"/>
      <c r="L71" s="1303"/>
      <c r="M71" s="1303"/>
      <c r="N71" s="1303"/>
      <c r="O71" s="1303"/>
      <c r="P71" s="1303"/>
      <c r="Q71" s="1303"/>
      <c r="R71" s="1303"/>
      <c r="S71" s="1303" t="s">
        <v>4431</v>
      </c>
      <c r="T71" s="1303"/>
      <c r="U71" s="1303"/>
      <c r="V71" s="1303"/>
      <c r="W71" s="1303"/>
      <c r="X71" s="1303"/>
      <c r="Y71" s="1303"/>
      <c r="Z71" s="1303"/>
      <c r="AA71" s="1303"/>
      <c r="AB71" s="1303"/>
      <c r="AC71" s="1303"/>
      <c r="AD71" s="1303"/>
      <c r="AE71" s="1303"/>
      <c r="AF71" s="1303"/>
    </row>
    <row r="72" spans="1:32" ht="44.1" customHeight="1" x14ac:dyDescent="0.25">
      <c r="A72" s="1311"/>
      <c r="B72" s="1311"/>
      <c r="C72" s="1311"/>
      <c r="D72" s="1311" t="s">
        <v>4432</v>
      </c>
      <c r="E72" s="1311"/>
      <c r="F72" s="1311"/>
      <c r="G72" s="1311"/>
      <c r="H72" s="1311"/>
      <c r="I72" s="1311" t="s">
        <v>4433</v>
      </c>
      <c r="J72" s="1311"/>
      <c r="K72" s="1311"/>
      <c r="L72" s="1311"/>
      <c r="M72" s="1311"/>
      <c r="N72" s="1311" t="s">
        <v>4434</v>
      </c>
      <c r="O72" s="1311"/>
      <c r="P72" s="1311"/>
      <c r="Q72" s="1311"/>
      <c r="R72" s="1311"/>
      <c r="S72" s="1311" t="s">
        <v>4432</v>
      </c>
      <c r="T72" s="1311"/>
      <c r="U72" s="1311"/>
      <c r="V72" s="1311"/>
      <c r="W72" s="1311"/>
      <c r="X72" s="1311" t="s">
        <v>4433</v>
      </c>
      <c r="Y72" s="1311"/>
      <c r="Z72" s="1311"/>
      <c r="AA72" s="1311"/>
      <c r="AB72" s="1311"/>
      <c r="AC72" s="1311" t="s">
        <v>4434</v>
      </c>
      <c r="AD72" s="1311"/>
      <c r="AE72" s="1311"/>
      <c r="AF72" s="1311"/>
    </row>
    <row r="73" spans="1:32" x14ac:dyDescent="0.25">
      <c r="A73" s="1749" t="s">
        <v>4435</v>
      </c>
      <c r="B73" s="1243"/>
      <c r="C73" s="1243"/>
      <c r="D73" s="2952">
        <f>(1/47)*($N$45/$Q$46)*(1-$N$47)*$N$49*$N$51</f>
        <v>1.4738601823708208E-2</v>
      </c>
      <c r="E73" s="2952"/>
      <c r="F73" s="2952"/>
      <c r="G73" s="2952"/>
      <c r="H73" s="2952"/>
      <c r="I73" s="2951">
        <f>D73*$N$54</f>
        <v>129.11015197568389</v>
      </c>
      <c r="J73" s="2951"/>
      <c r="K73" s="2951"/>
      <c r="L73" s="2951"/>
      <c r="M73" s="2951"/>
      <c r="N73" s="2951">
        <f>I73*$Q$55</f>
        <v>1936.6522796352583</v>
      </c>
      <c r="O73" s="2951"/>
      <c r="P73" s="2951"/>
      <c r="Q73" s="2951"/>
      <c r="R73" s="2951"/>
      <c r="S73" s="2952">
        <f>(1/47)*($N$45/$Q$46)*(1-$N$48)*$N$50*$N$52</f>
        <v>9.5914285714285737E-3</v>
      </c>
      <c r="T73" s="2952"/>
      <c r="U73" s="2952"/>
      <c r="V73" s="2952"/>
      <c r="W73" s="2952"/>
      <c r="X73" s="2951">
        <f>S73*$N$54</f>
        <v>84.020914285714312</v>
      </c>
      <c r="Y73" s="2951"/>
      <c r="Z73" s="2951"/>
      <c r="AA73" s="2951"/>
      <c r="AB73" s="2951"/>
      <c r="AC73" s="2951">
        <f t="shared" ref="AC73:AC78" si="4">X73*$Q$55</f>
        <v>1260.3137142857147</v>
      </c>
      <c r="AD73" s="2951"/>
      <c r="AE73" s="2951"/>
      <c r="AF73" s="2951"/>
    </row>
    <row r="74" spans="1:32" x14ac:dyDescent="0.25">
      <c r="A74" s="1749" t="s">
        <v>4436</v>
      </c>
      <c r="B74" s="1243"/>
      <c r="C74" s="1243"/>
      <c r="D74" s="2952">
        <f>(1/25)*($N$45/$Q$46)*(1-$N$47)*$N$49*$N$51</f>
        <v>2.7708571428571433E-2</v>
      </c>
      <c r="E74" s="2952"/>
      <c r="F74" s="2952"/>
      <c r="G74" s="2952"/>
      <c r="H74" s="2952"/>
      <c r="I74" s="2951">
        <f t="shared" ref="I74:I78" si="5">D74*$N$54</f>
        <v>242.72708571428575</v>
      </c>
      <c r="J74" s="2951"/>
      <c r="K74" s="2951"/>
      <c r="L74" s="2951"/>
      <c r="M74" s="2951"/>
      <c r="N74" s="2951">
        <f t="shared" ref="N74:N77" si="6">I74*$Q$55</f>
        <v>3640.9062857142862</v>
      </c>
      <c r="O74" s="2951"/>
      <c r="P74" s="2951"/>
      <c r="Q74" s="2951"/>
      <c r="R74" s="2951"/>
      <c r="S74" s="2952">
        <f>(1/25)*($N$45/$Q$46)*(1-$N$48)*$N$50*$N$52</f>
        <v>1.8031885714285718E-2</v>
      </c>
      <c r="T74" s="2952"/>
      <c r="U74" s="2952"/>
      <c r="V74" s="2952"/>
      <c r="W74" s="2952"/>
      <c r="X74" s="2951">
        <f t="shared" ref="X74:X77" si="7">S74*$N$54</f>
        <v>157.9593188571429</v>
      </c>
      <c r="Y74" s="2951"/>
      <c r="Z74" s="2951"/>
      <c r="AA74" s="2951"/>
      <c r="AB74" s="2951"/>
      <c r="AC74" s="2951">
        <f t="shared" si="4"/>
        <v>2369.3897828571435</v>
      </c>
      <c r="AD74" s="2951"/>
      <c r="AE74" s="2951"/>
      <c r="AF74" s="2951"/>
    </row>
    <row r="75" spans="1:32" x14ac:dyDescent="0.25">
      <c r="A75" s="1749" t="s">
        <v>4437</v>
      </c>
      <c r="B75" s="1243"/>
      <c r="C75" s="1243"/>
      <c r="D75" s="2952">
        <f>(1/20)*($N$45/$Q$46)*(1-$N$47)*$N$49*$N$51</f>
        <v>3.4635714285714297E-2</v>
      </c>
      <c r="E75" s="2952"/>
      <c r="F75" s="2952"/>
      <c r="G75" s="2952"/>
      <c r="H75" s="2952"/>
      <c r="I75" s="2951">
        <f t="shared" si="5"/>
        <v>303.40885714285724</v>
      </c>
      <c r="J75" s="2951"/>
      <c r="K75" s="2951"/>
      <c r="L75" s="2951"/>
      <c r="M75" s="2951"/>
      <c r="N75" s="2951">
        <f t="shared" si="6"/>
        <v>4551.1328571428585</v>
      </c>
      <c r="O75" s="2951"/>
      <c r="P75" s="2951"/>
      <c r="Q75" s="2951"/>
      <c r="R75" s="2951"/>
      <c r="S75" s="2952">
        <f>(1/20)*($N$45/$Q$46)*(1-$N$48)*$N$50*$N$52</f>
        <v>2.253985714285715E-2</v>
      </c>
      <c r="T75" s="2952"/>
      <c r="U75" s="2952"/>
      <c r="V75" s="2952"/>
      <c r="W75" s="2952"/>
      <c r="X75" s="2951">
        <f t="shared" si="7"/>
        <v>197.44914857142862</v>
      </c>
      <c r="Y75" s="2951"/>
      <c r="Z75" s="2951"/>
      <c r="AA75" s="2951"/>
      <c r="AB75" s="2951"/>
      <c r="AC75" s="2951">
        <f t="shared" si="4"/>
        <v>2961.7372285714291</v>
      </c>
      <c r="AD75" s="2951"/>
      <c r="AE75" s="2951"/>
      <c r="AF75" s="2951"/>
    </row>
    <row r="76" spans="1:32" x14ac:dyDescent="0.25">
      <c r="A76" s="1749" t="s">
        <v>4438</v>
      </c>
      <c r="B76" s="1243"/>
      <c r="C76" s="1243"/>
      <c r="D76" s="2952">
        <f>(1/15)*($N$45/$Q$46)*(1-$N$47)*$N$49*$N$51</f>
        <v>4.6180952380952385E-2</v>
      </c>
      <c r="E76" s="2952"/>
      <c r="F76" s="2952"/>
      <c r="G76" s="2952"/>
      <c r="H76" s="2952"/>
      <c r="I76" s="2951">
        <f>D76*$N$54</f>
        <v>404.54514285714288</v>
      </c>
      <c r="J76" s="2951"/>
      <c r="K76" s="2951"/>
      <c r="L76" s="2951"/>
      <c r="M76" s="2951"/>
      <c r="N76" s="2951">
        <f t="shared" si="6"/>
        <v>6068.1771428571428</v>
      </c>
      <c r="O76" s="2951"/>
      <c r="P76" s="2951"/>
      <c r="Q76" s="2951"/>
      <c r="R76" s="2951"/>
      <c r="S76" s="2952">
        <f>(1/15)*($N$45/$Q$46)*(1-$N$48)*$N$50*$N$52</f>
        <v>3.0053142857142862E-2</v>
      </c>
      <c r="T76" s="2952"/>
      <c r="U76" s="2952"/>
      <c r="V76" s="2952"/>
      <c r="W76" s="2952"/>
      <c r="X76" s="2951">
        <f t="shared" si="7"/>
        <v>263.26553142857148</v>
      </c>
      <c r="Y76" s="2951"/>
      <c r="Z76" s="2951"/>
      <c r="AA76" s="2951"/>
      <c r="AB76" s="2951"/>
      <c r="AC76" s="2951">
        <f t="shared" si="4"/>
        <v>3948.982971428572</v>
      </c>
      <c r="AD76" s="2951"/>
      <c r="AE76" s="2951"/>
      <c r="AF76" s="2951"/>
    </row>
    <row r="77" spans="1:32" x14ac:dyDescent="0.25">
      <c r="A77" s="1749" t="s">
        <v>4439</v>
      </c>
      <c r="B77" s="1243"/>
      <c r="C77" s="1243"/>
      <c r="D77" s="2952">
        <f>(1/8)*($N$45/$Q$46)*(1-$N$47)*$N$49*$N$51</f>
        <v>8.658928571428573E-2</v>
      </c>
      <c r="E77" s="2952"/>
      <c r="F77" s="2952"/>
      <c r="G77" s="2952"/>
      <c r="H77" s="2952"/>
      <c r="I77" s="2951">
        <f t="shared" si="5"/>
        <v>758.52214285714297</v>
      </c>
      <c r="J77" s="2951"/>
      <c r="K77" s="2951"/>
      <c r="L77" s="2951"/>
      <c r="M77" s="2951"/>
      <c r="N77" s="2951">
        <f t="shared" si="6"/>
        <v>11377.832142857145</v>
      </c>
      <c r="O77" s="2951"/>
      <c r="P77" s="2951"/>
      <c r="Q77" s="2951"/>
      <c r="R77" s="2951"/>
      <c r="S77" s="2952">
        <f>(1/8)*($N$45/$Q$46)*(1-$N$48)*$N$50*$N$52</f>
        <v>5.6349642857142862E-2</v>
      </c>
      <c r="T77" s="2952"/>
      <c r="U77" s="2952"/>
      <c r="V77" s="2952"/>
      <c r="W77" s="2952"/>
      <c r="X77" s="2951">
        <f t="shared" si="7"/>
        <v>493.62287142857144</v>
      </c>
      <c r="Y77" s="2951"/>
      <c r="Z77" s="2951"/>
      <c r="AA77" s="2951"/>
      <c r="AB77" s="2951"/>
      <c r="AC77" s="2951">
        <f t="shared" si="4"/>
        <v>7404.3430714285714</v>
      </c>
      <c r="AD77" s="2951"/>
      <c r="AE77" s="2951"/>
      <c r="AF77" s="2951"/>
    </row>
    <row r="78" spans="1:32" x14ac:dyDescent="0.25">
      <c r="A78" s="1749" t="s">
        <v>4440</v>
      </c>
      <c r="B78" s="1243"/>
      <c r="C78" s="1243"/>
      <c r="D78" s="2952">
        <f>(1/3)*($N$45/$Q$46)*(1-$N$47)*$N$49*$N$51</f>
        <v>0.23090476190476192</v>
      </c>
      <c r="E78" s="2952"/>
      <c r="F78" s="2952"/>
      <c r="G78" s="2952"/>
      <c r="H78" s="2952"/>
      <c r="I78" s="2951">
        <f t="shared" si="5"/>
        <v>2022.7257142857145</v>
      </c>
      <c r="J78" s="2951"/>
      <c r="K78" s="2951"/>
      <c r="L78" s="2951"/>
      <c r="M78" s="2951"/>
      <c r="N78" s="2951">
        <f>I78*$Q$55</f>
        <v>30340.885714285716</v>
      </c>
      <c r="O78" s="2951"/>
      <c r="P78" s="2951"/>
      <c r="Q78" s="2951"/>
      <c r="R78" s="2951"/>
      <c r="S78" s="2952">
        <f>(1/3)*($N$45/$Q$46)*(1-$N$48)*$N$50*$N$52</f>
        <v>0.15026571428571431</v>
      </c>
      <c r="T78" s="2952"/>
      <c r="U78" s="2952"/>
      <c r="V78" s="2952"/>
      <c r="W78" s="2952"/>
      <c r="X78" s="2951">
        <f>S78*$N$54</f>
        <v>1316.3276571428573</v>
      </c>
      <c r="Y78" s="2951"/>
      <c r="Z78" s="2951"/>
      <c r="AA78" s="2951"/>
      <c r="AB78" s="2951"/>
      <c r="AC78" s="2951">
        <f t="shared" si="4"/>
        <v>19744.91485714286</v>
      </c>
      <c r="AD78" s="2951"/>
      <c r="AE78" s="2951"/>
      <c r="AF78" s="2951"/>
    </row>
    <row r="79" spans="1:32" x14ac:dyDescent="0.25">
      <c r="A79" s="728">
        <v>1</v>
      </c>
      <c r="B79" s="728">
        <v>2</v>
      </c>
      <c r="C79" s="728">
        <v>3</v>
      </c>
      <c r="D79" s="728">
        <v>4</v>
      </c>
      <c r="E79" s="728">
        <v>5</v>
      </c>
      <c r="F79" s="728">
        <v>6</v>
      </c>
      <c r="G79" s="728">
        <v>7</v>
      </c>
      <c r="H79" s="728">
        <v>8</v>
      </c>
      <c r="I79" s="728">
        <v>9</v>
      </c>
      <c r="J79" s="728">
        <v>10</v>
      </c>
      <c r="K79" s="728">
        <v>11</v>
      </c>
      <c r="L79" s="728">
        <v>12</v>
      </c>
      <c r="M79" s="728">
        <v>13</v>
      </c>
      <c r="N79" s="728">
        <v>14</v>
      </c>
      <c r="O79" s="728">
        <v>15</v>
      </c>
      <c r="P79" s="728">
        <v>16</v>
      </c>
      <c r="Q79" s="728">
        <v>17</v>
      </c>
      <c r="R79" s="728">
        <v>18</v>
      </c>
      <c r="S79" s="728">
        <v>19</v>
      </c>
      <c r="T79" s="728">
        <v>20</v>
      </c>
      <c r="U79" s="728">
        <v>21</v>
      </c>
      <c r="V79" s="728">
        <v>22</v>
      </c>
      <c r="W79" s="728">
        <v>23</v>
      </c>
      <c r="X79" s="728">
        <v>24</v>
      </c>
      <c r="Y79" s="728">
        <v>25</v>
      </c>
      <c r="Z79" s="728">
        <v>26</v>
      </c>
      <c r="AA79" s="728">
        <v>27</v>
      </c>
      <c r="AB79" s="728">
        <v>28</v>
      </c>
      <c r="AC79" s="728">
        <v>29</v>
      </c>
      <c r="AD79" s="728">
        <v>30</v>
      </c>
      <c r="AE79" s="728">
        <v>31</v>
      </c>
      <c r="AF79" s="728">
        <v>32</v>
      </c>
    </row>
    <row r="80" spans="1:32" x14ac:dyDescent="0.25">
      <c r="A80" s="1472" t="s">
        <v>21</v>
      </c>
      <c r="B80" s="1472"/>
      <c r="C80" s="1472"/>
      <c r="D80" s="1472"/>
      <c r="E80" s="1472"/>
      <c r="F80" s="1472"/>
      <c r="G80" s="1472"/>
      <c r="H80" s="1472"/>
      <c r="I80" s="1472"/>
      <c r="J80" s="1472"/>
      <c r="K80" s="1472"/>
      <c r="L80" s="1472"/>
      <c r="M80" s="1472"/>
      <c r="N80" s="1472"/>
      <c r="O80" s="1472"/>
      <c r="P80" s="1472"/>
      <c r="Q80" s="1472"/>
      <c r="R80" s="1472"/>
      <c r="S80" s="1472"/>
      <c r="T80" s="1472"/>
      <c r="U80" s="1472"/>
      <c r="V80" s="1472"/>
      <c r="W80" s="1472"/>
      <c r="X80" s="1472"/>
      <c r="Y80" s="1472"/>
      <c r="Z80" s="1472"/>
      <c r="AA80" s="1472"/>
      <c r="AB80" s="1472"/>
      <c r="AC80" s="1472"/>
      <c r="AD80" s="1472"/>
      <c r="AE80" s="1472"/>
      <c r="AF80" s="1472"/>
    </row>
    <row r="82" spans="1:32" x14ac:dyDescent="0.25">
      <c r="A82" s="642" t="s">
        <v>4442</v>
      </c>
      <c r="B82" s="227"/>
      <c r="C82" s="227"/>
      <c r="D82" s="227"/>
      <c r="E82" s="227"/>
      <c r="F82" s="227"/>
      <c r="G82" s="227"/>
      <c r="H82" s="227"/>
      <c r="I82" s="227"/>
      <c r="J82" s="423"/>
      <c r="K82" s="423"/>
      <c r="L82" s="423"/>
      <c r="M82" s="423"/>
      <c r="N82" s="423"/>
      <c r="O82" s="423"/>
      <c r="P82" s="423"/>
      <c r="Q82" s="423"/>
      <c r="R82" s="423"/>
      <c r="S82" s="227"/>
      <c r="T82" s="227"/>
      <c r="U82" s="227"/>
      <c r="V82" s="227"/>
      <c r="W82" s="227"/>
      <c r="X82" s="227"/>
      <c r="Y82" s="227"/>
      <c r="Z82" s="227"/>
      <c r="AA82" s="227"/>
      <c r="AB82" s="227"/>
      <c r="AC82" s="227"/>
      <c r="AD82" s="227"/>
      <c r="AE82" s="227"/>
      <c r="AF82" s="227"/>
    </row>
    <row r="83" spans="1:32" x14ac:dyDescent="0.25">
      <c r="A83" s="227"/>
      <c r="B83" s="227"/>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row>
    <row r="84" spans="1:32" x14ac:dyDescent="0.25">
      <c r="A84" s="227"/>
      <c r="B84" s="227"/>
      <c r="C84" s="227" t="s">
        <v>4443</v>
      </c>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row>
    <row r="85" spans="1:32" x14ac:dyDescent="0.25">
      <c r="A85" s="227"/>
      <c r="B85" s="227"/>
      <c r="C85" s="227"/>
      <c r="D85" s="227"/>
      <c r="E85" s="227"/>
      <c r="F85" s="2721" t="s">
        <v>4444</v>
      </c>
      <c r="G85" s="2722"/>
      <c r="H85" s="2723"/>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row>
    <row r="86" spans="1:32" x14ac:dyDescent="0.25">
      <c r="A86" s="227"/>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row>
    <row r="87" spans="1:32" x14ac:dyDescent="0.25">
      <c r="A87" s="227"/>
      <c r="B87" s="227"/>
      <c r="C87" s="227" t="s">
        <v>4445</v>
      </c>
      <c r="D87" s="227"/>
      <c r="E87" s="227"/>
      <c r="F87" s="227"/>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c r="AE87" s="227"/>
      <c r="AF87" s="227"/>
    </row>
    <row r="88" spans="1:32" x14ac:dyDescent="0.25">
      <c r="A88" s="227"/>
      <c r="B88" s="227"/>
      <c r="C88" s="227"/>
      <c r="D88" s="227"/>
      <c r="E88" s="227"/>
      <c r="F88" s="2721" t="s">
        <v>4404</v>
      </c>
      <c r="G88" s="2722"/>
      <c r="H88" s="2723"/>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row>
    <row r="89" spans="1:32" x14ac:dyDescent="0.25">
      <c r="A89" s="227"/>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row>
    <row r="90" spans="1:32" x14ac:dyDescent="0.25">
      <c r="A90" s="227"/>
      <c r="B90" s="227"/>
      <c r="C90" s="227" t="s">
        <v>4446</v>
      </c>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row>
    <row r="91" spans="1:32" x14ac:dyDescent="0.25">
      <c r="A91" s="227"/>
      <c r="B91" s="227"/>
      <c r="C91" s="227"/>
      <c r="D91" s="227"/>
      <c r="E91" s="227"/>
      <c r="F91" s="2721" t="s">
        <v>4435</v>
      </c>
      <c r="G91" s="2722"/>
      <c r="H91" s="2723"/>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row>
    <row r="92" spans="1:32" x14ac:dyDescent="0.25">
      <c r="A92" s="227"/>
      <c r="B92" s="227"/>
      <c r="C92" s="227"/>
      <c r="D92" s="227"/>
      <c r="E92" s="227"/>
      <c r="F92" s="227"/>
      <c r="G92" s="227"/>
      <c r="H92" s="227"/>
      <c r="I92" s="227"/>
      <c r="J92" s="227"/>
      <c r="K92" s="227"/>
      <c r="L92" s="227"/>
      <c r="M92" s="227"/>
      <c r="N92" s="227"/>
      <c r="O92" s="227"/>
      <c r="P92" s="227"/>
      <c r="Q92" s="227"/>
      <c r="R92" s="227"/>
      <c r="S92" s="227"/>
      <c r="T92" s="227"/>
      <c r="U92" s="227"/>
      <c r="V92" s="227"/>
      <c r="W92" s="227"/>
      <c r="X92" s="227"/>
      <c r="Y92" s="227"/>
      <c r="Z92" s="227"/>
      <c r="AA92" s="227"/>
      <c r="AB92" s="227"/>
      <c r="AC92" s="227"/>
      <c r="AD92" s="227"/>
      <c r="AE92" s="227"/>
      <c r="AF92" s="227"/>
    </row>
    <row r="93" spans="1:32" x14ac:dyDescent="0.25">
      <c r="A93" s="227"/>
      <c r="B93" s="227"/>
      <c r="C93" s="227" t="s">
        <v>4447</v>
      </c>
      <c r="D93" s="227"/>
      <c r="E93" s="227"/>
      <c r="F93" s="227"/>
      <c r="G93" s="227"/>
      <c r="H93" s="227"/>
      <c r="I93" s="227"/>
      <c r="J93" s="227"/>
      <c r="K93" s="227"/>
      <c r="L93" s="227"/>
      <c r="M93" s="227"/>
      <c r="N93" s="227"/>
      <c r="O93" s="227"/>
      <c r="P93" s="227"/>
      <c r="Q93" s="227"/>
      <c r="R93" s="227"/>
      <c r="S93" s="227"/>
      <c r="T93" s="227"/>
      <c r="U93" s="227"/>
      <c r="V93" s="227"/>
      <c r="W93" s="227"/>
      <c r="X93" s="227"/>
      <c r="Y93" s="227"/>
      <c r="Z93" s="227"/>
      <c r="AA93" s="227"/>
      <c r="AB93" s="227"/>
      <c r="AC93" s="227"/>
      <c r="AD93" s="227"/>
      <c r="AE93" s="227"/>
      <c r="AF93" s="227"/>
    </row>
    <row r="94" spans="1:32" x14ac:dyDescent="0.25">
      <c r="A94" s="227"/>
      <c r="B94" s="227"/>
      <c r="C94" s="227"/>
      <c r="D94" s="227"/>
      <c r="E94" s="227"/>
      <c r="F94" s="2721">
        <v>1</v>
      </c>
      <c r="G94" s="2722"/>
      <c r="H94" s="2723"/>
      <c r="I94" s="227"/>
      <c r="J94" s="227"/>
      <c r="K94" s="227"/>
      <c r="L94" s="227"/>
      <c r="M94" s="227"/>
      <c r="N94" s="227"/>
      <c r="O94" s="227"/>
      <c r="P94" s="227"/>
      <c r="Q94" s="227"/>
      <c r="R94" s="227"/>
      <c r="S94" s="227"/>
      <c r="T94" s="227"/>
      <c r="U94" s="227"/>
      <c r="V94" s="227"/>
      <c r="W94" s="227"/>
      <c r="X94" s="227"/>
      <c r="Y94" s="227"/>
      <c r="Z94" s="227"/>
      <c r="AA94" s="227"/>
      <c r="AB94" s="227"/>
      <c r="AC94" s="227"/>
      <c r="AD94" s="227"/>
      <c r="AE94" s="227"/>
      <c r="AF94" s="227"/>
    </row>
    <row r="95" spans="1:32" ht="15.75" thickBot="1" x14ac:dyDescent="0.3">
      <c r="A95" s="227"/>
      <c r="B95" s="227"/>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c r="AA95" s="227"/>
      <c r="AB95" s="227"/>
      <c r="AC95" s="227"/>
      <c r="AD95" s="227"/>
      <c r="AE95" s="227"/>
      <c r="AF95" s="227"/>
    </row>
    <row r="96" spans="1:32" ht="32.1" customHeight="1" x14ac:dyDescent="0.25">
      <c r="A96" s="1810" t="s">
        <v>22</v>
      </c>
      <c r="B96" s="1643"/>
      <c r="C96" s="1643"/>
      <c r="D96" s="1643"/>
      <c r="E96" s="1643"/>
      <c r="F96" s="1643"/>
      <c r="G96" s="1643"/>
      <c r="H96" s="1643"/>
      <c r="I96" s="1642" t="s">
        <v>2922</v>
      </c>
      <c r="J96" s="1643"/>
      <c r="K96" s="1643"/>
      <c r="L96" s="1643"/>
      <c r="M96" s="1643"/>
      <c r="N96" s="1643"/>
      <c r="O96" s="1643"/>
      <c r="P96" s="1643"/>
      <c r="Q96" s="1642" t="s">
        <v>2918</v>
      </c>
      <c r="R96" s="1643"/>
      <c r="S96" s="1643"/>
      <c r="T96" s="1643"/>
      <c r="U96" s="1643"/>
      <c r="V96" s="1643"/>
      <c r="W96" s="1643"/>
      <c r="X96" s="1643"/>
      <c r="Y96" s="1642" t="s">
        <v>1786</v>
      </c>
      <c r="Z96" s="1643"/>
      <c r="AA96" s="1643"/>
      <c r="AB96" s="1643"/>
      <c r="AC96" s="1643"/>
      <c r="AD96" s="1643"/>
      <c r="AE96" s="1643"/>
      <c r="AF96" s="1644"/>
    </row>
    <row r="97" spans="1:32" ht="48.6" customHeight="1" thickBot="1" x14ac:dyDescent="0.3">
      <c r="A97" s="2949" t="str">
        <f>F85&amp;" Evaporator Fan Motor Controls, "&amp;F91&amp;" hp, "&amp;F88&amp;", "&amp;F94&amp;" motor(s)"</f>
        <v>Cooler Evaporator Fan Motor Controls, 1/47 hp, ECM, 1 motor(s)</v>
      </c>
      <c r="B97" s="2734"/>
      <c r="C97" s="2734"/>
      <c r="D97" s="2734"/>
      <c r="E97" s="2734"/>
      <c r="F97" s="2734"/>
      <c r="G97" s="2734"/>
      <c r="H97" s="2734"/>
      <c r="I97" s="2950">
        <f>ROUND(IF(AND($F$88="SP",$F$85="Cooler"),VLOOKUP($F$91,$A$61:$AF$68,4,FALSE)*$F$94,IF(AND($F$88="ECM",$F$85="Cooler"),VLOOKUP($F$91,$A$71:$AF$78,4,FALSE)*$F$94,IF(AND($F$88="SP",$F$85="Freezer"),VLOOKUP($F$91,$A$61:$AF$68,19,FALSE)*$F$94,IF(AND($F$88="ECM",$F$85="Freezer"),VLOOKUP($F$91,$A$71:$AF$78,19,FALSE)*$F$94,"NA")))),3)</f>
        <v>1.4999999999999999E-2</v>
      </c>
      <c r="J97" s="2950"/>
      <c r="K97" s="2950"/>
      <c r="L97" s="2950"/>
      <c r="M97" s="2950"/>
      <c r="N97" s="2950"/>
      <c r="O97" s="2950"/>
      <c r="P97" s="2950"/>
      <c r="Q97" s="2738">
        <f>ROUND(IF(AND($F$88="SP",$F$85="Cooler"),VLOOKUP($F$91,$A$61:$AF$68,9,FALSE)*$F$94,IF(AND($F$88="ECM",$F$85="Cooler"),VLOOKUP($F$91,$A$71:$AF$78,9,FALSE)*$F$94,IF(AND($F$88="SP",$F$85="Freezer"),VLOOKUP($F$91,$A$61:$AF$68,24,FALSE)*$F$94,IF(AND($F$88="ECM",$F$85="Freezer"),VLOOKUP($F$91,$A$71:$AF$78,24,FALSE)*$F$94,"NA")))),2)</f>
        <v>129.11000000000001</v>
      </c>
      <c r="R97" s="2738"/>
      <c r="S97" s="2738"/>
      <c r="T97" s="2738"/>
      <c r="U97" s="2738"/>
      <c r="V97" s="2738"/>
      <c r="W97" s="2738"/>
      <c r="X97" s="2738"/>
      <c r="Y97" s="2739">
        <f>ROUND(IF(AND($F$88="SP",$F$85="Cooler"),VLOOKUP($F$91,$A$61:$AF$68,14,FALSE)*$F$94,IF(AND($F$88="ECM",$F$85="Cooler"),VLOOKUP($F$91,$A$71:$AF$78,14,FALSE)*$F$94,IF(AND($F$88="SP",$F$85="Freezer"),VLOOKUP($F$91,$A$61:$AF$68,29,FALSE)*$F$94,IF(AND($F$88="ECM",$F$85="Freezer"),VLOOKUP($F$91,$A$71:$AF$78,29,FALSE)*$F$94,"NA")))),2)</f>
        <v>1936.65</v>
      </c>
      <c r="Z97" s="2739"/>
      <c r="AA97" s="2739"/>
      <c r="AB97" s="2739"/>
      <c r="AC97" s="2739"/>
      <c r="AD97" s="2739"/>
      <c r="AE97" s="2739"/>
      <c r="AF97" s="2740"/>
    </row>
    <row r="98" spans="1:32" x14ac:dyDescent="0.25">
      <c r="A98" s="227"/>
      <c r="B98" s="227"/>
      <c r="C98" s="227"/>
      <c r="D98" s="227"/>
      <c r="E98" s="227"/>
      <c r="F98" s="227"/>
      <c r="G98" s="227"/>
      <c r="H98" s="227"/>
      <c r="I98" s="227"/>
      <c r="J98" s="227"/>
      <c r="K98" s="227"/>
      <c r="L98" s="227"/>
      <c r="M98" s="227"/>
      <c r="N98" s="227"/>
      <c r="O98" s="227"/>
      <c r="P98" s="227"/>
      <c r="Q98" s="227"/>
      <c r="R98" s="227"/>
      <c r="S98" s="227"/>
      <c r="T98" s="227"/>
      <c r="U98" s="227"/>
      <c r="V98" s="227"/>
      <c r="W98" s="227"/>
      <c r="X98" s="227"/>
      <c r="Y98" s="227"/>
      <c r="Z98" s="227"/>
      <c r="AA98" s="227"/>
      <c r="AB98" s="227"/>
      <c r="AC98" s="227"/>
      <c r="AD98" s="227"/>
      <c r="AE98" s="227"/>
      <c r="AF98" s="227"/>
    </row>
    <row r="99" spans="1:32" x14ac:dyDescent="0.25">
      <c r="A99" s="1621" t="s">
        <v>1753</v>
      </c>
      <c r="B99" s="1621"/>
      <c r="C99" s="1621"/>
      <c r="D99" s="1621"/>
      <c r="E99" s="1621"/>
      <c r="F99" s="1621"/>
      <c r="G99" s="1621"/>
      <c r="H99" s="1621"/>
      <c r="I99" s="1621"/>
      <c r="J99" s="1621"/>
      <c r="K99" s="1621"/>
      <c r="L99" s="1621"/>
      <c r="M99" s="1621"/>
      <c r="N99" s="1621"/>
      <c r="O99" s="1621"/>
      <c r="P99" s="1621"/>
      <c r="Q99" s="1621"/>
      <c r="R99" s="1621"/>
      <c r="S99" s="1621"/>
      <c r="T99" s="1621"/>
      <c r="U99" s="1621"/>
      <c r="V99" s="1621"/>
      <c r="W99" s="1621"/>
      <c r="X99" s="1621"/>
      <c r="Y99" s="1621"/>
      <c r="Z99" s="1621"/>
      <c r="AA99" s="1621"/>
      <c r="AB99" s="1621"/>
      <c r="AC99" s="1621"/>
      <c r="AD99" s="1621"/>
      <c r="AE99" s="1621"/>
      <c r="AF99" s="1621"/>
    </row>
    <row r="101" spans="1:32" ht="14.45" customHeight="1" x14ac:dyDescent="0.25">
      <c r="A101" s="517" t="s">
        <v>1013</v>
      </c>
      <c r="B101" s="1173" t="s">
        <v>4558</v>
      </c>
      <c r="C101" s="1173"/>
      <c r="D101" s="1173"/>
      <c r="E101" s="1173"/>
      <c r="F101" s="1173"/>
      <c r="G101" s="1173"/>
      <c r="H101" s="1173"/>
      <c r="I101" s="1173"/>
      <c r="J101" s="1173"/>
      <c r="K101" s="1173"/>
      <c r="L101" s="1173"/>
      <c r="M101" s="1173"/>
      <c r="N101" s="1173"/>
      <c r="O101" s="1173"/>
      <c r="P101" s="1173"/>
      <c r="Q101" s="1173"/>
      <c r="R101" s="1173"/>
      <c r="S101" s="1173"/>
      <c r="T101" s="1173"/>
      <c r="U101" s="1173"/>
      <c r="V101" s="1173"/>
      <c r="W101" s="1173"/>
      <c r="X101" s="1173"/>
      <c r="Y101" s="1173"/>
      <c r="Z101" s="1173"/>
      <c r="AA101" s="1173"/>
      <c r="AB101" s="1173"/>
      <c r="AC101" s="1173"/>
      <c r="AD101" s="1173"/>
      <c r="AE101" s="1173"/>
      <c r="AF101" s="1173"/>
    </row>
    <row r="102" spans="1:32" x14ac:dyDescent="0.25">
      <c r="A102" s="517" t="s">
        <v>1013</v>
      </c>
      <c r="B102" s="1173" t="s">
        <v>4448</v>
      </c>
      <c r="C102" s="1173"/>
      <c r="D102" s="1173"/>
      <c r="E102" s="1173"/>
      <c r="F102" s="1173"/>
      <c r="G102" s="1173"/>
      <c r="H102" s="1173"/>
      <c r="I102" s="1173"/>
      <c r="J102" s="1173"/>
      <c r="K102" s="1173"/>
      <c r="L102" s="1173"/>
      <c r="M102" s="1173"/>
      <c r="N102" s="1173"/>
      <c r="O102" s="1173"/>
      <c r="P102" s="1173"/>
      <c r="Q102" s="1173"/>
      <c r="R102" s="1173"/>
      <c r="S102" s="1173"/>
      <c r="T102" s="1173"/>
      <c r="U102" s="1173"/>
      <c r="V102" s="1173"/>
      <c r="W102" s="1173"/>
      <c r="X102" s="1173"/>
      <c r="Y102" s="1173"/>
      <c r="Z102" s="1173"/>
      <c r="AA102" s="1173"/>
      <c r="AB102" s="1173"/>
      <c r="AC102" s="1173"/>
      <c r="AD102" s="1173"/>
      <c r="AE102" s="1173"/>
      <c r="AF102" s="1173"/>
    </row>
    <row r="103" spans="1:32" x14ac:dyDescent="0.25">
      <c r="A103" s="517" t="s">
        <v>1013</v>
      </c>
      <c r="B103" s="1173" t="s">
        <v>4449</v>
      </c>
      <c r="C103" s="1173"/>
      <c r="D103" s="1173"/>
      <c r="E103" s="1173"/>
      <c r="F103" s="1173"/>
      <c r="G103" s="1173"/>
      <c r="H103" s="1173"/>
      <c r="I103" s="1173"/>
      <c r="J103" s="1173"/>
      <c r="K103" s="1173"/>
      <c r="L103" s="1173"/>
      <c r="M103" s="1173"/>
      <c r="N103" s="1173"/>
      <c r="O103" s="1173"/>
      <c r="P103" s="1173"/>
      <c r="Q103" s="1173"/>
      <c r="R103" s="1173"/>
      <c r="S103" s="1173"/>
      <c r="T103" s="1173"/>
      <c r="U103" s="1173"/>
      <c r="V103" s="1173"/>
      <c r="W103" s="1173"/>
      <c r="X103" s="1173"/>
      <c r="Y103" s="1173"/>
      <c r="Z103" s="1173"/>
      <c r="AA103" s="1173"/>
      <c r="AB103" s="1173"/>
      <c r="AC103" s="1173"/>
      <c r="AD103" s="1173"/>
      <c r="AE103" s="1173"/>
      <c r="AF103" s="1173"/>
    </row>
    <row r="104" spans="1:32" ht="29.45" customHeight="1" x14ac:dyDescent="0.25">
      <c r="A104" s="517" t="s">
        <v>1013</v>
      </c>
      <c r="B104" s="1173" t="s">
        <v>4450</v>
      </c>
      <c r="C104" s="1173"/>
      <c r="D104" s="1173"/>
      <c r="E104" s="1173"/>
      <c r="F104" s="1173"/>
      <c r="G104" s="1173"/>
      <c r="H104" s="1173"/>
      <c r="I104" s="1173"/>
      <c r="J104" s="1173"/>
      <c r="K104" s="1173"/>
      <c r="L104" s="1173"/>
      <c r="M104" s="1173"/>
      <c r="N104" s="1173"/>
      <c r="O104" s="1173"/>
      <c r="P104" s="1173"/>
      <c r="Q104" s="1173"/>
      <c r="R104" s="1173"/>
      <c r="S104" s="1173"/>
      <c r="T104" s="1173"/>
      <c r="U104" s="1173"/>
      <c r="V104" s="1173"/>
      <c r="W104" s="1173"/>
      <c r="X104" s="1173"/>
      <c r="Y104" s="1173"/>
      <c r="Z104" s="1173"/>
      <c r="AA104" s="1173"/>
      <c r="AB104" s="1173"/>
      <c r="AC104" s="1173"/>
      <c r="AD104" s="1173"/>
      <c r="AE104" s="1173"/>
      <c r="AF104" s="1173"/>
    </row>
    <row r="105" spans="1:32" x14ac:dyDescent="0.25">
      <c r="A105" s="517" t="s">
        <v>1013</v>
      </c>
      <c r="B105" s="1173" t="s">
        <v>4451</v>
      </c>
      <c r="C105" s="1173"/>
      <c r="D105" s="1173"/>
      <c r="E105" s="1173"/>
      <c r="F105" s="1173"/>
      <c r="G105" s="1173"/>
      <c r="H105" s="1173"/>
      <c r="I105" s="1173"/>
      <c r="J105" s="1173"/>
      <c r="K105" s="1173"/>
      <c r="L105" s="1173"/>
      <c r="M105" s="1173"/>
      <c r="N105" s="1173"/>
      <c r="O105" s="1173"/>
      <c r="P105" s="1173"/>
      <c r="Q105" s="1173"/>
      <c r="R105" s="1173"/>
      <c r="S105" s="1173"/>
      <c r="T105" s="1173"/>
      <c r="U105" s="1173"/>
      <c r="V105" s="1173"/>
      <c r="W105" s="1173"/>
      <c r="X105" s="1173"/>
      <c r="Y105" s="1173"/>
      <c r="Z105" s="1173"/>
      <c r="AA105" s="1173"/>
      <c r="AB105" s="1173"/>
      <c r="AC105" s="1173"/>
      <c r="AD105" s="1173"/>
      <c r="AE105" s="1173"/>
      <c r="AF105" s="1173"/>
    </row>
    <row r="106" spans="1:32" ht="29.45" customHeight="1" x14ac:dyDescent="0.25">
      <c r="A106" s="517" t="s">
        <v>1013</v>
      </c>
      <c r="B106" s="1173" t="s">
        <v>4452</v>
      </c>
      <c r="C106" s="1173"/>
      <c r="D106" s="1173"/>
      <c r="E106" s="1173"/>
      <c r="F106" s="1173"/>
      <c r="G106" s="1173"/>
      <c r="H106" s="1173"/>
      <c r="I106" s="1173"/>
      <c r="J106" s="1173"/>
      <c r="K106" s="1173"/>
      <c r="L106" s="1173"/>
      <c r="M106" s="1173"/>
      <c r="N106" s="1173"/>
      <c r="O106" s="1173"/>
      <c r="P106" s="1173"/>
      <c r="Q106" s="1173"/>
      <c r="R106" s="1173"/>
      <c r="S106" s="1173"/>
      <c r="T106" s="1173"/>
      <c r="U106" s="1173"/>
      <c r="V106" s="1173"/>
      <c r="W106" s="1173"/>
      <c r="X106" s="1173"/>
      <c r="Y106" s="1173"/>
      <c r="Z106" s="1173"/>
      <c r="AA106" s="1173"/>
      <c r="AB106" s="1173"/>
      <c r="AC106" s="1173"/>
      <c r="AD106" s="1173"/>
      <c r="AE106" s="1173"/>
      <c r="AF106" s="1173"/>
    </row>
    <row r="107" spans="1:32" ht="29.1" customHeight="1" x14ac:dyDescent="0.25">
      <c r="A107" s="517" t="s">
        <v>1013</v>
      </c>
      <c r="B107" s="1173" t="s">
        <v>4453</v>
      </c>
      <c r="C107" s="1173"/>
      <c r="D107" s="1173"/>
      <c r="E107" s="1173"/>
      <c r="F107" s="1173"/>
      <c r="G107" s="1173"/>
      <c r="H107" s="1173"/>
      <c r="I107" s="1173"/>
      <c r="J107" s="1173"/>
      <c r="K107" s="1173"/>
      <c r="L107" s="1173"/>
      <c r="M107" s="1173"/>
      <c r="N107" s="1173"/>
      <c r="O107" s="1173"/>
      <c r="P107" s="1173"/>
      <c r="Q107" s="1173"/>
      <c r="R107" s="1173"/>
      <c r="S107" s="1173"/>
      <c r="T107" s="1173"/>
      <c r="U107" s="1173"/>
      <c r="V107" s="1173"/>
      <c r="W107" s="1173"/>
      <c r="X107" s="1173"/>
      <c r="Y107" s="1173"/>
      <c r="Z107" s="1173"/>
      <c r="AA107" s="1173"/>
      <c r="AB107" s="1173"/>
      <c r="AC107" s="1173"/>
      <c r="AD107" s="1173"/>
      <c r="AE107" s="1173"/>
      <c r="AF107" s="1173"/>
    </row>
    <row r="108" spans="1:32" ht="30.6" customHeight="1" x14ac:dyDescent="0.25">
      <c r="A108" s="517" t="s">
        <v>1013</v>
      </c>
      <c r="B108" s="1173" t="s">
        <v>4454</v>
      </c>
      <c r="C108" s="1173"/>
      <c r="D108" s="1173"/>
      <c r="E108" s="1173"/>
      <c r="F108" s="1173"/>
      <c r="G108" s="1173"/>
      <c r="H108" s="1173"/>
      <c r="I108" s="1173"/>
      <c r="J108" s="1173"/>
      <c r="K108" s="1173"/>
      <c r="L108" s="1173"/>
      <c r="M108" s="1173"/>
      <c r="N108" s="1173"/>
      <c r="O108" s="1173"/>
      <c r="P108" s="1173"/>
      <c r="Q108" s="1173"/>
      <c r="R108" s="1173"/>
      <c r="S108" s="1173"/>
      <c r="T108" s="1173"/>
      <c r="U108" s="1173"/>
      <c r="V108" s="1173"/>
      <c r="W108" s="1173"/>
      <c r="X108" s="1173"/>
      <c r="Y108" s="1173"/>
      <c r="Z108" s="1173"/>
      <c r="AA108" s="1173"/>
      <c r="AB108" s="1173"/>
      <c r="AC108" s="1173"/>
      <c r="AD108" s="1173"/>
      <c r="AE108" s="1173"/>
      <c r="AF108" s="1173"/>
    </row>
    <row r="109" spans="1:32" ht="14.45" customHeight="1" x14ac:dyDescent="0.25">
      <c r="A109" s="517" t="s">
        <v>1013</v>
      </c>
      <c r="B109" s="1173" t="s">
        <v>4455</v>
      </c>
      <c r="C109" s="1173"/>
      <c r="D109" s="1173"/>
      <c r="E109" s="1173"/>
      <c r="F109" s="1173"/>
      <c r="G109" s="1173"/>
      <c r="H109" s="1173"/>
      <c r="I109" s="1173"/>
      <c r="J109" s="1173"/>
      <c r="K109" s="1173"/>
      <c r="L109" s="1173"/>
      <c r="M109" s="1173"/>
      <c r="N109" s="1173"/>
      <c r="O109" s="1173"/>
      <c r="P109" s="1173"/>
      <c r="Q109" s="1173"/>
      <c r="R109" s="1173"/>
      <c r="S109" s="1173"/>
      <c r="T109" s="1173"/>
      <c r="U109" s="1173"/>
      <c r="V109" s="1173"/>
      <c r="W109" s="1173"/>
      <c r="X109" s="1173"/>
      <c r="Y109" s="1173"/>
      <c r="Z109" s="1173"/>
      <c r="AA109" s="1173"/>
      <c r="AB109" s="1173"/>
      <c r="AC109" s="1173"/>
      <c r="AD109" s="1173"/>
      <c r="AE109" s="1173"/>
      <c r="AF109" s="1173"/>
    </row>
    <row r="110" spans="1:32" ht="32.1" customHeight="1" x14ac:dyDescent="0.25">
      <c r="A110" s="517" t="s">
        <v>1013</v>
      </c>
      <c r="B110" s="1173" t="s">
        <v>4456</v>
      </c>
      <c r="C110" s="1173"/>
      <c r="D110" s="1173"/>
      <c r="E110" s="1173"/>
      <c r="F110" s="1173"/>
      <c r="G110" s="1173"/>
      <c r="H110" s="1173"/>
      <c r="I110" s="1173"/>
      <c r="J110" s="1173"/>
      <c r="K110" s="1173"/>
      <c r="L110" s="1173"/>
      <c r="M110" s="1173"/>
      <c r="N110" s="1173"/>
      <c r="O110" s="1173"/>
      <c r="P110" s="1173"/>
      <c r="Q110" s="1173"/>
      <c r="R110" s="1173"/>
      <c r="S110" s="1173"/>
      <c r="T110" s="1173"/>
      <c r="U110" s="1173"/>
      <c r="V110" s="1173"/>
      <c r="W110" s="1173"/>
      <c r="X110" s="1173"/>
      <c r="Y110" s="1173"/>
      <c r="Z110" s="1173"/>
      <c r="AA110" s="1173"/>
      <c r="AB110" s="1173"/>
      <c r="AC110" s="1173"/>
      <c r="AD110" s="1173"/>
      <c r="AE110" s="1173"/>
      <c r="AF110" s="1173"/>
    </row>
    <row r="113" spans="12:12" x14ac:dyDescent="0.25">
      <c r="L113" s="227"/>
    </row>
  </sheetData>
  <sheetProtection algorithmName="SHA-512" hashValue="o9yY4SERmqgkWOJhVTMSI+ewxW5pr4MWIRHDKSruodnMuICurKOT3TKS/KUfHKC52EJR4ZEjfwpFISShRJijzQ==" saltValue="HQLAt98b2GyJDytwki7U/Q==" spinCount="100000" sheet="1" objects="1" scenarios="1"/>
  <mergeCells count="210">
    <mergeCell ref="A1:AF1"/>
    <mergeCell ref="A3:AF3"/>
    <mergeCell ref="B5:AF5"/>
    <mergeCell ref="A7:AF7"/>
    <mergeCell ref="B10:AF10"/>
    <mergeCell ref="C13:AF13"/>
    <mergeCell ref="C14:AF14"/>
    <mergeCell ref="B17:AF17"/>
    <mergeCell ref="A26:AF26"/>
    <mergeCell ref="A40:AF40"/>
    <mergeCell ref="A41:D42"/>
    <mergeCell ref="E41:M42"/>
    <mergeCell ref="N41:S41"/>
    <mergeCell ref="T41:V42"/>
    <mergeCell ref="W41:AF42"/>
    <mergeCell ref="N42:P42"/>
    <mergeCell ref="A44:D44"/>
    <mergeCell ref="E44:M44"/>
    <mergeCell ref="N44:P44"/>
    <mergeCell ref="Q44:S44"/>
    <mergeCell ref="T44:V44"/>
    <mergeCell ref="W44:AF44"/>
    <mergeCell ref="Q42:S42"/>
    <mergeCell ref="A43:D43"/>
    <mergeCell ref="E43:M43"/>
    <mergeCell ref="N43:S43"/>
    <mergeCell ref="T43:V43"/>
    <mergeCell ref="W43:AF43"/>
    <mergeCell ref="A45:D45"/>
    <mergeCell ref="E45:M45"/>
    <mergeCell ref="N45:S45"/>
    <mergeCell ref="T45:V45"/>
    <mergeCell ref="W45:AF45"/>
    <mergeCell ref="A46:D46"/>
    <mergeCell ref="E46:M46"/>
    <mergeCell ref="N46:P46"/>
    <mergeCell ref="Q46:S46"/>
    <mergeCell ref="T46:V46"/>
    <mergeCell ref="W46:AF46"/>
    <mergeCell ref="A47:D48"/>
    <mergeCell ref="E47:M47"/>
    <mergeCell ref="N47:S47"/>
    <mergeCell ref="T47:V47"/>
    <mergeCell ref="W47:AF47"/>
    <mergeCell ref="E48:M48"/>
    <mergeCell ref="N48:S48"/>
    <mergeCell ref="T48:V48"/>
    <mergeCell ref="W48:AF48"/>
    <mergeCell ref="A51:D52"/>
    <mergeCell ref="E51:M51"/>
    <mergeCell ref="N51:S51"/>
    <mergeCell ref="T51:V51"/>
    <mergeCell ref="W51:AF52"/>
    <mergeCell ref="E52:M52"/>
    <mergeCell ref="N52:S52"/>
    <mergeCell ref="T52:V52"/>
    <mergeCell ref="A49:D50"/>
    <mergeCell ref="E49:M49"/>
    <mergeCell ref="N49:S49"/>
    <mergeCell ref="T49:V49"/>
    <mergeCell ref="W49:AF49"/>
    <mergeCell ref="E50:M50"/>
    <mergeCell ref="N50:S50"/>
    <mergeCell ref="T50:V50"/>
    <mergeCell ref="W50:AF50"/>
    <mergeCell ref="A55:D55"/>
    <mergeCell ref="E55:M55"/>
    <mergeCell ref="N55:P55"/>
    <mergeCell ref="Q55:S55"/>
    <mergeCell ref="T55:V55"/>
    <mergeCell ref="W55:AF55"/>
    <mergeCell ref="A53:D53"/>
    <mergeCell ref="E53:M53"/>
    <mergeCell ref="N53:S53"/>
    <mergeCell ref="T53:V53"/>
    <mergeCell ref="W53:AF53"/>
    <mergeCell ref="A54:D54"/>
    <mergeCell ref="E54:M54"/>
    <mergeCell ref="N54:S54"/>
    <mergeCell ref="T54:V54"/>
    <mergeCell ref="W54:AF54"/>
    <mergeCell ref="A56:AF56"/>
    <mergeCell ref="A57:AF57"/>
    <mergeCell ref="A58:AF58"/>
    <mergeCell ref="A61:C62"/>
    <mergeCell ref="D61:R61"/>
    <mergeCell ref="S61:AF61"/>
    <mergeCell ref="D62:H62"/>
    <mergeCell ref="I62:M62"/>
    <mergeCell ref="N62:R62"/>
    <mergeCell ref="S62:W62"/>
    <mergeCell ref="X62:AB62"/>
    <mergeCell ref="AC62:AF62"/>
    <mergeCell ref="A63:C63"/>
    <mergeCell ref="D63:H63"/>
    <mergeCell ref="I63:M63"/>
    <mergeCell ref="N63:R63"/>
    <mergeCell ref="S63:W63"/>
    <mergeCell ref="X63:AB63"/>
    <mergeCell ref="AC63:AF63"/>
    <mergeCell ref="AC64:AF64"/>
    <mergeCell ref="A65:C65"/>
    <mergeCell ref="D65:H65"/>
    <mergeCell ref="I65:M65"/>
    <mergeCell ref="N65:R65"/>
    <mergeCell ref="S65:W65"/>
    <mergeCell ref="X65:AB65"/>
    <mergeCell ref="AC65:AF65"/>
    <mergeCell ref="A64:C64"/>
    <mergeCell ref="D64:H64"/>
    <mergeCell ref="I64:M64"/>
    <mergeCell ref="N64:R64"/>
    <mergeCell ref="S64:W64"/>
    <mergeCell ref="X64:AB64"/>
    <mergeCell ref="AC66:AF66"/>
    <mergeCell ref="A67:C67"/>
    <mergeCell ref="D67:H67"/>
    <mergeCell ref="I67:M67"/>
    <mergeCell ref="N67:R67"/>
    <mergeCell ref="S67:W67"/>
    <mergeCell ref="X67:AB67"/>
    <mergeCell ref="AC67:AF67"/>
    <mergeCell ref="A66:C66"/>
    <mergeCell ref="D66:H66"/>
    <mergeCell ref="I66:M66"/>
    <mergeCell ref="N66:R66"/>
    <mergeCell ref="S66:W66"/>
    <mergeCell ref="X66:AB66"/>
    <mergeCell ref="AC68:AF68"/>
    <mergeCell ref="A71:C72"/>
    <mergeCell ref="D71:R71"/>
    <mergeCell ref="S71:AF71"/>
    <mergeCell ref="D72:H72"/>
    <mergeCell ref="I72:M72"/>
    <mergeCell ref="N72:R72"/>
    <mergeCell ref="S72:W72"/>
    <mergeCell ref="X72:AB72"/>
    <mergeCell ref="AC72:AF72"/>
    <mergeCell ref="A68:C68"/>
    <mergeCell ref="D68:H68"/>
    <mergeCell ref="I68:M68"/>
    <mergeCell ref="N68:R68"/>
    <mergeCell ref="S68:W68"/>
    <mergeCell ref="X68:AB68"/>
    <mergeCell ref="AC73:AF73"/>
    <mergeCell ref="A74:C74"/>
    <mergeCell ref="D74:H74"/>
    <mergeCell ref="I74:M74"/>
    <mergeCell ref="N74:R74"/>
    <mergeCell ref="S74:W74"/>
    <mergeCell ref="X74:AB74"/>
    <mergeCell ref="AC74:AF74"/>
    <mergeCell ref="A73:C73"/>
    <mergeCell ref="D73:H73"/>
    <mergeCell ref="I73:M73"/>
    <mergeCell ref="N73:R73"/>
    <mergeCell ref="S73:W73"/>
    <mergeCell ref="X73:AB73"/>
    <mergeCell ref="AC75:AF75"/>
    <mergeCell ref="A76:C76"/>
    <mergeCell ref="D76:H76"/>
    <mergeCell ref="I76:M76"/>
    <mergeCell ref="N76:R76"/>
    <mergeCell ref="S76:W76"/>
    <mergeCell ref="X76:AB76"/>
    <mergeCell ref="AC76:AF76"/>
    <mergeCell ref="A75:C75"/>
    <mergeCell ref="D75:H75"/>
    <mergeCell ref="I75:M75"/>
    <mergeCell ref="N75:R75"/>
    <mergeCell ref="S75:W75"/>
    <mergeCell ref="X75:AB75"/>
    <mergeCell ref="AC77:AF77"/>
    <mergeCell ref="A78:C78"/>
    <mergeCell ref="D78:H78"/>
    <mergeCell ref="I78:M78"/>
    <mergeCell ref="N78:R78"/>
    <mergeCell ref="S78:W78"/>
    <mergeCell ref="X78:AB78"/>
    <mergeCell ref="AC78:AF78"/>
    <mergeCell ref="A77:C77"/>
    <mergeCell ref="D77:H77"/>
    <mergeCell ref="I77:M77"/>
    <mergeCell ref="N77:R77"/>
    <mergeCell ref="S77:W77"/>
    <mergeCell ref="X77:AB77"/>
    <mergeCell ref="A97:H97"/>
    <mergeCell ref="I97:P97"/>
    <mergeCell ref="Q97:X97"/>
    <mergeCell ref="Y97:AF97"/>
    <mergeCell ref="A99:AF99"/>
    <mergeCell ref="B101:AF101"/>
    <mergeCell ref="A80:AF80"/>
    <mergeCell ref="F85:H85"/>
    <mergeCell ref="F88:H88"/>
    <mergeCell ref="F91:H91"/>
    <mergeCell ref="F94:H94"/>
    <mergeCell ref="A96:H96"/>
    <mergeCell ref="I96:P96"/>
    <mergeCell ref="Q96:X96"/>
    <mergeCell ref="Y96:AF96"/>
    <mergeCell ref="B108:AF108"/>
    <mergeCell ref="B109:AF109"/>
    <mergeCell ref="B110:AF110"/>
    <mergeCell ref="B102:AF102"/>
    <mergeCell ref="B103:AF103"/>
    <mergeCell ref="B104:AF104"/>
    <mergeCell ref="B105:AF105"/>
    <mergeCell ref="B106:AF106"/>
    <mergeCell ref="B107:AF107"/>
  </mergeCells>
  <dataValidations count="3">
    <dataValidation type="list" allowBlank="1" showInputMessage="1" showErrorMessage="1" sqref="F85:H85" xr:uid="{00000000-0002-0000-3A00-000000000000}">
      <formula1>"Cooler,Freezer"</formula1>
    </dataValidation>
    <dataValidation type="list" allowBlank="1" showInputMessage="1" showErrorMessage="1" sqref="F88:H88" xr:uid="{00000000-0002-0000-3A00-000001000000}">
      <formula1>"SP,ECM"</formula1>
    </dataValidation>
    <dataValidation type="list" allowBlank="1" showInputMessage="1" showErrorMessage="1" sqref="F91:H91" xr:uid="{00000000-0002-0000-3A00-000002000000}">
      <formula1>$A$73:$A$78</formula1>
    </dataValidation>
  </dataValidations>
  <hyperlinks>
    <hyperlink ref="A2" location="TOC!A1" display="Return to TOC" xr:uid="{00000000-0004-0000-3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B13:B14 AF30:AF38" numberStoredAsText="1"/>
    <ignoredError sqref="A63 A73 F91" twoDigitTextYear="1"/>
  </ignoredError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39997558519241921"/>
    <pageSetUpPr autoPageBreaks="0"/>
  </sheetPr>
  <dimension ref="A1:AF85"/>
  <sheetViews>
    <sheetView workbookViewId="0">
      <selection sqref="A1:AF1"/>
    </sheetView>
  </sheetViews>
  <sheetFormatPr defaultColWidth="2.7109375" defaultRowHeight="15" x14ac:dyDescent="0.25"/>
  <sheetData>
    <row r="1" spans="1:32" ht="18.75" x14ac:dyDescent="0.25">
      <c r="A1" s="1464" t="s">
        <v>4457</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x14ac:dyDescent="0.25">
      <c r="A2" s="655" t="s">
        <v>1702</v>
      </c>
      <c r="J2" s="227"/>
      <c r="K2" s="227"/>
      <c r="L2" s="227"/>
      <c r="M2" s="227"/>
      <c r="N2" s="227"/>
      <c r="O2" s="227"/>
      <c r="P2" s="227"/>
      <c r="Q2" s="227"/>
      <c r="R2" s="227"/>
      <c r="S2" s="227"/>
      <c r="T2" s="227"/>
      <c r="U2" s="227"/>
      <c r="V2" s="227"/>
      <c r="W2" s="227"/>
      <c r="X2" s="227"/>
      <c r="Y2" s="227"/>
      <c r="Z2" s="227"/>
      <c r="AA2" s="227"/>
      <c r="AB2" s="227"/>
      <c r="AC2" s="227"/>
      <c r="AD2" s="227"/>
      <c r="AE2" s="227"/>
      <c r="AF2" s="227"/>
    </row>
    <row r="3" spans="1:32"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row>
    <row r="4" spans="1:32"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row>
    <row r="5" spans="1:32" x14ac:dyDescent="0.25">
      <c r="A5" s="262"/>
      <c r="B5" s="1589" t="s">
        <v>4395</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9" spans="1:32" x14ac:dyDescent="0.25">
      <c r="B9" s="171" t="s">
        <v>10</v>
      </c>
      <c r="C9" s="171"/>
      <c r="D9" s="171"/>
      <c r="E9" s="171"/>
      <c r="F9" s="171"/>
      <c r="G9" s="171"/>
      <c r="H9" s="171"/>
      <c r="I9" s="171"/>
      <c r="J9" s="1"/>
      <c r="K9" s="1"/>
      <c r="L9" s="1"/>
      <c r="M9" s="1"/>
      <c r="N9" s="1"/>
      <c r="O9" s="1"/>
      <c r="P9" s="1"/>
      <c r="Q9" s="1"/>
      <c r="R9" s="1"/>
      <c r="S9" s="1"/>
      <c r="T9" s="1"/>
      <c r="U9" s="1"/>
      <c r="V9" s="1"/>
      <c r="W9" s="1"/>
      <c r="X9" s="1"/>
      <c r="Y9" s="1"/>
      <c r="Z9" s="1"/>
      <c r="AA9" s="1"/>
      <c r="AB9" s="1"/>
      <c r="AC9" s="1"/>
      <c r="AD9" s="1"/>
      <c r="AE9" s="1"/>
      <c r="AF9" s="1"/>
    </row>
    <row r="10" spans="1:32" ht="29.45" customHeight="1" x14ac:dyDescent="0.25">
      <c r="B10" s="1247" t="s">
        <v>4458</v>
      </c>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c r="AE10" s="1247"/>
      <c r="AF10" s="1247"/>
    </row>
    <row r="12" spans="1:32" x14ac:dyDescent="0.25">
      <c r="B12" s="171" t="s">
        <v>11</v>
      </c>
      <c r="C12" s="171"/>
      <c r="D12" s="171"/>
      <c r="E12" s="171"/>
      <c r="F12" s="171"/>
      <c r="G12" s="171"/>
      <c r="H12" s="171"/>
      <c r="I12" s="171"/>
      <c r="J12" s="1"/>
      <c r="K12" s="1"/>
      <c r="L12" s="1"/>
      <c r="M12" s="1"/>
      <c r="N12" s="1"/>
      <c r="O12" s="1"/>
      <c r="P12" s="1"/>
      <c r="Q12" s="1"/>
      <c r="R12" s="1"/>
      <c r="S12" s="1"/>
      <c r="T12" s="1"/>
      <c r="U12" s="1"/>
      <c r="V12" s="1"/>
      <c r="W12" s="1"/>
      <c r="X12" s="1"/>
      <c r="Y12" s="1"/>
      <c r="Z12" s="1"/>
      <c r="AA12" s="1"/>
      <c r="AB12" s="1"/>
      <c r="AC12" s="1"/>
      <c r="AD12" s="1"/>
      <c r="AE12" s="1"/>
      <c r="AF12" s="1"/>
    </row>
    <row r="13" spans="1:32" ht="29.45" customHeight="1" x14ac:dyDescent="0.25">
      <c r="B13" s="335" t="s">
        <v>1453</v>
      </c>
      <c r="C13" s="1247" t="s">
        <v>4459</v>
      </c>
      <c r="D13" s="1247"/>
      <c r="E13" s="1247"/>
      <c r="F13" s="1247"/>
      <c r="G13" s="1247"/>
      <c r="H13" s="1247"/>
      <c r="I13" s="1247"/>
      <c r="J13" s="1247"/>
      <c r="K13" s="1247"/>
      <c r="L13" s="1247"/>
      <c r="M13" s="1247"/>
      <c r="N13" s="1247"/>
      <c r="O13" s="1247"/>
      <c r="P13" s="1247"/>
      <c r="Q13" s="1247"/>
      <c r="R13" s="1247"/>
      <c r="S13" s="1247"/>
      <c r="T13" s="1247"/>
      <c r="U13" s="1247"/>
      <c r="V13" s="1247"/>
      <c r="W13" s="1247"/>
      <c r="X13" s="1247"/>
      <c r="Y13" s="1247"/>
      <c r="Z13" s="1247"/>
      <c r="AA13" s="1247"/>
      <c r="AB13" s="1247"/>
      <c r="AC13" s="1247"/>
      <c r="AD13" s="1247"/>
      <c r="AE13" s="1247"/>
      <c r="AF13" s="1247"/>
    </row>
    <row r="14" spans="1:32" ht="78" customHeight="1" x14ac:dyDescent="0.25">
      <c r="B14" s="335" t="s">
        <v>1454</v>
      </c>
      <c r="C14" s="1247" t="s">
        <v>4460</v>
      </c>
      <c r="D14" s="1247"/>
      <c r="E14" s="1247"/>
      <c r="F14" s="1247"/>
      <c r="G14" s="1247"/>
      <c r="H14" s="1247"/>
      <c r="I14" s="1247"/>
      <c r="J14" s="1247"/>
      <c r="K14" s="1247"/>
      <c r="L14" s="1247"/>
      <c r="M14" s="1247"/>
      <c r="N14" s="1247"/>
      <c r="O14" s="1247"/>
      <c r="P14" s="1247"/>
      <c r="Q14" s="1247"/>
      <c r="R14" s="1247"/>
      <c r="S14" s="1247"/>
      <c r="T14" s="1247"/>
      <c r="U14" s="1247"/>
      <c r="V14" s="1247"/>
      <c r="W14" s="1247"/>
      <c r="X14" s="1247"/>
      <c r="Y14" s="1247"/>
      <c r="Z14" s="1247"/>
      <c r="AA14" s="1247"/>
      <c r="AB14" s="1247"/>
      <c r="AC14" s="1247"/>
      <c r="AD14" s="1247"/>
      <c r="AE14" s="1247"/>
      <c r="AF14" s="1247"/>
    </row>
    <row r="16" spans="1:32" x14ac:dyDescent="0.25">
      <c r="B16" s="171" t="s">
        <v>12</v>
      </c>
      <c r="C16" s="171"/>
      <c r="D16" s="171"/>
      <c r="E16" s="171"/>
      <c r="F16" s="171"/>
      <c r="G16" s="171"/>
    </row>
    <row r="17" spans="1:32" x14ac:dyDescent="0.25">
      <c r="B17" s="1" t="s">
        <v>4461</v>
      </c>
      <c r="C17" s="1"/>
      <c r="D17" s="1"/>
      <c r="E17" s="1"/>
      <c r="F17" s="1"/>
      <c r="G17" s="1"/>
    </row>
    <row r="19" spans="1:32" x14ac:dyDescent="0.25">
      <c r="B19" s="171" t="s">
        <v>13</v>
      </c>
      <c r="C19" s="171"/>
      <c r="D19" s="171"/>
      <c r="E19" s="171"/>
      <c r="F19" s="171"/>
      <c r="G19" s="171"/>
      <c r="H19" s="171"/>
      <c r="I19" s="171"/>
      <c r="J19" s="1"/>
      <c r="K19" s="1"/>
      <c r="L19" s="1"/>
      <c r="M19" s="1"/>
    </row>
    <row r="20" spans="1:32" x14ac:dyDescent="0.25">
      <c r="B20" s="1" t="s">
        <v>4462</v>
      </c>
      <c r="C20" s="1"/>
      <c r="D20" s="1"/>
      <c r="E20" s="1"/>
      <c r="F20" s="1"/>
      <c r="G20" s="1"/>
      <c r="H20" s="1"/>
      <c r="I20" s="1"/>
      <c r="J20" s="1"/>
      <c r="K20" s="1"/>
      <c r="L20" s="1"/>
      <c r="M20" s="1"/>
    </row>
    <row r="22" spans="1:32" x14ac:dyDescent="0.25">
      <c r="B22" s="171" t="s">
        <v>20</v>
      </c>
      <c r="C22" s="171"/>
      <c r="D22" s="171"/>
      <c r="E22" s="171"/>
      <c r="F22" s="171"/>
      <c r="G22" s="171"/>
      <c r="H22" s="171"/>
      <c r="I22" s="171"/>
      <c r="J22" s="1"/>
      <c r="K22" s="1"/>
      <c r="L22" s="1"/>
      <c r="M22" s="1"/>
      <c r="N22" s="1"/>
    </row>
    <row r="23" spans="1:32" x14ac:dyDescent="0.25">
      <c r="B23" s="1" t="s">
        <v>4463</v>
      </c>
      <c r="C23" s="1"/>
      <c r="D23" s="1"/>
      <c r="E23" s="1"/>
      <c r="F23" s="1"/>
      <c r="G23" s="1"/>
      <c r="H23" s="1"/>
      <c r="I23" s="1"/>
      <c r="J23" s="1"/>
      <c r="K23" s="1"/>
      <c r="L23" s="1"/>
      <c r="M23" s="1"/>
      <c r="N23" s="1"/>
    </row>
    <row r="26" spans="1:32" x14ac:dyDescent="0.25">
      <c r="A26" s="1472" t="s">
        <v>14</v>
      </c>
      <c r="B26" s="1472"/>
      <c r="C26" s="1472"/>
      <c r="D26" s="1472"/>
      <c r="E26" s="1472"/>
      <c r="F26" s="1472"/>
      <c r="G26" s="1472"/>
      <c r="H26" s="1472"/>
      <c r="I26" s="1472"/>
      <c r="J26" s="1472"/>
      <c r="K26" s="1472"/>
      <c r="L26" s="1472"/>
      <c r="M26" s="1472"/>
      <c r="N26" s="1472"/>
      <c r="O26" s="1472"/>
      <c r="P26" s="1472"/>
      <c r="Q26" s="1472"/>
      <c r="R26" s="1472"/>
      <c r="S26" s="1472"/>
      <c r="T26" s="1472"/>
      <c r="U26" s="1472"/>
      <c r="V26" s="1472"/>
      <c r="W26" s="1472"/>
      <c r="X26" s="1472"/>
      <c r="Y26" s="1472"/>
      <c r="Z26" s="1472"/>
      <c r="AA26" s="1472"/>
      <c r="AB26" s="1472"/>
      <c r="AC26" s="1472"/>
      <c r="AD26" s="1472"/>
      <c r="AE26" s="1472"/>
      <c r="AF26" s="1472"/>
    </row>
    <row r="28" spans="1:32" x14ac:dyDescent="0.25">
      <c r="B28" s="519" t="s">
        <v>2303</v>
      </c>
    </row>
    <row r="30" spans="1:32" x14ac:dyDescent="0.25">
      <c r="AF30" s="19" t="s">
        <v>1705</v>
      </c>
    </row>
    <row r="33" spans="1:32" x14ac:dyDescent="0.25">
      <c r="B33" s="519" t="s">
        <v>2194</v>
      </c>
    </row>
    <row r="35" spans="1:32" x14ac:dyDescent="0.25">
      <c r="AF35" s="19" t="s">
        <v>1706</v>
      </c>
    </row>
    <row r="36" spans="1:32" x14ac:dyDescent="0.25">
      <c r="AF36" s="19"/>
    </row>
    <row r="37" spans="1:32" x14ac:dyDescent="0.25">
      <c r="B37" s="519" t="s">
        <v>1998</v>
      </c>
      <c r="AF37" s="19"/>
    </row>
    <row r="38" spans="1:32" x14ac:dyDescent="0.25">
      <c r="AF38" s="19"/>
    </row>
    <row r="39" spans="1:32" x14ac:dyDescent="0.25">
      <c r="AF39" s="19" t="s">
        <v>1707</v>
      </c>
    </row>
    <row r="42" spans="1:32" x14ac:dyDescent="0.25">
      <c r="A42" s="1148" t="s">
        <v>15</v>
      </c>
      <c r="B42" s="1149"/>
      <c r="C42" s="1149"/>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50"/>
    </row>
    <row r="43" spans="1:32" x14ac:dyDescent="0.25">
      <c r="A43" s="1474" t="s">
        <v>16</v>
      </c>
      <c r="B43" s="1474"/>
      <c r="C43" s="1474"/>
      <c r="D43" s="1474"/>
      <c r="E43" s="1474" t="s">
        <v>10</v>
      </c>
      <c r="F43" s="1474"/>
      <c r="G43" s="1474"/>
      <c r="H43" s="1474"/>
      <c r="I43" s="1474"/>
      <c r="J43" s="1474"/>
      <c r="K43" s="1474"/>
      <c r="L43" s="1474"/>
      <c r="M43" s="1474"/>
      <c r="N43" s="1474"/>
      <c r="O43" s="1474"/>
      <c r="P43" s="1474"/>
      <c r="Q43" s="1474" t="s">
        <v>17</v>
      </c>
      <c r="R43" s="1474"/>
      <c r="S43" s="1474"/>
      <c r="T43" s="1474" t="s">
        <v>18</v>
      </c>
      <c r="U43" s="1474"/>
      <c r="V43" s="1474"/>
      <c r="W43" s="1474" t="s">
        <v>1708</v>
      </c>
      <c r="X43" s="1474"/>
      <c r="Y43" s="1474"/>
      <c r="Z43" s="1474"/>
      <c r="AA43" s="1474"/>
      <c r="AB43" s="1474"/>
      <c r="AC43" s="1474"/>
      <c r="AD43" s="1474"/>
      <c r="AE43" s="1474"/>
      <c r="AF43" s="1474"/>
    </row>
    <row r="44" spans="1:32" ht="75.599999999999994" customHeight="1" x14ac:dyDescent="0.25">
      <c r="A44" s="2521" t="s">
        <v>4464</v>
      </c>
      <c r="B44" s="1134"/>
      <c r="C44" s="1134"/>
      <c r="D44" s="1134"/>
      <c r="E44" s="1135" t="s">
        <v>4465</v>
      </c>
      <c r="F44" s="1135"/>
      <c r="G44" s="1135"/>
      <c r="H44" s="1135"/>
      <c r="I44" s="1135"/>
      <c r="J44" s="1135"/>
      <c r="K44" s="1135"/>
      <c r="L44" s="1135"/>
      <c r="M44" s="1135"/>
      <c r="N44" s="1135"/>
      <c r="O44" s="1135"/>
      <c r="P44" s="1135"/>
      <c r="Q44" s="2876">
        <f>20730/12</f>
        <v>1727.5</v>
      </c>
      <c r="R44" s="2876"/>
      <c r="S44" s="2876"/>
      <c r="T44" s="1913" t="s">
        <v>4466</v>
      </c>
      <c r="U44" s="1913"/>
      <c r="V44" s="1913"/>
      <c r="W44" s="1479" t="s">
        <v>4559</v>
      </c>
      <c r="X44" s="1480"/>
      <c r="Y44" s="1480"/>
      <c r="Z44" s="1480"/>
      <c r="AA44" s="1480"/>
      <c r="AB44" s="1480"/>
      <c r="AC44" s="1480"/>
      <c r="AD44" s="1480"/>
      <c r="AE44" s="1480"/>
      <c r="AF44" s="1481"/>
    </row>
    <row r="45" spans="1:32" ht="42.6" customHeight="1" x14ac:dyDescent="0.25">
      <c r="A45" s="2521" t="s">
        <v>4467</v>
      </c>
      <c r="B45" s="1134"/>
      <c r="C45" s="1134"/>
      <c r="D45" s="1134"/>
      <c r="E45" s="1135" t="s">
        <v>4468</v>
      </c>
      <c r="F45" s="1135"/>
      <c r="G45" s="1135"/>
      <c r="H45" s="1135"/>
      <c r="I45" s="1135"/>
      <c r="J45" s="1135"/>
      <c r="K45" s="1135"/>
      <c r="L45" s="1135"/>
      <c r="M45" s="1135"/>
      <c r="N45" s="1135"/>
      <c r="O45" s="1135"/>
      <c r="P45" s="1135"/>
      <c r="Q45" s="2758">
        <v>0.73</v>
      </c>
      <c r="R45" s="2758"/>
      <c r="S45" s="2758"/>
      <c r="T45" s="1574" t="s">
        <v>28</v>
      </c>
      <c r="U45" s="1575"/>
      <c r="V45" s="1576"/>
      <c r="W45" s="1135" t="s">
        <v>4560</v>
      </c>
      <c r="X45" s="1135"/>
      <c r="Y45" s="1135"/>
      <c r="Z45" s="1135"/>
      <c r="AA45" s="1135"/>
      <c r="AB45" s="1135"/>
      <c r="AC45" s="1135"/>
      <c r="AD45" s="1135"/>
      <c r="AE45" s="1135"/>
      <c r="AF45" s="1135"/>
    </row>
    <row r="46" spans="1:32" ht="150.94999999999999" customHeight="1" x14ac:dyDescent="0.25">
      <c r="A46" s="1485" t="s">
        <v>4412</v>
      </c>
      <c r="B46" s="1486"/>
      <c r="C46" s="1486"/>
      <c r="D46" s="1487"/>
      <c r="E46" s="1479" t="s">
        <v>4469</v>
      </c>
      <c r="F46" s="1480"/>
      <c r="G46" s="1480"/>
      <c r="H46" s="1480"/>
      <c r="I46" s="1480"/>
      <c r="J46" s="1480"/>
      <c r="K46" s="1480"/>
      <c r="L46" s="1480"/>
      <c r="M46" s="1480"/>
      <c r="N46" s="1480"/>
      <c r="O46" s="1480"/>
      <c r="P46" s="1481"/>
      <c r="Q46" s="2758">
        <v>0.6</v>
      </c>
      <c r="R46" s="2758"/>
      <c r="S46" s="2758"/>
      <c r="T46" s="1574" t="s">
        <v>28</v>
      </c>
      <c r="U46" s="1575"/>
      <c r="V46" s="1576"/>
      <c r="W46" s="1479" t="s">
        <v>4470</v>
      </c>
      <c r="X46" s="1480"/>
      <c r="Y46" s="1480"/>
      <c r="Z46" s="1480"/>
      <c r="AA46" s="1480"/>
      <c r="AB46" s="1480"/>
      <c r="AC46" s="1480"/>
      <c r="AD46" s="1480"/>
      <c r="AE46" s="1480"/>
      <c r="AF46" s="1481"/>
    </row>
    <row r="47" spans="1:32" ht="29.45" customHeight="1" x14ac:dyDescent="0.25">
      <c r="A47" s="2982">
        <v>3412</v>
      </c>
      <c r="B47" s="2982"/>
      <c r="C47" s="2982"/>
      <c r="D47" s="2982"/>
      <c r="E47" s="1135" t="s">
        <v>4471</v>
      </c>
      <c r="F47" s="1135"/>
      <c r="G47" s="1135"/>
      <c r="H47" s="1135"/>
      <c r="I47" s="1135"/>
      <c r="J47" s="1135"/>
      <c r="K47" s="1135"/>
      <c r="L47" s="1135"/>
      <c r="M47" s="1135"/>
      <c r="N47" s="1135"/>
      <c r="O47" s="1135"/>
      <c r="P47" s="1135"/>
      <c r="Q47" s="1600">
        <v>3412</v>
      </c>
      <c r="R47" s="1600"/>
      <c r="S47" s="1600"/>
      <c r="T47" s="1606" t="s">
        <v>1201</v>
      </c>
      <c r="U47" s="1606"/>
      <c r="V47" s="1606"/>
      <c r="W47" s="1135"/>
      <c r="X47" s="1135"/>
      <c r="Y47" s="1135"/>
      <c r="Z47" s="1135"/>
      <c r="AA47" s="1135"/>
      <c r="AB47" s="1135"/>
      <c r="AC47" s="1135"/>
      <c r="AD47" s="1135"/>
      <c r="AE47" s="1135"/>
      <c r="AF47" s="1135"/>
    </row>
    <row r="48" spans="1:32" ht="90.6" customHeight="1" x14ac:dyDescent="0.25">
      <c r="A48" s="1134" t="s">
        <v>4472</v>
      </c>
      <c r="B48" s="1134"/>
      <c r="C48" s="1134"/>
      <c r="D48" s="1134"/>
      <c r="E48" s="1135" t="s">
        <v>4473</v>
      </c>
      <c r="F48" s="1135"/>
      <c r="G48" s="1135"/>
      <c r="H48" s="1135"/>
      <c r="I48" s="1135"/>
      <c r="J48" s="1135"/>
      <c r="K48" s="1135"/>
      <c r="L48" s="1135"/>
      <c r="M48" s="1135"/>
      <c r="N48" s="1135"/>
      <c r="O48" s="1135"/>
      <c r="P48" s="1135"/>
      <c r="Q48" s="1913">
        <v>2.2799999999999998</v>
      </c>
      <c r="R48" s="1913"/>
      <c r="S48" s="1913"/>
      <c r="T48" s="1606" t="s">
        <v>28</v>
      </c>
      <c r="U48" s="1606"/>
      <c r="V48" s="1606"/>
      <c r="W48" s="1135" t="s">
        <v>4561</v>
      </c>
      <c r="X48" s="1135"/>
      <c r="Y48" s="1135"/>
      <c r="Z48" s="1135"/>
      <c r="AA48" s="1135"/>
      <c r="AB48" s="1135"/>
      <c r="AC48" s="1135"/>
      <c r="AD48" s="1135"/>
      <c r="AE48" s="1135"/>
      <c r="AF48" s="1135"/>
    </row>
    <row r="49" spans="1:32" ht="92.45" customHeight="1" x14ac:dyDescent="0.25">
      <c r="A49" s="1134" t="s">
        <v>4474</v>
      </c>
      <c r="B49" s="1134"/>
      <c r="C49" s="1134"/>
      <c r="D49" s="1134"/>
      <c r="E49" s="1135" t="s">
        <v>4475</v>
      </c>
      <c r="F49" s="1135"/>
      <c r="G49" s="1135"/>
      <c r="H49" s="1135"/>
      <c r="I49" s="1135"/>
      <c r="J49" s="1135"/>
      <c r="K49" s="1135"/>
      <c r="L49" s="1135"/>
      <c r="M49" s="1135"/>
      <c r="N49" s="1135"/>
      <c r="O49" s="1135"/>
      <c r="P49" s="1135"/>
      <c r="Q49" s="1913">
        <v>3.29</v>
      </c>
      <c r="R49" s="1913"/>
      <c r="S49" s="1913"/>
      <c r="T49" s="1574" t="s">
        <v>28</v>
      </c>
      <c r="U49" s="1575"/>
      <c r="V49" s="1576"/>
      <c r="W49" s="1135" t="s">
        <v>4562</v>
      </c>
      <c r="X49" s="1135"/>
      <c r="Y49" s="1135"/>
      <c r="Z49" s="1135"/>
      <c r="AA49" s="1135"/>
      <c r="AB49" s="1135"/>
      <c r="AC49" s="1135"/>
      <c r="AD49" s="1135"/>
      <c r="AE49" s="1135"/>
      <c r="AF49" s="1135"/>
    </row>
    <row r="50" spans="1:32" ht="30.6" customHeight="1" x14ac:dyDescent="0.25">
      <c r="A50" s="1134">
        <v>24</v>
      </c>
      <c r="B50" s="1134"/>
      <c r="C50" s="1134"/>
      <c r="D50" s="1134"/>
      <c r="E50" s="1135" t="s">
        <v>4476</v>
      </c>
      <c r="F50" s="1135"/>
      <c r="G50" s="1135"/>
      <c r="H50" s="1135"/>
      <c r="I50" s="1135"/>
      <c r="J50" s="1135"/>
      <c r="K50" s="1135"/>
      <c r="L50" s="1135"/>
      <c r="M50" s="1135"/>
      <c r="N50" s="1135"/>
      <c r="O50" s="1135"/>
      <c r="P50" s="1135"/>
      <c r="Q50" s="1913">
        <v>24</v>
      </c>
      <c r="R50" s="1913"/>
      <c r="S50" s="1913"/>
      <c r="T50" s="1606" t="s">
        <v>807</v>
      </c>
      <c r="U50" s="1606"/>
      <c r="V50" s="1606"/>
      <c r="W50" s="1135"/>
      <c r="X50" s="1135"/>
      <c r="Y50" s="1135"/>
      <c r="Z50" s="1135"/>
      <c r="AA50" s="1135"/>
      <c r="AB50" s="1135"/>
      <c r="AC50" s="1135"/>
      <c r="AD50" s="1135"/>
      <c r="AE50" s="1135"/>
      <c r="AF50" s="1135"/>
    </row>
    <row r="51" spans="1:32" ht="51.6" customHeight="1" x14ac:dyDescent="0.25">
      <c r="A51" s="1134" t="s">
        <v>4477</v>
      </c>
      <c r="B51" s="1134"/>
      <c r="C51" s="1134"/>
      <c r="D51" s="1134"/>
      <c r="E51" s="1135" t="s">
        <v>4478</v>
      </c>
      <c r="F51" s="1135"/>
      <c r="G51" s="1135"/>
      <c r="H51" s="1135"/>
      <c r="I51" s="1135"/>
      <c r="J51" s="1135"/>
      <c r="K51" s="1135"/>
      <c r="L51" s="1135"/>
      <c r="M51" s="1135"/>
      <c r="N51" s="1135"/>
      <c r="O51" s="1135"/>
      <c r="P51" s="1135"/>
      <c r="Q51" s="2629">
        <v>4560</v>
      </c>
      <c r="R51" s="1913"/>
      <c r="S51" s="1913"/>
      <c r="T51" s="2629" t="s">
        <v>4479</v>
      </c>
      <c r="U51" s="1913"/>
      <c r="V51" s="1913"/>
      <c r="W51" s="1135" t="s">
        <v>4563</v>
      </c>
      <c r="X51" s="1135"/>
      <c r="Y51" s="1135"/>
      <c r="Z51" s="1135"/>
      <c r="AA51" s="1135"/>
      <c r="AB51" s="1135"/>
      <c r="AC51" s="1135"/>
      <c r="AD51" s="1135"/>
      <c r="AE51" s="1135"/>
      <c r="AF51" s="1135"/>
    </row>
    <row r="52" spans="1:32" ht="75.599999999999994" customHeight="1" x14ac:dyDescent="0.25">
      <c r="A52" s="1134" t="s">
        <v>4480</v>
      </c>
      <c r="B52" s="1134"/>
      <c r="C52" s="1134"/>
      <c r="D52" s="1134"/>
      <c r="E52" s="1135" t="s">
        <v>4481</v>
      </c>
      <c r="F52" s="1135"/>
      <c r="G52" s="1135"/>
      <c r="H52" s="1135"/>
      <c r="I52" s="1135"/>
      <c r="J52" s="1135"/>
      <c r="K52" s="1135"/>
      <c r="L52" s="1135"/>
      <c r="M52" s="1135"/>
      <c r="N52" s="1135"/>
      <c r="O52" s="1135"/>
      <c r="P52" s="1135"/>
      <c r="Q52" s="1913">
        <v>75</v>
      </c>
      <c r="R52" s="1913"/>
      <c r="S52" s="1913"/>
      <c r="T52" s="2867" t="s">
        <v>166</v>
      </c>
      <c r="U52" s="1606"/>
      <c r="V52" s="1606"/>
      <c r="W52" s="1135" t="s">
        <v>4564</v>
      </c>
      <c r="X52" s="1135"/>
      <c r="Y52" s="1135"/>
      <c r="Z52" s="1135"/>
      <c r="AA52" s="1135"/>
      <c r="AB52" s="1135"/>
      <c r="AC52" s="1135"/>
      <c r="AD52" s="1135"/>
      <c r="AE52" s="1135"/>
      <c r="AF52" s="1135"/>
    </row>
    <row r="53" spans="1:32" ht="105.6" customHeight="1" x14ac:dyDescent="0.25">
      <c r="A53" s="1134" t="s">
        <v>4482</v>
      </c>
      <c r="B53" s="1134"/>
      <c r="C53" s="1134"/>
      <c r="D53" s="1134"/>
      <c r="E53" s="1135" t="s">
        <v>4483</v>
      </c>
      <c r="F53" s="1135"/>
      <c r="G53" s="1135"/>
      <c r="H53" s="1135"/>
      <c r="I53" s="1135"/>
      <c r="J53" s="1135"/>
      <c r="K53" s="1135"/>
      <c r="L53" s="1135"/>
      <c r="M53" s="1135"/>
      <c r="N53" s="1135"/>
      <c r="O53" s="1135"/>
      <c r="P53" s="1135"/>
      <c r="Q53" s="1913">
        <v>25</v>
      </c>
      <c r="R53" s="1913"/>
      <c r="S53" s="1913"/>
      <c r="T53" s="1606" t="s">
        <v>166</v>
      </c>
      <c r="U53" s="1606"/>
      <c r="V53" s="1606"/>
      <c r="W53" s="1135" t="s">
        <v>4484</v>
      </c>
      <c r="X53" s="1135"/>
      <c r="Y53" s="1135"/>
      <c r="Z53" s="1135"/>
      <c r="AA53" s="1135"/>
      <c r="AB53" s="1135"/>
      <c r="AC53" s="1135"/>
      <c r="AD53" s="1135"/>
      <c r="AE53" s="1135"/>
      <c r="AF53" s="1135"/>
    </row>
    <row r="54" spans="1:32" ht="33.6" customHeight="1" x14ac:dyDescent="0.25">
      <c r="A54" s="1134" t="s">
        <v>32</v>
      </c>
      <c r="B54" s="1134"/>
      <c r="C54" s="1134"/>
      <c r="D54" s="1134"/>
      <c r="E54" s="1134" t="s">
        <v>114</v>
      </c>
      <c r="F54" s="1134"/>
      <c r="G54" s="1134"/>
      <c r="H54" s="1134"/>
      <c r="I54" s="1134"/>
      <c r="J54" s="1134"/>
      <c r="K54" s="1134"/>
      <c r="L54" s="1134"/>
      <c r="M54" s="1134"/>
      <c r="N54" s="1134"/>
      <c r="O54" s="1134"/>
      <c r="P54" s="1134"/>
      <c r="Q54" s="2981">
        <v>8760</v>
      </c>
      <c r="R54" s="2981"/>
      <c r="S54" s="2981"/>
      <c r="T54" s="1606" t="s">
        <v>1000</v>
      </c>
      <c r="U54" s="1606"/>
      <c r="V54" s="1606"/>
      <c r="W54" s="1479" t="s">
        <v>4565</v>
      </c>
      <c r="X54" s="1480"/>
      <c r="Y54" s="1480"/>
      <c r="Z54" s="1480"/>
      <c r="AA54" s="1480"/>
      <c r="AB54" s="1480"/>
      <c r="AC54" s="1480"/>
      <c r="AD54" s="1480"/>
      <c r="AE54" s="1480"/>
      <c r="AF54" s="1481"/>
    </row>
    <row r="55" spans="1:32" ht="32.450000000000003" customHeight="1" x14ac:dyDescent="0.25">
      <c r="A55" s="1134" t="s">
        <v>4485</v>
      </c>
      <c r="B55" s="1134"/>
      <c r="C55" s="1134"/>
      <c r="D55" s="1134"/>
      <c r="E55" s="1135" t="s">
        <v>4486</v>
      </c>
      <c r="F55" s="1135"/>
      <c r="G55" s="1135"/>
      <c r="H55" s="1135"/>
      <c r="I55" s="1135"/>
      <c r="J55" s="1135"/>
      <c r="K55" s="1135"/>
      <c r="L55" s="1135"/>
      <c r="M55" s="1135"/>
      <c r="N55" s="1135"/>
      <c r="O55" s="1135"/>
      <c r="P55" s="1135"/>
      <c r="Q55" s="1913" t="s">
        <v>2439</v>
      </c>
      <c r="R55" s="1913"/>
      <c r="S55" s="1913"/>
      <c r="T55" s="1913" t="s">
        <v>4487</v>
      </c>
      <c r="U55" s="1913"/>
      <c r="V55" s="1913"/>
      <c r="W55" s="1135" t="s">
        <v>4566</v>
      </c>
      <c r="X55" s="1135"/>
      <c r="Y55" s="1135"/>
      <c r="Z55" s="1135"/>
      <c r="AA55" s="1135"/>
      <c r="AB55" s="1135"/>
      <c r="AC55" s="1135"/>
      <c r="AD55" s="1135"/>
      <c r="AE55" s="1135"/>
      <c r="AF55" s="1135"/>
    </row>
    <row r="56" spans="1:32" ht="135" customHeight="1" x14ac:dyDescent="0.25">
      <c r="A56" s="1134" t="s">
        <v>2052</v>
      </c>
      <c r="B56" s="1134"/>
      <c r="C56" s="1134"/>
      <c r="D56" s="1134"/>
      <c r="E56" s="1134" t="s">
        <v>2217</v>
      </c>
      <c r="F56" s="1134"/>
      <c r="G56" s="1134"/>
      <c r="H56" s="1134"/>
      <c r="I56" s="1134"/>
      <c r="J56" s="1134"/>
      <c r="K56" s="1134"/>
      <c r="L56" s="1134"/>
      <c r="M56" s="1134"/>
      <c r="N56" s="1134"/>
      <c r="O56" s="1134"/>
      <c r="P56" s="1134"/>
      <c r="Q56" s="2980">
        <f>'Master EUL'!X94</f>
        <v>8</v>
      </c>
      <c r="R56" s="2980"/>
      <c r="S56" s="2980"/>
      <c r="T56" s="1606" t="s">
        <v>46</v>
      </c>
      <c r="U56" s="1606"/>
      <c r="V56" s="1606"/>
      <c r="W56" s="1479" t="s">
        <v>4488</v>
      </c>
      <c r="X56" s="1480"/>
      <c r="Y56" s="1480"/>
      <c r="Z56" s="1480"/>
      <c r="AA56" s="1480"/>
      <c r="AB56" s="1480"/>
      <c r="AC56" s="1480"/>
      <c r="AD56" s="1480"/>
      <c r="AE56" s="1480"/>
      <c r="AF56" s="1481"/>
    </row>
    <row r="57" spans="1:32" ht="53.45" customHeight="1" x14ac:dyDescent="0.25">
      <c r="A57" s="1736" t="s">
        <v>4489</v>
      </c>
      <c r="B57" s="1736"/>
      <c r="C57" s="1736"/>
      <c r="D57" s="1736"/>
      <c r="E57" s="1736"/>
      <c r="F57" s="1736"/>
      <c r="G57" s="1736"/>
      <c r="H57" s="1736"/>
      <c r="I57" s="1736"/>
      <c r="J57" s="1736"/>
      <c r="K57" s="1736"/>
      <c r="L57" s="1736"/>
      <c r="M57" s="1736"/>
      <c r="N57" s="1736"/>
      <c r="O57" s="1736"/>
      <c r="P57" s="1736"/>
      <c r="Q57" s="1736"/>
      <c r="R57" s="1736"/>
      <c r="S57" s="1736"/>
      <c r="T57" s="1736"/>
      <c r="U57" s="1736"/>
      <c r="V57" s="1736"/>
      <c r="W57" s="1736"/>
      <c r="X57" s="1736"/>
      <c r="Y57" s="1736"/>
      <c r="Z57" s="1736"/>
      <c r="AA57" s="1736"/>
      <c r="AB57" s="1736"/>
      <c r="AC57" s="1736"/>
      <c r="AD57" s="1736"/>
      <c r="AE57" s="1736"/>
      <c r="AF57" s="1736"/>
    </row>
    <row r="58" spans="1:32" ht="38.1" customHeight="1" x14ac:dyDescent="0.25">
      <c r="A58" s="1290" t="s">
        <v>4490</v>
      </c>
      <c r="B58" s="1290"/>
      <c r="C58" s="1290"/>
      <c r="D58" s="1290"/>
      <c r="E58" s="1290"/>
      <c r="F58" s="1290"/>
      <c r="G58" s="1290"/>
      <c r="H58" s="1290"/>
      <c r="I58" s="1290"/>
      <c r="J58" s="1290"/>
      <c r="K58" s="1290"/>
      <c r="L58" s="1290"/>
      <c r="M58" s="1290"/>
      <c r="N58" s="1290"/>
      <c r="O58" s="1290"/>
      <c r="P58" s="1290"/>
      <c r="Q58" s="1290"/>
      <c r="R58" s="1290"/>
      <c r="S58" s="1290"/>
      <c r="T58" s="1290"/>
      <c r="U58" s="1290"/>
      <c r="V58" s="1290"/>
      <c r="W58" s="1290"/>
      <c r="X58" s="1290"/>
      <c r="Y58" s="1290"/>
      <c r="Z58" s="1290"/>
      <c r="AA58" s="1290"/>
      <c r="AB58" s="1290"/>
      <c r="AC58" s="1290"/>
      <c r="AD58" s="1290"/>
      <c r="AE58" s="1290"/>
      <c r="AF58" s="1290"/>
    </row>
    <row r="59" spans="1:32" ht="42.6" customHeight="1" x14ac:dyDescent="0.25">
      <c r="A59" s="1290" t="s">
        <v>4491</v>
      </c>
      <c r="B59" s="1290"/>
      <c r="C59" s="1290"/>
      <c r="D59" s="1290"/>
      <c r="E59" s="1290"/>
      <c r="F59" s="1290"/>
      <c r="G59" s="1290"/>
      <c r="H59" s="1290"/>
      <c r="I59" s="1290"/>
      <c r="J59" s="1290"/>
      <c r="K59" s="1290"/>
      <c r="L59" s="1290"/>
      <c r="M59" s="1290"/>
      <c r="N59" s="1290"/>
      <c r="O59" s="1290"/>
      <c r="P59" s="1290"/>
      <c r="Q59" s="1290"/>
      <c r="R59" s="1290"/>
      <c r="S59" s="1290"/>
      <c r="T59" s="1290"/>
      <c r="U59" s="1290"/>
      <c r="V59" s="1290"/>
      <c r="W59" s="1290"/>
      <c r="X59" s="1290"/>
      <c r="Y59" s="1290"/>
      <c r="Z59" s="1290"/>
      <c r="AA59" s="1290"/>
      <c r="AB59" s="1290"/>
      <c r="AC59" s="1290"/>
      <c r="AD59" s="1290"/>
      <c r="AE59" s="1290"/>
      <c r="AF59" s="1290"/>
    </row>
    <row r="60" spans="1:32" ht="44.1" customHeight="1" x14ac:dyDescent="0.25">
      <c r="A60" s="1290" t="s">
        <v>4492</v>
      </c>
      <c r="B60" s="1290"/>
      <c r="C60" s="1290"/>
      <c r="D60" s="1290"/>
      <c r="E60" s="1290"/>
      <c r="F60" s="1290"/>
      <c r="G60" s="1290"/>
      <c r="H60" s="1290"/>
      <c r="I60" s="1290"/>
      <c r="J60" s="1290"/>
      <c r="K60" s="1290"/>
      <c r="L60" s="1290"/>
      <c r="M60" s="1290"/>
      <c r="N60" s="1290"/>
      <c r="O60" s="1290"/>
      <c r="P60" s="1290"/>
      <c r="Q60" s="1290"/>
      <c r="R60" s="1290"/>
      <c r="S60" s="1290"/>
      <c r="T60" s="1290"/>
      <c r="U60" s="1290"/>
      <c r="V60" s="1290"/>
      <c r="W60" s="1290"/>
      <c r="X60" s="1290"/>
      <c r="Y60" s="1290"/>
      <c r="Z60" s="1290"/>
      <c r="AA60" s="1290"/>
      <c r="AB60" s="1290"/>
      <c r="AC60" s="1290"/>
      <c r="AD60" s="1290"/>
      <c r="AE60" s="1290"/>
      <c r="AF60" s="1290"/>
    </row>
    <row r="61" spans="1:32" x14ac:dyDescent="0.25">
      <c r="A61" s="1290" t="s">
        <v>4493</v>
      </c>
      <c r="B61" s="1290"/>
      <c r="C61" s="1290"/>
      <c r="D61" s="1290"/>
      <c r="E61" s="1290"/>
      <c r="F61" s="1290"/>
      <c r="G61" s="1290"/>
      <c r="H61" s="1290"/>
      <c r="I61" s="1290"/>
      <c r="J61" s="1290"/>
      <c r="K61" s="1290"/>
      <c r="L61" s="1290"/>
      <c r="M61" s="1290"/>
      <c r="N61" s="1290"/>
      <c r="O61" s="1290"/>
      <c r="P61" s="1290"/>
      <c r="Q61" s="1290"/>
      <c r="R61" s="1290"/>
      <c r="S61" s="1290"/>
      <c r="T61" s="1290"/>
      <c r="U61" s="1290"/>
      <c r="V61" s="1290"/>
      <c r="W61" s="1290"/>
      <c r="X61" s="1290"/>
      <c r="Y61" s="1290"/>
      <c r="Z61" s="1290"/>
      <c r="AA61" s="1290"/>
      <c r="AB61" s="1290"/>
      <c r="AC61" s="1290"/>
      <c r="AD61" s="1290"/>
      <c r="AE61" s="1290"/>
      <c r="AF61" s="1290"/>
    </row>
    <row r="62" spans="1:32" x14ac:dyDescent="0.25">
      <c r="A62" s="1290" t="s">
        <v>4494</v>
      </c>
      <c r="B62" s="1290"/>
      <c r="C62" s="1290"/>
      <c r="D62" s="1290"/>
      <c r="E62" s="1290"/>
      <c r="F62" s="1290"/>
      <c r="G62" s="1290"/>
      <c r="H62" s="1290"/>
      <c r="I62" s="1290"/>
      <c r="J62" s="1290"/>
      <c r="K62" s="1290"/>
      <c r="L62" s="1290"/>
      <c r="M62" s="1290"/>
      <c r="N62" s="1290"/>
      <c r="O62" s="1290"/>
      <c r="P62" s="1290"/>
      <c r="Q62" s="1290"/>
      <c r="R62" s="1290"/>
      <c r="S62" s="1290"/>
      <c r="T62" s="1290"/>
      <c r="U62" s="1290"/>
      <c r="V62" s="1290"/>
      <c r="W62" s="1290"/>
      <c r="X62" s="1290"/>
      <c r="Y62" s="1290"/>
      <c r="Z62" s="1290"/>
      <c r="AA62" s="1290"/>
      <c r="AB62" s="1290"/>
      <c r="AC62" s="1290"/>
      <c r="AD62" s="1290"/>
      <c r="AE62" s="1290"/>
      <c r="AF62" s="1290"/>
    </row>
    <row r="63" spans="1:32" x14ac:dyDescent="0.25">
      <c r="A63" s="1290" t="s">
        <v>4495</v>
      </c>
      <c r="B63" s="1290"/>
      <c r="C63" s="1290"/>
      <c r="D63" s="1290"/>
      <c r="E63" s="1290"/>
      <c r="F63" s="1290"/>
      <c r="G63" s="1290"/>
      <c r="H63" s="1290"/>
      <c r="I63" s="1290"/>
      <c r="J63" s="1290"/>
      <c r="K63" s="1290"/>
      <c r="L63" s="1290"/>
      <c r="M63" s="1290"/>
      <c r="N63" s="1290"/>
      <c r="O63" s="1290"/>
      <c r="P63" s="1290"/>
      <c r="Q63" s="1290"/>
      <c r="R63" s="1290"/>
      <c r="S63" s="1290"/>
      <c r="T63" s="1290"/>
      <c r="U63" s="1290"/>
      <c r="V63" s="1290"/>
      <c r="W63" s="1290"/>
      <c r="X63" s="1290"/>
      <c r="Y63" s="1290"/>
      <c r="Z63" s="1290"/>
      <c r="AA63" s="1290"/>
      <c r="AB63" s="1290"/>
      <c r="AC63" s="1290"/>
      <c r="AD63" s="1290"/>
      <c r="AE63" s="1290"/>
      <c r="AF63" s="1290"/>
    </row>
    <row r="64" spans="1:32" x14ac:dyDescent="0.25">
      <c r="A64" s="584"/>
    </row>
    <row r="65" spans="1:32" x14ac:dyDescent="0.25">
      <c r="A65" s="1472" t="s">
        <v>21</v>
      </c>
      <c r="B65" s="1472"/>
      <c r="C65" s="1472"/>
      <c r="D65" s="1472"/>
      <c r="E65" s="1472"/>
      <c r="F65" s="1472"/>
      <c r="G65" s="1472"/>
      <c r="H65" s="1472"/>
      <c r="I65" s="1472"/>
      <c r="J65" s="1472"/>
      <c r="K65" s="1472"/>
      <c r="L65" s="1472"/>
      <c r="M65" s="1472"/>
      <c r="N65" s="1472"/>
      <c r="O65" s="1472"/>
      <c r="P65" s="1472"/>
      <c r="Q65" s="1472"/>
      <c r="R65" s="1472"/>
      <c r="S65" s="1472"/>
      <c r="T65" s="1472"/>
      <c r="U65" s="1472"/>
      <c r="V65" s="1472"/>
      <c r="W65" s="1472"/>
      <c r="X65" s="1472"/>
      <c r="Y65" s="1472"/>
      <c r="Z65" s="1472"/>
      <c r="AA65" s="1472"/>
      <c r="AB65" s="1472"/>
      <c r="AC65" s="1472"/>
      <c r="AD65" s="1472"/>
      <c r="AE65" s="1472"/>
      <c r="AF65" s="1472"/>
    </row>
    <row r="66" spans="1:32" x14ac:dyDescent="0.25">
      <c r="A66" s="729"/>
      <c r="B66" s="729"/>
      <c r="C66" s="729"/>
      <c r="D66" s="729"/>
      <c r="E66" s="7"/>
      <c r="F66" s="7"/>
      <c r="G66" s="7"/>
      <c r="H66" s="7"/>
      <c r="I66" s="730"/>
      <c r="J66" s="730"/>
      <c r="K66" s="730"/>
      <c r="L66" s="730"/>
      <c r="M66" s="730"/>
      <c r="N66" s="730"/>
      <c r="O66" s="730"/>
      <c r="P66" s="730"/>
      <c r="Q66" s="731"/>
      <c r="R66" s="730"/>
      <c r="S66" s="730"/>
      <c r="T66" s="730"/>
      <c r="U66" s="731"/>
      <c r="V66" s="731"/>
      <c r="W66" s="731"/>
      <c r="X66" s="731"/>
      <c r="Y66" s="730"/>
      <c r="Z66" s="730"/>
      <c r="AA66" s="730"/>
      <c r="AB66" s="730"/>
      <c r="AC66" s="730"/>
      <c r="AD66" s="730"/>
      <c r="AE66" s="730"/>
      <c r="AF66" s="730"/>
    </row>
    <row r="67" spans="1:32" x14ac:dyDescent="0.25">
      <c r="A67" s="642" t="s">
        <v>4496</v>
      </c>
      <c r="B67" s="227"/>
      <c r="C67" s="227"/>
      <c r="D67" s="227"/>
      <c r="E67" s="227"/>
      <c r="F67" s="227"/>
      <c r="G67" s="227"/>
      <c r="H67" s="227"/>
      <c r="I67" s="227"/>
      <c r="J67" s="423"/>
      <c r="K67" s="423"/>
      <c r="L67" s="423"/>
      <c r="M67" s="423"/>
      <c r="N67" s="423"/>
      <c r="O67" s="423"/>
      <c r="P67" s="423"/>
      <c r="Q67" s="423"/>
      <c r="R67" s="423"/>
      <c r="S67" s="227"/>
      <c r="T67" s="227"/>
      <c r="U67" s="227"/>
      <c r="V67" s="227"/>
      <c r="W67" s="227"/>
      <c r="X67" s="227"/>
      <c r="Y67" s="227"/>
      <c r="Z67" s="227"/>
      <c r="AA67" s="227"/>
      <c r="AB67" s="227"/>
      <c r="AC67" s="227"/>
      <c r="AD67" s="227"/>
      <c r="AE67" s="227"/>
      <c r="AF67" s="227"/>
    </row>
    <row r="68" spans="1:32" x14ac:dyDescent="0.25">
      <c r="A68" s="227"/>
      <c r="B68" s="227"/>
      <c r="C68" s="227"/>
      <c r="D68" s="227"/>
      <c r="E68" s="227"/>
      <c r="F68" s="227"/>
      <c r="G68" s="227"/>
      <c r="H68" s="227"/>
      <c r="I68" s="227"/>
      <c r="J68" s="227"/>
      <c r="K68" s="227"/>
      <c r="L68" s="227"/>
      <c r="M68" s="227"/>
      <c r="N68" s="227"/>
      <c r="O68" s="227"/>
      <c r="P68" s="227"/>
      <c r="Q68" s="227"/>
      <c r="R68" s="227"/>
      <c r="S68" s="227"/>
      <c r="T68" s="227"/>
      <c r="U68" s="227"/>
      <c r="V68" s="227"/>
      <c r="W68" s="227"/>
      <c r="X68" s="227"/>
      <c r="Y68" s="227"/>
      <c r="Z68" s="227"/>
      <c r="AA68" s="227"/>
      <c r="AB68" s="227"/>
      <c r="AC68" s="227"/>
      <c r="AD68" s="227"/>
      <c r="AE68" s="227"/>
      <c r="AF68" s="227"/>
    </row>
    <row r="69" spans="1:32" x14ac:dyDescent="0.25">
      <c r="A69" s="227"/>
      <c r="B69" s="227"/>
      <c r="C69" s="227" t="s">
        <v>4497</v>
      </c>
      <c r="D69" s="227"/>
      <c r="E69" s="227"/>
      <c r="F69" s="227"/>
      <c r="G69" s="227"/>
      <c r="H69" s="227"/>
      <c r="I69" s="227"/>
      <c r="J69" s="227"/>
      <c r="K69" s="227"/>
      <c r="L69" s="227"/>
      <c r="M69" s="227"/>
      <c r="N69" s="227"/>
      <c r="O69" s="227"/>
      <c r="P69" s="227"/>
      <c r="Q69" s="227"/>
      <c r="R69" s="227"/>
      <c r="S69" s="227"/>
      <c r="T69" s="227"/>
      <c r="U69" s="227"/>
      <c r="V69" s="227"/>
      <c r="W69" s="227"/>
      <c r="X69" s="227"/>
      <c r="Y69" s="227"/>
      <c r="Z69" s="227"/>
      <c r="AA69" s="227"/>
      <c r="AB69" s="227"/>
      <c r="AC69" s="227"/>
      <c r="AD69" s="227"/>
      <c r="AE69" s="227"/>
      <c r="AF69" s="227"/>
    </row>
    <row r="70" spans="1:32" x14ac:dyDescent="0.25">
      <c r="A70" s="227"/>
      <c r="B70" s="227"/>
      <c r="C70" s="227"/>
      <c r="D70" s="227"/>
      <c r="E70" s="227"/>
      <c r="F70" s="2721">
        <v>1</v>
      </c>
      <c r="G70" s="2722"/>
      <c r="H70" s="2723"/>
      <c r="I70" s="227"/>
      <c r="J70" s="227"/>
      <c r="K70" s="227"/>
      <c r="L70" s="227"/>
      <c r="M70" s="227"/>
      <c r="N70" s="227"/>
      <c r="O70" s="227"/>
      <c r="P70" s="227"/>
      <c r="Q70" s="227"/>
      <c r="R70" s="227"/>
      <c r="S70" s="227"/>
      <c r="T70" s="227"/>
      <c r="U70" s="227"/>
      <c r="V70" s="227"/>
      <c r="W70" s="227"/>
      <c r="X70" s="227"/>
      <c r="Y70" s="227"/>
      <c r="Z70" s="227"/>
      <c r="AA70" s="227"/>
      <c r="AB70" s="227"/>
      <c r="AC70" s="227"/>
      <c r="AD70" s="227"/>
      <c r="AE70" s="227"/>
      <c r="AF70" s="227"/>
    </row>
    <row r="71" spans="1:32" ht="15.75" thickBot="1" x14ac:dyDescent="0.3">
      <c r="A71" s="227"/>
      <c r="B71" s="227"/>
      <c r="C71" s="227"/>
      <c r="D71" s="227"/>
      <c r="E71" s="227"/>
      <c r="F71" s="227"/>
      <c r="G71" s="227"/>
      <c r="H71" s="227"/>
      <c r="I71" s="227"/>
      <c r="J71" s="227"/>
      <c r="K71" s="227"/>
      <c r="L71" s="227"/>
      <c r="M71" s="227"/>
      <c r="N71" s="227"/>
      <c r="O71" s="227"/>
      <c r="P71" s="227"/>
      <c r="Q71" s="227"/>
      <c r="R71" s="227"/>
      <c r="S71" s="227"/>
      <c r="T71" s="227"/>
      <c r="U71" s="227"/>
      <c r="V71" s="227"/>
      <c r="W71" s="227"/>
      <c r="X71" s="227"/>
      <c r="Y71" s="227"/>
      <c r="Z71" s="227"/>
      <c r="AA71" s="227"/>
      <c r="AB71" s="227"/>
      <c r="AC71" s="227"/>
      <c r="AD71" s="227"/>
      <c r="AE71" s="227"/>
      <c r="AF71" s="227"/>
    </row>
    <row r="72" spans="1:32" ht="30.6" customHeight="1" x14ac:dyDescent="0.25">
      <c r="A72" s="1810" t="s">
        <v>22</v>
      </c>
      <c r="B72" s="1643"/>
      <c r="C72" s="1643"/>
      <c r="D72" s="1643"/>
      <c r="E72" s="1643"/>
      <c r="F72" s="1643"/>
      <c r="G72" s="1643"/>
      <c r="H72" s="1643"/>
      <c r="I72" s="1642" t="s">
        <v>2922</v>
      </c>
      <c r="J72" s="1643"/>
      <c r="K72" s="1643"/>
      <c r="L72" s="1643"/>
      <c r="M72" s="1643"/>
      <c r="N72" s="1643"/>
      <c r="O72" s="1643"/>
      <c r="P72" s="1643"/>
      <c r="Q72" s="1642" t="s">
        <v>2918</v>
      </c>
      <c r="R72" s="1643"/>
      <c r="S72" s="1643"/>
      <c r="T72" s="1643"/>
      <c r="U72" s="1643"/>
      <c r="V72" s="1643"/>
      <c r="W72" s="1643"/>
      <c r="X72" s="1643"/>
      <c r="Y72" s="1642" t="s">
        <v>1786</v>
      </c>
      <c r="Z72" s="1643"/>
      <c r="AA72" s="1643"/>
      <c r="AB72" s="1643"/>
      <c r="AC72" s="1643"/>
      <c r="AD72" s="1643"/>
      <c r="AE72" s="1643"/>
      <c r="AF72" s="1644"/>
    </row>
    <row r="73" spans="1:32" ht="30" customHeight="1" thickBot="1" x14ac:dyDescent="0.3">
      <c r="A73" s="1802" t="s">
        <v>4498</v>
      </c>
      <c r="B73" s="1887"/>
      <c r="C73" s="1887"/>
      <c r="D73" s="1887"/>
      <c r="E73" s="1887"/>
      <c r="F73" s="1887"/>
      <c r="G73" s="1887"/>
      <c r="H73" s="1887"/>
      <c r="I73" s="2950">
        <f>ROUND(Q44*Q45*(Q46/(Q47*Q48)-Q50*Q51/((Q52-Q53)*Q47*Q49*Q54))*F70,3)</f>
        <v>6.9000000000000006E-2</v>
      </c>
      <c r="J73" s="2950"/>
      <c r="K73" s="2950"/>
      <c r="L73" s="2950"/>
      <c r="M73" s="2950"/>
      <c r="N73" s="2950"/>
      <c r="O73" s="2950"/>
      <c r="P73" s="2950"/>
      <c r="Q73" s="2738">
        <f>ROUND(Q44*Q45*(Q46/(Q47*Q48)-Q50*Q51/((Q52-Q53)*Q47*Q49*Q54))*F70*Q54,2)</f>
        <v>606.13</v>
      </c>
      <c r="R73" s="2738"/>
      <c r="S73" s="2738"/>
      <c r="T73" s="2738"/>
      <c r="U73" s="2738"/>
      <c r="V73" s="2738"/>
      <c r="W73" s="2738"/>
      <c r="X73" s="2738"/>
      <c r="Y73" s="2739">
        <f>ROUND(Q73*Q56,2)</f>
        <v>4849.04</v>
      </c>
      <c r="Z73" s="2739"/>
      <c r="AA73" s="2739"/>
      <c r="AB73" s="2739"/>
      <c r="AC73" s="2739"/>
      <c r="AD73" s="2739"/>
      <c r="AE73" s="2739"/>
      <c r="AF73" s="2740"/>
    </row>
    <row r="74" spans="1:32" x14ac:dyDescent="0.25">
      <c r="A74" s="227"/>
      <c r="B74" s="227"/>
      <c r="C74" s="227"/>
      <c r="D74" s="227"/>
      <c r="E74" s="227"/>
      <c r="F74" s="227"/>
      <c r="G74" s="227"/>
      <c r="H74" s="227"/>
      <c r="I74" s="227"/>
      <c r="J74" s="227"/>
      <c r="K74" s="227"/>
      <c r="L74" s="227"/>
      <c r="M74" s="227"/>
      <c r="N74" s="227"/>
      <c r="O74" s="227"/>
      <c r="P74" s="227"/>
      <c r="Q74" s="227"/>
      <c r="R74" s="227"/>
      <c r="S74" s="227"/>
      <c r="T74" s="227"/>
      <c r="U74" s="227"/>
      <c r="V74" s="227"/>
      <c r="W74" s="227"/>
      <c r="X74" s="227"/>
      <c r="Y74" s="227"/>
      <c r="Z74" s="227"/>
      <c r="AA74" s="227"/>
      <c r="AB74" s="227"/>
      <c r="AC74" s="227"/>
      <c r="AD74" s="227"/>
      <c r="AE74" s="227"/>
      <c r="AF74" s="227"/>
    </row>
    <row r="75" spans="1:32" x14ac:dyDescent="0.25">
      <c r="A75" s="1621" t="s">
        <v>1753</v>
      </c>
      <c r="B75" s="1621"/>
      <c r="C75" s="1621"/>
      <c r="D75" s="1621"/>
      <c r="E75" s="1621"/>
      <c r="F75" s="1621"/>
      <c r="G75" s="1621"/>
      <c r="H75" s="1621"/>
      <c r="I75" s="1621"/>
      <c r="J75" s="1621"/>
      <c r="K75" s="1621"/>
      <c r="L75" s="1621"/>
      <c r="M75" s="1621"/>
      <c r="N75" s="1621"/>
      <c r="O75" s="1621"/>
      <c r="P75" s="1621"/>
      <c r="Q75" s="1621"/>
      <c r="R75" s="1621"/>
      <c r="S75" s="1621"/>
      <c r="T75" s="1621"/>
      <c r="U75" s="1621"/>
      <c r="V75" s="1621"/>
      <c r="W75" s="1621"/>
      <c r="X75" s="1621"/>
      <c r="Y75" s="1621"/>
      <c r="Z75" s="1621"/>
      <c r="AA75" s="1621"/>
      <c r="AB75" s="1621"/>
      <c r="AC75" s="1621"/>
      <c r="AD75" s="1621"/>
      <c r="AE75" s="1621"/>
      <c r="AF75" s="1621"/>
    </row>
    <row r="76" spans="1:32" x14ac:dyDescent="0.25">
      <c r="A76" s="423"/>
      <c r="B76" s="732"/>
      <c r="C76" s="732"/>
      <c r="D76" s="732"/>
      <c r="E76" s="732"/>
      <c r="F76" s="732"/>
      <c r="G76" s="732"/>
      <c r="H76" s="732"/>
      <c r="I76" s="732"/>
      <c r="J76" s="732"/>
      <c r="K76" s="732"/>
      <c r="L76" s="732"/>
      <c r="M76" s="732"/>
      <c r="N76" s="732"/>
      <c r="O76" s="732"/>
      <c r="P76" s="732"/>
      <c r="Q76" s="732"/>
      <c r="R76" s="732"/>
      <c r="S76" s="638"/>
      <c r="T76" s="638"/>
      <c r="U76" s="638"/>
      <c r="V76" s="638"/>
      <c r="W76" s="638"/>
      <c r="X76" s="638"/>
      <c r="Y76" s="638"/>
      <c r="Z76" s="638"/>
      <c r="AA76" s="638"/>
      <c r="AB76" s="638"/>
      <c r="AC76" s="638"/>
      <c r="AD76" s="638"/>
      <c r="AE76" s="638"/>
      <c r="AF76" s="638"/>
    </row>
    <row r="77" spans="1:32" ht="30.6" customHeight="1" x14ac:dyDescent="0.25">
      <c r="A77" s="517" t="s">
        <v>1013</v>
      </c>
      <c r="B77" s="1173" t="s">
        <v>4499</v>
      </c>
      <c r="C77" s="1173"/>
      <c r="D77" s="1173"/>
      <c r="E77" s="1173"/>
      <c r="F77" s="1173"/>
      <c r="G77" s="1173"/>
      <c r="H77" s="1173"/>
      <c r="I77" s="1173"/>
      <c r="J77" s="1173"/>
      <c r="K77" s="1173"/>
      <c r="L77" s="1173"/>
      <c r="M77" s="1173"/>
      <c r="N77" s="1173"/>
      <c r="O77" s="1173"/>
      <c r="P77" s="1173"/>
      <c r="Q77" s="1173"/>
      <c r="R77" s="1173"/>
      <c r="S77" s="1173"/>
      <c r="T77" s="1173"/>
      <c r="U77" s="1173"/>
      <c r="V77" s="1173"/>
      <c r="W77" s="1173"/>
      <c r="X77" s="1173"/>
      <c r="Y77" s="1173"/>
      <c r="Z77" s="1173"/>
      <c r="AA77" s="1173"/>
      <c r="AB77" s="1173"/>
      <c r="AC77" s="1173"/>
      <c r="AD77" s="1173"/>
      <c r="AE77" s="1173"/>
      <c r="AF77" s="1173"/>
    </row>
    <row r="78" spans="1:32" ht="45.6" customHeight="1" x14ac:dyDescent="0.25">
      <c r="A78" s="517" t="s">
        <v>1013</v>
      </c>
      <c r="B78" s="1173" t="s">
        <v>4500</v>
      </c>
      <c r="C78" s="1173"/>
      <c r="D78" s="1173"/>
      <c r="E78" s="1173"/>
      <c r="F78" s="1173"/>
      <c r="G78" s="1173"/>
      <c r="H78" s="1173"/>
      <c r="I78" s="1173"/>
      <c r="J78" s="1173"/>
      <c r="K78" s="1173"/>
      <c r="L78" s="1173"/>
      <c r="M78" s="1173"/>
      <c r="N78" s="1173"/>
      <c r="O78" s="1173"/>
      <c r="P78" s="1173"/>
      <c r="Q78" s="1173"/>
      <c r="R78" s="1173"/>
      <c r="S78" s="1173"/>
      <c r="T78" s="1173"/>
      <c r="U78" s="1173"/>
      <c r="V78" s="1173"/>
      <c r="W78" s="1173"/>
      <c r="X78" s="1173"/>
      <c r="Y78" s="1173"/>
      <c r="Z78" s="1173"/>
      <c r="AA78" s="1173"/>
      <c r="AB78" s="1173"/>
      <c r="AC78" s="1173"/>
      <c r="AD78" s="1173"/>
      <c r="AE78" s="1173"/>
      <c r="AF78" s="1173"/>
    </row>
    <row r="79" spans="1:32" x14ac:dyDescent="0.25">
      <c r="A79" s="517" t="s">
        <v>1013</v>
      </c>
      <c r="B79" s="1173" t="s">
        <v>4501</v>
      </c>
      <c r="C79" s="1173"/>
      <c r="D79" s="1173"/>
      <c r="E79" s="1173"/>
      <c r="F79" s="1173"/>
      <c r="G79" s="1173"/>
      <c r="H79" s="1173"/>
      <c r="I79" s="1173"/>
      <c r="J79" s="1173"/>
      <c r="K79" s="1173"/>
      <c r="L79" s="1173"/>
      <c r="M79" s="1173"/>
      <c r="N79" s="1173"/>
      <c r="O79" s="1173"/>
      <c r="P79" s="1173"/>
      <c r="Q79" s="1173"/>
      <c r="R79" s="1173"/>
      <c r="S79" s="1173"/>
      <c r="T79" s="1173"/>
      <c r="U79" s="1173"/>
      <c r="V79" s="1173"/>
      <c r="W79" s="1173"/>
      <c r="X79" s="1173"/>
      <c r="Y79" s="1173"/>
      <c r="Z79" s="1173"/>
      <c r="AA79" s="1173"/>
      <c r="AB79" s="1173"/>
      <c r="AC79" s="1173"/>
      <c r="AD79" s="1173"/>
      <c r="AE79" s="1173"/>
      <c r="AF79" s="1173"/>
    </row>
    <row r="80" spans="1:32" ht="75.95" customHeight="1" x14ac:dyDescent="0.25">
      <c r="A80" s="517" t="s">
        <v>1013</v>
      </c>
      <c r="B80" s="1173" t="s">
        <v>4502</v>
      </c>
      <c r="C80" s="1173"/>
      <c r="D80" s="1173"/>
      <c r="E80" s="1173"/>
      <c r="F80" s="1173"/>
      <c r="G80" s="1173"/>
      <c r="H80" s="1173"/>
      <c r="I80" s="1173"/>
      <c r="J80" s="1173"/>
      <c r="K80" s="1173"/>
      <c r="L80" s="1173"/>
      <c r="M80" s="1173"/>
      <c r="N80" s="1173"/>
      <c r="O80" s="1173"/>
      <c r="P80" s="1173"/>
      <c r="Q80" s="1173"/>
      <c r="R80" s="1173"/>
      <c r="S80" s="1173"/>
      <c r="T80" s="1173"/>
      <c r="U80" s="1173"/>
      <c r="V80" s="1173"/>
      <c r="W80" s="1173"/>
      <c r="X80" s="1173"/>
      <c r="Y80" s="1173"/>
      <c r="Z80" s="1173"/>
      <c r="AA80" s="1173"/>
      <c r="AB80" s="1173"/>
      <c r="AC80" s="1173"/>
      <c r="AD80" s="1173"/>
      <c r="AE80" s="1173"/>
      <c r="AF80" s="1173"/>
    </row>
    <row r="81" spans="1:32" ht="51.95" customHeight="1" x14ac:dyDescent="0.25">
      <c r="A81" s="517" t="s">
        <v>1013</v>
      </c>
      <c r="B81" s="1173" t="s">
        <v>4503</v>
      </c>
      <c r="C81" s="1173"/>
      <c r="D81" s="1173"/>
      <c r="E81" s="1173"/>
      <c r="F81" s="1173"/>
      <c r="G81" s="1173"/>
      <c r="H81" s="1173"/>
      <c r="I81" s="1173"/>
      <c r="J81" s="1173"/>
      <c r="K81" s="1173"/>
      <c r="L81" s="1173"/>
      <c r="M81" s="1173"/>
      <c r="N81" s="1173"/>
      <c r="O81" s="1173"/>
      <c r="P81" s="1173"/>
      <c r="Q81" s="1173"/>
      <c r="R81" s="1173"/>
      <c r="S81" s="1173"/>
      <c r="T81" s="1173"/>
      <c r="U81" s="1173"/>
      <c r="V81" s="1173"/>
      <c r="W81" s="1173"/>
      <c r="X81" s="1173"/>
      <c r="Y81" s="1173"/>
      <c r="Z81" s="1173"/>
      <c r="AA81" s="1173"/>
      <c r="AB81" s="1173"/>
      <c r="AC81" s="1173"/>
      <c r="AD81" s="1173"/>
      <c r="AE81" s="1173"/>
      <c r="AF81" s="1173"/>
    </row>
    <row r="82" spans="1:32" ht="47.45" customHeight="1" x14ac:dyDescent="0.25">
      <c r="A82" s="517" t="s">
        <v>1013</v>
      </c>
      <c r="B82" s="1173" t="s">
        <v>4504</v>
      </c>
      <c r="C82" s="1173"/>
      <c r="D82" s="1173"/>
      <c r="E82" s="1173"/>
      <c r="F82" s="1173"/>
      <c r="G82" s="1173"/>
      <c r="H82" s="1173"/>
      <c r="I82" s="1173"/>
      <c r="J82" s="1173"/>
      <c r="K82" s="1173"/>
      <c r="L82" s="1173"/>
      <c r="M82" s="1173"/>
      <c r="N82" s="1173"/>
      <c r="O82" s="1173"/>
      <c r="P82" s="1173"/>
      <c r="Q82" s="1173"/>
      <c r="R82" s="1173"/>
      <c r="S82" s="1173"/>
      <c r="T82" s="1173"/>
      <c r="U82" s="1173"/>
      <c r="V82" s="1173"/>
      <c r="W82" s="1173"/>
      <c r="X82" s="1173"/>
      <c r="Y82" s="1173"/>
      <c r="Z82" s="1173"/>
      <c r="AA82" s="1173"/>
      <c r="AB82" s="1173"/>
      <c r="AC82" s="1173"/>
      <c r="AD82" s="1173"/>
      <c r="AE82" s="1173"/>
      <c r="AF82" s="1173"/>
    </row>
    <row r="83" spans="1:32" ht="44.45" customHeight="1" x14ac:dyDescent="0.25">
      <c r="A83" s="517" t="s">
        <v>1013</v>
      </c>
      <c r="B83" s="1173" t="s">
        <v>4505</v>
      </c>
      <c r="C83" s="1173"/>
      <c r="D83" s="1173"/>
      <c r="E83" s="1173"/>
      <c r="F83" s="1173"/>
      <c r="G83" s="1173"/>
      <c r="H83" s="1173"/>
      <c r="I83" s="1173"/>
      <c r="J83" s="1173"/>
      <c r="K83" s="1173"/>
      <c r="L83" s="1173"/>
      <c r="M83" s="1173"/>
      <c r="N83" s="1173"/>
      <c r="O83" s="1173"/>
      <c r="P83" s="1173"/>
      <c r="Q83" s="1173"/>
      <c r="R83" s="1173"/>
      <c r="S83" s="1173"/>
      <c r="T83" s="1173"/>
      <c r="U83" s="1173"/>
      <c r="V83" s="1173"/>
      <c r="W83" s="1173"/>
      <c r="X83" s="1173"/>
      <c r="Y83" s="1173"/>
      <c r="Z83" s="1173"/>
      <c r="AA83" s="1173"/>
      <c r="AB83" s="1173"/>
      <c r="AC83" s="1173"/>
      <c r="AD83" s="1173"/>
      <c r="AE83" s="1173"/>
      <c r="AF83" s="1173"/>
    </row>
    <row r="84" spans="1:32" ht="30.95" customHeight="1" x14ac:dyDescent="0.25">
      <c r="A84" s="517" t="s">
        <v>1013</v>
      </c>
      <c r="B84" s="1173" t="s">
        <v>4506</v>
      </c>
      <c r="C84" s="1173"/>
      <c r="D84" s="1173"/>
      <c r="E84" s="1173"/>
      <c r="F84" s="1173"/>
      <c r="G84" s="1173"/>
      <c r="H84" s="1173"/>
      <c r="I84" s="1173"/>
      <c r="J84" s="1173"/>
      <c r="K84" s="1173"/>
      <c r="L84" s="1173"/>
      <c r="M84" s="1173"/>
      <c r="N84" s="1173"/>
      <c r="O84" s="1173"/>
      <c r="P84" s="1173"/>
      <c r="Q84" s="1173"/>
      <c r="R84" s="1173"/>
      <c r="S84" s="1173"/>
      <c r="T84" s="1173"/>
      <c r="U84" s="1173"/>
      <c r="V84" s="1173"/>
      <c r="W84" s="1173"/>
      <c r="X84" s="1173"/>
      <c r="Y84" s="1173"/>
      <c r="Z84" s="1173"/>
      <c r="AA84" s="1173"/>
      <c r="AB84" s="1173"/>
      <c r="AC84" s="1173"/>
      <c r="AD84" s="1173"/>
      <c r="AE84" s="1173"/>
      <c r="AF84" s="1173"/>
    </row>
    <row r="85" spans="1:32" ht="32.450000000000003" customHeight="1" x14ac:dyDescent="0.25">
      <c r="A85" s="517" t="s">
        <v>1013</v>
      </c>
      <c r="B85" s="1173" t="s">
        <v>4507</v>
      </c>
      <c r="C85" s="1173"/>
      <c r="D85" s="1173"/>
      <c r="E85" s="1173"/>
      <c r="F85" s="1173"/>
      <c r="G85" s="1173"/>
      <c r="H85" s="1173"/>
      <c r="I85" s="1173"/>
      <c r="J85" s="1173"/>
      <c r="K85" s="1173"/>
      <c r="L85" s="1173"/>
      <c r="M85" s="1173"/>
      <c r="N85" s="1173"/>
      <c r="O85" s="1173"/>
      <c r="P85" s="1173"/>
      <c r="Q85" s="1173"/>
      <c r="R85" s="1173"/>
      <c r="S85" s="1173"/>
      <c r="T85" s="1173"/>
      <c r="U85" s="1173"/>
      <c r="V85" s="1173"/>
      <c r="W85" s="1173"/>
      <c r="X85" s="1173"/>
      <c r="Y85" s="1173"/>
      <c r="Z85" s="1173"/>
      <c r="AA85" s="1173"/>
      <c r="AB85" s="1173"/>
      <c r="AC85" s="1173"/>
      <c r="AD85" s="1173"/>
      <c r="AE85" s="1173"/>
      <c r="AF85" s="1173"/>
    </row>
  </sheetData>
  <sheetProtection algorithmName="SHA-512" hashValue="AAm+tTvvV4/4vv6xC+KEt6M3fDPkHM9cmN+kZehoP3PRMgx853FXdO+WD6A7jM88FKcDmQzloTqOlVu97Grefg==" saltValue="I4Za8JzISEQAVr3J72/7FA==" spinCount="100000" sheet="1" objects="1" scenarios="1"/>
  <mergeCells count="106">
    <mergeCell ref="C14:AF14"/>
    <mergeCell ref="A26:AF26"/>
    <mergeCell ref="A42:AF42"/>
    <mergeCell ref="A43:D43"/>
    <mergeCell ref="E43:P43"/>
    <mergeCell ref="Q43:S43"/>
    <mergeCell ref="T43:V43"/>
    <mergeCell ref="W43:AF43"/>
    <mergeCell ref="A1:AF1"/>
    <mergeCell ref="A3:AF3"/>
    <mergeCell ref="B5:AF5"/>
    <mergeCell ref="A7:AF7"/>
    <mergeCell ref="B10:AF10"/>
    <mergeCell ref="C13:AF13"/>
    <mergeCell ref="A44:D44"/>
    <mergeCell ref="E44:P44"/>
    <mergeCell ref="Q44:S44"/>
    <mergeCell ref="T44:V44"/>
    <mergeCell ref="W44:AF44"/>
    <mergeCell ref="A45:D45"/>
    <mergeCell ref="E45:P45"/>
    <mergeCell ref="Q45:S45"/>
    <mergeCell ref="T45:V45"/>
    <mergeCell ref="W45:AF45"/>
    <mergeCell ref="A46:D46"/>
    <mergeCell ref="E46:P46"/>
    <mergeCell ref="Q46:S46"/>
    <mergeCell ref="T46:V46"/>
    <mergeCell ref="W46:AF46"/>
    <mergeCell ref="A47:D47"/>
    <mergeCell ref="E47:P47"/>
    <mergeCell ref="Q47:S47"/>
    <mergeCell ref="T47:V47"/>
    <mergeCell ref="W47:AF47"/>
    <mergeCell ref="A48:D48"/>
    <mergeCell ref="E48:P48"/>
    <mergeCell ref="Q48:S48"/>
    <mergeCell ref="T48:V48"/>
    <mergeCell ref="W48:AF48"/>
    <mergeCell ref="A49:D49"/>
    <mergeCell ref="E49:P49"/>
    <mergeCell ref="Q49:S49"/>
    <mergeCell ref="T49:V49"/>
    <mergeCell ref="W49:AF49"/>
    <mergeCell ref="A50:D50"/>
    <mergeCell ref="E50:P50"/>
    <mergeCell ref="Q50:S50"/>
    <mergeCell ref="T50:V50"/>
    <mergeCell ref="W50:AF50"/>
    <mergeCell ref="A51:D51"/>
    <mergeCell ref="E51:P51"/>
    <mergeCell ref="Q51:S51"/>
    <mergeCell ref="T51:V51"/>
    <mergeCell ref="W51:AF51"/>
    <mergeCell ref="A52:D52"/>
    <mergeCell ref="E52:P52"/>
    <mergeCell ref="Q52:S52"/>
    <mergeCell ref="T52:V52"/>
    <mergeCell ref="W52:AF52"/>
    <mergeCell ref="A53:D53"/>
    <mergeCell ref="E53:P53"/>
    <mergeCell ref="Q53:S53"/>
    <mergeCell ref="T53:V53"/>
    <mergeCell ref="W53:AF53"/>
    <mergeCell ref="A56:D56"/>
    <mergeCell ref="E56:P56"/>
    <mergeCell ref="Q56:S56"/>
    <mergeCell ref="T56:V56"/>
    <mergeCell ref="W56:AF56"/>
    <mergeCell ref="A57:AF57"/>
    <mergeCell ref="A54:D54"/>
    <mergeCell ref="E54:P54"/>
    <mergeCell ref="Q54:S54"/>
    <mergeCell ref="T54:V54"/>
    <mergeCell ref="W54:AF54"/>
    <mergeCell ref="A55:D55"/>
    <mergeCell ref="E55:P55"/>
    <mergeCell ref="Q55:S55"/>
    <mergeCell ref="T55:V55"/>
    <mergeCell ref="W55:AF55"/>
    <mergeCell ref="A65:AF65"/>
    <mergeCell ref="F70:H70"/>
    <mergeCell ref="A72:H72"/>
    <mergeCell ref="I72:P72"/>
    <mergeCell ref="Q72:X72"/>
    <mergeCell ref="Y72:AF72"/>
    <mergeCell ref="A58:AF58"/>
    <mergeCell ref="A59:AF59"/>
    <mergeCell ref="A60:AF60"/>
    <mergeCell ref="A61:AF61"/>
    <mergeCell ref="A62:AF62"/>
    <mergeCell ref="A63:AF63"/>
    <mergeCell ref="B84:AF84"/>
    <mergeCell ref="B85:AF85"/>
    <mergeCell ref="B78:AF78"/>
    <mergeCell ref="B79:AF79"/>
    <mergeCell ref="B80:AF80"/>
    <mergeCell ref="B81:AF81"/>
    <mergeCell ref="B82:AF82"/>
    <mergeCell ref="B83:AF83"/>
    <mergeCell ref="A73:H73"/>
    <mergeCell ref="I73:P73"/>
    <mergeCell ref="Q73:X73"/>
    <mergeCell ref="Y73:AF73"/>
    <mergeCell ref="A75:AF75"/>
    <mergeCell ref="B77:AF77"/>
  </mergeCells>
  <hyperlinks>
    <hyperlink ref="A2" location="TOC!A1" display="Return to TOC" xr:uid="{00000000-0004-0000-3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B13:B14 AF30:AF39" numberStoredAsText="1"/>
  </ignoredError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39997558519241921"/>
    <pageSetUpPr autoPageBreaks="0"/>
  </sheetPr>
  <dimension ref="A1:AF507"/>
  <sheetViews>
    <sheetView workbookViewId="0">
      <selection sqref="A1:AF1"/>
    </sheetView>
  </sheetViews>
  <sheetFormatPr defaultColWidth="2.7109375" defaultRowHeight="15" x14ac:dyDescent="0.25"/>
  <sheetData>
    <row r="1" spans="1:32" ht="18.75" x14ac:dyDescent="0.25">
      <c r="A1" s="2132" t="s">
        <v>4508</v>
      </c>
      <c r="B1" s="1389"/>
      <c r="C1" s="1389"/>
      <c r="D1" s="1389"/>
      <c r="E1" s="1389"/>
      <c r="F1" s="1389"/>
      <c r="G1" s="1389"/>
      <c r="H1" s="1389"/>
      <c r="I1" s="1389"/>
      <c r="J1" s="1389"/>
      <c r="K1" s="1389"/>
      <c r="L1" s="1389"/>
      <c r="M1" s="1389"/>
      <c r="N1" s="1389"/>
      <c r="O1" s="1389"/>
      <c r="P1" s="1389"/>
      <c r="Q1" s="1389"/>
      <c r="R1" s="1389"/>
      <c r="S1" s="1389"/>
      <c r="T1" s="1389"/>
      <c r="U1" s="1389"/>
      <c r="V1" s="1389"/>
      <c r="W1" s="1389"/>
      <c r="X1" s="1389"/>
      <c r="Y1" s="1389"/>
      <c r="Z1" s="1389"/>
      <c r="AA1" s="1389"/>
      <c r="AB1" s="1389"/>
      <c r="AC1" s="1389"/>
      <c r="AD1" s="1389"/>
      <c r="AE1" s="1389"/>
      <c r="AF1" s="1389"/>
    </row>
    <row r="2" spans="1:32" x14ac:dyDescent="0.25">
      <c r="A2" s="655" t="s">
        <v>1702</v>
      </c>
      <c r="J2" s="227"/>
      <c r="K2" s="227"/>
      <c r="L2" s="227"/>
      <c r="M2" s="227"/>
      <c r="N2" s="227"/>
      <c r="O2" s="227"/>
      <c r="P2" s="227"/>
      <c r="Q2" s="227"/>
      <c r="R2" s="227"/>
      <c r="S2" s="227"/>
      <c r="T2" s="227"/>
      <c r="U2" s="227"/>
      <c r="V2" s="227"/>
      <c r="W2" s="227"/>
      <c r="X2" s="227"/>
      <c r="Y2" s="227"/>
      <c r="Z2" s="227"/>
      <c r="AA2" s="227"/>
      <c r="AB2" s="227"/>
      <c r="AC2" s="227"/>
      <c r="AD2" s="227"/>
      <c r="AE2" s="227"/>
      <c r="AF2" s="227"/>
    </row>
    <row r="3" spans="1:32"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row>
    <row r="4" spans="1:32"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row>
    <row r="5" spans="1:32" x14ac:dyDescent="0.25">
      <c r="A5" s="262"/>
      <c r="B5" s="1589" t="s">
        <v>4395</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2" x14ac:dyDescent="0.25">
      <c r="A6" s="529"/>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row>
    <row r="8" spans="1:32" x14ac:dyDescent="0.25">
      <c r="A8" s="227"/>
      <c r="B8" s="227"/>
      <c r="C8" s="227"/>
      <c r="D8" s="227"/>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row>
    <row r="9" spans="1:32" x14ac:dyDescent="0.25">
      <c r="A9" s="227"/>
      <c r="B9" s="414" t="s">
        <v>10</v>
      </c>
      <c r="C9" s="414"/>
      <c r="D9" s="414"/>
      <c r="E9" s="414"/>
      <c r="F9" s="414"/>
      <c r="G9" s="414"/>
      <c r="H9" s="414"/>
      <c r="I9" s="414"/>
      <c r="J9" s="262"/>
      <c r="K9" s="262"/>
      <c r="L9" s="262"/>
      <c r="M9" s="262"/>
      <c r="N9" s="262"/>
      <c r="O9" s="262"/>
      <c r="P9" s="262"/>
      <c r="Q9" s="262"/>
      <c r="R9" s="262"/>
      <c r="S9" s="262"/>
      <c r="T9" s="262"/>
      <c r="U9" s="262"/>
      <c r="V9" s="262"/>
      <c r="W9" s="262"/>
      <c r="X9" s="262"/>
      <c r="Y9" s="262"/>
      <c r="Z9" s="262"/>
      <c r="AA9" s="262"/>
      <c r="AB9" s="262"/>
      <c r="AC9" s="262"/>
      <c r="AD9" s="227"/>
      <c r="AE9" s="227"/>
      <c r="AF9" s="227"/>
    </row>
    <row r="10" spans="1:32" ht="60.95" customHeight="1" x14ac:dyDescent="0.25">
      <c r="A10" s="227"/>
      <c r="B10" s="1173" t="s">
        <v>4509</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row>
    <row r="11" spans="1:32" x14ac:dyDescent="0.25">
      <c r="A11" s="227"/>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row>
    <row r="12" spans="1:32" x14ac:dyDescent="0.25">
      <c r="A12" s="227"/>
      <c r="B12" s="414" t="s">
        <v>11</v>
      </c>
      <c r="C12" s="414"/>
      <c r="D12" s="414"/>
      <c r="E12" s="414"/>
      <c r="F12" s="414"/>
      <c r="G12" s="414"/>
      <c r="H12" s="414"/>
      <c r="I12" s="414"/>
      <c r="J12" s="262"/>
      <c r="K12" s="262"/>
      <c r="L12" s="262"/>
      <c r="M12" s="262"/>
      <c r="N12" s="262"/>
      <c r="O12" s="262"/>
      <c r="P12" s="262"/>
      <c r="Q12" s="262"/>
      <c r="R12" s="262"/>
      <c r="S12" s="262"/>
      <c r="T12" s="262"/>
      <c r="U12" s="262"/>
      <c r="V12" s="262"/>
      <c r="W12" s="262"/>
      <c r="X12" s="262"/>
      <c r="Y12" s="262"/>
      <c r="Z12" s="262"/>
      <c r="AA12" s="262"/>
      <c r="AB12" s="262"/>
      <c r="AC12" s="262"/>
      <c r="AD12" s="227"/>
      <c r="AE12" s="227"/>
      <c r="AF12" s="227"/>
    </row>
    <row r="13" spans="1:32" ht="29.45" customHeight="1" x14ac:dyDescent="0.25">
      <c r="A13" s="227"/>
      <c r="B13" s="733" t="s">
        <v>1453</v>
      </c>
      <c r="C13" s="1173" t="s">
        <v>4510</v>
      </c>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row>
    <row r="14" spans="1:32" x14ac:dyDescent="0.25">
      <c r="A14" s="227"/>
      <c r="B14" s="733" t="s">
        <v>1454</v>
      </c>
      <c r="C14" s="1173" t="s">
        <v>4511</v>
      </c>
      <c r="D14" s="1173"/>
      <c r="E14" s="1173"/>
      <c r="F14" s="1173"/>
      <c r="G14" s="1173"/>
      <c r="H14" s="1173"/>
      <c r="I14" s="1173"/>
      <c r="J14" s="1173"/>
      <c r="K14" s="1173"/>
      <c r="L14" s="1173"/>
      <c r="M14" s="1173"/>
      <c r="N14" s="1173"/>
      <c r="O14" s="1173"/>
      <c r="P14" s="1173"/>
      <c r="Q14" s="1173"/>
      <c r="R14" s="1173"/>
      <c r="S14" s="1173"/>
      <c r="T14" s="1173"/>
      <c r="U14" s="1173"/>
      <c r="V14" s="1173"/>
      <c r="W14" s="1173"/>
      <c r="X14" s="1173"/>
      <c r="Y14" s="1173"/>
      <c r="Z14" s="1173"/>
      <c r="AA14" s="1173"/>
      <c r="AB14" s="1173"/>
      <c r="AC14" s="1173"/>
      <c r="AD14" s="1173"/>
      <c r="AE14" s="1173"/>
      <c r="AF14" s="1173"/>
    </row>
    <row r="15" spans="1:32" x14ac:dyDescent="0.25">
      <c r="A15" s="227"/>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row>
    <row r="16" spans="1:32" x14ac:dyDescent="0.25">
      <c r="A16" s="227"/>
      <c r="B16" s="414" t="s">
        <v>12</v>
      </c>
      <c r="C16" s="414"/>
      <c r="D16" s="414"/>
      <c r="E16" s="414"/>
      <c r="F16" s="414"/>
      <c r="G16" s="414"/>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row>
    <row r="17" spans="1:32" x14ac:dyDescent="0.25">
      <c r="A17" s="227"/>
      <c r="B17" s="262" t="s">
        <v>4512</v>
      </c>
      <c r="C17" s="262"/>
      <c r="D17" s="262"/>
      <c r="E17" s="262"/>
      <c r="F17" s="262"/>
      <c r="G17" s="262"/>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row>
    <row r="18" spans="1:32"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row>
    <row r="19" spans="1:32" x14ac:dyDescent="0.25">
      <c r="A19" s="227"/>
      <c r="B19" s="414" t="s">
        <v>13</v>
      </c>
      <c r="C19" s="414"/>
      <c r="D19" s="414"/>
      <c r="E19" s="414"/>
      <c r="F19" s="414"/>
      <c r="G19" s="414"/>
      <c r="H19" s="414"/>
      <c r="I19" s="414"/>
      <c r="J19" s="262"/>
      <c r="K19" s="262"/>
      <c r="L19" s="262"/>
      <c r="M19" s="262"/>
      <c r="N19" s="227"/>
      <c r="O19" s="227"/>
      <c r="P19" s="227"/>
      <c r="Q19" s="227"/>
      <c r="R19" s="227"/>
      <c r="S19" s="227"/>
      <c r="T19" s="227"/>
      <c r="U19" s="227"/>
      <c r="V19" s="227"/>
      <c r="W19" s="227"/>
      <c r="X19" s="227"/>
      <c r="Y19" s="227"/>
      <c r="Z19" s="227"/>
      <c r="AA19" s="227"/>
      <c r="AB19" s="227"/>
      <c r="AC19" s="227"/>
      <c r="AD19" s="227"/>
      <c r="AE19" s="227"/>
      <c r="AF19" s="227"/>
    </row>
    <row r="20" spans="1:32" x14ac:dyDescent="0.25">
      <c r="A20" s="227"/>
      <c r="B20" s="262" t="s">
        <v>4513</v>
      </c>
      <c r="C20" s="262"/>
      <c r="D20" s="262"/>
      <c r="E20" s="262"/>
      <c r="F20" s="262"/>
      <c r="G20" s="262"/>
      <c r="H20" s="262"/>
      <c r="I20" s="262"/>
      <c r="J20" s="262"/>
      <c r="K20" s="262"/>
      <c r="L20" s="262"/>
      <c r="M20" s="262"/>
      <c r="N20" s="227"/>
      <c r="O20" s="227"/>
      <c r="P20" s="227"/>
      <c r="Q20" s="227"/>
      <c r="R20" s="227"/>
      <c r="S20" s="227"/>
      <c r="T20" s="227"/>
      <c r="U20" s="227"/>
      <c r="V20" s="227"/>
      <c r="W20" s="227"/>
      <c r="X20" s="227"/>
      <c r="Y20" s="227"/>
      <c r="Z20" s="227"/>
      <c r="AA20" s="227"/>
      <c r="AB20" s="227"/>
      <c r="AC20" s="227"/>
      <c r="AD20" s="227"/>
      <c r="AE20" s="227"/>
      <c r="AF20" s="227"/>
    </row>
    <row r="21" spans="1:32" x14ac:dyDescent="0.25">
      <c r="A21" s="227"/>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row>
    <row r="22" spans="1:32" x14ac:dyDescent="0.25">
      <c r="A22" s="227"/>
      <c r="B22" s="414" t="s">
        <v>20</v>
      </c>
      <c r="C22" s="414"/>
      <c r="D22" s="414"/>
      <c r="E22" s="414"/>
      <c r="F22" s="414"/>
      <c r="G22" s="414"/>
      <c r="H22" s="414"/>
      <c r="I22" s="414"/>
      <c r="J22" s="262"/>
      <c r="K22" s="262"/>
      <c r="L22" s="262"/>
      <c r="M22" s="262"/>
      <c r="N22" s="262"/>
      <c r="O22" s="227"/>
      <c r="P22" s="227"/>
      <c r="Q22" s="227"/>
      <c r="R22" s="227"/>
      <c r="S22" s="227"/>
      <c r="T22" s="227"/>
      <c r="U22" s="227"/>
      <c r="V22" s="227"/>
      <c r="W22" s="227"/>
      <c r="X22" s="227"/>
      <c r="Y22" s="227"/>
      <c r="Z22" s="227"/>
      <c r="AA22" s="227"/>
      <c r="AB22" s="227"/>
      <c r="AC22" s="227"/>
      <c r="AD22" s="227"/>
      <c r="AE22" s="227"/>
      <c r="AF22" s="227"/>
    </row>
    <row r="23" spans="1:32" x14ac:dyDescent="0.25">
      <c r="A23" s="227"/>
      <c r="B23" s="262" t="s">
        <v>4514</v>
      </c>
      <c r="C23" s="262"/>
      <c r="D23" s="262"/>
      <c r="E23" s="262"/>
      <c r="F23" s="262"/>
      <c r="G23" s="262"/>
      <c r="H23" s="262"/>
      <c r="I23" s="262"/>
      <c r="J23" s="262"/>
      <c r="K23" s="262"/>
      <c r="L23" s="262"/>
      <c r="M23" s="262"/>
      <c r="N23" s="262"/>
      <c r="O23" s="227"/>
      <c r="P23" s="227"/>
      <c r="Q23" s="227"/>
      <c r="R23" s="227"/>
      <c r="S23" s="227"/>
      <c r="T23" s="227"/>
      <c r="U23" s="227"/>
      <c r="V23" s="227"/>
      <c r="W23" s="227"/>
      <c r="X23" s="227"/>
      <c r="Y23" s="227"/>
      <c r="Z23" s="227"/>
      <c r="AA23" s="227"/>
      <c r="AB23" s="227"/>
      <c r="AC23" s="227"/>
      <c r="AD23" s="227"/>
      <c r="AE23" s="227"/>
      <c r="AF23" s="227"/>
    </row>
    <row r="24" spans="1:32" x14ac:dyDescent="0.25">
      <c r="A24" s="227"/>
      <c r="B24" s="227"/>
      <c r="C24" s="227"/>
      <c r="D24" s="227"/>
      <c r="E24" s="227"/>
      <c r="F24" s="227"/>
      <c r="G24" s="227"/>
      <c r="H24" s="227"/>
      <c r="I24" s="227"/>
      <c r="J24" s="227"/>
      <c r="K24" s="227"/>
      <c r="L24" s="227"/>
      <c r="M24" s="227"/>
      <c r="N24" s="227"/>
      <c r="O24" s="227"/>
      <c r="P24" s="227"/>
      <c r="Q24" s="227"/>
      <c r="R24" s="227"/>
      <c r="S24" s="227"/>
      <c r="T24" s="227"/>
      <c r="U24" s="227"/>
      <c r="V24" s="227"/>
      <c r="W24" s="227"/>
      <c r="X24" s="227"/>
      <c r="Y24" s="227"/>
      <c r="Z24" s="227"/>
      <c r="AA24" s="227"/>
      <c r="AB24" s="227"/>
      <c r="AC24" s="227"/>
      <c r="AD24" s="227"/>
      <c r="AE24" s="227"/>
      <c r="AF24" s="227"/>
    </row>
    <row r="25" spans="1:32" x14ac:dyDescent="0.25">
      <c r="A25" s="1621" t="s">
        <v>14</v>
      </c>
      <c r="B25" s="1621"/>
      <c r="C25" s="1621"/>
      <c r="D25" s="1621"/>
      <c r="E25" s="1621"/>
      <c r="F25" s="1621"/>
      <c r="G25" s="1621"/>
      <c r="H25" s="1621"/>
      <c r="I25" s="1621"/>
      <c r="J25" s="1621"/>
      <c r="K25" s="1621"/>
      <c r="L25" s="1621"/>
      <c r="M25" s="1621"/>
      <c r="N25" s="1621"/>
      <c r="O25" s="1621"/>
      <c r="P25" s="1621"/>
      <c r="Q25" s="1621"/>
      <c r="R25" s="1621"/>
      <c r="S25" s="1621"/>
      <c r="T25" s="1621"/>
      <c r="U25" s="1621"/>
      <c r="V25" s="1621"/>
      <c r="W25" s="1621"/>
      <c r="X25" s="1621"/>
      <c r="Y25" s="1621"/>
      <c r="Z25" s="1621"/>
      <c r="AA25" s="1621"/>
      <c r="AB25" s="1621"/>
      <c r="AC25" s="1621"/>
      <c r="AD25" s="1621"/>
      <c r="AE25" s="1621"/>
      <c r="AF25" s="1621"/>
    </row>
    <row r="26" spans="1:32" x14ac:dyDescent="0.25">
      <c r="A26" s="227"/>
      <c r="B26" s="227"/>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c r="AA26" s="227"/>
      <c r="AB26" s="227"/>
      <c r="AC26" s="227"/>
      <c r="AD26" s="227"/>
      <c r="AE26" s="227"/>
      <c r="AF26" s="227"/>
    </row>
    <row r="27" spans="1:32" x14ac:dyDescent="0.25">
      <c r="A27" s="338"/>
      <c r="B27" s="519" t="s">
        <v>2303</v>
      </c>
      <c r="C27" s="338"/>
      <c r="D27" s="338"/>
      <c r="E27" s="338"/>
      <c r="F27" s="338"/>
      <c r="G27" s="338"/>
      <c r="H27" s="338"/>
      <c r="I27" s="338"/>
      <c r="J27" s="338"/>
      <c r="K27" s="419"/>
      <c r="L27" s="262"/>
      <c r="M27" s="262"/>
      <c r="N27" s="262"/>
      <c r="O27" s="262"/>
      <c r="P27" s="262"/>
      <c r="Q27" s="262"/>
      <c r="R27" s="262"/>
      <c r="S27" s="262"/>
      <c r="T27" s="262"/>
      <c r="U27" s="262"/>
      <c r="V27" s="262"/>
      <c r="W27" s="262"/>
      <c r="X27" s="262"/>
      <c r="Y27" s="262"/>
      <c r="Z27" s="262"/>
      <c r="AA27" s="262"/>
      <c r="AB27" s="262"/>
      <c r="AC27" s="262"/>
      <c r="AD27" s="227"/>
      <c r="AE27" s="227"/>
      <c r="AF27" s="227"/>
    </row>
    <row r="28" spans="1:32" x14ac:dyDescent="0.25">
      <c r="A28" s="338"/>
      <c r="B28" s="519"/>
      <c r="C28" s="338"/>
      <c r="D28" s="338"/>
      <c r="E28" s="338"/>
      <c r="F28" s="338"/>
      <c r="G28" s="338"/>
      <c r="H28" s="338"/>
      <c r="I28" s="338"/>
      <c r="J28" s="338"/>
      <c r="K28" s="419"/>
      <c r="L28" s="262"/>
      <c r="M28" s="262"/>
      <c r="N28" s="262"/>
      <c r="O28" s="262"/>
      <c r="P28" s="262"/>
      <c r="Q28" s="262"/>
      <c r="R28" s="262"/>
      <c r="S28" s="262"/>
      <c r="T28" s="262"/>
      <c r="U28" s="262"/>
      <c r="V28" s="262"/>
      <c r="W28" s="262"/>
      <c r="X28" s="262"/>
      <c r="Y28" s="262"/>
      <c r="Z28" s="262"/>
      <c r="AA28" s="262"/>
      <c r="AB28" s="262"/>
      <c r="AC28" s="262"/>
      <c r="AD28" s="227"/>
      <c r="AE28" s="227"/>
      <c r="AF28" s="227"/>
    </row>
    <row r="29" spans="1:32" x14ac:dyDescent="0.25">
      <c r="A29" s="338"/>
      <c r="B29" s="338"/>
      <c r="C29" s="338"/>
      <c r="D29" s="338"/>
      <c r="E29" s="338"/>
      <c r="F29" s="338"/>
      <c r="G29" s="338"/>
      <c r="H29" s="338"/>
      <c r="I29" s="338"/>
      <c r="J29" s="338"/>
      <c r="K29" s="535"/>
      <c r="L29" s="227"/>
      <c r="M29" s="227"/>
      <c r="N29" s="227"/>
      <c r="O29" s="227"/>
      <c r="P29" s="227"/>
      <c r="Q29" s="227"/>
      <c r="R29" s="227"/>
      <c r="S29" s="227"/>
      <c r="T29" s="227"/>
      <c r="U29" s="227"/>
      <c r="V29" s="227"/>
      <c r="W29" s="227"/>
      <c r="X29" s="227"/>
      <c r="Y29" s="227"/>
      <c r="Z29" s="227"/>
      <c r="AA29" s="227"/>
      <c r="AB29" s="227"/>
      <c r="AC29" s="227"/>
      <c r="AD29" s="227"/>
      <c r="AE29" s="227"/>
      <c r="AF29" s="535" t="s">
        <v>1705</v>
      </c>
    </row>
    <row r="30" spans="1:32" x14ac:dyDescent="0.25">
      <c r="A30" s="338"/>
      <c r="B30" s="338"/>
      <c r="C30" s="338"/>
      <c r="D30" s="338"/>
      <c r="E30" s="338"/>
      <c r="F30" s="338"/>
      <c r="G30" s="338"/>
      <c r="H30" s="338"/>
      <c r="I30" s="338"/>
      <c r="J30" s="338"/>
      <c r="K30" s="535"/>
      <c r="L30" s="227"/>
      <c r="M30" s="227"/>
      <c r="N30" s="227"/>
      <c r="O30" s="227"/>
      <c r="P30" s="227"/>
      <c r="Q30" s="227"/>
      <c r="R30" s="227"/>
      <c r="S30" s="227"/>
      <c r="T30" s="227"/>
      <c r="U30" s="227"/>
      <c r="V30" s="227"/>
      <c r="W30" s="227"/>
      <c r="X30" s="227"/>
      <c r="Y30" s="227"/>
      <c r="Z30" s="227"/>
      <c r="AA30" s="227"/>
      <c r="AB30" s="227"/>
      <c r="AC30" s="227"/>
      <c r="AD30" s="227"/>
      <c r="AE30" s="227"/>
      <c r="AF30" s="227"/>
    </row>
    <row r="31" spans="1:32" x14ac:dyDescent="0.25">
      <c r="A31" s="338"/>
      <c r="B31" s="414" t="s">
        <v>2194</v>
      </c>
      <c r="C31" s="338"/>
      <c r="D31" s="338"/>
      <c r="E31" s="338"/>
      <c r="F31" s="338"/>
      <c r="G31" s="338"/>
      <c r="H31" s="338"/>
      <c r="I31" s="338"/>
      <c r="J31" s="338"/>
      <c r="K31" s="535"/>
      <c r="L31" s="227"/>
      <c r="M31" s="227"/>
      <c r="N31" s="227"/>
      <c r="O31" s="227"/>
      <c r="P31" s="227"/>
      <c r="Q31" s="227"/>
      <c r="R31" s="227"/>
      <c r="S31" s="227"/>
      <c r="T31" s="227"/>
      <c r="U31" s="227"/>
      <c r="V31" s="227"/>
      <c r="W31" s="227"/>
      <c r="X31" s="227"/>
      <c r="Y31" s="227"/>
      <c r="Z31" s="227"/>
      <c r="AA31" s="227"/>
      <c r="AB31" s="227"/>
      <c r="AC31" s="227"/>
      <c r="AD31" s="227"/>
      <c r="AE31" s="227"/>
      <c r="AF31" s="227"/>
    </row>
    <row r="32" spans="1:32" x14ac:dyDescent="0.25">
      <c r="A32" s="338"/>
      <c r="B32" s="338"/>
      <c r="C32" s="338"/>
      <c r="D32" s="338"/>
      <c r="E32" s="338"/>
      <c r="F32" s="338"/>
      <c r="G32" s="338"/>
      <c r="H32" s="338"/>
      <c r="I32" s="338"/>
      <c r="J32" s="338"/>
      <c r="K32" s="535"/>
      <c r="L32" s="227"/>
      <c r="M32" s="227"/>
      <c r="N32" s="227"/>
      <c r="O32" s="227"/>
      <c r="P32" s="227"/>
      <c r="Q32" s="227"/>
      <c r="R32" s="227"/>
      <c r="S32" s="227"/>
      <c r="T32" s="227"/>
      <c r="U32" s="227"/>
      <c r="V32" s="227"/>
      <c r="W32" s="227"/>
      <c r="X32" s="227"/>
      <c r="Y32" s="227"/>
      <c r="Z32" s="227"/>
      <c r="AA32" s="227"/>
      <c r="AB32" s="227"/>
      <c r="AC32" s="227"/>
      <c r="AD32" s="227"/>
      <c r="AE32" s="227"/>
      <c r="AF32" s="227"/>
    </row>
    <row r="33" spans="1:32" x14ac:dyDescent="0.25">
      <c r="A33" s="338"/>
      <c r="B33" s="338"/>
      <c r="C33" s="338"/>
      <c r="D33" s="338"/>
      <c r="E33" s="338"/>
      <c r="F33" s="338"/>
      <c r="G33" s="338"/>
      <c r="H33" s="338"/>
      <c r="I33" s="338"/>
      <c r="J33" s="338"/>
      <c r="K33" s="535"/>
      <c r="L33" s="227"/>
      <c r="M33" s="227"/>
      <c r="N33" s="227"/>
      <c r="O33" s="227"/>
      <c r="P33" s="227"/>
      <c r="Q33" s="227"/>
      <c r="R33" s="227"/>
      <c r="S33" s="227"/>
      <c r="T33" s="227"/>
      <c r="U33" s="227"/>
      <c r="V33" s="227"/>
      <c r="W33" s="227"/>
      <c r="X33" s="227"/>
      <c r="Y33" s="227"/>
      <c r="Z33" s="227"/>
      <c r="AA33" s="227"/>
      <c r="AB33" s="227"/>
      <c r="AC33" s="227"/>
      <c r="AD33" s="227"/>
      <c r="AE33" s="227"/>
      <c r="AF33" s="535" t="s">
        <v>1706</v>
      </c>
    </row>
    <row r="34" spans="1:32" x14ac:dyDescent="0.25">
      <c r="A34" s="338"/>
      <c r="B34" s="338"/>
      <c r="C34" s="338"/>
      <c r="D34" s="338"/>
      <c r="E34" s="338"/>
      <c r="F34" s="338"/>
      <c r="G34" s="338"/>
      <c r="H34" s="338"/>
      <c r="I34" s="338"/>
      <c r="J34" s="338"/>
      <c r="K34" s="535"/>
      <c r="L34" s="227"/>
      <c r="M34" s="227"/>
      <c r="N34" s="227"/>
      <c r="O34" s="227"/>
      <c r="P34" s="227"/>
      <c r="Q34" s="227"/>
      <c r="R34" s="227"/>
      <c r="S34" s="227"/>
      <c r="T34" s="227"/>
      <c r="U34" s="227"/>
      <c r="V34" s="227"/>
      <c r="W34" s="227"/>
      <c r="X34" s="227"/>
      <c r="Y34" s="227"/>
      <c r="Z34" s="227"/>
      <c r="AA34" s="227"/>
      <c r="AB34" s="227"/>
      <c r="AC34" s="227"/>
      <c r="AD34" s="227"/>
      <c r="AE34" s="227"/>
      <c r="AF34" s="227"/>
    </row>
    <row r="35" spans="1:32" x14ac:dyDescent="0.25">
      <c r="A35" s="338"/>
      <c r="B35" s="414" t="s">
        <v>1998</v>
      </c>
      <c r="C35" s="338"/>
      <c r="D35" s="338"/>
      <c r="E35" s="338"/>
      <c r="F35" s="338"/>
      <c r="G35" s="338"/>
      <c r="H35" s="338"/>
      <c r="I35" s="338"/>
      <c r="J35" s="338"/>
      <c r="K35" s="535"/>
      <c r="L35" s="227"/>
      <c r="M35" s="227"/>
      <c r="N35" s="227"/>
      <c r="O35" s="227"/>
      <c r="P35" s="227"/>
      <c r="Q35" s="227"/>
      <c r="R35" s="227"/>
      <c r="S35" s="227"/>
      <c r="T35" s="227"/>
      <c r="U35" s="227"/>
      <c r="V35" s="227"/>
      <c r="W35" s="227"/>
      <c r="X35" s="227"/>
      <c r="Y35" s="227"/>
      <c r="Z35" s="227"/>
      <c r="AA35" s="227"/>
      <c r="AB35" s="227"/>
      <c r="AC35" s="227"/>
      <c r="AD35" s="227"/>
      <c r="AE35" s="227"/>
      <c r="AF35" s="227"/>
    </row>
    <row r="36" spans="1:32" x14ac:dyDescent="0.25">
      <c r="A36" s="338"/>
      <c r="B36" s="414"/>
      <c r="C36" s="338"/>
      <c r="D36" s="338"/>
      <c r="E36" s="338"/>
      <c r="F36" s="338"/>
      <c r="G36" s="338"/>
      <c r="H36" s="338"/>
      <c r="I36" s="338"/>
      <c r="J36" s="338"/>
      <c r="K36" s="535"/>
      <c r="L36" s="227"/>
      <c r="M36" s="227"/>
      <c r="N36" s="227"/>
      <c r="O36" s="227"/>
      <c r="P36" s="227"/>
      <c r="Q36" s="227"/>
      <c r="R36" s="227"/>
      <c r="S36" s="227"/>
      <c r="T36" s="227"/>
      <c r="U36" s="227"/>
      <c r="V36" s="227"/>
      <c r="W36" s="227"/>
      <c r="X36" s="227"/>
      <c r="Y36" s="227"/>
      <c r="Z36" s="227"/>
      <c r="AA36" s="227"/>
      <c r="AB36" s="227"/>
      <c r="AC36" s="227"/>
      <c r="AD36" s="227"/>
      <c r="AE36" s="227"/>
      <c r="AF36" s="227"/>
    </row>
    <row r="37" spans="1:32" x14ac:dyDescent="0.25">
      <c r="A37" s="227"/>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535" t="s">
        <v>1707</v>
      </c>
    </row>
    <row r="38" spans="1:32" x14ac:dyDescent="0.25">
      <c r="A38" s="227"/>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535"/>
    </row>
    <row r="39" spans="1:32" x14ac:dyDescent="0.25">
      <c r="A39" s="1621" t="s">
        <v>15</v>
      </c>
      <c r="B39" s="1621"/>
      <c r="C39" s="1621"/>
      <c r="D39" s="1621"/>
      <c r="E39" s="1621"/>
      <c r="F39" s="1621"/>
      <c r="G39" s="1621"/>
      <c r="H39" s="1621"/>
      <c r="I39" s="1621"/>
      <c r="J39" s="1621"/>
      <c r="K39" s="1621"/>
      <c r="L39" s="1621"/>
      <c r="M39" s="1621"/>
      <c r="N39" s="1621"/>
      <c r="O39" s="1621"/>
      <c r="P39" s="1621"/>
      <c r="Q39" s="1621"/>
      <c r="R39" s="1621"/>
      <c r="S39" s="1621"/>
      <c r="T39" s="1621"/>
      <c r="U39" s="1621"/>
      <c r="V39" s="1621"/>
      <c r="W39" s="1621"/>
      <c r="X39" s="1621"/>
      <c r="Y39" s="1621"/>
      <c r="Z39" s="1621"/>
      <c r="AA39" s="1621"/>
      <c r="AB39" s="1621"/>
      <c r="AC39" s="1621"/>
      <c r="AD39" s="1621"/>
      <c r="AE39" s="1621"/>
      <c r="AF39" s="1621"/>
    </row>
    <row r="40" spans="1:32" x14ac:dyDescent="0.25">
      <c r="A40" s="3000" t="s">
        <v>16</v>
      </c>
      <c r="B40" s="3000"/>
      <c r="C40" s="3000"/>
      <c r="D40" s="3000"/>
      <c r="E40" s="3000"/>
      <c r="F40" s="3001" t="s">
        <v>10</v>
      </c>
      <c r="G40" s="3002"/>
      <c r="H40" s="3002"/>
      <c r="I40" s="3002"/>
      <c r="J40" s="3002"/>
      <c r="K40" s="3002"/>
      <c r="L40" s="3002"/>
      <c r="M40" s="3002"/>
      <c r="N40" s="3003"/>
      <c r="O40" s="3004" t="s">
        <v>17</v>
      </c>
      <c r="P40" s="3004"/>
      <c r="Q40" s="3004"/>
      <c r="R40" s="3004"/>
      <c r="S40" s="3004" t="s">
        <v>18</v>
      </c>
      <c r="T40" s="3004"/>
      <c r="U40" s="3004"/>
      <c r="V40" s="3004"/>
      <c r="W40" s="3005" t="s">
        <v>1708</v>
      </c>
      <c r="X40" s="3005"/>
      <c r="Y40" s="3005"/>
      <c r="Z40" s="3005"/>
      <c r="AA40" s="3005"/>
      <c r="AB40" s="3005"/>
      <c r="AC40" s="3005"/>
      <c r="AD40" s="3005"/>
      <c r="AE40" s="3005"/>
      <c r="AF40" s="3005"/>
    </row>
    <row r="41" spans="1:32" ht="186.95" customHeight="1" x14ac:dyDescent="0.25">
      <c r="A41" s="1729" t="s">
        <v>4515</v>
      </c>
      <c r="B41" s="1729"/>
      <c r="C41" s="1729"/>
      <c r="D41" s="1729"/>
      <c r="E41" s="1729"/>
      <c r="F41" s="1538" t="s">
        <v>4516</v>
      </c>
      <c r="G41" s="1539"/>
      <c r="H41" s="1539"/>
      <c r="I41" s="1539"/>
      <c r="J41" s="1539"/>
      <c r="K41" s="1539"/>
      <c r="L41" s="1539"/>
      <c r="M41" s="1539"/>
      <c r="N41" s="1540"/>
      <c r="O41" s="1841" t="s">
        <v>626</v>
      </c>
      <c r="P41" s="1841"/>
      <c r="Q41" s="1841"/>
      <c r="R41" s="1841"/>
      <c r="S41" s="1841" t="s">
        <v>4517</v>
      </c>
      <c r="T41" s="1841"/>
      <c r="U41" s="1841"/>
      <c r="V41" s="1841"/>
      <c r="W41" s="2994" t="s">
        <v>4518</v>
      </c>
      <c r="X41" s="2995"/>
      <c r="Y41" s="2995"/>
      <c r="Z41" s="2995"/>
      <c r="AA41" s="2995"/>
      <c r="AB41" s="2995"/>
      <c r="AC41" s="2995"/>
      <c r="AD41" s="2995"/>
      <c r="AE41" s="2995"/>
      <c r="AF41" s="2996"/>
    </row>
    <row r="42" spans="1:32" ht="122.1" customHeight="1" x14ac:dyDescent="0.25">
      <c r="A42" s="1729" t="s">
        <v>2459</v>
      </c>
      <c r="B42" s="1729"/>
      <c r="C42" s="1729"/>
      <c r="D42" s="1729"/>
      <c r="E42" s="1729"/>
      <c r="F42" s="1538" t="s">
        <v>4519</v>
      </c>
      <c r="G42" s="1539"/>
      <c r="H42" s="1539"/>
      <c r="I42" s="1539"/>
      <c r="J42" s="1539"/>
      <c r="K42" s="1539"/>
      <c r="L42" s="1539"/>
      <c r="M42" s="1539"/>
      <c r="N42" s="1540"/>
      <c r="O42" s="1841" t="s">
        <v>626</v>
      </c>
      <c r="P42" s="1841"/>
      <c r="Q42" s="1841"/>
      <c r="R42" s="1841"/>
      <c r="S42" s="1841" t="s">
        <v>2825</v>
      </c>
      <c r="T42" s="1841"/>
      <c r="U42" s="1841"/>
      <c r="V42" s="1841"/>
      <c r="W42" s="2997"/>
      <c r="X42" s="2998"/>
      <c r="Y42" s="2998"/>
      <c r="Z42" s="2998"/>
      <c r="AA42" s="2998"/>
      <c r="AB42" s="2998"/>
      <c r="AC42" s="2998"/>
      <c r="AD42" s="2998"/>
      <c r="AE42" s="2998"/>
      <c r="AF42" s="2999"/>
    </row>
    <row r="43" spans="1:32" ht="30.95" customHeight="1" x14ac:dyDescent="0.25">
      <c r="A43" s="1729" t="s">
        <v>4408</v>
      </c>
      <c r="B43" s="1729"/>
      <c r="C43" s="1729"/>
      <c r="D43" s="1729"/>
      <c r="E43" s="1729"/>
      <c r="F43" s="1538" t="s">
        <v>4520</v>
      </c>
      <c r="G43" s="1539"/>
      <c r="H43" s="1539"/>
      <c r="I43" s="1539"/>
      <c r="J43" s="1539"/>
      <c r="K43" s="1539"/>
      <c r="L43" s="1539"/>
      <c r="M43" s="1539"/>
      <c r="N43" s="1540"/>
      <c r="O43" s="1841" t="s">
        <v>2439</v>
      </c>
      <c r="P43" s="1841"/>
      <c r="Q43" s="1841"/>
      <c r="R43" s="1841"/>
      <c r="S43" s="1841" t="s">
        <v>4408</v>
      </c>
      <c r="T43" s="1841"/>
      <c r="U43" s="1841"/>
      <c r="V43" s="1841"/>
      <c r="W43" s="1768" t="s">
        <v>4521</v>
      </c>
      <c r="X43" s="1768"/>
      <c r="Y43" s="1768"/>
      <c r="Z43" s="1768"/>
      <c r="AA43" s="1768"/>
      <c r="AB43" s="1768"/>
      <c r="AC43" s="1768"/>
      <c r="AD43" s="1768"/>
      <c r="AE43" s="1768"/>
      <c r="AF43" s="1768"/>
    </row>
    <row r="44" spans="1:32" ht="99" customHeight="1" x14ac:dyDescent="0.25">
      <c r="A44" s="1729"/>
      <c r="B44" s="1729"/>
      <c r="C44" s="1729"/>
      <c r="D44" s="1729"/>
      <c r="E44" s="1729"/>
      <c r="F44" s="1538" t="s">
        <v>4522</v>
      </c>
      <c r="G44" s="1539"/>
      <c r="H44" s="1539"/>
      <c r="I44" s="1539"/>
      <c r="J44" s="1539"/>
      <c r="K44" s="1539"/>
      <c r="L44" s="1539"/>
      <c r="M44" s="1539"/>
      <c r="N44" s="1540"/>
      <c r="O44" s="2992">
        <v>72.338499999999996</v>
      </c>
      <c r="P44" s="2992"/>
      <c r="Q44" s="2992"/>
      <c r="R44" s="2992"/>
      <c r="S44" s="1841" t="s">
        <v>166</v>
      </c>
      <c r="T44" s="1841"/>
      <c r="U44" s="1841"/>
      <c r="V44" s="1841"/>
      <c r="W44" s="2993" t="s">
        <v>4523</v>
      </c>
      <c r="X44" s="2993"/>
      <c r="Y44" s="2993"/>
      <c r="Z44" s="2993"/>
      <c r="AA44" s="2993"/>
      <c r="AB44" s="2993"/>
      <c r="AC44" s="2993"/>
      <c r="AD44" s="2993"/>
      <c r="AE44" s="2993"/>
      <c r="AF44" s="2993"/>
    </row>
    <row r="45" spans="1:32" ht="99.6" customHeight="1" x14ac:dyDescent="0.25">
      <c r="A45" s="1729"/>
      <c r="B45" s="1729"/>
      <c r="C45" s="1729"/>
      <c r="D45" s="1729"/>
      <c r="E45" s="1729"/>
      <c r="F45" s="1538" t="s">
        <v>4524</v>
      </c>
      <c r="G45" s="1539"/>
      <c r="H45" s="1539"/>
      <c r="I45" s="1539"/>
      <c r="J45" s="1539"/>
      <c r="K45" s="1539"/>
      <c r="L45" s="1539"/>
      <c r="M45" s="1539"/>
      <c r="N45" s="1540"/>
      <c r="O45" s="2992">
        <v>70.901290000000003</v>
      </c>
      <c r="P45" s="2992"/>
      <c r="Q45" s="2992"/>
      <c r="R45" s="2992"/>
      <c r="S45" s="1841" t="s">
        <v>166</v>
      </c>
      <c r="T45" s="1841"/>
      <c r="U45" s="1841"/>
      <c r="V45" s="1841"/>
      <c r="W45" s="2993" t="s">
        <v>4523</v>
      </c>
      <c r="X45" s="2993"/>
      <c r="Y45" s="2993"/>
      <c r="Z45" s="2993"/>
      <c r="AA45" s="2993"/>
      <c r="AB45" s="2993"/>
      <c r="AC45" s="2993"/>
      <c r="AD45" s="2993"/>
      <c r="AE45" s="2993"/>
      <c r="AF45" s="2993"/>
    </row>
    <row r="46" spans="1:32" ht="62.1" customHeight="1" x14ac:dyDescent="0.25">
      <c r="A46" s="1729"/>
      <c r="B46" s="1729"/>
      <c r="C46" s="1729"/>
      <c r="D46" s="1729"/>
      <c r="E46" s="1729"/>
      <c r="F46" s="1538" t="s">
        <v>4525</v>
      </c>
      <c r="G46" s="1539"/>
      <c r="H46" s="1539"/>
      <c r="I46" s="1539"/>
      <c r="J46" s="1539"/>
      <c r="K46" s="1539"/>
      <c r="L46" s="1539"/>
      <c r="M46" s="1539"/>
      <c r="N46" s="1540"/>
      <c r="O46" s="1864">
        <v>2938</v>
      </c>
      <c r="P46" s="1864"/>
      <c r="Q46" s="1864"/>
      <c r="R46" s="1864"/>
      <c r="S46" s="1841" t="s">
        <v>45</v>
      </c>
      <c r="T46" s="1841"/>
      <c r="U46" s="1841"/>
      <c r="V46" s="1841"/>
      <c r="W46" s="1768" t="s">
        <v>4526</v>
      </c>
      <c r="X46" s="1768"/>
      <c r="Y46" s="1768"/>
      <c r="Z46" s="1768"/>
      <c r="AA46" s="1768"/>
      <c r="AB46" s="1768"/>
      <c r="AC46" s="1768"/>
      <c r="AD46" s="1768"/>
      <c r="AE46" s="1768"/>
      <c r="AF46" s="1768"/>
    </row>
    <row r="47" spans="1:32" ht="29.45" customHeight="1" x14ac:dyDescent="0.25">
      <c r="A47" s="1729" t="s">
        <v>3935</v>
      </c>
      <c r="B47" s="1729"/>
      <c r="C47" s="1729"/>
      <c r="D47" s="1729"/>
      <c r="E47" s="1729"/>
      <c r="F47" s="1538" t="s">
        <v>2217</v>
      </c>
      <c r="G47" s="1539"/>
      <c r="H47" s="1539"/>
      <c r="I47" s="1539"/>
      <c r="J47" s="1539"/>
      <c r="K47" s="1539"/>
      <c r="L47" s="1539"/>
      <c r="M47" s="1539"/>
      <c r="N47" s="1540"/>
      <c r="O47" s="1841">
        <f>'Master EUL'!X95</f>
        <v>15</v>
      </c>
      <c r="P47" s="1841"/>
      <c r="Q47" s="1841"/>
      <c r="R47" s="1841"/>
      <c r="S47" s="1841" t="s">
        <v>46</v>
      </c>
      <c r="T47" s="1841"/>
      <c r="U47" s="1841"/>
      <c r="V47" s="1841"/>
      <c r="W47" s="1271" t="s">
        <v>2069</v>
      </c>
      <c r="X47" s="1271"/>
      <c r="Y47" s="1271"/>
      <c r="Z47" s="1271"/>
      <c r="AA47" s="1271"/>
      <c r="AB47" s="1271"/>
      <c r="AC47" s="1271"/>
      <c r="AD47" s="1271"/>
      <c r="AE47" s="1271"/>
      <c r="AF47" s="1271"/>
    </row>
    <row r="48" spans="1:32" ht="66.599999999999994" customHeight="1" x14ac:dyDescent="0.25">
      <c r="A48" s="1736" t="s">
        <v>4527</v>
      </c>
      <c r="B48" s="1736"/>
      <c r="C48" s="1736"/>
      <c r="D48" s="1736"/>
      <c r="E48" s="1736"/>
      <c r="F48" s="1736"/>
      <c r="G48" s="1736"/>
      <c r="H48" s="1736"/>
      <c r="I48" s="1736"/>
      <c r="J48" s="1736"/>
      <c r="K48" s="1736"/>
      <c r="L48" s="1736"/>
      <c r="M48" s="1736"/>
      <c r="N48" s="1736"/>
      <c r="O48" s="1736"/>
      <c r="P48" s="1736"/>
      <c r="Q48" s="1736"/>
      <c r="R48" s="1736"/>
      <c r="S48" s="1736"/>
      <c r="T48" s="1736"/>
      <c r="U48" s="1736"/>
      <c r="V48" s="1736"/>
      <c r="W48" s="1736"/>
      <c r="X48" s="1736"/>
      <c r="Y48" s="1736"/>
      <c r="Z48" s="1736"/>
      <c r="AA48" s="1736"/>
      <c r="AB48" s="1736"/>
      <c r="AC48" s="1736"/>
      <c r="AD48" s="1736"/>
      <c r="AE48" s="1736"/>
      <c r="AF48" s="1736"/>
    </row>
    <row r="49" spans="1:32" ht="29.1" customHeight="1" x14ac:dyDescent="0.25">
      <c r="A49" s="1290" t="s">
        <v>4528</v>
      </c>
      <c r="B49" s="1290"/>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row>
    <row r="50" spans="1:32" x14ac:dyDescent="0.25">
      <c r="A50" s="227"/>
      <c r="B50" s="227"/>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c r="AA50" s="227"/>
      <c r="AB50" s="227"/>
      <c r="AC50" s="227"/>
      <c r="AD50" s="227"/>
      <c r="AE50" s="227"/>
      <c r="AF50" s="227"/>
    </row>
    <row r="51" spans="1:32" x14ac:dyDescent="0.25">
      <c r="A51" s="423" t="s">
        <v>4529</v>
      </c>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row>
    <row r="52" spans="1:32" x14ac:dyDescent="0.25">
      <c r="A52" s="1735" t="s">
        <v>241</v>
      </c>
      <c r="B52" s="1735"/>
      <c r="C52" s="1735"/>
      <c r="D52" s="1735"/>
      <c r="E52" s="1735"/>
      <c r="F52" s="1735"/>
      <c r="G52" s="1735"/>
      <c r="H52" s="1735" t="s">
        <v>4530</v>
      </c>
      <c r="I52" s="1735"/>
      <c r="J52" s="1735"/>
      <c r="K52" s="1735"/>
      <c r="L52" s="1735"/>
      <c r="M52" s="1735"/>
      <c r="N52" s="1735"/>
      <c r="O52" s="1735"/>
      <c r="P52" s="1735" t="s">
        <v>4531</v>
      </c>
      <c r="Q52" s="1735"/>
      <c r="R52" s="1735"/>
      <c r="S52" s="1735"/>
      <c r="T52" s="1735"/>
      <c r="U52" s="1735"/>
      <c r="V52" s="1735"/>
      <c r="W52" s="1735"/>
      <c r="X52" s="227"/>
      <c r="Y52" s="227"/>
      <c r="Z52" s="227"/>
      <c r="AA52" s="227"/>
      <c r="AB52" s="227"/>
      <c r="AC52" s="227"/>
      <c r="AD52" s="227"/>
      <c r="AE52" s="227"/>
      <c r="AF52" s="227"/>
    </row>
    <row r="53" spans="1:32" x14ac:dyDescent="0.25">
      <c r="A53" s="1735"/>
      <c r="B53" s="1735"/>
      <c r="C53" s="1735"/>
      <c r="D53" s="1735"/>
      <c r="E53" s="1735"/>
      <c r="F53" s="1735"/>
      <c r="G53" s="1735"/>
      <c r="H53" s="1735" t="s">
        <v>4515</v>
      </c>
      <c r="I53" s="1735"/>
      <c r="J53" s="1735"/>
      <c r="K53" s="1735"/>
      <c r="L53" s="1735" t="s">
        <v>2459</v>
      </c>
      <c r="M53" s="1735"/>
      <c r="N53" s="1735"/>
      <c r="O53" s="1735"/>
      <c r="P53" s="1735" t="s">
        <v>4515</v>
      </c>
      <c r="Q53" s="1735"/>
      <c r="R53" s="1735"/>
      <c r="S53" s="1735"/>
      <c r="T53" s="1735" t="s">
        <v>2459</v>
      </c>
      <c r="U53" s="1735"/>
      <c r="V53" s="1735"/>
      <c r="W53" s="1735"/>
      <c r="X53" s="227"/>
      <c r="Y53" s="227"/>
      <c r="Z53" s="227"/>
      <c r="AA53" s="227"/>
      <c r="AB53" s="227"/>
      <c r="AC53" s="227"/>
      <c r="AD53" s="227"/>
      <c r="AE53" s="227"/>
      <c r="AF53" s="227"/>
    </row>
    <row r="54" spans="1:32" x14ac:dyDescent="0.25">
      <c r="A54" s="1735" t="s">
        <v>4532</v>
      </c>
      <c r="B54" s="1735"/>
      <c r="C54" s="1735"/>
      <c r="D54" s="1735"/>
      <c r="E54" s="1735"/>
      <c r="F54" s="1735"/>
      <c r="G54" s="1735"/>
      <c r="H54" s="2991">
        <v>-1.9628810140786884E-3</v>
      </c>
      <c r="I54" s="2991"/>
      <c r="J54" s="2991"/>
      <c r="K54" s="2991"/>
      <c r="L54" s="2991">
        <v>0.14721607605590165</v>
      </c>
      <c r="M54" s="2991"/>
      <c r="N54" s="2991"/>
      <c r="O54" s="2991"/>
      <c r="P54" s="2991">
        <v>-3.8653656892626478E-3</v>
      </c>
      <c r="Q54" s="2991"/>
      <c r="R54" s="2991"/>
      <c r="S54" s="2991"/>
      <c r="T54" s="2991">
        <v>0.28990242669469857</v>
      </c>
      <c r="U54" s="2991"/>
      <c r="V54" s="2991"/>
      <c r="W54" s="2991"/>
      <c r="X54" s="227"/>
      <c r="Y54" s="227"/>
      <c r="Z54" s="227"/>
      <c r="AA54" s="227"/>
      <c r="AB54" s="227"/>
      <c r="AC54" s="227"/>
      <c r="AD54" s="227"/>
      <c r="AE54" s="227"/>
      <c r="AF54" s="227"/>
    </row>
    <row r="55" spans="1:32" x14ac:dyDescent="0.25">
      <c r="A55" s="1735" t="s">
        <v>4533</v>
      </c>
      <c r="B55" s="1735"/>
      <c r="C55" s="1735"/>
      <c r="D55" s="1735"/>
      <c r="E55" s="1735"/>
      <c r="F55" s="1735"/>
      <c r="G55" s="1735"/>
      <c r="H55" s="2991">
        <v>-6.4624082617359899E-3</v>
      </c>
      <c r="I55" s="2991"/>
      <c r="J55" s="2991"/>
      <c r="K55" s="2991"/>
      <c r="L55" s="2991">
        <v>0.48468061963019926</v>
      </c>
      <c r="M55" s="2991"/>
      <c r="N55" s="2991"/>
      <c r="O55" s="2991"/>
      <c r="P55" s="2991">
        <v>-8.0780103271699873E-3</v>
      </c>
      <c r="Q55" s="2991"/>
      <c r="R55" s="2991"/>
      <c r="S55" s="2991"/>
      <c r="T55" s="2991">
        <v>0.60585077453774905</v>
      </c>
      <c r="U55" s="2991"/>
      <c r="V55" s="2991"/>
      <c r="W55" s="2991"/>
      <c r="X55" s="227"/>
      <c r="Y55" s="227"/>
      <c r="Z55" s="227"/>
      <c r="AA55" s="227"/>
      <c r="AB55" s="227"/>
      <c r="AC55" s="227"/>
      <c r="AD55" s="227"/>
      <c r="AE55" s="227"/>
      <c r="AF55" s="227"/>
    </row>
    <row r="56" spans="1:32" x14ac:dyDescent="0.25">
      <c r="A56" s="734"/>
      <c r="B56" s="734"/>
      <c r="C56" s="734"/>
      <c r="D56" s="734"/>
      <c r="E56" s="734"/>
      <c r="F56" s="734"/>
      <c r="G56" s="734"/>
      <c r="H56" s="735"/>
      <c r="I56" s="735"/>
      <c r="J56" s="735"/>
      <c r="K56" s="735"/>
      <c r="L56" s="735"/>
      <c r="M56" s="735"/>
      <c r="N56" s="735"/>
      <c r="O56" s="735"/>
      <c r="P56" s="735"/>
      <c r="Q56" s="735"/>
      <c r="R56" s="735"/>
      <c r="S56" s="735"/>
      <c r="T56" s="735"/>
      <c r="U56" s="735"/>
      <c r="V56" s="735"/>
      <c r="W56" s="735"/>
      <c r="X56" s="227"/>
      <c r="Y56" s="227"/>
      <c r="Z56" s="227"/>
      <c r="AA56" s="227"/>
      <c r="AB56" s="227"/>
      <c r="AC56" s="227"/>
      <c r="AD56" s="227"/>
      <c r="AE56" s="227"/>
      <c r="AF56" s="227"/>
    </row>
    <row r="57" spans="1:32" x14ac:dyDescent="0.25">
      <c r="A57" s="338" t="s">
        <v>4534</v>
      </c>
      <c r="B57" s="338"/>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27"/>
      <c r="AE57" s="227"/>
      <c r="AF57" s="227"/>
    </row>
    <row r="58" spans="1:32" x14ac:dyDescent="0.25">
      <c r="A58" s="1697" t="s">
        <v>241</v>
      </c>
      <c r="B58" s="1698"/>
      <c r="C58" s="1698"/>
      <c r="D58" s="1698"/>
      <c r="E58" s="1698"/>
      <c r="F58" s="1698"/>
      <c r="G58" s="1699"/>
      <c r="H58" s="1735" t="s">
        <v>4530</v>
      </c>
      <c r="I58" s="1735"/>
      <c r="J58" s="1735"/>
      <c r="K58" s="1735"/>
      <c r="L58" s="1735"/>
      <c r="M58" s="1735"/>
      <c r="N58" s="1735"/>
      <c r="O58" s="1735" t="s">
        <v>4531</v>
      </c>
      <c r="P58" s="1735"/>
      <c r="Q58" s="1735"/>
      <c r="R58" s="1735"/>
      <c r="S58" s="1735"/>
      <c r="T58" s="1735"/>
      <c r="U58" s="1735"/>
      <c r="V58" s="477"/>
      <c r="W58" s="477"/>
      <c r="X58" s="477"/>
      <c r="Y58" s="477"/>
      <c r="Z58" s="477"/>
      <c r="AA58" s="477"/>
      <c r="AB58" s="477"/>
      <c r="AC58" s="338"/>
      <c r="AD58" s="338"/>
      <c r="AE58" s="338"/>
      <c r="AF58" s="338"/>
    </row>
    <row r="59" spans="1:32" x14ac:dyDescent="0.25">
      <c r="A59" s="2986" t="s">
        <v>4532</v>
      </c>
      <c r="B59" s="2986"/>
      <c r="C59" s="2986"/>
      <c r="D59" s="2986"/>
      <c r="E59" s="2986"/>
      <c r="F59" s="2986"/>
      <c r="G59" s="2986"/>
      <c r="H59" s="2987">
        <v>0.375</v>
      </c>
      <c r="I59" s="2988"/>
      <c r="J59" s="2988"/>
      <c r="K59" s="2988"/>
      <c r="L59" s="2988"/>
      <c r="M59" s="2988"/>
      <c r="N59" s="2989"/>
      <c r="O59" s="2987">
        <v>0.125</v>
      </c>
      <c r="P59" s="2988"/>
      <c r="Q59" s="2988"/>
      <c r="R59" s="2988"/>
      <c r="S59" s="2988"/>
      <c r="T59" s="2988"/>
      <c r="U59" s="2989"/>
      <c r="V59" s="736"/>
      <c r="W59" s="736"/>
      <c r="X59" s="736"/>
      <c r="Y59" s="736"/>
      <c r="Z59" s="736"/>
      <c r="AA59" s="736"/>
      <c r="AB59" s="736"/>
      <c r="AC59" s="262"/>
      <c r="AD59" s="262"/>
      <c r="AE59" s="262"/>
      <c r="AF59" s="262"/>
    </row>
    <row r="60" spans="1:32" x14ac:dyDescent="0.25">
      <c r="A60" s="2986" t="s">
        <v>4533</v>
      </c>
      <c r="B60" s="2986"/>
      <c r="C60" s="2986"/>
      <c r="D60" s="2986"/>
      <c r="E60" s="2986"/>
      <c r="F60" s="2986"/>
      <c r="G60" s="2986"/>
      <c r="H60" s="2987">
        <v>0.375</v>
      </c>
      <c r="I60" s="2988"/>
      <c r="J60" s="2988"/>
      <c r="K60" s="2988"/>
      <c r="L60" s="2988"/>
      <c r="M60" s="2988"/>
      <c r="N60" s="2989"/>
      <c r="O60" s="2987">
        <v>0.125</v>
      </c>
      <c r="P60" s="2988"/>
      <c r="Q60" s="2988"/>
      <c r="R60" s="2988"/>
      <c r="S60" s="2988"/>
      <c r="T60" s="2988"/>
      <c r="U60" s="2989"/>
      <c r="V60" s="736"/>
      <c r="W60" s="736"/>
      <c r="X60" s="736"/>
      <c r="Y60" s="736"/>
      <c r="Z60" s="736"/>
      <c r="AA60" s="736"/>
      <c r="AB60" s="736"/>
      <c r="AC60" s="262"/>
      <c r="AD60" s="262"/>
      <c r="AE60" s="262"/>
      <c r="AF60" s="262"/>
    </row>
    <row r="61" spans="1:32" ht="29.1" customHeight="1" x14ac:dyDescent="0.25">
      <c r="A61" s="1290" t="s">
        <v>4535</v>
      </c>
      <c r="B61" s="1290"/>
      <c r="C61" s="1290"/>
      <c r="D61" s="1290"/>
      <c r="E61" s="1290"/>
      <c r="F61" s="1290"/>
      <c r="G61" s="1290"/>
      <c r="H61" s="1290"/>
      <c r="I61" s="1290"/>
      <c r="J61" s="1290"/>
      <c r="K61" s="1290"/>
      <c r="L61" s="1290"/>
      <c r="M61" s="1290"/>
      <c r="N61" s="1290"/>
      <c r="O61" s="1290"/>
      <c r="P61" s="1290"/>
      <c r="Q61" s="1290"/>
      <c r="R61" s="1290"/>
      <c r="S61" s="1290"/>
      <c r="T61" s="1290"/>
      <c r="U61" s="1290"/>
      <c r="V61" s="1290"/>
      <c r="W61" s="1290"/>
      <c r="X61" s="1290"/>
      <c r="Y61" s="1290"/>
      <c r="Z61" s="1290"/>
      <c r="AA61" s="1290"/>
      <c r="AB61" s="1290"/>
      <c r="AC61" s="1290"/>
      <c r="AD61" s="1290"/>
      <c r="AE61" s="1290"/>
      <c r="AF61" s="1290"/>
    </row>
    <row r="62" spans="1:32" x14ac:dyDescent="0.25">
      <c r="A62" s="654"/>
      <c r="B62" s="654"/>
      <c r="C62" s="654"/>
      <c r="D62" s="654"/>
      <c r="E62" s="654"/>
      <c r="F62" s="654"/>
      <c r="G62" s="654"/>
      <c r="H62" s="654"/>
      <c r="I62" s="654"/>
      <c r="J62" s="654"/>
      <c r="K62" s="654"/>
      <c r="L62" s="654"/>
      <c r="M62" s="654"/>
      <c r="N62" s="654"/>
      <c r="O62" s="654"/>
      <c r="P62" s="654"/>
      <c r="Q62" s="654"/>
      <c r="R62" s="654"/>
      <c r="S62" s="654"/>
      <c r="T62" s="654"/>
      <c r="U62" s="654"/>
      <c r="V62" s="654"/>
      <c r="W62" s="654"/>
      <c r="X62" s="654"/>
      <c r="Y62" s="654"/>
      <c r="Z62" s="654"/>
      <c r="AA62" s="654"/>
      <c r="AB62" s="654"/>
      <c r="AC62" s="654"/>
      <c r="AD62" s="654"/>
      <c r="AE62" s="654"/>
      <c r="AF62" s="654"/>
    </row>
    <row r="63" spans="1:32" x14ac:dyDescent="0.25">
      <c r="A63" s="190" t="s">
        <v>4536</v>
      </c>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227"/>
      <c r="AE63" s="227"/>
      <c r="AF63" s="227"/>
    </row>
    <row r="64" spans="1:32" ht="42.95" customHeight="1" x14ac:dyDescent="0.25">
      <c r="A64" s="1320" t="s">
        <v>241</v>
      </c>
      <c r="B64" s="1320"/>
      <c r="C64" s="1320"/>
      <c r="D64" s="1320"/>
      <c r="E64" s="1320"/>
      <c r="F64" s="1320"/>
      <c r="G64" s="1320"/>
      <c r="H64" s="1320"/>
      <c r="I64" s="1320"/>
      <c r="J64" s="1320"/>
      <c r="K64" s="1320"/>
      <c r="L64" s="1320"/>
      <c r="M64" s="1320"/>
      <c r="N64" s="2990" t="s">
        <v>23</v>
      </c>
      <c r="O64" s="2990"/>
      <c r="P64" s="2990"/>
      <c r="Q64" s="2990"/>
      <c r="R64" s="2990" t="s">
        <v>24</v>
      </c>
      <c r="S64" s="2990"/>
      <c r="T64" s="2990"/>
      <c r="U64" s="2990"/>
      <c r="V64" s="2990" t="s">
        <v>2012</v>
      </c>
      <c r="W64" s="2990"/>
      <c r="X64" s="2990"/>
      <c r="Y64" s="2990"/>
      <c r="Z64" s="1819" t="s">
        <v>4537</v>
      </c>
      <c r="AA64" s="1720"/>
      <c r="AB64" s="1720"/>
      <c r="AC64" s="2825"/>
      <c r="AD64" s="227"/>
      <c r="AE64" s="227"/>
      <c r="AF64" s="227"/>
    </row>
    <row r="65" spans="1:32" x14ac:dyDescent="0.25">
      <c r="A65" s="1320"/>
      <c r="B65" s="1320"/>
      <c r="C65" s="1320"/>
      <c r="D65" s="1320"/>
      <c r="E65" s="1320"/>
      <c r="F65" s="1320"/>
      <c r="G65" s="1320"/>
      <c r="H65" s="1320"/>
      <c r="I65" s="1320"/>
      <c r="J65" s="1320"/>
      <c r="K65" s="1320"/>
      <c r="L65" s="1320"/>
      <c r="M65" s="1320"/>
      <c r="N65" s="2985" t="s">
        <v>2825</v>
      </c>
      <c r="O65" s="2985"/>
      <c r="P65" s="2985"/>
      <c r="Q65" s="2985"/>
      <c r="R65" s="2985" t="s">
        <v>4538</v>
      </c>
      <c r="S65" s="2985"/>
      <c r="T65" s="2985"/>
      <c r="U65" s="2985"/>
      <c r="V65" s="2985" t="s">
        <v>4539</v>
      </c>
      <c r="W65" s="2985"/>
      <c r="X65" s="2985"/>
      <c r="Y65" s="2985"/>
      <c r="Z65" s="2826"/>
      <c r="AA65" s="2827"/>
      <c r="AB65" s="2827"/>
      <c r="AC65" s="2828"/>
      <c r="AD65" s="227"/>
      <c r="AE65" s="227"/>
      <c r="AF65" s="227"/>
    </row>
    <row r="66" spans="1:32" x14ac:dyDescent="0.25">
      <c r="A66" s="1271" t="s">
        <v>4540</v>
      </c>
      <c r="B66" s="1271"/>
      <c r="C66" s="1271"/>
      <c r="D66" s="1271"/>
      <c r="E66" s="1271"/>
      <c r="F66" s="1271"/>
      <c r="G66" s="1271"/>
      <c r="H66" s="1271"/>
      <c r="I66" s="1271"/>
      <c r="J66" s="1271"/>
      <c r="K66" s="1271"/>
      <c r="L66" s="1271"/>
      <c r="M66" s="1271"/>
      <c r="N66" s="2983">
        <f>H54*$O$44+L54</f>
        <v>5.2242078189704555E-3</v>
      </c>
      <c r="O66" s="2983"/>
      <c r="P66" s="2983"/>
      <c r="Q66" s="2983"/>
      <c r="R66" s="1815">
        <f>(H54*$O$45+L54)*$O$46</f>
        <v>23.637032761088097</v>
      </c>
      <c r="S66" s="1815"/>
      <c r="T66" s="1815"/>
      <c r="U66" s="1815"/>
      <c r="V66" s="1285">
        <f>R66*$O$47</f>
        <v>354.55549141632144</v>
      </c>
      <c r="W66" s="1285"/>
      <c r="X66" s="1285"/>
      <c r="Y66" s="1285"/>
      <c r="Z66" s="2984">
        <f>H59</f>
        <v>0.375</v>
      </c>
      <c r="AA66" s="2984"/>
      <c r="AB66" s="2984"/>
      <c r="AC66" s="2984"/>
      <c r="AD66" s="227"/>
      <c r="AE66" s="227"/>
      <c r="AF66" s="227"/>
    </row>
    <row r="67" spans="1:32" x14ac:dyDescent="0.25">
      <c r="A67" s="1271" t="s">
        <v>4541</v>
      </c>
      <c r="B67" s="1271"/>
      <c r="C67" s="1271"/>
      <c r="D67" s="1271"/>
      <c r="E67" s="1271"/>
      <c r="F67" s="1271"/>
      <c r="G67" s="1271"/>
      <c r="H67" s="1271"/>
      <c r="I67" s="1271"/>
      <c r="J67" s="1271"/>
      <c r="K67" s="1271"/>
      <c r="L67" s="1271"/>
      <c r="M67" s="1271"/>
      <c r="N67" s="2983">
        <f>H55*$O$44+L55</f>
        <v>1.7199699588610395E-2</v>
      </c>
      <c r="O67" s="2983"/>
      <c r="P67" s="2983"/>
      <c r="Q67" s="2983"/>
      <c r="R67" s="1815">
        <f>(H55*$O$45+L55)*$O$46</f>
        <v>77.820384782659261</v>
      </c>
      <c r="S67" s="1815"/>
      <c r="T67" s="1815"/>
      <c r="U67" s="1815"/>
      <c r="V67" s="1285">
        <f t="shared" ref="V67:V70" si="0">R67*$O$47</f>
        <v>1167.305771739889</v>
      </c>
      <c r="W67" s="1285"/>
      <c r="X67" s="1285"/>
      <c r="Y67" s="1285"/>
      <c r="Z67" s="2984">
        <f t="shared" ref="Z67" si="1">H60</f>
        <v>0.375</v>
      </c>
      <c r="AA67" s="2984"/>
      <c r="AB67" s="2984"/>
      <c r="AC67" s="2984"/>
      <c r="AD67" s="227"/>
      <c r="AE67" s="227"/>
      <c r="AF67" s="227"/>
    </row>
    <row r="68" spans="1:32" x14ac:dyDescent="0.25">
      <c r="A68" s="1271" t="s">
        <v>4542</v>
      </c>
      <c r="B68" s="1271"/>
      <c r="C68" s="1271"/>
      <c r="D68" s="1271"/>
      <c r="E68" s="1271"/>
      <c r="F68" s="1271"/>
      <c r="G68" s="1271"/>
      <c r="H68" s="1271"/>
      <c r="I68" s="1271"/>
      <c r="J68" s="1271"/>
      <c r="K68" s="1271"/>
      <c r="L68" s="1271"/>
      <c r="M68" s="1271"/>
      <c r="N68" s="2983">
        <f>P54*$O$44+T54</f>
        <v>1.0287670781972513E-2</v>
      </c>
      <c r="O68" s="2983"/>
      <c r="P68" s="2983"/>
      <c r="Q68" s="2983"/>
      <c r="R68" s="1815">
        <f>(P54*$O$45+T54)*$O$46</f>
        <v>46.546772206450314</v>
      </c>
      <c r="S68" s="1815"/>
      <c r="T68" s="1815"/>
      <c r="U68" s="1815"/>
      <c r="V68" s="1285">
        <f t="shared" si="0"/>
        <v>698.20158309675469</v>
      </c>
      <c r="W68" s="1285"/>
      <c r="X68" s="1285"/>
      <c r="Y68" s="1285"/>
      <c r="Z68" s="2984">
        <f>O59</f>
        <v>0.125</v>
      </c>
      <c r="AA68" s="2984"/>
      <c r="AB68" s="2984"/>
      <c r="AC68" s="2984"/>
      <c r="AD68" s="227"/>
      <c r="AE68" s="227"/>
      <c r="AF68" s="227"/>
    </row>
    <row r="69" spans="1:32" x14ac:dyDescent="0.25">
      <c r="A69" s="1271" t="s">
        <v>4543</v>
      </c>
      <c r="B69" s="1271"/>
      <c r="C69" s="1271"/>
      <c r="D69" s="1271"/>
      <c r="E69" s="1271"/>
      <c r="F69" s="1271"/>
      <c r="G69" s="1271"/>
      <c r="H69" s="1271"/>
      <c r="I69" s="1271"/>
      <c r="J69" s="1271"/>
      <c r="K69" s="1271"/>
      <c r="L69" s="1271"/>
      <c r="M69" s="1271"/>
      <c r="N69" s="2983">
        <f>P55*$O$44+T55</f>
        <v>2.1499624485762925E-2</v>
      </c>
      <c r="O69" s="2983"/>
      <c r="P69" s="2983"/>
      <c r="Q69" s="2983"/>
      <c r="R69" s="1815">
        <f>(P55*$O$45+T55)*$O$46</f>
        <v>97.275480978323912</v>
      </c>
      <c r="S69" s="1815"/>
      <c r="T69" s="1815"/>
      <c r="U69" s="1815"/>
      <c r="V69" s="1285">
        <f t="shared" si="0"/>
        <v>1459.1322146748587</v>
      </c>
      <c r="W69" s="1285"/>
      <c r="X69" s="1285"/>
      <c r="Y69" s="1285"/>
      <c r="Z69" s="2984">
        <f>O60</f>
        <v>0.125</v>
      </c>
      <c r="AA69" s="2984"/>
      <c r="AB69" s="2984"/>
      <c r="AC69" s="2984"/>
      <c r="AD69" s="227"/>
      <c r="AE69" s="227"/>
      <c r="AF69" s="227"/>
    </row>
    <row r="70" spans="1:32" x14ac:dyDescent="0.25">
      <c r="A70" s="1271" t="s">
        <v>4544</v>
      </c>
      <c r="B70" s="1271"/>
      <c r="C70" s="1271"/>
      <c r="D70" s="1271"/>
      <c r="E70" s="1271"/>
      <c r="F70" s="1271"/>
      <c r="G70" s="1271"/>
      <c r="H70" s="1271"/>
      <c r="I70" s="1271"/>
      <c r="J70" s="1271"/>
      <c r="K70" s="1271"/>
      <c r="L70" s="1271"/>
      <c r="M70" s="1271"/>
      <c r="N70" s="2983">
        <f>SUMPRODUCT(N66:Q69,$Z$66:$AC$69)</f>
        <v>1.2382377186309749E-2</v>
      </c>
      <c r="O70" s="2983"/>
      <c r="P70" s="2983"/>
      <c r="Q70" s="2983"/>
      <c r="R70" s="1815">
        <f>SUMPRODUCT(R66:U69,$Z$66:$AC$69)</f>
        <v>56.02431322700204</v>
      </c>
      <c r="S70" s="1815"/>
      <c r="T70" s="1815"/>
      <c r="U70" s="1815"/>
      <c r="V70" s="1285">
        <f t="shared" si="0"/>
        <v>840.36469840503059</v>
      </c>
      <c r="W70" s="1285"/>
      <c r="X70" s="1285"/>
      <c r="Y70" s="1285"/>
      <c r="Z70" s="190"/>
      <c r="AA70" s="190"/>
      <c r="AB70" s="190"/>
      <c r="AC70" s="190"/>
      <c r="AD70" s="227"/>
      <c r="AE70" s="227"/>
      <c r="AF70" s="227"/>
    </row>
    <row r="71" spans="1:32" x14ac:dyDescent="0.25">
      <c r="A71" s="190"/>
      <c r="B71" s="190"/>
      <c r="C71" s="190"/>
      <c r="D71" s="190"/>
      <c r="E71" s="190"/>
      <c r="F71" s="190"/>
      <c r="G71" s="190"/>
      <c r="H71" s="190"/>
      <c r="I71" s="190"/>
      <c r="J71" s="190"/>
      <c r="K71" s="190"/>
      <c r="L71" s="190"/>
      <c r="M71" s="190"/>
      <c r="N71" s="190"/>
      <c r="O71" s="190"/>
      <c r="P71" s="190"/>
      <c r="Q71" s="190"/>
      <c r="R71" s="190"/>
      <c r="S71" s="190"/>
      <c r="T71" s="190"/>
      <c r="U71" s="190"/>
      <c r="V71" s="190"/>
      <c r="W71" s="190"/>
      <c r="X71" s="190"/>
      <c r="Y71" s="190"/>
      <c r="Z71" s="190"/>
      <c r="AA71" s="190"/>
      <c r="AB71" s="190"/>
      <c r="AC71" s="190"/>
      <c r="AD71" s="227"/>
      <c r="AE71" s="227"/>
      <c r="AF71" s="227"/>
    </row>
    <row r="72" spans="1:32" x14ac:dyDescent="0.25">
      <c r="A72" s="1621" t="s">
        <v>21</v>
      </c>
      <c r="B72" s="1621"/>
      <c r="C72" s="1621"/>
      <c r="D72" s="1621"/>
      <c r="E72" s="1621"/>
      <c r="F72" s="1621"/>
      <c r="G72" s="1621"/>
      <c r="H72" s="1621"/>
      <c r="I72" s="1621"/>
      <c r="J72" s="1621"/>
      <c r="K72" s="1621"/>
      <c r="L72" s="1621"/>
      <c r="M72" s="1621"/>
      <c r="N72" s="1621"/>
      <c r="O72" s="1621"/>
      <c r="P72" s="1621"/>
      <c r="Q72" s="1621"/>
      <c r="R72" s="1621"/>
      <c r="S72" s="1621"/>
      <c r="T72" s="1621"/>
      <c r="U72" s="1621"/>
      <c r="V72" s="1621"/>
      <c r="W72" s="1621"/>
      <c r="X72" s="1621"/>
      <c r="Y72" s="1621"/>
      <c r="Z72" s="1621"/>
      <c r="AA72" s="1621"/>
      <c r="AB72" s="1621"/>
      <c r="AC72" s="1621"/>
      <c r="AD72" s="1621"/>
      <c r="AE72" s="1621"/>
      <c r="AF72" s="1621"/>
    </row>
    <row r="73" spans="1:32" x14ac:dyDescent="0.25">
      <c r="A73" s="190"/>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227"/>
      <c r="AE73" s="227"/>
      <c r="AF73" s="227"/>
    </row>
    <row r="74" spans="1:32" x14ac:dyDescent="0.25">
      <c r="A74" s="642" t="s">
        <v>4442</v>
      </c>
      <c r="B74" s="227"/>
      <c r="C74" s="227"/>
      <c r="D74" s="227"/>
      <c r="E74" s="227"/>
      <c r="F74" s="227"/>
      <c r="G74" s="227"/>
      <c r="H74" s="227"/>
      <c r="I74" s="227"/>
      <c r="J74" s="423"/>
      <c r="K74" s="423"/>
      <c r="L74" s="423"/>
      <c r="M74" s="423"/>
      <c r="N74" s="423"/>
      <c r="O74" s="423"/>
      <c r="P74" s="423"/>
      <c r="Q74" s="423"/>
      <c r="R74" s="423"/>
      <c r="S74" s="227"/>
      <c r="T74" s="227"/>
      <c r="U74" s="227"/>
      <c r="V74" s="227"/>
      <c r="W74" s="227"/>
      <c r="X74" s="227"/>
      <c r="Y74" s="227"/>
      <c r="Z74" s="227"/>
      <c r="AA74" s="227"/>
      <c r="AB74" s="227"/>
      <c r="AC74" s="227"/>
      <c r="AD74" s="227"/>
      <c r="AE74" s="227"/>
      <c r="AF74" s="227"/>
    </row>
    <row r="75" spans="1:32" x14ac:dyDescent="0.25">
      <c r="A75" s="227"/>
      <c r="B75" s="227"/>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row>
    <row r="76" spans="1:32" x14ac:dyDescent="0.25">
      <c r="A76" s="227"/>
      <c r="B76" s="227"/>
      <c r="C76" s="227" t="s">
        <v>4545</v>
      </c>
      <c r="D76" s="227"/>
      <c r="E76" s="227"/>
      <c r="F76" s="227"/>
      <c r="G76" s="227"/>
      <c r="H76" s="227"/>
      <c r="I76" s="227"/>
      <c r="J76" s="227"/>
      <c r="K76" s="227"/>
      <c r="L76" s="227"/>
      <c r="M76" s="227"/>
      <c r="N76" s="227"/>
      <c r="O76" s="227"/>
      <c r="P76" s="227"/>
      <c r="Q76" s="227"/>
      <c r="R76" s="227"/>
      <c r="S76" s="227"/>
      <c r="T76" s="227"/>
      <c r="U76" s="227"/>
      <c r="V76" s="227"/>
      <c r="W76" s="227"/>
      <c r="X76" s="227"/>
      <c r="Y76" s="227"/>
      <c r="Z76" s="227"/>
      <c r="AA76" s="227"/>
      <c r="AB76" s="227"/>
      <c r="AC76" s="227"/>
      <c r="AD76" s="227"/>
      <c r="AE76" s="227"/>
      <c r="AF76" s="227"/>
    </row>
    <row r="77" spans="1:32" x14ac:dyDescent="0.25">
      <c r="A77" s="227"/>
      <c r="B77" s="227"/>
      <c r="C77" s="227"/>
      <c r="D77" s="227"/>
      <c r="E77" s="227"/>
      <c r="F77" s="1607" t="s">
        <v>4544</v>
      </c>
      <c r="G77" s="1607"/>
      <c r="H77" s="1607"/>
      <c r="I77" s="1607"/>
      <c r="J77" s="1607"/>
      <c r="K77" s="1607"/>
      <c r="L77" s="1607"/>
      <c r="M77" s="1607"/>
      <c r="N77" s="1607"/>
      <c r="O77" s="1607"/>
      <c r="P77" s="1607"/>
      <c r="Q77" s="1607"/>
      <c r="R77" s="1607"/>
      <c r="S77" s="1607"/>
      <c r="T77" s="1607"/>
      <c r="U77" s="1607"/>
      <c r="V77" s="1607"/>
      <c r="W77" s="227"/>
      <c r="X77" s="227"/>
      <c r="Y77" s="227"/>
      <c r="Z77" s="227"/>
      <c r="AA77" s="227"/>
      <c r="AB77" s="227"/>
      <c r="AC77" s="227"/>
      <c r="AD77" s="227"/>
      <c r="AE77" s="227"/>
      <c r="AF77" s="227"/>
    </row>
    <row r="78" spans="1:32" x14ac:dyDescent="0.25">
      <c r="A78" s="227"/>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row>
    <row r="79" spans="1:32" x14ac:dyDescent="0.25">
      <c r="A79" s="227"/>
      <c r="B79" s="227"/>
      <c r="C79" s="227" t="s">
        <v>4546</v>
      </c>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row>
    <row r="80" spans="1:32" x14ac:dyDescent="0.25">
      <c r="A80" s="227"/>
      <c r="B80" s="227"/>
      <c r="C80" s="227"/>
      <c r="D80" s="227"/>
      <c r="E80" s="227"/>
      <c r="F80" s="2721">
        <v>1</v>
      </c>
      <c r="G80" s="2722"/>
      <c r="H80" s="2723"/>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row>
    <row r="81" spans="1:32" ht="15.75" thickBot="1" x14ac:dyDescent="0.3">
      <c r="A81" s="227"/>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row>
    <row r="82" spans="1:32" ht="35.450000000000003" customHeight="1" x14ac:dyDescent="0.25">
      <c r="A82" s="1810" t="s">
        <v>22</v>
      </c>
      <c r="B82" s="1643"/>
      <c r="C82" s="1643"/>
      <c r="D82" s="1643"/>
      <c r="E82" s="1643"/>
      <c r="F82" s="1643"/>
      <c r="G82" s="1643"/>
      <c r="H82" s="1643"/>
      <c r="I82" s="1642" t="s">
        <v>2922</v>
      </c>
      <c r="J82" s="1643"/>
      <c r="K82" s="1643"/>
      <c r="L82" s="1643"/>
      <c r="M82" s="1643"/>
      <c r="N82" s="1643"/>
      <c r="O82" s="1643"/>
      <c r="P82" s="1643"/>
      <c r="Q82" s="1642" t="s">
        <v>2918</v>
      </c>
      <c r="R82" s="1643"/>
      <c r="S82" s="1643"/>
      <c r="T82" s="1643"/>
      <c r="U82" s="1643"/>
      <c r="V82" s="1643"/>
      <c r="W82" s="1643"/>
      <c r="X82" s="1643"/>
      <c r="Y82" s="1642" t="s">
        <v>1786</v>
      </c>
      <c r="Z82" s="1643"/>
      <c r="AA82" s="1643"/>
      <c r="AB82" s="1643"/>
      <c r="AC82" s="1643"/>
      <c r="AD82" s="1643"/>
      <c r="AE82" s="1643"/>
      <c r="AF82" s="1644"/>
    </row>
    <row r="83" spans="1:32" ht="30" customHeight="1" thickBot="1" x14ac:dyDescent="0.3">
      <c r="A83" s="1802" t="s">
        <v>4393</v>
      </c>
      <c r="B83" s="1887"/>
      <c r="C83" s="1887"/>
      <c r="D83" s="1887"/>
      <c r="E83" s="1887"/>
      <c r="F83" s="1887"/>
      <c r="G83" s="1887"/>
      <c r="H83" s="1887"/>
      <c r="I83" s="2950">
        <f>ROUND(VLOOKUP(F77,A66:Y70,14,FALSE)*F80,3)</f>
        <v>1.2E-2</v>
      </c>
      <c r="J83" s="2950"/>
      <c r="K83" s="2950"/>
      <c r="L83" s="2950"/>
      <c r="M83" s="2950"/>
      <c r="N83" s="2950"/>
      <c r="O83" s="2950"/>
      <c r="P83" s="2950"/>
      <c r="Q83" s="2738">
        <f>ROUND(VLOOKUP(F77,A66:Y70,18,FALSE)*F80,2)</f>
        <v>56.02</v>
      </c>
      <c r="R83" s="2738"/>
      <c r="S83" s="2738"/>
      <c r="T83" s="2738"/>
      <c r="U83" s="2738"/>
      <c r="V83" s="2738"/>
      <c r="W83" s="2738"/>
      <c r="X83" s="2738"/>
      <c r="Y83" s="2739">
        <f>ROUND(VLOOKUP(F77,A66:Y70,22,FALSE)*F80,2)</f>
        <v>840.36</v>
      </c>
      <c r="Z83" s="2739"/>
      <c r="AA83" s="2739"/>
      <c r="AB83" s="2739"/>
      <c r="AC83" s="2739"/>
      <c r="AD83" s="2739"/>
      <c r="AE83" s="2739"/>
      <c r="AF83" s="2740"/>
    </row>
    <row r="84" spans="1:32" x14ac:dyDescent="0.25">
      <c r="A84" s="227"/>
      <c r="B84" s="227"/>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row>
    <row r="85" spans="1:32" x14ac:dyDescent="0.25">
      <c r="A85" s="1621" t="s">
        <v>1753</v>
      </c>
      <c r="B85" s="1621"/>
      <c r="C85" s="1621"/>
      <c r="D85" s="1621"/>
      <c r="E85" s="1621"/>
      <c r="F85" s="1621"/>
      <c r="G85" s="1621"/>
      <c r="H85" s="1621"/>
      <c r="I85" s="1621"/>
      <c r="J85" s="1621"/>
      <c r="K85" s="1621"/>
      <c r="L85" s="1621"/>
      <c r="M85" s="1621"/>
      <c r="N85" s="1621"/>
      <c r="O85" s="1621"/>
      <c r="P85" s="1621"/>
      <c r="Q85" s="1621"/>
      <c r="R85" s="1621"/>
      <c r="S85" s="1621"/>
      <c r="T85" s="1621"/>
      <c r="U85" s="1621"/>
      <c r="V85" s="1621"/>
      <c r="W85" s="1621"/>
      <c r="X85" s="1621"/>
      <c r="Y85" s="1621"/>
      <c r="Z85" s="1621"/>
      <c r="AA85" s="1621"/>
      <c r="AB85" s="1621"/>
      <c r="AC85" s="1621"/>
      <c r="AD85" s="1621"/>
      <c r="AE85" s="1621"/>
      <c r="AF85" s="1621"/>
    </row>
    <row r="86" spans="1:32" x14ac:dyDescent="0.25">
      <c r="A86" s="423"/>
      <c r="B86" s="732"/>
      <c r="C86" s="732"/>
      <c r="D86" s="732"/>
      <c r="E86" s="732"/>
      <c r="F86" s="732"/>
      <c r="G86" s="732"/>
      <c r="H86" s="732"/>
      <c r="I86" s="732"/>
      <c r="J86" s="732"/>
      <c r="K86" s="732"/>
      <c r="L86" s="732"/>
      <c r="M86" s="732"/>
      <c r="N86" s="732"/>
      <c r="O86" s="732"/>
      <c r="P86" s="732"/>
      <c r="Q86" s="732"/>
      <c r="R86" s="732"/>
      <c r="S86" s="638"/>
      <c r="T86" s="638"/>
      <c r="U86" s="638"/>
      <c r="V86" s="638"/>
      <c r="W86" s="638"/>
      <c r="X86" s="638"/>
      <c r="Y86" s="638"/>
      <c r="Z86" s="638"/>
      <c r="AA86" s="638"/>
      <c r="AB86" s="638"/>
      <c r="AC86" s="638"/>
      <c r="AD86" s="638"/>
      <c r="AE86" s="638"/>
      <c r="AF86" s="638"/>
    </row>
    <row r="87" spans="1:32" ht="30.6" customHeight="1" x14ac:dyDescent="0.25">
      <c r="A87" s="517" t="s">
        <v>1013</v>
      </c>
      <c r="B87" s="1173" t="s">
        <v>4499</v>
      </c>
      <c r="C87" s="1173"/>
      <c r="D87" s="1173"/>
      <c r="E87" s="1173"/>
      <c r="F87" s="1173"/>
      <c r="G87" s="1173"/>
      <c r="H87" s="1173"/>
      <c r="I87" s="1173"/>
      <c r="J87" s="1173"/>
      <c r="K87" s="1173"/>
      <c r="L87" s="1173"/>
      <c r="M87" s="1173"/>
      <c r="N87" s="1173"/>
      <c r="O87" s="1173"/>
      <c r="P87" s="1173"/>
      <c r="Q87" s="1173"/>
      <c r="R87" s="1173"/>
      <c r="S87" s="1173"/>
      <c r="T87" s="1173"/>
      <c r="U87" s="1173"/>
      <c r="V87" s="1173"/>
      <c r="W87" s="1173"/>
      <c r="X87" s="1173"/>
      <c r="Y87" s="1173"/>
      <c r="Z87" s="1173"/>
      <c r="AA87" s="1173"/>
      <c r="AB87" s="1173"/>
      <c r="AC87" s="1173"/>
      <c r="AD87" s="1173"/>
      <c r="AE87" s="1173"/>
      <c r="AF87" s="1173"/>
    </row>
    <row r="88" spans="1:32" ht="29.1" customHeight="1" x14ac:dyDescent="0.25">
      <c r="A88" s="517" t="s">
        <v>1013</v>
      </c>
      <c r="B88" s="1173" t="s">
        <v>4547</v>
      </c>
      <c r="C88" s="1173"/>
      <c r="D88" s="1173"/>
      <c r="E88" s="1173"/>
      <c r="F88" s="1173"/>
      <c r="G88" s="1173"/>
      <c r="H88" s="1173"/>
      <c r="I88" s="1173"/>
      <c r="J88" s="1173"/>
      <c r="K88" s="1173"/>
      <c r="L88" s="1173"/>
      <c r="M88" s="1173"/>
      <c r="N88" s="1173"/>
      <c r="O88" s="1173"/>
      <c r="P88" s="1173"/>
      <c r="Q88" s="1173"/>
      <c r="R88" s="1173"/>
      <c r="S88" s="1173"/>
      <c r="T88" s="1173"/>
      <c r="U88" s="1173"/>
      <c r="V88" s="1173"/>
      <c r="W88" s="1173"/>
      <c r="X88" s="1173"/>
      <c r="Y88" s="1173"/>
      <c r="Z88" s="1173"/>
      <c r="AA88" s="1173"/>
      <c r="AB88" s="1173"/>
      <c r="AC88" s="1173"/>
      <c r="AD88" s="1173"/>
      <c r="AE88" s="1173"/>
      <c r="AF88" s="1173"/>
    </row>
    <row r="89" spans="1:32" ht="29.1" customHeight="1" x14ac:dyDescent="0.25">
      <c r="A89" s="517" t="s">
        <v>1013</v>
      </c>
      <c r="B89" s="1173" t="s">
        <v>4548</v>
      </c>
      <c r="C89" s="1173"/>
      <c r="D89" s="1173"/>
      <c r="E89" s="1173"/>
      <c r="F89" s="1173"/>
      <c r="G89" s="1173"/>
      <c r="H89" s="1173"/>
      <c r="I89" s="1173"/>
      <c r="J89" s="1173"/>
      <c r="K89" s="1173"/>
      <c r="L89" s="1173"/>
      <c r="M89" s="1173"/>
      <c r="N89" s="1173"/>
      <c r="O89" s="1173"/>
      <c r="P89" s="1173"/>
      <c r="Q89" s="1173"/>
      <c r="R89" s="1173"/>
      <c r="S89" s="1173"/>
      <c r="T89" s="1173"/>
      <c r="U89" s="1173"/>
      <c r="V89" s="1173"/>
      <c r="W89" s="1173"/>
      <c r="X89" s="1173"/>
      <c r="Y89" s="1173"/>
      <c r="Z89" s="1173"/>
      <c r="AA89" s="1173"/>
      <c r="AB89" s="1173"/>
      <c r="AC89" s="1173"/>
      <c r="AD89" s="1173"/>
      <c r="AE89" s="1173"/>
      <c r="AF89" s="1173"/>
    </row>
    <row r="90" spans="1:32" ht="45.6" customHeight="1" x14ac:dyDescent="0.25">
      <c r="A90" s="517" t="s">
        <v>1013</v>
      </c>
      <c r="B90" s="1173" t="s">
        <v>4549</v>
      </c>
      <c r="C90" s="1173"/>
      <c r="D90" s="1173"/>
      <c r="E90" s="1173"/>
      <c r="F90" s="1173"/>
      <c r="G90" s="1173"/>
      <c r="H90" s="1173"/>
      <c r="I90" s="1173"/>
      <c r="J90" s="1173"/>
      <c r="K90" s="1173"/>
      <c r="L90" s="1173"/>
      <c r="M90" s="1173"/>
      <c r="N90" s="1173"/>
      <c r="O90" s="1173"/>
      <c r="P90" s="1173"/>
      <c r="Q90" s="1173"/>
      <c r="R90" s="1173"/>
      <c r="S90" s="1173"/>
      <c r="T90" s="1173"/>
      <c r="U90" s="1173"/>
      <c r="V90" s="1173"/>
      <c r="W90" s="1173"/>
      <c r="X90" s="1173"/>
      <c r="Y90" s="1173"/>
      <c r="Z90" s="1173"/>
      <c r="AA90" s="1173"/>
      <c r="AB90" s="1173"/>
      <c r="AC90" s="1173"/>
      <c r="AD90" s="1173"/>
      <c r="AE90" s="1173"/>
      <c r="AF90" s="1173"/>
    </row>
    <row r="91" spans="1:32" x14ac:dyDescent="0.25">
      <c r="A91" s="227"/>
      <c r="B91" s="227"/>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row>
    <row r="92" spans="1:32" x14ac:dyDescent="0.25">
      <c r="A92" s="227"/>
      <c r="B92" s="227"/>
      <c r="C92" s="227"/>
      <c r="D92" s="227"/>
      <c r="E92" s="227"/>
      <c r="F92" s="227"/>
      <c r="G92" s="227"/>
      <c r="H92" s="227"/>
      <c r="I92" s="227"/>
      <c r="J92" s="227"/>
      <c r="K92" s="227"/>
      <c r="L92" s="227"/>
      <c r="M92" s="227"/>
      <c r="N92" s="227"/>
      <c r="O92" s="227"/>
      <c r="P92" s="227"/>
      <c r="Q92" s="227"/>
      <c r="R92" s="227"/>
      <c r="S92" s="227"/>
      <c r="T92" s="227"/>
      <c r="U92" s="227"/>
      <c r="V92" s="227"/>
      <c r="W92" s="227"/>
      <c r="X92" s="227"/>
      <c r="Y92" s="227"/>
      <c r="Z92" s="227"/>
      <c r="AA92" s="227"/>
      <c r="AB92" s="227"/>
      <c r="AC92" s="227"/>
      <c r="AD92" s="227"/>
      <c r="AE92" s="227"/>
      <c r="AF92" s="227"/>
    </row>
    <row r="93" spans="1:32" x14ac:dyDescent="0.25">
      <c r="A93" s="227"/>
      <c r="B93" s="227"/>
      <c r="C93" s="227"/>
      <c r="D93" s="227"/>
      <c r="E93" s="227"/>
      <c r="F93" s="227"/>
      <c r="G93" s="227"/>
      <c r="H93" s="227"/>
      <c r="I93" s="227"/>
      <c r="J93" s="227"/>
      <c r="K93" s="227"/>
      <c r="L93" s="227"/>
      <c r="M93" s="227"/>
      <c r="N93" s="227"/>
      <c r="O93" s="227"/>
      <c r="P93" s="227"/>
      <c r="Q93" s="227"/>
      <c r="R93" s="227"/>
      <c r="S93" s="227"/>
      <c r="T93" s="227"/>
      <c r="U93" s="227"/>
      <c r="V93" s="227"/>
      <c r="W93" s="227"/>
      <c r="X93" s="227"/>
      <c r="Y93" s="227"/>
      <c r="Z93" s="227"/>
      <c r="AA93" s="227"/>
      <c r="AB93" s="227"/>
      <c r="AC93" s="227"/>
      <c r="AD93" s="227"/>
      <c r="AE93" s="227"/>
      <c r="AF93" s="227"/>
    </row>
    <row r="94" spans="1:32"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7"/>
      <c r="AE94" s="227"/>
      <c r="AF94" s="227"/>
    </row>
    <row r="95" spans="1:32" x14ac:dyDescent="0.25">
      <c r="A95" s="227"/>
      <c r="B95" s="227"/>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c r="AA95" s="227"/>
      <c r="AB95" s="227"/>
      <c r="AC95" s="227"/>
      <c r="AD95" s="227"/>
      <c r="AE95" s="227"/>
      <c r="AF95" s="227"/>
    </row>
    <row r="96" spans="1:32" x14ac:dyDescent="0.25">
      <c r="A96" s="227"/>
      <c r="B96" s="227"/>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c r="AA96" s="227"/>
      <c r="AB96" s="227"/>
      <c r="AC96" s="227"/>
      <c r="AD96" s="227"/>
      <c r="AE96" s="227"/>
      <c r="AF96" s="227"/>
    </row>
    <row r="97" spans="1:32" x14ac:dyDescent="0.25">
      <c r="A97" s="227"/>
      <c r="B97" s="227"/>
      <c r="C97" s="227"/>
      <c r="D97" s="227"/>
      <c r="E97" s="227"/>
      <c r="F97" s="227"/>
      <c r="G97" s="227"/>
      <c r="H97" s="227"/>
      <c r="I97" s="227"/>
      <c r="J97" s="227"/>
      <c r="K97" s="227"/>
      <c r="L97" s="227"/>
      <c r="M97" s="227"/>
      <c r="N97" s="227"/>
      <c r="O97" s="227"/>
      <c r="P97" s="227"/>
      <c r="Q97" s="227"/>
      <c r="R97" s="227"/>
      <c r="S97" s="227"/>
      <c r="T97" s="227"/>
      <c r="U97" s="227"/>
      <c r="V97" s="227"/>
      <c r="W97" s="227"/>
      <c r="X97" s="227"/>
      <c r="Y97" s="227"/>
      <c r="Z97" s="227"/>
      <c r="AA97" s="227"/>
      <c r="AB97" s="227"/>
      <c r="AC97" s="227"/>
      <c r="AD97" s="227"/>
      <c r="AE97" s="227"/>
      <c r="AF97" s="227"/>
    </row>
    <row r="98" spans="1:32" x14ac:dyDescent="0.25">
      <c r="A98" s="227"/>
      <c r="B98" s="227"/>
      <c r="C98" s="227"/>
      <c r="D98" s="227"/>
      <c r="E98" s="227"/>
      <c r="F98" s="227"/>
      <c r="G98" s="227"/>
      <c r="H98" s="227"/>
      <c r="I98" s="227"/>
      <c r="J98" s="227"/>
      <c r="K98" s="227"/>
      <c r="L98" s="227"/>
      <c r="M98" s="227"/>
      <c r="N98" s="227"/>
      <c r="O98" s="227"/>
      <c r="P98" s="227"/>
      <c r="Q98" s="227"/>
      <c r="R98" s="227"/>
      <c r="S98" s="227"/>
      <c r="T98" s="227"/>
      <c r="U98" s="227"/>
      <c r="V98" s="227"/>
      <c r="W98" s="227"/>
      <c r="X98" s="227"/>
      <c r="Y98" s="227"/>
      <c r="Z98" s="227"/>
      <c r="AA98" s="227"/>
      <c r="AB98" s="227"/>
      <c r="AC98" s="227"/>
      <c r="AD98" s="227"/>
      <c r="AE98" s="227"/>
      <c r="AF98" s="227"/>
    </row>
    <row r="99" spans="1:32" x14ac:dyDescent="0.25">
      <c r="A99" s="227"/>
      <c r="B99" s="227"/>
      <c r="C99" s="227"/>
      <c r="D99" s="227"/>
      <c r="E99" s="227"/>
      <c r="F99" s="227"/>
      <c r="G99" s="227"/>
      <c r="H99" s="227"/>
      <c r="I99" s="227"/>
      <c r="J99" s="227"/>
      <c r="K99" s="227"/>
      <c r="L99" s="227"/>
      <c r="M99" s="227"/>
      <c r="N99" s="227"/>
      <c r="O99" s="227"/>
      <c r="P99" s="227"/>
      <c r="Q99" s="227"/>
      <c r="R99" s="227"/>
      <c r="S99" s="227"/>
      <c r="T99" s="227"/>
      <c r="U99" s="227"/>
      <c r="V99" s="227"/>
      <c r="W99" s="227"/>
      <c r="X99" s="227"/>
      <c r="Y99" s="227"/>
      <c r="Z99" s="227"/>
      <c r="AA99" s="227"/>
      <c r="AB99" s="227"/>
      <c r="AC99" s="227"/>
      <c r="AD99" s="227"/>
      <c r="AE99" s="227"/>
      <c r="AF99" s="227"/>
    </row>
    <row r="100" spans="1:32"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row>
    <row r="101" spans="1:32" x14ac:dyDescent="0.25">
      <c r="A101" s="227"/>
      <c r="B101" s="227"/>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row>
    <row r="102" spans="1:32" x14ac:dyDescent="0.25">
      <c r="A102" s="227"/>
      <c r="B102" s="227"/>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row>
    <row r="103" spans="1:32" x14ac:dyDescent="0.25">
      <c r="A103" s="227"/>
      <c r="B103" s="227"/>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row>
    <row r="104" spans="1:32" x14ac:dyDescent="0.25">
      <c r="A104" s="227"/>
      <c r="B104" s="227"/>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row>
    <row r="105" spans="1:32" x14ac:dyDescent="0.25">
      <c r="A105" s="227"/>
      <c r="B105" s="227"/>
      <c r="C105" s="227"/>
      <c r="D105" s="227"/>
      <c r="E105" s="227"/>
      <c r="F105" s="227"/>
      <c r="G105" s="227"/>
      <c r="H105" s="227"/>
      <c r="I105" s="227"/>
      <c r="J105" s="227"/>
      <c r="K105" s="227"/>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row>
    <row r="106" spans="1:32" x14ac:dyDescent="0.25">
      <c r="A106" s="227"/>
      <c r="B106" s="227"/>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row>
    <row r="107" spans="1:32" x14ac:dyDescent="0.25">
      <c r="A107" s="227"/>
      <c r="B107" s="227"/>
      <c r="C107" s="227"/>
      <c r="D107" s="227"/>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row>
    <row r="108" spans="1:32" x14ac:dyDescent="0.25">
      <c r="A108" s="227"/>
      <c r="B108" s="227"/>
      <c r="C108" s="227"/>
      <c r="D108" s="227"/>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c r="AA108" s="227"/>
      <c r="AB108" s="227"/>
      <c r="AC108" s="227"/>
      <c r="AD108" s="227"/>
      <c r="AE108" s="227"/>
      <c r="AF108" s="227"/>
    </row>
    <row r="109" spans="1:32" x14ac:dyDescent="0.25">
      <c r="A109" s="227"/>
      <c r="B109" s="227"/>
      <c r="C109" s="227"/>
      <c r="D109" s="227"/>
      <c r="E109" s="227"/>
      <c r="F109" s="227"/>
      <c r="G109" s="227"/>
      <c r="H109" s="227"/>
      <c r="I109" s="227"/>
      <c r="J109" s="227"/>
      <c r="K109" s="227"/>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row>
    <row r="110" spans="1:32" x14ac:dyDescent="0.25">
      <c r="A110" s="227"/>
      <c r="B110" s="227"/>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row>
    <row r="111" spans="1:32" x14ac:dyDescent="0.25">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row>
    <row r="112" spans="1:32" x14ac:dyDescent="0.25">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c r="AA112" s="227"/>
      <c r="AB112" s="227"/>
      <c r="AC112" s="227"/>
      <c r="AD112" s="227"/>
      <c r="AE112" s="227"/>
      <c r="AF112" s="227"/>
    </row>
    <row r="113" spans="1:32" x14ac:dyDescent="0.25">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row>
    <row r="114" spans="1:32" x14ac:dyDescent="0.25">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7"/>
      <c r="AE114" s="227"/>
      <c r="AF114" s="227"/>
    </row>
    <row r="115" spans="1:32" x14ac:dyDescent="0.25">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row>
    <row r="116" spans="1:32" x14ac:dyDescent="0.25">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row>
    <row r="117" spans="1:32" x14ac:dyDescent="0.25">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c r="W117" s="227"/>
      <c r="X117" s="227"/>
      <c r="Y117" s="227"/>
      <c r="Z117" s="227"/>
      <c r="AA117" s="227"/>
      <c r="AB117" s="227"/>
      <c r="AC117" s="227"/>
      <c r="AD117" s="227"/>
      <c r="AE117" s="227"/>
      <c r="AF117" s="227"/>
    </row>
    <row r="118" spans="1:32" x14ac:dyDescent="0.25">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7"/>
      <c r="AE118" s="227"/>
      <c r="AF118" s="227"/>
    </row>
    <row r="119" spans="1:32" x14ac:dyDescent="0.25">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c r="AC119" s="227"/>
      <c r="AD119" s="227"/>
      <c r="AE119" s="227"/>
      <c r="AF119" s="227"/>
    </row>
    <row r="120" spans="1:32" x14ac:dyDescent="0.25">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c r="AC120" s="227"/>
      <c r="AD120" s="227"/>
      <c r="AE120" s="227"/>
      <c r="AF120" s="227"/>
    </row>
    <row r="121" spans="1:32" x14ac:dyDescent="0.25">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c r="W121" s="227"/>
      <c r="X121" s="227"/>
      <c r="Y121" s="227"/>
      <c r="Z121" s="227"/>
      <c r="AA121" s="227"/>
      <c r="AB121" s="227"/>
      <c r="AC121" s="227"/>
      <c r="AD121" s="227"/>
      <c r="AE121" s="227"/>
      <c r="AF121" s="227"/>
    </row>
    <row r="122" spans="1:32" x14ac:dyDescent="0.25">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227"/>
      <c r="AE122" s="227"/>
      <c r="AF122" s="227"/>
    </row>
    <row r="123" spans="1:32" x14ac:dyDescent="0.25">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c r="AA123" s="227"/>
      <c r="AB123" s="227"/>
      <c r="AC123" s="227"/>
      <c r="AD123" s="227"/>
      <c r="AE123" s="227"/>
      <c r="AF123" s="227"/>
    </row>
    <row r="124" spans="1:32" x14ac:dyDescent="0.25">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c r="AC124" s="227"/>
      <c r="AD124" s="227"/>
      <c r="AE124" s="227"/>
      <c r="AF124" s="227"/>
    </row>
    <row r="125" spans="1:32"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7"/>
      <c r="AE125" s="227"/>
      <c r="AF125" s="227"/>
    </row>
    <row r="126" spans="1:32" x14ac:dyDescent="0.25">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row>
    <row r="127" spans="1:32" x14ac:dyDescent="0.25">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c r="W127" s="227"/>
      <c r="X127" s="227"/>
      <c r="Y127" s="227"/>
      <c r="Z127" s="227"/>
      <c r="AA127" s="227"/>
      <c r="AB127" s="227"/>
      <c r="AC127" s="227"/>
      <c r="AD127" s="227"/>
      <c r="AE127" s="227"/>
      <c r="AF127" s="227"/>
    </row>
    <row r="128" spans="1:32"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7"/>
      <c r="AE128" s="227"/>
      <c r="AF128" s="227"/>
    </row>
    <row r="129" spans="1:32" x14ac:dyDescent="0.25">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c r="W129" s="227"/>
      <c r="X129" s="227"/>
      <c r="Y129" s="227"/>
      <c r="Z129" s="227"/>
      <c r="AA129" s="227"/>
      <c r="AB129" s="227"/>
      <c r="AC129" s="227"/>
      <c r="AD129" s="227"/>
      <c r="AE129" s="227"/>
      <c r="AF129" s="227"/>
    </row>
    <row r="130" spans="1:32" x14ac:dyDescent="0.25">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c r="AA130" s="227"/>
      <c r="AB130" s="227"/>
      <c r="AC130" s="227"/>
      <c r="AD130" s="227"/>
      <c r="AE130" s="227"/>
      <c r="AF130" s="227"/>
    </row>
    <row r="131" spans="1:32" x14ac:dyDescent="0.25">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c r="AA131" s="227"/>
      <c r="AB131" s="227"/>
      <c r="AC131" s="227"/>
      <c r="AD131" s="227"/>
      <c r="AE131" s="227"/>
      <c r="AF131" s="227"/>
    </row>
    <row r="132" spans="1:32" x14ac:dyDescent="0.25">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c r="AA132" s="227"/>
      <c r="AB132" s="227"/>
      <c r="AC132" s="227"/>
      <c r="AD132" s="227"/>
      <c r="AE132" s="227"/>
      <c r="AF132" s="227"/>
    </row>
    <row r="133" spans="1:32" x14ac:dyDescent="0.25">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c r="AA133" s="227"/>
      <c r="AB133" s="227"/>
      <c r="AC133" s="227"/>
      <c r="AD133" s="227"/>
      <c r="AE133" s="227"/>
      <c r="AF133" s="227"/>
    </row>
    <row r="134" spans="1:32" x14ac:dyDescent="0.25">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c r="AA134" s="227"/>
      <c r="AB134" s="227"/>
      <c r="AC134" s="227"/>
      <c r="AD134" s="227"/>
      <c r="AE134" s="227"/>
      <c r="AF134" s="227"/>
    </row>
    <row r="135" spans="1:32" x14ac:dyDescent="0.25">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c r="AA135" s="227"/>
      <c r="AB135" s="227"/>
      <c r="AC135" s="227"/>
      <c r="AD135" s="227"/>
      <c r="AE135" s="227"/>
      <c r="AF135" s="227"/>
    </row>
    <row r="136" spans="1:32" x14ac:dyDescent="0.25">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c r="AC136" s="227"/>
      <c r="AD136" s="227"/>
      <c r="AE136" s="227"/>
      <c r="AF136" s="227"/>
    </row>
    <row r="137" spans="1:32" x14ac:dyDescent="0.25">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c r="W137" s="227"/>
      <c r="X137" s="227"/>
      <c r="Y137" s="227"/>
      <c r="Z137" s="227"/>
      <c r="AA137" s="227"/>
      <c r="AB137" s="227"/>
      <c r="AC137" s="227"/>
      <c r="AD137" s="227"/>
      <c r="AE137" s="227"/>
      <c r="AF137" s="227"/>
    </row>
    <row r="138" spans="1:32" x14ac:dyDescent="0.25">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c r="AC138" s="227"/>
      <c r="AD138" s="227"/>
      <c r="AE138" s="227"/>
      <c r="AF138" s="227"/>
    </row>
    <row r="139" spans="1:32" x14ac:dyDescent="0.25">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c r="AA139" s="227"/>
      <c r="AB139" s="227"/>
      <c r="AC139" s="227"/>
      <c r="AD139" s="227"/>
      <c r="AE139" s="227"/>
      <c r="AF139" s="227"/>
    </row>
    <row r="140" spans="1:32" x14ac:dyDescent="0.25">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c r="AA140" s="227"/>
      <c r="AB140" s="227"/>
      <c r="AC140" s="227"/>
      <c r="AD140" s="227"/>
      <c r="AE140" s="227"/>
      <c r="AF140" s="227"/>
    </row>
    <row r="141" spans="1:32" x14ac:dyDescent="0.25">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c r="AA141" s="227"/>
      <c r="AB141" s="227"/>
      <c r="AC141" s="227"/>
      <c r="AD141" s="227"/>
      <c r="AE141" s="227"/>
      <c r="AF141" s="227"/>
    </row>
    <row r="142" spans="1:32" x14ac:dyDescent="0.25">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c r="AA142" s="227"/>
      <c r="AB142" s="227"/>
      <c r="AC142" s="227"/>
      <c r="AD142" s="227"/>
      <c r="AE142" s="227"/>
      <c r="AF142" s="227"/>
    </row>
    <row r="143" spans="1:32" x14ac:dyDescent="0.25">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c r="AA143" s="227"/>
      <c r="AB143" s="227"/>
      <c r="AC143" s="227"/>
      <c r="AD143" s="227"/>
      <c r="AE143" s="227"/>
      <c r="AF143" s="227"/>
    </row>
    <row r="144" spans="1:32" x14ac:dyDescent="0.25">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row>
    <row r="145" spans="1:32" x14ac:dyDescent="0.25">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c r="AA145" s="227"/>
      <c r="AB145" s="227"/>
      <c r="AC145" s="227"/>
      <c r="AD145" s="227"/>
      <c r="AE145" s="227"/>
      <c r="AF145" s="227"/>
    </row>
    <row r="146" spans="1:32" x14ac:dyDescent="0.25">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c r="W146" s="227"/>
      <c r="X146" s="227"/>
      <c r="Y146" s="227"/>
      <c r="Z146" s="227"/>
      <c r="AA146" s="227"/>
      <c r="AB146" s="227"/>
      <c r="AC146" s="227"/>
      <c r="AD146" s="227"/>
      <c r="AE146" s="227"/>
      <c r="AF146" s="227"/>
    </row>
    <row r="147" spans="1:32" x14ac:dyDescent="0.25">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c r="AA147" s="227"/>
      <c r="AB147" s="227"/>
      <c r="AC147" s="227"/>
      <c r="AD147" s="227"/>
      <c r="AE147" s="227"/>
      <c r="AF147" s="227"/>
    </row>
    <row r="148" spans="1:32" x14ac:dyDescent="0.25">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c r="AC148" s="227"/>
      <c r="AD148" s="227"/>
      <c r="AE148" s="227"/>
      <c r="AF148" s="227"/>
    </row>
    <row r="149" spans="1:32" x14ac:dyDescent="0.25">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c r="AA149" s="227"/>
      <c r="AB149" s="227"/>
      <c r="AC149" s="227"/>
      <c r="AD149" s="227"/>
      <c r="AE149" s="227"/>
      <c r="AF149" s="227"/>
    </row>
    <row r="150" spans="1:32" x14ac:dyDescent="0.25">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27"/>
      <c r="AC150" s="227"/>
      <c r="AD150" s="227"/>
      <c r="AE150" s="227"/>
      <c r="AF150" s="227"/>
    </row>
    <row r="151" spans="1:32" x14ac:dyDescent="0.25">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c r="AA151" s="227"/>
      <c r="AB151" s="227"/>
      <c r="AC151" s="227"/>
      <c r="AD151" s="227"/>
      <c r="AE151" s="227"/>
      <c r="AF151" s="227"/>
    </row>
    <row r="152" spans="1:32" x14ac:dyDescent="0.25">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c r="AA152" s="227"/>
      <c r="AB152" s="227"/>
      <c r="AC152" s="227"/>
      <c r="AD152" s="227"/>
      <c r="AE152" s="227"/>
      <c r="AF152" s="227"/>
    </row>
    <row r="153" spans="1:32" x14ac:dyDescent="0.25">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27"/>
      <c r="AC153" s="227"/>
      <c r="AD153" s="227"/>
      <c r="AE153" s="227"/>
      <c r="AF153" s="227"/>
    </row>
    <row r="154" spans="1:32" x14ac:dyDescent="0.25">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27"/>
      <c r="AC154" s="227"/>
      <c r="AD154" s="227"/>
      <c r="AE154" s="227"/>
      <c r="AF154" s="227"/>
    </row>
    <row r="155" spans="1:32" x14ac:dyDescent="0.25">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27"/>
      <c r="AC155" s="227"/>
      <c r="AD155" s="227"/>
      <c r="AE155" s="227"/>
      <c r="AF155" s="227"/>
    </row>
    <row r="156" spans="1:32" x14ac:dyDescent="0.25">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27"/>
      <c r="AC156" s="227"/>
      <c r="AD156" s="227"/>
      <c r="AE156" s="227"/>
      <c r="AF156" s="227"/>
    </row>
    <row r="157" spans="1:32" x14ac:dyDescent="0.25">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27"/>
      <c r="AC157" s="227"/>
      <c r="AD157" s="227"/>
      <c r="AE157" s="227"/>
      <c r="AF157" s="227"/>
    </row>
    <row r="158" spans="1:32" x14ac:dyDescent="0.25">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27"/>
      <c r="AC158" s="227"/>
      <c r="AD158" s="227"/>
      <c r="AE158" s="227"/>
      <c r="AF158" s="227"/>
    </row>
    <row r="159" spans="1:32" x14ac:dyDescent="0.25">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27"/>
      <c r="AC159" s="227"/>
      <c r="AD159" s="227"/>
      <c r="AE159" s="227"/>
      <c r="AF159" s="227"/>
    </row>
    <row r="160" spans="1:32" x14ac:dyDescent="0.25">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27"/>
      <c r="AC160" s="227"/>
      <c r="AD160" s="227"/>
      <c r="AE160" s="227"/>
      <c r="AF160" s="227"/>
    </row>
    <row r="161" spans="1:32" x14ac:dyDescent="0.25">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c r="AD161" s="227"/>
      <c r="AE161" s="227"/>
      <c r="AF161" s="227"/>
    </row>
    <row r="162" spans="1:32" x14ac:dyDescent="0.25">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27"/>
      <c r="AC162" s="227"/>
      <c r="AD162" s="227"/>
      <c r="AE162" s="227"/>
      <c r="AF162" s="227"/>
    </row>
    <row r="163" spans="1:32" x14ac:dyDescent="0.25">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c r="AC163" s="227"/>
      <c r="AD163" s="227"/>
      <c r="AE163" s="227"/>
      <c r="AF163" s="227"/>
    </row>
    <row r="164" spans="1:32" x14ac:dyDescent="0.25">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27"/>
      <c r="AC164" s="227"/>
      <c r="AD164" s="227"/>
      <c r="AE164" s="227"/>
      <c r="AF164" s="227"/>
    </row>
    <row r="165" spans="1:32" x14ac:dyDescent="0.25">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27"/>
      <c r="AC165" s="227"/>
      <c r="AD165" s="227"/>
      <c r="AE165" s="227"/>
      <c r="AF165" s="227"/>
    </row>
    <row r="166" spans="1:32" x14ac:dyDescent="0.25">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row>
    <row r="167" spans="1:32" x14ac:dyDescent="0.25">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c r="AC167" s="227"/>
      <c r="AD167" s="227"/>
      <c r="AE167" s="227"/>
      <c r="AF167" s="227"/>
    </row>
    <row r="168" spans="1:32" x14ac:dyDescent="0.25">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27"/>
      <c r="AC168" s="227"/>
      <c r="AD168" s="227"/>
      <c r="AE168" s="227"/>
      <c r="AF168" s="227"/>
    </row>
    <row r="169" spans="1:32" x14ac:dyDescent="0.25">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27"/>
      <c r="AC169" s="227"/>
      <c r="AD169" s="227"/>
      <c r="AE169" s="227"/>
      <c r="AF169" s="227"/>
    </row>
    <row r="170" spans="1:32" x14ac:dyDescent="0.25">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27"/>
      <c r="AC170" s="227"/>
      <c r="AD170" s="227"/>
      <c r="AE170" s="227"/>
      <c r="AF170" s="227"/>
    </row>
    <row r="171" spans="1:32" x14ac:dyDescent="0.25">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27"/>
      <c r="AC171" s="227"/>
      <c r="AD171" s="227"/>
      <c r="AE171" s="227"/>
      <c r="AF171" s="227"/>
    </row>
    <row r="172" spans="1:32" x14ac:dyDescent="0.25">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27"/>
      <c r="AC172" s="227"/>
      <c r="AD172" s="227"/>
      <c r="AE172" s="227"/>
      <c r="AF172" s="227"/>
    </row>
    <row r="173" spans="1:32" x14ac:dyDescent="0.25">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27"/>
      <c r="AC173" s="227"/>
      <c r="AD173" s="227"/>
      <c r="AE173" s="227"/>
      <c r="AF173" s="227"/>
    </row>
    <row r="174" spans="1:32" x14ac:dyDescent="0.25">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27"/>
      <c r="AC174" s="227"/>
      <c r="AD174" s="227"/>
      <c r="AE174" s="227"/>
      <c r="AF174" s="227"/>
    </row>
    <row r="175" spans="1:32" x14ac:dyDescent="0.25">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27"/>
      <c r="AC175" s="227"/>
      <c r="AD175" s="227"/>
      <c r="AE175" s="227"/>
      <c r="AF175" s="227"/>
    </row>
    <row r="176" spans="1:32" x14ac:dyDescent="0.25">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27"/>
      <c r="AC176" s="227"/>
      <c r="AD176" s="227"/>
      <c r="AE176" s="227"/>
      <c r="AF176" s="227"/>
    </row>
    <row r="177" spans="1:32" x14ac:dyDescent="0.25">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27"/>
      <c r="AC177" s="227"/>
      <c r="AD177" s="227"/>
      <c r="AE177" s="227"/>
      <c r="AF177" s="227"/>
    </row>
    <row r="178" spans="1:32" x14ac:dyDescent="0.25">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27"/>
      <c r="AC178" s="227"/>
      <c r="AD178" s="227"/>
      <c r="AE178" s="227"/>
      <c r="AF178" s="227"/>
    </row>
    <row r="179" spans="1:32" x14ac:dyDescent="0.25">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27"/>
      <c r="AC179" s="227"/>
      <c r="AD179" s="227"/>
      <c r="AE179" s="227"/>
      <c r="AF179" s="227"/>
    </row>
    <row r="180" spans="1:32" x14ac:dyDescent="0.25">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27"/>
      <c r="AC180" s="227"/>
      <c r="AD180" s="227"/>
      <c r="AE180" s="227"/>
      <c r="AF180" s="227"/>
    </row>
    <row r="181" spans="1:32" x14ac:dyDescent="0.25">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27"/>
      <c r="AC181" s="227"/>
      <c r="AD181" s="227"/>
      <c r="AE181" s="227"/>
      <c r="AF181" s="227"/>
    </row>
    <row r="182" spans="1:32" x14ac:dyDescent="0.25">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27"/>
      <c r="AC182" s="227"/>
      <c r="AD182" s="227"/>
      <c r="AE182" s="227"/>
      <c r="AF182" s="227"/>
    </row>
    <row r="183" spans="1:32" x14ac:dyDescent="0.25">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27"/>
      <c r="AC183" s="227"/>
      <c r="AD183" s="227"/>
      <c r="AE183" s="227"/>
      <c r="AF183" s="227"/>
    </row>
    <row r="184" spans="1:32" x14ac:dyDescent="0.25">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27"/>
      <c r="AC184" s="227"/>
      <c r="AD184" s="227"/>
      <c r="AE184" s="227"/>
      <c r="AF184" s="227"/>
    </row>
    <row r="185" spans="1:32" x14ac:dyDescent="0.25">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27"/>
      <c r="AC185" s="227"/>
      <c r="AD185" s="227"/>
      <c r="AE185" s="227"/>
      <c r="AF185" s="227"/>
    </row>
    <row r="186" spans="1:32" x14ac:dyDescent="0.25">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27"/>
      <c r="AC186" s="227"/>
      <c r="AD186" s="227"/>
      <c r="AE186" s="227"/>
      <c r="AF186" s="227"/>
    </row>
    <row r="187" spans="1:32" x14ac:dyDescent="0.25">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27"/>
      <c r="AC187" s="227"/>
      <c r="AD187" s="227"/>
      <c r="AE187" s="227"/>
      <c r="AF187" s="227"/>
    </row>
    <row r="188" spans="1:32" x14ac:dyDescent="0.25">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27"/>
      <c r="AC188" s="227"/>
      <c r="AD188" s="227"/>
      <c r="AE188" s="227"/>
      <c r="AF188" s="227"/>
    </row>
    <row r="189" spans="1:32" x14ac:dyDescent="0.25">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27"/>
      <c r="AC189" s="227"/>
      <c r="AD189" s="227"/>
      <c r="AE189" s="227"/>
      <c r="AF189" s="227"/>
    </row>
    <row r="190" spans="1:32" x14ac:dyDescent="0.25">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27"/>
      <c r="AC190" s="227"/>
      <c r="AD190" s="227"/>
      <c r="AE190" s="227"/>
      <c r="AF190" s="227"/>
    </row>
    <row r="191" spans="1:32" x14ac:dyDescent="0.25">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27"/>
      <c r="AC191" s="227"/>
      <c r="AD191" s="227"/>
      <c r="AE191" s="227"/>
      <c r="AF191" s="227"/>
    </row>
    <row r="192" spans="1:32" x14ac:dyDescent="0.25">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27"/>
      <c r="AC192" s="227"/>
      <c r="AD192" s="227"/>
      <c r="AE192" s="227"/>
      <c r="AF192" s="227"/>
    </row>
    <row r="193" spans="1:32" x14ac:dyDescent="0.25">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27"/>
      <c r="AC193" s="227"/>
      <c r="AD193" s="227"/>
      <c r="AE193" s="227"/>
      <c r="AF193" s="227"/>
    </row>
    <row r="194" spans="1:32" x14ac:dyDescent="0.25">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27"/>
      <c r="AC194" s="227"/>
      <c r="AD194" s="227"/>
      <c r="AE194" s="227"/>
      <c r="AF194" s="227"/>
    </row>
    <row r="195" spans="1:32" x14ac:dyDescent="0.25">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27"/>
      <c r="AC195" s="227"/>
      <c r="AD195" s="227"/>
      <c r="AE195" s="227"/>
      <c r="AF195" s="227"/>
    </row>
    <row r="196" spans="1:32" x14ac:dyDescent="0.25">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27"/>
      <c r="AC196" s="227"/>
      <c r="AD196" s="227"/>
      <c r="AE196" s="227"/>
      <c r="AF196" s="227"/>
    </row>
    <row r="197" spans="1:32" x14ac:dyDescent="0.25">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27"/>
      <c r="AC197" s="227"/>
      <c r="AD197" s="227"/>
      <c r="AE197" s="227"/>
      <c r="AF197" s="227"/>
    </row>
    <row r="198" spans="1:32" x14ac:dyDescent="0.25">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27"/>
      <c r="AC198" s="227"/>
      <c r="AD198" s="227"/>
      <c r="AE198" s="227"/>
      <c r="AF198" s="227"/>
    </row>
    <row r="199" spans="1:32" x14ac:dyDescent="0.25">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27"/>
      <c r="AC199" s="227"/>
      <c r="AD199" s="227"/>
      <c r="AE199" s="227"/>
      <c r="AF199" s="227"/>
    </row>
    <row r="200" spans="1:32" x14ac:dyDescent="0.25">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27"/>
      <c r="AC200" s="227"/>
      <c r="AD200" s="227"/>
      <c r="AE200" s="227"/>
      <c r="AF200" s="227"/>
    </row>
    <row r="201" spans="1:32" x14ac:dyDescent="0.25">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27"/>
      <c r="AC201" s="227"/>
      <c r="AD201" s="227"/>
      <c r="AE201" s="227"/>
      <c r="AF201" s="227"/>
    </row>
    <row r="202" spans="1:32" x14ac:dyDescent="0.25">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c r="AC202" s="227"/>
      <c r="AD202" s="227"/>
      <c r="AE202" s="227"/>
      <c r="AF202" s="227"/>
    </row>
    <row r="203" spans="1:32" x14ac:dyDescent="0.25">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27"/>
      <c r="AC203" s="227"/>
      <c r="AD203" s="227"/>
      <c r="AE203" s="227"/>
      <c r="AF203" s="227"/>
    </row>
    <row r="204" spans="1:32" x14ac:dyDescent="0.25">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27"/>
      <c r="AC204" s="227"/>
      <c r="AD204" s="227"/>
      <c r="AE204" s="227"/>
      <c r="AF204" s="227"/>
    </row>
    <row r="205" spans="1:32" x14ac:dyDescent="0.25">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27"/>
      <c r="AC205" s="227"/>
      <c r="AD205" s="227"/>
      <c r="AE205" s="227"/>
      <c r="AF205" s="227"/>
    </row>
    <row r="206" spans="1:32" x14ac:dyDescent="0.25">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27"/>
      <c r="AC206" s="227"/>
      <c r="AD206" s="227"/>
      <c r="AE206" s="227"/>
      <c r="AF206" s="227"/>
    </row>
    <row r="207" spans="1:32" x14ac:dyDescent="0.25">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27"/>
      <c r="AC207" s="227"/>
      <c r="AD207" s="227"/>
      <c r="AE207" s="227"/>
      <c r="AF207" s="227"/>
    </row>
    <row r="208" spans="1:32" x14ac:dyDescent="0.25">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27"/>
      <c r="AC208" s="227"/>
      <c r="AD208" s="227"/>
      <c r="AE208" s="227"/>
      <c r="AF208" s="227"/>
    </row>
    <row r="209" spans="1:32" x14ac:dyDescent="0.25">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27"/>
      <c r="AC209" s="227"/>
      <c r="AD209" s="227"/>
      <c r="AE209" s="227"/>
      <c r="AF209" s="227"/>
    </row>
    <row r="210" spans="1:32" x14ac:dyDescent="0.25">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27"/>
      <c r="AC210" s="227"/>
      <c r="AD210" s="227"/>
      <c r="AE210" s="227"/>
      <c r="AF210" s="227"/>
    </row>
    <row r="211" spans="1:32" x14ac:dyDescent="0.25">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27"/>
      <c r="AC211" s="227"/>
      <c r="AD211" s="227"/>
      <c r="AE211" s="227"/>
      <c r="AF211" s="227"/>
    </row>
    <row r="212" spans="1:32" x14ac:dyDescent="0.25">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27"/>
      <c r="AC212" s="227"/>
      <c r="AD212" s="227"/>
      <c r="AE212" s="227"/>
      <c r="AF212" s="227"/>
    </row>
    <row r="213" spans="1:32" x14ac:dyDescent="0.25">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27"/>
      <c r="AC213" s="227"/>
      <c r="AD213" s="227"/>
      <c r="AE213" s="227"/>
      <c r="AF213" s="227"/>
    </row>
    <row r="214" spans="1:32" x14ac:dyDescent="0.25">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27"/>
      <c r="AC214" s="227"/>
      <c r="AD214" s="227"/>
      <c r="AE214" s="227"/>
      <c r="AF214" s="227"/>
    </row>
    <row r="215" spans="1:32" x14ac:dyDescent="0.25">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27"/>
      <c r="AC215" s="227"/>
      <c r="AD215" s="227"/>
      <c r="AE215" s="227"/>
      <c r="AF215" s="227"/>
    </row>
    <row r="216" spans="1:32" x14ac:dyDescent="0.25">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27"/>
      <c r="AC216" s="227"/>
      <c r="AD216" s="227"/>
      <c r="AE216" s="227"/>
      <c r="AF216" s="227"/>
    </row>
    <row r="217" spans="1:32" x14ac:dyDescent="0.25">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27"/>
      <c r="AC217" s="227"/>
      <c r="AD217" s="227"/>
      <c r="AE217" s="227"/>
      <c r="AF217" s="227"/>
    </row>
    <row r="218" spans="1:32" x14ac:dyDescent="0.25">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27"/>
      <c r="AC218" s="227"/>
      <c r="AD218" s="227"/>
      <c r="AE218" s="227"/>
      <c r="AF218" s="227"/>
    </row>
    <row r="219" spans="1:32" x14ac:dyDescent="0.25">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27"/>
      <c r="AC219" s="227"/>
      <c r="AD219" s="227"/>
      <c r="AE219" s="227"/>
      <c r="AF219" s="227"/>
    </row>
    <row r="220" spans="1:32" x14ac:dyDescent="0.25">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27"/>
      <c r="AC220" s="227"/>
      <c r="AD220" s="227"/>
      <c r="AE220" s="227"/>
      <c r="AF220" s="227"/>
    </row>
    <row r="221" spans="1:32" x14ac:dyDescent="0.25">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27"/>
      <c r="AC221" s="227"/>
      <c r="AD221" s="227"/>
      <c r="AE221" s="227"/>
      <c r="AF221" s="227"/>
    </row>
    <row r="222" spans="1:32" x14ac:dyDescent="0.25">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27"/>
      <c r="AC222" s="227"/>
      <c r="AD222" s="227"/>
      <c r="AE222" s="227"/>
      <c r="AF222" s="227"/>
    </row>
    <row r="223" spans="1:32" x14ac:dyDescent="0.25">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27"/>
      <c r="AC223" s="227"/>
      <c r="AD223" s="227"/>
      <c r="AE223" s="227"/>
      <c r="AF223" s="227"/>
    </row>
    <row r="224" spans="1:32" x14ac:dyDescent="0.25">
      <c r="A224" s="227"/>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27"/>
      <c r="AC224" s="227"/>
      <c r="AD224" s="227"/>
      <c r="AE224" s="227"/>
      <c r="AF224" s="227"/>
    </row>
    <row r="225" spans="1:32" x14ac:dyDescent="0.25">
      <c r="A225" s="227"/>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27"/>
      <c r="AC225" s="227"/>
      <c r="AD225" s="227"/>
      <c r="AE225" s="227"/>
      <c r="AF225" s="227"/>
    </row>
    <row r="226" spans="1:32" x14ac:dyDescent="0.25">
      <c r="A226" s="227"/>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27"/>
      <c r="AC226" s="227"/>
      <c r="AD226" s="227"/>
      <c r="AE226" s="227"/>
      <c r="AF226" s="227"/>
    </row>
    <row r="227" spans="1:32" x14ac:dyDescent="0.25">
      <c r="A227" s="227"/>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27"/>
      <c r="AC227" s="227"/>
      <c r="AD227" s="227"/>
      <c r="AE227" s="227"/>
      <c r="AF227" s="227"/>
    </row>
    <row r="228" spans="1:32" x14ac:dyDescent="0.25">
      <c r="A228" s="227"/>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27"/>
      <c r="AC228" s="227"/>
      <c r="AD228" s="227"/>
      <c r="AE228" s="227"/>
      <c r="AF228" s="227"/>
    </row>
    <row r="229" spans="1:32" x14ac:dyDescent="0.25">
      <c r="A229" s="227"/>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27"/>
      <c r="AC229" s="227"/>
      <c r="AD229" s="227"/>
      <c r="AE229" s="227"/>
      <c r="AF229" s="227"/>
    </row>
    <row r="230" spans="1:32" x14ac:dyDescent="0.25">
      <c r="A230" s="227"/>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27"/>
      <c r="AC230" s="227"/>
      <c r="AD230" s="227"/>
      <c r="AE230" s="227"/>
      <c r="AF230" s="227"/>
    </row>
    <row r="231" spans="1:32" x14ac:dyDescent="0.25">
      <c r="A231" s="227"/>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27"/>
      <c r="AC231" s="227"/>
      <c r="AD231" s="227"/>
      <c r="AE231" s="227"/>
      <c r="AF231" s="227"/>
    </row>
    <row r="232" spans="1:32" x14ac:dyDescent="0.25">
      <c r="A232" s="227"/>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27"/>
      <c r="AC232" s="227"/>
      <c r="AD232" s="227"/>
      <c r="AE232" s="227"/>
      <c r="AF232" s="227"/>
    </row>
    <row r="233" spans="1:32" x14ac:dyDescent="0.25">
      <c r="A233" s="227"/>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27"/>
      <c r="AC233" s="227"/>
      <c r="AD233" s="227"/>
      <c r="AE233" s="227"/>
      <c r="AF233" s="227"/>
    </row>
    <row r="234" spans="1:32" x14ac:dyDescent="0.25">
      <c r="A234" s="227"/>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27"/>
      <c r="AC234" s="227"/>
      <c r="AD234" s="227"/>
      <c r="AE234" s="227"/>
      <c r="AF234" s="227"/>
    </row>
    <row r="235" spans="1:32" x14ac:dyDescent="0.25">
      <c r="A235" s="227"/>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27"/>
      <c r="AC235" s="227"/>
      <c r="AD235" s="227"/>
      <c r="AE235" s="227"/>
      <c r="AF235" s="227"/>
    </row>
    <row r="236" spans="1:32" x14ac:dyDescent="0.25">
      <c r="A236" s="227"/>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27"/>
      <c r="AC236" s="227"/>
      <c r="AD236" s="227"/>
      <c r="AE236" s="227"/>
      <c r="AF236" s="227"/>
    </row>
    <row r="237" spans="1:32" x14ac:dyDescent="0.25">
      <c r="A237" s="227"/>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27"/>
      <c r="AC237" s="227"/>
      <c r="AD237" s="227"/>
      <c r="AE237" s="227"/>
      <c r="AF237" s="227"/>
    </row>
    <row r="238" spans="1:32" x14ac:dyDescent="0.25">
      <c r="A238" s="227"/>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27"/>
      <c r="AC238" s="227"/>
      <c r="AD238" s="227"/>
      <c r="AE238" s="227"/>
      <c r="AF238" s="227"/>
    </row>
    <row r="239" spans="1:32" x14ac:dyDescent="0.25">
      <c r="A239" s="227"/>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27"/>
      <c r="AC239" s="227"/>
      <c r="AD239" s="227"/>
      <c r="AE239" s="227"/>
      <c r="AF239" s="227"/>
    </row>
    <row r="240" spans="1:32" x14ac:dyDescent="0.25">
      <c r="A240" s="227"/>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27"/>
      <c r="AC240" s="227"/>
      <c r="AD240" s="227"/>
      <c r="AE240" s="227"/>
      <c r="AF240" s="227"/>
    </row>
    <row r="241" spans="1:32" x14ac:dyDescent="0.25">
      <c r="A241" s="227"/>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row>
    <row r="242" spans="1:32" x14ac:dyDescent="0.25">
      <c r="A242" s="227"/>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27"/>
      <c r="AC242" s="227"/>
      <c r="AD242" s="227"/>
      <c r="AE242" s="227"/>
      <c r="AF242" s="227"/>
    </row>
    <row r="243" spans="1:32" x14ac:dyDescent="0.25">
      <c r="A243" s="227"/>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27"/>
      <c r="AC243" s="227"/>
      <c r="AD243" s="227"/>
      <c r="AE243" s="227"/>
      <c r="AF243" s="227"/>
    </row>
    <row r="244" spans="1:32" x14ac:dyDescent="0.25">
      <c r="A244" s="227"/>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row>
    <row r="245" spans="1:32" x14ac:dyDescent="0.25">
      <c r="A245" s="227"/>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27"/>
      <c r="AC245" s="227"/>
      <c r="AD245" s="227"/>
      <c r="AE245" s="227"/>
      <c r="AF245" s="227"/>
    </row>
    <row r="246" spans="1:32" x14ac:dyDescent="0.25">
      <c r="A246" s="227"/>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27"/>
      <c r="AC246" s="227"/>
      <c r="AD246" s="227"/>
      <c r="AE246" s="227"/>
      <c r="AF246" s="227"/>
    </row>
    <row r="247" spans="1:32" x14ac:dyDescent="0.25">
      <c r="A247" s="227"/>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27"/>
      <c r="AC247" s="227"/>
      <c r="AD247" s="227"/>
      <c r="AE247" s="227"/>
      <c r="AF247" s="227"/>
    </row>
    <row r="248" spans="1:32" x14ac:dyDescent="0.25">
      <c r="A248" s="227"/>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27"/>
      <c r="AC248" s="227"/>
      <c r="AD248" s="227"/>
      <c r="AE248" s="227"/>
      <c r="AF248" s="227"/>
    </row>
    <row r="249" spans="1:32" x14ac:dyDescent="0.25">
      <c r="A249" s="227"/>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27"/>
      <c r="AC249" s="227"/>
      <c r="AD249" s="227"/>
      <c r="AE249" s="227"/>
      <c r="AF249" s="227"/>
    </row>
    <row r="250" spans="1:32" x14ac:dyDescent="0.25">
      <c r="A250" s="227"/>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27"/>
      <c r="AC250" s="227"/>
      <c r="AD250" s="227"/>
      <c r="AE250" s="227"/>
      <c r="AF250" s="227"/>
    </row>
    <row r="251" spans="1:32" x14ac:dyDescent="0.25">
      <c r="A251" s="227"/>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27"/>
      <c r="AC251" s="227"/>
      <c r="AD251" s="227"/>
      <c r="AE251" s="227"/>
      <c r="AF251" s="227"/>
    </row>
    <row r="252" spans="1:32" x14ac:dyDescent="0.25">
      <c r="A252" s="227"/>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27"/>
      <c r="AC252" s="227"/>
      <c r="AD252" s="227"/>
      <c r="AE252" s="227"/>
      <c r="AF252" s="227"/>
    </row>
    <row r="253" spans="1:32" x14ac:dyDescent="0.25">
      <c r="A253" s="227"/>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27"/>
      <c r="AC253" s="227"/>
      <c r="AD253" s="227"/>
      <c r="AE253" s="227"/>
      <c r="AF253" s="227"/>
    </row>
    <row r="254" spans="1:32" x14ac:dyDescent="0.25">
      <c r="A254" s="227"/>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27"/>
      <c r="AC254" s="227"/>
      <c r="AD254" s="227"/>
      <c r="AE254" s="227"/>
      <c r="AF254" s="227"/>
    </row>
    <row r="255" spans="1:32" x14ac:dyDescent="0.25">
      <c r="A255" s="227"/>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27"/>
      <c r="AC255" s="227"/>
      <c r="AD255" s="227"/>
      <c r="AE255" s="227"/>
      <c r="AF255" s="227"/>
    </row>
    <row r="256" spans="1:32" x14ac:dyDescent="0.25">
      <c r="A256" s="227"/>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27"/>
      <c r="AC256" s="227"/>
      <c r="AD256" s="227"/>
      <c r="AE256" s="227"/>
      <c r="AF256" s="227"/>
    </row>
    <row r="257" spans="1:32" x14ac:dyDescent="0.25">
      <c r="A257" s="227"/>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27"/>
      <c r="AC257" s="227"/>
      <c r="AD257" s="227"/>
      <c r="AE257" s="227"/>
      <c r="AF257" s="227"/>
    </row>
    <row r="258" spans="1:32" x14ac:dyDescent="0.25">
      <c r="A258" s="227"/>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27"/>
      <c r="AC258" s="227"/>
      <c r="AD258" s="227"/>
      <c r="AE258" s="227"/>
      <c r="AF258" s="227"/>
    </row>
    <row r="259" spans="1:32" x14ac:dyDescent="0.25">
      <c r="A259" s="227"/>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27"/>
      <c r="AC259" s="227"/>
      <c r="AD259" s="227"/>
      <c r="AE259" s="227"/>
      <c r="AF259" s="227"/>
    </row>
    <row r="260" spans="1:32" x14ac:dyDescent="0.25">
      <c r="A260" s="227"/>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27"/>
      <c r="AC260" s="227"/>
      <c r="AD260" s="227"/>
      <c r="AE260" s="227"/>
      <c r="AF260" s="227"/>
    </row>
    <row r="261" spans="1:32" x14ac:dyDescent="0.25">
      <c r="A261" s="227"/>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27"/>
      <c r="AC261" s="227"/>
      <c r="AD261" s="227"/>
      <c r="AE261" s="227"/>
      <c r="AF261" s="227"/>
    </row>
    <row r="262" spans="1:32" x14ac:dyDescent="0.25">
      <c r="A262" s="227"/>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27"/>
      <c r="AC262" s="227"/>
      <c r="AD262" s="227"/>
      <c r="AE262" s="227"/>
      <c r="AF262" s="227"/>
    </row>
    <row r="263" spans="1:32" x14ac:dyDescent="0.25">
      <c r="A263" s="227"/>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27"/>
      <c r="AC263" s="227"/>
      <c r="AD263" s="227"/>
      <c r="AE263" s="227"/>
      <c r="AF263" s="227"/>
    </row>
    <row r="264" spans="1:32" x14ac:dyDescent="0.25">
      <c r="A264" s="227"/>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27"/>
      <c r="AC264" s="227"/>
      <c r="AD264" s="227"/>
      <c r="AE264" s="227"/>
      <c r="AF264" s="227"/>
    </row>
    <row r="265" spans="1:32" x14ac:dyDescent="0.25">
      <c r="A265" s="227"/>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27"/>
      <c r="AC265" s="227"/>
      <c r="AD265" s="227"/>
      <c r="AE265" s="227"/>
      <c r="AF265" s="227"/>
    </row>
    <row r="266" spans="1:32" x14ac:dyDescent="0.25">
      <c r="A266" s="227"/>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27"/>
      <c r="AC266" s="227"/>
      <c r="AD266" s="227"/>
      <c r="AE266" s="227"/>
      <c r="AF266" s="227"/>
    </row>
    <row r="267" spans="1:32" x14ac:dyDescent="0.25">
      <c r="A267" s="227"/>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27"/>
      <c r="AC267" s="227"/>
      <c r="AD267" s="227"/>
      <c r="AE267" s="227"/>
      <c r="AF267" s="227"/>
    </row>
    <row r="268" spans="1:32" x14ac:dyDescent="0.25">
      <c r="A268" s="227"/>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27"/>
      <c r="AC268" s="227"/>
      <c r="AD268" s="227"/>
      <c r="AE268" s="227"/>
      <c r="AF268" s="227"/>
    </row>
    <row r="269" spans="1:32" x14ac:dyDescent="0.25">
      <c r="A269" s="227"/>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27"/>
      <c r="AC269" s="227"/>
      <c r="AD269" s="227"/>
      <c r="AE269" s="227"/>
      <c r="AF269" s="227"/>
    </row>
    <row r="270" spans="1:32" x14ac:dyDescent="0.25">
      <c r="A270" s="227"/>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27"/>
      <c r="AC270" s="227"/>
      <c r="AD270" s="227"/>
      <c r="AE270" s="227"/>
      <c r="AF270" s="227"/>
    </row>
    <row r="271" spans="1:32" x14ac:dyDescent="0.25">
      <c r="A271" s="227"/>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c r="AA271" s="227"/>
      <c r="AB271" s="227"/>
      <c r="AC271" s="227"/>
      <c r="AD271" s="227"/>
      <c r="AE271" s="227"/>
      <c r="AF271" s="227"/>
    </row>
    <row r="272" spans="1:32" x14ac:dyDescent="0.25">
      <c r="A272" s="227"/>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c r="AA272" s="227"/>
      <c r="AB272" s="227"/>
      <c r="AC272" s="227"/>
      <c r="AD272" s="227"/>
      <c r="AE272" s="227"/>
      <c r="AF272" s="227"/>
    </row>
    <row r="273" spans="1:32" x14ac:dyDescent="0.25">
      <c r="A273" s="227"/>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c r="AA273" s="227"/>
      <c r="AB273" s="227"/>
      <c r="AC273" s="227"/>
      <c r="AD273" s="227"/>
      <c r="AE273" s="227"/>
      <c r="AF273" s="227"/>
    </row>
    <row r="274" spans="1:32" x14ac:dyDescent="0.25">
      <c r="A274" s="227"/>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c r="AA274" s="227"/>
      <c r="AB274" s="227"/>
      <c r="AC274" s="227"/>
      <c r="AD274" s="227"/>
      <c r="AE274" s="227"/>
      <c r="AF274" s="227"/>
    </row>
    <row r="275" spans="1:32" x14ac:dyDescent="0.25">
      <c r="A275" s="227"/>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c r="AA275" s="227"/>
      <c r="AB275" s="227"/>
      <c r="AC275" s="227"/>
      <c r="AD275" s="227"/>
      <c r="AE275" s="227"/>
      <c r="AF275" s="227"/>
    </row>
    <row r="276" spans="1:32" x14ac:dyDescent="0.25">
      <c r="A276" s="227"/>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c r="AA276" s="227"/>
      <c r="AB276" s="227"/>
      <c r="AC276" s="227"/>
      <c r="AD276" s="227"/>
      <c r="AE276" s="227"/>
      <c r="AF276" s="227"/>
    </row>
    <row r="277" spans="1:32" x14ac:dyDescent="0.25">
      <c r="A277" s="227"/>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c r="AA277" s="227"/>
      <c r="AB277" s="227"/>
      <c r="AC277" s="227"/>
      <c r="AD277" s="227"/>
      <c r="AE277" s="227"/>
      <c r="AF277" s="227"/>
    </row>
    <row r="278" spans="1:32" x14ac:dyDescent="0.25">
      <c r="A278" s="227"/>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c r="AA278" s="227"/>
      <c r="AB278" s="227"/>
      <c r="AC278" s="227"/>
      <c r="AD278" s="227"/>
      <c r="AE278" s="227"/>
      <c r="AF278" s="227"/>
    </row>
    <row r="279" spans="1:32" x14ac:dyDescent="0.25">
      <c r="A279" s="227"/>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c r="AA279" s="227"/>
      <c r="AB279" s="227"/>
      <c r="AC279" s="227"/>
      <c r="AD279" s="227"/>
      <c r="AE279" s="227"/>
      <c r="AF279" s="227"/>
    </row>
    <row r="280" spans="1:32" x14ac:dyDescent="0.25">
      <c r="A280" s="227"/>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c r="AA280" s="227"/>
      <c r="AB280" s="227"/>
      <c r="AC280" s="227"/>
      <c r="AD280" s="227"/>
      <c r="AE280" s="227"/>
      <c r="AF280" s="227"/>
    </row>
    <row r="281" spans="1:32" x14ac:dyDescent="0.25">
      <c r="A281" s="227"/>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c r="AA281" s="227"/>
      <c r="AB281" s="227"/>
      <c r="AC281" s="227"/>
      <c r="AD281" s="227"/>
      <c r="AE281" s="227"/>
      <c r="AF281" s="227"/>
    </row>
    <row r="282" spans="1:32" x14ac:dyDescent="0.25">
      <c r="A282" s="227"/>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27"/>
      <c r="AC282" s="227"/>
      <c r="AD282" s="227"/>
      <c r="AE282" s="227"/>
      <c r="AF282" s="227"/>
    </row>
    <row r="283" spans="1:32" x14ac:dyDescent="0.25">
      <c r="A283" s="227"/>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27"/>
      <c r="AC283" s="227"/>
      <c r="AD283" s="227"/>
      <c r="AE283" s="227"/>
      <c r="AF283" s="227"/>
    </row>
    <row r="284" spans="1:32" x14ac:dyDescent="0.25">
      <c r="A284" s="227"/>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27"/>
      <c r="AC284" s="227"/>
      <c r="AD284" s="227"/>
      <c r="AE284" s="227"/>
      <c r="AF284" s="227"/>
    </row>
    <row r="285" spans="1:32" x14ac:dyDescent="0.25">
      <c r="A285" s="227"/>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c r="AA285" s="227"/>
      <c r="AB285" s="227"/>
      <c r="AC285" s="227"/>
      <c r="AD285" s="227"/>
      <c r="AE285" s="227"/>
      <c r="AF285" s="227"/>
    </row>
    <row r="286" spans="1:32" x14ac:dyDescent="0.25">
      <c r="A286" s="227"/>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c r="AA286" s="227"/>
      <c r="AB286" s="227"/>
      <c r="AC286" s="227"/>
      <c r="AD286" s="227"/>
      <c r="AE286" s="227"/>
      <c r="AF286" s="227"/>
    </row>
    <row r="287" spans="1:32" x14ac:dyDescent="0.25">
      <c r="A287" s="227"/>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c r="AA287" s="227"/>
      <c r="AB287" s="227"/>
      <c r="AC287" s="227"/>
      <c r="AD287" s="227"/>
      <c r="AE287" s="227"/>
      <c r="AF287" s="227"/>
    </row>
    <row r="288" spans="1:32" x14ac:dyDescent="0.25">
      <c r="A288" s="227"/>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c r="AA288" s="227"/>
      <c r="AB288" s="227"/>
      <c r="AC288" s="227"/>
      <c r="AD288" s="227"/>
      <c r="AE288" s="227"/>
      <c r="AF288" s="227"/>
    </row>
    <row r="289" spans="1:32" x14ac:dyDescent="0.25">
      <c r="A289" s="227"/>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c r="AA289" s="227"/>
      <c r="AB289" s="227"/>
      <c r="AC289" s="227"/>
      <c r="AD289" s="227"/>
      <c r="AE289" s="227"/>
      <c r="AF289" s="227"/>
    </row>
    <row r="290" spans="1:32" x14ac:dyDescent="0.25">
      <c r="A290" s="227"/>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c r="AA290" s="227"/>
      <c r="AB290" s="227"/>
      <c r="AC290" s="227"/>
      <c r="AD290" s="227"/>
      <c r="AE290" s="227"/>
      <c r="AF290" s="227"/>
    </row>
    <row r="291" spans="1:32" x14ac:dyDescent="0.25">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c r="AA291" s="227"/>
      <c r="AB291" s="227"/>
      <c r="AC291" s="227"/>
      <c r="AD291" s="227"/>
      <c r="AE291" s="227"/>
      <c r="AF291" s="227"/>
    </row>
    <row r="292" spans="1:32" x14ac:dyDescent="0.25">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c r="AA292" s="227"/>
      <c r="AB292" s="227"/>
      <c r="AC292" s="227"/>
      <c r="AD292" s="227"/>
      <c r="AE292" s="227"/>
      <c r="AF292" s="227"/>
    </row>
    <row r="293" spans="1:32" x14ac:dyDescent="0.25">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27"/>
      <c r="AC293" s="227"/>
      <c r="AD293" s="227"/>
      <c r="AE293" s="227"/>
      <c r="AF293" s="227"/>
    </row>
    <row r="294" spans="1:32" x14ac:dyDescent="0.25">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c r="AA294" s="227"/>
      <c r="AB294" s="227"/>
      <c r="AC294" s="227"/>
      <c r="AD294" s="227"/>
      <c r="AE294" s="227"/>
      <c r="AF294" s="227"/>
    </row>
    <row r="295" spans="1:32" x14ac:dyDescent="0.25">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row>
    <row r="296" spans="1:32" x14ac:dyDescent="0.25">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c r="AA296" s="227"/>
      <c r="AB296" s="227"/>
      <c r="AC296" s="227"/>
      <c r="AD296" s="227"/>
      <c r="AE296" s="227"/>
      <c r="AF296" s="227"/>
    </row>
    <row r="297" spans="1:32" x14ac:dyDescent="0.25">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c r="AA297" s="227"/>
      <c r="AB297" s="227"/>
      <c r="AC297" s="227"/>
      <c r="AD297" s="227"/>
      <c r="AE297" s="227"/>
      <c r="AF297" s="227"/>
    </row>
    <row r="298" spans="1:32" x14ac:dyDescent="0.25">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c r="AA298" s="227"/>
      <c r="AB298" s="227"/>
      <c r="AC298" s="227"/>
      <c r="AD298" s="227"/>
      <c r="AE298" s="227"/>
      <c r="AF298" s="227"/>
    </row>
    <row r="299" spans="1:32" x14ac:dyDescent="0.25">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c r="AA299" s="227"/>
      <c r="AB299" s="227"/>
      <c r="AC299" s="227"/>
      <c r="AD299" s="227"/>
      <c r="AE299" s="227"/>
      <c r="AF299" s="227"/>
    </row>
    <row r="300" spans="1:32" x14ac:dyDescent="0.25">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c r="AA300" s="227"/>
      <c r="AB300" s="227"/>
      <c r="AC300" s="227"/>
      <c r="AD300" s="227"/>
      <c r="AE300" s="227"/>
      <c r="AF300" s="227"/>
    </row>
    <row r="301" spans="1:32" x14ac:dyDescent="0.25">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27"/>
      <c r="AC301" s="227"/>
      <c r="AD301" s="227"/>
      <c r="AE301" s="227"/>
      <c r="AF301" s="227"/>
    </row>
    <row r="302" spans="1:32" x14ac:dyDescent="0.25">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27"/>
      <c r="AC302" s="227"/>
      <c r="AD302" s="227"/>
      <c r="AE302" s="227"/>
      <c r="AF302" s="227"/>
    </row>
    <row r="303" spans="1:32" x14ac:dyDescent="0.25">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27"/>
      <c r="AC303" s="227"/>
      <c r="AD303" s="227"/>
      <c r="AE303" s="227"/>
      <c r="AF303" s="227"/>
    </row>
    <row r="304" spans="1:32" x14ac:dyDescent="0.25">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27"/>
      <c r="AC304" s="227"/>
      <c r="AD304" s="227"/>
      <c r="AE304" s="227"/>
      <c r="AF304" s="227"/>
    </row>
    <row r="305" spans="1:32" x14ac:dyDescent="0.25">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c r="AA305" s="227"/>
      <c r="AB305" s="227"/>
      <c r="AC305" s="227"/>
      <c r="AD305" s="227"/>
      <c r="AE305" s="227"/>
      <c r="AF305" s="227"/>
    </row>
    <row r="306" spans="1:32" x14ac:dyDescent="0.25">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c r="AA306" s="227"/>
      <c r="AB306" s="227"/>
      <c r="AC306" s="227"/>
      <c r="AD306" s="227"/>
      <c r="AE306" s="227"/>
      <c r="AF306" s="227"/>
    </row>
    <row r="307" spans="1:32" x14ac:dyDescent="0.25">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c r="AA307" s="227"/>
      <c r="AB307" s="227"/>
      <c r="AC307" s="227"/>
      <c r="AD307" s="227"/>
      <c r="AE307" s="227"/>
      <c r="AF307" s="227"/>
    </row>
    <row r="308" spans="1:32" x14ac:dyDescent="0.25">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c r="AA308" s="227"/>
      <c r="AB308" s="227"/>
      <c r="AC308" s="227"/>
      <c r="AD308" s="227"/>
      <c r="AE308" s="227"/>
      <c r="AF308" s="227"/>
    </row>
    <row r="309" spans="1:32" x14ac:dyDescent="0.25">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c r="AA309" s="227"/>
      <c r="AB309" s="227"/>
      <c r="AC309" s="227"/>
      <c r="AD309" s="227"/>
      <c r="AE309" s="227"/>
      <c r="AF309" s="227"/>
    </row>
    <row r="310" spans="1:32" x14ac:dyDescent="0.25">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c r="AA310" s="227"/>
      <c r="AB310" s="227"/>
      <c r="AC310" s="227"/>
      <c r="AD310" s="227"/>
      <c r="AE310" s="227"/>
      <c r="AF310" s="227"/>
    </row>
    <row r="311" spans="1:32" x14ac:dyDescent="0.25">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c r="AA311" s="227"/>
      <c r="AB311" s="227"/>
      <c r="AC311" s="227"/>
      <c r="AD311" s="227"/>
      <c r="AE311" s="227"/>
      <c r="AF311" s="227"/>
    </row>
    <row r="312" spans="1:32" x14ac:dyDescent="0.25">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c r="AA312" s="227"/>
      <c r="AB312" s="227"/>
      <c r="AC312" s="227"/>
      <c r="AD312" s="227"/>
      <c r="AE312" s="227"/>
      <c r="AF312" s="227"/>
    </row>
    <row r="313" spans="1:32" x14ac:dyDescent="0.25">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row>
    <row r="314" spans="1:32" x14ac:dyDescent="0.25">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c r="AA314" s="227"/>
      <c r="AB314" s="227"/>
      <c r="AC314" s="227"/>
      <c r="AD314" s="227"/>
      <c r="AE314" s="227"/>
      <c r="AF314" s="227"/>
    </row>
    <row r="315" spans="1:32" x14ac:dyDescent="0.25">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c r="AA315" s="227"/>
      <c r="AB315" s="227"/>
      <c r="AC315" s="227"/>
      <c r="AD315" s="227"/>
      <c r="AE315" s="227"/>
      <c r="AF315" s="227"/>
    </row>
    <row r="316" spans="1:32" x14ac:dyDescent="0.25">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c r="AA316" s="227"/>
      <c r="AB316" s="227"/>
      <c r="AC316" s="227"/>
      <c r="AD316" s="227"/>
      <c r="AE316" s="227"/>
      <c r="AF316" s="227"/>
    </row>
    <row r="317" spans="1:32" x14ac:dyDescent="0.25">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c r="AA317" s="227"/>
      <c r="AB317" s="227"/>
      <c r="AC317" s="227"/>
      <c r="AD317" s="227"/>
      <c r="AE317" s="227"/>
      <c r="AF317" s="227"/>
    </row>
    <row r="318" spans="1:32" x14ac:dyDescent="0.25">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c r="AA318" s="227"/>
      <c r="AB318" s="227"/>
      <c r="AC318" s="227"/>
      <c r="AD318" s="227"/>
      <c r="AE318" s="227"/>
      <c r="AF318" s="227"/>
    </row>
    <row r="319" spans="1:32" x14ac:dyDescent="0.25">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c r="AA319" s="227"/>
      <c r="AB319" s="227"/>
      <c r="AC319" s="227"/>
      <c r="AD319" s="227"/>
      <c r="AE319" s="227"/>
      <c r="AF319" s="227"/>
    </row>
    <row r="320" spans="1:32" x14ac:dyDescent="0.25">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c r="AA320" s="227"/>
      <c r="AB320" s="227"/>
      <c r="AC320" s="227"/>
      <c r="AD320" s="227"/>
      <c r="AE320" s="227"/>
      <c r="AF320" s="227"/>
    </row>
    <row r="321" spans="1:32" x14ac:dyDescent="0.25">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c r="AA321" s="227"/>
      <c r="AB321" s="227"/>
      <c r="AC321" s="227"/>
      <c r="AD321" s="227"/>
      <c r="AE321" s="227"/>
      <c r="AF321" s="227"/>
    </row>
    <row r="322" spans="1:32" x14ac:dyDescent="0.25">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c r="AA322" s="227"/>
      <c r="AB322" s="227"/>
      <c r="AC322" s="227"/>
      <c r="AD322" s="227"/>
      <c r="AE322" s="227"/>
      <c r="AF322" s="227"/>
    </row>
    <row r="323" spans="1:32" x14ac:dyDescent="0.25">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c r="AA323" s="227"/>
      <c r="AB323" s="227"/>
      <c r="AC323" s="227"/>
      <c r="AD323" s="227"/>
      <c r="AE323" s="227"/>
      <c r="AF323" s="227"/>
    </row>
    <row r="324" spans="1:32" x14ac:dyDescent="0.25">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c r="AA324" s="227"/>
      <c r="AB324" s="227"/>
      <c r="AC324" s="227"/>
      <c r="AD324" s="227"/>
      <c r="AE324" s="227"/>
      <c r="AF324" s="227"/>
    </row>
    <row r="325" spans="1:32" x14ac:dyDescent="0.25">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c r="AA325" s="227"/>
      <c r="AB325" s="227"/>
      <c r="AC325" s="227"/>
      <c r="AD325" s="227"/>
      <c r="AE325" s="227"/>
      <c r="AF325" s="227"/>
    </row>
    <row r="326" spans="1:32" x14ac:dyDescent="0.25">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c r="AA326" s="227"/>
      <c r="AB326" s="227"/>
      <c r="AC326" s="227"/>
      <c r="AD326" s="227"/>
      <c r="AE326" s="227"/>
      <c r="AF326" s="227"/>
    </row>
    <row r="327" spans="1:32" x14ac:dyDescent="0.25">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c r="AA327" s="227"/>
      <c r="AB327" s="227"/>
      <c r="AC327" s="227"/>
      <c r="AD327" s="227"/>
      <c r="AE327" s="227"/>
      <c r="AF327" s="227"/>
    </row>
    <row r="328" spans="1:32" x14ac:dyDescent="0.25">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c r="AA328" s="227"/>
      <c r="AB328" s="227"/>
      <c r="AC328" s="227"/>
      <c r="AD328" s="227"/>
      <c r="AE328" s="227"/>
      <c r="AF328" s="227"/>
    </row>
    <row r="329" spans="1:32" x14ac:dyDescent="0.25">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c r="AA329" s="227"/>
      <c r="AB329" s="227"/>
      <c r="AC329" s="227"/>
      <c r="AD329" s="227"/>
      <c r="AE329" s="227"/>
      <c r="AF329" s="227"/>
    </row>
    <row r="330" spans="1:32" x14ac:dyDescent="0.25">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c r="AA330" s="227"/>
      <c r="AB330" s="227"/>
      <c r="AC330" s="227"/>
      <c r="AD330" s="227"/>
      <c r="AE330" s="227"/>
      <c r="AF330" s="227"/>
    </row>
    <row r="331" spans="1:32" x14ac:dyDescent="0.25">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c r="AA331" s="227"/>
      <c r="AB331" s="227"/>
      <c r="AC331" s="227"/>
      <c r="AD331" s="227"/>
      <c r="AE331" s="227"/>
      <c r="AF331" s="227"/>
    </row>
    <row r="332" spans="1:32" x14ac:dyDescent="0.25">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27"/>
      <c r="AC332" s="227"/>
      <c r="AD332" s="227"/>
      <c r="AE332" s="227"/>
      <c r="AF332" s="227"/>
    </row>
    <row r="333" spans="1:32" x14ac:dyDescent="0.25">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227"/>
      <c r="AC333" s="227"/>
      <c r="AD333" s="227"/>
      <c r="AE333" s="227"/>
      <c r="AF333" s="227"/>
    </row>
    <row r="334" spans="1:32" x14ac:dyDescent="0.25">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227"/>
      <c r="AC334" s="227"/>
      <c r="AD334" s="227"/>
      <c r="AE334" s="227"/>
      <c r="AF334" s="227"/>
    </row>
    <row r="335" spans="1:32" x14ac:dyDescent="0.25">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c r="AA335" s="227"/>
      <c r="AB335" s="227"/>
      <c r="AC335" s="227"/>
      <c r="AD335" s="227"/>
      <c r="AE335" s="227"/>
      <c r="AF335" s="227"/>
    </row>
    <row r="336" spans="1:32" x14ac:dyDescent="0.25">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c r="AA336" s="227"/>
      <c r="AB336" s="227"/>
      <c r="AC336" s="227"/>
      <c r="AD336" s="227"/>
      <c r="AE336" s="227"/>
      <c r="AF336" s="227"/>
    </row>
    <row r="337" spans="1:32" x14ac:dyDescent="0.25">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c r="AA337" s="227"/>
      <c r="AB337" s="227"/>
      <c r="AC337" s="227"/>
      <c r="AD337" s="227"/>
      <c r="AE337" s="227"/>
      <c r="AF337" s="227"/>
    </row>
    <row r="338" spans="1:32" x14ac:dyDescent="0.25">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c r="AA338" s="227"/>
      <c r="AB338" s="227"/>
      <c r="AC338" s="227"/>
      <c r="AD338" s="227"/>
      <c r="AE338" s="227"/>
      <c r="AF338" s="227"/>
    </row>
    <row r="339" spans="1:32" x14ac:dyDescent="0.25">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c r="AA339" s="227"/>
      <c r="AB339" s="227"/>
      <c r="AC339" s="227"/>
      <c r="AD339" s="227"/>
      <c r="AE339" s="227"/>
      <c r="AF339" s="227"/>
    </row>
    <row r="340" spans="1:32" x14ac:dyDescent="0.25">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c r="AA340" s="227"/>
      <c r="AB340" s="227"/>
      <c r="AC340" s="227"/>
      <c r="AD340" s="227"/>
      <c r="AE340" s="227"/>
      <c r="AF340" s="227"/>
    </row>
    <row r="341" spans="1:32" x14ac:dyDescent="0.25">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c r="AA341" s="227"/>
      <c r="AB341" s="227"/>
      <c r="AC341" s="227"/>
      <c r="AD341" s="227"/>
      <c r="AE341" s="227"/>
      <c r="AF341" s="227"/>
    </row>
    <row r="342" spans="1:32" x14ac:dyDescent="0.25">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c r="AA342" s="227"/>
      <c r="AB342" s="227"/>
      <c r="AC342" s="227"/>
      <c r="AD342" s="227"/>
      <c r="AE342" s="227"/>
      <c r="AF342" s="227"/>
    </row>
    <row r="343" spans="1:32" x14ac:dyDescent="0.25">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c r="AA343" s="227"/>
      <c r="AB343" s="227"/>
      <c r="AC343" s="227"/>
      <c r="AD343" s="227"/>
      <c r="AE343" s="227"/>
      <c r="AF343" s="227"/>
    </row>
    <row r="344" spans="1:32" x14ac:dyDescent="0.25">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c r="AA344" s="227"/>
      <c r="AB344" s="227"/>
      <c r="AC344" s="227"/>
      <c r="AD344" s="227"/>
      <c r="AE344" s="227"/>
      <c r="AF344" s="227"/>
    </row>
    <row r="345" spans="1:32" x14ac:dyDescent="0.25">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c r="AA345" s="227"/>
      <c r="AB345" s="227"/>
      <c r="AC345" s="227"/>
      <c r="AD345" s="227"/>
      <c r="AE345" s="227"/>
      <c r="AF345" s="227"/>
    </row>
    <row r="346" spans="1:32" x14ac:dyDescent="0.25">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c r="AA346" s="227"/>
      <c r="AB346" s="227"/>
      <c r="AC346" s="227"/>
      <c r="AD346" s="227"/>
      <c r="AE346" s="227"/>
      <c r="AF346" s="227"/>
    </row>
    <row r="347" spans="1:32" x14ac:dyDescent="0.25">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c r="AA347" s="227"/>
      <c r="AB347" s="227"/>
      <c r="AC347" s="227"/>
      <c r="AD347" s="227"/>
      <c r="AE347" s="227"/>
      <c r="AF347" s="227"/>
    </row>
    <row r="348" spans="1:32" x14ac:dyDescent="0.25">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27"/>
      <c r="AC348" s="227"/>
      <c r="AD348" s="227"/>
      <c r="AE348" s="227"/>
      <c r="AF348" s="227"/>
    </row>
    <row r="349" spans="1:32" x14ac:dyDescent="0.25">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c r="AA349" s="227"/>
      <c r="AB349" s="227"/>
      <c r="AC349" s="227"/>
      <c r="AD349" s="227"/>
      <c r="AE349" s="227"/>
      <c r="AF349" s="227"/>
    </row>
    <row r="350" spans="1:32" x14ac:dyDescent="0.25">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c r="AA350" s="227"/>
      <c r="AB350" s="227"/>
      <c r="AC350" s="227"/>
      <c r="AD350" s="227"/>
      <c r="AE350" s="227"/>
      <c r="AF350" s="227"/>
    </row>
    <row r="351" spans="1:32" x14ac:dyDescent="0.25">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c r="AA351" s="227"/>
      <c r="AB351" s="227"/>
      <c r="AC351" s="227"/>
      <c r="AD351" s="227"/>
      <c r="AE351" s="227"/>
      <c r="AF351" s="227"/>
    </row>
    <row r="352" spans="1:32" x14ac:dyDescent="0.25">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c r="AA352" s="227"/>
      <c r="AB352" s="227"/>
      <c r="AC352" s="227"/>
      <c r="AD352" s="227"/>
      <c r="AE352" s="227"/>
      <c r="AF352" s="227"/>
    </row>
    <row r="353" spans="1:32" x14ac:dyDescent="0.25">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c r="AA353" s="227"/>
      <c r="AB353" s="227"/>
      <c r="AC353" s="227"/>
      <c r="AD353" s="227"/>
      <c r="AE353" s="227"/>
      <c r="AF353" s="227"/>
    </row>
    <row r="354" spans="1:32" x14ac:dyDescent="0.25">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c r="AA354" s="227"/>
      <c r="AB354" s="227"/>
      <c r="AC354" s="227"/>
      <c r="AD354" s="227"/>
      <c r="AE354" s="227"/>
      <c r="AF354" s="227"/>
    </row>
    <row r="355" spans="1:32" x14ac:dyDescent="0.25">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c r="AA355" s="227"/>
      <c r="AB355" s="227"/>
      <c r="AC355" s="227"/>
      <c r="AD355" s="227"/>
      <c r="AE355" s="227"/>
      <c r="AF355" s="227"/>
    </row>
    <row r="356" spans="1:32" x14ac:dyDescent="0.25">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c r="AA356" s="227"/>
      <c r="AB356" s="227"/>
      <c r="AC356" s="227"/>
      <c r="AD356" s="227"/>
      <c r="AE356" s="227"/>
      <c r="AF356" s="227"/>
    </row>
    <row r="357" spans="1:32" x14ac:dyDescent="0.25">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c r="AA357" s="227"/>
      <c r="AB357" s="227"/>
      <c r="AC357" s="227"/>
      <c r="AD357" s="227"/>
      <c r="AE357" s="227"/>
      <c r="AF357" s="227"/>
    </row>
    <row r="358" spans="1:32" x14ac:dyDescent="0.25">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c r="AA358" s="227"/>
      <c r="AB358" s="227"/>
      <c r="AC358" s="227"/>
      <c r="AD358" s="227"/>
      <c r="AE358" s="227"/>
      <c r="AF358" s="227"/>
    </row>
    <row r="359" spans="1:32" x14ac:dyDescent="0.25">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c r="AA359" s="227"/>
      <c r="AB359" s="227"/>
      <c r="AC359" s="227"/>
      <c r="AD359" s="227"/>
      <c r="AE359" s="227"/>
      <c r="AF359" s="227"/>
    </row>
    <row r="360" spans="1:32" x14ac:dyDescent="0.25">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c r="AA360" s="227"/>
      <c r="AB360" s="227"/>
      <c r="AC360" s="227"/>
      <c r="AD360" s="227"/>
      <c r="AE360" s="227"/>
      <c r="AF360" s="227"/>
    </row>
    <row r="361" spans="1:32" x14ac:dyDescent="0.25">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27"/>
      <c r="AC361" s="227"/>
      <c r="AD361" s="227"/>
      <c r="AE361" s="227"/>
      <c r="AF361" s="227"/>
    </row>
    <row r="362" spans="1:32" x14ac:dyDescent="0.25">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27"/>
      <c r="AC362" s="227"/>
      <c r="AD362" s="227"/>
      <c r="AE362" s="227"/>
      <c r="AF362" s="227"/>
    </row>
    <row r="363" spans="1:32" x14ac:dyDescent="0.25">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c r="AA363" s="227"/>
      <c r="AB363" s="227"/>
      <c r="AC363" s="227"/>
      <c r="AD363" s="227"/>
      <c r="AE363" s="227"/>
      <c r="AF363" s="227"/>
    </row>
    <row r="364" spans="1:32" x14ac:dyDescent="0.25">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c r="AA364" s="227"/>
      <c r="AB364" s="227"/>
      <c r="AC364" s="227"/>
      <c r="AD364" s="227"/>
      <c r="AE364" s="227"/>
      <c r="AF364" s="227"/>
    </row>
    <row r="365" spans="1:32" x14ac:dyDescent="0.25">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c r="AA365" s="227"/>
      <c r="AB365" s="227"/>
      <c r="AC365" s="227"/>
      <c r="AD365" s="227"/>
      <c r="AE365" s="227"/>
      <c r="AF365" s="227"/>
    </row>
    <row r="366" spans="1:32" x14ac:dyDescent="0.25">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c r="AA366" s="227"/>
      <c r="AB366" s="227"/>
      <c r="AC366" s="227"/>
      <c r="AD366" s="227"/>
      <c r="AE366" s="227"/>
      <c r="AF366" s="227"/>
    </row>
    <row r="367" spans="1:32" x14ac:dyDescent="0.25">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c r="AA367" s="227"/>
      <c r="AB367" s="227"/>
      <c r="AC367" s="227"/>
      <c r="AD367" s="227"/>
      <c r="AE367" s="227"/>
      <c r="AF367" s="227"/>
    </row>
    <row r="368" spans="1:32" x14ac:dyDescent="0.25">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c r="AA368" s="227"/>
      <c r="AB368" s="227"/>
      <c r="AC368" s="227"/>
      <c r="AD368" s="227"/>
      <c r="AE368" s="227"/>
      <c r="AF368" s="227"/>
    </row>
    <row r="369" spans="1:32" x14ac:dyDescent="0.25">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c r="AA369" s="227"/>
      <c r="AB369" s="227"/>
      <c r="AC369" s="227"/>
      <c r="AD369" s="227"/>
      <c r="AE369" s="227"/>
      <c r="AF369" s="227"/>
    </row>
    <row r="370" spans="1:32" x14ac:dyDescent="0.25">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c r="AA370" s="227"/>
      <c r="AB370" s="227"/>
      <c r="AC370" s="227"/>
      <c r="AD370" s="227"/>
      <c r="AE370" s="227"/>
      <c r="AF370" s="227"/>
    </row>
    <row r="371" spans="1:32" x14ac:dyDescent="0.25">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c r="AA371" s="227"/>
      <c r="AB371" s="227"/>
      <c r="AC371" s="227"/>
      <c r="AD371" s="227"/>
      <c r="AE371" s="227"/>
      <c r="AF371" s="227"/>
    </row>
    <row r="372" spans="1:32" x14ac:dyDescent="0.25">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c r="AA372" s="227"/>
      <c r="AB372" s="227"/>
      <c r="AC372" s="227"/>
      <c r="AD372" s="227"/>
      <c r="AE372" s="227"/>
      <c r="AF372" s="227"/>
    </row>
    <row r="373" spans="1:32" x14ac:dyDescent="0.25">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c r="AA373" s="227"/>
      <c r="AB373" s="227"/>
      <c r="AC373" s="227"/>
      <c r="AD373" s="227"/>
      <c r="AE373" s="227"/>
      <c r="AF373" s="227"/>
    </row>
    <row r="374" spans="1:32" x14ac:dyDescent="0.25">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c r="AA374" s="227"/>
      <c r="AB374" s="227"/>
      <c r="AC374" s="227"/>
      <c r="AD374" s="227"/>
      <c r="AE374" s="227"/>
      <c r="AF374" s="227"/>
    </row>
    <row r="375" spans="1:32" x14ac:dyDescent="0.25">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27"/>
      <c r="AC375" s="227"/>
      <c r="AD375" s="227"/>
      <c r="AE375" s="227"/>
      <c r="AF375" s="227"/>
    </row>
    <row r="376" spans="1:32" x14ac:dyDescent="0.25">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c r="AA376" s="227"/>
      <c r="AB376" s="227"/>
      <c r="AC376" s="227"/>
      <c r="AD376" s="227"/>
      <c r="AE376" s="227"/>
      <c r="AF376" s="227"/>
    </row>
    <row r="377" spans="1:32" x14ac:dyDescent="0.25">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27"/>
      <c r="AC377" s="227"/>
      <c r="AD377" s="227"/>
      <c r="AE377" s="227"/>
      <c r="AF377" s="227"/>
    </row>
    <row r="378" spans="1:32" x14ac:dyDescent="0.25">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c r="AA378" s="227"/>
      <c r="AB378" s="227"/>
      <c r="AC378" s="227"/>
      <c r="AD378" s="227"/>
      <c r="AE378" s="227"/>
      <c r="AF378" s="227"/>
    </row>
    <row r="379" spans="1:32" x14ac:dyDescent="0.25">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c r="AA379" s="227"/>
      <c r="AB379" s="227"/>
      <c r="AC379" s="227"/>
      <c r="AD379" s="227"/>
      <c r="AE379" s="227"/>
      <c r="AF379" s="227"/>
    </row>
    <row r="380" spans="1:32" x14ac:dyDescent="0.25">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c r="AA380" s="227"/>
      <c r="AB380" s="227"/>
      <c r="AC380" s="227"/>
      <c r="AD380" s="227"/>
      <c r="AE380" s="227"/>
      <c r="AF380" s="227"/>
    </row>
    <row r="381" spans="1:32" x14ac:dyDescent="0.25">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c r="AA381" s="227"/>
      <c r="AB381" s="227"/>
      <c r="AC381" s="227"/>
      <c r="AD381" s="227"/>
      <c r="AE381" s="227"/>
      <c r="AF381" s="227"/>
    </row>
    <row r="382" spans="1:32" x14ac:dyDescent="0.25">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c r="AA382" s="227"/>
      <c r="AB382" s="227"/>
      <c r="AC382" s="227"/>
      <c r="AD382" s="227"/>
      <c r="AE382" s="227"/>
      <c r="AF382" s="227"/>
    </row>
    <row r="383" spans="1:32" x14ac:dyDescent="0.25">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c r="AA383" s="227"/>
      <c r="AB383" s="227"/>
      <c r="AC383" s="227"/>
      <c r="AD383" s="227"/>
      <c r="AE383" s="227"/>
      <c r="AF383" s="227"/>
    </row>
    <row r="384" spans="1:32" x14ac:dyDescent="0.25">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27"/>
      <c r="AC384" s="227"/>
      <c r="AD384" s="227"/>
      <c r="AE384" s="227"/>
      <c r="AF384" s="227"/>
    </row>
    <row r="385" spans="1:32" x14ac:dyDescent="0.25">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27"/>
      <c r="AC385" s="227"/>
      <c r="AD385" s="227"/>
      <c r="AE385" s="227"/>
      <c r="AF385" s="227"/>
    </row>
    <row r="386" spans="1:32" x14ac:dyDescent="0.25">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c r="AA386" s="227"/>
      <c r="AB386" s="227"/>
      <c r="AC386" s="227"/>
      <c r="AD386" s="227"/>
      <c r="AE386" s="227"/>
      <c r="AF386" s="227"/>
    </row>
    <row r="387" spans="1:32" x14ac:dyDescent="0.25">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c r="AA387" s="227"/>
      <c r="AB387" s="227"/>
      <c r="AC387" s="227"/>
      <c r="AD387" s="227"/>
      <c r="AE387" s="227"/>
      <c r="AF387" s="227"/>
    </row>
    <row r="388" spans="1:32" x14ac:dyDescent="0.25">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c r="AA388" s="227"/>
      <c r="AB388" s="227"/>
      <c r="AC388" s="227"/>
      <c r="AD388" s="227"/>
      <c r="AE388" s="227"/>
      <c r="AF388" s="227"/>
    </row>
    <row r="389" spans="1:32" x14ac:dyDescent="0.25">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c r="AA389" s="227"/>
      <c r="AB389" s="227"/>
      <c r="AC389" s="227"/>
      <c r="AD389" s="227"/>
      <c r="AE389" s="227"/>
      <c r="AF389" s="227"/>
    </row>
    <row r="390" spans="1:32" x14ac:dyDescent="0.25">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c r="AA390" s="227"/>
      <c r="AB390" s="227"/>
      <c r="AC390" s="227"/>
      <c r="AD390" s="227"/>
      <c r="AE390" s="227"/>
      <c r="AF390" s="227"/>
    </row>
    <row r="391" spans="1:32" x14ac:dyDescent="0.25">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c r="AA391" s="227"/>
      <c r="AB391" s="227"/>
      <c r="AC391" s="227"/>
      <c r="AD391" s="227"/>
      <c r="AE391" s="227"/>
      <c r="AF391" s="227"/>
    </row>
    <row r="392" spans="1:32" x14ac:dyDescent="0.25">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27"/>
      <c r="AC392" s="227"/>
      <c r="AD392" s="227"/>
      <c r="AE392" s="227"/>
      <c r="AF392" s="227"/>
    </row>
    <row r="393" spans="1:32" x14ac:dyDescent="0.25">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27"/>
      <c r="AC393" s="227"/>
      <c r="AD393" s="227"/>
      <c r="AE393" s="227"/>
      <c r="AF393" s="227"/>
    </row>
    <row r="394" spans="1:32" x14ac:dyDescent="0.25">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c r="AA394" s="227"/>
      <c r="AB394" s="227"/>
      <c r="AC394" s="227"/>
      <c r="AD394" s="227"/>
      <c r="AE394" s="227"/>
      <c r="AF394" s="227"/>
    </row>
    <row r="395" spans="1:32" x14ac:dyDescent="0.25">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c r="AA395" s="227"/>
      <c r="AB395" s="227"/>
      <c r="AC395" s="227"/>
      <c r="AD395" s="227"/>
      <c r="AE395" s="227"/>
      <c r="AF395" s="227"/>
    </row>
    <row r="396" spans="1:32" x14ac:dyDescent="0.25">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27"/>
      <c r="AC396" s="227"/>
      <c r="AD396" s="227"/>
      <c r="AE396" s="227"/>
      <c r="AF396" s="227"/>
    </row>
    <row r="397" spans="1:32" x14ac:dyDescent="0.25">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27"/>
      <c r="AC397" s="227"/>
      <c r="AD397" s="227"/>
      <c r="AE397" s="227"/>
      <c r="AF397" s="227"/>
    </row>
    <row r="398" spans="1:32" x14ac:dyDescent="0.25">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c r="AA398" s="227"/>
      <c r="AB398" s="227"/>
      <c r="AC398" s="227"/>
      <c r="AD398" s="227"/>
      <c r="AE398" s="227"/>
      <c r="AF398" s="227"/>
    </row>
    <row r="399" spans="1:32" x14ac:dyDescent="0.25">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c r="AA399" s="227"/>
      <c r="AB399" s="227"/>
      <c r="AC399" s="227"/>
      <c r="AD399" s="227"/>
      <c r="AE399" s="227"/>
      <c r="AF399" s="227"/>
    </row>
    <row r="400" spans="1:32" x14ac:dyDescent="0.25">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c r="AA400" s="227"/>
      <c r="AB400" s="227"/>
      <c r="AC400" s="227"/>
      <c r="AD400" s="227"/>
      <c r="AE400" s="227"/>
      <c r="AF400" s="227"/>
    </row>
    <row r="401" spans="1:32" x14ac:dyDescent="0.25">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27"/>
      <c r="AC401" s="227"/>
      <c r="AD401" s="227"/>
      <c r="AE401" s="227"/>
      <c r="AF401" s="227"/>
    </row>
    <row r="402" spans="1:32" x14ac:dyDescent="0.25">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27"/>
      <c r="AC402" s="227"/>
      <c r="AD402" s="227"/>
      <c r="AE402" s="227"/>
      <c r="AF402" s="227"/>
    </row>
    <row r="403" spans="1:32" x14ac:dyDescent="0.25">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27"/>
      <c r="AC403" s="227"/>
      <c r="AD403" s="227"/>
      <c r="AE403" s="227"/>
      <c r="AF403" s="227"/>
    </row>
    <row r="404" spans="1:32" x14ac:dyDescent="0.25">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27"/>
      <c r="AC404" s="227"/>
      <c r="AD404" s="227"/>
      <c r="AE404" s="227"/>
      <c r="AF404" s="227"/>
    </row>
    <row r="405" spans="1:32" x14ac:dyDescent="0.25">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27"/>
      <c r="AC405" s="227"/>
      <c r="AD405" s="227"/>
      <c r="AE405" s="227"/>
      <c r="AF405" s="227"/>
    </row>
    <row r="406" spans="1:32" x14ac:dyDescent="0.25">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c r="AA406" s="227"/>
      <c r="AB406" s="227"/>
      <c r="AC406" s="227"/>
      <c r="AD406" s="227"/>
      <c r="AE406" s="227"/>
      <c r="AF406" s="227"/>
    </row>
    <row r="407" spans="1:32" x14ac:dyDescent="0.25">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c r="AA407" s="227"/>
      <c r="AB407" s="227"/>
      <c r="AC407" s="227"/>
      <c r="AD407" s="227"/>
      <c r="AE407" s="227"/>
      <c r="AF407" s="227"/>
    </row>
    <row r="408" spans="1:32" x14ac:dyDescent="0.25">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c r="AA408" s="227"/>
      <c r="AB408" s="227"/>
      <c r="AC408" s="227"/>
      <c r="AD408" s="227"/>
      <c r="AE408" s="227"/>
      <c r="AF408" s="227"/>
    </row>
    <row r="409" spans="1:32" x14ac:dyDescent="0.25">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c r="AA409" s="227"/>
      <c r="AB409" s="227"/>
      <c r="AC409" s="227"/>
      <c r="AD409" s="227"/>
      <c r="AE409" s="227"/>
      <c r="AF409" s="227"/>
    </row>
    <row r="410" spans="1:32" x14ac:dyDescent="0.25">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c r="AA410" s="227"/>
      <c r="AB410" s="227"/>
      <c r="AC410" s="227"/>
      <c r="AD410" s="227"/>
      <c r="AE410" s="227"/>
      <c r="AF410" s="227"/>
    </row>
    <row r="411" spans="1:32" x14ac:dyDescent="0.25">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c r="AA411" s="227"/>
      <c r="AB411" s="227"/>
      <c r="AC411" s="227"/>
      <c r="AD411" s="227"/>
      <c r="AE411" s="227"/>
      <c r="AF411" s="227"/>
    </row>
    <row r="412" spans="1:32" x14ac:dyDescent="0.25">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27"/>
      <c r="AC412" s="227"/>
      <c r="AD412" s="227"/>
      <c r="AE412" s="227"/>
      <c r="AF412" s="227"/>
    </row>
    <row r="413" spans="1:32" x14ac:dyDescent="0.25">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c r="AA413" s="227"/>
      <c r="AB413" s="227"/>
      <c r="AC413" s="227"/>
      <c r="AD413" s="227"/>
      <c r="AE413" s="227"/>
      <c r="AF413" s="227"/>
    </row>
    <row r="414" spans="1:32" x14ac:dyDescent="0.25">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c r="AA414" s="227"/>
      <c r="AB414" s="227"/>
      <c r="AC414" s="227"/>
      <c r="AD414" s="227"/>
      <c r="AE414" s="227"/>
      <c r="AF414" s="227"/>
    </row>
    <row r="415" spans="1:32" x14ac:dyDescent="0.25">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c r="AA415" s="227"/>
      <c r="AB415" s="227"/>
      <c r="AC415" s="227"/>
      <c r="AD415" s="227"/>
      <c r="AE415" s="227"/>
      <c r="AF415" s="227"/>
    </row>
    <row r="416" spans="1:32" x14ac:dyDescent="0.25">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c r="AA416" s="227"/>
      <c r="AB416" s="227"/>
      <c r="AC416" s="227"/>
      <c r="AD416" s="227"/>
      <c r="AE416" s="227"/>
      <c r="AF416" s="227"/>
    </row>
    <row r="417" spans="1:32" x14ac:dyDescent="0.25">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c r="AA417" s="227"/>
      <c r="AB417" s="227"/>
      <c r="AC417" s="227"/>
      <c r="AD417" s="227"/>
      <c r="AE417" s="227"/>
      <c r="AF417" s="227"/>
    </row>
    <row r="418" spans="1:32" x14ac:dyDescent="0.25">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c r="AA418" s="227"/>
      <c r="AB418" s="227"/>
      <c r="AC418" s="227"/>
      <c r="AD418" s="227"/>
      <c r="AE418" s="227"/>
      <c r="AF418" s="227"/>
    </row>
    <row r="419" spans="1:32" x14ac:dyDescent="0.25">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c r="AA419" s="227"/>
      <c r="AB419" s="227"/>
      <c r="AC419" s="227"/>
      <c r="AD419" s="227"/>
      <c r="AE419" s="227"/>
      <c r="AF419" s="227"/>
    </row>
    <row r="420" spans="1:32" x14ac:dyDescent="0.25">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c r="AA420" s="227"/>
      <c r="AB420" s="227"/>
      <c r="AC420" s="227"/>
      <c r="AD420" s="227"/>
      <c r="AE420" s="227"/>
      <c r="AF420" s="227"/>
    </row>
    <row r="421" spans="1:32" x14ac:dyDescent="0.25">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27"/>
      <c r="AC421" s="227"/>
      <c r="AD421" s="227"/>
      <c r="AE421" s="227"/>
      <c r="AF421" s="227"/>
    </row>
    <row r="422" spans="1:32" x14ac:dyDescent="0.25">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27"/>
      <c r="AC422" s="227"/>
      <c r="AD422" s="227"/>
      <c r="AE422" s="227"/>
      <c r="AF422" s="227"/>
    </row>
    <row r="423" spans="1:32" x14ac:dyDescent="0.25">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27"/>
      <c r="AC423" s="227"/>
      <c r="AD423" s="227"/>
      <c r="AE423" s="227"/>
      <c r="AF423" s="227"/>
    </row>
    <row r="424" spans="1:32" x14ac:dyDescent="0.25">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27"/>
      <c r="AC424" s="227"/>
      <c r="AD424" s="227"/>
      <c r="AE424" s="227"/>
      <c r="AF424" s="227"/>
    </row>
    <row r="425" spans="1:32" x14ac:dyDescent="0.25">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c r="AA425" s="227"/>
      <c r="AB425" s="227"/>
      <c r="AC425" s="227"/>
      <c r="AD425" s="227"/>
      <c r="AE425" s="227"/>
      <c r="AF425" s="227"/>
    </row>
    <row r="426" spans="1:32" x14ac:dyDescent="0.25">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c r="AA426" s="227"/>
      <c r="AB426" s="227"/>
      <c r="AC426" s="227"/>
      <c r="AD426" s="227"/>
      <c r="AE426" s="227"/>
      <c r="AF426" s="227"/>
    </row>
    <row r="427" spans="1:32" x14ac:dyDescent="0.25">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c r="AA427" s="227"/>
      <c r="AB427" s="227"/>
      <c r="AC427" s="227"/>
      <c r="AD427" s="227"/>
      <c r="AE427" s="227"/>
      <c r="AF427" s="227"/>
    </row>
    <row r="428" spans="1:32" x14ac:dyDescent="0.25">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c r="AA428" s="227"/>
      <c r="AB428" s="227"/>
      <c r="AC428" s="227"/>
      <c r="AD428" s="227"/>
      <c r="AE428" s="227"/>
      <c r="AF428" s="227"/>
    </row>
    <row r="429" spans="1:32" x14ac:dyDescent="0.25">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c r="AA429" s="227"/>
      <c r="AB429" s="227"/>
      <c r="AC429" s="227"/>
      <c r="AD429" s="227"/>
      <c r="AE429" s="227"/>
      <c r="AF429" s="227"/>
    </row>
    <row r="430" spans="1:32" x14ac:dyDescent="0.25">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c r="AA430" s="227"/>
      <c r="AB430" s="227"/>
      <c r="AC430" s="227"/>
      <c r="AD430" s="227"/>
      <c r="AE430" s="227"/>
      <c r="AF430" s="227"/>
    </row>
    <row r="431" spans="1:32" x14ac:dyDescent="0.25">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c r="AA431" s="227"/>
      <c r="AB431" s="227"/>
      <c r="AC431" s="227"/>
      <c r="AD431" s="227"/>
      <c r="AE431" s="227"/>
      <c r="AF431" s="227"/>
    </row>
    <row r="432" spans="1:32" x14ac:dyDescent="0.25">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27"/>
      <c r="AC432" s="227"/>
      <c r="AD432" s="227"/>
      <c r="AE432" s="227"/>
      <c r="AF432" s="227"/>
    </row>
    <row r="433" spans="1:32" x14ac:dyDescent="0.25">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c r="AA433" s="227"/>
      <c r="AB433" s="227"/>
      <c r="AC433" s="227"/>
      <c r="AD433" s="227"/>
      <c r="AE433" s="227"/>
      <c r="AF433" s="227"/>
    </row>
    <row r="434" spans="1:32" x14ac:dyDescent="0.25">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c r="AA434" s="227"/>
      <c r="AB434" s="227"/>
      <c r="AC434" s="227"/>
      <c r="AD434" s="227"/>
      <c r="AE434" s="227"/>
      <c r="AF434" s="227"/>
    </row>
    <row r="435" spans="1:32" x14ac:dyDescent="0.25">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27"/>
      <c r="AC435" s="227"/>
      <c r="AD435" s="227"/>
      <c r="AE435" s="227"/>
      <c r="AF435" s="227"/>
    </row>
    <row r="436" spans="1:32" x14ac:dyDescent="0.25">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c r="AA436" s="227"/>
      <c r="AB436" s="227"/>
      <c r="AC436" s="227"/>
      <c r="AD436" s="227"/>
      <c r="AE436" s="227"/>
      <c r="AF436" s="227"/>
    </row>
    <row r="437" spans="1:32" x14ac:dyDescent="0.25">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c r="AA437" s="227"/>
      <c r="AB437" s="227"/>
      <c r="AC437" s="227"/>
      <c r="AD437" s="227"/>
      <c r="AE437" s="227"/>
      <c r="AF437" s="227"/>
    </row>
    <row r="438" spans="1:32" x14ac:dyDescent="0.25">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27"/>
      <c r="AC438" s="227"/>
      <c r="AD438" s="227"/>
      <c r="AE438" s="227"/>
      <c r="AF438" s="227"/>
    </row>
    <row r="439" spans="1:32" x14ac:dyDescent="0.25">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c r="AA439" s="227"/>
      <c r="AB439" s="227"/>
      <c r="AC439" s="227"/>
      <c r="AD439" s="227"/>
      <c r="AE439" s="227"/>
      <c r="AF439" s="227"/>
    </row>
    <row r="440" spans="1:32" x14ac:dyDescent="0.25">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27"/>
      <c r="AC440" s="227"/>
      <c r="AD440" s="227"/>
      <c r="AE440" s="227"/>
      <c r="AF440" s="227"/>
    </row>
    <row r="441" spans="1:32" x14ac:dyDescent="0.25">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c r="AA441" s="227"/>
      <c r="AB441" s="227"/>
      <c r="AC441" s="227"/>
      <c r="AD441" s="227"/>
      <c r="AE441" s="227"/>
      <c r="AF441" s="227"/>
    </row>
    <row r="442" spans="1:32" x14ac:dyDescent="0.25">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27"/>
      <c r="AC442" s="227"/>
      <c r="AD442" s="227"/>
      <c r="AE442" s="227"/>
      <c r="AF442" s="227"/>
    </row>
    <row r="443" spans="1:32" x14ac:dyDescent="0.25">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27"/>
      <c r="AC443" s="227"/>
      <c r="AD443" s="227"/>
      <c r="AE443" s="227"/>
      <c r="AF443" s="227"/>
    </row>
    <row r="444" spans="1:32" x14ac:dyDescent="0.25">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27"/>
      <c r="AC444" s="227"/>
      <c r="AD444" s="227"/>
      <c r="AE444" s="227"/>
      <c r="AF444" s="227"/>
    </row>
    <row r="445" spans="1:32" x14ac:dyDescent="0.25">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c r="AA445" s="227"/>
      <c r="AB445" s="227"/>
      <c r="AC445" s="227"/>
      <c r="AD445" s="227"/>
      <c r="AE445" s="227"/>
      <c r="AF445" s="227"/>
    </row>
    <row r="446" spans="1:32" x14ac:dyDescent="0.25">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c r="AA446" s="227"/>
      <c r="AB446" s="227"/>
      <c r="AC446" s="227"/>
      <c r="AD446" s="227"/>
      <c r="AE446" s="227"/>
      <c r="AF446" s="227"/>
    </row>
    <row r="447" spans="1:32" x14ac:dyDescent="0.25">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c r="AA447" s="227"/>
      <c r="AB447" s="227"/>
      <c r="AC447" s="227"/>
      <c r="AD447" s="227"/>
      <c r="AE447" s="227"/>
      <c r="AF447" s="227"/>
    </row>
    <row r="448" spans="1:32" x14ac:dyDescent="0.25">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c r="AA448" s="227"/>
      <c r="AB448" s="227"/>
      <c r="AC448" s="227"/>
      <c r="AD448" s="227"/>
      <c r="AE448" s="227"/>
      <c r="AF448" s="227"/>
    </row>
    <row r="449" spans="1:32" x14ac:dyDescent="0.25">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c r="AA449" s="227"/>
      <c r="AB449" s="227"/>
      <c r="AC449" s="227"/>
      <c r="AD449" s="227"/>
      <c r="AE449" s="227"/>
      <c r="AF449" s="227"/>
    </row>
    <row r="450" spans="1:32" x14ac:dyDescent="0.25">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c r="AA450" s="227"/>
      <c r="AB450" s="227"/>
      <c r="AC450" s="227"/>
      <c r="AD450" s="227"/>
      <c r="AE450" s="227"/>
      <c r="AF450" s="227"/>
    </row>
    <row r="451" spans="1:32" x14ac:dyDescent="0.25">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c r="AA451" s="227"/>
      <c r="AB451" s="227"/>
      <c r="AC451" s="227"/>
      <c r="AD451" s="227"/>
      <c r="AE451" s="227"/>
      <c r="AF451" s="227"/>
    </row>
    <row r="452" spans="1:32" x14ac:dyDescent="0.25">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c r="AA452" s="227"/>
      <c r="AB452" s="227"/>
      <c r="AC452" s="227"/>
      <c r="AD452" s="227"/>
      <c r="AE452" s="227"/>
      <c r="AF452" s="227"/>
    </row>
    <row r="453" spans="1:32" x14ac:dyDescent="0.25">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c r="AA453" s="227"/>
      <c r="AB453" s="227"/>
      <c r="AC453" s="227"/>
      <c r="AD453" s="227"/>
      <c r="AE453" s="227"/>
      <c r="AF453" s="227"/>
    </row>
    <row r="454" spans="1:32" x14ac:dyDescent="0.25">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c r="AA454" s="227"/>
      <c r="AB454" s="227"/>
      <c r="AC454" s="227"/>
      <c r="AD454" s="227"/>
      <c r="AE454" s="227"/>
      <c r="AF454" s="227"/>
    </row>
    <row r="455" spans="1:32" x14ac:dyDescent="0.25">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c r="AA455" s="227"/>
      <c r="AB455" s="227"/>
      <c r="AC455" s="227"/>
      <c r="AD455" s="227"/>
      <c r="AE455" s="227"/>
      <c r="AF455" s="227"/>
    </row>
    <row r="456" spans="1:32" x14ac:dyDescent="0.25">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27"/>
      <c r="AC456" s="227"/>
      <c r="AD456" s="227"/>
      <c r="AE456" s="227"/>
      <c r="AF456" s="227"/>
    </row>
    <row r="457" spans="1:32" x14ac:dyDescent="0.25">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27"/>
      <c r="AC457" s="227"/>
      <c r="AD457" s="227"/>
      <c r="AE457" s="227"/>
      <c r="AF457" s="227"/>
    </row>
    <row r="458" spans="1:32" x14ac:dyDescent="0.25">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27"/>
      <c r="AC458" s="227"/>
      <c r="AD458" s="227"/>
      <c r="AE458" s="227"/>
      <c r="AF458" s="227"/>
    </row>
    <row r="459" spans="1:32" x14ac:dyDescent="0.25">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c r="AA459" s="227"/>
      <c r="AB459" s="227"/>
      <c r="AC459" s="227"/>
      <c r="AD459" s="227"/>
      <c r="AE459" s="227"/>
      <c r="AF459" s="227"/>
    </row>
    <row r="460" spans="1:32" x14ac:dyDescent="0.25">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c r="AA460" s="227"/>
      <c r="AB460" s="227"/>
      <c r="AC460" s="227"/>
      <c r="AD460" s="227"/>
      <c r="AE460" s="227"/>
      <c r="AF460" s="227"/>
    </row>
    <row r="461" spans="1:32" x14ac:dyDescent="0.25">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c r="AA461" s="227"/>
      <c r="AB461" s="227"/>
      <c r="AC461" s="227"/>
      <c r="AD461" s="227"/>
      <c r="AE461" s="227"/>
      <c r="AF461" s="227"/>
    </row>
    <row r="462" spans="1:32" x14ac:dyDescent="0.25">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c r="AA462" s="227"/>
      <c r="AB462" s="227"/>
      <c r="AC462" s="227"/>
      <c r="AD462" s="227"/>
      <c r="AE462" s="227"/>
      <c r="AF462" s="227"/>
    </row>
    <row r="463" spans="1:32" x14ac:dyDescent="0.25">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c r="AA463" s="227"/>
      <c r="AB463" s="227"/>
      <c r="AC463" s="227"/>
      <c r="AD463" s="227"/>
      <c r="AE463" s="227"/>
      <c r="AF463" s="227"/>
    </row>
    <row r="464" spans="1:32" x14ac:dyDescent="0.25">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c r="AA464" s="227"/>
      <c r="AB464" s="227"/>
      <c r="AC464" s="227"/>
      <c r="AD464" s="227"/>
      <c r="AE464" s="227"/>
      <c r="AF464" s="227"/>
    </row>
    <row r="465" spans="1:32" x14ac:dyDescent="0.25">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c r="AA465" s="227"/>
      <c r="AB465" s="227"/>
      <c r="AC465" s="227"/>
      <c r="AD465" s="227"/>
      <c r="AE465" s="227"/>
      <c r="AF465" s="227"/>
    </row>
    <row r="466" spans="1:32" x14ac:dyDescent="0.25">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c r="AA466" s="227"/>
      <c r="AB466" s="227"/>
      <c r="AC466" s="227"/>
      <c r="AD466" s="227"/>
      <c r="AE466" s="227"/>
      <c r="AF466" s="227"/>
    </row>
    <row r="467" spans="1:32" x14ac:dyDescent="0.25">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c r="AA467" s="227"/>
      <c r="AB467" s="227"/>
      <c r="AC467" s="227"/>
      <c r="AD467" s="227"/>
      <c r="AE467" s="227"/>
      <c r="AF467" s="227"/>
    </row>
    <row r="468" spans="1:32" x14ac:dyDescent="0.25">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c r="AA468" s="227"/>
      <c r="AB468" s="227"/>
      <c r="AC468" s="227"/>
      <c r="AD468" s="227"/>
      <c r="AE468" s="227"/>
      <c r="AF468" s="227"/>
    </row>
    <row r="469" spans="1:32" x14ac:dyDescent="0.25">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c r="AA469" s="227"/>
      <c r="AB469" s="227"/>
      <c r="AC469" s="227"/>
      <c r="AD469" s="227"/>
      <c r="AE469" s="227"/>
      <c r="AF469" s="227"/>
    </row>
    <row r="470" spans="1:32" x14ac:dyDescent="0.25">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27"/>
      <c r="AC470" s="227"/>
      <c r="AD470" s="227"/>
      <c r="AE470" s="227"/>
      <c r="AF470" s="227"/>
    </row>
    <row r="471" spans="1:32" x14ac:dyDescent="0.25">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c r="AA471" s="227"/>
      <c r="AB471" s="227"/>
      <c r="AC471" s="227"/>
      <c r="AD471" s="227"/>
      <c r="AE471" s="227"/>
      <c r="AF471" s="227"/>
    </row>
    <row r="472" spans="1:32" x14ac:dyDescent="0.25">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27"/>
      <c r="AC472" s="227"/>
      <c r="AD472" s="227"/>
      <c r="AE472" s="227"/>
      <c r="AF472" s="227"/>
    </row>
    <row r="473" spans="1:32" x14ac:dyDescent="0.25">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27"/>
      <c r="AC473" s="227"/>
      <c r="AD473" s="227"/>
      <c r="AE473" s="227"/>
      <c r="AF473" s="227"/>
    </row>
    <row r="474" spans="1:32" x14ac:dyDescent="0.25">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27"/>
      <c r="AC474" s="227"/>
      <c r="AD474" s="227"/>
      <c r="AE474" s="227"/>
      <c r="AF474" s="227"/>
    </row>
    <row r="475" spans="1:32" x14ac:dyDescent="0.25">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c r="AA475" s="227"/>
      <c r="AB475" s="227"/>
      <c r="AC475" s="227"/>
      <c r="AD475" s="227"/>
      <c r="AE475" s="227"/>
      <c r="AF475" s="227"/>
    </row>
    <row r="476" spans="1:32" x14ac:dyDescent="0.25">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c r="AA476" s="227"/>
      <c r="AB476" s="227"/>
      <c r="AC476" s="227"/>
      <c r="AD476" s="227"/>
      <c r="AE476" s="227"/>
      <c r="AF476" s="227"/>
    </row>
    <row r="477" spans="1:32" x14ac:dyDescent="0.25">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c r="AA477" s="227"/>
      <c r="AB477" s="227"/>
      <c r="AC477" s="227"/>
      <c r="AD477" s="227"/>
      <c r="AE477" s="227"/>
      <c r="AF477" s="227"/>
    </row>
    <row r="478" spans="1:32" x14ac:dyDescent="0.25">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c r="AA478" s="227"/>
      <c r="AB478" s="227"/>
      <c r="AC478" s="227"/>
      <c r="AD478" s="227"/>
      <c r="AE478" s="227"/>
      <c r="AF478" s="227"/>
    </row>
    <row r="479" spans="1:32" x14ac:dyDescent="0.25">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c r="AA479" s="227"/>
      <c r="AB479" s="227"/>
      <c r="AC479" s="227"/>
      <c r="AD479" s="227"/>
      <c r="AE479" s="227"/>
      <c r="AF479" s="227"/>
    </row>
    <row r="480" spans="1:32" x14ac:dyDescent="0.25">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c r="AA480" s="227"/>
      <c r="AB480" s="227"/>
      <c r="AC480" s="227"/>
      <c r="AD480" s="227"/>
      <c r="AE480" s="227"/>
      <c r="AF480" s="227"/>
    </row>
    <row r="481" spans="1:32" x14ac:dyDescent="0.25">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c r="AA481" s="227"/>
      <c r="AB481" s="227"/>
      <c r="AC481" s="227"/>
      <c r="AD481" s="227"/>
      <c r="AE481" s="227"/>
      <c r="AF481" s="227"/>
    </row>
    <row r="482" spans="1:32" x14ac:dyDescent="0.25">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c r="AA482" s="227"/>
      <c r="AB482" s="227"/>
      <c r="AC482" s="227"/>
      <c r="AD482" s="227"/>
      <c r="AE482" s="227"/>
      <c r="AF482" s="227"/>
    </row>
    <row r="483" spans="1:32" x14ac:dyDescent="0.25">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27"/>
      <c r="AC483" s="227"/>
      <c r="AD483" s="227"/>
      <c r="AE483" s="227"/>
      <c r="AF483" s="227"/>
    </row>
    <row r="484" spans="1:32" x14ac:dyDescent="0.25">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c r="AA484" s="227"/>
      <c r="AB484" s="227"/>
      <c r="AC484" s="227"/>
      <c r="AD484" s="227"/>
      <c r="AE484" s="227"/>
      <c r="AF484" s="227"/>
    </row>
    <row r="485" spans="1:32" x14ac:dyDescent="0.25">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c r="AA485" s="227"/>
      <c r="AB485" s="227"/>
      <c r="AC485" s="227"/>
      <c r="AD485" s="227"/>
      <c r="AE485" s="227"/>
      <c r="AF485" s="227"/>
    </row>
    <row r="486" spans="1:32" x14ac:dyDescent="0.25">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c r="AA486" s="227"/>
      <c r="AB486" s="227"/>
      <c r="AC486" s="227"/>
      <c r="AD486" s="227"/>
      <c r="AE486" s="227"/>
      <c r="AF486" s="227"/>
    </row>
    <row r="487" spans="1:32" x14ac:dyDescent="0.25">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c r="AA487" s="227"/>
      <c r="AB487" s="227"/>
      <c r="AC487" s="227"/>
      <c r="AD487" s="227"/>
      <c r="AE487" s="227"/>
      <c r="AF487" s="227"/>
    </row>
    <row r="488" spans="1:32" x14ac:dyDescent="0.25">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c r="AA488" s="227"/>
      <c r="AB488" s="227"/>
      <c r="AC488" s="227"/>
      <c r="AD488" s="227"/>
      <c r="AE488" s="227"/>
      <c r="AF488" s="227"/>
    </row>
    <row r="489" spans="1:32" x14ac:dyDescent="0.25">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c r="AA489" s="227"/>
      <c r="AB489" s="227"/>
      <c r="AC489" s="227"/>
      <c r="AD489" s="227"/>
      <c r="AE489" s="227"/>
      <c r="AF489" s="227"/>
    </row>
    <row r="490" spans="1:32" x14ac:dyDescent="0.25">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c r="AA490" s="227"/>
      <c r="AB490" s="227"/>
      <c r="AC490" s="227"/>
      <c r="AD490" s="227"/>
      <c r="AE490" s="227"/>
      <c r="AF490" s="227"/>
    </row>
    <row r="491" spans="1:32" x14ac:dyDescent="0.25">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c r="AA491" s="227"/>
      <c r="AB491" s="227"/>
      <c r="AC491" s="227"/>
      <c r="AD491" s="227"/>
      <c r="AE491" s="227"/>
      <c r="AF491" s="227"/>
    </row>
    <row r="492" spans="1:32" x14ac:dyDescent="0.25">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c r="AA492" s="227"/>
      <c r="AB492" s="227"/>
      <c r="AC492" s="227"/>
      <c r="AD492" s="227"/>
      <c r="AE492" s="227"/>
      <c r="AF492" s="227"/>
    </row>
    <row r="493" spans="1:32" x14ac:dyDescent="0.25">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27"/>
      <c r="AC493" s="227"/>
      <c r="AD493" s="227"/>
      <c r="AE493" s="227"/>
      <c r="AF493" s="227"/>
    </row>
    <row r="494" spans="1:32" x14ac:dyDescent="0.25">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c r="AA494" s="227"/>
      <c r="AB494" s="227"/>
      <c r="AC494" s="227"/>
      <c r="AD494" s="227"/>
      <c r="AE494" s="227"/>
      <c r="AF494" s="227"/>
    </row>
    <row r="495" spans="1:32" x14ac:dyDescent="0.25">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c r="AA495" s="227"/>
      <c r="AB495" s="227"/>
      <c r="AC495" s="227"/>
      <c r="AD495" s="227"/>
      <c r="AE495" s="227"/>
      <c r="AF495" s="227"/>
    </row>
    <row r="496" spans="1:32" x14ac:dyDescent="0.25">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c r="AA496" s="227"/>
      <c r="AB496" s="227"/>
      <c r="AC496" s="227"/>
      <c r="AD496" s="227"/>
      <c r="AE496" s="227"/>
      <c r="AF496" s="227"/>
    </row>
    <row r="497" spans="1:32" x14ac:dyDescent="0.25">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c r="AA497" s="227"/>
      <c r="AB497" s="227"/>
      <c r="AC497" s="227"/>
      <c r="AD497" s="227"/>
      <c r="AE497" s="227"/>
      <c r="AF497" s="227"/>
    </row>
    <row r="498" spans="1:32" x14ac:dyDescent="0.25">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c r="AA498" s="227"/>
      <c r="AB498" s="227"/>
      <c r="AC498" s="227"/>
      <c r="AD498" s="227"/>
      <c r="AE498" s="227"/>
      <c r="AF498" s="227"/>
    </row>
    <row r="499" spans="1:32" x14ac:dyDescent="0.25">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c r="AA499" s="227"/>
      <c r="AB499" s="227"/>
      <c r="AC499" s="227"/>
      <c r="AD499" s="227"/>
      <c r="AE499" s="227"/>
      <c r="AF499" s="227"/>
    </row>
    <row r="500" spans="1:32" x14ac:dyDescent="0.25">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c r="AA500" s="227"/>
      <c r="AB500" s="227"/>
      <c r="AC500" s="227"/>
      <c r="AD500" s="227"/>
      <c r="AE500" s="227"/>
      <c r="AF500" s="227"/>
    </row>
    <row r="501" spans="1:32" x14ac:dyDescent="0.25">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c r="AA501" s="227"/>
      <c r="AB501" s="227"/>
      <c r="AC501" s="227"/>
      <c r="AD501" s="227"/>
      <c r="AE501" s="227"/>
      <c r="AF501" s="227"/>
    </row>
    <row r="502" spans="1:32" x14ac:dyDescent="0.25">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c r="AA502" s="227"/>
      <c r="AB502" s="227"/>
      <c r="AC502" s="227"/>
      <c r="AD502" s="227"/>
      <c r="AE502" s="227"/>
      <c r="AF502" s="227"/>
    </row>
    <row r="503" spans="1:32" x14ac:dyDescent="0.25">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c r="AA503" s="227"/>
      <c r="AB503" s="227"/>
      <c r="AC503" s="227"/>
      <c r="AD503" s="227"/>
      <c r="AE503" s="227"/>
      <c r="AF503" s="227"/>
    </row>
    <row r="504" spans="1:32" x14ac:dyDescent="0.25">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c r="AA504" s="227"/>
      <c r="AB504" s="227"/>
      <c r="AC504" s="227"/>
      <c r="AD504" s="227"/>
      <c r="AE504" s="227"/>
      <c r="AF504" s="227"/>
    </row>
    <row r="505" spans="1:32" x14ac:dyDescent="0.25">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c r="AA505" s="227"/>
      <c r="AB505" s="227"/>
      <c r="AC505" s="227"/>
      <c r="AD505" s="227"/>
      <c r="AE505" s="227"/>
      <c r="AF505" s="227"/>
    </row>
    <row r="506" spans="1:32" x14ac:dyDescent="0.25">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c r="AA506" s="227"/>
      <c r="AB506" s="227"/>
      <c r="AC506" s="227"/>
      <c r="AD506" s="227"/>
      <c r="AE506" s="227"/>
      <c r="AF506" s="227"/>
    </row>
    <row r="507" spans="1:32" x14ac:dyDescent="0.25">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c r="AA507" s="227"/>
      <c r="AB507" s="227"/>
      <c r="AC507" s="227"/>
      <c r="AD507" s="227"/>
      <c r="AE507" s="227"/>
      <c r="AF507" s="227"/>
    </row>
  </sheetData>
  <sheetProtection algorithmName="SHA-512" hashValue="fuCOi8IQVULSwL3SopDfMFTgMju4cpk13iZaM0m97sR0UHc01/MZLUdMskF6jRqM08shfY6Otybmdk4NKJZmlA==" saltValue="WdvTv05mqs6CIZJWm39eHA==" spinCount="100000" sheet="1" objects="1" scenarios="1"/>
  <mergeCells count="125">
    <mergeCell ref="C14:AF14"/>
    <mergeCell ref="A25:AF25"/>
    <mergeCell ref="A39:AF39"/>
    <mergeCell ref="A40:E40"/>
    <mergeCell ref="F40:N40"/>
    <mergeCell ref="O40:R40"/>
    <mergeCell ref="S40:V40"/>
    <mergeCell ref="W40:AF40"/>
    <mergeCell ref="A1:AF1"/>
    <mergeCell ref="A3:AF3"/>
    <mergeCell ref="B5:AF5"/>
    <mergeCell ref="A7:AF7"/>
    <mergeCell ref="B10:AF10"/>
    <mergeCell ref="C13:AF13"/>
    <mergeCell ref="A41:E41"/>
    <mergeCell ref="F41:N41"/>
    <mergeCell ref="O41:R41"/>
    <mergeCell ref="S41:V41"/>
    <mergeCell ref="W41:AF42"/>
    <mergeCell ref="A42:E42"/>
    <mergeCell ref="F42:N42"/>
    <mergeCell ref="O42:R42"/>
    <mergeCell ref="S42:V42"/>
    <mergeCell ref="A43:E43"/>
    <mergeCell ref="F43:N43"/>
    <mergeCell ref="O43:R43"/>
    <mergeCell ref="S43:V43"/>
    <mergeCell ref="W43:AF43"/>
    <mergeCell ref="A44:E44"/>
    <mergeCell ref="F44:N44"/>
    <mergeCell ref="O44:R44"/>
    <mergeCell ref="S44:V44"/>
    <mergeCell ref="W44:AF44"/>
    <mergeCell ref="A45:E45"/>
    <mergeCell ref="F45:N45"/>
    <mergeCell ref="O45:R45"/>
    <mergeCell ref="S45:V45"/>
    <mergeCell ref="W45:AF45"/>
    <mergeCell ref="A46:E46"/>
    <mergeCell ref="F46:N46"/>
    <mergeCell ref="O46:R46"/>
    <mergeCell ref="S46:V46"/>
    <mergeCell ref="W46:AF46"/>
    <mergeCell ref="A49:AF49"/>
    <mergeCell ref="A52:G53"/>
    <mergeCell ref="H52:O52"/>
    <mergeCell ref="P52:W52"/>
    <mergeCell ref="H53:K53"/>
    <mergeCell ref="L53:O53"/>
    <mergeCell ref="P53:S53"/>
    <mergeCell ref="T53:W53"/>
    <mergeCell ref="A47:E47"/>
    <mergeCell ref="F47:N47"/>
    <mergeCell ref="O47:R47"/>
    <mergeCell ref="S47:V47"/>
    <mergeCell ref="W47:AF47"/>
    <mergeCell ref="A48:AF48"/>
    <mergeCell ref="A58:G58"/>
    <mergeCell ref="H58:N58"/>
    <mergeCell ref="O58:U58"/>
    <mergeCell ref="A59:G59"/>
    <mergeCell ref="H59:N59"/>
    <mergeCell ref="O59:U59"/>
    <mergeCell ref="A54:G54"/>
    <mergeCell ref="H54:K54"/>
    <mergeCell ref="L54:O54"/>
    <mergeCell ref="P54:S54"/>
    <mergeCell ref="T54:W54"/>
    <mergeCell ref="A55:G55"/>
    <mergeCell ref="H55:K55"/>
    <mergeCell ref="L55:O55"/>
    <mergeCell ref="P55:S55"/>
    <mergeCell ref="T55:W55"/>
    <mergeCell ref="A60:G60"/>
    <mergeCell ref="H60:N60"/>
    <mergeCell ref="O60:U60"/>
    <mergeCell ref="A61:AF61"/>
    <mergeCell ref="A64:M65"/>
    <mergeCell ref="N64:Q64"/>
    <mergeCell ref="R64:U64"/>
    <mergeCell ref="V64:Y64"/>
    <mergeCell ref="Z64:AC65"/>
    <mergeCell ref="N65:Q65"/>
    <mergeCell ref="Z66:AC66"/>
    <mergeCell ref="A67:M67"/>
    <mergeCell ref="N67:Q67"/>
    <mergeCell ref="R67:U67"/>
    <mergeCell ref="V67:Y67"/>
    <mergeCell ref="Z67:AC67"/>
    <mergeCell ref="R65:U65"/>
    <mergeCell ref="V65:Y65"/>
    <mergeCell ref="A66:M66"/>
    <mergeCell ref="N66:Q66"/>
    <mergeCell ref="R66:U66"/>
    <mergeCell ref="V66:Y66"/>
    <mergeCell ref="A70:M70"/>
    <mergeCell ref="N70:Q70"/>
    <mergeCell ref="R70:U70"/>
    <mergeCell ref="V70:Y70"/>
    <mergeCell ref="A72:AF72"/>
    <mergeCell ref="F77:V77"/>
    <mergeCell ref="A68:M68"/>
    <mergeCell ref="N68:Q68"/>
    <mergeCell ref="R68:U68"/>
    <mergeCell ref="V68:Y68"/>
    <mergeCell ref="Z68:AC68"/>
    <mergeCell ref="A69:M69"/>
    <mergeCell ref="N69:Q69"/>
    <mergeCell ref="R69:U69"/>
    <mergeCell ref="V69:Y69"/>
    <mergeCell ref="Z69:AC69"/>
    <mergeCell ref="A85:AF85"/>
    <mergeCell ref="B87:AF87"/>
    <mergeCell ref="B88:AF88"/>
    <mergeCell ref="B89:AF89"/>
    <mergeCell ref="B90:AF90"/>
    <mergeCell ref="F80:H80"/>
    <mergeCell ref="A82:H82"/>
    <mergeCell ref="I82:P82"/>
    <mergeCell ref="Q82:X82"/>
    <mergeCell ref="Y82:AF82"/>
    <mergeCell ref="A83:H83"/>
    <mergeCell ref="I83:P83"/>
    <mergeCell ref="Q83:X83"/>
    <mergeCell ref="Y83:AF83"/>
  </mergeCells>
  <dataValidations count="1">
    <dataValidation type="list" allowBlank="1" showInputMessage="1" showErrorMessage="1" sqref="F77:V77" xr:uid="{00000000-0002-0000-3C00-000000000000}">
      <formula1>"Medium Temp with Unitary Condenser, Medium Temp with Remote Condenser, Low Temp with Unitary Condenser, Low Temp with Remote Condenser, Unknown"</formula1>
    </dataValidation>
  </dataValidations>
  <hyperlinks>
    <hyperlink ref="A2" location="TOC!A1" display="Return to TOC" xr:uid="{00000000-0004-0000-3C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B13:B14" numberStoredAsText="1"/>
  </ignoredError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1">
    <tabColor theme="8" tint="0.59999389629810485"/>
    <pageSetUpPr autoPageBreaks="0"/>
  </sheetPr>
  <dimension ref="A1:AF52"/>
  <sheetViews>
    <sheetView workbookViewId="0">
      <selection sqref="A1:AF1"/>
    </sheetView>
  </sheetViews>
  <sheetFormatPr defaultColWidth="2.7109375" defaultRowHeight="15" x14ac:dyDescent="0.25"/>
  <cols>
    <col min="1" max="16384" width="2.7109375" style="1"/>
  </cols>
  <sheetData>
    <row r="1" spans="1:32" ht="18.75" x14ac:dyDescent="0.25">
      <c r="A1" s="1464" t="s">
        <v>1149</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472" t="s">
        <v>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171" t="s">
        <v>10</v>
      </c>
      <c r="C5" s="171"/>
      <c r="D5" s="171"/>
      <c r="E5" s="171"/>
      <c r="F5" s="171"/>
      <c r="G5" s="171"/>
      <c r="H5" s="171"/>
      <c r="I5" s="171"/>
    </row>
    <row r="6" spans="1:32" ht="124.5" customHeight="1" x14ac:dyDescent="0.25">
      <c r="B6" s="1247" t="s">
        <v>451</v>
      </c>
      <c r="C6" s="1476"/>
      <c r="D6" s="1476"/>
      <c r="E6" s="1476"/>
      <c r="F6" s="1476"/>
      <c r="G6" s="1476"/>
      <c r="H6" s="1476"/>
      <c r="I6" s="1476"/>
      <c r="J6" s="1476"/>
      <c r="K6" s="1476"/>
      <c r="L6" s="1476"/>
      <c r="M6" s="1476"/>
      <c r="N6" s="1476"/>
      <c r="O6" s="1476"/>
      <c r="P6" s="1476"/>
      <c r="Q6" s="1476"/>
      <c r="R6" s="1476"/>
      <c r="S6" s="1476"/>
      <c r="T6" s="1476"/>
      <c r="U6" s="1476"/>
      <c r="V6" s="1476"/>
      <c r="W6" s="1476"/>
      <c r="X6" s="1476"/>
      <c r="Y6" s="1476"/>
      <c r="Z6" s="1476"/>
      <c r="AA6" s="1476"/>
      <c r="AB6" s="1476"/>
      <c r="AC6" s="1476"/>
      <c r="AD6" s="1476"/>
      <c r="AE6" s="1476"/>
      <c r="AF6" s="1476"/>
    </row>
    <row r="8" spans="1:32" x14ac:dyDescent="0.25">
      <c r="B8" s="171" t="s">
        <v>11</v>
      </c>
      <c r="C8" s="171"/>
      <c r="D8" s="171"/>
      <c r="E8" s="171"/>
      <c r="F8" s="171"/>
      <c r="G8" s="171"/>
      <c r="H8" s="171"/>
      <c r="I8" s="171"/>
    </row>
    <row r="9" spans="1:32" ht="214.5" customHeight="1" x14ac:dyDescent="0.25">
      <c r="B9" s="1247" t="s">
        <v>2964</v>
      </c>
      <c r="C9" s="1476"/>
      <c r="D9" s="1476"/>
      <c r="E9" s="1476"/>
      <c r="F9" s="1476"/>
      <c r="G9" s="1476"/>
      <c r="H9" s="1476"/>
      <c r="I9" s="1476"/>
      <c r="J9" s="1476"/>
      <c r="K9" s="1476"/>
      <c r="L9" s="1476"/>
      <c r="M9" s="1476"/>
      <c r="N9" s="1476"/>
      <c r="O9" s="1476"/>
      <c r="P9" s="1476"/>
      <c r="Q9" s="1476"/>
      <c r="R9" s="1476"/>
      <c r="S9" s="1476"/>
      <c r="T9" s="1476"/>
      <c r="U9" s="1476"/>
      <c r="V9" s="1476"/>
      <c r="W9" s="1476"/>
      <c r="X9" s="1476"/>
      <c r="Y9" s="1476"/>
      <c r="Z9" s="1476"/>
      <c r="AA9" s="1476"/>
      <c r="AB9" s="1476"/>
      <c r="AC9" s="1476"/>
      <c r="AD9" s="1476"/>
      <c r="AE9" s="1476"/>
      <c r="AF9" s="1476"/>
    </row>
    <row r="11" spans="1:32" x14ac:dyDescent="0.25">
      <c r="B11" s="171" t="s">
        <v>12</v>
      </c>
      <c r="C11" s="171"/>
      <c r="D11" s="171"/>
      <c r="E11" s="171"/>
      <c r="F11" s="171"/>
      <c r="G11" s="171"/>
      <c r="H11" s="171"/>
      <c r="I11" s="171"/>
    </row>
    <row r="12" spans="1:32" s="4" customFormat="1" ht="14.45" customHeight="1" x14ac:dyDescent="0.25">
      <c r="B12" s="1390" t="s">
        <v>1300</v>
      </c>
      <c r="C12" s="1390"/>
      <c r="D12" s="1390"/>
      <c r="E12" s="1390"/>
      <c r="F12" s="1390"/>
      <c r="G12" s="1390"/>
      <c r="H12" s="1390"/>
      <c r="I12" s="1390"/>
      <c r="J12" s="1390"/>
      <c r="K12" s="1390"/>
      <c r="L12" s="1390"/>
      <c r="M12" s="1390"/>
      <c r="N12" s="1390"/>
      <c r="O12" s="1390"/>
      <c r="P12" s="1390"/>
      <c r="Q12" s="1390"/>
      <c r="R12" s="1390"/>
      <c r="S12" s="1390"/>
      <c r="T12" s="1390"/>
      <c r="U12" s="1390"/>
      <c r="V12" s="1390"/>
      <c r="W12" s="1390"/>
      <c r="X12" s="1390"/>
      <c r="Y12" s="1390"/>
      <c r="Z12" s="1390"/>
      <c r="AA12" s="1390"/>
      <c r="AB12" s="1390"/>
      <c r="AC12" s="1390"/>
      <c r="AD12" s="1390"/>
      <c r="AE12" s="1390"/>
      <c r="AF12" s="1390"/>
    </row>
    <row r="14" spans="1:32" x14ac:dyDescent="0.25">
      <c r="B14" s="171" t="s">
        <v>13</v>
      </c>
      <c r="C14" s="171"/>
      <c r="D14" s="171"/>
      <c r="E14" s="171"/>
      <c r="F14" s="171"/>
      <c r="G14" s="171"/>
      <c r="H14" s="171"/>
      <c r="I14" s="171"/>
    </row>
    <row r="15" spans="1:32" ht="64.5" customHeight="1" x14ac:dyDescent="0.25">
      <c r="B15" s="1151" t="s">
        <v>452</v>
      </c>
      <c r="C15" s="1151"/>
      <c r="D15" s="1151"/>
      <c r="E15" s="1151"/>
      <c r="F15" s="1151"/>
      <c r="G15" s="1151"/>
      <c r="H15" s="1151"/>
      <c r="I15" s="1151"/>
      <c r="J15" s="1151"/>
      <c r="K15" s="1151"/>
      <c r="L15" s="1151"/>
      <c r="M15" s="1151"/>
      <c r="N15" s="1151"/>
      <c r="O15" s="1151"/>
      <c r="P15" s="1151"/>
      <c r="Q15" s="1151"/>
      <c r="R15" s="1151"/>
      <c r="S15" s="1151"/>
      <c r="T15" s="1151"/>
      <c r="U15" s="1151"/>
      <c r="V15" s="1151"/>
      <c r="W15" s="1151"/>
      <c r="X15" s="1151"/>
      <c r="Y15" s="1151"/>
      <c r="Z15" s="1151"/>
      <c r="AA15" s="1151"/>
      <c r="AB15" s="1151"/>
      <c r="AC15" s="1151"/>
      <c r="AD15" s="1151"/>
      <c r="AE15" s="1151"/>
      <c r="AF15" s="1151"/>
    </row>
    <row r="22" spans="1:32" x14ac:dyDescent="0.25">
      <c r="B22" s="171" t="s">
        <v>20</v>
      </c>
      <c r="C22" s="171"/>
      <c r="D22" s="171"/>
      <c r="E22" s="171"/>
      <c r="F22" s="171"/>
      <c r="G22" s="171"/>
      <c r="H22" s="171"/>
      <c r="I22" s="171"/>
    </row>
    <row r="23" spans="1:32" s="4" customFormat="1" ht="28.9" customHeight="1" x14ac:dyDescent="0.25">
      <c r="B23" s="1151" t="s">
        <v>453</v>
      </c>
      <c r="C23" s="1151"/>
      <c r="D23" s="1151"/>
      <c r="E23" s="1151"/>
      <c r="F23" s="1151"/>
      <c r="G23" s="1151"/>
      <c r="H23" s="1151"/>
      <c r="I23" s="1151"/>
      <c r="J23" s="1151"/>
      <c r="K23" s="1151"/>
      <c r="L23" s="1151"/>
      <c r="M23" s="1151"/>
      <c r="N23" s="1151"/>
      <c r="O23" s="1151"/>
      <c r="P23" s="1151"/>
      <c r="Q23" s="1151"/>
      <c r="R23" s="1151"/>
      <c r="S23" s="1151"/>
      <c r="T23" s="1151"/>
      <c r="U23" s="1151"/>
      <c r="V23" s="1151"/>
      <c r="W23" s="1151"/>
      <c r="X23" s="1151"/>
      <c r="Y23" s="1151"/>
      <c r="Z23" s="1151"/>
      <c r="AA23" s="1151"/>
      <c r="AB23" s="1151"/>
      <c r="AC23" s="1151"/>
      <c r="AD23" s="1151"/>
      <c r="AE23" s="1151"/>
      <c r="AF23" s="1151"/>
    </row>
    <row r="24" spans="1:32" s="4" customFormat="1" ht="14.45" customHeight="1" x14ac:dyDescent="0.25"/>
    <row r="25" spans="1:32" s="4" customFormat="1" ht="14.45" customHeight="1" x14ac:dyDescent="0.25"/>
    <row r="26" spans="1:32" s="4" customFormat="1" ht="14.45" customHeight="1" x14ac:dyDescent="0.25"/>
    <row r="27" spans="1:32" s="4" customFormat="1" ht="14.45" customHeight="1" x14ac:dyDescent="0.25"/>
    <row r="28" spans="1:32" s="4" customFormat="1" ht="14.45" customHeight="1" x14ac:dyDescent="0.25"/>
    <row r="31" spans="1:32" x14ac:dyDescent="0.25">
      <c r="A31" s="1472" t="s">
        <v>14</v>
      </c>
      <c r="B31" s="1472"/>
      <c r="C31" s="1472"/>
      <c r="D31" s="1472"/>
      <c r="E31" s="1472"/>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row>
    <row r="50" spans="1:32" x14ac:dyDescent="0.25">
      <c r="A50" s="1472" t="s">
        <v>21</v>
      </c>
      <c r="B50" s="1472"/>
      <c r="C50" s="1472"/>
      <c r="D50" s="1472"/>
      <c r="E50" s="1472"/>
      <c r="F50" s="1472"/>
      <c r="G50" s="1472"/>
      <c r="H50" s="1472"/>
      <c r="I50" s="1472"/>
      <c r="J50" s="1472"/>
      <c r="K50" s="1472"/>
      <c r="L50" s="1472"/>
      <c r="M50" s="1472"/>
      <c r="N50" s="1472"/>
      <c r="O50" s="1472"/>
      <c r="P50" s="1472"/>
      <c r="Q50" s="1472"/>
      <c r="R50" s="1472"/>
      <c r="S50" s="1472"/>
      <c r="T50" s="1472"/>
      <c r="U50" s="1472"/>
      <c r="V50" s="1472"/>
      <c r="W50" s="1472"/>
      <c r="X50" s="1472"/>
      <c r="Y50" s="1472"/>
      <c r="Z50" s="1472"/>
      <c r="AA50" s="1472"/>
      <c r="AB50" s="1472"/>
      <c r="AC50" s="1472"/>
      <c r="AD50" s="1472"/>
      <c r="AE50" s="1472"/>
      <c r="AF50" s="1472"/>
    </row>
    <row r="52" spans="1:32" x14ac:dyDescent="0.25">
      <c r="A52" s="3006" t="s">
        <v>165</v>
      </c>
      <c r="B52" s="3006"/>
      <c r="C52" s="3006"/>
      <c r="D52" s="3006"/>
      <c r="E52" s="3006"/>
      <c r="F52" s="3006"/>
      <c r="G52" s="3006"/>
      <c r="H52" s="3006"/>
      <c r="I52" s="3006"/>
      <c r="J52" s="3006"/>
      <c r="K52" s="3006"/>
      <c r="L52" s="3006"/>
      <c r="M52" s="3006"/>
      <c r="N52" s="3006"/>
      <c r="O52" s="3006"/>
      <c r="P52" s="3006"/>
      <c r="Q52" s="3006"/>
      <c r="R52" s="3006"/>
      <c r="S52" s="3006"/>
      <c r="T52" s="3006"/>
      <c r="U52" s="3006"/>
      <c r="V52" s="3006"/>
      <c r="W52" s="3006"/>
      <c r="X52" s="3006"/>
      <c r="Y52" s="3006"/>
      <c r="Z52" s="3006"/>
      <c r="AA52" s="3006"/>
      <c r="AB52" s="3006"/>
      <c r="AC52" s="3006"/>
      <c r="AD52" s="3006"/>
      <c r="AE52" s="3006"/>
      <c r="AF52" s="3006"/>
    </row>
  </sheetData>
  <sheetProtection algorithmName="SHA-512" hashValue="b1sZCs443ggnri7mqJx2KrbuffsHFa2LoymuADE5U4ZmPYVvQKntyL2CmvQ6LS6VRYhOWaJBztQcQs6j2BhEdg==" saltValue="cYtvI+5VCpFQjktiyWVyKQ==" spinCount="100000" sheet="1" objects="1" scenarios="1"/>
  <mergeCells count="10">
    <mergeCell ref="B23:AF23"/>
    <mergeCell ref="A52:AF52"/>
    <mergeCell ref="A50:AF50"/>
    <mergeCell ref="A31:AF31"/>
    <mergeCell ref="B12:AF12"/>
    <mergeCell ref="A3:AF3"/>
    <mergeCell ref="A1:AF1"/>
    <mergeCell ref="B6:AF6"/>
    <mergeCell ref="B9:AF9"/>
    <mergeCell ref="B15:AF15"/>
  </mergeCells>
  <hyperlinks>
    <hyperlink ref="A2" location="TOC!A1" display="Return to TOC" xr:uid="{00000000-0004-0000-3D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2">
    <tabColor theme="8" tint="0.59999389629810485"/>
    <pageSetUpPr autoPageBreaks="0"/>
  </sheetPr>
  <dimension ref="A1:AF40"/>
  <sheetViews>
    <sheetView workbookViewId="0">
      <selection sqref="A1:AF1"/>
    </sheetView>
  </sheetViews>
  <sheetFormatPr defaultColWidth="2.7109375" defaultRowHeight="15" x14ac:dyDescent="0.25"/>
  <cols>
    <col min="1" max="16384" width="2.7109375" style="1"/>
  </cols>
  <sheetData>
    <row r="1" spans="1:32" ht="18.75" x14ac:dyDescent="0.25">
      <c r="A1" s="1464" t="s">
        <v>1150</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472" t="s">
        <v>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171" t="s">
        <v>10</v>
      </c>
      <c r="C5" s="171"/>
      <c r="D5" s="171"/>
      <c r="E5" s="171"/>
      <c r="F5" s="171"/>
      <c r="G5" s="171"/>
      <c r="H5" s="171"/>
      <c r="I5" s="171"/>
    </row>
    <row r="6" spans="1:32" ht="95.25" customHeight="1" x14ac:dyDescent="0.25">
      <c r="B6" s="1247" t="s">
        <v>454</v>
      </c>
      <c r="C6" s="1476"/>
      <c r="D6" s="1476"/>
      <c r="E6" s="1476"/>
      <c r="F6" s="1476"/>
      <c r="G6" s="1476"/>
      <c r="H6" s="1476"/>
      <c r="I6" s="1476"/>
      <c r="J6" s="1476"/>
      <c r="K6" s="1476"/>
      <c r="L6" s="1476"/>
      <c r="M6" s="1476"/>
      <c r="N6" s="1476"/>
      <c r="O6" s="1476"/>
      <c r="P6" s="1476"/>
      <c r="Q6" s="1476"/>
      <c r="R6" s="1476"/>
      <c r="S6" s="1476"/>
      <c r="T6" s="1476"/>
      <c r="U6" s="1476"/>
      <c r="V6" s="1476"/>
      <c r="W6" s="1476"/>
      <c r="X6" s="1476"/>
      <c r="Y6" s="1476"/>
      <c r="Z6" s="1476"/>
      <c r="AA6" s="1476"/>
      <c r="AB6" s="1476"/>
      <c r="AC6" s="1476"/>
      <c r="AD6" s="1476"/>
      <c r="AE6" s="1476"/>
      <c r="AF6" s="1476"/>
    </row>
    <row r="8" spans="1:32" x14ac:dyDescent="0.25">
      <c r="B8" s="171" t="s">
        <v>11</v>
      </c>
      <c r="C8" s="171"/>
      <c r="D8" s="171"/>
      <c r="E8" s="171"/>
      <c r="F8" s="171"/>
      <c r="G8" s="171"/>
      <c r="H8" s="171"/>
      <c r="I8" s="171"/>
    </row>
    <row r="9" spans="1:32" ht="217.5" customHeight="1" x14ac:dyDescent="0.25">
      <c r="B9" s="1247" t="s">
        <v>2965</v>
      </c>
      <c r="C9" s="1476"/>
      <c r="D9" s="1476"/>
      <c r="E9" s="1476"/>
      <c r="F9" s="1476"/>
      <c r="G9" s="1476"/>
      <c r="H9" s="1476"/>
      <c r="I9" s="1476"/>
      <c r="J9" s="1476"/>
      <c r="K9" s="1476"/>
      <c r="L9" s="1476"/>
      <c r="M9" s="1476"/>
      <c r="N9" s="1476"/>
      <c r="O9" s="1476"/>
      <c r="P9" s="1476"/>
      <c r="Q9" s="1476"/>
      <c r="R9" s="1476"/>
      <c r="S9" s="1476"/>
      <c r="T9" s="1476"/>
      <c r="U9" s="1476"/>
      <c r="V9" s="1476"/>
      <c r="W9" s="1476"/>
      <c r="X9" s="1476"/>
      <c r="Y9" s="1476"/>
      <c r="Z9" s="1476"/>
      <c r="AA9" s="1476"/>
      <c r="AB9" s="1476"/>
      <c r="AC9" s="1476"/>
      <c r="AD9" s="1476"/>
      <c r="AE9" s="1476"/>
      <c r="AF9" s="1476"/>
    </row>
    <row r="11" spans="1:32" x14ac:dyDescent="0.25">
      <c r="B11" s="171" t="s">
        <v>12</v>
      </c>
      <c r="C11" s="171"/>
      <c r="D11" s="171"/>
      <c r="E11" s="171"/>
      <c r="F11" s="171"/>
      <c r="G11" s="171"/>
      <c r="H11" s="171"/>
      <c r="I11" s="171"/>
    </row>
    <row r="12" spans="1:32" s="4" customFormat="1" ht="14.45" customHeight="1" x14ac:dyDescent="0.25"/>
    <row r="14" spans="1:32" x14ac:dyDescent="0.25">
      <c r="B14" s="171" t="s">
        <v>13</v>
      </c>
      <c r="C14" s="171"/>
      <c r="D14" s="171"/>
      <c r="E14" s="171"/>
      <c r="F14" s="171"/>
      <c r="G14" s="171"/>
      <c r="H14" s="171"/>
      <c r="I14" s="171"/>
    </row>
    <row r="15" spans="1:32" ht="14.45" customHeight="1" x14ac:dyDescent="0.25">
      <c r="B15" s="1151" t="s">
        <v>455</v>
      </c>
      <c r="C15" s="1151"/>
      <c r="D15" s="1151"/>
      <c r="E15" s="1151"/>
      <c r="F15" s="1151"/>
      <c r="G15" s="1151"/>
      <c r="H15" s="1151"/>
      <c r="I15" s="1151"/>
      <c r="J15" s="1151"/>
      <c r="K15" s="1151"/>
      <c r="L15" s="1151"/>
      <c r="M15" s="1151"/>
      <c r="N15" s="1151"/>
      <c r="O15" s="1151"/>
      <c r="P15" s="1151"/>
      <c r="Q15" s="1151"/>
      <c r="R15" s="1151"/>
      <c r="S15" s="1151"/>
      <c r="T15" s="1151"/>
      <c r="U15" s="1151"/>
      <c r="V15" s="1151"/>
      <c r="W15" s="1151"/>
      <c r="X15" s="1151"/>
      <c r="Y15" s="1151"/>
      <c r="Z15" s="1151"/>
      <c r="AA15" s="1151"/>
      <c r="AB15" s="1151"/>
      <c r="AC15" s="1151"/>
      <c r="AD15" s="1151"/>
      <c r="AE15" s="1151"/>
      <c r="AF15" s="1151"/>
    </row>
    <row r="22" spans="1:32" x14ac:dyDescent="0.25">
      <c r="B22" s="171" t="s">
        <v>20</v>
      </c>
      <c r="C22" s="171"/>
      <c r="D22" s="171"/>
      <c r="E22" s="171"/>
      <c r="F22" s="171"/>
      <c r="G22" s="171"/>
      <c r="H22" s="171"/>
      <c r="I22" s="171"/>
    </row>
    <row r="23" spans="1:32" s="4" customFormat="1" ht="14.45" customHeight="1" x14ac:dyDescent="0.25">
      <c r="B23" s="1151" t="s">
        <v>456</v>
      </c>
      <c r="C23" s="1151"/>
      <c r="D23" s="1151"/>
      <c r="E23" s="1151"/>
      <c r="F23" s="1151"/>
      <c r="G23" s="1151"/>
      <c r="H23" s="1151"/>
      <c r="I23" s="1151"/>
      <c r="J23" s="1151"/>
      <c r="K23" s="1151"/>
      <c r="L23" s="1151"/>
      <c r="M23" s="1151"/>
      <c r="N23" s="1151"/>
      <c r="O23" s="1151"/>
      <c r="P23" s="1151"/>
      <c r="Q23" s="1151"/>
      <c r="R23" s="1151"/>
      <c r="S23" s="1151"/>
      <c r="T23" s="1151"/>
      <c r="U23" s="1151"/>
      <c r="V23" s="1151"/>
      <c r="W23" s="1151"/>
      <c r="X23" s="1151"/>
      <c r="Y23" s="1151"/>
      <c r="Z23" s="1151"/>
      <c r="AA23" s="1151"/>
      <c r="AB23" s="1151"/>
      <c r="AC23" s="1151"/>
      <c r="AD23" s="1151"/>
      <c r="AE23" s="1151"/>
      <c r="AF23" s="1151"/>
    </row>
    <row r="24" spans="1:32" s="4" customFormat="1" ht="14.45" customHeight="1" x14ac:dyDescent="0.25"/>
    <row r="25" spans="1:32" s="4" customFormat="1" ht="14.45" customHeight="1" x14ac:dyDescent="0.25"/>
    <row r="26" spans="1:32" s="4" customFormat="1" ht="14.45" customHeight="1" x14ac:dyDescent="0.25"/>
    <row r="27" spans="1:32" s="4" customFormat="1" ht="14.45" customHeight="1" x14ac:dyDescent="0.25"/>
    <row r="28" spans="1:32" s="4" customFormat="1" ht="14.45" customHeight="1" x14ac:dyDescent="0.25"/>
    <row r="30" spans="1:32" x14ac:dyDescent="0.25">
      <c r="A30" s="1472" t="s">
        <v>14</v>
      </c>
      <c r="B30" s="1472"/>
      <c r="C30" s="1472"/>
      <c r="D30" s="1472"/>
      <c r="E30" s="1472"/>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row>
    <row r="32" spans="1:32" ht="28.9" customHeight="1" x14ac:dyDescent="0.25">
      <c r="B32" s="3007" t="s">
        <v>54</v>
      </c>
      <c r="C32" s="3007"/>
      <c r="D32" s="3007"/>
      <c r="E32" s="3007"/>
      <c r="F32" s="3007"/>
      <c r="G32" s="3007"/>
      <c r="H32" s="3007"/>
      <c r="I32" s="3007"/>
      <c r="J32" s="3007"/>
      <c r="K32" s="3007"/>
      <c r="L32" s="3007"/>
      <c r="M32" s="3007"/>
      <c r="N32" s="3007" t="s">
        <v>458</v>
      </c>
      <c r="O32" s="3007"/>
      <c r="P32" s="3007"/>
      <c r="Q32" s="3007"/>
      <c r="R32" s="3007"/>
      <c r="S32" s="3007"/>
      <c r="T32" s="3007"/>
      <c r="U32" s="3007"/>
      <c r="V32" s="3007" t="s">
        <v>459</v>
      </c>
      <c r="W32" s="3007"/>
      <c r="X32" s="3007"/>
      <c r="Y32" s="3007"/>
      <c r="Z32" s="3007"/>
      <c r="AA32" s="3007"/>
      <c r="AB32" s="3007"/>
      <c r="AC32" s="3007"/>
      <c r="AD32" s="3007"/>
      <c r="AE32" s="3007"/>
    </row>
    <row r="33" spans="1:32" x14ac:dyDescent="0.25">
      <c r="B33" s="1243" t="s">
        <v>457</v>
      </c>
      <c r="C33" s="1243"/>
      <c r="D33" s="1243"/>
      <c r="E33" s="1243"/>
      <c r="F33" s="1243"/>
      <c r="G33" s="1243"/>
      <c r="H33" s="1243"/>
      <c r="I33" s="1243"/>
      <c r="J33" s="1243"/>
      <c r="K33" s="1243"/>
      <c r="L33" s="1243"/>
      <c r="M33" s="1243"/>
      <c r="N33" s="1243">
        <v>0.24</v>
      </c>
      <c r="O33" s="1243"/>
      <c r="P33" s="1243"/>
      <c r="Q33" s="1243"/>
      <c r="R33" s="1243"/>
      <c r="S33" s="1243"/>
      <c r="T33" s="1243"/>
      <c r="U33" s="1243"/>
      <c r="V33" s="1243">
        <v>1080</v>
      </c>
      <c r="W33" s="1243"/>
      <c r="X33" s="1243"/>
      <c r="Y33" s="1243"/>
      <c r="Z33" s="1243"/>
      <c r="AA33" s="1243"/>
      <c r="AB33" s="1243"/>
      <c r="AC33" s="1243"/>
      <c r="AD33" s="1243"/>
      <c r="AE33" s="1243"/>
    </row>
    <row r="35" spans="1:32" x14ac:dyDescent="0.25">
      <c r="B35" s="3008" t="s">
        <v>461</v>
      </c>
      <c r="C35" s="3008"/>
      <c r="D35" s="3008"/>
      <c r="E35" s="3008"/>
      <c r="F35" s="3008"/>
      <c r="G35" s="3008"/>
      <c r="H35" s="3008"/>
      <c r="I35" s="3008"/>
      <c r="J35" s="3008"/>
      <c r="K35" s="3008"/>
      <c r="L35" s="3008"/>
      <c r="M35" s="3008"/>
      <c r="N35" s="3008" t="s">
        <v>460</v>
      </c>
      <c r="O35" s="3008"/>
      <c r="P35" s="3008"/>
      <c r="Q35" s="3008"/>
      <c r="R35" s="3008"/>
      <c r="S35" s="3008"/>
      <c r="T35" s="3008"/>
      <c r="U35" s="3008"/>
      <c r="V35" s="3008"/>
      <c r="W35" s="3008"/>
      <c r="X35" s="3008"/>
      <c r="Y35" s="3008"/>
    </row>
    <row r="36" spans="1:32" x14ac:dyDescent="0.25">
      <c r="B36" s="1243" t="s">
        <v>462</v>
      </c>
      <c r="C36" s="1243"/>
      <c r="D36" s="1243"/>
      <c r="E36" s="1243"/>
      <c r="F36" s="1243"/>
      <c r="G36" s="1243"/>
      <c r="H36" s="1243"/>
      <c r="I36" s="1243"/>
      <c r="J36" s="1243"/>
      <c r="K36" s="1243"/>
      <c r="L36" s="1243"/>
      <c r="M36" s="1243"/>
      <c r="N36" s="1243">
        <v>1</v>
      </c>
      <c r="O36" s="1243"/>
      <c r="P36" s="1243"/>
      <c r="Q36" s="1243"/>
      <c r="R36" s="1243"/>
      <c r="S36" s="1243"/>
      <c r="T36" s="1243"/>
      <c r="U36" s="1243"/>
      <c r="V36" s="1243"/>
      <c r="W36" s="1243"/>
      <c r="X36" s="1243"/>
      <c r="Y36" s="1243"/>
    </row>
    <row r="37" spans="1:32" x14ac:dyDescent="0.25">
      <c r="B37" s="1243" t="s">
        <v>463</v>
      </c>
      <c r="C37" s="1243"/>
      <c r="D37" s="1243"/>
      <c r="E37" s="1243"/>
      <c r="F37" s="1243"/>
      <c r="G37" s="1243"/>
      <c r="H37" s="1243"/>
      <c r="I37" s="1243"/>
      <c r="J37" s="1243"/>
      <c r="K37" s="1243"/>
      <c r="L37" s="1243"/>
      <c r="M37" s="1243"/>
      <c r="N37" s="1243">
        <v>1</v>
      </c>
      <c r="O37" s="1243"/>
      <c r="P37" s="1243"/>
      <c r="Q37" s="1243"/>
      <c r="R37" s="1243"/>
      <c r="S37" s="1243"/>
      <c r="T37" s="1243"/>
      <c r="U37" s="1243"/>
      <c r="V37" s="1243"/>
      <c r="W37" s="1243"/>
      <c r="X37" s="1243"/>
      <c r="Y37" s="1243"/>
    </row>
    <row r="38" spans="1:32" ht="12" customHeight="1" x14ac:dyDescent="0.25">
      <c r="P38" s="1343"/>
      <c r="Q38" s="1343"/>
      <c r="R38" s="1343"/>
      <c r="S38" s="1343"/>
      <c r="T38" s="1343"/>
      <c r="U38" s="1343"/>
      <c r="V38" s="1343"/>
      <c r="W38" s="1343"/>
      <c r="X38" s="1343"/>
      <c r="Y38" s="1343"/>
      <c r="Z38" s="1343"/>
      <c r="AA38" s="1343"/>
    </row>
    <row r="39" spans="1:32" x14ac:dyDescent="0.25">
      <c r="A39" s="1472" t="s">
        <v>21</v>
      </c>
      <c r="B39" s="1472"/>
      <c r="C39" s="1472"/>
      <c r="D39" s="1472"/>
      <c r="E39" s="1472"/>
      <c r="F39" s="1472"/>
      <c r="G39" s="1472"/>
      <c r="H39" s="1472"/>
      <c r="I39" s="1472"/>
      <c r="J39" s="1472"/>
      <c r="K39" s="1472"/>
      <c r="L39" s="1472"/>
      <c r="M39" s="1472"/>
      <c r="N39" s="1472"/>
      <c r="O39" s="1472"/>
      <c r="P39" s="1472"/>
      <c r="Q39" s="1472"/>
      <c r="R39" s="1472"/>
      <c r="S39" s="1472"/>
      <c r="T39" s="1472"/>
      <c r="U39" s="1472"/>
      <c r="V39" s="1472"/>
      <c r="W39" s="1472"/>
      <c r="X39" s="1472"/>
      <c r="Y39" s="1472"/>
      <c r="Z39" s="1472"/>
      <c r="AA39" s="1472"/>
      <c r="AB39" s="1472"/>
      <c r="AC39" s="1472"/>
      <c r="AD39" s="1472"/>
      <c r="AE39" s="1472"/>
      <c r="AF39" s="1472"/>
    </row>
    <row r="40" spans="1:32" x14ac:dyDescent="0.25">
      <c r="A40" s="3006" t="s">
        <v>165</v>
      </c>
      <c r="B40" s="3006"/>
      <c r="C40" s="3006"/>
      <c r="D40" s="3006"/>
      <c r="E40" s="3006"/>
      <c r="F40" s="3006"/>
      <c r="G40" s="3006"/>
      <c r="H40" s="3006"/>
      <c r="I40" s="3006"/>
      <c r="J40" s="3006"/>
      <c r="K40" s="3006"/>
      <c r="L40" s="3006"/>
      <c r="M40" s="3006"/>
      <c r="N40" s="3006"/>
      <c r="O40" s="3006"/>
      <c r="P40" s="3006"/>
      <c r="Q40" s="3006"/>
      <c r="R40" s="3006"/>
      <c r="S40" s="3006"/>
      <c r="T40" s="3006"/>
      <c r="U40" s="3006"/>
      <c r="V40" s="3006"/>
      <c r="W40" s="3006"/>
      <c r="X40" s="3006"/>
      <c r="Y40" s="3006"/>
      <c r="Z40" s="3006"/>
      <c r="AA40" s="3006"/>
      <c r="AB40" s="3006"/>
      <c r="AC40" s="3006"/>
      <c r="AD40" s="3006"/>
      <c r="AE40" s="3006"/>
      <c r="AF40" s="3006"/>
    </row>
  </sheetData>
  <sheetProtection algorithmName="SHA-512" hashValue="nt+N/aA9reCo8EKr7PwMrm2w9kuU8UF9QvPAh+m5u0lpfAutFbUr3c5BBXkpUUPX7rBwhFrVY9m1AlFOcrPJwQ==" saltValue="DANfIA2YWeo7+NGjCEdUSw==" spinCount="100000" sheet="1" objects="1" scenarios="1"/>
  <mergeCells count="22">
    <mergeCell ref="A1:AF1"/>
    <mergeCell ref="A30:AF30"/>
    <mergeCell ref="B23:AF23"/>
    <mergeCell ref="A3:AF3"/>
    <mergeCell ref="B6:AF6"/>
    <mergeCell ref="B9:AF9"/>
    <mergeCell ref="B15:AF15"/>
    <mergeCell ref="A39:AF39"/>
    <mergeCell ref="A40:AF40"/>
    <mergeCell ref="B32:M32"/>
    <mergeCell ref="N32:U32"/>
    <mergeCell ref="V32:AE32"/>
    <mergeCell ref="B33:M33"/>
    <mergeCell ref="N33:U33"/>
    <mergeCell ref="V33:AE33"/>
    <mergeCell ref="P38:AA38"/>
    <mergeCell ref="B35:M35"/>
    <mergeCell ref="N35:Y35"/>
    <mergeCell ref="B36:M36"/>
    <mergeCell ref="N36:Y36"/>
    <mergeCell ref="B37:M37"/>
    <mergeCell ref="N37:Y37"/>
  </mergeCells>
  <hyperlinks>
    <hyperlink ref="A2" location="TOC!A1" display="Return to TOC" xr:uid="{00000000-0004-0000-3E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CCFF"/>
    <pageSetUpPr autoPageBreaks="0"/>
  </sheetPr>
  <dimension ref="A1:U21"/>
  <sheetViews>
    <sheetView workbookViewId="0">
      <selection activeCell="V10" sqref="V10"/>
    </sheetView>
  </sheetViews>
  <sheetFormatPr defaultRowHeight="15" x14ac:dyDescent="0.25"/>
  <cols>
    <col min="1" max="1" width="13" bestFit="1" customWidth="1"/>
    <col min="14" max="14" width="26.42578125" bestFit="1" customWidth="1"/>
    <col min="15" max="15" width="21.7109375" bestFit="1" customWidth="1"/>
    <col min="17" max="17" width="12.28515625" customWidth="1"/>
  </cols>
  <sheetData>
    <row r="1" spans="1:21" x14ac:dyDescent="0.25">
      <c r="A1" s="376"/>
    </row>
    <row r="4" spans="1:21" x14ac:dyDescent="0.25">
      <c r="A4" t="s">
        <v>1341</v>
      </c>
      <c r="D4" t="s">
        <v>1304</v>
      </c>
      <c r="I4" t="s">
        <v>1608</v>
      </c>
      <c r="N4" t="s">
        <v>1608</v>
      </c>
      <c r="O4" t="s">
        <v>1608</v>
      </c>
      <c r="Q4" t="s">
        <v>1599</v>
      </c>
      <c r="U4" t="s">
        <v>2914</v>
      </c>
    </row>
    <row r="5" spans="1:21" ht="15" customHeight="1" x14ac:dyDescent="0.25">
      <c r="A5" t="s">
        <v>1793</v>
      </c>
      <c r="D5" t="s">
        <v>2364</v>
      </c>
      <c r="I5" t="s">
        <v>2383</v>
      </c>
      <c r="N5" s="31" t="s">
        <v>2389</v>
      </c>
      <c r="O5" s="31" t="s">
        <v>449</v>
      </c>
      <c r="Q5" t="s">
        <v>2734</v>
      </c>
      <c r="R5" t="s">
        <v>2733</v>
      </c>
      <c r="U5" s="227" t="s">
        <v>3637</v>
      </c>
    </row>
    <row r="6" spans="1:21" ht="15" customHeight="1" x14ac:dyDescent="0.25">
      <c r="A6" s="292">
        <v>40</v>
      </c>
      <c r="B6" s="292"/>
      <c r="C6" s="292"/>
      <c r="D6" t="s">
        <v>1805</v>
      </c>
      <c r="E6" s="292"/>
      <c r="I6" s="308" t="s">
        <v>1984</v>
      </c>
      <c r="N6" s="469" t="s">
        <v>2395</v>
      </c>
      <c r="O6" s="469" t="s">
        <v>2391</v>
      </c>
      <c r="Q6" t="s">
        <v>2737</v>
      </c>
      <c r="R6" t="s">
        <v>779</v>
      </c>
      <c r="U6" s="227" t="s">
        <v>3635</v>
      </c>
    </row>
    <row r="7" spans="1:21" x14ac:dyDescent="0.25">
      <c r="A7" s="292">
        <v>60</v>
      </c>
      <c r="B7" s="292"/>
      <c r="C7" s="292"/>
      <c r="D7" s="292" t="s">
        <v>2363</v>
      </c>
      <c r="E7" s="292"/>
      <c r="I7" s="464" t="s">
        <v>222</v>
      </c>
      <c r="N7" s="469" t="s">
        <v>2396</v>
      </c>
      <c r="O7" s="469" t="s">
        <v>2392</v>
      </c>
      <c r="Q7" t="s">
        <v>2738</v>
      </c>
      <c r="R7" t="s">
        <v>780</v>
      </c>
      <c r="U7" s="227" t="s">
        <v>3577</v>
      </c>
    </row>
    <row r="8" spans="1:21" x14ac:dyDescent="0.25">
      <c r="A8" s="292">
        <v>75</v>
      </c>
      <c r="B8" s="292"/>
      <c r="C8" s="292"/>
      <c r="D8" s="292"/>
      <c r="E8" s="292"/>
      <c r="I8" s="464" t="s">
        <v>223</v>
      </c>
      <c r="N8" s="469" t="s">
        <v>2397</v>
      </c>
      <c r="O8" s="469" t="s">
        <v>2393</v>
      </c>
      <c r="R8" t="s">
        <v>781</v>
      </c>
    </row>
    <row r="9" spans="1:21" x14ac:dyDescent="0.25">
      <c r="A9" s="292">
        <v>100</v>
      </c>
      <c r="B9" s="292"/>
      <c r="C9" s="292"/>
      <c r="D9" s="292"/>
      <c r="E9" s="292"/>
      <c r="I9" s="464" t="s">
        <v>224</v>
      </c>
      <c r="N9" s="469" t="s">
        <v>2401</v>
      </c>
      <c r="O9" s="469" t="s">
        <v>2394</v>
      </c>
      <c r="R9" t="s">
        <v>782</v>
      </c>
    </row>
    <row r="10" spans="1:21" x14ac:dyDescent="0.25">
      <c r="A10" s="292"/>
      <c r="I10" s="464" t="s">
        <v>225</v>
      </c>
      <c r="N10" s="469" t="s">
        <v>2402</v>
      </c>
      <c r="O10" s="469" t="s">
        <v>2390</v>
      </c>
      <c r="R10" t="s">
        <v>783</v>
      </c>
    </row>
    <row r="11" spans="1:21" x14ac:dyDescent="0.25">
      <c r="I11" s="464" t="s">
        <v>55</v>
      </c>
      <c r="N11" s="469" t="s">
        <v>2398</v>
      </c>
      <c r="O11" s="469">
        <v>60</v>
      </c>
      <c r="R11" t="s">
        <v>784</v>
      </c>
    </row>
    <row r="12" spans="1:21" x14ac:dyDescent="0.25">
      <c r="I12" s="464" t="s">
        <v>227</v>
      </c>
      <c r="N12" s="38" t="s">
        <v>2399</v>
      </c>
      <c r="O12" s="468"/>
    </row>
    <row r="13" spans="1:21" x14ac:dyDescent="0.25">
      <c r="N13" s="38" t="s">
        <v>2400</v>
      </c>
      <c r="O13" s="468"/>
    </row>
    <row r="14" spans="1:21" x14ac:dyDescent="0.25">
      <c r="N14" s="469" t="s">
        <v>450</v>
      </c>
      <c r="O14" s="468"/>
    </row>
    <row r="16" spans="1:21" x14ac:dyDescent="0.25">
      <c r="A16" t="s">
        <v>3039</v>
      </c>
    </row>
    <row r="17" spans="1:1" x14ac:dyDescent="0.25">
      <c r="A17" t="s">
        <v>1735</v>
      </c>
    </row>
    <row r="18" spans="1:1" x14ac:dyDescent="0.25">
      <c r="A18" t="s">
        <v>1726</v>
      </c>
    </row>
    <row r="19" spans="1:1" x14ac:dyDescent="0.25">
      <c r="A19" t="s">
        <v>3091</v>
      </c>
    </row>
    <row r="20" spans="1:1" x14ac:dyDescent="0.25">
      <c r="A20" t="s">
        <v>878</v>
      </c>
    </row>
    <row r="21" spans="1:1" x14ac:dyDescent="0.25">
      <c r="A21" t="s">
        <v>2930</v>
      </c>
    </row>
  </sheetData>
  <sheetProtection algorithmName="SHA-512" hashValue="fuE3mh3S1O81ulKM44PXMWBNPbggm64D3NO3el5TX8tXzUPu0ysQrDEtkXEGHsm5hkwo1svdR44wJMu0bGcq2g==" saltValue="fyEb/IvQbSNfs+mIDZzqNg==" spinCount="100000" sheet="1" objects="1" scenarios="1"/>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5">
    <tabColor theme="4" tint="0.39997558519241921"/>
    <pageSetUpPr autoPageBreaks="0"/>
  </sheetPr>
  <dimension ref="A1:AF143"/>
  <sheetViews>
    <sheetView zoomScaleNormal="100" workbookViewId="0">
      <selection sqref="A1:AF1"/>
    </sheetView>
  </sheetViews>
  <sheetFormatPr defaultColWidth="2.7109375" defaultRowHeight="15" x14ac:dyDescent="0.25"/>
  <sheetData>
    <row r="1" spans="1:32" s="1" customFormat="1" ht="18.75" x14ac:dyDescent="0.25">
      <c r="A1" s="1464" t="s">
        <v>1152</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s="1" customFormat="1"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s="1"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s="1"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ht="14.45" customHeight="1" x14ac:dyDescent="0.25">
      <c r="A5" s="262"/>
      <c r="B5" s="1151" t="s">
        <v>3396</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ht="15" customHeigh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25">
      <c r="A9" s="1"/>
      <c r="B9" s="171" t="s">
        <v>10</v>
      </c>
      <c r="C9" s="171"/>
      <c r="D9" s="171"/>
      <c r="E9" s="171"/>
      <c r="F9" s="171"/>
      <c r="G9" s="171"/>
      <c r="H9" s="171"/>
      <c r="I9" s="171"/>
      <c r="J9" s="1"/>
      <c r="K9" s="1"/>
      <c r="L9" s="1"/>
      <c r="M9" s="1"/>
      <c r="N9" s="1"/>
      <c r="O9" s="1"/>
      <c r="P9" s="1"/>
      <c r="Q9" s="1"/>
      <c r="R9" s="1"/>
      <c r="S9" s="1"/>
      <c r="T9" s="1"/>
      <c r="U9" s="1"/>
      <c r="V9" s="1"/>
      <c r="W9" s="1"/>
      <c r="X9" s="1"/>
      <c r="Y9" s="1"/>
      <c r="Z9" s="1"/>
      <c r="AA9" s="1"/>
      <c r="AB9" s="1"/>
      <c r="AC9" s="1"/>
      <c r="AD9" s="1"/>
      <c r="AE9" s="1"/>
      <c r="AF9" s="1"/>
    </row>
    <row r="10" spans="1:32" ht="81" customHeight="1" x14ac:dyDescent="0.25">
      <c r="A10" s="1"/>
      <c r="B10" s="1142" t="s">
        <v>2368</v>
      </c>
      <c r="C10" s="1142"/>
      <c r="D10" s="1142"/>
      <c r="E10" s="1142"/>
      <c r="F10" s="1142"/>
      <c r="G10" s="1142"/>
      <c r="H10" s="1142"/>
      <c r="I10" s="1142"/>
      <c r="J10" s="1142"/>
      <c r="K10" s="1142"/>
      <c r="L10" s="1142"/>
      <c r="M10" s="1142"/>
      <c r="N10" s="1142"/>
      <c r="O10" s="1142"/>
      <c r="P10" s="1142"/>
      <c r="Q10" s="1142"/>
      <c r="R10" s="1142"/>
      <c r="S10" s="1142"/>
      <c r="T10" s="1142"/>
      <c r="U10" s="1142"/>
      <c r="V10" s="1142"/>
      <c r="W10" s="1142"/>
      <c r="X10" s="1142"/>
      <c r="Y10" s="1142"/>
      <c r="Z10" s="1142"/>
      <c r="AA10" s="1142"/>
      <c r="AB10" s="1142"/>
      <c r="AC10" s="1142"/>
      <c r="AD10" s="1142"/>
      <c r="AE10" s="1142"/>
      <c r="AF10" s="1142"/>
    </row>
    <row r="11" spans="1:32" x14ac:dyDescent="0.25">
      <c r="A11" s="1"/>
      <c r="B11" s="270"/>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2" ht="97.5" customHeight="1" x14ac:dyDescent="0.25">
      <c r="A12" s="1"/>
      <c r="B12" s="1142" t="s">
        <v>3096</v>
      </c>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3" spans="1:32"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row>
    <row r="14" spans="1:32" x14ac:dyDescent="0.25">
      <c r="A14" s="1"/>
      <c r="B14" s="171" t="s">
        <v>11</v>
      </c>
      <c r="C14" s="171"/>
      <c r="D14" s="171"/>
      <c r="E14" s="171"/>
      <c r="F14" s="171"/>
      <c r="G14" s="171"/>
      <c r="H14" s="171"/>
      <c r="I14" s="171"/>
      <c r="J14" s="1"/>
      <c r="K14" s="1"/>
      <c r="L14" s="1"/>
      <c r="M14" s="1"/>
      <c r="N14" s="1"/>
      <c r="O14" s="1"/>
      <c r="P14" s="1"/>
      <c r="Q14" s="1"/>
      <c r="R14" s="1"/>
      <c r="S14" s="1"/>
      <c r="T14" s="1"/>
      <c r="U14" s="1"/>
      <c r="V14" s="1"/>
      <c r="W14" s="1"/>
      <c r="X14" s="1"/>
      <c r="Y14" s="1"/>
      <c r="Z14" s="1"/>
      <c r="AA14" s="1"/>
      <c r="AB14" s="1"/>
      <c r="AC14" s="1"/>
      <c r="AD14" s="1"/>
      <c r="AE14" s="1"/>
      <c r="AF14" s="1"/>
    </row>
    <row r="15" spans="1:32" ht="54.75" customHeight="1" x14ac:dyDescent="0.25">
      <c r="A15" s="4"/>
      <c r="B15" s="1247" t="s">
        <v>3097</v>
      </c>
      <c r="C15" s="1247"/>
      <c r="D15" s="1247"/>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row>
    <row r="16" spans="1:32"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spans="1:32" x14ac:dyDescent="0.25">
      <c r="A17" s="1"/>
      <c r="B17" s="171" t="s">
        <v>12</v>
      </c>
      <c r="C17" s="171"/>
      <c r="D17" s="171"/>
      <c r="E17" s="171"/>
      <c r="F17" s="171"/>
      <c r="G17" s="171"/>
      <c r="H17" s="171"/>
      <c r="I17" s="171"/>
      <c r="J17" s="1"/>
      <c r="K17" s="1"/>
      <c r="L17" s="1"/>
      <c r="M17" s="1"/>
      <c r="N17" s="1"/>
      <c r="O17" s="1"/>
      <c r="P17" s="1"/>
      <c r="Q17" s="1"/>
      <c r="R17" s="1"/>
      <c r="S17" s="1"/>
      <c r="T17" s="1"/>
      <c r="U17" s="1"/>
      <c r="V17" s="1"/>
      <c r="W17" s="1"/>
      <c r="X17" s="1"/>
      <c r="Y17" s="1"/>
      <c r="Z17" s="1"/>
      <c r="AA17" s="1"/>
      <c r="AB17" s="1"/>
      <c r="AC17" s="1"/>
      <c r="AD17" s="1"/>
      <c r="AE17" s="1"/>
      <c r="AF17" s="1"/>
    </row>
    <row r="18" spans="1:32" x14ac:dyDescent="0.25">
      <c r="A18" s="1"/>
      <c r="B18" s="1" t="s">
        <v>3397</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row>
    <row r="19" spans="1:32"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row>
    <row r="20" spans="1:32" x14ac:dyDescent="0.25">
      <c r="A20" s="1"/>
      <c r="B20" s="171" t="s">
        <v>13</v>
      </c>
      <c r="C20" s="171"/>
      <c r="D20" s="171"/>
      <c r="E20" s="171"/>
      <c r="F20" s="171"/>
      <c r="G20" s="171"/>
      <c r="H20" s="171"/>
      <c r="I20" s="171"/>
      <c r="J20" s="1"/>
      <c r="K20" s="1"/>
      <c r="L20" s="1"/>
      <c r="M20" s="1"/>
      <c r="N20" s="1"/>
      <c r="O20" s="1"/>
      <c r="P20" s="1"/>
      <c r="Q20" s="1"/>
      <c r="R20" s="1"/>
      <c r="S20" s="1"/>
      <c r="T20" s="1"/>
      <c r="U20" s="1"/>
      <c r="V20" s="1"/>
      <c r="W20" s="1"/>
      <c r="X20" s="1"/>
      <c r="Y20" s="1"/>
      <c r="Z20" s="1"/>
      <c r="AA20" s="1"/>
      <c r="AB20" s="1"/>
      <c r="AC20" s="1"/>
      <c r="AD20" s="1"/>
      <c r="AE20" s="1"/>
      <c r="AF20" s="1"/>
    </row>
    <row r="21" spans="1:32" ht="84" customHeight="1" x14ac:dyDescent="0.25">
      <c r="A21" s="1"/>
      <c r="B21" s="1247" t="s">
        <v>3116</v>
      </c>
      <c r="C21" s="1247"/>
      <c r="D21" s="1247"/>
      <c r="E21" s="1247"/>
      <c r="F21" s="1247"/>
      <c r="G21" s="1247"/>
      <c r="H21" s="1247"/>
      <c r="I21" s="1247"/>
      <c r="J21" s="1247"/>
      <c r="K21" s="1247"/>
      <c r="L21" s="1247"/>
      <c r="M21" s="1247"/>
      <c r="N21" s="1247"/>
      <c r="O21" s="1247"/>
      <c r="P21" s="1247"/>
      <c r="Q21" s="1247"/>
      <c r="R21" s="1247"/>
      <c r="S21" s="1247"/>
      <c r="T21" s="1247"/>
      <c r="U21" s="1247"/>
      <c r="V21" s="1247"/>
      <c r="W21" s="1247"/>
      <c r="X21" s="1247"/>
      <c r="Y21" s="1247"/>
      <c r="Z21" s="1247"/>
      <c r="AA21" s="1247"/>
      <c r="AB21" s="1247"/>
      <c r="AC21" s="1247"/>
      <c r="AD21" s="1247"/>
      <c r="AE21" s="1247"/>
      <c r="AF21" s="1247"/>
    </row>
    <row r="22" spans="1:32"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3" spans="1:32" x14ac:dyDescent="0.25">
      <c r="A23" s="1"/>
      <c r="B23" s="171" t="s">
        <v>20</v>
      </c>
      <c r="C23" s="171"/>
      <c r="D23" s="171"/>
      <c r="E23" s="171"/>
      <c r="F23" s="171"/>
      <c r="G23" s="171"/>
      <c r="H23" s="171"/>
      <c r="I23" s="171"/>
      <c r="J23" s="1"/>
      <c r="K23" s="1"/>
      <c r="L23" s="1"/>
      <c r="M23" s="1"/>
      <c r="N23" s="1"/>
      <c r="O23" s="1"/>
      <c r="P23" s="1"/>
      <c r="Q23" s="1"/>
      <c r="R23" s="1"/>
      <c r="S23" s="1"/>
      <c r="T23" s="1"/>
      <c r="U23" s="1"/>
      <c r="V23" s="1"/>
      <c r="W23" s="1"/>
      <c r="X23" s="1"/>
      <c r="Y23" s="1"/>
      <c r="Z23" s="1"/>
      <c r="AA23" s="1"/>
      <c r="AB23" s="1"/>
      <c r="AC23" s="1"/>
      <c r="AD23" s="1"/>
      <c r="AE23" s="1"/>
      <c r="AF23" s="1"/>
    </row>
    <row r="24" spans="1:32" ht="97.5" customHeight="1" x14ac:dyDescent="0.25">
      <c r="A24" s="1"/>
      <c r="B24" s="1247" t="s">
        <v>3077</v>
      </c>
      <c r="C24" s="1247"/>
      <c r="D24" s="1247"/>
      <c r="E24" s="1247"/>
      <c r="F24" s="1247"/>
      <c r="G24" s="1247"/>
      <c r="H24" s="1247"/>
      <c r="I24" s="1247"/>
      <c r="J24" s="1247"/>
      <c r="K24" s="1247"/>
      <c r="L24" s="1247"/>
      <c r="M24" s="1247"/>
      <c r="N24" s="1247"/>
      <c r="O24" s="1247"/>
      <c r="P24" s="1247"/>
      <c r="Q24" s="1247"/>
      <c r="R24" s="1247"/>
      <c r="S24" s="1247"/>
      <c r="T24" s="1247"/>
      <c r="U24" s="1247"/>
      <c r="V24" s="1247"/>
      <c r="W24" s="1247"/>
      <c r="X24" s="1247"/>
      <c r="Y24" s="1247"/>
      <c r="Z24" s="1247"/>
      <c r="AA24" s="1247"/>
      <c r="AB24" s="1247"/>
      <c r="AC24" s="1247"/>
      <c r="AD24" s="1247"/>
      <c r="AE24" s="1247"/>
      <c r="AF24" s="1247"/>
    </row>
    <row r="25" spans="1:32"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x14ac:dyDescent="0.25">
      <c r="A26" s="1472" t="s">
        <v>14</v>
      </c>
      <c r="B26" s="1472"/>
      <c r="C26" s="1472"/>
      <c r="D26" s="1472"/>
      <c r="E26" s="1472"/>
      <c r="F26" s="1472"/>
      <c r="G26" s="1472"/>
      <c r="H26" s="1472"/>
      <c r="I26" s="1472"/>
      <c r="J26" s="1472"/>
      <c r="K26" s="1472"/>
      <c r="L26" s="1472"/>
      <c r="M26" s="1472"/>
      <c r="N26" s="1472"/>
      <c r="O26" s="1472"/>
      <c r="P26" s="1472"/>
      <c r="Q26" s="1472"/>
      <c r="R26" s="1472"/>
      <c r="S26" s="1472"/>
      <c r="T26" s="1472"/>
      <c r="U26" s="1472"/>
      <c r="V26" s="1472"/>
      <c r="W26" s="1472"/>
      <c r="X26" s="1472"/>
      <c r="Y26" s="1472"/>
      <c r="Z26" s="1472"/>
      <c r="AA26" s="1472"/>
      <c r="AB26" s="1472"/>
      <c r="AC26" s="1472"/>
      <c r="AD26" s="1472"/>
      <c r="AE26" s="1472"/>
      <c r="AF26" s="1472"/>
    </row>
    <row r="27" spans="1:32"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row>
    <row r="28" spans="1:32" x14ac:dyDescent="0.25">
      <c r="A28" s="3"/>
      <c r="B28" s="379" t="s">
        <v>1738</v>
      </c>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row>
    <row r="29" spans="1:32"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row>
    <row r="30" spans="1:32"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B30" s="3"/>
      <c r="AC30" s="3"/>
      <c r="AD30" s="3"/>
      <c r="AE30" s="3"/>
      <c r="AF30" s="304" t="s">
        <v>1705</v>
      </c>
    </row>
    <row r="31" spans="1:32"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1:32" x14ac:dyDescent="0.25">
      <c r="A32" s="3"/>
      <c r="B32" s="379" t="s">
        <v>2369</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row>
    <row r="33" spans="1:32"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1:32"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B34" s="3"/>
      <c r="AC34" s="3"/>
      <c r="AD34" s="3"/>
      <c r="AE34" s="3"/>
      <c r="AF34" s="304" t="s">
        <v>1706</v>
      </c>
    </row>
    <row r="35" spans="1:32"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32" x14ac:dyDescent="0.25">
      <c r="A36" s="3"/>
      <c r="B36" s="379" t="s">
        <v>3078</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row>
    <row r="37" spans="1:32"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32"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04" t="s">
        <v>1707</v>
      </c>
    </row>
    <row r="39" spans="1:32"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row>
    <row r="40" spans="1:32"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row>
    <row r="41" spans="1:32" x14ac:dyDescent="0.25">
      <c r="A41" s="3"/>
      <c r="B41" s="379" t="s">
        <v>3079</v>
      </c>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row>
    <row r="42" spans="1:32"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row>
    <row r="43" spans="1:32"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04" t="s">
        <v>1756</v>
      </c>
    </row>
    <row r="44" spans="1:32"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row>
    <row r="45" spans="1:32"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x14ac:dyDescent="0.25">
      <c r="A46" s="3"/>
      <c r="B46" s="379" t="s">
        <v>2194</v>
      </c>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row>
    <row r="47" spans="1:32"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row>
    <row r="48" spans="1:32"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04" t="s">
        <v>1788</v>
      </c>
    </row>
    <row r="49" spans="1:32"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04"/>
    </row>
    <row r="50" spans="1:32" x14ac:dyDescent="0.25">
      <c r="A50" s="3"/>
      <c r="B50" s="379" t="s">
        <v>2303</v>
      </c>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row>
    <row r="51" spans="1:32"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row>
    <row r="52" spans="1:32"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04" t="s">
        <v>1789</v>
      </c>
    </row>
    <row r="53" spans="1:32"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row>
    <row r="54" spans="1:32"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x14ac:dyDescent="0.25">
      <c r="A55" s="3"/>
      <c r="B55" s="379" t="s">
        <v>1998</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2"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row>
    <row r="57" spans="1:32"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04" t="s">
        <v>1826</v>
      </c>
    </row>
    <row r="58" spans="1:32"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row>
    <row r="59" spans="1:32" x14ac:dyDescent="0.25">
      <c r="A59" s="18"/>
      <c r="I59" s="20"/>
    </row>
    <row r="60" spans="1:32" x14ac:dyDescent="0.25">
      <c r="A60" s="1472" t="s">
        <v>15</v>
      </c>
      <c r="B60" s="1472"/>
      <c r="C60" s="1472"/>
      <c r="D60" s="1472"/>
      <c r="E60" s="1472"/>
      <c r="F60" s="1472"/>
      <c r="G60" s="1472"/>
      <c r="H60" s="1472"/>
      <c r="I60" s="1472"/>
      <c r="J60" s="1472"/>
      <c r="K60" s="1472"/>
      <c r="L60" s="1472"/>
      <c r="M60" s="1472"/>
      <c r="N60" s="1472"/>
      <c r="O60" s="1472"/>
      <c r="P60" s="1472"/>
      <c r="Q60" s="1472"/>
      <c r="R60" s="1472"/>
      <c r="S60" s="1472"/>
      <c r="T60" s="1472"/>
      <c r="U60" s="1472"/>
      <c r="V60" s="1472"/>
      <c r="W60" s="1472"/>
      <c r="X60" s="1472"/>
      <c r="Y60" s="1472"/>
      <c r="Z60" s="1472"/>
      <c r="AA60" s="1472"/>
      <c r="AB60" s="1472"/>
      <c r="AC60" s="1472"/>
      <c r="AD60" s="1472"/>
      <c r="AE60" s="1472"/>
      <c r="AF60" s="1472"/>
    </row>
    <row r="61" spans="1:32" x14ac:dyDescent="0.25">
      <c r="A61" s="1605" t="s">
        <v>16</v>
      </c>
      <c r="B61" s="1605"/>
      <c r="C61" s="1605"/>
      <c r="D61" s="1605"/>
      <c r="E61" s="1602" t="s">
        <v>10</v>
      </c>
      <c r="F61" s="1602"/>
      <c r="G61" s="1602"/>
      <c r="H61" s="1602"/>
      <c r="I61" s="1602"/>
      <c r="J61" s="1602"/>
      <c r="K61" s="1602"/>
      <c r="L61" s="1602"/>
      <c r="M61" s="1602"/>
      <c r="N61" s="1602"/>
      <c r="O61" s="1602"/>
      <c r="P61" s="3013" t="s">
        <v>17</v>
      </c>
      <c r="Q61" s="3013"/>
      <c r="R61" s="3013"/>
      <c r="S61" s="3013"/>
      <c r="T61" s="3014" t="s">
        <v>18</v>
      </c>
      <c r="U61" s="1474"/>
      <c r="V61" s="1474"/>
      <c r="W61" s="1474"/>
      <c r="X61" s="3015" t="s">
        <v>1708</v>
      </c>
      <c r="Y61" s="3015"/>
      <c r="Z61" s="3015"/>
      <c r="AA61" s="3015"/>
      <c r="AB61" s="3015"/>
      <c r="AC61" s="3015"/>
      <c r="AD61" s="3015"/>
      <c r="AE61" s="3015"/>
      <c r="AF61" s="3015"/>
    </row>
    <row r="62" spans="1:32" ht="47.25" customHeight="1" x14ac:dyDescent="0.25">
      <c r="A62" s="1134" t="s">
        <v>1704</v>
      </c>
      <c r="B62" s="1134"/>
      <c r="C62" s="1134"/>
      <c r="D62" s="1134"/>
      <c r="E62" s="1135" t="s">
        <v>3106</v>
      </c>
      <c r="F62" s="1135"/>
      <c r="G62" s="1135"/>
      <c r="H62" s="1135"/>
      <c r="I62" s="1135"/>
      <c r="J62" s="1135"/>
      <c r="K62" s="1135"/>
      <c r="L62" s="1135"/>
      <c r="M62" s="1135"/>
      <c r="N62" s="1135"/>
      <c r="O62" s="1135"/>
      <c r="P62" s="3009" t="s">
        <v>2372</v>
      </c>
      <c r="Q62" s="3009"/>
      <c r="R62" s="3009"/>
      <c r="S62" s="3009"/>
      <c r="T62" s="2496" t="s">
        <v>28</v>
      </c>
      <c r="U62" s="1606"/>
      <c r="V62" s="1606"/>
      <c r="W62" s="1606"/>
      <c r="X62" s="1715" t="s">
        <v>3122</v>
      </c>
      <c r="Y62" s="1715"/>
      <c r="Z62" s="1715"/>
      <c r="AA62" s="1715"/>
      <c r="AB62" s="1715"/>
      <c r="AC62" s="1715"/>
      <c r="AD62" s="1715"/>
      <c r="AE62" s="1715"/>
      <c r="AF62" s="1715"/>
    </row>
    <row r="63" spans="1:32" ht="39" customHeight="1" x14ac:dyDescent="0.25">
      <c r="A63" s="1134" t="s">
        <v>2370</v>
      </c>
      <c r="B63" s="1134"/>
      <c r="C63" s="1134"/>
      <c r="D63" s="1134"/>
      <c r="E63" s="1135" t="s">
        <v>2382</v>
      </c>
      <c r="F63" s="1135"/>
      <c r="G63" s="1135"/>
      <c r="H63" s="1135"/>
      <c r="I63" s="1135"/>
      <c r="J63" s="1135"/>
      <c r="K63" s="1135"/>
      <c r="L63" s="1135"/>
      <c r="M63" s="1135"/>
      <c r="N63" s="1135"/>
      <c r="O63" s="1135"/>
      <c r="P63" s="3009" t="s">
        <v>164</v>
      </c>
      <c r="Q63" s="3009"/>
      <c r="R63" s="3009"/>
      <c r="S63" s="3009"/>
      <c r="T63" s="2496" t="s">
        <v>2371</v>
      </c>
      <c r="U63" s="1606"/>
      <c r="V63" s="1606"/>
      <c r="W63" s="1606"/>
      <c r="X63" s="1865" t="s">
        <v>28</v>
      </c>
      <c r="Y63" s="1674"/>
      <c r="Z63" s="1674"/>
      <c r="AA63" s="1674"/>
      <c r="AB63" s="1674"/>
      <c r="AC63" s="1674"/>
      <c r="AD63" s="1674"/>
      <c r="AE63" s="1674"/>
      <c r="AF63" s="1674"/>
    </row>
    <row r="64" spans="1:32" ht="48.75" customHeight="1" x14ac:dyDescent="0.25">
      <c r="A64" s="1134" t="s">
        <v>2373</v>
      </c>
      <c r="B64" s="1134"/>
      <c r="C64" s="1134"/>
      <c r="D64" s="1134"/>
      <c r="E64" s="1135" t="s">
        <v>2374</v>
      </c>
      <c r="F64" s="1135"/>
      <c r="G64" s="1135"/>
      <c r="H64" s="1135"/>
      <c r="I64" s="1135"/>
      <c r="J64" s="1135"/>
      <c r="K64" s="1135"/>
      <c r="L64" s="1135"/>
      <c r="M64" s="1135"/>
      <c r="N64" s="1135"/>
      <c r="O64" s="1135"/>
      <c r="P64" s="1913" t="s">
        <v>626</v>
      </c>
      <c r="Q64" s="1913"/>
      <c r="R64" s="1913"/>
      <c r="S64" s="1913"/>
      <c r="T64" s="1606" t="s">
        <v>2375</v>
      </c>
      <c r="U64" s="1606"/>
      <c r="V64" s="1606"/>
      <c r="W64" s="1606"/>
      <c r="X64" s="1517" t="s">
        <v>2841</v>
      </c>
      <c r="Y64" s="1517"/>
      <c r="Z64" s="1517"/>
      <c r="AA64" s="1517"/>
      <c r="AB64" s="1517"/>
      <c r="AC64" s="1517"/>
      <c r="AD64" s="1517"/>
      <c r="AE64" s="1517"/>
      <c r="AF64" s="1517"/>
    </row>
    <row r="65" spans="1:32" ht="42" customHeight="1" x14ac:dyDescent="0.25">
      <c r="A65" s="1134" t="s">
        <v>2250</v>
      </c>
      <c r="B65" s="1134"/>
      <c r="C65" s="1134"/>
      <c r="D65" s="1134"/>
      <c r="E65" s="1135" t="s">
        <v>2378</v>
      </c>
      <c r="F65" s="1135"/>
      <c r="G65" s="1135"/>
      <c r="H65" s="1135"/>
      <c r="I65" s="1135"/>
      <c r="J65" s="1135"/>
      <c r="K65" s="1135"/>
      <c r="L65" s="1135"/>
      <c r="M65" s="1135"/>
      <c r="N65" s="1135"/>
      <c r="O65" s="1135"/>
      <c r="P65" s="3009" t="s">
        <v>164</v>
      </c>
      <c r="Q65" s="3009"/>
      <c r="R65" s="3009"/>
      <c r="S65" s="3009"/>
      <c r="T65" s="1606" t="s">
        <v>2379</v>
      </c>
      <c r="U65" s="1606"/>
      <c r="V65" s="1606"/>
      <c r="W65" s="1606"/>
      <c r="X65" s="1865" t="s">
        <v>28</v>
      </c>
      <c r="Y65" s="1674"/>
      <c r="Z65" s="1674"/>
      <c r="AA65" s="1674"/>
      <c r="AB65" s="1674"/>
      <c r="AC65" s="1674"/>
      <c r="AD65" s="1674"/>
      <c r="AE65" s="1674"/>
      <c r="AF65" s="1674"/>
    </row>
    <row r="66" spans="1:32" ht="35.25" customHeight="1" x14ac:dyDescent="0.25">
      <c r="A66" s="3011" t="s">
        <v>1713</v>
      </c>
      <c r="B66" s="3012"/>
      <c r="C66" s="3012"/>
      <c r="D66" s="3012"/>
      <c r="E66" s="1135" t="s">
        <v>1714</v>
      </c>
      <c r="F66" s="1135"/>
      <c r="G66" s="1135"/>
      <c r="H66" s="1135"/>
      <c r="I66" s="1135"/>
      <c r="J66" s="1135"/>
      <c r="K66" s="1135"/>
      <c r="L66" s="1135"/>
      <c r="M66" s="1135"/>
      <c r="N66" s="1135"/>
      <c r="O66" s="1135"/>
      <c r="P66" s="1913">
        <v>8.3000000000000007</v>
      </c>
      <c r="Q66" s="1913"/>
      <c r="R66" s="1913"/>
      <c r="S66" s="1913"/>
      <c r="T66" s="1606" t="s">
        <v>1715</v>
      </c>
      <c r="U66" s="1606"/>
      <c r="V66" s="1606"/>
      <c r="W66" s="1606"/>
      <c r="X66" s="1865" t="s">
        <v>28</v>
      </c>
      <c r="Y66" s="1674"/>
      <c r="Z66" s="1674"/>
      <c r="AA66" s="1674"/>
      <c r="AB66" s="1674"/>
      <c r="AC66" s="1674"/>
      <c r="AD66" s="1674"/>
      <c r="AE66" s="1674"/>
      <c r="AF66" s="1674"/>
    </row>
    <row r="67" spans="1:32" ht="35.25" customHeight="1" x14ac:dyDescent="0.25">
      <c r="A67" s="3012" t="s">
        <v>1717</v>
      </c>
      <c r="B67" s="3012"/>
      <c r="C67" s="3012"/>
      <c r="D67" s="3012"/>
      <c r="E67" s="1135" t="s">
        <v>1718</v>
      </c>
      <c r="F67" s="1135"/>
      <c r="G67" s="1135"/>
      <c r="H67" s="1135"/>
      <c r="I67" s="1135"/>
      <c r="J67" s="1135"/>
      <c r="K67" s="1135"/>
      <c r="L67" s="1135"/>
      <c r="M67" s="1135"/>
      <c r="N67" s="1135"/>
      <c r="O67" s="1135"/>
      <c r="P67" s="1913">
        <v>1</v>
      </c>
      <c r="Q67" s="1913"/>
      <c r="R67" s="1913"/>
      <c r="S67" s="1913"/>
      <c r="T67" s="1606" t="s">
        <v>1716</v>
      </c>
      <c r="U67" s="1606"/>
      <c r="V67" s="1606"/>
      <c r="W67" s="1606"/>
      <c r="X67" s="1865" t="s">
        <v>28</v>
      </c>
      <c r="Y67" s="1674"/>
      <c r="Z67" s="1674"/>
      <c r="AA67" s="1674"/>
      <c r="AB67" s="1674"/>
      <c r="AC67" s="1674"/>
      <c r="AD67" s="1674"/>
      <c r="AE67" s="1674"/>
      <c r="AF67" s="1674"/>
    </row>
    <row r="68" spans="1:32" ht="36.75" customHeight="1" x14ac:dyDescent="0.25">
      <c r="A68" s="1134" t="s">
        <v>1719</v>
      </c>
      <c r="B68" s="1134"/>
      <c r="C68" s="1134"/>
      <c r="D68" s="1134"/>
      <c r="E68" s="1135" t="s">
        <v>1721</v>
      </c>
      <c r="F68" s="1135"/>
      <c r="G68" s="1135"/>
      <c r="H68" s="1135"/>
      <c r="I68" s="1135"/>
      <c r="J68" s="1135"/>
      <c r="K68" s="1135"/>
      <c r="L68" s="1135"/>
      <c r="M68" s="1135"/>
      <c r="N68" s="1135"/>
      <c r="O68" s="1135"/>
      <c r="P68" s="1913" t="s">
        <v>164</v>
      </c>
      <c r="Q68" s="1913"/>
      <c r="R68" s="1913"/>
      <c r="S68" s="1913"/>
      <c r="T68" s="1606" t="s">
        <v>166</v>
      </c>
      <c r="U68" s="1606"/>
      <c r="V68" s="1606"/>
      <c r="W68" s="1606"/>
      <c r="X68" s="1865" t="s">
        <v>28</v>
      </c>
      <c r="Y68" s="1674"/>
      <c r="Z68" s="1674"/>
      <c r="AA68" s="1674"/>
      <c r="AB68" s="1674"/>
      <c r="AC68" s="1674"/>
      <c r="AD68" s="1674"/>
      <c r="AE68" s="1674"/>
      <c r="AF68" s="1674"/>
    </row>
    <row r="69" spans="1:32" ht="35.25" customHeight="1" x14ac:dyDescent="0.25">
      <c r="A69" s="1134" t="s">
        <v>1720</v>
      </c>
      <c r="B69" s="1134"/>
      <c r="C69" s="1134"/>
      <c r="D69" s="1134"/>
      <c r="E69" s="1135" t="s">
        <v>1722</v>
      </c>
      <c r="F69" s="1135"/>
      <c r="G69" s="1135"/>
      <c r="H69" s="1135"/>
      <c r="I69" s="1135"/>
      <c r="J69" s="1135"/>
      <c r="K69" s="1135"/>
      <c r="L69" s="1135"/>
      <c r="M69" s="1135"/>
      <c r="N69" s="1135"/>
      <c r="O69" s="1135"/>
      <c r="P69" s="1913" t="s">
        <v>164</v>
      </c>
      <c r="Q69" s="1913"/>
      <c r="R69" s="1913"/>
      <c r="S69" s="1913"/>
      <c r="T69" s="1606" t="s">
        <v>1723</v>
      </c>
      <c r="U69" s="1606"/>
      <c r="V69" s="1606"/>
      <c r="W69" s="1606"/>
      <c r="X69" s="1865" t="s">
        <v>28</v>
      </c>
      <c r="Y69" s="1674"/>
      <c r="Z69" s="1674"/>
      <c r="AA69" s="1674"/>
      <c r="AB69" s="1674"/>
      <c r="AC69" s="1674"/>
      <c r="AD69" s="1674"/>
      <c r="AE69" s="1674"/>
      <c r="AF69" s="1674"/>
    </row>
    <row r="70" spans="1:32" ht="32.25" customHeight="1" x14ac:dyDescent="0.25">
      <c r="A70" s="1134" t="s">
        <v>3080</v>
      </c>
      <c r="B70" s="1134"/>
      <c r="C70" s="1134"/>
      <c r="D70" s="1134"/>
      <c r="E70" s="1135" t="s">
        <v>3081</v>
      </c>
      <c r="F70" s="1135"/>
      <c r="G70" s="1135"/>
      <c r="H70" s="1135"/>
      <c r="I70" s="1135"/>
      <c r="J70" s="1135"/>
      <c r="K70" s="1135"/>
      <c r="L70" s="1135"/>
      <c r="M70" s="1135"/>
      <c r="N70" s="1135"/>
      <c r="O70" s="1135"/>
      <c r="P70" s="1913" t="s">
        <v>164</v>
      </c>
      <c r="Q70" s="1913"/>
      <c r="R70" s="1913"/>
      <c r="S70" s="1913"/>
      <c r="T70" s="3016" t="s">
        <v>28</v>
      </c>
      <c r="U70" s="3016"/>
      <c r="V70" s="3016"/>
      <c r="W70" s="3016"/>
      <c r="X70" s="1715" t="s">
        <v>3098</v>
      </c>
      <c r="Y70" s="1715"/>
      <c r="Z70" s="1715"/>
      <c r="AA70" s="1715"/>
      <c r="AB70" s="1715"/>
      <c r="AC70" s="1715"/>
      <c r="AD70" s="1715"/>
      <c r="AE70" s="1715"/>
      <c r="AF70" s="1715"/>
    </row>
    <row r="71" spans="1:32" ht="78" customHeight="1" x14ac:dyDescent="0.25">
      <c r="A71" s="2521" t="s">
        <v>3082</v>
      </c>
      <c r="B71" s="1134"/>
      <c r="C71" s="1134"/>
      <c r="D71" s="1134"/>
      <c r="E71" s="1135" t="s">
        <v>3088</v>
      </c>
      <c r="F71" s="1135"/>
      <c r="G71" s="1135"/>
      <c r="H71" s="1135"/>
      <c r="I71" s="1135"/>
      <c r="J71" s="1135"/>
      <c r="K71" s="1135"/>
      <c r="L71" s="1135"/>
      <c r="M71" s="1135"/>
      <c r="N71" s="1135"/>
      <c r="O71" s="1135"/>
      <c r="P71" s="1913">
        <v>0.9</v>
      </c>
      <c r="Q71" s="1913"/>
      <c r="R71" s="1913"/>
      <c r="S71" s="1913"/>
      <c r="T71" s="3016" t="s">
        <v>28</v>
      </c>
      <c r="U71" s="3016"/>
      <c r="V71" s="3016"/>
      <c r="W71" s="3016"/>
      <c r="X71" s="1715" t="s">
        <v>3083</v>
      </c>
      <c r="Y71" s="1715"/>
      <c r="Z71" s="1715"/>
      <c r="AA71" s="1715"/>
      <c r="AB71" s="1715"/>
      <c r="AC71" s="1715"/>
      <c r="AD71" s="1715"/>
      <c r="AE71" s="1715"/>
      <c r="AF71" s="1715"/>
    </row>
    <row r="72" spans="1:32" ht="60.75" customHeight="1" x14ac:dyDescent="0.25">
      <c r="A72" s="2521" t="s">
        <v>3084</v>
      </c>
      <c r="B72" s="1134"/>
      <c r="C72" s="1134"/>
      <c r="D72" s="1134"/>
      <c r="E72" s="1135" t="s">
        <v>3085</v>
      </c>
      <c r="F72" s="1135"/>
      <c r="G72" s="1135"/>
      <c r="H72" s="1135"/>
      <c r="I72" s="1135"/>
      <c r="J72" s="1135"/>
      <c r="K72" s="1135"/>
      <c r="L72" s="1135"/>
      <c r="M72" s="1135"/>
      <c r="N72" s="1135"/>
      <c r="O72" s="1135"/>
      <c r="P72" s="1913">
        <v>8.2000000000000003E-2</v>
      </c>
      <c r="Q72" s="1913"/>
      <c r="R72" s="1913"/>
      <c r="S72" s="1913"/>
      <c r="T72" s="1606" t="s">
        <v>26</v>
      </c>
      <c r="U72" s="1606"/>
      <c r="V72" s="1606"/>
      <c r="W72" s="1606"/>
      <c r="X72" s="1715" t="s">
        <v>3099</v>
      </c>
      <c r="Y72" s="1715"/>
      <c r="Z72" s="1715"/>
      <c r="AA72" s="1715"/>
      <c r="AB72" s="1715"/>
      <c r="AC72" s="1715"/>
      <c r="AD72" s="1715"/>
      <c r="AE72" s="1715"/>
      <c r="AF72" s="1715"/>
    </row>
    <row r="73" spans="1:32" ht="66.75" customHeight="1" x14ac:dyDescent="0.25">
      <c r="A73" s="2521" t="s">
        <v>3086</v>
      </c>
      <c r="B73" s="1134"/>
      <c r="C73" s="1134"/>
      <c r="D73" s="1134"/>
      <c r="E73" s="1135" t="s">
        <v>3087</v>
      </c>
      <c r="F73" s="1135"/>
      <c r="G73" s="1135"/>
      <c r="H73" s="1135"/>
      <c r="I73" s="1135"/>
      <c r="J73" s="1135"/>
      <c r="K73" s="1135"/>
      <c r="L73" s="1135"/>
      <c r="M73" s="1135"/>
      <c r="N73" s="1135"/>
      <c r="O73" s="1135"/>
      <c r="P73" s="2628">
        <v>1292</v>
      </c>
      <c r="Q73" s="2628"/>
      <c r="R73" s="2628"/>
      <c r="S73" s="2628"/>
      <c r="T73" s="1606" t="s">
        <v>1818</v>
      </c>
      <c r="U73" s="1606"/>
      <c r="V73" s="1606"/>
      <c r="W73" s="1606"/>
      <c r="X73" s="1715" t="s">
        <v>3099</v>
      </c>
      <c r="Y73" s="1715"/>
      <c r="Z73" s="1715"/>
      <c r="AA73" s="1715"/>
      <c r="AB73" s="1715"/>
      <c r="AC73" s="1715"/>
      <c r="AD73" s="1715"/>
      <c r="AE73" s="1715"/>
      <c r="AF73" s="1715"/>
    </row>
    <row r="74" spans="1:32" ht="63" customHeight="1" x14ac:dyDescent="0.25">
      <c r="A74" s="1134" t="s">
        <v>42</v>
      </c>
      <c r="B74" s="1134" t="s">
        <v>42</v>
      </c>
      <c r="C74" s="1134" t="s">
        <v>42</v>
      </c>
      <c r="D74" s="1134" t="s">
        <v>42</v>
      </c>
      <c r="E74" s="1135" t="s">
        <v>865</v>
      </c>
      <c r="F74" s="1135" t="s">
        <v>548</v>
      </c>
      <c r="G74" s="1135" t="s">
        <v>548</v>
      </c>
      <c r="H74" s="1135" t="s">
        <v>548</v>
      </c>
      <c r="I74" s="1135" t="s">
        <v>548</v>
      </c>
      <c r="J74" s="1135" t="s">
        <v>548</v>
      </c>
      <c r="K74" s="1135" t="s">
        <v>548</v>
      </c>
      <c r="L74" s="1135" t="s">
        <v>548</v>
      </c>
      <c r="M74" s="1135" t="s">
        <v>548</v>
      </c>
      <c r="N74" s="1135" t="s">
        <v>548</v>
      </c>
      <c r="O74" s="1135" t="s">
        <v>548</v>
      </c>
      <c r="P74" s="1913">
        <v>0.93</v>
      </c>
      <c r="Q74" s="1913">
        <v>0.93</v>
      </c>
      <c r="R74" s="1913">
        <v>0.93</v>
      </c>
      <c r="S74" s="1913">
        <v>0.93</v>
      </c>
      <c r="T74" s="1606" t="s">
        <v>28</v>
      </c>
      <c r="U74" s="1606"/>
      <c r="V74" s="1606"/>
      <c r="W74" s="1606"/>
      <c r="X74" s="1715" t="s">
        <v>3099</v>
      </c>
      <c r="Y74" s="1715"/>
      <c r="Z74" s="1715"/>
      <c r="AA74" s="1715"/>
      <c r="AB74" s="1715"/>
      <c r="AC74" s="1715"/>
      <c r="AD74" s="1715"/>
      <c r="AE74" s="1715"/>
      <c r="AF74" s="1715"/>
    </row>
    <row r="75" spans="1:32" ht="135" customHeight="1" x14ac:dyDescent="0.25">
      <c r="A75" s="2521" t="s">
        <v>3107</v>
      </c>
      <c r="B75" s="1134"/>
      <c r="C75" s="1134"/>
      <c r="D75" s="1134"/>
      <c r="E75" s="1135" t="s">
        <v>3109</v>
      </c>
      <c r="F75" s="1135"/>
      <c r="G75" s="1135"/>
      <c r="H75" s="1135"/>
      <c r="I75" s="1135"/>
      <c r="J75" s="1135"/>
      <c r="K75" s="1135"/>
      <c r="L75" s="1135"/>
      <c r="M75" s="1135"/>
      <c r="N75" s="1135"/>
      <c r="O75" s="1135"/>
      <c r="P75" s="2628" t="s">
        <v>3108</v>
      </c>
      <c r="Q75" s="2628"/>
      <c r="R75" s="2628"/>
      <c r="S75" s="2628"/>
      <c r="T75" s="1606" t="s">
        <v>28</v>
      </c>
      <c r="U75" s="1606"/>
      <c r="V75" s="1606"/>
      <c r="W75" s="1606"/>
      <c r="X75" s="1715" t="s">
        <v>3113</v>
      </c>
      <c r="Y75" s="1715"/>
      <c r="Z75" s="1715"/>
      <c r="AA75" s="1715"/>
      <c r="AB75" s="1715"/>
      <c r="AC75" s="1715"/>
      <c r="AD75" s="1715"/>
      <c r="AE75" s="1715"/>
      <c r="AF75" s="1715"/>
    </row>
    <row r="76" spans="1:32" ht="71.25" customHeight="1" x14ac:dyDescent="0.25">
      <c r="A76" s="1134" t="s">
        <v>257</v>
      </c>
      <c r="B76" s="1134" t="s">
        <v>216</v>
      </c>
      <c r="C76" s="1134" t="s">
        <v>216</v>
      </c>
      <c r="D76" s="1134" t="s">
        <v>216</v>
      </c>
      <c r="E76" s="1135" t="s">
        <v>1772</v>
      </c>
      <c r="F76" s="1135" t="s">
        <v>643</v>
      </c>
      <c r="G76" s="1135" t="s">
        <v>643</v>
      </c>
      <c r="H76" s="1135" t="s">
        <v>643</v>
      </c>
      <c r="I76" s="1135" t="s">
        <v>643</v>
      </c>
      <c r="J76" s="1135" t="s">
        <v>643</v>
      </c>
      <c r="K76" s="1135" t="s">
        <v>643</v>
      </c>
      <c r="L76" s="1135" t="s">
        <v>643</v>
      </c>
      <c r="M76" s="1135" t="s">
        <v>643</v>
      </c>
      <c r="N76" s="1135" t="s">
        <v>643</v>
      </c>
      <c r="O76" s="1135" t="s">
        <v>643</v>
      </c>
      <c r="P76" s="1913" t="s">
        <v>626</v>
      </c>
      <c r="Q76" s="1913"/>
      <c r="R76" s="1913"/>
      <c r="S76" s="1913"/>
      <c r="T76" s="1606" t="s">
        <v>45</v>
      </c>
      <c r="U76" s="1606"/>
      <c r="V76" s="1606"/>
      <c r="W76" s="1606"/>
      <c r="X76" s="1517" t="s">
        <v>2966</v>
      </c>
      <c r="Y76" s="1517"/>
      <c r="Z76" s="1517"/>
      <c r="AA76" s="1517"/>
      <c r="AB76" s="1517"/>
      <c r="AC76" s="1517"/>
      <c r="AD76" s="1517"/>
      <c r="AE76" s="1517"/>
      <c r="AF76" s="1517"/>
    </row>
    <row r="77" spans="1:32" ht="94.5" customHeight="1" x14ac:dyDescent="0.25">
      <c r="A77" s="1134" t="s">
        <v>545</v>
      </c>
      <c r="B77" s="1134" t="s">
        <v>545</v>
      </c>
      <c r="C77" s="1134" t="s">
        <v>545</v>
      </c>
      <c r="D77" s="1134" t="s">
        <v>545</v>
      </c>
      <c r="E77" s="1135" t="s">
        <v>1703</v>
      </c>
      <c r="F77" s="1135" t="s">
        <v>546</v>
      </c>
      <c r="G77" s="1135" t="s">
        <v>546</v>
      </c>
      <c r="H77" s="1135" t="s">
        <v>546</v>
      </c>
      <c r="I77" s="1135" t="s">
        <v>546</v>
      </c>
      <c r="J77" s="1135" t="s">
        <v>546</v>
      </c>
      <c r="K77" s="1135" t="s">
        <v>546</v>
      </c>
      <c r="L77" s="1135" t="s">
        <v>546</v>
      </c>
      <c r="M77" s="1135" t="s">
        <v>546</v>
      </c>
      <c r="N77" s="1135" t="s">
        <v>546</v>
      </c>
      <c r="O77" s="1135" t="s">
        <v>546</v>
      </c>
      <c r="P77" s="1913" t="s">
        <v>626</v>
      </c>
      <c r="Q77" s="1913"/>
      <c r="R77" s="1913"/>
      <c r="S77" s="1913"/>
      <c r="T77" s="1606" t="s">
        <v>28</v>
      </c>
      <c r="U77" s="1606"/>
      <c r="V77" s="1606"/>
      <c r="W77" s="1606"/>
      <c r="X77" s="1517" t="s">
        <v>2967</v>
      </c>
      <c r="Y77" s="1517"/>
      <c r="Z77" s="1517"/>
      <c r="AA77" s="1517"/>
      <c r="AB77" s="1517"/>
      <c r="AC77" s="1517"/>
      <c r="AD77" s="1517"/>
      <c r="AE77" s="1517"/>
      <c r="AF77" s="1517"/>
    </row>
    <row r="78" spans="1:32" ht="33" customHeight="1" x14ac:dyDescent="0.25">
      <c r="A78" s="1485" t="s">
        <v>2052</v>
      </c>
      <c r="B78" s="1486" t="s">
        <v>34</v>
      </c>
      <c r="C78" s="1486" t="s">
        <v>34</v>
      </c>
      <c r="D78" s="1487" t="s">
        <v>34</v>
      </c>
      <c r="E78" s="1135" t="s">
        <v>2217</v>
      </c>
      <c r="F78" s="1135" t="s">
        <v>219</v>
      </c>
      <c r="G78" s="1135" t="s">
        <v>219</v>
      </c>
      <c r="H78" s="1135" t="s">
        <v>219</v>
      </c>
      <c r="I78" s="1135" t="s">
        <v>219</v>
      </c>
      <c r="J78" s="1135" t="s">
        <v>219</v>
      </c>
      <c r="K78" s="1135" t="s">
        <v>219</v>
      </c>
      <c r="L78" s="1135" t="s">
        <v>219</v>
      </c>
      <c r="M78" s="1135" t="s">
        <v>219</v>
      </c>
      <c r="N78" s="1135" t="s">
        <v>219</v>
      </c>
      <c r="O78" s="1135" t="s">
        <v>219</v>
      </c>
      <c r="P78" s="1913">
        <f>'Master EUL'!X63</f>
        <v>18</v>
      </c>
      <c r="Q78" s="1913" t="s">
        <v>448</v>
      </c>
      <c r="R78" s="1913" t="s">
        <v>448</v>
      </c>
      <c r="S78" s="1913" t="s">
        <v>448</v>
      </c>
      <c r="T78" s="1606" t="s">
        <v>46</v>
      </c>
      <c r="U78" s="1606"/>
      <c r="V78" s="1606"/>
      <c r="W78" s="1606"/>
      <c r="X78" s="1517" t="s">
        <v>1757</v>
      </c>
      <c r="Y78" s="1517"/>
      <c r="Z78" s="1517"/>
      <c r="AA78" s="1517"/>
      <c r="AB78" s="1517"/>
      <c r="AC78" s="1517"/>
      <c r="AD78" s="1517"/>
      <c r="AE78" s="1517"/>
      <c r="AF78" s="1517"/>
    </row>
    <row r="79" spans="1:32" ht="54" customHeight="1" x14ac:dyDescent="0.25">
      <c r="A79" s="1415" t="s">
        <v>2843</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row>
    <row r="80" spans="1:32" ht="30" customHeight="1" x14ac:dyDescent="0.25">
      <c r="A80" s="1415" t="s">
        <v>3100</v>
      </c>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row>
    <row r="81" spans="1:32" ht="31.5" customHeight="1" x14ac:dyDescent="0.25">
      <c r="A81" s="1415" t="s">
        <v>3101</v>
      </c>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row>
    <row r="82" spans="1:32" ht="68.25" customHeight="1" x14ac:dyDescent="0.25">
      <c r="A82" s="1415" t="s">
        <v>3110</v>
      </c>
      <c r="B82" s="1415"/>
      <c r="C82" s="1415"/>
      <c r="D82" s="1415"/>
      <c r="E82" s="1415"/>
      <c r="F82" s="1415"/>
      <c r="G82" s="1415"/>
      <c r="H82" s="1415"/>
      <c r="I82" s="1415"/>
      <c r="J82" s="1415"/>
      <c r="K82" s="1415"/>
      <c r="L82" s="1415"/>
      <c r="M82" s="1415"/>
      <c r="N82" s="1415"/>
      <c r="O82" s="1415"/>
      <c r="P82" s="1415"/>
      <c r="Q82" s="1415"/>
      <c r="R82" s="1415"/>
      <c r="S82" s="1415"/>
      <c r="T82" s="1415"/>
      <c r="U82" s="1415"/>
      <c r="V82" s="1415"/>
      <c r="W82" s="1415"/>
      <c r="X82" s="1415"/>
      <c r="Y82" s="1415"/>
      <c r="Z82" s="1415"/>
      <c r="AA82" s="1415"/>
      <c r="AB82" s="1415"/>
      <c r="AC82" s="1415"/>
      <c r="AD82" s="1415"/>
      <c r="AE82" s="1415"/>
      <c r="AF82" s="1415"/>
    </row>
    <row r="84" spans="1:32" x14ac:dyDescent="0.25">
      <c r="A84" s="23" t="s">
        <v>2376</v>
      </c>
    </row>
    <row r="85" spans="1:32" x14ac:dyDescent="0.25">
      <c r="A85" s="1435" t="s">
        <v>54</v>
      </c>
      <c r="B85" s="1435"/>
      <c r="C85" s="1435"/>
      <c r="D85" s="1435"/>
      <c r="E85" s="1435"/>
      <c r="F85" s="1435"/>
      <c r="G85" s="1435"/>
      <c r="H85" s="1435"/>
      <c r="I85" s="1435"/>
      <c r="J85" s="1435"/>
      <c r="K85" s="3010" t="s">
        <v>2377</v>
      </c>
      <c r="L85" s="3010"/>
      <c r="M85" s="3010"/>
      <c r="N85" s="3010"/>
      <c r="O85" s="3010"/>
      <c r="P85" s="1435" t="s">
        <v>257</v>
      </c>
      <c r="Q85" s="1435"/>
      <c r="R85" s="1435"/>
      <c r="S85" s="1435"/>
      <c r="T85" s="1435"/>
      <c r="U85" s="1435" t="s">
        <v>29</v>
      </c>
      <c r="V85" s="1435"/>
      <c r="W85" s="1435"/>
      <c r="X85" s="1435"/>
      <c r="Y85" s="1435"/>
    </row>
    <row r="86" spans="1:32" x14ac:dyDescent="0.25">
      <c r="A86" s="1245" t="s">
        <v>1984</v>
      </c>
      <c r="B86" s="1245"/>
      <c r="C86" s="1245"/>
      <c r="D86" s="1245"/>
      <c r="E86" s="1245"/>
      <c r="F86" s="1245"/>
      <c r="G86" s="1245"/>
      <c r="H86" s="1245"/>
      <c r="I86" s="1245"/>
      <c r="J86" s="1245"/>
      <c r="K86" s="3017">
        <v>9.7799999999999994</v>
      </c>
      <c r="L86" s="3017"/>
      <c r="M86" s="3017"/>
      <c r="N86" s="3017"/>
      <c r="O86" s="3017"/>
      <c r="P86" s="3018">
        <f>'EFLH &amp; CF'!I73</f>
        <v>2322</v>
      </c>
      <c r="Q86" s="3018"/>
      <c r="R86" s="3018"/>
      <c r="S86" s="3018"/>
      <c r="T86" s="3018"/>
      <c r="U86" s="3019">
        <f>'EFLH &amp; CF'!M73</f>
        <v>0.28999999999999998</v>
      </c>
      <c r="V86" s="3020"/>
      <c r="W86" s="3020"/>
      <c r="X86" s="3020"/>
      <c r="Y86" s="3021"/>
    </row>
    <row r="87" spans="1:32" x14ac:dyDescent="0.25">
      <c r="A87" s="1245" t="s">
        <v>221</v>
      </c>
      <c r="B87" s="1245"/>
      <c r="C87" s="1245"/>
      <c r="D87" s="1245"/>
      <c r="E87" s="1245"/>
      <c r="F87" s="1245"/>
      <c r="G87" s="1245"/>
      <c r="H87" s="1245"/>
      <c r="I87" s="1245"/>
      <c r="J87" s="1245"/>
      <c r="K87" s="3017">
        <v>0.23</v>
      </c>
      <c r="L87" s="3017"/>
      <c r="M87" s="3017"/>
      <c r="N87" s="3017"/>
      <c r="O87" s="3017"/>
      <c r="P87" s="3018" t="str">
        <f>'EFLH &amp; CF'!I74</f>
        <v>Varies</v>
      </c>
      <c r="Q87" s="3018"/>
      <c r="R87" s="3018"/>
      <c r="S87" s="3018"/>
      <c r="T87" s="3018"/>
      <c r="U87" s="3019" t="str">
        <f>'EFLH &amp; CF'!M74</f>
        <v>Varies</v>
      </c>
      <c r="V87" s="3020"/>
      <c r="W87" s="3020"/>
      <c r="X87" s="3020"/>
      <c r="Y87" s="3021"/>
    </row>
    <row r="88" spans="1:32" x14ac:dyDescent="0.25">
      <c r="A88" s="1245" t="s">
        <v>222</v>
      </c>
      <c r="B88" s="1245"/>
      <c r="C88" s="1245"/>
      <c r="D88" s="1245"/>
      <c r="E88" s="1245"/>
      <c r="F88" s="1245"/>
      <c r="G88" s="1245"/>
      <c r="H88" s="1245"/>
      <c r="I88" s="1245"/>
      <c r="J88" s="1245"/>
      <c r="K88" s="3017">
        <v>7.58</v>
      </c>
      <c r="L88" s="3017"/>
      <c r="M88" s="3017"/>
      <c r="N88" s="3017"/>
      <c r="O88" s="3017"/>
      <c r="P88" s="3018">
        <f>'EFLH &amp; CF'!I75</f>
        <v>1916</v>
      </c>
      <c r="Q88" s="3018"/>
      <c r="R88" s="3018"/>
      <c r="S88" s="3018"/>
      <c r="T88" s="3018"/>
      <c r="U88" s="3019">
        <f>'EFLH &amp; CF'!M75</f>
        <v>0.25</v>
      </c>
      <c r="V88" s="3020"/>
      <c r="W88" s="3020"/>
      <c r="X88" s="3020"/>
      <c r="Y88" s="3021"/>
    </row>
    <row r="89" spans="1:32" x14ac:dyDescent="0.25">
      <c r="A89" s="1245" t="s">
        <v>223</v>
      </c>
      <c r="B89" s="1245"/>
      <c r="C89" s="1245"/>
      <c r="D89" s="1245"/>
      <c r="E89" s="1245"/>
      <c r="F89" s="1245"/>
      <c r="G89" s="1245"/>
      <c r="H89" s="1245"/>
      <c r="I89" s="1245"/>
      <c r="J89" s="1245"/>
      <c r="K89" s="3017">
        <v>10.6</v>
      </c>
      <c r="L89" s="3017"/>
      <c r="M89" s="3017"/>
      <c r="N89" s="3017"/>
      <c r="O89" s="3017"/>
      <c r="P89" s="3018">
        <f>'EFLH &amp; CF'!I76</f>
        <v>4406</v>
      </c>
      <c r="Q89" s="3018"/>
      <c r="R89" s="3018"/>
      <c r="S89" s="3018"/>
      <c r="T89" s="3018"/>
      <c r="U89" s="3019">
        <f>'EFLH &amp; CF'!M76</f>
        <v>0.6</v>
      </c>
      <c r="V89" s="3020"/>
      <c r="W89" s="3020"/>
      <c r="X89" s="3020"/>
      <c r="Y89" s="3021"/>
    </row>
    <row r="90" spans="1:32" x14ac:dyDescent="0.25">
      <c r="A90" s="1245" t="s">
        <v>224</v>
      </c>
      <c r="B90" s="1245"/>
      <c r="C90" s="1245"/>
      <c r="D90" s="1245"/>
      <c r="E90" s="1245"/>
      <c r="F90" s="1245"/>
      <c r="G90" s="1245"/>
      <c r="H90" s="1245"/>
      <c r="I90" s="1245"/>
      <c r="J90" s="1245"/>
      <c r="K90" s="3017">
        <v>22.7</v>
      </c>
      <c r="L90" s="3017"/>
      <c r="M90" s="3017"/>
      <c r="N90" s="3017"/>
      <c r="O90" s="3017"/>
      <c r="P90" s="3018">
        <f>'EFLH &amp; CF'!I77</f>
        <v>2247</v>
      </c>
      <c r="Q90" s="3018"/>
      <c r="R90" s="3018"/>
      <c r="S90" s="3018"/>
      <c r="T90" s="3018"/>
      <c r="U90" s="3019">
        <f>'EFLH &amp; CF'!M77</f>
        <v>0.2</v>
      </c>
      <c r="V90" s="3020"/>
      <c r="W90" s="3020"/>
      <c r="X90" s="3020"/>
      <c r="Y90" s="3021"/>
    </row>
    <row r="91" spans="1:32" x14ac:dyDescent="0.25">
      <c r="A91" s="1245" t="s">
        <v>225</v>
      </c>
      <c r="B91" s="1245"/>
      <c r="C91" s="1245"/>
      <c r="D91" s="1245"/>
      <c r="E91" s="1245"/>
      <c r="F91" s="1245"/>
      <c r="G91" s="1245"/>
      <c r="H91" s="1245"/>
      <c r="I91" s="1245"/>
      <c r="J91" s="1245"/>
      <c r="K91" s="3017">
        <v>12.61</v>
      </c>
      <c r="L91" s="3017"/>
      <c r="M91" s="3017"/>
      <c r="N91" s="3017"/>
      <c r="O91" s="3017"/>
      <c r="P91" s="3018">
        <f>'EFLH &amp; CF'!I78</f>
        <v>3008</v>
      </c>
      <c r="Q91" s="3018"/>
      <c r="R91" s="3018"/>
      <c r="S91" s="3018"/>
      <c r="T91" s="3018"/>
      <c r="U91" s="3019">
        <f>'EFLH &amp; CF'!M78</f>
        <v>0.35</v>
      </c>
      <c r="V91" s="3020"/>
      <c r="W91" s="3020"/>
      <c r="X91" s="3020"/>
      <c r="Y91" s="3021"/>
    </row>
    <row r="92" spans="1:32" x14ac:dyDescent="0.25">
      <c r="A92" s="1245" t="s">
        <v>226</v>
      </c>
      <c r="B92" s="1245"/>
      <c r="C92" s="1245"/>
      <c r="D92" s="1245"/>
      <c r="E92" s="1245"/>
      <c r="F92" s="1245"/>
      <c r="G92" s="1245"/>
      <c r="H92" s="1245"/>
      <c r="I92" s="1245"/>
      <c r="J92" s="1245"/>
      <c r="K92" s="3017">
        <v>2.83</v>
      </c>
      <c r="L92" s="3017"/>
      <c r="M92" s="3017"/>
      <c r="N92" s="3017"/>
      <c r="O92" s="3017"/>
      <c r="P92" s="3018" t="str">
        <f>'EFLH &amp; CF'!I79</f>
        <v>Varies</v>
      </c>
      <c r="Q92" s="3018"/>
      <c r="R92" s="3018"/>
      <c r="S92" s="3018"/>
      <c r="T92" s="3018"/>
      <c r="U92" s="3019" t="str">
        <f>'EFLH &amp; CF'!M79</f>
        <v>Varies</v>
      </c>
      <c r="V92" s="3020"/>
      <c r="W92" s="3020"/>
      <c r="X92" s="3020"/>
      <c r="Y92" s="3021"/>
    </row>
    <row r="93" spans="1:32" x14ac:dyDescent="0.25">
      <c r="A93" s="1245" t="s">
        <v>55</v>
      </c>
      <c r="B93" s="1245"/>
      <c r="C93" s="1245"/>
      <c r="D93" s="1245"/>
      <c r="E93" s="1245"/>
      <c r="F93" s="1245"/>
      <c r="G93" s="1245"/>
      <c r="H93" s="1245"/>
      <c r="I93" s="1245"/>
      <c r="J93" s="1245"/>
      <c r="K93" s="3017">
        <v>2.0699999999999998</v>
      </c>
      <c r="L93" s="3017"/>
      <c r="M93" s="3017"/>
      <c r="N93" s="3017"/>
      <c r="O93" s="3017"/>
      <c r="P93" s="3018">
        <f>'EFLH &amp; CF'!I80</f>
        <v>2632</v>
      </c>
      <c r="Q93" s="3018"/>
      <c r="R93" s="3018"/>
      <c r="S93" s="3018"/>
      <c r="T93" s="3018"/>
      <c r="U93" s="3019">
        <f>'EFLH &amp; CF'!M80</f>
        <v>0.3</v>
      </c>
      <c r="V93" s="3020"/>
      <c r="W93" s="3020"/>
      <c r="X93" s="3020"/>
      <c r="Y93" s="3021"/>
    </row>
    <row r="94" spans="1:32" x14ac:dyDescent="0.25">
      <c r="A94" s="1245" t="s">
        <v>227</v>
      </c>
      <c r="B94" s="1245"/>
      <c r="C94" s="1245"/>
      <c r="D94" s="1245"/>
      <c r="E94" s="1245"/>
      <c r="F94" s="1245"/>
      <c r="G94" s="1245"/>
      <c r="H94" s="1245"/>
      <c r="I94" s="1245"/>
      <c r="J94" s="1245"/>
      <c r="K94" s="3017">
        <v>74.91</v>
      </c>
      <c r="L94" s="3017"/>
      <c r="M94" s="3017"/>
      <c r="N94" s="3017"/>
      <c r="O94" s="3017"/>
      <c r="P94" s="3018">
        <f>'EFLH &amp; CF'!I81</f>
        <v>3947</v>
      </c>
      <c r="Q94" s="3018"/>
      <c r="R94" s="3018"/>
      <c r="S94" s="3018"/>
      <c r="T94" s="3018"/>
      <c r="U94" s="3019">
        <f>'EFLH &amp; CF'!M81</f>
        <v>0.74</v>
      </c>
      <c r="V94" s="3020"/>
      <c r="W94" s="3020"/>
      <c r="X94" s="3020"/>
      <c r="Y94" s="3021"/>
    </row>
    <row r="95" spans="1:32" x14ac:dyDescent="0.25">
      <c r="A95" s="1245" t="s">
        <v>228</v>
      </c>
      <c r="B95" s="1245"/>
      <c r="C95" s="1245"/>
      <c r="D95" s="1245"/>
      <c r="E95" s="1245"/>
      <c r="F95" s="1245"/>
      <c r="G95" s="1245"/>
      <c r="H95" s="1245"/>
      <c r="I95" s="1245"/>
      <c r="J95" s="1245"/>
      <c r="K95" s="3017">
        <v>1.49</v>
      </c>
      <c r="L95" s="3017"/>
      <c r="M95" s="3017"/>
      <c r="N95" s="3017"/>
      <c r="O95" s="3017"/>
      <c r="P95" s="3018" t="str">
        <f>'EFLH &amp; CF'!I82</f>
        <v>Varies</v>
      </c>
      <c r="Q95" s="3018"/>
      <c r="R95" s="3018"/>
      <c r="S95" s="3018"/>
      <c r="T95" s="3018"/>
      <c r="U95" s="3019" t="str">
        <f>'EFLH &amp; CF'!M82</f>
        <v>Varies</v>
      </c>
      <c r="V95" s="3020"/>
      <c r="W95" s="3020"/>
      <c r="X95" s="3020"/>
      <c r="Y95" s="3021"/>
    </row>
    <row r="96" spans="1:32" x14ac:dyDescent="0.25">
      <c r="A96" s="1245" t="s">
        <v>229</v>
      </c>
      <c r="B96" s="1245"/>
      <c r="C96" s="1245"/>
      <c r="D96" s="1245"/>
      <c r="E96" s="1245"/>
      <c r="F96" s="1245"/>
      <c r="G96" s="1245"/>
      <c r="H96" s="1245"/>
      <c r="I96" s="1245"/>
      <c r="J96" s="1245"/>
      <c r="K96" s="3017">
        <v>0.23</v>
      </c>
      <c r="L96" s="3017"/>
      <c r="M96" s="3017"/>
      <c r="N96" s="3017"/>
      <c r="O96" s="3017"/>
      <c r="P96" s="3018" t="str">
        <f>'EFLH &amp; CF'!I83</f>
        <v>Varies</v>
      </c>
      <c r="Q96" s="3018"/>
      <c r="R96" s="3018"/>
      <c r="S96" s="3018"/>
      <c r="T96" s="3018"/>
      <c r="U96" s="3019" t="str">
        <f>'EFLH &amp; CF'!M83</f>
        <v>Varies</v>
      </c>
      <c r="V96" s="3020"/>
      <c r="W96" s="3020"/>
      <c r="X96" s="3020"/>
      <c r="Y96" s="3021"/>
    </row>
    <row r="97" spans="1:32" x14ac:dyDescent="0.25">
      <c r="A97" s="465" t="s">
        <v>2684</v>
      </c>
    </row>
    <row r="98" spans="1:32" x14ac:dyDescent="0.25">
      <c r="A98" s="466">
        <v>1</v>
      </c>
      <c r="B98" s="466">
        <v>2</v>
      </c>
      <c r="C98" s="466">
        <v>3</v>
      </c>
      <c r="D98" s="466">
        <v>4</v>
      </c>
      <c r="E98" s="466">
        <v>5</v>
      </c>
      <c r="F98" s="466">
        <v>6</v>
      </c>
      <c r="G98" s="466">
        <v>7</v>
      </c>
      <c r="H98" s="466">
        <v>8</v>
      </c>
      <c r="I98" s="466">
        <v>9</v>
      </c>
      <c r="J98" s="466">
        <v>10</v>
      </c>
      <c r="K98" s="466">
        <v>11</v>
      </c>
      <c r="L98" s="466">
        <v>12</v>
      </c>
      <c r="M98" s="466">
        <v>13</v>
      </c>
      <c r="N98" s="466">
        <v>14</v>
      </c>
      <c r="O98" s="466">
        <v>15</v>
      </c>
      <c r="P98" s="466">
        <v>16</v>
      </c>
      <c r="Q98" s="466">
        <v>17</v>
      </c>
      <c r="R98" s="466">
        <v>18</v>
      </c>
      <c r="S98" s="466">
        <v>19</v>
      </c>
      <c r="T98" s="466">
        <v>20</v>
      </c>
      <c r="U98" s="466">
        <v>21</v>
      </c>
      <c r="V98" s="466">
        <v>22</v>
      </c>
      <c r="W98" s="466">
        <v>23</v>
      </c>
      <c r="X98" s="466">
        <v>24</v>
      </c>
      <c r="Y98" s="466">
        <v>25</v>
      </c>
    </row>
    <row r="99" spans="1:32" x14ac:dyDescent="0.25">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row>
    <row r="100" spans="1:32" x14ac:dyDescent="0.25">
      <c r="A100" s="1472" t="s">
        <v>21</v>
      </c>
      <c r="B100" s="1472"/>
      <c r="C100" s="1472"/>
      <c r="D100" s="1472"/>
      <c r="E100" s="1472"/>
      <c r="F100" s="1472"/>
      <c r="G100" s="1472"/>
      <c r="H100" s="1472"/>
      <c r="I100" s="1472"/>
      <c r="J100" s="1472"/>
      <c r="K100" s="1472"/>
      <c r="L100" s="1472"/>
      <c r="M100" s="1472"/>
      <c r="N100" s="1472"/>
      <c r="O100" s="1472"/>
      <c r="P100" s="1472"/>
      <c r="Q100" s="1472"/>
      <c r="R100" s="1472"/>
      <c r="S100" s="1472"/>
      <c r="T100" s="1472"/>
      <c r="U100" s="1472"/>
      <c r="V100" s="1472"/>
      <c r="W100" s="1472"/>
      <c r="X100" s="1472"/>
      <c r="Y100" s="1472"/>
      <c r="Z100" s="1472"/>
      <c r="AA100" s="1472"/>
      <c r="AB100" s="1472"/>
      <c r="AC100" s="1472"/>
      <c r="AD100" s="1472"/>
      <c r="AE100" s="1472"/>
      <c r="AF100" s="1472"/>
    </row>
    <row r="101" spans="1:32"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row>
    <row r="102" spans="1:32" x14ac:dyDescent="0.25">
      <c r="B102" s="380" t="s">
        <v>1737</v>
      </c>
    </row>
    <row r="104" spans="1:32" x14ac:dyDescent="0.25">
      <c r="C104" t="s">
        <v>2381</v>
      </c>
    </row>
    <row r="105" spans="1:32" x14ac:dyDescent="0.25">
      <c r="D105" s="2721">
        <v>50</v>
      </c>
      <c r="E105" s="2722"/>
      <c r="F105" s="2723"/>
      <c r="J105" t="s">
        <v>1739</v>
      </c>
      <c r="L105" s="1358">
        <f>IF(D105&gt;55,2.057-0.00113*D105,0.96-0.0003*D105)</f>
        <v>0.94499999999999995</v>
      </c>
      <c r="M105" s="1293"/>
      <c r="N105" s="1359"/>
      <c r="Q105" t="s">
        <v>3111</v>
      </c>
      <c r="S105" s="3034">
        <f>IF(D105&gt;55,1.5,1)</f>
        <v>1</v>
      </c>
      <c r="T105" s="3034"/>
      <c r="U105" s="3034"/>
    </row>
    <row r="107" spans="1:32" x14ac:dyDescent="0.25">
      <c r="C107" t="s">
        <v>3102</v>
      </c>
    </row>
    <row r="108" spans="1:32" x14ac:dyDescent="0.25">
      <c r="D108" s="3022">
        <v>0.9</v>
      </c>
      <c r="E108" s="3023"/>
      <c r="F108" s="3024"/>
    </row>
    <row r="110" spans="1:32" x14ac:dyDescent="0.25">
      <c r="C110" t="s">
        <v>2384</v>
      </c>
    </row>
    <row r="111" spans="1:32" ht="18" x14ac:dyDescent="0.35">
      <c r="D111" s="2721" t="s">
        <v>223</v>
      </c>
      <c r="E111" s="2722"/>
      <c r="F111" s="2722"/>
      <c r="G111" s="2722"/>
      <c r="H111" s="2722"/>
      <c r="I111" s="2722"/>
      <c r="J111" s="2722"/>
      <c r="K111" s="2723"/>
      <c r="M111" t="s">
        <v>2385</v>
      </c>
      <c r="Q111" s="3019">
        <f>VLOOKUP(D111,A86:Y96,11,FALSE)</f>
        <v>10.6</v>
      </c>
      <c r="R111" s="3020"/>
      <c r="S111" s="3021"/>
      <c r="U111" t="s">
        <v>1740</v>
      </c>
      <c r="X111" s="3025">
        <f>VLOOKUP(D111,A86:Y96,16,FALSE)</f>
        <v>4406</v>
      </c>
      <c r="Y111" s="3026"/>
      <c r="Z111" s="3027"/>
      <c r="AB111" t="s">
        <v>1741</v>
      </c>
      <c r="AD111" s="3028">
        <f>VLOOKUP(D111,A86:Y96,21,FALSE)</f>
        <v>0.6</v>
      </c>
      <c r="AE111" s="3029"/>
      <c r="AF111" s="3030"/>
    </row>
    <row r="113" spans="1:32" x14ac:dyDescent="0.25">
      <c r="C113" t="s">
        <v>2380</v>
      </c>
    </row>
    <row r="114" spans="1:32" x14ac:dyDescent="0.25">
      <c r="D114" s="3031">
        <v>1800</v>
      </c>
      <c r="E114" s="3032"/>
      <c r="F114" s="3033"/>
      <c r="G114" t="s">
        <v>2379</v>
      </c>
    </row>
    <row r="115" spans="1:32" x14ac:dyDescent="0.25">
      <c r="D115" s="467"/>
      <c r="E115" s="467"/>
      <c r="F115" s="467"/>
    </row>
    <row r="116" spans="1:32" ht="18" x14ac:dyDescent="0.35">
      <c r="C116" t="s">
        <v>3103</v>
      </c>
      <c r="D116" s="467"/>
      <c r="E116" s="467"/>
      <c r="F116" s="467"/>
    </row>
    <row r="117" spans="1:32" x14ac:dyDescent="0.25">
      <c r="C117" t="s">
        <v>3104</v>
      </c>
      <c r="D117" s="467"/>
      <c r="E117" s="467"/>
      <c r="F117" s="467"/>
    </row>
    <row r="118" spans="1:32" x14ac:dyDescent="0.25">
      <c r="D118" s="2741">
        <v>75</v>
      </c>
      <c r="E118" s="2742"/>
      <c r="F118" s="2743"/>
      <c r="G118" t="s">
        <v>2403</v>
      </c>
    </row>
    <row r="119" spans="1:32" x14ac:dyDescent="0.25">
      <c r="D119" s="467"/>
      <c r="E119" s="467"/>
      <c r="F119" s="467"/>
    </row>
    <row r="120" spans="1:32" ht="18" x14ac:dyDescent="0.35">
      <c r="C120" t="s">
        <v>3105</v>
      </c>
      <c r="D120" s="467"/>
      <c r="E120" s="467"/>
      <c r="F120" s="467"/>
    </row>
    <row r="121" spans="1:32" x14ac:dyDescent="0.25">
      <c r="D121" s="2741">
        <v>130</v>
      </c>
      <c r="E121" s="2742"/>
      <c r="F121" s="2743"/>
      <c r="G121" t="s">
        <v>2403</v>
      </c>
    </row>
    <row r="122" spans="1:32" ht="15.75" thickBot="1" x14ac:dyDescent="0.3"/>
    <row r="123" spans="1:32" x14ac:dyDescent="0.25">
      <c r="A123" s="1583" t="s">
        <v>22</v>
      </c>
      <c r="B123" s="1584"/>
      <c r="C123" s="1584"/>
      <c r="D123" s="1584"/>
      <c r="E123" s="1584"/>
      <c r="F123" s="1584"/>
      <c r="G123" s="1584"/>
      <c r="H123" s="1584"/>
      <c r="I123" s="1609" t="s">
        <v>2922</v>
      </c>
      <c r="J123" s="1609"/>
      <c r="K123" s="1609"/>
      <c r="L123" s="1609"/>
      <c r="M123" s="1609"/>
      <c r="N123" s="1609"/>
      <c r="O123" s="1609"/>
      <c r="P123" s="1609"/>
      <c r="Q123" s="1609" t="s">
        <v>2923</v>
      </c>
      <c r="R123" s="1609"/>
      <c r="S123" s="1609"/>
      <c r="T123" s="1609"/>
      <c r="U123" s="1609"/>
      <c r="V123" s="1609"/>
      <c r="W123" s="1609"/>
      <c r="X123" s="1609"/>
      <c r="Y123" s="1609" t="s">
        <v>1786</v>
      </c>
      <c r="Z123" s="1584"/>
      <c r="AA123" s="1584"/>
      <c r="AB123" s="1584"/>
      <c r="AC123" s="1584"/>
      <c r="AD123" s="1584"/>
      <c r="AE123" s="1584"/>
      <c r="AF123" s="1585"/>
    </row>
    <row r="124" spans="1:32" ht="33" customHeight="1" thickBot="1" x14ac:dyDescent="0.3">
      <c r="A124" s="1738" t="s">
        <v>2388</v>
      </c>
      <c r="B124" s="1739"/>
      <c r="C124" s="1739"/>
      <c r="D124" s="1739"/>
      <c r="E124" s="1739"/>
      <c r="F124" s="1739"/>
      <c r="G124" s="1739"/>
      <c r="H124" s="1739"/>
      <c r="I124" s="2950">
        <f>ROUND($Q$124*$AD$111/$X$111,3)</f>
        <v>0.29299999999999998</v>
      </c>
      <c r="J124" s="2950"/>
      <c r="K124" s="2950"/>
      <c r="L124" s="2950"/>
      <c r="M124" s="2950"/>
      <c r="N124" s="2950"/>
      <c r="O124" s="2950"/>
      <c r="P124" s="2950"/>
      <c r="Q124" s="2738">
        <f>ROUND(((1/$L$105-(1-$D$108)/$P$71)*($Q$111*$D$114*$P$66*$P$67*($D$121-$D$118)/3412)-$P$72*$P$73*$S$105)*$P$74,2)</f>
        <v>2149.9299999999998</v>
      </c>
      <c r="R124" s="2738"/>
      <c r="S124" s="2738"/>
      <c r="T124" s="2738"/>
      <c r="U124" s="2738"/>
      <c r="V124" s="2738"/>
      <c r="W124" s="2738"/>
      <c r="X124" s="2738"/>
      <c r="Y124" s="2739">
        <f>ROUND($Q$124*$P$78,2)</f>
        <v>38698.74</v>
      </c>
      <c r="Z124" s="2739"/>
      <c r="AA124" s="2739"/>
      <c r="AB124" s="2739"/>
      <c r="AC124" s="2739"/>
      <c r="AD124" s="2739"/>
      <c r="AE124" s="2739"/>
      <c r="AF124" s="2740"/>
    </row>
    <row r="125" spans="1:32" x14ac:dyDescent="0.25">
      <c r="C125" s="416" t="s">
        <v>2386</v>
      </c>
    </row>
    <row r="127" spans="1:32" x14ac:dyDescent="0.25">
      <c r="A127" s="1472" t="s">
        <v>1753</v>
      </c>
      <c r="B127" s="1472"/>
      <c r="C127" s="1472"/>
      <c r="D127" s="1472"/>
      <c r="E127" s="1472"/>
      <c r="F127" s="1472"/>
      <c r="G127" s="1472"/>
      <c r="H127" s="1472"/>
      <c r="I127" s="1472"/>
      <c r="J127" s="1472"/>
      <c r="K127" s="1472"/>
      <c r="L127" s="1472"/>
      <c r="M127" s="1472"/>
      <c r="N127" s="1472"/>
      <c r="O127" s="1472"/>
      <c r="P127" s="1472"/>
      <c r="Q127" s="1472"/>
      <c r="R127" s="1472"/>
      <c r="S127" s="1472"/>
      <c r="T127" s="1472"/>
      <c r="U127" s="1472"/>
      <c r="V127" s="1472"/>
      <c r="W127" s="1472"/>
      <c r="X127" s="1472"/>
      <c r="Y127" s="1472"/>
      <c r="Z127" s="1472"/>
      <c r="AA127" s="1472"/>
      <c r="AB127" s="1472"/>
      <c r="AC127" s="1472"/>
      <c r="AD127" s="1472"/>
      <c r="AE127" s="1472"/>
      <c r="AF127" s="1472"/>
    </row>
    <row r="129" spans="1:32" ht="49.5" customHeight="1" x14ac:dyDescent="0.25">
      <c r="A129" s="515" t="s">
        <v>1013</v>
      </c>
      <c r="B129" s="1173" t="s">
        <v>2404</v>
      </c>
      <c r="C129" s="1173"/>
      <c r="D129" s="1173"/>
      <c r="E129" s="1173"/>
      <c r="F129" s="1173"/>
      <c r="G129" s="1173"/>
      <c r="H129" s="1173"/>
      <c r="I129" s="1173"/>
      <c r="J129" s="1173"/>
      <c r="K129" s="1173"/>
      <c r="L129" s="1173"/>
      <c r="M129" s="1173"/>
      <c r="N129" s="1173"/>
      <c r="O129" s="1173"/>
      <c r="P129" s="1173"/>
      <c r="Q129" s="1173"/>
      <c r="R129" s="1173"/>
      <c r="S129" s="1173"/>
      <c r="T129" s="1173"/>
      <c r="U129" s="1173"/>
      <c r="V129" s="1173"/>
      <c r="W129" s="1173"/>
      <c r="X129" s="1173"/>
      <c r="Y129" s="1173"/>
      <c r="Z129" s="1173"/>
      <c r="AA129" s="1173"/>
      <c r="AB129" s="1173"/>
      <c r="AC129" s="1173"/>
      <c r="AD129" s="1173"/>
      <c r="AE129" s="1173"/>
      <c r="AF129" s="1173"/>
    </row>
    <row r="130" spans="1:32" ht="33.75" customHeight="1" x14ac:dyDescent="0.25">
      <c r="A130" s="515" t="s">
        <v>1013</v>
      </c>
      <c r="B130" s="1173" t="s">
        <v>3112</v>
      </c>
      <c r="C130" s="1173"/>
      <c r="D130" s="1173"/>
      <c r="E130" s="1173"/>
      <c r="F130" s="1173"/>
      <c r="G130" s="1173"/>
      <c r="H130" s="1173"/>
      <c r="I130" s="1173"/>
      <c r="J130" s="1173"/>
      <c r="K130" s="1173"/>
      <c r="L130" s="1173"/>
      <c r="M130" s="1173"/>
      <c r="N130" s="1173"/>
      <c r="O130" s="1173"/>
      <c r="P130" s="1173"/>
      <c r="Q130" s="1173"/>
      <c r="R130" s="1173"/>
      <c r="S130" s="1173"/>
      <c r="T130" s="1173"/>
      <c r="U130" s="1173"/>
      <c r="V130" s="1173"/>
      <c r="W130" s="1173"/>
      <c r="X130" s="1173"/>
      <c r="Y130" s="1173"/>
      <c r="Z130" s="1173"/>
      <c r="AA130" s="1173"/>
      <c r="AB130" s="1173"/>
      <c r="AC130" s="1173"/>
      <c r="AD130" s="1173"/>
      <c r="AE130" s="1173"/>
      <c r="AF130" s="1173"/>
    </row>
    <row r="131" spans="1:32" ht="92.25" customHeight="1" x14ac:dyDescent="0.25">
      <c r="A131" s="515" t="s">
        <v>1013</v>
      </c>
      <c r="B131" s="1173" t="s">
        <v>2968</v>
      </c>
      <c r="C131" s="1173"/>
      <c r="D131" s="1173"/>
      <c r="E131" s="1173"/>
      <c r="F131" s="1173"/>
      <c r="G131" s="1173"/>
      <c r="H131" s="1173"/>
      <c r="I131" s="1173"/>
      <c r="J131" s="1173"/>
      <c r="K131" s="1173"/>
      <c r="L131" s="1173"/>
      <c r="M131" s="1173"/>
      <c r="N131" s="1173"/>
      <c r="O131" s="1173"/>
      <c r="P131" s="1173"/>
      <c r="Q131" s="1173"/>
      <c r="R131" s="1173"/>
      <c r="S131" s="1173"/>
      <c r="T131" s="1173"/>
      <c r="U131" s="1173"/>
      <c r="V131" s="1173"/>
      <c r="W131" s="1173"/>
      <c r="X131" s="1173"/>
      <c r="Y131" s="1173"/>
      <c r="Z131" s="1173"/>
      <c r="AA131" s="1173"/>
      <c r="AB131" s="1173"/>
      <c r="AC131" s="1173"/>
      <c r="AD131" s="1173"/>
      <c r="AE131" s="1173"/>
      <c r="AF131" s="1173"/>
    </row>
    <row r="132" spans="1:32" ht="81.75" customHeight="1" x14ac:dyDescent="0.25">
      <c r="A132" s="515" t="s">
        <v>1013</v>
      </c>
      <c r="B132" s="1173" t="s">
        <v>2405</v>
      </c>
      <c r="C132" s="1173"/>
      <c r="D132" s="1173"/>
      <c r="E132" s="1173"/>
      <c r="F132" s="1173"/>
      <c r="G132" s="1173"/>
      <c r="H132" s="1173"/>
      <c r="I132" s="1173"/>
      <c r="J132" s="1173"/>
      <c r="K132" s="1173"/>
      <c r="L132" s="1173"/>
      <c r="M132" s="1173"/>
      <c r="N132" s="1173"/>
      <c r="O132" s="1173"/>
      <c r="P132" s="1173"/>
      <c r="Q132" s="1173"/>
      <c r="R132" s="1173"/>
      <c r="S132" s="1173"/>
      <c r="T132" s="1173"/>
      <c r="U132" s="1173"/>
      <c r="V132" s="1173"/>
      <c r="W132" s="1173"/>
      <c r="X132" s="1173"/>
      <c r="Y132" s="1173"/>
      <c r="Z132" s="1173"/>
      <c r="AA132" s="1173"/>
      <c r="AB132" s="1173"/>
      <c r="AC132" s="1173"/>
      <c r="AD132" s="1173"/>
      <c r="AE132" s="1173"/>
      <c r="AF132" s="1173"/>
    </row>
    <row r="133" spans="1:32" ht="49.5" customHeight="1" x14ac:dyDescent="0.25">
      <c r="A133" s="515" t="s">
        <v>1013</v>
      </c>
      <c r="B133" s="1173" t="s">
        <v>3437</v>
      </c>
      <c r="C133" s="1173"/>
      <c r="D133" s="1173"/>
      <c r="E133" s="1173"/>
      <c r="F133" s="1173"/>
      <c r="G133" s="1173"/>
      <c r="H133" s="1173"/>
      <c r="I133" s="1173"/>
      <c r="J133" s="1173"/>
      <c r="K133" s="1173"/>
      <c r="L133" s="1173"/>
      <c r="M133" s="1173"/>
      <c r="N133" s="1173"/>
      <c r="O133" s="1173"/>
      <c r="P133" s="1173"/>
      <c r="Q133" s="1173"/>
      <c r="R133" s="1173"/>
      <c r="S133" s="1173"/>
      <c r="T133" s="1173"/>
      <c r="U133" s="1173"/>
      <c r="V133" s="1173"/>
      <c r="W133" s="1173"/>
      <c r="X133" s="1173"/>
      <c r="Y133" s="1173"/>
      <c r="Z133" s="1173"/>
      <c r="AA133" s="1173"/>
      <c r="AB133" s="1173"/>
      <c r="AC133" s="1173"/>
      <c r="AD133" s="1173"/>
      <c r="AE133" s="1173"/>
      <c r="AF133" s="1173"/>
    </row>
    <row r="134" spans="1:32" ht="52.5" customHeight="1" x14ac:dyDescent="0.25">
      <c r="A134" s="515" t="s">
        <v>1013</v>
      </c>
      <c r="B134" s="1173" t="s">
        <v>2406</v>
      </c>
      <c r="C134" s="1173"/>
      <c r="D134" s="1173"/>
      <c r="E134" s="1173"/>
      <c r="F134" s="1173"/>
      <c r="G134" s="1173"/>
      <c r="H134" s="1173"/>
      <c r="I134" s="1173"/>
      <c r="J134" s="1173"/>
      <c r="K134" s="1173"/>
      <c r="L134" s="1173"/>
      <c r="M134" s="1173"/>
      <c r="N134" s="1173"/>
      <c r="O134" s="1173"/>
      <c r="P134" s="1173"/>
      <c r="Q134" s="1173"/>
      <c r="R134" s="1173"/>
      <c r="S134" s="1173"/>
      <c r="T134" s="1173"/>
      <c r="U134" s="1173"/>
      <c r="V134" s="1173"/>
      <c r="W134" s="1173"/>
      <c r="X134" s="1173"/>
      <c r="Y134" s="1173"/>
      <c r="Z134" s="1173"/>
      <c r="AA134" s="1173"/>
      <c r="AB134" s="1173"/>
      <c r="AC134" s="1173"/>
      <c r="AD134" s="1173"/>
      <c r="AE134" s="1173"/>
      <c r="AF134" s="1173"/>
    </row>
    <row r="135" spans="1:32" ht="33.75" customHeight="1" x14ac:dyDescent="0.25">
      <c r="A135" s="515" t="s">
        <v>1013</v>
      </c>
      <c r="B135" s="1173" t="s">
        <v>1747</v>
      </c>
      <c r="C135" s="1173"/>
      <c r="D135" s="1173"/>
      <c r="E135" s="1173"/>
      <c r="F135" s="1173"/>
      <c r="G135" s="1173"/>
      <c r="H135" s="1173"/>
      <c r="I135" s="1173"/>
      <c r="J135" s="1173"/>
      <c r="K135" s="1173"/>
      <c r="L135" s="1173"/>
      <c r="M135" s="1173"/>
      <c r="N135" s="1173"/>
      <c r="O135" s="1173"/>
      <c r="P135" s="1173"/>
      <c r="Q135" s="1173"/>
      <c r="R135" s="1173"/>
      <c r="S135" s="1173"/>
      <c r="T135" s="1173"/>
      <c r="U135" s="1173"/>
      <c r="V135" s="1173"/>
      <c r="W135" s="1173"/>
      <c r="X135" s="1173"/>
      <c r="Y135" s="1173"/>
      <c r="Z135" s="1173"/>
      <c r="AA135" s="1173"/>
      <c r="AB135" s="1173"/>
      <c r="AC135" s="1173"/>
      <c r="AD135" s="1173"/>
      <c r="AE135" s="1173"/>
      <c r="AF135" s="1173"/>
    </row>
    <row r="136" spans="1:32" ht="51" customHeight="1" x14ac:dyDescent="0.25">
      <c r="A136" s="515" t="s">
        <v>1013</v>
      </c>
      <c r="B136" s="1173" t="s">
        <v>2844</v>
      </c>
      <c r="C136" s="1173"/>
      <c r="D136" s="1173"/>
      <c r="E136" s="1173"/>
      <c r="F136" s="1173"/>
      <c r="G136" s="1173"/>
      <c r="H136" s="1173"/>
      <c r="I136" s="1173"/>
      <c r="J136" s="1173"/>
      <c r="K136" s="1173"/>
      <c r="L136" s="1173"/>
      <c r="M136" s="1173"/>
      <c r="N136" s="1173"/>
      <c r="O136" s="1173"/>
      <c r="P136" s="1173"/>
      <c r="Q136" s="1173"/>
      <c r="R136" s="1173"/>
      <c r="S136" s="1173"/>
      <c r="T136" s="1173"/>
      <c r="U136" s="1173"/>
      <c r="V136" s="1173"/>
      <c r="W136" s="1173"/>
      <c r="X136" s="1173"/>
      <c r="Y136" s="1173"/>
      <c r="Z136" s="1173"/>
      <c r="AA136" s="1173"/>
      <c r="AB136" s="1173"/>
      <c r="AC136" s="1173"/>
      <c r="AD136" s="1173"/>
      <c r="AE136" s="1173"/>
      <c r="AF136" s="1173"/>
    </row>
    <row r="137" spans="1:32" ht="66.75" customHeight="1" x14ac:dyDescent="0.25">
      <c r="A137" s="515" t="s">
        <v>1013</v>
      </c>
      <c r="B137" s="1173" t="s">
        <v>2842</v>
      </c>
      <c r="C137" s="1173"/>
      <c r="D137" s="1173"/>
      <c r="E137" s="1173"/>
      <c r="F137" s="1173"/>
      <c r="G137" s="1173"/>
      <c r="H137" s="1173"/>
      <c r="I137" s="1173"/>
      <c r="J137" s="1173"/>
      <c r="K137" s="1173"/>
      <c r="L137" s="1173"/>
      <c r="M137" s="1173"/>
      <c r="N137" s="1173"/>
      <c r="O137" s="1173"/>
      <c r="P137" s="1173"/>
      <c r="Q137" s="1173"/>
      <c r="R137" s="1173"/>
      <c r="S137" s="1173"/>
      <c r="T137" s="1173"/>
      <c r="U137" s="1173"/>
      <c r="V137" s="1173"/>
      <c r="W137" s="1173"/>
      <c r="X137" s="1173"/>
      <c r="Y137" s="1173"/>
      <c r="Z137" s="1173"/>
      <c r="AA137" s="1173"/>
      <c r="AB137" s="1173"/>
      <c r="AC137" s="1173"/>
      <c r="AD137" s="1173"/>
      <c r="AE137" s="1173"/>
      <c r="AF137" s="1173"/>
    </row>
    <row r="138" spans="1:32" ht="66.75" customHeight="1" x14ac:dyDescent="0.25">
      <c r="A138" s="515" t="s">
        <v>1013</v>
      </c>
      <c r="B138" s="1173" t="s">
        <v>2969</v>
      </c>
      <c r="C138" s="1173"/>
      <c r="D138" s="1173"/>
      <c r="E138" s="1173"/>
      <c r="F138" s="1173"/>
      <c r="G138" s="1173"/>
      <c r="H138" s="1173"/>
      <c r="I138" s="1173"/>
      <c r="J138" s="1173"/>
      <c r="K138" s="1173"/>
      <c r="L138" s="1173"/>
      <c r="M138" s="1173"/>
      <c r="N138" s="1173"/>
      <c r="O138" s="1173"/>
      <c r="P138" s="1173"/>
      <c r="Q138" s="1173"/>
      <c r="R138" s="1173"/>
      <c r="S138" s="1173"/>
      <c r="T138" s="1173"/>
      <c r="U138" s="1173"/>
      <c r="V138" s="1173"/>
      <c r="W138" s="1173"/>
      <c r="X138" s="1173"/>
      <c r="Y138" s="1173"/>
      <c r="Z138" s="1173"/>
      <c r="AA138" s="1173"/>
      <c r="AB138" s="1173"/>
      <c r="AC138" s="1173"/>
      <c r="AD138" s="1173"/>
      <c r="AE138" s="1173"/>
      <c r="AF138" s="1173"/>
    </row>
    <row r="139" spans="1:32" ht="51" customHeight="1" x14ac:dyDescent="0.25">
      <c r="A139" s="515" t="s">
        <v>1013</v>
      </c>
      <c r="B139" s="1173" t="s">
        <v>3510</v>
      </c>
      <c r="C139" s="1173"/>
      <c r="D139" s="1173"/>
      <c r="E139" s="1173"/>
      <c r="F139" s="1173"/>
      <c r="G139" s="1173"/>
      <c r="H139" s="1173"/>
      <c r="I139" s="1173"/>
      <c r="J139" s="1173"/>
      <c r="K139" s="1173"/>
      <c r="L139" s="1173"/>
      <c r="M139" s="1173"/>
      <c r="N139" s="1173"/>
      <c r="O139" s="1173"/>
      <c r="P139" s="1173"/>
      <c r="Q139" s="1173"/>
      <c r="R139" s="1173"/>
      <c r="S139" s="1173"/>
      <c r="T139" s="1173"/>
      <c r="U139" s="1173"/>
      <c r="V139" s="1173"/>
      <c r="W139" s="1173"/>
      <c r="X139" s="1173"/>
      <c r="Y139" s="1173"/>
      <c r="Z139" s="1173"/>
      <c r="AA139" s="1173"/>
      <c r="AB139" s="1173"/>
      <c r="AC139" s="1173"/>
      <c r="AD139" s="1173"/>
      <c r="AE139" s="1173"/>
      <c r="AF139" s="1173"/>
    </row>
    <row r="140" spans="1:32" ht="51.75" customHeight="1" x14ac:dyDescent="0.25">
      <c r="A140" s="515" t="s">
        <v>1013</v>
      </c>
      <c r="B140" s="1173" t="s">
        <v>1745</v>
      </c>
      <c r="C140" s="1173"/>
      <c r="D140" s="1173"/>
      <c r="E140" s="1173"/>
      <c r="F140" s="1173"/>
      <c r="G140" s="1173"/>
      <c r="H140" s="1173"/>
      <c r="I140" s="1173"/>
      <c r="J140" s="1173"/>
      <c r="K140" s="1173"/>
      <c r="L140" s="1173"/>
      <c r="M140" s="1173"/>
      <c r="N140" s="1173"/>
      <c r="O140" s="1173"/>
      <c r="P140" s="1173"/>
      <c r="Q140" s="1173"/>
      <c r="R140" s="1173"/>
      <c r="S140" s="1173"/>
      <c r="T140" s="1173"/>
      <c r="U140" s="1173"/>
      <c r="V140" s="1173"/>
      <c r="W140" s="1173"/>
      <c r="X140" s="1173"/>
      <c r="Y140" s="1173"/>
      <c r="Z140" s="1173"/>
      <c r="AA140" s="1173"/>
      <c r="AB140" s="1173"/>
      <c r="AC140" s="1173"/>
      <c r="AD140" s="1173"/>
      <c r="AE140" s="1173"/>
      <c r="AF140" s="1173"/>
    </row>
    <row r="141" spans="1:32" ht="35.25" customHeight="1" x14ac:dyDescent="0.25">
      <c r="A141" s="515" t="s">
        <v>1013</v>
      </c>
      <c r="B141" s="1173" t="s">
        <v>1743</v>
      </c>
      <c r="C141" s="1173"/>
      <c r="D141" s="1173"/>
      <c r="E141" s="1173"/>
      <c r="F141" s="1173"/>
      <c r="G141" s="1173"/>
      <c r="H141" s="1173"/>
      <c r="I141" s="1173"/>
      <c r="J141" s="1173"/>
      <c r="K141" s="1173"/>
      <c r="L141" s="1173"/>
      <c r="M141" s="1173"/>
      <c r="N141" s="1173"/>
      <c r="O141" s="1173"/>
      <c r="P141" s="1173"/>
      <c r="Q141" s="1173"/>
      <c r="R141" s="1173"/>
      <c r="S141" s="1173"/>
      <c r="T141" s="1173"/>
      <c r="U141" s="1173"/>
      <c r="V141" s="1173"/>
      <c r="W141" s="1173"/>
      <c r="X141" s="1173"/>
      <c r="Y141" s="1173"/>
      <c r="Z141" s="1173"/>
      <c r="AA141" s="1173"/>
      <c r="AB141" s="1173"/>
      <c r="AC141" s="1173"/>
      <c r="AD141" s="1173"/>
      <c r="AE141" s="1173"/>
      <c r="AF141" s="1173"/>
    </row>
    <row r="142" spans="1:32" ht="66.75" customHeight="1" x14ac:dyDescent="0.25">
      <c r="A142" s="515" t="s">
        <v>1013</v>
      </c>
      <c r="B142" s="1173" t="s">
        <v>2845</v>
      </c>
      <c r="C142" s="1173"/>
      <c r="D142" s="1173"/>
      <c r="E142" s="1173"/>
      <c r="F142" s="1173"/>
      <c r="G142" s="1173"/>
      <c r="H142" s="1173"/>
      <c r="I142" s="1173"/>
      <c r="J142" s="1173"/>
      <c r="K142" s="1173"/>
      <c r="L142" s="1173"/>
      <c r="M142" s="1173"/>
      <c r="N142" s="1173"/>
      <c r="O142" s="1173"/>
      <c r="P142" s="1173"/>
      <c r="Q142" s="1173"/>
      <c r="R142" s="1173"/>
      <c r="S142" s="1173"/>
      <c r="T142" s="1173"/>
      <c r="U142" s="1173"/>
      <c r="V142" s="1173"/>
      <c r="W142" s="1173"/>
      <c r="X142" s="1173"/>
      <c r="Y142" s="1173"/>
      <c r="Z142" s="1173"/>
      <c r="AA142" s="1173"/>
      <c r="AB142" s="1173"/>
      <c r="AC142" s="1173"/>
      <c r="AD142" s="1173"/>
      <c r="AE142" s="1173"/>
      <c r="AF142" s="1173"/>
    </row>
    <row r="143" spans="1:32" ht="54" customHeight="1" x14ac:dyDescent="0.25">
      <c r="A143" s="515" t="s">
        <v>1013</v>
      </c>
      <c r="B143" s="1173" t="s">
        <v>1744</v>
      </c>
      <c r="C143" s="1173"/>
      <c r="D143" s="1173"/>
      <c r="E143" s="1173"/>
      <c r="F143" s="1173"/>
      <c r="G143" s="1173"/>
      <c r="H143" s="1173"/>
      <c r="I143" s="1173"/>
      <c r="J143" s="1173"/>
      <c r="K143" s="1173"/>
      <c r="L143" s="1173"/>
      <c r="M143" s="1173"/>
      <c r="N143" s="1173"/>
      <c r="O143" s="1173"/>
      <c r="P143" s="1173"/>
      <c r="Q143" s="1173"/>
      <c r="R143" s="1173"/>
      <c r="S143" s="1173"/>
      <c r="T143" s="1173"/>
      <c r="U143" s="1173"/>
      <c r="V143" s="1173"/>
      <c r="W143" s="1173"/>
      <c r="X143" s="1173"/>
      <c r="Y143" s="1173"/>
      <c r="Z143" s="1173"/>
      <c r="AA143" s="1173"/>
      <c r="AB143" s="1173"/>
      <c r="AC143" s="1173"/>
      <c r="AD143" s="1173"/>
      <c r="AE143" s="1173"/>
      <c r="AF143" s="1173"/>
    </row>
  </sheetData>
  <sheetProtection algorithmName="SHA-512" hashValue="BfcH0XR5eBvmXuRNXk30utpbLWGO2AmenYk0WkwesXUVxj6ygzAzqBwgsMepHKKrSvXhEDQmOQn9/9zo1nyBQA==" saltValue="t0RX4hSh+nA9Lt9isyFrMw==" spinCount="100000" sheet="1" objects="1" scenarios="1"/>
  <mergeCells count="189">
    <mergeCell ref="B137:AF137"/>
    <mergeCell ref="B138:AF138"/>
    <mergeCell ref="B139:AF139"/>
    <mergeCell ref="B140:AF140"/>
    <mergeCell ref="B141:AF141"/>
    <mergeCell ref="B142:AF142"/>
    <mergeCell ref="B143:AF143"/>
    <mergeCell ref="A82:AF82"/>
    <mergeCell ref="S105:U105"/>
    <mergeCell ref="A127:AF127"/>
    <mergeCell ref="B129:AF129"/>
    <mergeCell ref="B130:AF130"/>
    <mergeCell ref="B131:AF131"/>
    <mergeCell ref="B132:AF132"/>
    <mergeCell ref="B133:AF133"/>
    <mergeCell ref="B134:AF134"/>
    <mergeCell ref="B135:AF135"/>
    <mergeCell ref="B136:AF136"/>
    <mergeCell ref="D121:F121"/>
    <mergeCell ref="A123:H123"/>
    <mergeCell ref="I123:P123"/>
    <mergeCell ref="Q123:X123"/>
    <mergeCell ref="Y123:AF123"/>
    <mergeCell ref="D105:F105"/>
    <mergeCell ref="L105:N105"/>
    <mergeCell ref="D108:F108"/>
    <mergeCell ref="D111:K111"/>
    <mergeCell ref="Q111:S111"/>
    <mergeCell ref="X111:Z111"/>
    <mergeCell ref="AD111:AF111"/>
    <mergeCell ref="D114:F114"/>
    <mergeCell ref="D118:F118"/>
    <mergeCell ref="A100:AF100"/>
    <mergeCell ref="A94:J94"/>
    <mergeCell ref="K94:O94"/>
    <mergeCell ref="P94:T94"/>
    <mergeCell ref="U94:Y94"/>
    <mergeCell ref="A95:J95"/>
    <mergeCell ref="K95:O95"/>
    <mergeCell ref="P95:T95"/>
    <mergeCell ref="U95:Y95"/>
    <mergeCell ref="A96:J96"/>
    <mergeCell ref="K96:O96"/>
    <mergeCell ref="P96:T96"/>
    <mergeCell ref="U96:Y96"/>
    <mergeCell ref="A91:J91"/>
    <mergeCell ref="K91:O91"/>
    <mergeCell ref="P91:T91"/>
    <mergeCell ref="U91:Y91"/>
    <mergeCell ref="A92:J92"/>
    <mergeCell ref="K92:O92"/>
    <mergeCell ref="P92:T92"/>
    <mergeCell ref="U92:Y92"/>
    <mergeCell ref="A93:J93"/>
    <mergeCell ref="K93:O93"/>
    <mergeCell ref="P93:T93"/>
    <mergeCell ref="U93:Y93"/>
    <mergeCell ref="A88:J88"/>
    <mergeCell ref="K88:O88"/>
    <mergeCell ref="P88:T88"/>
    <mergeCell ref="U88:Y88"/>
    <mergeCell ref="A89:J89"/>
    <mergeCell ref="K89:O89"/>
    <mergeCell ref="P89:T89"/>
    <mergeCell ref="U89:Y89"/>
    <mergeCell ref="A90:J90"/>
    <mergeCell ref="K90:O90"/>
    <mergeCell ref="P90:T90"/>
    <mergeCell ref="U90:Y90"/>
    <mergeCell ref="A79:AF79"/>
    <mergeCell ref="A80:AF80"/>
    <mergeCell ref="A81:AF81"/>
    <mergeCell ref="A86:J86"/>
    <mergeCell ref="K86:O86"/>
    <mergeCell ref="P86:T86"/>
    <mergeCell ref="U86:Y86"/>
    <mergeCell ref="A87:J87"/>
    <mergeCell ref="K87:O87"/>
    <mergeCell ref="P87:T87"/>
    <mergeCell ref="U87:Y87"/>
    <mergeCell ref="A85:J85"/>
    <mergeCell ref="A77:D77"/>
    <mergeCell ref="E77:O77"/>
    <mergeCell ref="P77:S77"/>
    <mergeCell ref="T77:W77"/>
    <mergeCell ref="X77:AF77"/>
    <mergeCell ref="A78:D78"/>
    <mergeCell ref="E78:O78"/>
    <mergeCell ref="P78:S78"/>
    <mergeCell ref="T78:W78"/>
    <mergeCell ref="X78:AF78"/>
    <mergeCell ref="A76:D76"/>
    <mergeCell ref="E76:O76"/>
    <mergeCell ref="P76:S76"/>
    <mergeCell ref="T76:W76"/>
    <mergeCell ref="X76:AF76"/>
    <mergeCell ref="A75:D75"/>
    <mergeCell ref="E75:O75"/>
    <mergeCell ref="P75:S75"/>
    <mergeCell ref="T75:W75"/>
    <mergeCell ref="X75:AF75"/>
    <mergeCell ref="A73:D73"/>
    <mergeCell ref="E73:O73"/>
    <mergeCell ref="P73:S73"/>
    <mergeCell ref="T73:W73"/>
    <mergeCell ref="X73:AF73"/>
    <mergeCell ref="A74:D74"/>
    <mergeCell ref="E74:O74"/>
    <mergeCell ref="P74:S74"/>
    <mergeCell ref="T74:W74"/>
    <mergeCell ref="X74:AF74"/>
    <mergeCell ref="A71:D71"/>
    <mergeCell ref="E71:O71"/>
    <mergeCell ref="P71:S71"/>
    <mergeCell ref="T71:W71"/>
    <mergeCell ref="X71:AF71"/>
    <mergeCell ref="A72:D72"/>
    <mergeCell ref="E72:O72"/>
    <mergeCell ref="P72:S72"/>
    <mergeCell ref="T72:W72"/>
    <mergeCell ref="X72:AF72"/>
    <mergeCell ref="P68:S68"/>
    <mergeCell ref="T68:W68"/>
    <mergeCell ref="X68:AF68"/>
    <mergeCell ref="A69:D69"/>
    <mergeCell ref="E69:O69"/>
    <mergeCell ref="P69:S69"/>
    <mergeCell ref="T69:W69"/>
    <mergeCell ref="X69:AF69"/>
    <mergeCell ref="A70:D70"/>
    <mergeCell ref="E70:O70"/>
    <mergeCell ref="P70:S70"/>
    <mergeCell ref="T70:W70"/>
    <mergeCell ref="X70:AF70"/>
    <mergeCell ref="A1:AF1"/>
    <mergeCell ref="A26:AF26"/>
    <mergeCell ref="B21:AF21"/>
    <mergeCell ref="A7:AF7"/>
    <mergeCell ref="B10:AF10"/>
    <mergeCell ref="A3:AF3"/>
    <mergeCell ref="B5:AF5"/>
    <mergeCell ref="B15:AF15"/>
    <mergeCell ref="B24:AF24"/>
    <mergeCell ref="B12:AF12"/>
    <mergeCell ref="A60:AF60"/>
    <mergeCell ref="E64:O64"/>
    <mergeCell ref="A61:D61"/>
    <mergeCell ref="E61:O61"/>
    <mergeCell ref="P61:S61"/>
    <mergeCell ref="T61:W61"/>
    <mergeCell ref="X61:AF61"/>
    <mergeCell ref="A62:D62"/>
    <mergeCell ref="E62:O62"/>
    <mergeCell ref="P62:S62"/>
    <mergeCell ref="T62:W62"/>
    <mergeCell ref="X62:AF62"/>
    <mergeCell ref="A63:D63"/>
    <mergeCell ref="E63:O63"/>
    <mergeCell ref="P63:S63"/>
    <mergeCell ref="T63:W63"/>
    <mergeCell ref="X63:AF63"/>
    <mergeCell ref="A64:D64"/>
    <mergeCell ref="P64:S64"/>
    <mergeCell ref="T64:W64"/>
    <mergeCell ref="X64:AF64"/>
    <mergeCell ref="A65:D65"/>
    <mergeCell ref="E65:O65"/>
    <mergeCell ref="P65:S65"/>
    <mergeCell ref="T65:W65"/>
    <mergeCell ref="X65:AF65"/>
    <mergeCell ref="K85:O85"/>
    <mergeCell ref="P85:T85"/>
    <mergeCell ref="U85:Y85"/>
    <mergeCell ref="A124:H124"/>
    <mergeCell ref="I124:P124"/>
    <mergeCell ref="Q124:X124"/>
    <mergeCell ref="Y124:AF124"/>
    <mergeCell ref="A66:D66"/>
    <mergeCell ref="E66:O66"/>
    <mergeCell ref="P66:S66"/>
    <mergeCell ref="T66:W66"/>
    <mergeCell ref="X66:AF66"/>
    <mergeCell ref="A67:D67"/>
    <mergeCell ref="E67:O67"/>
    <mergeCell ref="P67:S67"/>
    <mergeCell ref="T67:W67"/>
    <mergeCell ref="X67:AF67"/>
    <mergeCell ref="A68:D68"/>
    <mergeCell ref="E68:O68"/>
  </mergeCells>
  <hyperlinks>
    <hyperlink ref="A2" location="TOC!A1" display="Return to TOC" xr:uid="{00000000-0004-0000-4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0:AF57" numberStoredAsText="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000-000000000000}">
          <x14:formula1>
            <xm:f>Dropdown!$I$6:$I$12</xm:f>
          </x14:formula1>
          <xm:sqref>D111:K111</xm:sqref>
        </x14:dataValidation>
        <x14:dataValidation type="list" allowBlank="1" showInputMessage="1" showErrorMessage="1" xr:uid="{00000000-0002-0000-4000-000001000000}">
          <x14:formula1>
            <xm:f>'C:\Users\kparmenter\OneDrive - AMERESCO\Documents\AEG\2018\Hawaii PUC\Task 3 - TRM\0 - Measure Update Worksheets\[PY19 TRM Working Draft.xlsm]Dropdown'!#REF!</xm:f>
          </x14:formula1>
          <xm:sqref>L111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4" tint="0.39997558519241921"/>
    <pageSetUpPr autoPageBreaks="0"/>
  </sheetPr>
  <dimension ref="A1:AF131"/>
  <sheetViews>
    <sheetView workbookViewId="0">
      <selection sqref="A1:AF1"/>
    </sheetView>
  </sheetViews>
  <sheetFormatPr defaultColWidth="2.7109375" defaultRowHeight="15" x14ac:dyDescent="0.25"/>
  <sheetData>
    <row r="1" spans="1:32" ht="19.5" thickBot="1" x14ac:dyDescent="0.3">
      <c r="A1" s="1272" t="s">
        <v>1151</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row>
    <row r="2" spans="1:32" ht="15" customHeight="1" x14ac:dyDescent="0.25">
      <c r="A2" s="376" t="s">
        <v>1702</v>
      </c>
      <c r="B2" s="284"/>
      <c r="C2" s="284"/>
      <c r="D2" s="284"/>
      <c r="E2" s="284"/>
      <c r="F2" s="284"/>
    </row>
    <row r="3" spans="1:32"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262"/>
      <c r="B5" s="1151" t="s">
        <v>5215</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row>
    <row r="9" spans="1:32" x14ac:dyDescent="0.25">
      <c r="B9" s="379" t="s">
        <v>10</v>
      </c>
      <c r="C9" s="8"/>
      <c r="D9" s="8"/>
      <c r="E9" s="8"/>
      <c r="F9" s="8"/>
      <c r="G9" s="8"/>
      <c r="H9" s="8"/>
      <c r="I9" s="8"/>
      <c r="J9" s="8"/>
      <c r="K9" s="8"/>
      <c r="L9" s="8"/>
      <c r="M9" s="8"/>
      <c r="N9" s="8"/>
      <c r="O9" s="8"/>
      <c r="P9" s="8"/>
      <c r="Q9" s="8"/>
      <c r="R9" s="8"/>
      <c r="S9" s="8"/>
      <c r="T9" s="8"/>
      <c r="U9" s="8"/>
      <c r="V9" s="8"/>
      <c r="W9" s="8"/>
      <c r="X9" s="8"/>
      <c r="Y9" s="8"/>
      <c r="Z9" s="8"/>
      <c r="AA9" s="8"/>
      <c r="AB9" s="8"/>
      <c r="AC9" s="8"/>
      <c r="AD9" s="8"/>
      <c r="AE9" s="8"/>
      <c r="AF9" s="8"/>
    </row>
    <row r="10" spans="1:32" ht="51.75" customHeight="1" x14ac:dyDescent="0.25">
      <c r="B10" s="1168" t="s">
        <v>5216</v>
      </c>
      <c r="C10" s="1168"/>
      <c r="D10" s="1168"/>
      <c r="E10" s="1168"/>
      <c r="F10" s="1168"/>
      <c r="G10" s="1168"/>
      <c r="H10" s="1168"/>
      <c r="I10" s="1168"/>
      <c r="J10" s="1168"/>
      <c r="K10" s="1168"/>
      <c r="L10" s="1168"/>
      <c r="M10" s="1168"/>
      <c r="N10" s="1168"/>
      <c r="O10" s="1168"/>
      <c r="P10" s="1168"/>
      <c r="Q10" s="1168"/>
      <c r="R10" s="1168"/>
      <c r="S10" s="1168"/>
      <c r="T10" s="1168"/>
      <c r="U10" s="1168"/>
      <c r="V10" s="1168"/>
      <c r="W10" s="1168"/>
      <c r="X10" s="1168"/>
      <c r="Y10" s="1168"/>
      <c r="Z10" s="1168"/>
      <c r="AA10" s="1168"/>
      <c r="AB10" s="1168"/>
      <c r="AC10" s="1168"/>
      <c r="AD10" s="1168"/>
      <c r="AE10" s="1168"/>
      <c r="AF10" s="1168"/>
    </row>
    <row r="11" spans="1:32" x14ac:dyDescent="0.25">
      <c r="B11" s="8"/>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row>
    <row r="12" spans="1:32" ht="77.25" customHeight="1" x14ac:dyDescent="0.25">
      <c r="B12" s="1142" t="s">
        <v>5217</v>
      </c>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3" spans="1:32" x14ac:dyDescent="0.25">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row>
    <row r="14" spans="1:32" x14ac:dyDescent="0.25">
      <c r="B14" s="379" t="s">
        <v>11</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row>
    <row r="15" spans="1:32" ht="50.25" customHeight="1" x14ac:dyDescent="0.25">
      <c r="B15" s="1142" t="s">
        <v>648</v>
      </c>
      <c r="C15" s="1142"/>
      <c r="D15" s="1142"/>
      <c r="E15" s="1142"/>
      <c r="F15" s="1142"/>
      <c r="G15" s="1142"/>
      <c r="H15" s="1142"/>
      <c r="I15" s="1142"/>
      <c r="J15" s="1142"/>
      <c r="K15" s="1142"/>
      <c r="L15" s="1142"/>
      <c r="M15" s="1142"/>
      <c r="N15" s="1142"/>
      <c r="O15" s="1142"/>
      <c r="P15" s="1142"/>
      <c r="Q15" s="1142"/>
      <c r="R15" s="1142"/>
      <c r="S15" s="1142"/>
      <c r="T15" s="1142"/>
      <c r="U15" s="1142"/>
      <c r="V15" s="1142"/>
      <c r="W15" s="1142"/>
      <c r="X15" s="1142"/>
      <c r="Y15" s="1142"/>
      <c r="Z15" s="1142"/>
      <c r="AA15" s="1142"/>
      <c r="AB15" s="1142"/>
      <c r="AC15" s="1142"/>
      <c r="AD15" s="1142"/>
      <c r="AE15" s="1142"/>
      <c r="AF15" s="1142"/>
    </row>
    <row r="16" spans="1:32" x14ac:dyDescent="0.25">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row>
    <row r="17" spans="1:32" x14ac:dyDescent="0.25">
      <c r="B17" s="379" t="s">
        <v>12</v>
      </c>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row>
    <row r="18" spans="1:32" x14ac:dyDescent="0.25">
      <c r="B18" s="1753" t="s">
        <v>5218</v>
      </c>
      <c r="C18" s="1753"/>
      <c r="D18" s="1753"/>
      <c r="E18" s="1753"/>
      <c r="F18" s="1753"/>
      <c r="G18" s="1753"/>
      <c r="H18" s="1753"/>
      <c r="I18" s="1753"/>
      <c r="J18" s="1753"/>
      <c r="K18" s="1753"/>
      <c r="L18" s="1753"/>
      <c r="M18" s="1753"/>
      <c r="N18" s="1753"/>
      <c r="O18" s="1753"/>
      <c r="P18" s="1753"/>
      <c r="Q18" s="1753"/>
      <c r="R18" s="1753"/>
      <c r="S18" s="1753"/>
      <c r="T18" s="1753"/>
      <c r="U18" s="1753"/>
      <c r="V18" s="1753"/>
      <c r="W18" s="1753"/>
      <c r="X18" s="1753"/>
      <c r="Y18" s="1753"/>
      <c r="Z18" s="1753"/>
      <c r="AA18" s="1753"/>
      <c r="AB18" s="1753"/>
      <c r="AC18" s="1753"/>
      <c r="AD18" s="1753"/>
      <c r="AE18" s="1753"/>
      <c r="AF18" s="1753"/>
    </row>
    <row r="19" spans="1:32" x14ac:dyDescent="0.25">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row>
    <row r="20" spans="1:32" x14ac:dyDescent="0.25">
      <c r="B20" s="379" t="s">
        <v>13</v>
      </c>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row>
    <row r="21" spans="1:32" ht="82.5" customHeight="1" x14ac:dyDescent="0.25">
      <c r="B21" s="1168" t="s">
        <v>5219</v>
      </c>
      <c r="C21" s="1168"/>
      <c r="D21" s="1168"/>
      <c r="E21" s="1168"/>
      <c r="F21" s="1168"/>
      <c r="G21" s="1168"/>
      <c r="H21" s="1168"/>
      <c r="I21" s="1168"/>
      <c r="J21" s="1168"/>
      <c r="K21" s="1168"/>
      <c r="L21" s="1168"/>
      <c r="M21" s="1168"/>
      <c r="N21" s="1168"/>
      <c r="O21" s="1168"/>
      <c r="P21" s="1168"/>
      <c r="Q21" s="1168"/>
      <c r="R21" s="1168"/>
      <c r="S21" s="1168"/>
      <c r="T21" s="1168"/>
      <c r="U21" s="1168"/>
      <c r="V21" s="1168"/>
      <c r="W21" s="1168"/>
      <c r="X21" s="1168"/>
      <c r="Y21" s="1168"/>
      <c r="Z21" s="1168"/>
      <c r="AA21" s="1168"/>
      <c r="AB21" s="1168"/>
      <c r="AC21" s="1168"/>
      <c r="AD21" s="1168"/>
      <c r="AE21" s="1168"/>
      <c r="AF21" s="1168"/>
    </row>
    <row r="22" spans="1:32" x14ac:dyDescent="0.25">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row>
    <row r="23" spans="1:32" x14ac:dyDescent="0.25">
      <c r="B23" s="379" t="s">
        <v>20</v>
      </c>
      <c r="C23" s="8"/>
      <c r="D23" s="843"/>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row>
    <row r="24" spans="1:32" ht="52.5" customHeight="1" x14ac:dyDescent="0.25">
      <c r="B24" s="1168" t="s">
        <v>5220</v>
      </c>
      <c r="C24" s="1168"/>
      <c r="D24" s="1168"/>
      <c r="E24" s="1168"/>
      <c r="F24" s="1168"/>
      <c r="G24" s="1168"/>
      <c r="H24" s="1168"/>
      <c r="I24" s="1168"/>
      <c r="J24" s="1168"/>
      <c r="K24" s="1168"/>
      <c r="L24" s="1168"/>
      <c r="M24" s="1168"/>
      <c r="N24" s="1168"/>
      <c r="O24" s="1168"/>
      <c r="P24" s="1168"/>
      <c r="Q24" s="1168"/>
      <c r="R24" s="1168"/>
      <c r="S24" s="1168"/>
      <c r="T24" s="1168"/>
      <c r="U24" s="1168"/>
      <c r="V24" s="1168"/>
      <c r="W24" s="1168"/>
      <c r="X24" s="1168"/>
      <c r="Y24" s="1168"/>
      <c r="Z24" s="1168"/>
      <c r="AA24" s="1168"/>
      <c r="AB24" s="1168"/>
      <c r="AC24" s="1168"/>
      <c r="AD24" s="1168"/>
      <c r="AE24" s="1168"/>
      <c r="AF24" s="1168"/>
    </row>
    <row r="25" spans="1:32"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x14ac:dyDescent="0.25">
      <c r="A26" s="1472" t="s">
        <v>14</v>
      </c>
      <c r="B26" s="1472"/>
      <c r="C26" s="1472"/>
      <c r="D26" s="1472"/>
      <c r="E26" s="1472"/>
      <c r="F26" s="1472"/>
      <c r="G26" s="1472"/>
      <c r="H26" s="1472"/>
      <c r="I26" s="1472"/>
      <c r="J26" s="1472"/>
      <c r="K26" s="1472"/>
      <c r="L26" s="1472"/>
      <c r="M26" s="1472"/>
      <c r="N26" s="1472"/>
      <c r="O26" s="1472"/>
      <c r="P26" s="1472"/>
      <c r="Q26" s="1472"/>
      <c r="R26" s="1472"/>
      <c r="S26" s="1472"/>
      <c r="T26" s="1472"/>
      <c r="U26" s="1472"/>
      <c r="V26" s="1472"/>
      <c r="W26" s="1472"/>
      <c r="X26" s="1472"/>
      <c r="Y26" s="1472"/>
      <c r="Z26" s="1472"/>
      <c r="AA26" s="1472"/>
      <c r="AB26" s="1472"/>
      <c r="AC26" s="1472"/>
      <c r="AD26" s="1472"/>
      <c r="AE26" s="1472"/>
      <c r="AF26" s="1472"/>
    </row>
    <row r="27" spans="1:32" x14ac:dyDescent="0.25">
      <c r="A27" s="1"/>
    </row>
    <row r="28" spans="1:32" x14ac:dyDescent="0.25">
      <c r="B28" s="519" t="s">
        <v>2194</v>
      </c>
      <c r="C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262"/>
    </row>
    <row r="29" spans="1:32" x14ac:dyDescent="0.25">
      <c r="A29" s="3"/>
      <c r="B29" s="1"/>
      <c r="C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row>
    <row r="30" spans="1:32" x14ac:dyDescent="0.25">
      <c r="A30" s="3"/>
      <c r="B30" s="1"/>
      <c r="C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3035" t="s">
        <v>1705</v>
      </c>
    </row>
    <row r="31" spans="1:32" x14ac:dyDescent="0.25">
      <c r="A31" s="3"/>
      <c r="B31" s="304"/>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3035"/>
    </row>
    <row r="32" spans="1:32" x14ac:dyDescent="0.25">
      <c r="A32" s="3"/>
      <c r="B32" s="148"/>
      <c r="C32" s="148"/>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3035"/>
    </row>
    <row r="33" spans="1:32" x14ac:dyDescent="0.25">
      <c r="A33" s="3"/>
      <c r="B33" s="148"/>
      <c r="C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311"/>
    </row>
    <row r="34" spans="1:32" x14ac:dyDescent="0.25">
      <c r="B34" s="379" t="s">
        <v>2303</v>
      </c>
      <c r="C34" s="148"/>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311"/>
    </row>
    <row r="35" spans="1:32" x14ac:dyDescent="0.25">
      <c r="A35" s="148"/>
      <c r="B35" s="148"/>
      <c r="C35" s="148"/>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311"/>
    </row>
    <row r="36" spans="1:32" x14ac:dyDescent="0.25">
      <c r="A36" s="148"/>
      <c r="B36" s="148"/>
      <c r="C36" s="148"/>
      <c r="E36" s="148"/>
      <c r="F36" s="148"/>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3035" t="s">
        <v>1706</v>
      </c>
    </row>
    <row r="37" spans="1:32" x14ac:dyDescent="0.25">
      <c r="A37" s="148"/>
      <c r="B37" s="304"/>
      <c r="C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3036"/>
    </row>
    <row r="38" spans="1:32" x14ac:dyDescent="0.25">
      <c r="A38" s="148"/>
      <c r="B38" s="148"/>
      <c r="C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311"/>
    </row>
    <row r="39" spans="1:32" x14ac:dyDescent="0.25">
      <c r="B39" s="379" t="s">
        <v>1998</v>
      </c>
      <c r="C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311"/>
    </row>
    <row r="40" spans="1:32" x14ac:dyDescent="0.25">
      <c r="A40" s="148"/>
      <c r="B40" s="148"/>
      <c r="C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311"/>
    </row>
    <row r="41" spans="1:32" x14ac:dyDescent="0.25">
      <c r="A41" s="148"/>
      <c r="B41" s="304"/>
      <c r="C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339" t="s">
        <v>1707</v>
      </c>
    </row>
    <row r="42" spans="1:32" x14ac:dyDescent="0.25">
      <c r="A42" s="148"/>
      <c r="B42" s="148"/>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row>
    <row r="43" spans="1:32" x14ac:dyDescent="0.25">
      <c r="A43" s="148"/>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row>
    <row r="44" spans="1:32" x14ac:dyDescent="0.25">
      <c r="A44" s="1472" t="s">
        <v>15</v>
      </c>
      <c r="B44" s="1472"/>
      <c r="C44" s="1472"/>
      <c r="D44" s="1472"/>
      <c r="E44" s="1472"/>
      <c r="F44" s="1472"/>
      <c r="G44" s="1472"/>
      <c r="H44" s="1472"/>
      <c r="I44" s="1472"/>
      <c r="J44" s="1472"/>
      <c r="K44" s="1472"/>
      <c r="L44" s="1472"/>
      <c r="M44" s="1472"/>
      <c r="N44" s="1472"/>
      <c r="O44" s="1472"/>
      <c r="P44" s="1472"/>
      <c r="Q44" s="1472"/>
      <c r="R44" s="1472"/>
      <c r="S44" s="1472"/>
      <c r="T44" s="1472"/>
      <c r="U44" s="1472"/>
      <c r="V44" s="1472"/>
      <c r="W44" s="1472"/>
      <c r="X44" s="1472"/>
      <c r="Y44" s="1472"/>
      <c r="Z44" s="1472"/>
      <c r="AA44" s="1472"/>
      <c r="AB44" s="1472"/>
      <c r="AC44" s="1472"/>
      <c r="AD44" s="1472"/>
      <c r="AE44" s="1472"/>
      <c r="AF44" s="1472"/>
    </row>
    <row r="45" spans="1:32" x14ac:dyDescent="0.25">
      <c r="A45" s="1474" t="s">
        <v>16</v>
      </c>
      <c r="B45" s="1474"/>
      <c r="C45" s="1474"/>
      <c r="D45" s="1474"/>
      <c r="E45" s="1474" t="s">
        <v>10</v>
      </c>
      <c r="F45" s="1474"/>
      <c r="G45" s="1474"/>
      <c r="H45" s="1474"/>
      <c r="I45" s="1474"/>
      <c r="J45" s="1474"/>
      <c r="K45" s="1474"/>
      <c r="L45" s="1474"/>
      <c r="M45" s="1474"/>
      <c r="N45" s="1474"/>
      <c r="O45" s="1474"/>
      <c r="P45" s="1474" t="s">
        <v>17</v>
      </c>
      <c r="Q45" s="1474"/>
      <c r="R45" s="1474"/>
      <c r="S45" s="1474"/>
      <c r="T45" s="1474" t="s">
        <v>18</v>
      </c>
      <c r="U45" s="1474"/>
      <c r="V45" s="1474"/>
      <c r="W45" s="1474"/>
      <c r="X45" s="1474" t="s">
        <v>1708</v>
      </c>
      <c r="Y45" s="1474"/>
      <c r="Z45" s="1474"/>
      <c r="AA45" s="1474"/>
      <c r="AB45" s="1474"/>
      <c r="AC45" s="1474"/>
      <c r="AD45" s="1474"/>
      <c r="AE45" s="1474"/>
      <c r="AF45" s="1474"/>
    </row>
    <row r="46" spans="1:32" ht="36" customHeight="1" x14ac:dyDescent="0.25">
      <c r="A46" s="1134" t="s">
        <v>3957</v>
      </c>
      <c r="B46" s="1134"/>
      <c r="C46" s="1134"/>
      <c r="D46" s="1134"/>
      <c r="E46" s="1135" t="s">
        <v>5221</v>
      </c>
      <c r="F46" s="1135"/>
      <c r="G46" s="1135"/>
      <c r="H46" s="1135"/>
      <c r="I46" s="1135"/>
      <c r="J46" s="1135"/>
      <c r="K46" s="1135"/>
      <c r="L46" s="1135"/>
      <c r="M46" s="1135"/>
      <c r="N46" s="1135"/>
      <c r="O46" s="1135"/>
      <c r="P46" s="3009" t="s">
        <v>5222</v>
      </c>
      <c r="Q46" s="3009"/>
      <c r="R46" s="3009"/>
      <c r="S46" s="3009"/>
      <c r="T46" s="2629" t="s">
        <v>28</v>
      </c>
      <c r="U46" s="1913"/>
      <c r="V46" s="1913"/>
      <c r="W46" s="1913"/>
      <c r="X46" s="3037" t="s">
        <v>5223</v>
      </c>
      <c r="Y46" s="1715"/>
      <c r="Z46" s="1715"/>
      <c r="AA46" s="1715"/>
      <c r="AB46" s="1715"/>
      <c r="AC46" s="1715"/>
      <c r="AD46" s="1715"/>
      <c r="AE46" s="1715"/>
      <c r="AF46" s="1715"/>
    </row>
    <row r="47" spans="1:32" ht="51" customHeight="1" x14ac:dyDescent="0.25">
      <c r="A47" s="1134" t="s">
        <v>5224</v>
      </c>
      <c r="B47" s="1134"/>
      <c r="C47" s="1134"/>
      <c r="D47" s="1134"/>
      <c r="E47" s="1135" t="s">
        <v>5225</v>
      </c>
      <c r="F47" s="1135"/>
      <c r="G47" s="1135"/>
      <c r="H47" s="1135"/>
      <c r="I47" s="1135"/>
      <c r="J47" s="1135"/>
      <c r="K47" s="1135"/>
      <c r="L47" s="1135"/>
      <c r="M47" s="1135"/>
      <c r="N47" s="1135"/>
      <c r="O47" s="1135"/>
      <c r="P47" s="3009" t="s">
        <v>1815</v>
      </c>
      <c r="Q47" s="3009"/>
      <c r="R47" s="3009"/>
      <c r="S47" s="3009"/>
      <c r="T47" s="2496" t="s">
        <v>28</v>
      </c>
      <c r="U47" s="1606"/>
      <c r="V47" s="1606"/>
      <c r="W47" s="1606"/>
      <c r="X47" s="2463" t="s">
        <v>5226</v>
      </c>
      <c r="Y47" s="1133"/>
      <c r="Z47" s="1133"/>
      <c r="AA47" s="1133"/>
      <c r="AB47" s="1133"/>
      <c r="AC47" s="1133"/>
      <c r="AD47" s="1133"/>
      <c r="AE47" s="1133"/>
      <c r="AF47" s="1133"/>
    </row>
    <row r="48" spans="1:32" ht="84" customHeight="1" x14ac:dyDescent="0.25">
      <c r="A48" s="1134" t="s">
        <v>5227</v>
      </c>
      <c r="B48" s="1134"/>
      <c r="C48" s="1134"/>
      <c r="D48" s="1134"/>
      <c r="E48" s="1135" t="s">
        <v>5228</v>
      </c>
      <c r="F48" s="1135"/>
      <c r="G48" s="1135"/>
      <c r="H48" s="1135"/>
      <c r="I48" s="1135"/>
      <c r="J48" s="1135"/>
      <c r="K48" s="1135"/>
      <c r="L48" s="1135"/>
      <c r="M48" s="1135"/>
      <c r="N48" s="1135"/>
      <c r="O48" s="1135"/>
      <c r="P48" s="3009" t="s">
        <v>1815</v>
      </c>
      <c r="Q48" s="3009"/>
      <c r="R48" s="3009"/>
      <c r="S48" s="3009"/>
      <c r="T48" s="2496" t="s">
        <v>2371</v>
      </c>
      <c r="U48" s="1606"/>
      <c r="V48" s="1606"/>
      <c r="W48" s="1606"/>
      <c r="X48" s="2463" t="s">
        <v>5229</v>
      </c>
      <c r="Y48" s="1133"/>
      <c r="Z48" s="1133"/>
      <c r="AA48" s="1133"/>
      <c r="AB48" s="1133"/>
      <c r="AC48" s="1133"/>
      <c r="AD48" s="1133"/>
      <c r="AE48" s="1133"/>
      <c r="AF48" s="1133"/>
    </row>
    <row r="49" spans="1:32" ht="87" customHeight="1" x14ac:dyDescent="0.25">
      <c r="A49" s="1135" t="s">
        <v>5230</v>
      </c>
      <c r="B49" s="1135"/>
      <c r="C49" s="1135"/>
      <c r="D49" s="1135"/>
      <c r="E49" s="1135" t="s">
        <v>3958</v>
      </c>
      <c r="F49" s="1135"/>
      <c r="G49" s="1135"/>
      <c r="H49" s="1135"/>
      <c r="I49" s="1135"/>
      <c r="J49" s="1135"/>
      <c r="K49" s="1135"/>
      <c r="L49" s="1135"/>
      <c r="M49" s="1135"/>
      <c r="N49" s="1135"/>
      <c r="O49" s="1135"/>
      <c r="P49" s="1913">
        <v>3.45</v>
      </c>
      <c r="Q49" s="1913"/>
      <c r="R49" s="1913"/>
      <c r="S49" s="1913"/>
      <c r="T49" s="2496" t="s">
        <v>28</v>
      </c>
      <c r="U49" s="1606"/>
      <c r="V49" s="1606"/>
      <c r="W49" s="1606"/>
      <c r="X49" s="1715" t="s">
        <v>5231</v>
      </c>
      <c r="Y49" s="1715"/>
      <c r="Z49" s="1715"/>
      <c r="AA49" s="1715"/>
      <c r="AB49" s="1715"/>
      <c r="AC49" s="1715"/>
      <c r="AD49" s="1715"/>
      <c r="AE49" s="1715"/>
      <c r="AF49" s="1715"/>
    </row>
    <row r="50" spans="1:32" ht="86.25" customHeight="1" x14ac:dyDescent="0.25">
      <c r="A50" s="1135" t="s">
        <v>5232</v>
      </c>
      <c r="B50" s="1135"/>
      <c r="C50" s="1135"/>
      <c r="D50" s="1135"/>
      <c r="E50" s="1135" t="s">
        <v>5233</v>
      </c>
      <c r="F50" s="1135"/>
      <c r="G50" s="1135"/>
      <c r="H50" s="1135"/>
      <c r="I50" s="1135"/>
      <c r="J50" s="1135"/>
      <c r="K50" s="1135"/>
      <c r="L50" s="1135"/>
      <c r="M50" s="1135"/>
      <c r="N50" s="1135"/>
      <c r="O50" s="1135"/>
      <c r="P50" s="1913">
        <v>3.45</v>
      </c>
      <c r="Q50" s="1913"/>
      <c r="R50" s="1913"/>
      <c r="S50" s="1913"/>
      <c r="T50" s="2496" t="s">
        <v>28</v>
      </c>
      <c r="U50" s="1606"/>
      <c r="V50" s="1606"/>
      <c r="W50" s="1606"/>
      <c r="X50" s="1715" t="s">
        <v>5231</v>
      </c>
      <c r="Y50" s="1715"/>
      <c r="Z50" s="1715"/>
      <c r="AA50" s="1715"/>
      <c r="AB50" s="1715"/>
      <c r="AC50" s="1715"/>
      <c r="AD50" s="1715"/>
      <c r="AE50" s="1715"/>
      <c r="AF50" s="1715"/>
    </row>
    <row r="51" spans="1:32" ht="48" customHeight="1" x14ac:dyDescent="0.25">
      <c r="A51" s="1134" t="s">
        <v>2373</v>
      </c>
      <c r="B51" s="1134"/>
      <c r="C51" s="1134"/>
      <c r="D51" s="1134"/>
      <c r="E51" s="1135" t="s">
        <v>2374</v>
      </c>
      <c r="F51" s="1135"/>
      <c r="G51" s="1135"/>
      <c r="H51" s="1135"/>
      <c r="I51" s="1135"/>
      <c r="J51" s="1135"/>
      <c r="K51" s="1135"/>
      <c r="L51" s="1135"/>
      <c r="M51" s="1135"/>
      <c r="N51" s="1135"/>
      <c r="O51" s="1135"/>
      <c r="P51" s="1913" t="s">
        <v>1815</v>
      </c>
      <c r="Q51" s="1913"/>
      <c r="R51" s="1913"/>
      <c r="S51" s="1913"/>
      <c r="T51" s="1606" t="s">
        <v>2375</v>
      </c>
      <c r="U51" s="1606"/>
      <c r="V51" s="1606"/>
      <c r="W51" s="1606"/>
      <c r="X51" s="1517" t="s">
        <v>5234</v>
      </c>
      <c r="Y51" s="1517"/>
      <c r="Z51" s="1517"/>
      <c r="AA51" s="1517"/>
      <c r="AB51" s="1517"/>
      <c r="AC51" s="1517"/>
      <c r="AD51" s="1517"/>
      <c r="AE51" s="1517"/>
      <c r="AF51" s="1517"/>
    </row>
    <row r="52" spans="1:32" ht="71.25" customHeight="1" x14ac:dyDescent="0.25">
      <c r="A52" s="1134" t="s">
        <v>2250</v>
      </c>
      <c r="B52" s="1134"/>
      <c r="C52" s="1134"/>
      <c r="D52" s="1134"/>
      <c r="E52" s="1135" t="s">
        <v>2378</v>
      </c>
      <c r="F52" s="1135"/>
      <c r="G52" s="1135"/>
      <c r="H52" s="1135"/>
      <c r="I52" s="1135"/>
      <c r="J52" s="1135"/>
      <c r="K52" s="1135"/>
      <c r="L52" s="1135"/>
      <c r="M52" s="1135"/>
      <c r="N52" s="1135"/>
      <c r="O52" s="1135"/>
      <c r="P52" s="3009" t="s">
        <v>5235</v>
      </c>
      <c r="Q52" s="3009"/>
      <c r="R52" s="3009"/>
      <c r="S52" s="3009"/>
      <c r="T52" s="1606" t="s">
        <v>2379</v>
      </c>
      <c r="U52" s="1606"/>
      <c r="V52" s="1606"/>
      <c r="W52" s="1606"/>
      <c r="X52" s="2463" t="s">
        <v>5236</v>
      </c>
      <c r="Y52" s="1133"/>
      <c r="Z52" s="1133"/>
      <c r="AA52" s="1133"/>
      <c r="AB52" s="1133"/>
      <c r="AC52" s="1133"/>
      <c r="AD52" s="1133"/>
      <c r="AE52" s="1133"/>
      <c r="AF52" s="1133"/>
    </row>
    <row r="53" spans="1:32" ht="30" customHeight="1" x14ac:dyDescent="0.25">
      <c r="A53" s="3011" t="s">
        <v>1713</v>
      </c>
      <c r="B53" s="3012"/>
      <c r="C53" s="3012"/>
      <c r="D53" s="3012"/>
      <c r="E53" s="1135" t="s">
        <v>1714</v>
      </c>
      <c r="F53" s="1135"/>
      <c r="G53" s="1135"/>
      <c r="H53" s="1135"/>
      <c r="I53" s="1135"/>
      <c r="J53" s="1135"/>
      <c r="K53" s="1135"/>
      <c r="L53" s="1135"/>
      <c r="M53" s="1135"/>
      <c r="N53" s="1135"/>
      <c r="O53" s="1135"/>
      <c r="P53" s="1913">
        <v>8.3000000000000007</v>
      </c>
      <c r="Q53" s="1913"/>
      <c r="R53" s="1913"/>
      <c r="S53" s="1913"/>
      <c r="T53" s="1606" t="s">
        <v>1715</v>
      </c>
      <c r="U53" s="1606"/>
      <c r="V53" s="1606"/>
      <c r="W53" s="1606"/>
      <c r="X53" s="1865" t="s">
        <v>28</v>
      </c>
      <c r="Y53" s="1674"/>
      <c r="Z53" s="1674"/>
      <c r="AA53" s="1674"/>
      <c r="AB53" s="1674"/>
      <c r="AC53" s="1674"/>
      <c r="AD53" s="1674"/>
      <c r="AE53" s="1674"/>
      <c r="AF53" s="1674"/>
    </row>
    <row r="54" spans="1:32" ht="30" customHeight="1" x14ac:dyDescent="0.25">
      <c r="A54" s="3012" t="s">
        <v>1717</v>
      </c>
      <c r="B54" s="3012"/>
      <c r="C54" s="3012"/>
      <c r="D54" s="3012"/>
      <c r="E54" s="1135" t="s">
        <v>1718</v>
      </c>
      <c r="F54" s="1135"/>
      <c r="G54" s="1135"/>
      <c r="H54" s="1135"/>
      <c r="I54" s="1135"/>
      <c r="J54" s="1135"/>
      <c r="K54" s="1135"/>
      <c r="L54" s="1135"/>
      <c r="M54" s="1135"/>
      <c r="N54" s="1135"/>
      <c r="O54" s="1135"/>
      <c r="P54" s="1913">
        <v>1</v>
      </c>
      <c r="Q54" s="1913"/>
      <c r="R54" s="1913"/>
      <c r="S54" s="1913"/>
      <c r="T54" s="1606" t="s">
        <v>1716</v>
      </c>
      <c r="U54" s="1606"/>
      <c r="V54" s="1606"/>
      <c r="W54" s="1606"/>
      <c r="X54" s="1865" t="s">
        <v>28</v>
      </c>
      <c r="Y54" s="1674"/>
      <c r="Z54" s="1674"/>
      <c r="AA54" s="1674"/>
      <c r="AB54" s="1674"/>
      <c r="AC54" s="1674"/>
      <c r="AD54" s="1674"/>
      <c r="AE54" s="1674"/>
      <c r="AF54" s="1674"/>
    </row>
    <row r="55" spans="1:32" ht="122.25" customHeight="1" x14ac:dyDescent="0.25">
      <c r="A55" s="1134" t="s">
        <v>1719</v>
      </c>
      <c r="B55" s="1134"/>
      <c r="C55" s="1134"/>
      <c r="D55" s="1134"/>
      <c r="E55" s="1135" t="s">
        <v>1721</v>
      </c>
      <c r="F55" s="1135"/>
      <c r="G55" s="1135"/>
      <c r="H55" s="1135"/>
      <c r="I55" s="1135"/>
      <c r="J55" s="1135"/>
      <c r="K55" s="1135"/>
      <c r="L55" s="1135"/>
      <c r="M55" s="1135"/>
      <c r="N55" s="1135"/>
      <c r="O55" s="1135"/>
      <c r="P55" s="1913">
        <v>125</v>
      </c>
      <c r="Q55" s="1913"/>
      <c r="R55" s="1913"/>
      <c r="S55" s="1913"/>
      <c r="T55" s="1606" t="s">
        <v>166</v>
      </c>
      <c r="U55" s="1606"/>
      <c r="V55" s="1606"/>
      <c r="W55" s="1606"/>
      <c r="X55" s="1715" t="s">
        <v>5237</v>
      </c>
      <c r="Y55" s="1715"/>
      <c r="Z55" s="1715"/>
      <c r="AA55" s="1715"/>
      <c r="AB55" s="1715"/>
      <c r="AC55" s="1715"/>
      <c r="AD55" s="1715"/>
      <c r="AE55" s="1715"/>
      <c r="AF55" s="1715"/>
    </row>
    <row r="56" spans="1:32" ht="30" customHeight="1" x14ac:dyDescent="0.25">
      <c r="A56" s="1134" t="s">
        <v>1720</v>
      </c>
      <c r="B56" s="1134"/>
      <c r="C56" s="1134"/>
      <c r="D56" s="1134"/>
      <c r="E56" s="1135" t="s">
        <v>1722</v>
      </c>
      <c r="F56" s="1135"/>
      <c r="G56" s="1135"/>
      <c r="H56" s="1135"/>
      <c r="I56" s="1135"/>
      <c r="J56" s="1135"/>
      <c r="K56" s="1135"/>
      <c r="L56" s="1135"/>
      <c r="M56" s="1135"/>
      <c r="N56" s="1135"/>
      <c r="O56" s="1135"/>
      <c r="P56" s="2628">
        <v>75</v>
      </c>
      <c r="Q56" s="2628">
        <v>8760</v>
      </c>
      <c r="R56" s="2628">
        <v>8760</v>
      </c>
      <c r="S56" s="2628">
        <v>8760</v>
      </c>
      <c r="T56" s="1606" t="s">
        <v>1723</v>
      </c>
      <c r="U56" s="1606"/>
      <c r="V56" s="1606"/>
      <c r="W56" s="1606"/>
      <c r="X56" s="1715" t="s">
        <v>5238</v>
      </c>
      <c r="Y56" s="1715"/>
      <c r="Z56" s="1715"/>
      <c r="AA56" s="1715"/>
      <c r="AB56" s="1715"/>
      <c r="AC56" s="1715"/>
      <c r="AD56" s="1715"/>
      <c r="AE56" s="1715"/>
      <c r="AF56" s="1715"/>
    </row>
    <row r="57" spans="1:32" ht="73.5" customHeight="1" x14ac:dyDescent="0.25">
      <c r="A57" s="1134" t="s">
        <v>257</v>
      </c>
      <c r="B57" s="1134" t="s">
        <v>216</v>
      </c>
      <c r="C57" s="1134" t="s">
        <v>216</v>
      </c>
      <c r="D57" s="1134" t="s">
        <v>216</v>
      </c>
      <c r="E57" s="1135" t="s">
        <v>1772</v>
      </c>
      <c r="F57" s="1135" t="s">
        <v>643</v>
      </c>
      <c r="G57" s="1135" t="s">
        <v>643</v>
      </c>
      <c r="H57" s="1135" t="s">
        <v>643</v>
      </c>
      <c r="I57" s="1135" t="s">
        <v>643</v>
      </c>
      <c r="J57" s="1135" t="s">
        <v>643</v>
      </c>
      <c r="K57" s="1135" t="s">
        <v>643</v>
      </c>
      <c r="L57" s="1135" t="s">
        <v>643</v>
      </c>
      <c r="M57" s="1135" t="s">
        <v>643</v>
      </c>
      <c r="N57" s="1135" t="s">
        <v>643</v>
      </c>
      <c r="O57" s="1135" t="s">
        <v>643</v>
      </c>
      <c r="P57" s="1913" t="s">
        <v>1815</v>
      </c>
      <c r="Q57" s="1913"/>
      <c r="R57" s="1913"/>
      <c r="S57" s="1913"/>
      <c r="T57" s="1606" t="s">
        <v>45</v>
      </c>
      <c r="U57" s="1606"/>
      <c r="V57" s="1606"/>
      <c r="W57" s="1606"/>
      <c r="X57" s="1517" t="s">
        <v>5239</v>
      </c>
      <c r="Y57" s="1517"/>
      <c r="Z57" s="1517"/>
      <c r="AA57" s="1517"/>
      <c r="AB57" s="1517"/>
      <c r="AC57" s="1517"/>
      <c r="AD57" s="1517"/>
      <c r="AE57" s="1517"/>
      <c r="AF57" s="1517"/>
    </row>
    <row r="58" spans="1:32" ht="90.75" customHeight="1" x14ac:dyDescent="0.25">
      <c r="A58" s="1134" t="s">
        <v>545</v>
      </c>
      <c r="B58" s="1134" t="s">
        <v>545</v>
      </c>
      <c r="C58" s="1134" t="s">
        <v>545</v>
      </c>
      <c r="D58" s="1134" t="s">
        <v>545</v>
      </c>
      <c r="E58" s="1135" t="s">
        <v>1703</v>
      </c>
      <c r="F58" s="1135" t="s">
        <v>546</v>
      </c>
      <c r="G58" s="1135" t="s">
        <v>546</v>
      </c>
      <c r="H58" s="1135" t="s">
        <v>546</v>
      </c>
      <c r="I58" s="1135" t="s">
        <v>546</v>
      </c>
      <c r="J58" s="1135" t="s">
        <v>546</v>
      </c>
      <c r="K58" s="1135" t="s">
        <v>546</v>
      </c>
      <c r="L58" s="1135" t="s">
        <v>546</v>
      </c>
      <c r="M58" s="1135" t="s">
        <v>546</v>
      </c>
      <c r="N58" s="1135" t="s">
        <v>546</v>
      </c>
      <c r="O58" s="1135" t="s">
        <v>546</v>
      </c>
      <c r="P58" s="3038" t="s">
        <v>1815</v>
      </c>
      <c r="Q58" s="3038"/>
      <c r="R58" s="3038"/>
      <c r="S58" s="3038"/>
      <c r="T58" s="1606" t="s">
        <v>28</v>
      </c>
      <c r="U58" s="1606"/>
      <c r="V58" s="1606"/>
      <c r="W58" s="1606"/>
      <c r="X58" s="1517" t="s">
        <v>5240</v>
      </c>
      <c r="Y58" s="1517"/>
      <c r="Z58" s="1517"/>
      <c r="AA58" s="1517"/>
      <c r="AB58" s="1517"/>
      <c r="AC58" s="1517"/>
      <c r="AD58" s="1517"/>
      <c r="AE58" s="1517"/>
      <c r="AF58" s="1517"/>
    </row>
    <row r="59" spans="1:32" ht="30" customHeight="1" x14ac:dyDescent="0.25">
      <c r="A59" s="1485" t="s">
        <v>2052</v>
      </c>
      <c r="B59" s="1486" t="s">
        <v>34</v>
      </c>
      <c r="C59" s="1486" t="s">
        <v>34</v>
      </c>
      <c r="D59" s="1487" t="s">
        <v>34</v>
      </c>
      <c r="E59" s="1135" t="s">
        <v>2217</v>
      </c>
      <c r="F59" s="1135" t="s">
        <v>219</v>
      </c>
      <c r="G59" s="1135" t="s">
        <v>219</v>
      </c>
      <c r="H59" s="1135" t="s">
        <v>219</v>
      </c>
      <c r="I59" s="1135" t="s">
        <v>219</v>
      </c>
      <c r="J59" s="1135" t="s">
        <v>219</v>
      </c>
      <c r="K59" s="1135" t="s">
        <v>219</v>
      </c>
      <c r="L59" s="1135" t="s">
        <v>219</v>
      </c>
      <c r="M59" s="1135" t="s">
        <v>219</v>
      </c>
      <c r="N59" s="1135" t="s">
        <v>219</v>
      </c>
      <c r="O59" s="1135" t="s">
        <v>219</v>
      </c>
      <c r="P59" s="1913">
        <f>'Master EUL'!X65</f>
        <v>10</v>
      </c>
      <c r="Q59" s="1913"/>
      <c r="R59" s="1913"/>
      <c r="S59" s="1913"/>
      <c r="T59" s="1606" t="s">
        <v>46</v>
      </c>
      <c r="U59" s="1606"/>
      <c r="V59" s="1606"/>
      <c r="W59" s="1606"/>
      <c r="X59" s="1715" t="s">
        <v>2069</v>
      </c>
      <c r="Y59" s="1715"/>
      <c r="Z59" s="1715"/>
      <c r="AA59" s="1715"/>
      <c r="AB59" s="1715"/>
      <c r="AC59" s="1715"/>
      <c r="AD59" s="1715"/>
      <c r="AE59" s="1715"/>
      <c r="AF59" s="1715"/>
    </row>
    <row r="60" spans="1:32" ht="30" customHeight="1" x14ac:dyDescent="0.25">
      <c r="A60" s="1736" t="s">
        <v>5241</v>
      </c>
      <c r="B60" s="1736"/>
      <c r="C60" s="1736"/>
      <c r="D60" s="1736"/>
      <c r="E60" s="1736"/>
      <c r="F60" s="1736"/>
      <c r="G60" s="1736"/>
      <c r="H60" s="1736"/>
      <c r="I60" s="1736"/>
      <c r="J60" s="1736"/>
      <c r="K60" s="1736"/>
      <c r="L60" s="1736"/>
      <c r="M60" s="1736"/>
      <c r="N60" s="1736"/>
      <c r="O60" s="1736"/>
      <c r="P60" s="1736"/>
      <c r="Q60" s="1736"/>
      <c r="R60" s="1736"/>
      <c r="S60" s="1736"/>
      <c r="T60" s="1736"/>
      <c r="U60" s="1736"/>
      <c r="V60" s="1736"/>
      <c r="W60" s="1736"/>
      <c r="X60" s="1736"/>
      <c r="Y60" s="1736"/>
      <c r="Z60" s="1736"/>
      <c r="AA60" s="1736"/>
      <c r="AB60" s="1736"/>
      <c r="AC60" s="1736"/>
      <c r="AD60" s="1736"/>
      <c r="AE60" s="1736"/>
      <c r="AF60" s="1736"/>
    </row>
    <row r="61" spans="1:32" ht="30" customHeight="1" x14ac:dyDescent="0.25">
      <c r="A61" s="1290" t="s">
        <v>5242</v>
      </c>
      <c r="B61" s="1290"/>
      <c r="C61" s="1290"/>
      <c r="D61" s="1290"/>
      <c r="E61" s="1290"/>
      <c r="F61" s="1290"/>
      <c r="G61" s="1290"/>
      <c r="H61" s="1290"/>
      <c r="I61" s="1290"/>
      <c r="J61" s="1290"/>
      <c r="K61" s="1290"/>
      <c r="L61" s="1290"/>
      <c r="M61" s="1290"/>
      <c r="N61" s="1290"/>
      <c r="O61" s="1290"/>
      <c r="P61" s="1290"/>
      <c r="Q61" s="1290"/>
      <c r="R61" s="1290"/>
      <c r="S61" s="1290"/>
      <c r="T61" s="1290"/>
      <c r="U61" s="1290"/>
      <c r="V61" s="1290"/>
      <c r="W61" s="1290"/>
      <c r="X61" s="1290"/>
      <c r="Y61" s="1290"/>
      <c r="Z61" s="1290"/>
      <c r="AA61" s="1290"/>
      <c r="AB61" s="1290"/>
      <c r="AC61" s="1290"/>
      <c r="AD61" s="1290"/>
      <c r="AE61" s="1290"/>
      <c r="AF61" s="1290"/>
    </row>
    <row r="62" spans="1:32" ht="30" customHeight="1" x14ac:dyDescent="0.25">
      <c r="A62" s="1290" t="s">
        <v>5243</v>
      </c>
      <c r="B62" s="1290"/>
      <c r="C62" s="1290"/>
      <c r="D62" s="1290"/>
      <c r="E62" s="1290"/>
      <c r="F62" s="1290"/>
      <c r="G62" s="1290"/>
      <c r="H62" s="1290"/>
      <c r="I62" s="1290"/>
      <c r="J62" s="1290"/>
      <c r="K62" s="1290"/>
      <c r="L62" s="1290"/>
      <c r="M62" s="1290"/>
      <c r="N62" s="1290"/>
      <c r="O62" s="1290"/>
      <c r="P62" s="1290"/>
      <c r="Q62" s="1290"/>
      <c r="R62" s="1290"/>
      <c r="S62" s="1290"/>
      <c r="T62" s="1290"/>
      <c r="U62" s="1290"/>
      <c r="V62" s="1290"/>
      <c r="W62" s="1290"/>
      <c r="X62" s="1290"/>
      <c r="Y62" s="1290"/>
      <c r="Z62" s="1290"/>
      <c r="AA62" s="1290"/>
      <c r="AB62" s="1290"/>
      <c r="AC62" s="1290"/>
      <c r="AD62" s="1290"/>
      <c r="AE62" s="1290"/>
      <c r="AF62" s="1290"/>
    </row>
    <row r="63" spans="1:32" ht="30" customHeight="1" x14ac:dyDescent="0.25">
      <c r="A63" s="1290" t="s">
        <v>5244</v>
      </c>
      <c r="B63" s="1290"/>
      <c r="C63" s="1290"/>
      <c r="D63" s="1290"/>
      <c r="E63" s="1290"/>
      <c r="F63" s="1290"/>
      <c r="G63" s="1290"/>
      <c r="H63" s="1290"/>
      <c r="I63" s="1290"/>
      <c r="J63" s="1290"/>
      <c r="K63" s="1290"/>
      <c r="L63" s="1290"/>
      <c r="M63" s="1290"/>
      <c r="N63" s="1290"/>
      <c r="O63" s="1290"/>
      <c r="P63" s="1290"/>
      <c r="Q63" s="1290"/>
      <c r="R63" s="1290"/>
      <c r="S63" s="1290"/>
      <c r="T63" s="1290"/>
      <c r="U63" s="1290"/>
      <c r="V63" s="1290"/>
      <c r="W63" s="1290"/>
      <c r="X63" s="1290"/>
      <c r="Y63" s="1290"/>
      <c r="Z63" s="1290"/>
      <c r="AA63" s="1290"/>
      <c r="AB63" s="1290"/>
      <c r="AC63" s="1290"/>
      <c r="AD63" s="1290"/>
      <c r="AE63" s="1290"/>
      <c r="AF63" s="1290"/>
    </row>
    <row r="64" spans="1:32" x14ac:dyDescent="0.25">
      <c r="A64" s="1290" t="s">
        <v>5245</v>
      </c>
      <c r="B64" s="1290"/>
      <c r="C64" s="1290"/>
      <c r="D64" s="1290"/>
      <c r="E64" s="1290"/>
      <c r="F64" s="1290"/>
      <c r="G64" s="1290"/>
      <c r="H64" s="1290"/>
      <c r="I64" s="1290"/>
      <c r="J64" s="1290"/>
      <c r="K64" s="1290"/>
      <c r="L64" s="1290"/>
      <c r="M64" s="1290"/>
      <c r="N64" s="1290"/>
      <c r="O64" s="1290"/>
      <c r="P64" s="1290"/>
      <c r="Q64" s="1290"/>
      <c r="R64" s="1290"/>
      <c r="S64" s="1290"/>
      <c r="T64" s="1290"/>
      <c r="U64" s="1290"/>
      <c r="V64" s="1290"/>
      <c r="W64" s="1290"/>
      <c r="X64" s="1290"/>
      <c r="Y64" s="1290"/>
      <c r="Z64" s="1290"/>
      <c r="AA64" s="1290"/>
      <c r="AB64" s="1290"/>
      <c r="AC64" s="1290"/>
      <c r="AD64" s="1290"/>
      <c r="AE64" s="1290"/>
      <c r="AF64" s="1290"/>
    </row>
    <row r="65" spans="1:32" x14ac:dyDescent="0.25">
      <c r="A65" s="463"/>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c r="AA65" s="463"/>
      <c r="AB65" s="463"/>
      <c r="AC65" s="463"/>
      <c r="AD65" s="463"/>
      <c r="AE65" s="463"/>
      <c r="AF65" s="463"/>
    </row>
    <row r="66" spans="1:32" x14ac:dyDescent="0.25">
      <c r="A66" s="423" t="s">
        <v>5246</v>
      </c>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3"/>
      <c r="AC66" s="463"/>
      <c r="AD66" s="463"/>
      <c r="AE66" s="463"/>
      <c r="AF66" s="463"/>
    </row>
    <row r="67" spans="1:32" x14ac:dyDescent="0.25">
      <c r="A67" s="844"/>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3"/>
    </row>
    <row r="68" spans="1:32" x14ac:dyDescent="0.25">
      <c r="A68" s="844"/>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3"/>
      <c r="AC68" s="463"/>
      <c r="AD68" s="463"/>
      <c r="AE68" s="463"/>
      <c r="AF68" s="463"/>
    </row>
    <row r="69" spans="1:32" x14ac:dyDescent="0.25">
      <c r="A69" s="844"/>
      <c r="B69" s="463"/>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row>
    <row r="70" spans="1:32" x14ac:dyDescent="0.25">
      <c r="A70" s="844"/>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row>
    <row r="71" spans="1:32" x14ac:dyDescent="0.25">
      <c r="A71" s="844"/>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c r="AE71" s="463"/>
      <c r="AF71" s="463"/>
    </row>
    <row r="72" spans="1:32" x14ac:dyDescent="0.25">
      <c r="A72" s="844"/>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c r="AA72" s="463"/>
      <c r="AB72" s="463"/>
      <c r="AC72" s="463"/>
      <c r="AD72" s="463"/>
      <c r="AE72" s="463"/>
      <c r="AF72" s="463"/>
    </row>
    <row r="73" spans="1:32" x14ac:dyDescent="0.25">
      <c r="A73" s="844"/>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3"/>
      <c r="AC73" s="463"/>
      <c r="AD73" s="463"/>
      <c r="AE73" s="463"/>
      <c r="AF73" s="463"/>
    </row>
    <row r="74" spans="1:32" x14ac:dyDescent="0.25">
      <c r="A74" s="844"/>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c r="AA74" s="463"/>
      <c r="AB74" s="463"/>
      <c r="AC74" s="463"/>
      <c r="AD74" s="463"/>
      <c r="AE74" s="463"/>
      <c r="AF74" s="463"/>
    </row>
    <row r="75" spans="1:32" x14ac:dyDescent="0.25">
      <c r="A75" s="844"/>
      <c r="B75" s="463"/>
      <c r="C75" s="463"/>
      <c r="D75" s="463"/>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3"/>
      <c r="AC75" s="463"/>
      <c r="AD75" s="463"/>
      <c r="AE75" s="463"/>
      <c r="AF75" s="463"/>
    </row>
    <row r="76" spans="1:32" x14ac:dyDescent="0.25">
      <c r="A76" s="844"/>
      <c r="B76" s="463"/>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3"/>
      <c r="AB76" s="463"/>
      <c r="AC76" s="463"/>
      <c r="AD76" s="463"/>
      <c r="AE76" s="463"/>
      <c r="AF76" s="463"/>
    </row>
    <row r="77" spans="1:32" ht="37.5" customHeight="1" x14ac:dyDescent="0.25">
      <c r="A77" s="1290" t="s">
        <v>5247</v>
      </c>
      <c r="B77" s="1290"/>
      <c r="C77" s="1290"/>
      <c r="D77" s="1290"/>
      <c r="E77" s="1290"/>
      <c r="F77" s="1290"/>
      <c r="G77" s="1290"/>
      <c r="H77" s="1290"/>
      <c r="I77" s="1290"/>
      <c r="J77" s="1290"/>
      <c r="K77" s="1290"/>
      <c r="L77" s="1290"/>
      <c r="M77" s="1290"/>
      <c r="N77" s="1290"/>
      <c r="O77" s="1290"/>
      <c r="P77" s="1290"/>
      <c r="Q77" s="1290"/>
      <c r="R77" s="1290"/>
      <c r="S77" s="1290"/>
      <c r="T77" s="1290"/>
      <c r="U77" s="1290"/>
      <c r="V77" s="1290"/>
      <c r="W77" s="1290"/>
      <c r="X77" s="1290"/>
      <c r="Y77" s="1290"/>
      <c r="Z77" s="1290"/>
      <c r="AA77" s="1290"/>
      <c r="AB77" s="1290"/>
      <c r="AC77" s="1290"/>
      <c r="AD77" s="1290"/>
      <c r="AE77" s="1290"/>
      <c r="AF77" s="463"/>
    </row>
    <row r="78" spans="1:32" x14ac:dyDescent="0.25">
      <c r="A78" s="839"/>
      <c r="B78" s="463"/>
      <c r="C78" s="463"/>
      <c r="D78" s="463"/>
      <c r="E78" s="463"/>
      <c r="F78" s="463"/>
      <c r="G78" s="463"/>
      <c r="H78" s="463"/>
      <c r="I78" s="463"/>
      <c r="J78" s="463"/>
      <c r="K78" s="463"/>
      <c r="L78" s="463"/>
      <c r="M78" s="463"/>
      <c r="N78" s="463"/>
      <c r="O78" s="463"/>
      <c r="P78" s="463"/>
      <c r="Q78" s="463"/>
      <c r="R78" s="463"/>
      <c r="S78" s="463"/>
      <c r="T78" s="463"/>
      <c r="U78" s="463"/>
      <c r="V78" s="463"/>
      <c r="W78" s="463"/>
      <c r="X78" s="463"/>
      <c r="Y78" s="463"/>
      <c r="Z78" s="463"/>
      <c r="AA78" s="463"/>
      <c r="AB78" s="463"/>
      <c r="AC78" s="463"/>
      <c r="AD78" s="463"/>
      <c r="AE78" s="463"/>
      <c r="AF78" s="463"/>
    </row>
    <row r="79" spans="1:32" x14ac:dyDescent="0.25">
      <c r="A79" s="687" t="s">
        <v>5248</v>
      </c>
      <c r="B79" s="8"/>
      <c r="C79" s="8"/>
      <c r="D79" s="687"/>
      <c r="E79" s="687"/>
      <c r="F79" s="687"/>
      <c r="G79" s="687"/>
      <c r="H79" s="687"/>
      <c r="I79" s="687"/>
      <c r="J79" s="687"/>
      <c r="K79" s="687"/>
      <c r="L79" s="687"/>
      <c r="M79" s="687"/>
      <c r="N79" s="687"/>
      <c r="O79" s="687"/>
      <c r="P79" s="687"/>
      <c r="Q79" s="687"/>
      <c r="R79" s="687"/>
      <c r="S79" s="290"/>
      <c r="T79" s="7"/>
      <c r="U79" s="7"/>
      <c r="V79" s="7"/>
      <c r="W79" s="7"/>
      <c r="X79" s="7"/>
      <c r="Y79" s="7"/>
      <c r="Z79" s="7"/>
      <c r="AA79" s="7"/>
      <c r="AB79" s="7"/>
      <c r="AC79" s="7"/>
      <c r="AD79" s="7"/>
      <c r="AE79" s="7"/>
      <c r="AF79" s="7"/>
    </row>
    <row r="80" spans="1:32" ht="30" customHeight="1" x14ac:dyDescent="0.25">
      <c r="A80" s="3041" t="s">
        <v>3960</v>
      </c>
      <c r="B80" s="3041"/>
      <c r="C80" s="3041"/>
      <c r="D80" s="3041"/>
      <c r="E80" s="3041"/>
      <c r="F80" s="3041"/>
      <c r="G80" s="3041"/>
      <c r="H80" s="3041"/>
      <c r="I80" s="3041"/>
      <c r="J80" s="3041"/>
      <c r="K80" s="3041"/>
      <c r="L80" s="3041"/>
      <c r="M80" s="3041"/>
      <c r="N80" s="3041"/>
      <c r="O80" s="3041"/>
      <c r="P80" s="3041"/>
      <c r="Q80" s="3041"/>
      <c r="R80" s="3041"/>
      <c r="S80" s="3041" t="s">
        <v>5249</v>
      </c>
      <c r="T80" s="3041"/>
      <c r="U80" s="3041"/>
      <c r="V80" s="3041"/>
      <c r="W80" s="3041"/>
      <c r="X80" s="3041"/>
      <c r="Y80" s="3041"/>
      <c r="Z80" s="3041"/>
      <c r="AA80" s="3041"/>
      <c r="AB80" s="3041"/>
      <c r="AC80" s="3041"/>
      <c r="AD80" s="3041"/>
      <c r="AE80" s="3041"/>
      <c r="AF80" s="7"/>
    </row>
    <row r="81" spans="1:32" x14ac:dyDescent="0.25">
      <c r="A81" s="3042" t="s">
        <v>3961</v>
      </c>
      <c r="B81" s="3043"/>
      <c r="C81" s="3043"/>
      <c r="D81" s="3043"/>
      <c r="E81" s="3043"/>
      <c r="F81" s="3043"/>
      <c r="G81" s="3043"/>
      <c r="H81" s="3044"/>
      <c r="I81" s="3051" t="s">
        <v>5250</v>
      </c>
      <c r="J81" s="3052"/>
      <c r="K81" s="3052"/>
      <c r="L81" s="3052"/>
      <c r="M81" s="3052"/>
      <c r="N81" s="3052"/>
      <c r="O81" s="3052"/>
      <c r="P81" s="3052"/>
      <c r="Q81" s="3052"/>
      <c r="R81" s="3053"/>
      <c r="S81" s="3040" t="s">
        <v>5251</v>
      </c>
      <c r="T81" s="3040"/>
      <c r="U81" s="3040"/>
      <c r="V81" s="3040"/>
      <c r="W81" s="3040"/>
      <c r="X81" s="3040"/>
      <c r="Y81" s="3040"/>
      <c r="Z81" s="3040"/>
      <c r="AA81" s="3040"/>
      <c r="AB81" s="3040"/>
      <c r="AC81" s="3040"/>
      <c r="AD81" s="3040"/>
      <c r="AE81" s="3040"/>
      <c r="AF81" s="7"/>
    </row>
    <row r="82" spans="1:32" ht="30" customHeight="1" x14ac:dyDescent="0.25">
      <c r="A82" s="3045"/>
      <c r="B82" s="3046"/>
      <c r="C82" s="3046"/>
      <c r="D82" s="3046"/>
      <c r="E82" s="3046"/>
      <c r="F82" s="3046"/>
      <c r="G82" s="3046"/>
      <c r="H82" s="3047"/>
      <c r="I82" s="3051" t="s">
        <v>5252</v>
      </c>
      <c r="J82" s="3052"/>
      <c r="K82" s="3052"/>
      <c r="L82" s="3052"/>
      <c r="M82" s="3052"/>
      <c r="N82" s="3052"/>
      <c r="O82" s="3052"/>
      <c r="P82" s="3052"/>
      <c r="Q82" s="3052"/>
      <c r="R82" s="3053"/>
      <c r="S82" s="3039" t="s">
        <v>5253</v>
      </c>
      <c r="T82" s="3039"/>
      <c r="U82" s="3039"/>
      <c r="V82" s="3039"/>
      <c r="W82" s="3039"/>
      <c r="X82" s="3039"/>
      <c r="Y82" s="3039"/>
      <c r="Z82" s="3039"/>
      <c r="AA82" s="3039"/>
      <c r="AB82" s="3039"/>
      <c r="AC82" s="3039"/>
      <c r="AD82" s="3039"/>
      <c r="AE82" s="3039"/>
      <c r="AF82" s="7"/>
    </row>
    <row r="83" spans="1:32" x14ac:dyDescent="0.25">
      <c r="A83" s="3048"/>
      <c r="B83" s="3049"/>
      <c r="C83" s="3049"/>
      <c r="D83" s="3049"/>
      <c r="E83" s="3049"/>
      <c r="F83" s="3049"/>
      <c r="G83" s="3049"/>
      <c r="H83" s="3050"/>
      <c r="I83" s="3051" t="s">
        <v>5254</v>
      </c>
      <c r="J83" s="3052"/>
      <c r="K83" s="3052"/>
      <c r="L83" s="3052"/>
      <c r="M83" s="3052"/>
      <c r="N83" s="3052"/>
      <c r="O83" s="3052"/>
      <c r="P83" s="3052"/>
      <c r="Q83" s="3052"/>
      <c r="R83" s="3053"/>
      <c r="S83" s="3040" t="s">
        <v>5253</v>
      </c>
      <c r="T83" s="3040"/>
      <c r="U83" s="3040"/>
      <c r="V83" s="3040"/>
      <c r="W83" s="3040"/>
      <c r="X83" s="3040"/>
      <c r="Y83" s="3040"/>
      <c r="Z83" s="3040"/>
      <c r="AA83" s="3040"/>
      <c r="AB83" s="3040"/>
      <c r="AC83" s="3040"/>
      <c r="AD83" s="3040"/>
      <c r="AE83" s="3040"/>
      <c r="AF83" s="7"/>
    </row>
    <row r="84" spans="1:32" x14ac:dyDescent="0.25">
      <c r="A84" s="3039" t="s">
        <v>3962</v>
      </c>
      <c r="B84" s="3039"/>
      <c r="C84" s="3039"/>
      <c r="D84" s="3039"/>
      <c r="E84" s="3039"/>
      <c r="F84" s="3039"/>
      <c r="G84" s="3039"/>
      <c r="H84" s="3039"/>
      <c r="I84" s="3039"/>
      <c r="J84" s="3039"/>
      <c r="K84" s="3039"/>
      <c r="L84" s="3039"/>
      <c r="M84" s="3039"/>
      <c r="N84" s="3039"/>
      <c r="O84" s="3039"/>
      <c r="P84" s="3039"/>
      <c r="Q84" s="3039"/>
      <c r="R84" s="3039"/>
      <c r="S84" s="3040" t="s">
        <v>3963</v>
      </c>
      <c r="T84" s="3040"/>
      <c r="U84" s="3040"/>
      <c r="V84" s="3040"/>
      <c r="W84" s="3040"/>
      <c r="X84" s="3040"/>
      <c r="Y84" s="3040"/>
      <c r="Z84" s="3040"/>
      <c r="AA84" s="3040"/>
      <c r="AB84" s="3040"/>
      <c r="AC84" s="3040"/>
      <c r="AD84" s="3040"/>
      <c r="AE84" s="3040"/>
      <c r="AF84" s="7"/>
    </row>
    <row r="85" spans="1:32" x14ac:dyDescent="0.25">
      <c r="A85" s="3039" t="s">
        <v>3964</v>
      </c>
      <c r="B85" s="3039"/>
      <c r="C85" s="3039"/>
      <c r="D85" s="3039"/>
      <c r="E85" s="3039"/>
      <c r="F85" s="3039"/>
      <c r="G85" s="3039"/>
      <c r="H85" s="3039"/>
      <c r="I85" s="3039"/>
      <c r="J85" s="3039"/>
      <c r="K85" s="3039"/>
      <c r="L85" s="3039"/>
      <c r="M85" s="3039"/>
      <c r="N85" s="3039"/>
      <c r="O85" s="3039"/>
      <c r="P85" s="3039"/>
      <c r="Q85" s="3039"/>
      <c r="R85" s="3039"/>
      <c r="S85" s="3040" t="s">
        <v>3965</v>
      </c>
      <c r="T85" s="3040"/>
      <c r="U85" s="3040"/>
      <c r="V85" s="3040"/>
      <c r="W85" s="3040"/>
      <c r="X85" s="3040"/>
      <c r="Y85" s="3040"/>
      <c r="Z85" s="3040"/>
      <c r="AA85" s="3040"/>
      <c r="AB85" s="3040"/>
      <c r="AC85" s="3040"/>
      <c r="AD85" s="3040"/>
      <c r="AE85" s="3040"/>
      <c r="AF85" s="7"/>
    </row>
    <row r="86" spans="1:32" x14ac:dyDescent="0.25">
      <c r="A86" s="3039" t="s">
        <v>3966</v>
      </c>
      <c r="B86" s="3039"/>
      <c r="C86" s="3039"/>
      <c r="D86" s="3039"/>
      <c r="E86" s="3039"/>
      <c r="F86" s="3039"/>
      <c r="G86" s="3039"/>
      <c r="H86" s="3039"/>
      <c r="I86" s="3039"/>
      <c r="J86" s="3039"/>
      <c r="K86" s="3039"/>
      <c r="L86" s="3039"/>
      <c r="M86" s="3039"/>
      <c r="N86" s="3039"/>
      <c r="O86" s="3039"/>
      <c r="P86" s="3039"/>
      <c r="Q86" s="3039"/>
      <c r="R86" s="3039"/>
      <c r="S86" s="3040" t="s">
        <v>3967</v>
      </c>
      <c r="T86" s="3040"/>
      <c r="U86" s="3040"/>
      <c r="V86" s="3040"/>
      <c r="W86" s="3040"/>
      <c r="X86" s="3040"/>
      <c r="Y86" s="3040"/>
      <c r="Z86" s="3040"/>
      <c r="AA86" s="3040"/>
      <c r="AB86" s="3040"/>
      <c r="AC86" s="3040"/>
      <c r="AD86" s="3040"/>
      <c r="AE86" s="3040"/>
      <c r="AF86" s="7"/>
    </row>
    <row r="87" spans="1:32" ht="61.5" customHeight="1" x14ac:dyDescent="0.25">
      <c r="A87" s="3039" t="s">
        <v>3968</v>
      </c>
      <c r="B87" s="3039"/>
      <c r="C87" s="3039"/>
      <c r="D87" s="3039"/>
      <c r="E87" s="3039"/>
      <c r="F87" s="3039"/>
      <c r="G87" s="3039"/>
      <c r="H87" s="3039"/>
      <c r="I87" s="3039"/>
      <c r="J87" s="3039"/>
      <c r="K87" s="3039"/>
      <c r="L87" s="3039"/>
      <c r="M87" s="3039"/>
      <c r="N87" s="3039"/>
      <c r="O87" s="3039"/>
      <c r="P87" s="3039"/>
      <c r="Q87" s="3039"/>
      <c r="R87" s="3039"/>
      <c r="S87" s="3040" t="s">
        <v>3969</v>
      </c>
      <c r="T87" s="3040"/>
      <c r="U87" s="3040"/>
      <c r="V87" s="3040"/>
      <c r="W87" s="3040"/>
      <c r="X87" s="3040"/>
      <c r="Y87" s="3040"/>
      <c r="Z87" s="3040"/>
      <c r="AA87" s="3040"/>
      <c r="AB87" s="3040"/>
      <c r="AC87" s="3040"/>
      <c r="AD87" s="3040"/>
      <c r="AE87" s="3040"/>
      <c r="AF87" s="7"/>
    </row>
    <row r="88" spans="1:32" ht="41.25" customHeight="1" x14ac:dyDescent="0.25">
      <c r="A88" s="1290" t="s">
        <v>5255</v>
      </c>
      <c r="B88" s="1290"/>
      <c r="C88" s="1290"/>
      <c r="D88" s="1290"/>
      <c r="E88" s="1290"/>
      <c r="F88" s="1290"/>
      <c r="G88" s="1290"/>
      <c r="H88" s="1290"/>
      <c r="I88" s="1290"/>
      <c r="J88" s="1290"/>
      <c r="K88" s="1290"/>
      <c r="L88" s="1290"/>
      <c r="M88" s="1290"/>
      <c r="N88" s="1290"/>
      <c r="O88" s="1290"/>
      <c r="P88" s="1290"/>
      <c r="Q88" s="1290"/>
      <c r="R88" s="1290"/>
      <c r="S88" s="1290"/>
      <c r="T88" s="1290"/>
      <c r="U88" s="1290"/>
      <c r="V88" s="1290"/>
      <c r="W88" s="1290"/>
      <c r="X88" s="1290"/>
      <c r="Y88" s="1290"/>
      <c r="Z88" s="1290"/>
      <c r="AA88" s="1290"/>
      <c r="AB88" s="1290"/>
      <c r="AC88" s="1290"/>
      <c r="AD88" s="1290"/>
      <c r="AE88" s="1290"/>
      <c r="AF88" s="7"/>
    </row>
    <row r="89" spans="1:32" x14ac:dyDescent="0.25">
      <c r="A89" s="654"/>
      <c r="B89" s="654"/>
      <c r="C89" s="654"/>
      <c r="D89" s="654"/>
      <c r="E89" s="654"/>
      <c r="F89" s="654"/>
      <c r="G89" s="654"/>
      <c r="H89" s="654"/>
      <c r="I89" s="654"/>
      <c r="J89" s="654"/>
      <c r="K89" s="654"/>
      <c r="L89" s="654"/>
      <c r="M89" s="654"/>
      <c r="N89" s="654"/>
      <c r="O89" s="654"/>
      <c r="P89" s="654"/>
      <c r="Q89" s="654"/>
      <c r="R89" s="654"/>
      <c r="S89" s="654"/>
      <c r="T89" s="654"/>
      <c r="U89" s="654"/>
      <c r="V89" s="654"/>
      <c r="W89" s="654"/>
      <c r="X89" s="654"/>
      <c r="Y89" s="654"/>
      <c r="Z89" s="654"/>
      <c r="AA89" s="654"/>
      <c r="AB89" s="654"/>
      <c r="AC89" s="654"/>
      <c r="AD89" s="654"/>
      <c r="AE89" s="654"/>
      <c r="AF89" s="7"/>
    </row>
    <row r="90" spans="1:32" x14ac:dyDescent="0.25">
      <c r="A90" s="732" t="s">
        <v>5256</v>
      </c>
    </row>
    <row r="91" spans="1:32" ht="33" customHeight="1" x14ac:dyDescent="0.25">
      <c r="A91" s="2874" t="s">
        <v>54</v>
      </c>
      <c r="B91" s="2874"/>
      <c r="C91" s="2874"/>
      <c r="D91" s="2874"/>
      <c r="E91" s="2874" t="s">
        <v>5257</v>
      </c>
      <c r="F91" s="2874"/>
      <c r="G91" s="2874"/>
      <c r="H91" s="2874"/>
      <c r="I91" s="2874" t="s">
        <v>5225</v>
      </c>
      <c r="J91" s="2874"/>
      <c r="K91" s="2874"/>
      <c r="L91" s="2874"/>
      <c r="M91" s="2874" t="s">
        <v>5258</v>
      </c>
      <c r="N91" s="2874"/>
      <c r="O91" s="2874"/>
      <c r="P91" s="2874"/>
      <c r="Q91" s="2874" t="s">
        <v>5259</v>
      </c>
      <c r="R91" s="2874"/>
      <c r="S91" s="2874"/>
      <c r="T91" s="2874"/>
      <c r="U91" s="2874" t="s">
        <v>5260</v>
      </c>
      <c r="V91" s="2874"/>
      <c r="W91" s="2874"/>
      <c r="X91" s="2874"/>
      <c r="Y91" s="2874" t="s">
        <v>257</v>
      </c>
      <c r="Z91" s="2874"/>
      <c r="AA91" s="2874"/>
      <c r="AB91" s="2874"/>
      <c r="AC91" s="2874" t="s">
        <v>29</v>
      </c>
      <c r="AD91" s="2874"/>
      <c r="AE91" s="2874"/>
      <c r="AF91" s="2874"/>
    </row>
    <row r="92" spans="1:32" x14ac:dyDescent="0.25">
      <c r="A92" s="2865" t="s">
        <v>55</v>
      </c>
      <c r="B92" s="2865"/>
      <c r="C92" s="2865"/>
      <c r="D92" s="2865"/>
      <c r="E92" s="2865">
        <v>48</v>
      </c>
      <c r="F92" s="2865"/>
      <c r="G92" s="2865"/>
      <c r="H92" s="2865"/>
      <c r="I92" s="2865" t="s">
        <v>5261</v>
      </c>
      <c r="J92" s="2865"/>
      <c r="K92" s="2865"/>
      <c r="L92" s="2865"/>
      <c r="M92" s="2865">
        <v>0.84240000000000004</v>
      </c>
      <c r="N92" s="2865"/>
      <c r="O92" s="2865"/>
      <c r="P92" s="2865"/>
      <c r="Q92" s="3054">
        <v>2.0699999999999998</v>
      </c>
      <c r="R92" s="3054"/>
      <c r="S92" s="3054"/>
      <c r="T92" s="3054"/>
      <c r="U92" s="3055">
        <v>2690</v>
      </c>
      <c r="V92" s="3055"/>
      <c r="W92" s="3055"/>
      <c r="X92" s="3055"/>
      <c r="Y92" s="3055">
        <f>'EFLH &amp; CF'!I80</f>
        <v>2632</v>
      </c>
      <c r="Z92" s="3055"/>
      <c r="AA92" s="3055"/>
      <c r="AB92" s="3055"/>
      <c r="AC92" s="3054">
        <f>'EFLH &amp; CF'!M80</f>
        <v>0.3</v>
      </c>
      <c r="AD92" s="3054"/>
      <c r="AE92" s="3054"/>
      <c r="AF92" s="3054"/>
    </row>
    <row r="93" spans="1:32" x14ac:dyDescent="0.25">
      <c r="A93" s="2865" t="s">
        <v>223</v>
      </c>
      <c r="B93" s="2865"/>
      <c r="C93" s="2865"/>
      <c r="D93" s="2865"/>
      <c r="E93" s="2865">
        <v>50</v>
      </c>
      <c r="F93" s="2865"/>
      <c r="G93" s="2865"/>
      <c r="H93" s="2865"/>
      <c r="I93" s="2865" t="s">
        <v>5262</v>
      </c>
      <c r="J93" s="2865"/>
      <c r="K93" s="2865"/>
      <c r="L93" s="2865"/>
      <c r="M93" s="2865">
        <v>0.91039999999999999</v>
      </c>
      <c r="N93" s="2865"/>
      <c r="O93" s="2865"/>
      <c r="P93" s="2865"/>
      <c r="Q93" s="3054">
        <v>10.6</v>
      </c>
      <c r="R93" s="3054"/>
      <c r="S93" s="3054"/>
      <c r="T93" s="3054"/>
      <c r="U93" s="3055">
        <v>1980</v>
      </c>
      <c r="V93" s="3055"/>
      <c r="W93" s="3055"/>
      <c r="X93" s="3055"/>
      <c r="Y93" s="3055">
        <f>'EFLH &amp; CF'!I76</f>
        <v>4406</v>
      </c>
      <c r="Z93" s="3055"/>
      <c r="AA93" s="3055"/>
      <c r="AB93" s="3055"/>
      <c r="AC93" s="3054">
        <f>'EFLH &amp; CF'!M76</f>
        <v>0.6</v>
      </c>
      <c r="AD93" s="3054"/>
      <c r="AE93" s="3054"/>
      <c r="AF93" s="3054"/>
    </row>
    <row r="94" spans="1:32" x14ac:dyDescent="0.25">
      <c r="A94" s="2865" t="s">
        <v>227</v>
      </c>
      <c r="B94" s="2865"/>
      <c r="C94" s="2865"/>
      <c r="D94" s="2865"/>
      <c r="E94" s="2865">
        <v>65</v>
      </c>
      <c r="F94" s="2865"/>
      <c r="G94" s="2865"/>
      <c r="H94" s="2865"/>
      <c r="I94" s="2865" t="s">
        <v>5263</v>
      </c>
      <c r="J94" s="2865"/>
      <c r="K94" s="2865"/>
      <c r="L94" s="2865"/>
      <c r="M94" s="2865">
        <v>2.1703000000000001</v>
      </c>
      <c r="N94" s="2865"/>
      <c r="O94" s="2865"/>
      <c r="P94" s="2865"/>
      <c r="Q94" s="3054">
        <v>74.91</v>
      </c>
      <c r="R94" s="3054"/>
      <c r="S94" s="3054"/>
      <c r="T94" s="3054"/>
      <c r="U94" s="3055">
        <v>2060</v>
      </c>
      <c r="V94" s="3055"/>
      <c r="W94" s="3055"/>
      <c r="X94" s="3055"/>
      <c r="Y94" s="3055">
        <f>'EFLH &amp; CF'!I81</f>
        <v>3947</v>
      </c>
      <c r="Z94" s="3055"/>
      <c r="AA94" s="3055"/>
      <c r="AB94" s="3055"/>
      <c r="AC94" s="3054">
        <f>'EFLH &amp; CF'!M81</f>
        <v>0.74</v>
      </c>
      <c r="AD94" s="3054"/>
      <c r="AE94" s="3054"/>
      <c r="AF94" s="3054"/>
    </row>
    <row r="96" spans="1:32" x14ac:dyDescent="0.25">
      <c r="M96" s="466"/>
      <c r="N96" s="466"/>
      <c r="O96" s="466"/>
      <c r="P96" s="466"/>
      <c r="Q96" s="466"/>
      <c r="R96" s="466"/>
      <c r="S96" s="466"/>
      <c r="T96" s="466"/>
      <c r="U96" s="466"/>
      <c r="V96" s="466"/>
      <c r="W96" s="466"/>
      <c r="X96" s="466"/>
    </row>
    <row r="97" spans="1:32" x14ac:dyDescent="0.25">
      <c r="A97" s="1472" t="s">
        <v>21</v>
      </c>
      <c r="B97" s="1472"/>
      <c r="C97" s="1472"/>
      <c r="D97" s="1472"/>
      <c r="E97" s="1472"/>
      <c r="F97" s="1472"/>
      <c r="G97" s="1472"/>
      <c r="H97" s="1472"/>
      <c r="I97" s="1472"/>
      <c r="J97" s="1472"/>
      <c r="K97" s="1472"/>
      <c r="L97" s="1472"/>
      <c r="M97" s="1472"/>
      <c r="N97" s="1472"/>
      <c r="O97" s="1472"/>
      <c r="P97" s="1472"/>
      <c r="Q97" s="1472"/>
      <c r="R97" s="1472"/>
      <c r="S97" s="1472"/>
      <c r="T97" s="1472"/>
      <c r="U97" s="1472"/>
      <c r="V97" s="1472"/>
      <c r="W97" s="1472"/>
      <c r="X97" s="1472"/>
      <c r="Y97" s="1472"/>
      <c r="Z97" s="1472"/>
      <c r="AA97" s="1472"/>
      <c r="AB97" s="1472"/>
      <c r="AC97" s="1472"/>
      <c r="AD97" s="1472"/>
      <c r="AE97" s="1472"/>
      <c r="AF97" s="1472"/>
    </row>
    <row r="99" spans="1:32" x14ac:dyDescent="0.25">
      <c r="B99" s="380" t="s">
        <v>1736</v>
      </c>
      <c r="S99" s="1"/>
    </row>
    <row r="100" spans="1:32" ht="16.5" thickBot="1" x14ac:dyDescent="0.3">
      <c r="A100" s="21"/>
      <c r="B100" s="21"/>
      <c r="C100" s="21"/>
      <c r="D100" s="21"/>
      <c r="E100" s="21"/>
      <c r="F100" s="21"/>
      <c r="G100" s="21"/>
      <c r="H100" s="21"/>
      <c r="I100" s="21"/>
    </row>
    <row r="101" spans="1:32" ht="30.75" customHeight="1" x14ac:dyDescent="0.25">
      <c r="A101" s="1583" t="s">
        <v>22</v>
      </c>
      <c r="B101" s="1584"/>
      <c r="C101" s="1584"/>
      <c r="D101" s="1584"/>
      <c r="E101" s="1584"/>
      <c r="F101" s="1584"/>
      <c r="G101" s="1584"/>
      <c r="H101" s="1584"/>
      <c r="I101" s="1609" t="s">
        <v>2922</v>
      </c>
      <c r="J101" s="1584"/>
      <c r="K101" s="1584"/>
      <c r="L101" s="1584"/>
      <c r="M101" s="1584"/>
      <c r="N101" s="1584"/>
      <c r="O101" s="1584"/>
      <c r="P101" s="1584"/>
      <c r="Q101" s="1609" t="s">
        <v>2918</v>
      </c>
      <c r="R101" s="1584"/>
      <c r="S101" s="1584"/>
      <c r="T101" s="1584"/>
      <c r="U101" s="1584"/>
      <c r="V101" s="1584"/>
      <c r="W101" s="1584"/>
      <c r="X101" s="1584"/>
      <c r="Y101" s="1609" t="s">
        <v>1786</v>
      </c>
      <c r="Z101" s="1584"/>
      <c r="AA101" s="1584"/>
      <c r="AB101" s="1584"/>
      <c r="AC101" s="1584"/>
      <c r="AD101" s="1584"/>
      <c r="AE101" s="1584"/>
      <c r="AF101" s="1585"/>
    </row>
    <row r="102" spans="1:32" x14ac:dyDescent="0.25">
      <c r="A102" s="2780" t="s">
        <v>55</v>
      </c>
      <c r="B102" s="2781"/>
      <c r="C102" s="2781"/>
      <c r="D102" s="2781"/>
      <c r="E102" s="2781"/>
      <c r="F102" s="2781"/>
      <c r="G102" s="2781"/>
      <c r="H102" s="2782"/>
      <c r="I102" s="3057">
        <f>ROUND(Q102*AC92/Y92,3)</f>
        <v>6.9000000000000006E-2</v>
      </c>
      <c r="J102" s="3058"/>
      <c r="K102" s="3058"/>
      <c r="L102" s="3058"/>
      <c r="M102" s="3058"/>
      <c r="N102" s="3058"/>
      <c r="O102" s="3058"/>
      <c r="P102" s="3059"/>
      <c r="Q102" s="3060">
        <f>ROUND(((1/M92)-(1/$P$49))*Q92*U92*$P$53*$P$54*($P$55-$P$56)/3412,2)</f>
        <v>607.66999999999996</v>
      </c>
      <c r="R102" s="3061"/>
      <c r="S102" s="3061"/>
      <c r="T102" s="3061"/>
      <c r="U102" s="3061"/>
      <c r="V102" s="3061"/>
      <c r="W102" s="3061"/>
      <c r="X102" s="3062"/>
      <c r="Y102" s="3063">
        <f>ROUND(Q102*$P$59,2)</f>
        <v>6076.7</v>
      </c>
      <c r="Z102" s="3063"/>
      <c r="AA102" s="3063"/>
      <c r="AB102" s="3063"/>
      <c r="AC102" s="3063"/>
      <c r="AD102" s="3063"/>
      <c r="AE102" s="3063"/>
      <c r="AF102" s="3064"/>
    </row>
    <row r="103" spans="1:32" x14ac:dyDescent="0.25">
      <c r="A103" s="3056" t="s">
        <v>223</v>
      </c>
      <c r="B103" s="1346"/>
      <c r="C103" s="1346"/>
      <c r="D103" s="1346"/>
      <c r="E103" s="1346"/>
      <c r="F103" s="1346"/>
      <c r="G103" s="1346"/>
      <c r="H103" s="1347"/>
      <c r="I103" s="3057">
        <f>ROUND(Q103*AC93/Y93,3)</f>
        <v>0.28100000000000003</v>
      </c>
      <c r="J103" s="3058"/>
      <c r="K103" s="3058"/>
      <c r="L103" s="3058"/>
      <c r="M103" s="3058"/>
      <c r="N103" s="3058"/>
      <c r="O103" s="3058"/>
      <c r="P103" s="3059"/>
      <c r="Q103" s="3060">
        <f>ROUND(((1/M93)-(1/$P$49))*Q93*U93*$P$53*$P$54*($P$55-$P$56)/3412,2)</f>
        <v>2064.0700000000002</v>
      </c>
      <c r="R103" s="3061"/>
      <c r="S103" s="3061"/>
      <c r="T103" s="3061"/>
      <c r="U103" s="3061"/>
      <c r="V103" s="3061"/>
      <c r="W103" s="3061"/>
      <c r="X103" s="3062"/>
      <c r="Y103" s="3063">
        <f>ROUND(Q103*$P$59,2)</f>
        <v>20640.7</v>
      </c>
      <c r="Z103" s="3063"/>
      <c r="AA103" s="3063"/>
      <c r="AB103" s="3063"/>
      <c r="AC103" s="3063"/>
      <c r="AD103" s="3063"/>
      <c r="AE103" s="3063"/>
      <c r="AF103" s="3064"/>
    </row>
    <row r="104" spans="1:32" ht="15.75" thickBot="1" x14ac:dyDescent="0.3">
      <c r="A104" s="1738" t="s">
        <v>227</v>
      </c>
      <c r="B104" s="1739"/>
      <c r="C104" s="1739"/>
      <c r="D104" s="1739"/>
      <c r="E104" s="1739"/>
      <c r="F104" s="1739"/>
      <c r="G104" s="1739"/>
      <c r="H104" s="1739"/>
      <c r="I104" s="3065">
        <f>ROUND(Q104*AC94/Y94,3)</f>
        <v>0.60099999999999998</v>
      </c>
      <c r="J104" s="3066"/>
      <c r="K104" s="3066"/>
      <c r="L104" s="3066"/>
      <c r="M104" s="3066"/>
      <c r="N104" s="3066"/>
      <c r="O104" s="3066"/>
      <c r="P104" s="3067"/>
      <c r="Q104" s="3068">
        <f>ROUND(((1/M94)-(1/$P$50))*Q94*U94*$P$53*$P$54*($P$55-$P$56)/3412,2)</f>
        <v>3207.86</v>
      </c>
      <c r="R104" s="3069"/>
      <c r="S104" s="3069"/>
      <c r="T104" s="3069"/>
      <c r="U104" s="3069"/>
      <c r="V104" s="3069"/>
      <c r="W104" s="3069"/>
      <c r="X104" s="3070"/>
      <c r="Y104" s="3071">
        <f>ROUND(Q104*$P$59,2)</f>
        <v>32078.6</v>
      </c>
      <c r="Z104" s="3071"/>
      <c r="AA104" s="3071"/>
      <c r="AB104" s="3071"/>
      <c r="AC104" s="3071"/>
      <c r="AD104" s="3071"/>
      <c r="AE104" s="3071"/>
      <c r="AF104" s="3072"/>
    </row>
    <row r="106" spans="1:32" x14ac:dyDescent="0.25">
      <c r="B106" s="380" t="s">
        <v>1737</v>
      </c>
    </row>
    <row r="107" spans="1:32" x14ac:dyDescent="0.25">
      <c r="B107" s="380"/>
    </row>
    <row r="108" spans="1:32" x14ac:dyDescent="0.25">
      <c r="B108" s="380"/>
      <c r="C108" t="s">
        <v>5264</v>
      </c>
      <c r="P108" t="s">
        <v>5265</v>
      </c>
    </row>
    <row r="109" spans="1:32" x14ac:dyDescent="0.25">
      <c r="B109" s="380"/>
      <c r="F109" s="1607" t="s">
        <v>55</v>
      </c>
      <c r="G109" s="1607"/>
      <c r="H109" s="1607"/>
      <c r="I109" s="1607"/>
      <c r="J109" s="1607"/>
      <c r="U109" s="3031">
        <v>2690</v>
      </c>
      <c r="V109" s="3032"/>
      <c r="W109" s="3033"/>
    </row>
    <row r="110" spans="1:32" x14ac:dyDescent="0.25">
      <c r="B110" s="380"/>
    </row>
    <row r="111" spans="1:32" x14ac:dyDescent="0.25">
      <c r="C111" t="s">
        <v>5266</v>
      </c>
      <c r="P111" t="s">
        <v>5267</v>
      </c>
    </row>
    <row r="112" spans="1:32" x14ac:dyDescent="0.25">
      <c r="F112" s="2721">
        <v>0.84240000000000004</v>
      </c>
      <c r="G112" s="2722"/>
      <c r="H112" s="2723"/>
      <c r="U112" s="2721">
        <v>3.45</v>
      </c>
      <c r="V112" s="2722"/>
      <c r="W112" s="2723"/>
    </row>
    <row r="113" spans="1:32" x14ac:dyDescent="0.25">
      <c r="F113" s="385"/>
      <c r="G113" s="385"/>
      <c r="H113" s="385"/>
      <c r="U113" s="385"/>
      <c r="V113" s="385"/>
      <c r="W113" s="385"/>
    </row>
    <row r="114" spans="1:32" ht="18" x14ac:dyDescent="0.35">
      <c r="C114" t="s">
        <v>5268</v>
      </c>
      <c r="G114" s="3079">
        <f>VLOOKUP(F109,A92:AF94,17,FALSE)</f>
        <v>2.0699999999999998</v>
      </c>
      <c r="H114" s="3080"/>
      <c r="I114" s="3081"/>
      <c r="K114" t="s">
        <v>5269</v>
      </c>
      <c r="N114" s="1448">
        <f>VLOOKUP(F109,A92:AF94,25,FALSE)</f>
        <v>2632</v>
      </c>
      <c r="O114" s="2832"/>
      <c r="P114" s="2833"/>
      <c r="Q114" s="227"/>
      <c r="R114" s="227" t="s">
        <v>1741</v>
      </c>
      <c r="S114" s="227"/>
      <c r="T114" s="227"/>
      <c r="U114" s="2745">
        <f>VLOOKUP(F109,A92:AF94,29,FALSE)</f>
        <v>0.3</v>
      </c>
      <c r="V114" s="1449"/>
      <c r="W114" s="1450"/>
    </row>
    <row r="115" spans="1:32" x14ac:dyDescent="0.25">
      <c r="F115" s="385"/>
      <c r="G115" s="385"/>
      <c r="H115" s="385"/>
      <c r="U115" s="385"/>
      <c r="V115" s="385"/>
      <c r="W115" s="385"/>
    </row>
    <row r="116" spans="1:32" ht="15.75" thickBot="1" x14ac:dyDescent="0.3"/>
    <row r="117" spans="1:32" ht="30.75" customHeight="1" x14ac:dyDescent="0.25">
      <c r="A117" s="1583" t="s">
        <v>22</v>
      </c>
      <c r="B117" s="1584"/>
      <c r="C117" s="1584"/>
      <c r="D117" s="1584"/>
      <c r="E117" s="1584"/>
      <c r="F117" s="1584"/>
      <c r="G117" s="1584"/>
      <c r="H117" s="1584"/>
      <c r="I117" s="1609" t="s">
        <v>2922</v>
      </c>
      <c r="J117" s="1584"/>
      <c r="K117" s="1584"/>
      <c r="L117" s="1584"/>
      <c r="M117" s="1584"/>
      <c r="N117" s="1584"/>
      <c r="O117" s="1584"/>
      <c r="P117" s="1584"/>
      <c r="Q117" s="1609" t="s">
        <v>2918</v>
      </c>
      <c r="R117" s="1584"/>
      <c r="S117" s="1584"/>
      <c r="T117" s="1584"/>
      <c r="U117" s="1584"/>
      <c r="V117" s="1584"/>
      <c r="W117" s="1584"/>
      <c r="X117" s="1584"/>
      <c r="Y117" s="1609" t="s">
        <v>1786</v>
      </c>
      <c r="Z117" s="1584"/>
      <c r="AA117" s="1584"/>
      <c r="AB117" s="1584"/>
      <c r="AC117" s="1584"/>
      <c r="AD117" s="1584"/>
      <c r="AE117" s="1584"/>
      <c r="AF117" s="1585"/>
    </row>
    <row r="118" spans="1:32" ht="15.75" thickBot="1" x14ac:dyDescent="0.3">
      <c r="A118" s="2949" t="str">
        <f>F109</f>
        <v>Office</v>
      </c>
      <c r="B118" s="2734"/>
      <c r="C118" s="2734"/>
      <c r="D118" s="2734"/>
      <c r="E118" s="2734"/>
      <c r="F118" s="2734"/>
      <c r="G118" s="2734"/>
      <c r="H118" s="2734"/>
      <c r="I118" s="3073">
        <f>ROUND(Q118*$U$114/$N$114,3)</f>
        <v>6.9000000000000006E-2</v>
      </c>
      <c r="J118" s="3074"/>
      <c r="K118" s="3074"/>
      <c r="L118" s="3074"/>
      <c r="M118" s="3074"/>
      <c r="N118" s="3074"/>
      <c r="O118" s="3074"/>
      <c r="P118" s="3075"/>
      <c r="Q118" s="3076">
        <f>ROUND(((1/$F$112)-(1/$U$112))*$G$114*$U$109*$P$53*$P$54*($P$55-$P$56)/3412,2)</f>
        <v>607.66999999999996</v>
      </c>
      <c r="R118" s="3077"/>
      <c r="S118" s="3077"/>
      <c r="T118" s="3077"/>
      <c r="U118" s="3077"/>
      <c r="V118" s="3077"/>
      <c r="W118" s="3077"/>
      <c r="X118" s="3078"/>
      <c r="Y118" s="2739">
        <f>ROUND(Q118*$P$59,2)</f>
        <v>6076.7</v>
      </c>
      <c r="Z118" s="2739"/>
      <c r="AA118" s="2739"/>
      <c r="AB118" s="2739"/>
      <c r="AC118" s="2739"/>
      <c r="AD118" s="2739"/>
      <c r="AE118" s="2739"/>
      <c r="AF118" s="2740"/>
    </row>
    <row r="119" spans="1:32" x14ac:dyDescent="0.25">
      <c r="B119" s="416" t="s">
        <v>2386</v>
      </c>
    </row>
    <row r="120" spans="1:32" x14ac:dyDescent="0.25">
      <c r="B120" s="416"/>
    </row>
    <row r="121" spans="1:32" x14ac:dyDescent="0.25">
      <c r="A121" s="1472" t="s">
        <v>1753</v>
      </c>
      <c r="B121" s="1472"/>
      <c r="C121" s="1472"/>
      <c r="D121" s="1472"/>
      <c r="E121" s="1472"/>
      <c r="F121" s="1472"/>
      <c r="G121" s="1472"/>
      <c r="H121" s="1472"/>
      <c r="I121" s="1472"/>
      <c r="J121" s="1472"/>
      <c r="K121" s="1472"/>
      <c r="L121" s="1472"/>
      <c r="M121" s="1472"/>
      <c r="N121" s="1472"/>
      <c r="O121" s="1472"/>
      <c r="P121" s="1472"/>
      <c r="Q121" s="1472"/>
      <c r="R121" s="1472"/>
      <c r="S121" s="1472"/>
      <c r="T121" s="1472"/>
      <c r="U121" s="1472"/>
      <c r="V121" s="1472"/>
      <c r="W121" s="1472"/>
      <c r="X121" s="1472"/>
      <c r="Y121" s="1472"/>
      <c r="Z121" s="1472"/>
      <c r="AA121" s="1472"/>
      <c r="AB121" s="1472"/>
      <c r="AC121" s="1472"/>
      <c r="AD121" s="1472"/>
      <c r="AE121" s="1472"/>
      <c r="AF121" s="1472"/>
    </row>
    <row r="123" spans="1:32" x14ac:dyDescent="0.25">
      <c r="A123" s="515" t="s">
        <v>1013</v>
      </c>
      <c r="B123" s="1247" t="s">
        <v>5270</v>
      </c>
      <c r="C123" s="1247"/>
      <c r="D123" s="1247"/>
      <c r="E123" s="1247"/>
      <c r="F123" s="1247"/>
      <c r="G123" s="1247"/>
      <c r="H123" s="1247"/>
      <c r="I123" s="1247"/>
      <c r="J123" s="1247"/>
      <c r="K123" s="1247"/>
      <c r="L123" s="1247"/>
      <c r="M123" s="1247"/>
      <c r="N123" s="1247"/>
      <c r="O123" s="1247"/>
      <c r="P123" s="1247"/>
      <c r="Q123" s="1247"/>
      <c r="R123" s="1247"/>
      <c r="S123" s="1247"/>
      <c r="T123" s="1247"/>
      <c r="U123" s="1247"/>
      <c r="V123" s="1247"/>
      <c r="W123" s="1247"/>
      <c r="X123" s="1247"/>
      <c r="Y123" s="1247"/>
      <c r="Z123" s="1247"/>
      <c r="AA123" s="1247"/>
      <c r="AB123" s="1247"/>
      <c r="AC123" s="1247"/>
      <c r="AD123" s="1247"/>
      <c r="AE123" s="1247"/>
      <c r="AF123" s="1247"/>
    </row>
    <row r="124" spans="1:32" ht="90.75" customHeight="1" x14ac:dyDescent="0.25">
      <c r="A124" s="515" t="s">
        <v>1013</v>
      </c>
      <c r="B124" s="1173" t="s">
        <v>5271</v>
      </c>
      <c r="C124" s="1173"/>
      <c r="D124" s="1173"/>
      <c r="E124" s="1173"/>
      <c r="F124" s="1173"/>
      <c r="G124" s="1173"/>
      <c r="H124" s="1173"/>
      <c r="I124" s="1173"/>
      <c r="J124" s="1173"/>
      <c r="K124" s="1173"/>
      <c r="L124" s="1173"/>
      <c r="M124" s="1173"/>
      <c r="N124" s="1173"/>
      <c r="O124" s="1173"/>
      <c r="P124" s="1173"/>
      <c r="Q124" s="1173"/>
      <c r="R124" s="1173"/>
      <c r="S124" s="1173"/>
      <c r="T124" s="1173"/>
      <c r="U124" s="1173"/>
      <c r="V124" s="1173"/>
      <c r="W124" s="1173"/>
      <c r="X124" s="1173"/>
      <c r="Y124" s="1173"/>
      <c r="Z124" s="1173"/>
      <c r="AA124" s="1173"/>
      <c r="AB124" s="1173"/>
      <c r="AC124" s="1173"/>
      <c r="AD124" s="1173"/>
      <c r="AE124" s="1173"/>
      <c r="AF124" s="1173"/>
    </row>
    <row r="125" spans="1:32" ht="50.25" customHeight="1" x14ac:dyDescent="0.25">
      <c r="A125" s="515" t="s">
        <v>1013</v>
      </c>
      <c r="B125" s="1247" t="s">
        <v>5272</v>
      </c>
      <c r="C125" s="1247"/>
      <c r="D125" s="1247"/>
      <c r="E125" s="1247"/>
      <c r="F125" s="1247"/>
      <c r="G125" s="1247"/>
      <c r="H125" s="1247"/>
      <c r="I125" s="1247"/>
      <c r="J125" s="1247"/>
      <c r="K125" s="1247"/>
      <c r="L125" s="1247"/>
      <c r="M125" s="1247"/>
      <c r="N125" s="1247"/>
      <c r="O125" s="1247"/>
      <c r="P125" s="1247"/>
      <c r="Q125" s="1247"/>
      <c r="R125" s="1247"/>
      <c r="S125" s="1247"/>
      <c r="T125" s="1247"/>
      <c r="U125" s="1247"/>
      <c r="V125" s="1247"/>
      <c r="W125" s="1247"/>
      <c r="X125" s="1247"/>
      <c r="Y125" s="1247"/>
      <c r="Z125" s="1247"/>
      <c r="AA125" s="1247"/>
      <c r="AB125" s="1247"/>
      <c r="AC125" s="1247"/>
      <c r="AD125" s="1247"/>
      <c r="AE125" s="1247"/>
      <c r="AF125" s="1247"/>
    </row>
    <row r="126" spans="1:32" ht="49.5" customHeight="1" x14ac:dyDescent="0.25">
      <c r="A126" s="515" t="s">
        <v>1013</v>
      </c>
      <c r="B126" s="1173" t="s">
        <v>2406</v>
      </c>
      <c r="C126" s="1173"/>
      <c r="D126" s="1173"/>
      <c r="E126" s="1173"/>
      <c r="F126" s="1173"/>
      <c r="G126" s="1173"/>
      <c r="H126" s="1173"/>
      <c r="I126" s="1173"/>
      <c r="J126" s="1173"/>
      <c r="K126" s="1173"/>
      <c r="L126" s="1173"/>
      <c r="M126" s="1173"/>
      <c r="N126" s="1173"/>
      <c r="O126" s="1173"/>
      <c r="P126" s="1173"/>
      <c r="Q126" s="1173"/>
      <c r="R126" s="1173"/>
      <c r="S126" s="1173"/>
      <c r="T126" s="1173"/>
      <c r="U126" s="1173"/>
      <c r="V126" s="1173"/>
      <c r="W126" s="1173"/>
      <c r="X126" s="1173"/>
      <c r="Y126" s="1173"/>
      <c r="Z126" s="1173"/>
      <c r="AA126" s="1173"/>
      <c r="AB126" s="1173"/>
      <c r="AC126" s="1173"/>
      <c r="AD126" s="1173"/>
      <c r="AE126" s="1173"/>
      <c r="AF126" s="1173"/>
    </row>
    <row r="127" spans="1:32" x14ac:dyDescent="0.25">
      <c r="A127" s="515" t="s">
        <v>1013</v>
      </c>
      <c r="B127" s="1247" t="s">
        <v>5273</v>
      </c>
      <c r="C127" s="1247"/>
      <c r="D127" s="1247"/>
      <c r="E127" s="1247"/>
      <c r="F127" s="1247"/>
      <c r="G127" s="1247"/>
      <c r="H127" s="1247"/>
      <c r="I127" s="1247"/>
      <c r="J127" s="1247"/>
      <c r="K127" s="1247"/>
      <c r="L127" s="1247"/>
      <c r="M127" s="1247"/>
      <c r="N127" s="1247"/>
      <c r="O127" s="1247"/>
      <c r="P127" s="1247"/>
      <c r="Q127" s="1247"/>
      <c r="R127" s="1247"/>
      <c r="S127" s="1247"/>
      <c r="T127" s="1247"/>
      <c r="U127" s="1247"/>
      <c r="V127" s="1247"/>
      <c r="W127" s="1247"/>
      <c r="X127" s="1247"/>
      <c r="Y127" s="1247"/>
      <c r="Z127" s="1247"/>
      <c r="AA127" s="1247"/>
      <c r="AB127" s="1247"/>
      <c r="AC127" s="1247"/>
      <c r="AD127" s="1247"/>
      <c r="AE127" s="1247"/>
      <c r="AF127" s="1247"/>
    </row>
    <row r="128" spans="1:32" ht="59.25" customHeight="1" x14ac:dyDescent="0.25">
      <c r="A128" s="515" t="s">
        <v>1013</v>
      </c>
      <c r="B128" s="1247" t="s">
        <v>5274</v>
      </c>
      <c r="C128" s="1247"/>
      <c r="D128" s="1247"/>
      <c r="E128" s="1247"/>
      <c r="F128" s="1247"/>
      <c r="G128" s="1247"/>
      <c r="H128" s="1247"/>
      <c r="I128" s="1247"/>
      <c r="J128" s="1247"/>
      <c r="K128" s="1247"/>
      <c r="L128" s="1247"/>
      <c r="M128" s="1247"/>
      <c r="N128" s="1247"/>
      <c r="O128" s="1247"/>
      <c r="P128" s="1247"/>
      <c r="Q128" s="1247"/>
      <c r="R128" s="1247"/>
      <c r="S128" s="1247"/>
      <c r="T128" s="1247"/>
      <c r="U128" s="1247"/>
      <c r="V128" s="1247"/>
      <c r="W128" s="1247"/>
      <c r="X128" s="1247"/>
      <c r="Y128" s="1247"/>
      <c r="Z128" s="1247"/>
      <c r="AA128" s="1247"/>
      <c r="AB128" s="1247"/>
      <c r="AC128" s="1247"/>
      <c r="AD128" s="1247"/>
      <c r="AE128" s="1247"/>
      <c r="AF128" s="1247"/>
    </row>
    <row r="129" spans="1:32" ht="35.25" customHeight="1" x14ac:dyDescent="0.25">
      <c r="A129" s="515" t="s">
        <v>1013</v>
      </c>
      <c r="B129" s="1247" t="s">
        <v>5275</v>
      </c>
      <c r="C129" s="1247"/>
      <c r="D129" s="1247"/>
      <c r="E129" s="1247"/>
      <c r="F129" s="1247"/>
      <c r="G129" s="1247"/>
      <c r="H129" s="1247"/>
      <c r="I129" s="1247"/>
      <c r="J129" s="1247"/>
      <c r="K129" s="1247"/>
      <c r="L129" s="1247"/>
      <c r="M129" s="1247"/>
      <c r="N129" s="1247"/>
      <c r="O129" s="1247"/>
      <c r="P129" s="1247"/>
      <c r="Q129" s="1247"/>
      <c r="R129" s="1247"/>
      <c r="S129" s="1247"/>
      <c r="T129" s="1247"/>
      <c r="U129" s="1247"/>
      <c r="V129" s="1247"/>
      <c r="W129" s="1247"/>
      <c r="X129" s="1247"/>
      <c r="Y129" s="1247"/>
      <c r="Z129" s="1247"/>
      <c r="AA129" s="1247"/>
      <c r="AB129" s="1247"/>
      <c r="AC129" s="1247"/>
      <c r="AD129" s="1247"/>
      <c r="AE129" s="1247"/>
      <c r="AF129" s="1247"/>
    </row>
    <row r="130" spans="1:32" ht="34.5" customHeight="1" x14ac:dyDescent="0.25">
      <c r="A130" s="515" t="s">
        <v>1013</v>
      </c>
      <c r="B130" s="1247" t="s">
        <v>5276</v>
      </c>
      <c r="C130" s="1247"/>
      <c r="D130" s="1247"/>
      <c r="E130" s="1247"/>
      <c r="F130" s="1247"/>
      <c r="G130" s="1247"/>
      <c r="H130" s="1247"/>
      <c r="I130" s="1247"/>
      <c r="J130" s="1247"/>
      <c r="K130" s="1247"/>
      <c r="L130" s="1247"/>
      <c r="M130" s="1247"/>
      <c r="N130" s="1247"/>
      <c r="O130" s="1247"/>
      <c r="P130" s="1247"/>
      <c r="Q130" s="1247"/>
      <c r="R130" s="1247"/>
      <c r="S130" s="1247"/>
      <c r="T130" s="1247"/>
      <c r="U130" s="1247"/>
      <c r="V130" s="1247"/>
      <c r="W130" s="1247"/>
      <c r="X130" s="1247"/>
      <c r="Y130" s="1247"/>
      <c r="Z130" s="1247"/>
      <c r="AA130" s="1247"/>
      <c r="AB130" s="1247"/>
      <c r="AC130" s="1247"/>
      <c r="AD130" s="1247"/>
      <c r="AE130" s="1247"/>
      <c r="AF130" s="1247"/>
    </row>
    <row r="131" spans="1:32" ht="63.75" customHeight="1" x14ac:dyDescent="0.25">
      <c r="A131" s="515" t="s">
        <v>1013</v>
      </c>
      <c r="B131" s="1247" t="s">
        <v>5277</v>
      </c>
      <c r="C131" s="1247"/>
      <c r="D131" s="1247"/>
      <c r="E131" s="1247"/>
      <c r="F131" s="1247"/>
      <c r="G131" s="1247"/>
      <c r="H131" s="1247"/>
      <c r="I131" s="1247"/>
      <c r="J131" s="1247"/>
      <c r="K131" s="1247"/>
      <c r="L131" s="1247"/>
      <c r="M131" s="1247"/>
      <c r="N131" s="1247"/>
      <c r="O131" s="1247"/>
      <c r="P131" s="1247"/>
      <c r="Q131" s="1247"/>
      <c r="R131" s="1247"/>
      <c r="S131" s="1247"/>
      <c r="T131" s="1247"/>
      <c r="U131" s="1247"/>
      <c r="V131" s="1247"/>
      <c r="W131" s="1247"/>
      <c r="X131" s="1247"/>
      <c r="Y131" s="1247"/>
      <c r="Z131" s="1247"/>
      <c r="AA131" s="1247"/>
      <c r="AB131" s="1247"/>
      <c r="AC131" s="1247"/>
      <c r="AD131" s="1247"/>
      <c r="AE131" s="1247"/>
      <c r="AF131" s="1247"/>
    </row>
  </sheetData>
  <sheetProtection algorithmName="SHA-512" hashValue="RFoxords2DdPZUb8+G+pF+JMVCb17/74oYj3yTmZlxkW1PndgMXBD8gpWgUIGQj9vVm6kdLQkisXkYo7qiorBA==" saltValue="73H3p/aRpsBe/NBay1MyVg==" spinCount="100000" sheet="1" objects="1" scenarios="1"/>
  <mergeCells count="187">
    <mergeCell ref="B128:AF128"/>
    <mergeCell ref="B129:AF129"/>
    <mergeCell ref="B130:AF130"/>
    <mergeCell ref="B131:AF131"/>
    <mergeCell ref="A121:AF121"/>
    <mergeCell ref="B123:AF123"/>
    <mergeCell ref="B124:AF124"/>
    <mergeCell ref="B125:AF125"/>
    <mergeCell ref="B126:AF126"/>
    <mergeCell ref="B127:AF127"/>
    <mergeCell ref="A117:H117"/>
    <mergeCell ref="I117:P117"/>
    <mergeCell ref="Q117:X117"/>
    <mergeCell ref="Y117:AF117"/>
    <mergeCell ref="A118:H118"/>
    <mergeCell ref="I118:P118"/>
    <mergeCell ref="Q118:X118"/>
    <mergeCell ref="Y118:AF118"/>
    <mergeCell ref="F109:J109"/>
    <mergeCell ref="U109:W109"/>
    <mergeCell ref="F112:H112"/>
    <mergeCell ref="U112:W112"/>
    <mergeCell ref="G114:I114"/>
    <mergeCell ref="N114:P114"/>
    <mergeCell ref="U114:W114"/>
    <mergeCell ref="A103:H103"/>
    <mergeCell ref="I103:P103"/>
    <mergeCell ref="Q103:X103"/>
    <mergeCell ref="Y103:AF103"/>
    <mergeCell ref="A104:H104"/>
    <mergeCell ref="I104:P104"/>
    <mergeCell ref="Q104:X104"/>
    <mergeCell ref="Y104:AF104"/>
    <mergeCell ref="A97:AF97"/>
    <mergeCell ref="A101:H101"/>
    <mergeCell ref="I101:P101"/>
    <mergeCell ref="Q101:X101"/>
    <mergeCell ref="Y101:AF101"/>
    <mergeCell ref="A102:H102"/>
    <mergeCell ref="I102:P102"/>
    <mergeCell ref="Q102:X102"/>
    <mergeCell ref="Y102:AF102"/>
    <mergeCell ref="A94:D94"/>
    <mergeCell ref="E94:H94"/>
    <mergeCell ref="I94:L94"/>
    <mergeCell ref="M94:P94"/>
    <mergeCell ref="Q94:T94"/>
    <mergeCell ref="U94:X94"/>
    <mergeCell ref="Y94:AB94"/>
    <mergeCell ref="AC94:AF94"/>
    <mergeCell ref="A93:D93"/>
    <mergeCell ref="E93:H93"/>
    <mergeCell ref="I93:L93"/>
    <mergeCell ref="M93:P93"/>
    <mergeCell ref="Q93:T93"/>
    <mergeCell ref="U93:X93"/>
    <mergeCell ref="A92:D92"/>
    <mergeCell ref="E92:H92"/>
    <mergeCell ref="I92:L92"/>
    <mergeCell ref="M92:P92"/>
    <mergeCell ref="Q92:T92"/>
    <mergeCell ref="U92:X92"/>
    <mergeCell ref="Y92:AB92"/>
    <mergeCell ref="AC92:AF92"/>
    <mergeCell ref="Y93:AB93"/>
    <mergeCell ref="AC93:AF93"/>
    <mergeCell ref="A87:R87"/>
    <mergeCell ref="S87:AE87"/>
    <mergeCell ref="A88:AE88"/>
    <mergeCell ref="A91:D91"/>
    <mergeCell ref="E91:H91"/>
    <mergeCell ref="I91:L91"/>
    <mergeCell ref="M91:P91"/>
    <mergeCell ref="Q91:T91"/>
    <mergeCell ref="U91:X91"/>
    <mergeCell ref="Y91:AB91"/>
    <mergeCell ref="AC91:AF91"/>
    <mergeCell ref="A84:R84"/>
    <mergeCell ref="S84:AE84"/>
    <mergeCell ref="A85:R85"/>
    <mergeCell ref="S85:AE85"/>
    <mergeCell ref="A86:R86"/>
    <mergeCell ref="S86:AE86"/>
    <mergeCell ref="A80:R80"/>
    <mergeCell ref="S80:AE80"/>
    <mergeCell ref="A81:H83"/>
    <mergeCell ref="I81:R81"/>
    <mergeCell ref="S81:AE81"/>
    <mergeCell ref="I82:R82"/>
    <mergeCell ref="S82:AE82"/>
    <mergeCell ref="I83:R83"/>
    <mergeCell ref="S83:AE83"/>
    <mergeCell ref="A60:AF60"/>
    <mergeCell ref="A61:AF61"/>
    <mergeCell ref="A62:AF62"/>
    <mergeCell ref="A63:AF63"/>
    <mergeCell ref="A64:AF64"/>
    <mergeCell ref="A77:AE77"/>
    <mergeCell ref="A58:D58"/>
    <mergeCell ref="E58:O58"/>
    <mergeCell ref="P58:S58"/>
    <mergeCell ref="T58:W58"/>
    <mergeCell ref="X58:AF58"/>
    <mergeCell ref="A59:D59"/>
    <mergeCell ref="E59:O59"/>
    <mergeCell ref="P59:S59"/>
    <mergeCell ref="T59:W59"/>
    <mergeCell ref="X59:AF59"/>
    <mergeCell ref="A56:D56"/>
    <mergeCell ref="E56:O56"/>
    <mergeCell ref="P56:S56"/>
    <mergeCell ref="T56:W56"/>
    <mergeCell ref="X56:AF56"/>
    <mergeCell ref="A57:D57"/>
    <mergeCell ref="E57:O57"/>
    <mergeCell ref="P57:S57"/>
    <mergeCell ref="T57:W57"/>
    <mergeCell ref="X57:AF57"/>
    <mergeCell ref="A54:D54"/>
    <mergeCell ref="E54:O54"/>
    <mergeCell ref="P54:S54"/>
    <mergeCell ref="T54:W54"/>
    <mergeCell ref="X54:AF54"/>
    <mergeCell ref="A55:D55"/>
    <mergeCell ref="E55:O55"/>
    <mergeCell ref="P55:S55"/>
    <mergeCell ref="T55:W55"/>
    <mergeCell ref="X55:AF55"/>
    <mergeCell ref="A52:D52"/>
    <mergeCell ref="E52:O52"/>
    <mergeCell ref="P52:S52"/>
    <mergeCell ref="T52:W52"/>
    <mergeCell ref="X52:AF52"/>
    <mergeCell ref="A53:D53"/>
    <mergeCell ref="E53:O53"/>
    <mergeCell ref="P53:S53"/>
    <mergeCell ref="T53:W53"/>
    <mergeCell ref="X53:AF53"/>
    <mergeCell ref="A50:D50"/>
    <mergeCell ref="E50:O50"/>
    <mergeCell ref="P50:S50"/>
    <mergeCell ref="T50:W50"/>
    <mergeCell ref="X50:AF50"/>
    <mergeCell ref="A51:D51"/>
    <mergeCell ref="E51:O51"/>
    <mergeCell ref="P51:S51"/>
    <mergeCell ref="T51:W51"/>
    <mergeCell ref="X51:AF51"/>
    <mergeCell ref="A48:D48"/>
    <mergeCell ref="E48:O48"/>
    <mergeCell ref="P48:S48"/>
    <mergeCell ref="T48:W48"/>
    <mergeCell ref="X48:AF48"/>
    <mergeCell ref="A49:D49"/>
    <mergeCell ref="E49:O49"/>
    <mergeCell ref="P49:S49"/>
    <mergeCell ref="T49:W49"/>
    <mergeCell ref="X49:AF49"/>
    <mergeCell ref="A46:D46"/>
    <mergeCell ref="E46:O46"/>
    <mergeCell ref="P46:S46"/>
    <mergeCell ref="T46:W46"/>
    <mergeCell ref="X46:AF46"/>
    <mergeCell ref="A47:D47"/>
    <mergeCell ref="E47:O47"/>
    <mergeCell ref="P47:S47"/>
    <mergeCell ref="T47:W47"/>
    <mergeCell ref="X47:AF47"/>
    <mergeCell ref="A1:AF1"/>
    <mergeCell ref="A3:AF3"/>
    <mergeCell ref="B5:AF5"/>
    <mergeCell ref="A7:AF7"/>
    <mergeCell ref="B10:AF10"/>
    <mergeCell ref="B12:AF12"/>
    <mergeCell ref="AF36:AF37"/>
    <mergeCell ref="A44:AF44"/>
    <mergeCell ref="A45:D45"/>
    <mergeCell ref="E45:O45"/>
    <mergeCell ref="P45:S45"/>
    <mergeCell ref="T45:W45"/>
    <mergeCell ref="X45:AF45"/>
    <mergeCell ref="B15:AF15"/>
    <mergeCell ref="B18:AF18"/>
    <mergeCell ref="B21:AF21"/>
    <mergeCell ref="B24:AF24"/>
    <mergeCell ref="A26:AF26"/>
    <mergeCell ref="AF30:AF32"/>
  </mergeCells>
  <dataValidations count="1">
    <dataValidation type="list" allowBlank="1" showInputMessage="1" showErrorMessage="1" sqref="F109:J109" xr:uid="{00000000-0002-0000-4100-000000000000}">
      <formula1>$A$102:$A$104</formula1>
    </dataValidation>
  </dataValidations>
  <hyperlinks>
    <hyperlink ref="A2" location="TOC!A1" display="Return to TOC" xr:uid="{00000000-0004-0000-4100-000000000000}"/>
  </hyperlink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0:AF41" numberStoredAsText="1"/>
  </ignoredError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36">
    <tabColor theme="5" tint="0.39997558519241921"/>
    <pageSetUpPr autoPageBreaks="0"/>
  </sheetPr>
  <dimension ref="A1:AG55"/>
  <sheetViews>
    <sheetView showGridLines="0" workbookViewId="0">
      <selection sqref="A1:AF1"/>
    </sheetView>
  </sheetViews>
  <sheetFormatPr defaultColWidth="2.7109375" defaultRowHeight="15" x14ac:dyDescent="0.25"/>
  <cols>
    <col min="1" max="2" width="2.7109375" style="1"/>
    <col min="3" max="3" width="2.7109375" style="1" customWidth="1"/>
    <col min="4" max="16384" width="2.7109375" style="1"/>
  </cols>
  <sheetData>
    <row r="1" spans="1:32" ht="18.75" x14ac:dyDescent="0.25">
      <c r="A1" s="1464" t="s">
        <v>1153</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582" t="s">
        <v>9</v>
      </c>
      <c r="B3" s="1582"/>
      <c r="C3" s="1582"/>
      <c r="D3" s="1582"/>
      <c r="E3" s="1582"/>
      <c r="F3" s="1582"/>
      <c r="G3" s="1582"/>
      <c r="H3" s="1582"/>
      <c r="I3" s="1582"/>
      <c r="J3" s="1582"/>
      <c r="K3" s="1582"/>
      <c r="L3" s="1582"/>
      <c r="M3" s="1582"/>
      <c r="N3" s="1582"/>
      <c r="O3" s="1582"/>
      <c r="P3" s="1582"/>
      <c r="Q3" s="1582"/>
      <c r="R3" s="1582"/>
      <c r="S3" s="1582"/>
      <c r="T3" s="1582"/>
      <c r="U3" s="1582"/>
      <c r="V3" s="1582"/>
      <c r="W3" s="1582"/>
      <c r="X3" s="1582"/>
      <c r="Y3" s="1582"/>
      <c r="Z3" s="1582"/>
      <c r="AA3" s="1582"/>
      <c r="AB3" s="1582"/>
      <c r="AC3" s="1582"/>
      <c r="AD3" s="1582"/>
      <c r="AE3" s="1582"/>
      <c r="AF3" s="1582"/>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171" t="s">
        <v>10</v>
      </c>
      <c r="C5" s="171"/>
      <c r="D5" s="171"/>
      <c r="E5" s="171"/>
      <c r="F5" s="171"/>
      <c r="G5" s="171"/>
      <c r="H5" s="171"/>
      <c r="I5" s="171"/>
    </row>
    <row r="6" spans="1:32" s="8" customFormat="1" ht="43.15" customHeight="1" x14ac:dyDescent="0.25">
      <c r="B6" s="1390" t="s">
        <v>2970</v>
      </c>
      <c r="C6" s="1753"/>
      <c r="D6" s="1753"/>
      <c r="E6" s="1753"/>
      <c r="F6" s="1753"/>
      <c r="G6" s="1753"/>
      <c r="H6" s="1753"/>
      <c r="I6" s="1753"/>
      <c r="J6" s="1753"/>
      <c r="K6" s="1753"/>
      <c r="L6" s="1753"/>
      <c r="M6" s="1753"/>
      <c r="N6" s="1753"/>
      <c r="O6" s="1753"/>
      <c r="P6" s="1753"/>
      <c r="Q6" s="1753"/>
      <c r="R6" s="1753"/>
      <c r="S6" s="1753"/>
      <c r="T6" s="1753"/>
      <c r="U6" s="1753"/>
      <c r="V6" s="1753"/>
      <c r="W6" s="1753"/>
      <c r="X6" s="1753"/>
      <c r="Y6" s="1753"/>
      <c r="Z6" s="1753"/>
      <c r="AA6" s="1753"/>
      <c r="AB6" s="1753"/>
      <c r="AC6" s="1753"/>
      <c r="AD6" s="1753"/>
      <c r="AE6" s="1753"/>
      <c r="AF6" s="1753"/>
    </row>
    <row r="7" spans="1:32" x14ac:dyDescent="0.25">
      <c r="B7" s="333" t="s">
        <v>28</v>
      </c>
      <c r="C7" s="1143" t="s">
        <v>1436</v>
      </c>
      <c r="D7" s="1143"/>
      <c r="E7" s="1143"/>
      <c r="F7" s="1143"/>
      <c r="G7" s="1143"/>
      <c r="H7" s="1143"/>
      <c r="I7" s="1143"/>
      <c r="J7" s="1143"/>
      <c r="K7" s="1143"/>
      <c r="L7" s="1143"/>
      <c r="M7" s="1143"/>
      <c r="N7" s="1143"/>
      <c r="O7" s="1143"/>
      <c r="P7" s="1143"/>
      <c r="Q7" s="1143"/>
      <c r="R7" s="1143"/>
      <c r="S7" s="1143"/>
      <c r="T7" s="1143"/>
      <c r="U7" s="1143"/>
      <c r="V7" s="1143"/>
      <c r="W7" s="1143"/>
      <c r="X7" s="1143"/>
      <c r="Y7" s="1143"/>
      <c r="Z7" s="1143"/>
      <c r="AA7" s="1143"/>
      <c r="AB7" s="1143"/>
      <c r="AC7" s="1143"/>
      <c r="AD7" s="1143"/>
      <c r="AE7" s="1143"/>
      <c r="AF7" s="1143"/>
    </row>
    <row r="8" spans="1:32" s="4" customFormat="1" ht="32.25" customHeight="1" x14ac:dyDescent="0.25">
      <c r="B8" s="334" t="s">
        <v>28</v>
      </c>
      <c r="C8" s="1142" t="s">
        <v>1437</v>
      </c>
      <c r="D8" s="1142"/>
      <c r="E8" s="1142"/>
      <c r="F8" s="1142"/>
      <c r="G8" s="1142"/>
      <c r="H8" s="1142"/>
      <c r="I8" s="1142"/>
      <c r="J8" s="1142"/>
      <c r="K8" s="1142"/>
      <c r="L8" s="1142"/>
      <c r="M8" s="1142"/>
      <c r="N8" s="1142"/>
      <c r="O8" s="1142"/>
      <c r="P8" s="1142"/>
      <c r="Q8" s="1142"/>
      <c r="R8" s="1142"/>
      <c r="S8" s="1142"/>
      <c r="T8" s="1142"/>
      <c r="U8" s="1142"/>
      <c r="V8" s="1142"/>
      <c r="W8" s="1142"/>
      <c r="X8" s="1142"/>
      <c r="Y8" s="1142"/>
      <c r="Z8" s="1142"/>
      <c r="AA8" s="1142"/>
      <c r="AB8" s="1142"/>
      <c r="AC8" s="1142"/>
      <c r="AD8" s="1142"/>
      <c r="AE8" s="1142"/>
      <c r="AF8" s="1142"/>
    </row>
    <row r="9" spans="1:32" ht="30.6" customHeight="1" x14ac:dyDescent="0.25">
      <c r="B9" s="333" t="s">
        <v>28</v>
      </c>
      <c r="C9" s="1142" t="s">
        <v>1438</v>
      </c>
      <c r="D9" s="1142"/>
      <c r="E9" s="1142"/>
      <c r="F9" s="1142"/>
      <c r="G9" s="1142"/>
      <c r="H9" s="1142"/>
      <c r="I9" s="1142"/>
      <c r="J9" s="1142"/>
      <c r="K9" s="1142"/>
      <c r="L9" s="1142"/>
      <c r="M9" s="1142"/>
      <c r="N9" s="1142"/>
      <c r="O9" s="1142"/>
      <c r="P9" s="1142"/>
      <c r="Q9" s="1142"/>
      <c r="R9" s="1142"/>
      <c r="S9" s="1142"/>
      <c r="T9" s="1142"/>
      <c r="U9" s="1142"/>
      <c r="V9" s="1142"/>
      <c r="W9" s="1142"/>
      <c r="X9" s="1142"/>
      <c r="Y9" s="1142"/>
      <c r="Z9" s="1142"/>
      <c r="AA9" s="1142"/>
      <c r="AB9" s="1142"/>
      <c r="AC9" s="1142"/>
      <c r="AD9" s="1142"/>
      <c r="AE9" s="1142"/>
      <c r="AF9" s="1142"/>
    </row>
    <row r="10" spans="1:32" x14ac:dyDescent="0.25">
      <c r="B10" s="333" t="s">
        <v>28</v>
      </c>
      <c r="C10" s="1142" t="s">
        <v>1439</v>
      </c>
      <c r="D10" s="1142"/>
      <c r="E10" s="1142"/>
      <c r="F10" s="1142"/>
      <c r="G10" s="1142"/>
      <c r="H10" s="1142"/>
      <c r="I10" s="1142"/>
      <c r="J10" s="1142"/>
      <c r="K10" s="1142"/>
      <c r="L10" s="1142"/>
      <c r="M10" s="1142"/>
      <c r="N10" s="1142"/>
      <c r="O10" s="1142"/>
      <c r="P10" s="1142"/>
      <c r="Q10" s="1142"/>
      <c r="R10" s="1142"/>
      <c r="S10" s="1142"/>
      <c r="T10" s="1142"/>
      <c r="U10" s="1142"/>
      <c r="V10" s="1142"/>
      <c r="W10" s="1142"/>
      <c r="X10" s="1142"/>
      <c r="Y10" s="1142"/>
      <c r="Z10" s="1142"/>
      <c r="AA10" s="1142"/>
      <c r="AB10" s="1142"/>
      <c r="AC10" s="1142"/>
      <c r="AD10" s="1142"/>
      <c r="AE10" s="1142"/>
      <c r="AF10" s="1142"/>
    </row>
    <row r="11" spans="1:32" x14ac:dyDescent="0.25">
      <c r="B11" s="333" t="s">
        <v>28</v>
      </c>
      <c r="C11" s="1142" t="s">
        <v>1440</v>
      </c>
      <c r="D11" s="1142"/>
      <c r="E11" s="1142"/>
      <c r="F11" s="1142"/>
      <c r="G11" s="1142"/>
      <c r="H11" s="1142"/>
      <c r="I11" s="1142"/>
      <c r="J11" s="1142"/>
      <c r="K11" s="1142"/>
      <c r="L11" s="1142"/>
      <c r="M11" s="1142"/>
      <c r="N11" s="1142"/>
      <c r="O11" s="1142"/>
      <c r="P11" s="1142"/>
      <c r="Q11" s="1142"/>
      <c r="R11" s="1142"/>
      <c r="S11" s="1142"/>
      <c r="T11" s="1142"/>
      <c r="U11" s="1142"/>
      <c r="V11" s="1142"/>
      <c r="W11" s="1142"/>
      <c r="X11" s="1142"/>
      <c r="Y11" s="1142"/>
      <c r="Z11" s="1142"/>
      <c r="AA11" s="1142"/>
      <c r="AB11" s="1142"/>
      <c r="AC11" s="1142"/>
      <c r="AD11" s="1142"/>
      <c r="AE11" s="1142"/>
      <c r="AF11" s="1142"/>
    </row>
    <row r="12" spans="1:32" ht="33" customHeight="1" x14ac:dyDescent="0.25">
      <c r="B12" s="333" t="s">
        <v>28</v>
      </c>
      <c r="C12" s="1142" t="s">
        <v>1441</v>
      </c>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3" spans="1:32" x14ac:dyDescent="0.25">
      <c r="B13" s="333" t="s">
        <v>28</v>
      </c>
      <c r="C13" s="1142" t="s">
        <v>1442</v>
      </c>
      <c r="D13" s="1142"/>
      <c r="E13" s="1142"/>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row>
    <row r="14" spans="1:32" x14ac:dyDescent="0.25">
      <c r="B14" s="333" t="s">
        <v>28</v>
      </c>
      <c r="C14" s="1142" t="s">
        <v>1443</v>
      </c>
      <c r="D14" s="1142"/>
      <c r="E14" s="1142"/>
      <c r="F14" s="1142"/>
      <c r="G14" s="1142"/>
      <c r="H14" s="1142"/>
      <c r="I14" s="1142"/>
      <c r="J14" s="1142"/>
      <c r="K14" s="1142"/>
      <c r="L14" s="1142"/>
      <c r="M14" s="1142"/>
      <c r="N14" s="1142"/>
      <c r="O14" s="1142"/>
      <c r="P14" s="1142"/>
      <c r="Q14" s="1142"/>
      <c r="R14" s="1142"/>
      <c r="S14" s="1142"/>
      <c r="T14" s="1142"/>
      <c r="U14" s="1142"/>
      <c r="V14" s="1142"/>
      <c r="W14" s="1142"/>
      <c r="X14" s="1142"/>
      <c r="Y14" s="1142"/>
      <c r="Z14" s="1142"/>
      <c r="AA14" s="1142"/>
      <c r="AB14" s="1142"/>
      <c r="AC14" s="1142"/>
      <c r="AD14" s="1142"/>
      <c r="AE14" s="1142"/>
      <c r="AF14" s="1142"/>
    </row>
    <row r="15" spans="1:32" x14ac:dyDescent="0.25">
      <c r="B15" s="333" t="s">
        <v>28</v>
      </c>
      <c r="C15" s="1142" t="s">
        <v>1444</v>
      </c>
      <c r="D15" s="1142"/>
      <c r="E15" s="1142"/>
      <c r="F15" s="1142"/>
      <c r="G15" s="1142"/>
      <c r="H15" s="1142"/>
      <c r="I15" s="1142"/>
      <c r="J15" s="1142"/>
      <c r="K15" s="1142"/>
      <c r="L15" s="1142"/>
      <c r="M15" s="1142"/>
      <c r="N15" s="1142"/>
      <c r="O15" s="1142"/>
      <c r="P15" s="1142"/>
      <c r="Q15" s="1142"/>
      <c r="R15" s="1142"/>
      <c r="S15" s="1142"/>
      <c r="T15" s="1142"/>
      <c r="U15" s="1142"/>
      <c r="V15" s="1142"/>
      <c r="W15" s="1142"/>
      <c r="X15" s="1142"/>
      <c r="Y15" s="1142"/>
      <c r="Z15" s="1142"/>
      <c r="AA15" s="1142"/>
      <c r="AB15" s="1142"/>
      <c r="AC15" s="1142"/>
      <c r="AD15" s="1142"/>
      <c r="AE15" s="1142"/>
      <c r="AF15" s="1142"/>
    </row>
    <row r="16" spans="1:32" x14ac:dyDescent="0.25">
      <c r="B16" s="333" t="s">
        <v>28</v>
      </c>
      <c r="C16" s="1142" t="s">
        <v>1445</v>
      </c>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7" spans="2:33" x14ac:dyDescent="0.25">
      <c r="B17" s="333" t="s">
        <v>28</v>
      </c>
      <c r="C17" s="1142" t="s">
        <v>1446</v>
      </c>
      <c r="D17" s="1142"/>
      <c r="E17" s="1142"/>
      <c r="F17" s="1142"/>
      <c r="G17" s="1142"/>
      <c r="H17" s="1142"/>
      <c r="I17" s="1142"/>
      <c r="J17" s="1142"/>
      <c r="K17" s="1142"/>
      <c r="L17" s="1142"/>
      <c r="M17" s="1142"/>
      <c r="N17" s="1142"/>
      <c r="O17" s="1142"/>
      <c r="P17" s="1142"/>
      <c r="Q17" s="1142"/>
      <c r="R17" s="1142"/>
      <c r="S17" s="1142"/>
      <c r="T17" s="1142"/>
      <c r="U17" s="1142"/>
      <c r="V17" s="1142"/>
      <c r="W17" s="1142"/>
      <c r="X17" s="1142"/>
      <c r="Y17" s="1142"/>
      <c r="Z17" s="1142"/>
      <c r="AA17" s="1142"/>
      <c r="AB17" s="1142"/>
      <c r="AC17" s="1142"/>
      <c r="AD17" s="1142"/>
      <c r="AE17" s="1142"/>
      <c r="AF17" s="1142"/>
    </row>
    <row r="18" spans="2:33" ht="45.75" customHeight="1" x14ac:dyDescent="0.25">
      <c r="B18" s="333" t="s">
        <v>28</v>
      </c>
      <c r="C18" s="1142" t="s">
        <v>1447</v>
      </c>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2"/>
      <c r="AB18" s="1142"/>
      <c r="AC18" s="1142"/>
      <c r="AD18" s="1142"/>
      <c r="AE18" s="1142"/>
      <c r="AF18" s="1142"/>
    </row>
    <row r="19" spans="2:33" x14ac:dyDescent="0.25">
      <c r="B19" s="7"/>
    </row>
    <row r="20" spans="2:33" x14ac:dyDescent="0.25">
      <c r="B20" s="171" t="s">
        <v>11</v>
      </c>
      <c r="C20" s="171"/>
      <c r="D20" s="171"/>
      <c r="E20" s="171"/>
      <c r="F20" s="171"/>
      <c r="G20" s="171"/>
      <c r="H20" s="171"/>
      <c r="I20" s="171"/>
    </row>
    <row r="21" spans="2:33" ht="43.15" customHeight="1" x14ac:dyDescent="0.25">
      <c r="B21" s="1151" t="s">
        <v>2971</v>
      </c>
      <c r="C21" s="1473"/>
      <c r="D21" s="1473"/>
      <c r="E21" s="1473"/>
      <c r="F21" s="1473"/>
      <c r="G21" s="1473"/>
      <c r="H21" s="1473"/>
      <c r="I21" s="1473"/>
      <c r="J21" s="1473"/>
      <c r="K21" s="1473"/>
      <c r="L21" s="1473"/>
      <c r="M21" s="1473"/>
      <c r="N21" s="1473"/>
      <c r="O21" s="1473"/>
      <c r="P21" s="1473"/>
      <c r="Q21" s="1473"/>
      <c r="R21" s="1473"/>
      <c r="S21" s="1473"/>
      <c r="T21" s="1473"/>
      <c r="U21" s="1473"/>
      <c r="V21" s="1473"/>
      <c r="W21" s="1473"/>
      <c r="X21" s="1473"/>
      <c r="Y21" s="1473"/>
      <c r="Z21" s="1473"/>
      <c r="AA21" s="1473"/>
      <c r="AB21" s="1473"/>
      <c r="AC21" s="1473"/>
      <c r="AD21" s="1473"/>
      <c r="AE21" s="1473"/>
      <c r="AF21" s="1473"/>
    </row>
    <row r="22" spans="2:33" ht="29.25" customHeight="1" x14ac:dyDescent="0.25">
      <c r="B22" s="333" t="s">
        <v>28</v>
      </c>
      <c r="C22" s="3082" t="s">
        <v>1449</v>
      </c>
      <c r="D22" s="3082"/>
      <c r="E22" s="3082"/>
      <c r="F22" s="3082"/>
      <c r="G22" s="3082"/>
      <c r="H22" s="3082"/>
      <c r="I22" s="3082"/>
      <c r="J22" s="3082"/>
      <c r="K22" s="3082"/>
      <c r="L22" s="3082"/>
      <c r="M22" s="3082"/>
      <c r="N22" s="3082"/>
      <c r="O22" s="3082"/>
      <c r="P22" s="3082"/>
      <c r="Q22" s="3082"/>
      <c r="R22" s="3082"/>
      <c r="S22" s="3082"/>
      <c r="T22" s="3082"/>
      <c r="U22" s="3082"/>
      <c r="V22" s="3082"/>
      <c r="W22" s="3082"/>
      <c r="X22" s="3082"/>
      <c r="Y22" s="3082"/>
      <c r="Z22" s="3082"/>
      <c r="AA22" s="3082"/>
      <c r="AB22" s="3082"/>
      <c r="AC22" s="3082"/>
      <c r="AD22" s="3082"/>
      <c r="AE22" s="3082"/>
      <c r="AF22" s="3082"/>
    </row>
    <row r="23" spans="2:33" ht="32.25" customHeight="1" x14ac:dyDescent="0.25">
      <c r="B23" s="333" t="s">
        <v>28</v>
      </c>
      <c r="C23" s="3082" t="s">
        <v>2990</v>
      </c>
      <c r="D23" s="3082"/>
      <c r="E23" s="3082"/>
      <c r="F23" s="3082"/>
      <c r="G23" s="3082"/>
      <c r="H23" s="3082"/>
      <c r="I23" s="3082"/>
      <c r="J23" s="3082"/>
      <c r="K23" s="3082"/>
      <c r="L23" s="3082"/>
      <c r="M23" s="3082"/>
      <c r="N23" s="3082"/>
      <c r="O23" s="3082"/>
      <c r="P23" s="3082"/>
      <c r="Q23" s="3082"/>
      <c r="R23" s="3082"/>
      <c r="S23" s="3082"/>
      <c r="T23" s="3082"/>
      <c r="U23" s="3082"/>
      <c r="V23" s="3082"/>
      <c r="W23" s="3082"/>
      <c r="X23" s="3082"/>
      <c r="Y23" s="3082"/>
      <c r="Z23" s="3082"/>
      <c r="AA23" s="3082"/>
      <c r="AB23" s="3082"/>
      <c r="AC23" s="3082"/>
      <c r="AD23" s="3082"/>
      <c r="AE23" s="3082"/>
      <c r="AF23" s="3082"/>
    </row>
    <row r="24" spans="2:33" ht="49.5" customHeight="1" x14ac:dyDescent="0.25">
      <c r="B24" s="333" t="s">
        <v>28</v>
      </c>
      <c r="C24" s="3082" t="s">
        <v>1450</v>
      </c>
      <c r="D24" s="3082"/>
      <c r="E24" s="3082"/>
      <c r="F24" s="3082"/>
      <c r="G24" s="3082"/>
      <c r="H24" s="3082"/>
      <c r="I24" s="3082"/>
      <c r="J24" s="3082"/>
      <c r="K24" s="3082"/>
      <c r="L24" s="3082"/>
      <c r="M24" s="3082"/>
      <c r="N24" s="3082"/>
      <c r="O24" s="3082"/>
      <c r="P24" s="3082"/>
      <c r="Q24" s="3082"/>
      <c r="R24" s="3082"/>
      <c r="S24" s="3082"/>
      <c r="T24" s="3082"/>
      <c r="U24" s="3082"/>
      <c r="V24" s="3082"/>
      <c r="W24" s="3082"/>
      <c r="X24" s="3082"/>
      <c r="Y24" s="3082"/>
      <c r="Z24" s="3082"/>
      <c r="AA24" s="3082"/>
      <c r="AB24" s="3082"/>
      <c r="AC24" s="3082"/>
      <c r="AD24" s="3082"/>
      <c r="AE24" s="3082"/>
      <c r="AF24" s="3082"/>
    </row>
    <row r="25" spans="2:33" ht="48" customHeight="1" x14ac:dyDescent="0.25">
      <c r="B25" s="333" t="s">
        <v>28</v>
      </c>
      <c r="C25" s="3082" t="s">
        <v>2972</v>
      </c>
      <c r="D25" s="3082"/>
      <c r="E25" s="3082"/>
      <c r="F25" s="3082"/>
      <c r="G25" s="3082"/>
      <c r="H25" s="3082"/>
      <c r="I25" s="3082"/>
      <c r="J25" s="3082"/>
      <c r="K25" s="3082"/>
      <c r="L25" s="3082"/>
      <c r="M25" s="3082"/>
      <c r="N25" s="3082"/>
      <c r="O25" s="3082"/>
      <c r="P25" s="3082"/>
      <c r="Q25" s="3082"/>
      <c r="R25" s="3082"/>
      <c r="S25" s="3082"/>
      <c r="T25" s="3082"/>
      <c r="U25" s="3082"/>
      <c r="V25" s="3082"/>
      <c r="W25" s="3082"/>
      <c r="X25" s="3082"/>
      <c r="Y25" s="3082"/>
      <c r="Z25" s="3082"/>
      <c r="AA25" s="3082"/>
      <c r="AB25" s="3082"/>
      <c r="AC25" s="3082"/>
      <c r="AD25" s="3082"/>
      <c r="AE25" s="3082"/>
      <c r="AF25" s="3082"/>
    </row>
    <row r="26" spans="2:33" ht="33" customHeight="1" x14ac:dyDescent="0.25">
      <c r="B26" s="333" t="s">
        <v>28</v>
      </c>
      <c r="C26" s="3082" t="s">
        <v>2973</v>
      </c>
      <c r="D26" s="3082"/>
      <c r="E26" s="3082"/>
      <c r="F26" s="3082"/>
      <c r="G26" s="3082"/>
      <c r="H26" s="3082"/>
      <c r="I26" s="3082"/>
      <c r="J26" s="3082"/>
      <c r="K26" s="3082"/>
      <c r="L26" s="3082"/>
      <c r="M26" s="3082"/>
      <c r="N26" s="3082"/>
      <c r="O26" s="3082"/>
      <c r="P26" s="3082"/>
      <c r="Q26" s="3082"/>
      <c r="R26" s="3082"/>
      <c r="S26" s="3082"/>
      <c r="T26" s="3082"/>
      <c r="U26" s="3082"/>
      <c r="V26" s="3082"/>
      <c r="W26" s="3082"/>
      <c r="X26" s="3082"/>
      <c r="Y26" s="3082"/>
      <c r="Z26" s="3082"/>
      <c r="AA26" s="3082"/>
      <c r="AB26" s="3082"/>
      <c r="AC26" s="3082"/>
      <c r="AD26" s="3082"/>
      <c r="AE26" s="3082"/>
      <c r="AF26" s="3082"/>
    </row>
    <row r="27" spans="2:33" ht="33.75" customHeight="1" x14ac:dyDescent="0.25">
      <c r="B27" s="333" t="s">
        <v>28</v>
      </c>
      <c r="C27" s="3082" t="s">
        <v>2974</v>
      </c>
      <c r="D27" s="3082"/>
      <c r="E27" s="3082"/>
      <c r="F27" s="3082"/>
      <c r="G27" s="3082"/>
      <c r="H27" s="3082"/>
      <c r="I27" s="3082"/>
      <c r="J27" s="3082"/>
      <c r="K27" s="3082"/>
      <c r="L27" s="3082"/>
      <c r="M27" s="3082"/>
      <c r="N27" s="3082"/>
      <c r="O27" s="3082"/>
      <c r="P27" s="3082"/>
      <c r="Q27" s="3082"/>
      <c r="R27" s="3082"/>
      <c r="S27" s="3082"/>
      <c r="T27" s="3082"/>
      <c r="U27" s="3082"/>
      <c r="V27" s="3082"/>
      <c r="W27" s="3082"/>
      <c r="X27" s="3082"/>
      <c r="Y27" s="3082"/>
      <c r="Z27" s="3082"/>
      <c r="AA27" s="3082"/>
      <c r="AB27" s="3082"/>
      <c r="AC27" s="3082"/>
      <c r="AD27" s="3082"/>
      <c r="AE27" s="3082"/>
      <c r="AF27" s="3082"/>
    </row>
    <row r="28" spans="2:33" ht="31.5" customHeight="1" x14ac:dyDescent="0.25">
      <c r="B28" s="333" t="s">
        <v>28</v>
      </c>
      <c r="C28" s="3082" t="s">
        <v>1451</v>
      </c>
      <c r="D28" s="3082"/>
      <c r="E28" s="3082"/>
      <c r="F28" s="3082"/>
      <c r="G28" s="3082"/>
      <c r="H28" s="3082"/>
      <c r="I28" s="3082"/>
      <c r="J28" s="3082"/>
      <c r="K28" s="3082"/>
      <c r="L28" s="3082"/>
      <c r="M28" s="3082"/>
      <c r="N28" s="3082"/>
      <c r="O28" s="3082"/>
      <c r="P28" s="3082"/>
      <c r="Q28" s="3082"/>
      <c r="R28" s="3082"/>
      <c r="S28" s="3082"/>
      <c r="T28" s="3082"/>
      <c r="U28" s="3082"/>
      <c r="V28" s="3082"/>
      <c r="W28" s="3082"/>
      <c r="X28" s="3082"/>
      <c r="Y28" s="3082"/>
      <c r="Z28" s="3082"/>
      <c r="AA28" s="3082"/>
      <c r="AB28" s="3082"/>
      <c r="AC28" s="3082"/>
      <c r="AD28" s="3082"/>
      <c r="AE28" s="3082"/>
      <c r="AF28" s="3082"/>
    </row>
    <row r="29" spans="2:33" ht="60.75" customHeight="1" x14ac:dyDescent="0.25">
      <c r="B29" s="333" t="s">
        <v>28</v>
      </c>
      <c r="C29" s="3082" t="s">
        <v>1452</v>
      </c>
      <c r="D29" s="3082"/>
      <c r="E29" s="3082"/>
      <c r="F29" s="3082"/>
      <c r="G29" s="3082"/>
      <c r="H29" s="3082"/>
      <c r="I29" s="3082"/>
      <c r="J29" s="3082"/>
      <c r="K29" s="3082"/>
      <c r="L29" s="3082"/>
      <c r="M29" s="3082"/>
      <c r="N29" s="3082"/>
      <c r="O29" s="3082"/>
      <c r="P29" s="3082"/>
      <c r="Q29" s="3082"/>
      <c r="R29" s="3082"/>
      <c r="S29" s="3082"/>
      <c r="T29" s="3082"/>
      <c r="U29" s="3082"/>
      <c r="V29" s="3082"/>
      <c r="W29" s="3082"/>
      <c r="X29" s="3082"/>
      <c r="Y29" s="3082"/>
      <c r="Z29" s="3082"/>
      <c r="AA29" s="3082"/>
      <c r="AB29" s="3082"/>
      <c r="AC29" s="3082"/>
      <c r="AD29" s="3082"/>
      <c r="AE29" s="3082"/>
      <c r="AF29" s="3082"/>
    </row>
    <row r="30" spans="2:33" ht="81" customHeight="1" x14ac:dyDescent="0.25">
      <c r="B30" s="333" t="s">
        <v>28</v>
      </c>
      <c r="C30" s="3082" t="s">
        <v>2975</v>
      </c>
      <c r="D30" s="3082"/>
      <c r="E30" s="3082"/>
      <c r="F30" s="3082"/>
      <c r="G30" s="3082"/>
      <c r="H30" s="3082"/>
      <c r="I30" s="3082"/>
      <c r="J30" s="3082"/>
      <c r="K30" s="3082"/>
      <c r="L30" s="3082"/>
      <c r="M30" s="3082"/>
      <c r="N30" s="3082"/>
      <c r="O30" s="3082"/>
      <c r="P30" s="3082"/>
      <c r="Q30" s="3082"/>
      <c r="R30" s="3082"/>
      <c r="S30" s="3082"/>
      <c r="T30" s="3082"/>
      <c r="U30" s="3082"/>
      <c r="V30" s="3082"/>
      <c r="W30" s="3082"/>
      <c r="X30" s="3082"/>
      <c r="Y30" s="3082"/>
      <c r="Z30" s="3082"/>
      <c r="AA30" s="3082"/>
      <c r="AB30" s="3082"/>
      <c r="AC30" s="3082"/>
      <c r="AD30" s="3082"/>
      <c r="AE30" s="3082"/>
      <c r="AF30" s="3082"/>
    </row>
    <row r="31" spans="2:33" ht="48" customHeight="1" x14ac:dyDescent="0.25">
      <c r="B31" s="333" t="s">
        <v>28</v>
      </c>
      <c r="C31" s="3082" t="s">
        <v>2976</v>
      </c>
      <c r="D31" s="3082"/>
      <c r="E31" s="3082"/>
      <c r="F31" s="3082"/>
      <c r="G31" s="3082"/>
      <c r="H31" s="3082"/>
      <c r="I31" s="3082"/>
      <c r="J31" s="3082"/>
      <c r="K31" s="3082"/>
      <c r="L31" s="3082"/>
      <c r="M31" s="3082"/>
      <c r="N31" s="3082"/>
      <c r="O31" s="3082"/>
      <c r="P31" s="3082"/>
      <c r="Q31" s="3082"/>
      <c r="R31" s="3082"/>
      <c r="S31" s="3082"/>
      <c r="T31" s="3082"/>
      <c r="U31" s="3082"/>
      <c r="V31" s="3082"/>
      <c r="W31" s="3082"/>
      <c r="X31" s="3082"/>
      <c r="Y31" s="3082"/>
      <c r="Z31" s="3082"/>
      <c r="AA31" s="3082"/>
      <c r="AB31" s="3082"/>
      <c r="AC31" s="3082"/>
      <c r="AD31" s="3082"/>
      <c r="AE31" s="3082"/>
      <c r="AF31" s="3082"/>
    </row>
    <row r="32" spans="2:33" s="189" customFormat="1" ht="43.5" customHeight="1" x14ac:dyDescent="0.25">
      <c r="B32" s="333"/>
      <c r="C32" s="336" t="s">
        <v>1453</v>
      </c>
      <c r="D32" s="3082" t="s">
        <v>1455</v>
      </c>
      <c r="E32" s="3082"/>
      <c r="F32" s="3082"/>
      <c r="G32" s="3082"/>
      <c r="H32" s="3082"/>
      <c r="I32" s="3082"/>
      <c r="J32" s="3082"/>
      <c r="K32" s="3082"/>
      <c r="L32" s="3082"/>
      <c r="M32" s="3082"/>
      <c r="N32" s="3082"/>
      <c r="O32" s="3082"/>
      <c r="P32" s="3082"/>
      <c r="Q32" s="3082"/>
      <c r="R32" s="3082"/>
      <c r="S32" s="3082"/>
      <c r="T32" s="3082"/>
      <c r="U32" s="3082"/>
      <c r="V32" s="3082"/>
      <c r="W32" s="3082"/>
      <c r="X32" s="3082"/>
      <c r="Y32" s="3082"/>
      <c r="Z32" s="3082"/>
      <c r="AA32" s="3082"/>
      <c r="AB32" s="3082"/>
      <c r="AC32" s="3082"/>
      <c r="AD32" s="3082"/>
      <c r="AE32" s="3082"/>
      <c r="AF32" s="3082"/>
      <c r="AG32" s="335"/>
    </row>
    <row r="33" spans="1:33" ht="33.75" customHeight="1" x14ac:dyDescent="0.25">
      <c r="B33" s="333"/>
      <c r="C33" s="336" t="s">
        <v>1454</v>
      </c>
      <c r="D33" s="3082" t="s">
        <v>1683</v>
      </c>
      <c r="E33" s="3082"/>
      <c r="F33" s="3082"/>
      <c r="G33" s="3082"/>
      <c r="H33" s="3082"/>
      <c r="I33" s="3082"/>
      <c r="J33" s="3082"/>
      <c r="K33" s="3082"/>
      <c r="L33" s="3082"/>
      <c r="M33" s="3082"/>
      <c r="N33" s="3082"/>
      <c r="O33" s="3082"/>
      <c r="P33" s="3082"/>
      <c r="Q33" s="3082"/>
      <c r="R33" s="3082"/>
      <c r="S33" s="3082"/>
      <c r="T33" s="3082"/>
      <c r="U33" s="3082"/>
      <c r="V33" s="3082"/>
      <c r="W33" s="3082"/>
      <c r="X33" s="3082"/>
      <c r="Y33" s="3082"/>
      <c r="Z33" s="3082"/>
      <c r="AA33" s="3082"/>
      <c r="AB33" s="3082"/>
      <c r="AC33" s="3082"/>
      <c r="AD33" s="3082"/>
      <c r="AE33" s="3082"/>
      <c r="AF33" s="3082"/>
      <c r="AG33" s="335"/>
    </row>
    <row r="34" spans="1:33" s="4" customFormat="1" ht="66.75" customHeight="1" x14ac:dyDescent="0.25">
      <c r="B34" s="333" t="s">
        <v>28</v>
      </c>
      <c r="C34" s="3082" t="s">
        <v>1456</v>
      </c>
      <c r="D34" s="3082"/>
      <c r="E34" s="3082"/>
      <c r="F34" s="3082"/>
      <c r="G34" s="3082"/>
      <c r="H34" s="3082"/>
      <c r="I34" s="3082"/>
      <c r="J34" s="3082"/>
      <c r="K34" s="3082"/>
      <c r="L34" s="3082"/>
      <c r="M34" s="3082"/>
      <c r="N34" s="3082"/>
      <c r="O34" s="3082"/>
      <c r="P34" s="3082"/>
      <c r="Q34" s="3082"/>
      <c r="R34" s="3082"/>
      <c r="S34" s="3082"/>
      <c r="T34" s="3082"/>
      <c r="U34" s="3082"/>
      <c r="V34" s="3082"/>
      <c r="W34" s="3082"/>
      <c r="X34" s="3082"/>
      <c r="Y34" s="3082"/>
      <c r="Z34" s="3082"/>
      <c r="AA34" s="3082"/>
      <c r="AB34" s="3082"/>
      <c r="AC34" s="3082"/>
      <c r="AD34" s="3082"/>
      <c r="AE34" s="3082"/>
      <c r="AF34" s="3082"/>
    </row>
    <row r="35" spans="1:33" s="4" customFormat="1" ht="47.25" customHeight="1" x14ac:dyDescent="0.25">
      <c r="B35" s="333" t="s">
        <v>28</v>
      </c>
      <c r="C35" s="3082" t="s">
        <v>1457</v>
      </c>
      <c r="D35" s="3082"/>
      <c r="E35" s="3082"/>
      <c r="F35" s="3082"/>
      <c r="G35" s="3082"/>
      <c r="H35" s="3082"/>
      <c r="I35" s="3082"/>
      <c r="J35" s="3082"/>
      <c r="K35" s="3082"/>
      <c r="L35" s="3082"/>
      <c r="M35" s="3082"/>
      <c r="N35" s="3082"/>
      <c r="O35" s="3082"/>
      <c r="P35" s="3082"/>
      <c r="Q35" s="3082"/>
      <c r="R35" s="3082"/>
      <c r="S35" s="3082"/>
      <c r="T35" s="3082"/>
      <c r="U35" s="3082"/>
      <c r="V35" s="3082"/>
      <c r="W35" s="3082"/>
      <c r="X35" s="3082"/>
      <c r="Y35" s="3082"/>
      <c r="Z35" s="3082"/>
      <c r="AA35" s="3082"/>
      <c r="AB35" s="3082"/>
      <c r="AC35" s="3082"/>
      <c r="AD35" s="3082"/>
      <c r="AE35" s="3082"/>
      <c r="AF35" s="3082"/>
    </row>
    <row r="36" spans="1:33" s="4" customFormat="1" ht="14.45" customHeight="1" x14ac:dyDescent="0.25">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row>
    <row r="37" spans="1:33" x14ac:dyDescent="0.25">
      <c r="B37" s="171" t="s">
        <v>12</v>
      </c>
      <c r="C37" s="171"/>
      <c r="D37" s="171"/>
      <c r="E37" s="171"/>
      <c r="F37" s="171"/>
      <c r="G37" s="171"/>
      <c r="H37" s="171"/>
      <c r="I37" s="171"/>
    </row>
    <row r="38" spans="1:33" s="4" customFormat="1" ht="30.75" customHeight="1" x14ac:dyDescent="0.25">
      <c r="B38" s="1151" t="s">
        <v>1448</v>
      </c>
      <c r="C38" s="1151"/>
      <c r="D38" s="1151"/>
      <c r="E38" s="1151"/>
      <c r="F38" s="1151"/>
      <c r="G38" s="1151"/>
      <c r="H38" s="1151"/>
      <c r="I38" s="1151"/>
      <c r="J38" s="1151"/>
      <c r="K38" s="1151"/>
      <c r="L38" s="1151"/>
      <c r="M38" s="1151"/>
      <c r="N38" s="1151"/>
      <c r="O38" s="1151"/>
      <c r="P38" s="1151"/>
      <c r="Q38" s="1151"/>
      <c r="R38" s="1151"/>
      <c r="S38" s="1151"/>
      <c r="T38" s="1151"/>
      <c r="U38" s="1151"/>
      <c r="V38" s="1151"/>
      <c r="W38" s="1151"/>
      <c r="X38" s="1151"/>
      <c r="Y38" s="1151"/>
      <c r="Z38" s="1151"/>
      <c r="AA38" s="1151"/>
      <c r="AB38" s="1151"/>
      <c r="AC38" s="1151"/>
      <c r="AD38" s="1151"/>
      <c r="AE38" s="1151"/>
      <c r="AF38" s="1151"/>
    </row>
    <row r="40" spans="1:33" x14ac:dyDescent="0.25">
      <c r="B40" s="171" t="s">
        <v>13</v>
      </c>
      <c r="C40" s="171"/>
      <c r="D40" s="171"/>
      <c r="E40" s="171"/>
      <c r="F40" s="171"/>
      <c r="G40" s="171"/>
      <c r="H40" s="171"/>
      <c r="I40" s="171"/>
    </row>
    <row r="41" spans="1:33" ht="14.45" customHeight="1" x14ac:dyDescent="0.25">
      <c r="B41" s="1151" t="s">
        <v>464</v>
      </c>
      <c r="C41" s="1151"/>
      <c r="D41" s="1151"/>
      <c r="E41" s="1151"/>
      <c r="F41" s="1151"/>
      <c r="G41" s="1151"/>
      <c r="H41" s="1151"/>
      <c r="I41" s="1151"/>
      <c r="J41" s="1151"/>
      <c r="K41" s="1151"/>
      <c r="L41" s="1151"/>
      <c r="M41" s="1151"/>
      <c r="N41" s="1151"/>
      <c r="O41" s="1151"/>
      <c r="P41" s="1151"/>
      <c r="Q41" s="1151"/>
      <c r="R41" s="1151"/>
      <c r="S41" s="1151"/>
      <c r="T41" s="1151"/>
      <c r="U41" s="1151"/>
      <c r="V41" s="1151"/>
      <c r="W41" s="1151"/>
      <c r="X41" s="1151"/>
      <c r="Y41" s="1151"/>
      <c r="Z41" s="1151"/>
      <c r="AA41" s="1151"/>
      <c r="AB41" s="1151"/>
      <c r="AC41" s="1151"/>
      <c r="AD41" s="1151"/>
      <c r="AE41" s="1151"/>
      <c r="AF41" s="1151"/>
    </row>
    <row r="43" spans="1:33" x14ac:dyDescent="0.25">
      <c r="B43" s="171" t="s">
        <v>20</v>
      </c>
      <c r="C43" s="171"/>
      <c r="D43" s="171"/>
      <c r="E43" s="171"/>
      <c r="F43" s="171"/>
      <c r="G43" s="171"/>
      <c r="H43" s="171"/>
      <c r="I43" s="171"/>
    </row>
    <row r="44" spans="1:33" s="4" customFormat="1" ht="14.45" customHeight="1" x14ac:dyDescent="0.25">
      <c r="B44" s="1151" t="s">
        <v>465</v>
      </c>
      <c r="C44" s="1151"/>
      <c r="D44" s="1151"/>
      <c r="E44" s="1151"/>
      <c r="F44" s="1151"/>
      <c r="G44" s="1151"/>
      <c r="H44" s="1151"/>
      <c r="I44" s="1151"/>
      <c r="J44" s="1151"/>
      <c r="K44" s="1151"/>
      <c r="L44" s="1151"/>
      <c r="M44" s="1151"/>
      <c r="N44" s="1151"/>
      <c r="O44" s="1151"/>
      <c r="P44" s="1151"/>
      <c r="Q44" s="1151"/>
      <c r="R44" s="1151"/>
      <c r="S44" s="1151"/>
      <c r="T44" s="1151"/>
      <c r="U44" s="1151"/>
      <c r="V44" s="1151"/>
      <c r="W44" s="1151"/>
      <c r="X44" s="1151"/>
      <c r="Y44" s="1151"/>
      <c r="Z44" s="1151"/>
      <c r="AA44" s="1151"/>
      <c r="AB44" s="1151"/>
      <c r="AC44" s="1151"/>
      <c r="AD44" s="1151"/>
      <c r="AE44" s="1151"/>
      <c r="AF44" s="1151"/>
    </row>
    <row r="45" spans="1:33" s="4" customFormat="1" ht="14.45" customHeight="1" x14ac:dyDescent="0.25"/>
    <row r="47" spans="1:33" x14ac:dyDescent="0.25">
      <c r="A47" s="1472" t="s">
        <v>14</v>
      </c>
      <c r="B47" s="1472"/>
      <c r="C47" s="1472"/>
      <c r="D47" s="1472"/>
      <c r="E47" s="1472"/>
      <c r="F47" s="1472"/>
      <c r="G47" s="1472"/>
      <c r="H47" s="1472"/>
      <c r="I47" s="1472"/>
      <c r="J47" s="1472"/>
      <c r="K47" s="1472"/>
      <c r="L47" s="1472"/>
      <c r="M47" s="1472"/>
      <c r="N47" s="1472"/>
      <c r="O47" s="1472"/>
      <c r="P47" s="1472"/>
      <c r="Q47" s="1472"/>
      <c r="R47" s="1472"/>
      <c r="S47" s="1472"/>
      <c r="T47" s="1472"/>
      <c r="U47" s="1472"/>
      <c r="V47" s="1472"/>
      <c r="W47" s="1472"/>
      <c r="X47" s="1472"/>
      <c r="Y47" s="1472"/>
      <c r="Z47" s="1472"/>
      <c r="AA47" s="1472"/>
      <c r="AB47" s="1472"/>
      <c r="AC47" s="1472"/>
      <c r="AD47" s="1472"/>
      <c r="AE47" s="1472"/>
      <c r="AF47" s="1472"/>
    </row>
    <row r="49" spans="1:32" x14ac:dyDescent="0.25">
      <c r="A49" s="1343" t="s">
        <v>1458</v>
      </c>
      <c r="B49" s="1343"/>
      <c r="C49" s="1343"/>
      <c r="D49" s="1343"/>
      <c r="E49" s="1343"/>
      <c r="F49" s="1343"/>
      <c r="G49" s="1343"/>
      <c r="H49" s="1343"/>
      <c r="I49" s="1343"/>
      <c r="J49" s="1343"/>
      <c r="K49" s="1343"/>
      <c r="L49" s="1343"/>
      <c r="M49" s="1343"/>
      <c r="N49" s="1343"/>
      <c r="O49" s="1343"/>
      <c r="P49" s="1343"/>
      <c r="Q49" s="1343"/>
      <c r="R49" s="1343"/>
      <c r="S49" s="1343"/>
      <c r="T49" s="1343"/>
      <c r="U49" s="1343"/>
      <c r="V49" s="1343"/>
      <c r="W49" s="1343"/>
      <c r="X49" s="1343"/>
      <c r="Y49" s="1343"/>
      <c r="Z49" s="1343"/>
      <c r="AA49" s="1343"/>
      <c r="AB49" s="1343"/>
      <c r="AC49" s="1343"/>
      <c r="AD49" s="1343"/>
      <c r="AE49" s="1343"/>
      <c r="AF49" s="1343"/>
    </row>
    <row r="52" spans="1:32" x14ac:dyDescent="0.25">
      <c r="A52" s="1472" t="s">
        <v>21</v>
      </c>
      <c r="B52" s="1472"/>
      <c r="C52" s="1472"/>
      <c r="D52" s="1472"/>
      <c r="E52" s="1472"/>
      <c r="F52" s="1472"/>
      <c r="G52" s="1472"/>
      <c r="H52" s="1472"/>
      <c r="I52" s="1472"/>
      <c r="J52" s="1472"/>
      <c r="K52" s="1472"/>
      <c r="L52" s="1472"/>
      <c r="M52" s="1472"/>
      <c r="N52" s="1472"/>
      <c r="O52" s="1472"/>
      <c r="P52" s="1472"/>
      <c r="Q52" s="1472"/>
      <c r="R52" s="1472"/>
      <c r="S52" s="1472"/>
      <c r="T52" s="1472"/>
      <c r="U52" s="1472"/>
      <c r="V52" s="1472"/>
      <c r="W52" s="1472"/>
      <c r="X52" s="1472"/>
      <c r="Y52" s="1472"/>
      <c r="Z52" s="1472"/>
      <c r="AA52" s="1472"/>
      <c r="AB52" s="1472"/>
      <c r="AC52" s="1472"/>
      <c r="AD52" s="1472"/>
      <c r="AE52" s="1472"/>
      <c r="AF52" s="1472"/>
    </row>
    <row r="53" spans="1:32" ht="15.75" thickBot="1" x14ac:dyDescent="0.3"/>
    <row r="54" spans="1:32" x14ac:dyDescent="0.25">
      <c r="A54" s="1583" t="s">
        <v>22</v>
      </c>
      <c r="B54" s="1584"/>
      <c r="C54" s="1584"/>
      <c r="D54" s="1584"/>
      <c r="E54" s="1584"/>
      <c r="F54" s="1584"/>
      <c r="G54" s="1584"/>
      <c r="H54" s="1584"/>
      <c r="I54" s="1584" t="s">
        <v>23</v>
      </c>
      <c r="J54" s="1584"/>
      <c r="K54" s="1584"/>
      <c r="L54" s="1584"/>
      <c r="M54" s="1584"/>
      <c r="N54" s="1584"/>
      <c r="O54" s="1584"/>
      <c r="P54" s="1584"/>
      <c r="Q54" s="1584" t="s">
        <v>24</v>
      </c>
      <c r="R54" s="1584"/>
      <c r="S54" s="1584"/>
      <c r="T54" s="1584"/>
      <c r="U54" s="1584"/>
      <c r="V54" s="1584"/>
      <c r="W54" s="1584"/>
      <c r="X54" s="1585"/>
    </row>
    <row r="55" spans="1:32" ht="15.75" thickBot="1" x14ac:dyDescent="0.3">
      <c r="A55" s="2868" t="s">
        <v>466</v>
      </c>
      <c r="B55" s="2869"/>
      <c r="C55" s="2869"/>
      <c r="D55" s="2869"/>
      <c r="E55" s="2869"/>
      <c r="F55" s="2869"/>
      <c r="G55" s="2869"/>
      <c r="H55" s="2869"/>
      <c r="I55" s="1580" t="s">
        <v>467</v>
      </c>
      <c r="J55" s="1580"/>
      <c r="K55" s="1580"/>
      <c r="L55" s="1580"/>
      <c r="M55" s="1580"/>
      <c r="N55" s="1580"/>
      <c r="O55" s="1580"/>
      <c r="P55" s="1580"/>
      <c r="Q55" s="1580" t="s">
        <v>467</v>
      </c>
      <c r="R55" s="1580"/>
      <c r="S55" s="1580"/>
      <c r="T55" s="1580"/>
      <c r="U55" s="1580"/>
      <c r="V55" s="1580"/>
      <c r="W55" s="1580"/>
      <c r="X55" s="1581"/>
    </row>
  </sheetData>
  <sheetProtection algorithmName="SHA-512" hashValue="7khCOvrSLmV7TGYDGLtMM6W0gnD+g6CKjPNeaKXKucN3X5nSoZhfkzwHTua+q7V1PuazlXEMRGS5U1NuYJl9vQ==" saltValue="z/EY3yw0kJf1OPewMRvmSw==" spinCount="100000" sheet="1" objects="1" scenarios="1"/>
  <mergeCells count="42">
    <mergeCell ref="C31:AF31"/>
    <mergeCell ref="C34:AF34"/>
    <mergeCell ref="C35:AF35"/>
    <mergeCell ref="D32:AF32"/>
    <mergeCell ref="D33:AF33"/>
    <mergeCell ref="C26:AF26"/>
    <mergeCell ref="C27:AF27"/>
    <mergeCell ref="C28:AF28"/>
    <mergeCell ref="C29:AF29"/>
    <mergeCell ref="C30:AF30"/>
    <mergeCell ref="C16:AF16"/>
    <mergeCell ref="C17:AF17"/>
    <mergeCell ref="Q54:X54"/>
    <mergeCell ref="A55:H55"/>
    <mergeCell ref="I55:P55"/>
    <mergeCell ref="Q55:X55"/>
    <mergeCell ref="A47:AF47"/>
    <mergeCell ref="A54:H54"/>
    <mergeCell ref="I54:P54"/>
    <mergeCell ref="A52:AF52"/>
    <mergeCell ref="A49:AF49"/>
    <mergeCell ref="C18:AF18"/>
    <mergeCell ref="C22:AF22"/>
    <mergeCell ref="C23:AF23"/>
    <mergeCell ref="C24:AF24"/>
    <mergeCell ref="C25:AF25"/>
    <mergeCell ref="A1:AF1"/>
    <mergeCell ref="B6:AF6"/>
    <mergeCell ref="B44:AF44"/>
    <mergeCell ref="B41:AF41"/>
    <mergeCell ref="A3:AF3"/>
    <mergeCell ref="B38:AF38"/>
    <mergeCell ref="B21:AF21"/>
    <mergeCell ref="C7:AF7"/>
    <mergeCell ref="C8:AF8"/>
    <mergeCell ref="C9:AF9"/>
    <mergeCell ref="C10:AF10"/>
    <mergeCell ref="C11:AF11"/>
    <mergeCell ref="C12:AF12"/>
    <mergeCell ref="C13:AF13"/>
    <mergeCell ref="C14:AF14"/>
    <mergeCell ref="C15:AF15"/>
  </mergeCells>
  <hyperlinks>
    <hyperlink ref="A2" location="TOC!A1" display="Return to TOC" xr:uid="{00000000-0004-0000-42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C32:C33"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8">
    <pageSetUpPr autoPageBreaks="0"/>
  </sheetPr>
  <dimension ref="A1:XFD174"/>
  <sheetViews>
    <sheetView showGridLines="0" workbookViewId="0">
      <selection sqref="A1:AF1"/>
    </sheetView>
  </sheetViews>
  <sheetFormatPr defaultColWidth="2.7109375" defaultRowHeight="15" x14ac:dyDescent="0.25"/>
  <cols>
    <col min="1" max="1" width="2.7109375" style="273"/>
    <col min="2" max="16384" width="2.7109375" style="272"/>
  </cols>
  <sheetData>
    <row r="1" spans="1:32" ht="18" customHeight="1" thickBot="1" x14ac:dyDescent="0.3">
      <c r="A1" s="1170" t="s">
        <v>1045</v>
      </c>
      <c r="B1" s="1171"/>
      <c r="C1" s="1171"/>
      <c r="D1" s="1171"/>
      <c r="E1" s="1171"/>
      <c r="F1" s="1171"/>
      <c r="G1" s="1171"/>
      <c r="H1" s="1171"/>
      <c r="I1" s="1171"/>
      <c r="J1" s="1171"/>
      <c r="K1" s="1171"/>
      <c r="L1" s="1171"/>
      <c r="M1" s="1171"/>
      <c r="N1" s="1171"/>
      <c r="O1" s="1171"/>
      <c r="P1" s="1171"/>
      <c r="Q1" s="1171"/>
      <c r="R1" s="1171"/>
      <c r="S1" s="1171"/>
      <c r="T1" s="1171"/>
      <c r="U1" s="1171"/>
      <c r="V1" s="1171"/>
      <c r="W1" s="1171"/>
      <c r="X1" s="1171"/>
      <c r="Y1" s="1171"/>
      <c r="Z1" s="1171"/>
      <c r="AA1" s="1171"/>
      <c r="AB1" s="1171"/>
      <c r="AC1" s="1171"/>
      <c r="AD1" s="1171"/>
      <c r="AE1" s="1171"/>
      <c r="AF1" s="1172"/>
    </row>
    <row r="2" spans="1:32" x14ac:dyDescent="0.25">
      <c r="A2" s="376" t="s">
        <v>1702</v>
      </c>
    </row>
    <row r="3" spans="1:32"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14.45" customHeight="1" x14ac:dyDescent="0.25">
      <c r="A5" s="262"/>
      <c r="B5" s="1151" t="s">
        <v>7234</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customFormat="1" ht="14.45" customHeight="1" x14ac:dyDescent="0.25">
      <c r="A6" s="262"/>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customFormat="1" ht="14.45" customHeight="1" x14ac:dyDescent="0.25">
      <c r="A7" s="1148" t="s">
        <v>2521</v>
      </c>
      <c r="B7" s="1149"/>
      <c r="C7" s="1149"/>
      <c r="D7" s="1149"/>
      <c r="E7" s="1149"/>
      <c r="F7" s="1149"/>
      <c r="G7" s="1149"/>
      <c r="H7" s="1149"/>
      <c r="I7" s="1149"/>
      <c r="J7" s="1149" t="s">
        <v>2522</v>
      </c>
      <c r="K7" s="1149"/>
      <c r="L7" s="1149"/>
      <c r="M7" s="1149"/>
      <c r="N7" s="1149"/>
      <c r="O7" s="1149"/>
      <c r="P7" s="1149"/>
      <c r="Q7" s="1149"/>
      <c r="R7" s="1149"/>
      <c r="S7" s="1149"/>
      <c r="T7" s="1149"/>
      <c r="U7" s="1149"/>
      <c r="V7" s="1149"/>
      <c r="W7" s="1149"/>
      <c r="X7" s="1149"/>
      <c r="Y7" s="1149"/>
      <c r="Z7" s="1149"/>
      <c r="AA7" s="1149"/>
      <c r="AB7" s="1149"/>
      <c r="AC7" s="1149"/>
      <c r="AD7" s="1149"/>
      <c r="AE7" s="1149"/>
      <c r="AF7" s="1150"/>
    </row>
    <row r="8" spans="1:32" customFormat="1" ht="14.45" customHeigh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ht="36" customHeight="1" x14ac:dyDescent="0.25">
      <c r="A9" s="1167" t="s">
        <v>2523</v>
      </c>
      <c r="B9" s="1167"/>
      <c r="C9" s="1167"/>
      <c r="D9" s="1167"/>
      <c r="E9" s="1167"/>
      <c r="F9" s="1167"/>
      <c r="G9" s="1167"/>
      <c r="H9" s="1167"/>
      <c r="I9" s="1167"/>
      <c r="J9" s="1142" t="s">
        <v>2524</v>
      </c>
      <c r="K9" s="1142"/>
      <c r="L9" s="1142"/>
      <c r="M9" s="1142"/>
      <c r="N9" s="1142"/>
      <c r="O9" s="1142"/>
      <c r="P9" s="1142"/>
      <c r="Q9" s="1142"/>
      <c r="R9" s="1142"/>
      <c r="S9" s="1142"/>
      <c r="T9" s="1142"/>
      <c r="U9" s="1142"/>
      <c r="V9" s="1142"/>
      <c r="W9" s="1142"/>
      <c r="X9" s="1142"/>
      <c r="Y9" s="1142"/>
      <c r="Z9" s="1142"/>
      <c r="AA9" s="1142"/>
      <c r="AB9" s="1142"/>
      <c r="AC9" s="1142"/>
      <c r="AD9" s="1142"/>
      <c r="AE9" s="1142"/>
      <c r="AF9" s="1142"/>
    </row>
    <row r="10" spans="1:32" x14ac:dyDescent="0.25">
      <c r="A10" s="274"/>
      <c r="B10" s="274"/>
      <c r="C10" s="274"/>
      <c r="D10" s="274"/>
      <c r="E10" s="274"/>
      <c r="F10" s="274"/>
      <c r="G10" s="274"/>
      <c r="H10" s="274"/>
      <c r="I10" s="274"/>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row>
    <row r="11" spans="1:32" ht="72" customHeight="1" x14ac:dyDescent="0.25">
      <c r="A11" s="1167" t="s">
        <v>2525</v>
      </c>
      <c r="B11" s="1167"/>
      <c r="C11" s="1167"/>
      <c r="D11" s="1167"/>
      <c r="E11" s="1167"/>
      <c r="F11" s="1167"/>
      <c r="G11" s="1167"/>
      <c r="H11" s="1167"/>
      <c r="I11" s="1167"/>
      <c r="J11" s="1142" t="s">
        <v>2526</v>
      </c>
      <c r="K11" s="1142"/>
      <c r="L11" s="1142"/>
      <c r="M11" s="1142"/>
      <c r="N11" s="1142"/>
      <c r="O11" s="1142"/>
      <c r="P11" s="1142"/>
      <c r="Q11" s="1142"/>
      <c r="R11" s="1142"/>
      <c r="S11" s="1142"/>
      <c r="T11" s="1142"/>
      <c r="U11" s="1142"/>
      <c r="V11" s="1142"/>
      <c r="W11" s="1142"/>
      <c r="X11" s="1142"/>
      <c r="Y11" s="1142"/>
      <c r="Z11" s="1142"/>
      <c r="AA11" s="1142"/>
      <c r="AB11" s="1142"/>
      <c r="AC11" s="1142"/>
      <c r="AD11" s="1142"/>
      <c r="AE11" s="1142"/>
      <c r="AF11" s="1142"/>
    </row>
    <row r="12" spans="1:32" x14ac:dyDescent="0.25">
      <c r="A12" s="274"/>
      <c r="B12" s="274"/>
      <c r="C12" s="274"/>
      <c r="D12" s="274"/>
      <c r="E12" s="274"/>
      <c r="F12" s="274"/>
      <c r="G12" s="274"/>
      <c r="H12" s="274"/>
      <c r="I12" s="274"/>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row>
    <row r="13" spans="1:32" ht="81.75" customHeight="1" x14ac:dyDescent="0.25">
      <c r="A13" s="1167" t="s">
        <v>2527</v>
      </c>
      <c r="B13" s="1167"/>
      <c r="C13" s="1167"/>
      <c r="D13" s="1167"/>
      <c r="E13" s="1167"/>
      <c r="F13" s="1167"/>
      <c r="G13" s="1167"/>
      <c r="H13" s="1167"/>
      <c r="I13" s="1167"/>
      <c r="J13" s="1142" t="s">
        <v>2528</v>
      </c>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row>
    <row r="14" spans="1:32" x14ac:dyDescent="0.25">
      <c r="A14" s="274"/>
      <c r="B14" s="274"/>
      <c r="C14" s="274"/>
      <c r="D14" s="274"/>
      <c r="E14" s="274"/>
      <c r="F14" s="274"/>
      <c r="G14" s="274"/>
      <c r="H14" s="274"/>
      <c r="I14" s="274"/>
    </row>
    <row r="15" spans="1:32" ht="43.15" customHeight="1" x14ac:dyDescent="0.25">
      <c r="A15" s="1167" t="s">
        <v>2529</v>
      </c>
      <c r="B15" s="1167"/>
      <c r="C15" s="1167"/>
      <c r="D15" s="1167"/>
      <c r="E15" s="1167"/>
      <c r="F15" s="1167"/>
      <c r="G15" s="1167"/>
      <c r="H15" s="1167"/>
      <c r="I15" s="1167"/>
      <c r="J15" s="1142" t="s">
        <v>2530</v>
      </c>
      <c r="K15" s="1142"/>
      <c r="L15" s="1142"/>
      <c r="M15" s="1142"/>
      <c r="N15" s="1142"/>
      <c r="O15" s="1142"/>
      <c r="P15" s="1142"/>
      <c r="Q15" s="1142"/>
      <c r="R15" s="1142"/>
      <c r="S15" s="1142"/>
      <c r="T15" s="1142"/>
      <c r="U15" s="1142"/>
      <c r="V15" s="1142"/>
      <c r="W15" s="1142"/>
      <c r="X15" s="1142"/>
      <c r="Y15" s="1142"/>
      <c r="Z15" s="1142"/>
      <c r="AA15" s="1142"/>
      <c r="AB15" s="1142"/>
      <c r="AC15" s="1142"/>
      <c r="AD15" s="1142"/>
      <c r="AE15" s="1142"/>
      <c r="AF15" s="1142"/>
    </row>
    <row r="16" spans="1:32" x14ac:dyDescent="0.25">
      <c r="A16" s="274"/>
      <c r="B16" s="274"/>
      <c r="C16" s="274"/>
      <c r="D16" s="274"/>
      <c r="E16" s="274"/>
      <c r="F16" s="274"/>
      <c r="G16" s="274"/>
      <c r="H16" s="274"/>
      <c r="I16" s="274"/>
    </row>
    <row r="17" spans="1:32" ht="43.15" customHeight="1" x14ac:dyDescent="0.25">
      <c r="A17" s="1167" t="s">
        <v>2531</v>
      </c>
      <c r="B17" s="1167"/>
      <c r="C17" s="1167"/>
      <c r="D17" s="1167"/>
      <c r="E17" s="1167"/>
      <c r="F17" s="1167"/>
      <c r="G17" s="1167"/>
      <c r="H17" s="1167"/>
      <c r="I17" s="1167"/>
      <c r="J17" s="1142" t="s">
        <v>2532</v>
      </c>
      <c r="K17" s="1142"/>
      <c r="L17" s="1142"/>
      <c r="M17" s="1142"/>
      <c r="N17" s="1142"/>
      <c r="O17" s="1142"/>
      <c r="P17" s="1142"/>
      <c r="Q17" s="1142"/>
      <c r="R17" s="1142"/>
      <c r="S17" s="1142"/>
      <c r="T17" s="1142"/>
      <c r="U17" s="1142"/>
      <c r="V17" s="1142"/>
      <c r="W17" s="1142"/>
      <c r="X17" s="1142"/>
      <c r="Y17" s="1142"/>
      <c r="Z17" s="1142"/>
      <c r="AA17" s="1142"/>
      <c r="AB17" s="1142"/>
      <c r="AC17" s="1142"/>
      <c r="AD17" s="1142"/>
      <c r="AE17" s="1142"/>
      <c r="AF17" s="1142"/>
    </row>
    <row r="18" spans="1:32" x14ac:dyDescent="0.25">
      <c r="A18" s="274"/>
      <c r="B18" s="274"/>
      <c r="C18" s="274"/>
      <c r="D18" s="274"/>
      <c r="E18" s="274"/>
      <c r="F18" s="274"/>
      <c r="G18" s="274"/>
      <c r="H18" s="274"/>
      <c r="I18" s="274"/>
    </row>
    <row r="19" spans="1:32" ht="83.25" customHeight="1" x14ac:dyDescent="0.25">
      <c r="A19" s="1167" t="s">
        <v>2533</v>
      </c>
      <c r="B19" s="1167"/>
      <c r="C19" s="1167"/>
      <c r="D19" s="1167"/>
      <c r="E19" s="1167"/>
      <c r="F19" s="1167"/>
      <c r="G19" s="1167"/>
      <c r="H19" s="1167"/>
      <c r="I19" s="1167"/>
      <c r="J19" s="1142" t="s">
        <v>3123</v>
      </c>
      <c r="K19" s="1142"/>
      <c r="L19" s="1142"/>
      <c r="M19" s="1142"/>
      <c r="N19" s="1142"/>
      <c r="O19" s="1142"/>
      <c r="P19" s="1142"/>
      <c r="Q19" s="1142"/>
      <c r="R19" s="1142"/>
      <c r="S19" s="1142"/>
      <c r="T19" s="1142"/>
      <c r="U19" s="1142"/>
      <c r="V19" s="1142"/>
      <c r="W19" s="1142"/>
      <c r="X19" s="1142"/>
      <c r="Y19" s="1142"/>
      <c r="Z19" s="1142"/>
      <c r="AA19" s="1142"/>
      <c r="AB19" s="1142"/>
      <c r="AC19" s="1142"/>
      <c r="AD19" s="1142"/>
      <c r="AE19" s="1142"/>
      <c r="AF19" s="1142"/>
    </row>
    <row r="20" spans="1:32" x14ac:dyDescent="0.25">
      <c r="A20" s="274"/>
      <c r="B20" s="274"/>
      <c r="C20" s="274"/>
      <c r="D20" s="274"/>
      <c r="E20" s="274"/>
      <c r="F20" s="274"/>
      <c r="G20" s="274"/>
      <c r="H20" s="274"/>
      <c r="I20" s="274"/>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0"/>
    </row>
    <row r="21" spans="1:32" ht="149.25" customHeight="1" x14ac:dyDescent="0.25">
      <c r="A21" s="1167" t="s">
        <v>2534</v>
      </c>
      <c r="B21" s="1167"/>
      <c r="C21" s="1167"/>
      <c r="D21" s="1167"/>
      <c r="E21" s="1167"/>
      <c r="F21" s="1167"/>
      <c r="G21" s="1167"/>
      <c r="H21" s="1167"/>
      <c r="I21" s="1167"/>
      <c r="J21" s="1142" t="s">
        <v>2535</v>
      </c>
      <c r="K21" s="1142"/>
      <c r="L21" s="1142"/>
      <c r="M21" s="1142"/>
      <c r="N21" s="1142"/>
      <c r="O21" s="1142"/>
      <c r="P21" s="1142"/>
      <c r="Q21" s="1142"/>
      <c r="R21" s="1142"/>
      <c r="S21" s="1142"/>
      <c r="T21" s="1142"/>
      <c r="U21" s="1142"/>
      <c r="V21" s="1142"/>
      <c r="W21" s="1142"/>
      <c r="X21" s="1142"/>
      <c r="Y21" s="1142"/>
      <c r="Z21" s="1142"/>
      <c r="AA21" s="1142"/>
      <c r="AB21" s="1142"/>
      <c r="AC21" s="1142"/>
      <c r="AD21" s="1142"/>
      <c r="AE21" s="1142"/>
      <c r="AF21" s="1142"/>
    </row>
    <row r="22" spans="1:32" x14ac:dyDescent="0.25">
      <c r="A22" s="274"/>
      <c r="B22" s="274"/>
      <c r="C22" s="274"/>
      <c r="D22" s="274"/>
      <c r="E22" s="274"/>
      <c r="F22" s="274"/>
      <c r="G22" s="274"/>
      <c r="H22" s="274"/>
      <c r="I22" s="274"/>
      <c r="J22" s="270"/>
      <c r="K22" s="270"/>
      <c r="L22" s="270"/>
      <c r="M22" s="270"/>
      <c r="N22" s="270"/>
      <c r="O22" s="270"/>
      <c r="P22" s="270"/>
      <c r="Q22" s="270"/>
      <c r="R22" s="270"/>
      <c r="S22" s="270"/>
      <c r="T22" s="270"/>
      <c r="U22" s="270"/>
      <c r="V22" s="270"/>
      <c r="W22" s="270"/>
      <c r="X22" s="270"/>
      <c r="Y22" s="270"/>
      <c r="Z22" s="270"/>
      <c r="AA22" s="270"/>
      <c r="AB22" s="270"/>
      <c r="AC22" s="270"/>
      <c r="AD22" s="270"/>
      <c r="AE22" s="270"/>
      <c r="AF22" s="270"/>
    </row>
    <row r="23" spans="1:32" ht="79.5" customHeight="1" x14ac:dyDescent="0.25">
      <c r="A23" s="1167" t="s">
        <v>2999</v>
      </c>
      <c r="B23" s="1167"/>
      <c r="C23" s="1167"/>
      <c r="D23" s="1167"/>
      <c r="E23" s="1167"/>
      <c r="F23" s="1167"/>
      <c r="G23" s="1167"/>
      <c r="H23" s="1167"/>
      <c r="I23" s="1167"/>
      <c r="J23" s="1142" t="s">
        <v>3436</v>
      </c>
      <c r="K23" s="1142"/>
      <c r="L23" s="1142"/>
      <c r="M23" s="1142"/>
      <c r="N23" s="1142"/>
      <c r="O23" s="1142"/>
      <c r="P23" s="1142"/>
      <c r="Q23" s="1142"/>
      <c r="R23" s="1142"/>
      <c r="S23" s="1142"/>
      <c r="T23" s="1142"/>
      <c r="U23" s="1142"/>
      <c r="V23" s="1142"/>
      <c r="W23" s="1142"/>
      <c r="X23" s="1142"/>
      <c r="Y23" s="1142"/>
      <c r="Z23" s="1142"/>
      <c r="AA23" s="1142"/>
      <c r="AB23" s="1142"/>
      <c r="AC23" s="1142"/>
      <c r="AD23" s="1142"/>
      <c r="AE23" s="1142"/>
      <c r="AF23" s="1142"/>
    </row>
    <row r="24" spans="1:32" x14ac:dyDescent="0.25">
      <c r="A24" s="274"/>
      <c r="B24" s="274"/>
      <c r="C24" s="274"/>
      <c r="D24" s="274"/>
      <c r="E24" s="274"/>
      <c r="F24" s="274"/>
      <c r="G24" s="274"/>
      <c r="H24" s="274"/>
      <c r="I24" s="274"/>
    </row>
    <row r="25" spans="1:32" ht="50.25" customHeight="1" x14ac:dyDescent="0.25">
      <c r="A25" s="1167" t="s">
        <v>2536</v>
      </c>
      <c r="B25" s="1167"/>
      <c r="C25" s="1167"/>
      <c r="D25" s="1167"/>
      <c r="E25" s="1167"/>
      <c r="F25" s="1167"/>
      <c r="G25" s="1167"/>
      <c r="H25" s="1167"/>
      <c r="I25" s="1167"/>
      <c r="J25" s="1142" t="s">
        <v>2537</v>
      </c>
      <c r="K25" s="1142"/>
      <c r="L25" s="1142"/>
      <c r="M25" s="1142"/>
      <c r="N25" s="1142"/>
      <c r="O25" s="1142"/>
      <c r="P25" s="1142"/>
      <c r="Q25" s="1142"/>
      <c r="R25" s="1142"/>
      <c r="S25" s="1142"/>
      <c r="T25" s="1142"/>
      <c r="U25" s="1142"/>
      <c r="V25" s="1142"/>
      <c r="W25" s="1142"/>
      <c r="X25" s="1142"/>
      <c r="Y25" s="1142"/>
      <c r="Z25" s="1142"/>
      <c r="AA25" s="1142"/>
      <c r="AB25" s="1142"/>
      <c r="AC25" s="1142"/>
      <c r="AD25" s="1142"/>
      <c r="AE25" s="1142"/>
      <c r="AF25" s="1142"/>
    </row>
    <row r="26" spans="1:32" x14ac:dyDescent="0.25">
      <c r="A26" s="274"/>
      <c r="B26" s="274"/>
      <c r="C26" s="274"/>
      <c r="D26" s="274"/>
      <c r="E26" s="274"/>
      <c r="F26" s="274"/>
      <c r="G26" s="274"/>
      <c r="H26" s="274"/>
      <c r="I26" s="274"/>
    </row>
    <row r="27" spans="1:32" ht="36.75" customHeight="1" x14ac:dyDescent="0.25">
      <c r="A27" s="1167" t="s">
        <v>2538</v>
      </c>
      <c r="B27" s="1167"/>
      <c r="C27" s="1167"/>
      <c r="D27" s="1167"/>
      <c r="E27" s="1167"/>
      <c r="F27" s="1167"/>
      <c r="G27" s="1167"/>
      <c r="H27" s="1167"/>
      <c r="I27" s="1167"/>
      <c r="J27" s="1142" t="s">
        <v>2539</v>
      </c>
      <c r="K27" s="1142"/>
      <c r="L27" s="1142"/>
      <c r="M27" s="1142"/>
      <c r="N27" s="1142"/>
      <c r="O27" s="1142"/>
      <c r="P27" s="1142"/>
      <c r="Q27" s="1142"/>
      <c r="R27" s="1142"/>
      <c r="S27" s="1142"/>
      <c r="T27" s="1142"/>
      <c r="U27" s="1142"/>
      <c r="V27" s="1142"/>
      <c r="W27" s="1142"/>
      <c r="X27" s="1142"/>
      <c r="Y27" s="1142"/>
      <c r="Z27" s="1142"/>
      <c r="AA27" s="1142"/>
      <c r="AB27" s="1142"/>
      <c r="AC27" s="1142"/>
      <c r="AD27" s="1142"/>
      <c r="AE27" s="1142"/>
      <c r="AF27" s="1142"/>
    </row>
    <row r="28" spans="1:32" x14ac:dyDescent="0.25">
      <c r="A28" s="274"/>
      <c r="B28" s="274"/>
      <c r="C28" s="274"/>
      <c r="D28" s="274"/>
      <c r="E28" s="274"/>
      <c r="F28" s="274"/>
      <c r="G28" s="274"/>
      <c r="H28" s="274"/>
      <c r="I28" s="274"/>
    </row>
    <row r="29" spans="1:32" ht="111.75" customHeight="1" x14ac:dyDescent="0.25">
      <c r="A29" s="1167" t="s">
        <v>2540</v>
      </c>
      <c r="B29" s="1167"/>
      <c r="C29" s="1167"/>
      <c r="D29" s="1167"/>
      <c r="E29" s="1167"/>
      <c r="F29" s="1167"/>
      <c r="G29" s="1167"/>
      <c r="H29" s="1167"/>
      <c r="I29" s="1167"/>
      <c r="J29" s="1142" t="s">
        <v>2541</v>
      </c>
      <c r="K29" s="1142"/>
      <c r="L29" s="1142"/>
      <c r="M29" s="1142"/>
      <c r="N29" s="1142"/>
      <c r="O29" s="1142"/>
      <c r="P29" s="1142"/>
      <c r="Q29" s="1142"/>
      <c r="R29" s="1142"/>
      <c r="S29" s="1142"/>
      <c r="T29" s="1142"/>
      <c r="U29" s="1142"/>
      <c r="V29" s="1142"/>
      <c r="W29" s="1142"/>
      <c r="X29" s="1142"/>
      <c r="Y29" s="1142"/>
      <c r="Z29" s="1142"/>
      <c r="AA29" s="1142"/>
      <c r="AB29" s="1142"/>
      <c r="AC29" s="1142"/>
      <c r="AD29" s="1142"/>
      <c r="AE29" s="1142"/>
      <c r="AF29" s="1142"/>
    </row>
    <row r="31" spans="1:32" ht="99" customHeight="1" x14ac:dyDescent="0.25">
      <c r="A31" s="1167" t="s">
        <v>1180</v>
      </c>
      <c r="B31" s="1167"/>
      <c r="C31" s="1167"/>
      <c r="D31" s="1167"/>
      <c r="E31" s="1167"/>
      <c r="F31" s="1167"/>
      <c r="G31" s="1167"/>
      <c r="H31" s="1167"/>
      <c r="I31" s="1167"/>
      <c r="J31" s="1142" t="s">
        <v>2542</v>
      </c>
      <c r="K31" s="1142"/>
      <c r="L31" s="1142"/>
      <c r="M31" s="1142"/>
      <c r="N31" s="1142"/>
      <c r="O31" s="1142"/>
      <c r="P31" s="1142"/>
      <c r="Q31" s="1142"/>
      <c r="R31" s="1142"/>
      <c r="S31" s="1142"/>
      <c r="T31" s="1142"/>
      <c r="U31" s="1142"/>
      <c r="V31" s="1142"/>
      <c r="W31" s="1142"/>
      <c r="X31" s="1142"/>
      <c r="Y31" s="1142"/>
      <c r="Z31" s="1142"/>
      <c r="AA31" s="1142"/>
      <c r="AB31" s="1142"/>
      <c r="AC31" s="1142"/>
      <c r="AD31" s="1142"/>
      <c r="AE31" s="1142"/>
      <c r="AF31" s="1142"/>
    </row>
    <row r="33" spans="1:16384" s="272" customFormat="1" ht="47.25" customHeight="1" x14ac:dyDescent="0.25">
      <c r="A33" s="1167" t="s">
        <v>7235</v>
      </c>
      <c r="B33" s="1167"/>
      <c r="C33" s="1167"/>
      <c r="D33" s="1167"/>
      <c r="E33" s="1167"/>
      <c r="F33" s="1167"/>
      <c r="G33" s="1167"/>
      <c r="H33" s="1167"/>
      <c r="I33" s="1167"/>
      <c r="J33" s="1142" t="s">
        <v>7242</v>
      </c>
      <c r="K33" s="1142"/>
      <c r="L33" s="1142"/>
      <c r="M33" s="1142"/>
      <c r="N33" s="1142"/>
      <c r="O33" s="1142"/>
      <c r="P33" s="1142"/>
      <c r="Q33" s="1142"/>
      <c r="R33" s="1142"/>
      <c r="S33" s="1142"/>
      <c r="T33" s="1142"/>
      <c r="U33" s="1142"/>
      <c r="V33" s="1142"/>
      <c r="W33" s="1142"/>
      <c r="X33" s="1142"/>
      <c r="Y33" s="1142"/>
      <c r="Z33" s="1142"/>
      <c r="AA33" s="1142"/>
      <c r="AB33" s="1142"/>
      <c r="AC33" s="1142"/>
      <c r="AD33" s="1142"/>
      <c r="AE33" s="1142"/>
      <c r="AF33" s="1142"/>
    </row>
    <row r="34" spans="1:16384" s="272" customFormat="1" x14ac:dyDescent="0.25">
      <c r="A34" s="273"/>
    </row>
    <row r="35" spans="1:16384" s="272" customFormat="1" ht="127.5" customHeight="1" x14ac:dyDescent="0.25">
      <c r="A35" s="1167" t="s">
        <v>2543</v>
      </c>
      <c r="B35" s="1167"/>
      <c r="C35" s="1167"/>
      <c r="D35" s="1167"/>
      <c r="E35" s="1167"/>
      <c r="F35" s="1167"/>
      <c r="G35" s="1167"/>
      <c r="H35" s="1167"/>
      <c r="I35" s="1167"/>
      <c r="J35" s="1142" t="s">
        <v>2544</v>
      </c>
      <c r="K35" s="1142"/>
      <c r="L35" s="1142"/>
      <c r="M35" s="1142"/>
      <c r="N35" s="1142"/>
      <c r="O35" s="1142"/>
      <c r="P35" s="1142"/>
      <c r="Q35" s="1142"/>
      <c r="R35" s="1142"/>
      <c r="S35" s="1142"/>
      <c r="T35" s="1142"/>
      <c r="U35" s="1142"/>
      <c r="V35" s="1142"/>
      <c r="W35" s="1142"/>
      <c r="X35" s="1142"/>
      <c r="Y35" s="1142"/>
      <c r="Z35" s="1142"/>
      <c r="AA35" s="1142"/>
      <c r="AB35" s="1142"/>
      <c r="AC35" s="1142"/>
      <c r="AD35" s="1142"/>
      <c r="AE35" s="1142"/>
      <c r="AF35" s="1142"/>
    </row>
    <row r="37" spans="1:16384" s="272" customFormat="1" x14ac:dyDescent="0.25">
      <c r="A37" s="1167" t="s">
        <v>2545</v>
      </c>
      <c r="B37" s="1167"/>
      <c r="C37" s="1167"/>
      <c r="D37" s="1167"/>
      <c r="E37" s="1167"/>
      <c r="F37" s="1167"/>
      <c r="G37" s="1167"/>
      <c r="H37" s="1167"/>
      <c r="I37" s="1167"/>
      <c r="J37" s="1142" t="s">
        <v>2546</v>
      </c>
      <c r="K37" s="1142"/>
      <c r="L37" s="1142"/>
      <c r="M37" s="1142"/>
      <c r="N37" s="1142"/>
      <c r="O37" s="1142"/>
      <c r="P37" s="1142"/>
      <c r="Q37" s="1142"/>
      <c r="R37" s="1142"/>
      <c r="S37" s="1142"/>
      <c r="T37" s="1142"/>
      <c r="U37" s="1142"/>
      <c r="V37" s="1142"/>
      <c r="W37" s="1142"/>
      <c r="X37" s="1142"/>
      <c r="Y37" s="1142"/>
      <c r="Z37" s="1142"/>
      <c r="AA37" s="1142"/>
      <c r="AB37" s="1142"/>
      <c r="AC37" s="1142"/>
      <c r="AD37" s="1142"/>
      <c r="AE37" s="1142"/>
      <c r="AF37" s="1142"/>
    </row>
    <row r="39" spans="1:16384" s="272" customFormat="1" ht="124.5" customHeight="1" x14ac:dyDescent="0.25">
      <c r="A39" s="1167" t="s">
        <v>2547</v>
      </c>
      <c r="B39" s="1167"/>
      <c r="C39" s="1167"/>
      <c r="D39" s="1167"/>
      <c r="E39" s="1167"/>
      <c r="F39" s="1167"/>
      <c r="G39" s="1167"/>
      <c r="H39" s="1167"/>
      <c r="I39" s="1167"/>
      <c r="J39" s="1142" t="s">
        <v>2548</v>
      </c>
      <c r="K39" s="1142"/>
      <c r="L39" s="1142"/>
      <c r="M39" s="1142"/>
      <c r="N39" s="1142"/>
      <c r="O39" s="1142"/>
      <c r="P39" s="1142"/>
      <c r="Q39" s="1142"/>
      <c r="R39" s="1142"/>
      <c r="S39" s="1142"/>
      <c r="T39" s="1142"/>
      <c r="U39" s="1142"/>
      <c r="V39" s="1142"/>
      <c r="W39" s="1142"/>
      <c r="X39" s="1142"/>
      <c r="Y39" s="1142"/>
      <c r="Z39" s="1142"/>
      <c r="AA39" s="1142"/>
      <c r="AB39" s="1142"/>
      <c r="AC39" s="1142"/>
      <c r="AD39" s="1142"/>
      <c r="AE39" s="1142"/>
      <c r="AF39" s="1142"/>
    </row>
    <row r="40" spans="1:16384" s="272" customFormat="1" ht="36.75" customHeight="1" x14ac:dyDescent="0.25">
      <c r="A40" s="1169" t="s">
        <v>2549</v>
      </c>
      <c r="B40" s="1169"/>
      <c r="C40" s="1169"/>
      <c r="D40" s="1169"/>
      <c r="E40" s="1169"/>
      <c r="F40" s="1169"/>
      <c r="G40" s="1169"/>
      <c r="H40" s="1169"/>
      <c r="I40" s="1169"/>
      <c r="J40" s="1142" t="s">
        <v>2550</v>
      </c>
      <c r="K40" s="1142"/>
      <c r="L40" s="1142"/>
      <c r="M40" s="1142"/>
      <c r="N40" s="1142"/>
      <c r="O40" s="1142"/>
      <c r="P40" s="1142"/>
      <c r="Q40" s="1142"/>
      <c r="R40" s="1142"/>
      <c r="S40" s="1142"/>
      <c r="T40" s="1142"/>
      <c r="U40" s="1142"/>
      <c r="V40" s="1142"/>
      <c r="W40" s="1142"/>
      <c r="X40" s="1142"/>
      <c r="Y40" s="1142"/>
      <c r="Z40" s="1142"/>
      <c r="AA40" s="1142"/>
      <c r="AB40" s="1142"/>
      <c r="AC40" s="1142"/>
      <c r="AD40" s="1142"/>
      <c r="AE40" s="1142"/>
      <c r="AF40" s="1142"/>
    </row>
    <row r="41" spans="1:16384" s="272" customFormat="1" ht="74.25" customHeight="1" x14ac:dyDescent="0.25">
      <c r="A41" s="1169" t="s">
        <v>2549</v>
      </c>
      <c r="B41" s="1169"/>
      <c r="C41" s="1169"/>
      <c r="D41" s="1169"/>
      <c r="E41" s="1169"/>
      <c r="F41" s="1169"/>
      <c r="G41" s="1169"/>
      <c r="H41" s="1169"/>
      <c r="I41" s="1169"/>
      <c r="J41" s="1142" t="s">
        <v>2551</v>
      </c>
      <c r="K41" s="1142"/>
      <c r="L41" s="1142"/>
      <c r="M41" s="1142"/>
      <c r="N41" s="1142"/>
      <c r="O41" s="1142"/>
      <c r="P41" s="1142"/>
      <c r="Q41" s="1142"/>
      <c r="R41" s="1142"/>
      <c r="S41" s="1142"/>
      <c r="T41" s="1142"/>
      <c r="U41" s="1142"/>
      <c r="V41" s="1142"/>
      <c r="W41" s="1142"/>
      <c r="X41" s="1142"/>
      <c r="Y41" s="1142"/>
      <c r="Z41" s="1142"/>
      <c r="AA41" s="1142"/>
      <c r="AB41" s="1142"/>
      <c r="AC41" s="1142"/>
      <c r="AD41" s="1142"/>
      <c r="AE41" s="1142"/>
      <c r="AF41" s="1142"/>
    </row>
    <row r="42" spans="1:16384" s="272" customFormat="1" ht="51.75" customHeight="1" x14ac:dyDescent="0.25">
      <c r="A42" s="1167" t="s">
        <v>2552</v>
      </c>
      <c r="B42" s="1167"/>
      <c r="C42" s="1167"/>
      <c r="D42" s="1167"/>
      <c r="E42" s="1167"/>
      <c r="F42" s="1167"/>
      <c r="G42" s="1167"/>
      <c r="H42" s="1167"/>
      <c r="I42" s="1167"/>
      <c r="J42" s="1142" t="s">
        <v>2553</v>
      </c>
      <c r="K42" s="1142"/>
      <c r="L42" s="1142"/>
      <c r="M42" s="1142"/>
      <c r="N42" s="1142"/>
      <c r="O42" s="1142"/>
      <c r="P42" s="1142"/>
      <c r="Q42" s="1142"/>
      <c r="R42" s="1142"/>
      <c r="S42" s="1142"/>
      <c r="T42" s="1142"/>
      <c r="U42" s="1142"/>
      <c r="V42" s="1142"/>
      <c r="W42" s="1142"/>
      <c r="X42" s="1142"/>
      <c r="Y42" s="1142"/>
      <c r="Z42" s="1142"/>
      <c r="AA42" s="1142"/>
      <c r="AB42" s="1142"/>
      <c r="AC42" s="1142"/>
      <c r="AD42" s="1142"/>
      <c r="AE42" s="1142"/>
      <c r="AF42" s="1142"/>
      <c r="AG42" s="1167"/>
      <c r="AH42" s="1167"/>
      <c r="AI42" s="1167"/>
      <c r="AJ42" s="1167"/>
      <c r="AK42" s="1167"/>
      <c r="AL42" s="1167"/>
      <c r="AM42" s="1167"/>
      <c r="AN42" s="1167"/>
      <c r="AO42" s="1167"/>
      <c r="AP42" s="1142"/>
      <c r="AQ42" s="1142"/>
      <c r="AR42" s="1142"/>
      <c r="AS42" s="1142"/>
      <c r="AT42" s="1142"/>
      <c r="AU42" s="1142"/>
      <c r="AV42" s="1142"/>
      <c r="AW42" s="1142"/>
      <c r="AX42" s="1142"/>
      <c r="AY42" s="1142"/>
      <c r="AZ42" s="1142"/>
      <c r="BA42" s="1142"/>
      <c r="BB42" s="1142"/>
      <c r="BC42" s="1142"/>
      <c r="BD42" s="1142"/>
      <c r="BE42" s="1142"/>
      <c r="BF42" s="1142"/>
      <c r="BG42" s="1142"/>
      <c r="BH42" s="1142"/>
      <c r="BI42" s="1142"/>
      <c r="BJ42" s="1142"/>
      <c r="BK42" s="1142"/>
      <c r="BL42" s="1142"/>
      <c r="BM42" s="1167"/>
      <c r="BN42" s="1167"/>
      <c r="BO42" s="1167"/>
      <c r="BP42" s="1167"/>
      <c r="BQ42" s="1167"/>
      <c r="BR42" s="1167"/>
      <c r="BS42" s="1167"/>
      <c r="BT42" s="1167"/>
      <c r="BU42" s="1167"/>
      <c r="BV42" s="1142"/>
      <c r="BW42" s="1142"/>
      <c r="BX42" s="1142"/>
      <c r="BY42" s="1142"/>
      <c r="BZ42" s="1142"/>
      <c r="CA42" s="1142"/>
      <c r="CB42" s="1142"/>
      <c r="CC42" s="1142"/>
      <c r="CD42" s="1142"/>
      <c r="CE42" s="1142"/>
      <c r="CF42" s="1142"/>
      <c r="CG42" s="1142"/>
      <c r="CH42" s="1142"/>
      <c r="CI42" s="1142"/>
      <c r="CJ42" s="1142"/>
      <c r="CK42" s="1142"/>
      <c r="CL42" s="1142"/>
      <c r="CM42" s="1142"/>
      <c r="CN42" s="1142"/>
      <c r="CO42" s="1142"/>
      <c r="CP42" s="1142"/>
      <c r="CQ42" s="1142"/>
      <c r="CR42" s="1142"/>
      <c r="CS42" s="1167"/>
      <c r="CT42" s="1167"/>
      <c r="CU42" s="1167"/>
      <c r="CV42" s="1167"/>
      <c r="CW42" s="1167"/>
      <c r="CX42" s="1167"/>
      <c r="CY42" s="1167"/>
      <c r="CZ42" s="1167"/>
      <c r="DA42" s="1167"/>
      <c r="DB42" s="1142"/>
      <c r="DC42" s="1142"/>
      <c r="DD42" s="1142"/>
      <c r="DE42" s="1142"/>
      <c r="DF42" s="1142"/>
      <c r="DG42" s="1142"/>
      <c r="DH42" s="1142"/>
      <c r="DI42" s="1142"/>
      <c r="DJ42" s="1142"/>
      <c r="DK42" s="1142"/>
      <c r="DL42" s="1142"/>
      <c r="DM42" s="1142"/>
      <c r="DN42" s="1142"/>
      <c r="DO42" s="1142"/>
      <c r="DP42" s="1142"/>
      <c r="DQ42" s="1142"/>
      <c r="DR42" s="1142"/>
      <c r="DS42" s="1142"/>
      <c r="DT42" s="1142"/>
      <c r="DU42" s="1142"/>
      <c r="DV42" s="1142"/>
      <c r="DW42" s="1142"/>
      <c r="DX42" s="1142"/>
      <c r="DY42" s="1167"/>
      <c r="DZ42" s="1167"/>
      <c r="EA42" s="1167"/>
      <c r="EB42" s="1167"/>
      <c r="EC42" s="1167"/>
      <c r="ED42" s="1167"/>
      <c r="EE42" s="1167"/>
      <c r="EF42" s="1167"/>
      <c r="EG42" s="1167"/>
      <c r="EH42" s="1142"/>
      <c r="EI42" s="1142"/>
      <c r="EJ42" s="1142"/>
      <c r="EK42" s="1142"/>
      <c r="EL42" s="1142"/>
      <c r="EM42" s="1142"/>
      <c r="EN42" s="1142"/>
      <c r="EO42" s="1142"/>
      <c r="EP42" s="1142"/>
      <c r="EQ42" s="1142"/>
      <c r="ER42" s="1142"/>
      <c r="ES42" s="1142"/>
      <c r="ET42" s="1142"/>
      <c r="EU42" s="1142"/>
      <c r="EV42" s="1142"/>
      <c r="EW42" s="1142"/>
      <c r="EX42" s="1142"/>
      <c r="EY42" s="1142"/>
      <c r="EZ42" s="1142"/>
      <c r="FA42" s="1142"/>
      <c r="FB42" s="1142"/>
      <c r="FC42" s="1142"/>
      <c r="FD42" s="1142"/>
      <c r="FE42" s="1167"/>
      <c r="FF42" s="1167"/>
      <c r="FG42" s="1167"/>
      <c r="FH42" s="1167"/>
      <c r="FI42" s="1167"/>
      <c r="FJ42" s="1167"/>
      <c r="FK42" s="1167"/>
      <c r="FL42" s="1167"/>
      <c r="FM42" s="1167"/>
      <c r="FN42" s="1142"/>
      <c r="FO42" s="1142"/>
      <c r="FP42" s="1142"/>
      <c r="FQ42" s="1142"/>
      <c r="FR42" s="1142"/>
      <c r="FS42" s="1142"/>
      <c r="FT42" s="1142"/>
      <c r="FU42" s="1142"/>
      <c r="FV42" s="1142"/>
      <c r="FW42" s="1142"/>
      <c r="FX42" s="1142"/>
      <c r="FY42" s="1142"/>
      <c r="FZ42" s="1142"/>
      <c r="GA42" s="1142"/>
      <c r="GB42" s="1142"/>
      <c r="GC42" s="1142"/>
      <c r="GD42" s="1142"/>
      <c r="GE42" s="1142"/>
      <c r="GF42" s="1142"/>
      <c r="GG42" s="1142"/>
      <c r="GH42" s="1142"/>
      <c r="GI42" s="1142"/>
      <c r="GJ42" s="1142"/>
      <c r="GK42" s="1167"/>
      <c r="GL42" s="1167"/>
      <c r="GM42" s="1167"/>
      <c r="GN42" s="1167"/>
      <c r="GO42" s="1167"/>
      <c r="GP42" s="1167"/>
      <c r="GQ42" s="1167"/>
      <c r="GR42" s="1167"/>
      <c r="GS42" s="1167"/>
      <c r="GT42" s="1142"/>
      <c r="GU42" s="1142"/>
      <c r="GV42" s="1142"/>
      <c r="GW42" s="1142"/>
      <c r="GX42" s="1142"/>
      <c r="GY42" s="1142"/>
      <c r="GZ42" s="1142"/>
      <c r="HA42" s="1142"/>
      <c r="HB42" s="1142"/>
      <c r="HC42" s="1142"/>
      <c r="HD42" s="1142"/>
      <c r="HE42" s="1142"/>
      <c r="HF42" s="1142"/>
      <c r="HG42" s="1142"/>
      <c r="HH42" s="1142"/>
      <c r="HI42" s="1142"/>
      <c r="HJ42" s="1142"/>
      <c r="HK42" s="1142"/>
      <c r="HL42" s="1142"/>
      <c r="HM42" s="1142"/>
      <c r="HN42" s="1142"/>
      <c r="HO42" s="1142"/>
      <c r="HP42" s="1142"/>
      <c r="HQ42" s="1167"/>
      <c r="HR42" s="1167"/>
      <c r="HS42" s="1167"/>
      <c r="HT42" s="1167"/>
      <c r="HU42" s="1167"/>
      <c r="HV42" s="1167"/>
      <c r="HW42" s="1167"/>
      <c r="HX42" s="1167"/>
      <c r="HY42" s="1167"/>
      <c r="HZ42" s="1142"/>
      <c r="IA42" s="1142"/>
      <c r="IB42" s="1142"/>
      <c r="IC42" s="1142"/>
      <c r="ID42" s="1142"/>
      <c r="IE42" s="1142"/>
      <c r="IF42" s="1142"/>
      <c r="IG42" s="1142"/>
      <c r="IH42" s="1142"/>
      <c r="II42" s="1142"/>
      <c r="IJ42" s="1142"/>
      <c r="IK42" s="1142"/>
      <c r="IL42" s="1142"/>
      <c r="IM42" s="1142"/>
      <c r="IN42" s="1142"/>
      <c r="IO42" s="1142"/>
      <c r="IP42" s="1142"/>
      <c r="IQ42" s="1142"/>
      <c r="IR42" s="1142"/>
      <c r="IS42" s="1142"/>
      <c r="IT42" s="1142"/>
      <c r="IU42" s="1142"/>
      <c r="IV42" s="1142"/>
      <c r="IW42" s="1167"/>
      <c r="IX42" s="1167"/>
      <c r="IY42" s="1167"/>
      <c r="IZ42" s="1167"/>
      <c r="JA42" s="1167"/>
      <c r="JB42" s="1167"/>
      <c r="JC42" s="1167"/>
      <c r="JD42" s="1167"/>
      <c r="JE42" s="1167"/>
      <c r="JF42" s="1142"/>
      <c r="JG42" s="1142"/>
      <c r="JH42" s="1142"/>
      <c r="JI42" s="1142"/>
      <c r="JJ42" s="1142"/>
      <c r="JK42" s="1142"/>
      <c r="JL42" s="1142"/>
      <c r="JM42" s="1142"/>
      <c r="JN42" s="1142"/>
      <c r="JO42" s="1142"/>
      <c r="JP42" s="1142"/>
      <c r="JQ42" s="1142"/>
      <c r="JR42" s="1142"/>
      <c r="JS42" s="1142"/>
      <c r="JT42" s="1142"/>
      <c r="JU42" s="1142"/>
      <c r="JV42" s="1142"/>
      <c r="JW42" s="1142"/>
      <c r="JX42" s="1142"/>
      <c r="JY42" s="1142"/>
      <c r="JZ42" s="1142"/>
      <c r="KA42" s="1142"/>
      <c r="KB42" s="1142"/>
      <c r="KC42" s="1167"/>
      <c r="KD42" s="1167"/>
      <c r="KE42" s="1167"/>
      <c r="KF42" s="1167"/>
      <c r="KG42" s="1167"/>
      <c r="KH42" s="1167"/>
      <c r="KI42" s="1167"/>
      <c r="KJ42" s="1167"/>
      <c r="KK42" s="1167"/>
      <c r="KL42" s="1142"/>
      <c r="KM42" s="1142"/>
      <c r="KN42" s="1142"/>
      <c r="KO42" s="1142"/>
      <c r="KP42" s="1142"/>
      <c r="KQ42" s="1142"/>
      <c r="KR42" s="1142"/>
      <c r="KS42" s="1142"/>
      <c r="KT42" s="1142"/>
      <c r="KU42" s="1142"/>
      <c r="KV42" s="1142"/>
      <c r="KW42" s="1142"/>
      <c r="KX42" s="1142"/>
      <c r="KY42" s="1142"/>
      <c r="KZ42" s="1142"/>
      <c r="LA42" s="1142"/>
      <c r="LB42" s="1142"/>
      <c r="LC42" s="1142"/>
      <c r="LD42" s="1142"/>
      <c r="LE42" s="1142"/>
      <c r="LF42" s="1142"/>
      <c r="LG42" s="1142"/>
      <c r="LH42" s="1142"/>
      <c r="LI42" s="1167"/>
      <c r="LJ42" s="1167"/>
      <c r="LK42" s="1167"/>
      <c r="LL42" s="1167"/>
      <c r="LM42" s="1167"/>
      <c r="LN42" s="1167"/>
      <c r="LO42" s="1167"/>
      <c r="LP42" s="1167"/>
      <c r="LQ42" s="1167"/>
      <c r="LR42" s="1142"/>
      <c r="LS42" s="1142"/>
      <c r="LT42" s="1142"/>
      <c r="LU42" s="1142"/>
      <c r="LV42" s="1142"/>
      <c r="LW42" s="1142"/>
      <c r="LX42" s="1142"/>
      <c r="LY42" s="1142"/>
      <c r="LZ42" s="1142"/>
      <c r="MA42" s="1142"/>
      <c r="MB42" s="1142"/>
      <c r="MC42" s="1142"/>
      <c r="MD42" s="1142"/>
      <c r="ME42" s="1142"/>
      <c r="MF42" s="1142"/>
      <c r="MG42" s="1142"/>
      <c r="MH42" s="1142"/>
      <c r="MI42" s="1142"/>
      <c r="MJ42" s="1142"/>
      <c r="MK42" s="1142"/>
      <c r="ML42" s="1142"/>
      <c r="MM42" s="1142"/>
      <c r="MN42" s="1142"/>
      <c r="MO42" s="1167"/>
      <c r="MP42" s="1167"/>
      <c r="MQ42" s="1167"/>
      <c r="MR42" s="1167"/>
      <c r="MS42" s="1167"/>
      <c r="MT42" s="1167"/>
      <c r="MU42" s="1167"/>
      <c r="MV42" s="1167"/>
      <c r="MW42" s="1167"/>
      <c r="MX42" s="1142"/>
      <c r="MY42" s="1142"/>
      <c r="MZ42" s="1142"/>
      <c r="NA42" s="1142"/>
      <c r="NB42" s="1142"/>
      <c r="NC42" s="1142"/>
      <c r="ND42" s="1142"/>
      <c r="NE42" s="1142"/>
      <c r="NF42" s="1142"/>
      <c r="NG42" s="1142"/>
      <c r="NH42" s="1142"/>
      <c r="NI42" s="1142"/>
      <c r="NJ42" s="1142"/>
      <c r="NK42" s="1142"/>
      <c r="NL42" s="1142"/>
      <c r="NM42" s="1142"/>
      <c r="NN42" s="1142"/>
      <c r="NO42" s="1142"/>
      <c r="NP42" s="1142"/>
      <c r="NQ42" s="1142"/>
      <c r="NR42" s="1142"/>
      <c r="NS42" s="1142"/>
      <c r="NT42" s="1142"/>
      <c r="NU42" s="1167"/>
      <c r="NV42" s="1167"/>
      <c r="NW42" s="1167"/>
      <c r="NX42" s="1167"/>
      <c r="NY42" s="1167"/>
      <c r="NZ42" s="1167"/>
      <c r="OA42" s="1167"/>
      <c r="OB42" s="1167"/>
      <c r="OC42" s="1167"/>
      <c r="OD42" s="1142"/>
      <c r="OE42" s="1142"/>
      <c r="OF42" s="1142"/>
      <c r="OG42" s="1142"/>
      <c r="OH42" s="1142"/>
      <c r="OI42" s="1142"/>
      <c r="OJ42" s="1142"/>
      <c r="OK42" s="1142"/>
      <c r="OL42" s="1142"/>
      <c r="OM42" s="1142"/>
      <c r="ON42" s="1142"/>
      <c r="OO42" s="1142"/>
      <c r="OP42" s="1142"/>
      <c r="OQ42" s="1142"/>
      <c r="OR42" s="1142"/>
      <c r="OS42" s="1142"/>
      <c r="OT42" s="1142"/>
      <c r="OU42" s="1142"/>
      <c r="OV42" s="1142"/>
      <c r="OW42" s="1142"/>
      <c r="OX42" s="1142"/>
      <c r="OY42" s="1142"/>
      <c r="OZ42" s="1142"/>
      <c r="PA42" s="1167"/>
      <c r="PB42" s="1167"/>
      <c r="PC42" s="1167"/>
      <c r="PD42" s="1167"/>
      <c r="PE42" s="1167"/>
      <c r="PF42" s="1167"/>
      <c r="PG42" s="1167"/>
      <c r="PH42" s="1167"/>
      <c r="PI42" s="1167"/>
      <c r="PJ42" s="1142"/>
      <c r="PK42" s="1142"/>
      <c r="PL42" s="1142"/>
      <c r="PM42" s="1142"/>
      <c r="PN42" s="1142"/>
      <c r="PO42" s="1142"/>
      <c r="PP42" s="1142"/>
      <c r="PQ42" s="1142"/>
      <c r="PR42" s="1142"/>
      <c r="PS42" s="1142"/>
      <c r="PT42" s="1142"/>
      <c r="PU42" s="1142"/>
      <c r="PV42" s="1142"/>
      <c r="PW42" s="1142"/>
      <c r="PX42" s="1142"/>
      <c r="PY42" s="1142"/>
      <c r="PZ42" s="1142"/>
      <c r="QA42" s="1142"/>
      <c r="QB42" s="1142"/>
      <c r="QC42" s="1142"/>
      <c r="QD42" s="1142"/>
      <c r="QE42" s="1142"/>
      <c r="QF42" s="1142"/>
      <c r="QG42" s="1167"/>
      <c r="QH42" s="1167"/>
      <c r="QI42" s="1167"/>
      <c r="QJ42" s="1167"/>
      <c r="QK42" s="1167"/>
      <c r="QL42" s="1167"/>
      <c r="QM42" s="1167"/>
      <c r="QN42" s="1167"/>
      <c r="QO42" s="1167"/>
      <c r="QP42" s="1142"/>
      <c r="QQ42" s="1142"/>
      <c r="QR42" s="1142"/>
      <c r="QS42" s="1142"/>
      <c r="QT42" s="1142"/>
      <c r="QU42" s="1142"/>
      <c r="QV42" s="1142"/>
      <c r="QW42" s="1142"/>
      <c r="QX42" s="1142"/>
      <c r="QY42" s="1142"/>
      <c r="QZ42" s="1142"/>
      <c r="RA42" s="1142"/>
      <c r="RB42" s="1142"/>
      <c r="RC42" s="1142"/>
      <c r="RD42" s="1142"/>
      <c r="RE42" s="1142"/>
      <c r="RF42" s="1142"/>
      <c r="RG42" s="1142"/>
      <c r="RH42" s="1142"/>
      <c r="RI42" s="1142"/>
      <c r="RJ42" s="1142"/>
      <c r="RK42" s="1142"/>
      <c r="RL42" s="1142"/>
      <c r="RM42" s="1167"/>
      <c r="RN42" s="1167"/>
      <c r="RO42" s="1167"/>
      <c r="RP42" s="1167"/>
      <c r="RQ42" s="1167"/>
      <c r="RR42" s="1167"/>
      <c r="RS42" s="1167"/>
      <c r="RT42" s="1167"/>
      <c r="RU42" s="1167"/>
      <c r="RV42" s="1142"/>
      <c r="RW42" s="1142"/>
      <c r="RX42" s="1142"/>
      <c r="RY42" s="1142"/>
      <c r="RZ42" s="1142"/>
      <c r="SA42" s="1142"/>
      <c r="SB42" s="1142"/>
      <c r="SC42" s="1142"/>
      <c r="SD42" s="1142"/>
      <c r="SE42" s="1142"/>
      <c r="SF42" s="1142"/>
      <c r="SG42" s="1142"/>
      <c r="SH42" s="1142"/>
      <c r="SI42" s="1142"/>
      <c r="SJ42" s="1142"/>
      <c r="SK42" s="1142"/>
      <c r="SL42" s="1142"/>
      <c r="SM42" s="1142"/>
      <c r="SN42" s="1142"/>
      <c r="SO42" s="1142"/>
      <c r="SP42" s="1142"/>
      <c r="SQ42" s="1142"/>
      <c r="SR42" s="1142"/>
      <c r="SS42" s="1167"/>
      <c r="ST42" s="1167"/>
      <c r="SU42" s="1167"/>
      <c r="SV42" s="1167"/>
      <c r="SW42" s="1167"/>
      <c r="SX42" s="1167"/>
      <c r="SY42" s="1167"/>
      <c r="SZ42" s="1167"/>
      <c r="TA42" s="1167"/>
      <c r="TB42" s="1142"/>
      <c r="TC42" s="1142"/>
      <c r="TD42" s="1142"/>
      <c r="TE42" s="1142"/>
      <c r="TF42" s="1142"/>
      <c r="TG42" s="1142"/>
      <c r="TH42" s="1142"/>
      <c r="TI42" s="1142"/>
      <c r="TJ42" s="1142"/>
      <c r="TK42" s="1142"/>
      <c r="TL42" s="1142"/>
      <c r="TM42" s="1142"/>
      <c r="TN42" s="1142"/>
      <c r="TO42" s="1142"/>
      <c r="TP42" s="1142"/>
      <c r="TQ42" s="1142"/>
      <c r="TR42" s="1142"/>
      <c r="TS42" s="1142"/>
      <c r="TT42" s="1142"/>
      <c r="TU42" s="1142"/>
      <c r="TV42" s="1142"/>
      <c r="TW42" s="1142"/>
      <c r="TX42" s="1142"/>
      <c r="TY42" s="1167"/>
      <c r="TZ42" s="1167"/>
      <c r="UA42" s="1167"/>
      <c r="UB42" s="1167"/>
      <c r="UC42" s="1167"/>
      <c r="UD42" s="1167"/>
      <c r="UE42" s="1167"/>
      <c r="UF42" s="1167"/>
      <c r="UG42" s="1167"/>
      <c r="UH42" s="1142"/>
      <c r="UI42" s="1142"/>
      <c r="UJ42" s="1142"/>
      <c r="UK42" s="1142"/>
      <c r="UL42" s="1142"/>
      <c r="UM42" s="1142"/>
      <c r="UN42" s="1142"/>
      <c r="UO42" s="1142"/>
      <c r="UP42" s="1142"/>
      <c r="UQ42" s="1142"/>
      <c r="UR42" s="1142"/>
      <c r="US42" s="1142"/>
      <c r="UT42" s="1142"/>
      <c r="UU42" s="1142"/>
      <c r="UV42" s="1142"/>
      <c r="UW42" s="1142"/>
      <c r="UX42" s="1142"/>
      <c r="UY42" s="1142"/>
      <c r="UZ42" s="1142"/>
      <c r="VA42" s="1142"/>
      <c r="VB42" s="1142"/>
      <c r="VC42" s="1142"/>
      <c r="VD42" s="1142"/>
      <c r="VE42" s="1167"/>
      <c r="VF42" s="1167"/>
      <c r="VG42" s="1167"/>
      <c r="VH42" s="1167"/>
      <c r="VI42" s="1167"/>
      <c r="VJ42" s="1167"/>
      <c r="VK42" s="1167"/>
      <c r="VL42" s="1167"/>
      <c r="VM42" s="1167"/>
      <c r="VN42" s="1142"/>
      <c r="VO42" s="1142"/>
      <c r="VP42" s="1142"/>
      <c r="VQ42" s="1142"/>
      <c r="VR42" s="1142"/>
      <c r="VS42" s="1142"/>
      <c r="VT42" s="1142"/>
      <c r="VU42" s="1142"/>
      <c r="VV42" s="1142"/>
      <c r="VW42" s="1142"/>
      <c r="VX42" s="1142"/>
      <c r="VY42" s="1142"/>
      <c r="VZ42" s="1142"/>
      <c r="WA42" s="1142"/>
      <c r="WB42" s="1142"/>
      <c r="WC42" s="1142"/>
      <c r="WD42" s="1142"/>
      <c r="WE42" s="1142"/>
      <c r="WF42" s="1142"/>
      <c r="WG42" s="1142"/>
      <c r="WH42" s="1142"/>
      <c r="WI42" s="1142"/>
      <c r="WJ42" s="1142"/>
      <c r="WK42" s="1167"/>
      <c r="WL42" s="1167"/>
      <c r="WM42" s="1167"/>
      <c r="WN42" s="1167"/>
      <c r="WO42" s="1167"/>
      <c r="WP42" s="1167"/>
      <c r="WQ42" s="1167"/>
      <c r="WR42" s="1167"/>
      <c r="WS42" s="1167"/>
      <c r="WT42" s="1142"/>
      <c r="WU42" s="1142"/>
      <c r="WV42" s="1142"/>
      <c r="WW42" s="1142"/>
      <c r="WX42" s="1142"/>
      <c r="WY42" s="1142"/>
      <c r="WZ42" s="1142"/>
      <c r="XA42" s="1142"/>
      <c r="XB42" s="1142"/>
      <c r="XC42" s="1142"/>
      <c r="XD42" s="1142"/>
      <c r="XE42" s="1142"/>
      <c r="XF42" s="1142"/>
      <c r="XG42" s="1142"/>
      <c r="XH42" s="1142"/>
      <c r="XI42" s="1142"/>
      <c r="XJ42" s="1142"/>
      <c r="XK42" s="1142"/>
      <c r="XL42" s="1142"/>
      <c r="XM42" s="1142"/>
      <c r="XN42" s="1142"/>
      <c r="XO42" s="1142"/>
      <c r="XP42" s="1142"/>
      <c r="XQ42" s="1167"/>
      <c r="XR42" s="1167"/>
      <c r="XS42" s="1167"/>
      <c r="XT42" s="1167"/>
      <c r="XU42" s="1167"/>
      <c r="XV42" s="1167"/>
      <c r="XW42" s="1167"/>
      <c r="XX42" s="1167"/>
      <c r="XY42" s="1167"/>
      <c r="XZ42" s="1142"/>
      <c r="YA42" s="1142"/>
      <c r="YB42" s="1142"/>
      <c r="YC42" s="1142"/>
      <c r="YD42" s="1142"/>
      <c r="YE42" s="1142"/>
      <c r="YF42" s="1142"/>
      <c r="YG42" s="1142"/>
      <c r="YH42" s="1142"/>
      <c r="YI42" s="1142"/>
      <c r="YJ42" s="1142"/>
      <c r="YK42" s="1142"/>
      <c r="YL42" s="1142"/>
      <c r="YM42" s="1142"/>
      <c r="YN42" s="1142"/>
      <c r="YO42" s="1142"/>
      <c r="YP42" s="1142"/>
      <c r="YQ42" s="1142"/>
      <c r="YR42" s="1142"/>
      <c r="YS42" s="1142"/>
      <c r="YT42" s="1142"/>
      <c r="YU42" s="1142"/>
      <c r="YV42" s="1142"/>
      <c r="YW42" s="1167"/>
      <c r="YX42" s="1167"/>
      <c r="YY42" s="1167"/>
      <c r="YZ42" s="1167"/>
      <c r="ZA42" s="1167"/>
      <c r="ZB42" s="1167"/>
      <c r="ZC42" s="1167"/>
      <c r="ZD42" s="1167"/>
      <c r="ZE42" s="1167"/>
      <c r="ZF42" s="1142"/>
      <c r="ZG42" s="1142"/>
      <c r="ZH42" s="1142"/>
      <c r="ZI42" s="1142"/>
      <c r="ZJ42" s="1142"/>
      <c r="ZK42" s="1142"/>
      <c r="ZL42" s="1142"/>
      <c r="ZM42" s="1142"/>
      <c r="ZN42" s="1142"/>
      <c r="ZO42" s="1142"/>
      <c r="ZP42" s="1142"/>
      <c r="ZQ42" s="1142"/>
      <c r="ZR42" s="1142"/>
      <c r="ZS42" s="1142"/>
      <c r="ZT42" s="1142"/>
      <c r="ZU42" s="1142"/>
      <c r="ZV42" s="1142"/>
      <c r="ZW42" s="1142"/>
      <c r="ZX42" s="1142"/>
      <c r="ZY42" s="1142"/>
      <c r="ZZ42" s="1142"/>
      <c r="AAA42" s="1142"/>
      <c r="AAB42" s="1142"/>
      <c r="AAC42" s="1167"/>
      <c r="AAD42" s="1167"/>
      <c r="AAE42" s="1167"/>
      <c r="AAF42" s="1167"/>
      <c r="AAG42" s="1167"/>
      <c r="AAH42" s="1167"/>
      <c r="AAI42" s="1167"/>
      <c r="AAJ42" s="1167"/>
      <c r="AAK42" s="1167"/>
      <c r="AAL42" s="1142"/>
      <c r="AAM42" s="1142"/>
      <c r="AAN42" s="1142"/>
      <c r="AAO42" s="1142"/>
      <c r="AAP42" s="1142"/>
      <c r="AAQ42" s="1142"/>
      <c r="AAR42" s="1142"/>
      <c r="AAS42" s="1142"/>
      <c r="AAT42" s="1142"/>
      <c r="AAU42" s="1142"/>
      <c r="AAV42" s="1142"/>
      <c r="AAW42" s="1142"/>
      <c r="AAX42" s="1142"/>
      <c r="AAY42" s="1142"/>
      <c r="AAZ42" s="1142"/>
      <c r="ABA42" s="1142"/>
      <c r="ABB42" s="1142"/>
      <c r="ABC42" s="1142"/>
      <c r="ABD42" s="1142"/>
      <c r="ABE42" s="1142"/>
      <c r="ABF42" s="1142"/>
      <c r="ABG42" s="1142"/>
      <c r="ABH42" s="1142"/>
      <c r="ABI42" s="1167"/>
      <c r="ABJ42" s="1167"/>
      <c r="ABK42" s="1167"/>
      <c r="ABL42" s="1167"/>
      <c r="ABM42" s="1167"/>
      <c r="ABN42" s="1167"/>
      <c r="ABO42" s="1167"/>
      <c r="ABP42" s="1167"/>
      <c r="ABQ42" s="1167"/>
      <c r="ABR42" s="1142"/>
      <c r="ABS42" s="1142"/>
      <c r="ABT42" s="1142"/>
      <c r="ABU42" s="1142"/>
      <c r="ABV42" s="1142"/>
      <c r="ABW42" s="1142"/>
      <c r="ABX42" s="1142"/>
      <c r="ABY42" s="1142"/>
      <c r="ABZ42" s="1142"/>
      <c r="ACA42" s="1142"/>
      <c r="ACB42" s="1142"/>
      <c r="ACC42" s="1142"/>
      <c r="ACD42" s="1142"/>
      <c r="ACE42" s="1142"/>
      <c r="ACF42" s="1142"/>
      <c r="ACG42" s="1142"/>
      <c r="ACH42" s="1142"/>
      <c r="ACI42" s="1142"/>
      <c r="ACJ42" s="1142"/>
      <c r="ACK42" s="1142"/>
      <c r="ACL42" s="1142"/>
      <c r="ACM42" s="1142"/>
      <c r="ACN42" s="1142"/>
      <c r="ACO42" s="1167"/>
      <c r="ACP42" s="1167"/>
      <c r="ACQ42" s="1167"/>
      <c r="ACR42" s="1167"/>
      <c r="ACS42" s="1167"/>
      <c r="ACT42" s="1167"/>
      <c r="ACU42" s="1167"/>
      <c r="ACV42" s="1167"/>
      <c r="ACW42" s="1167"/>
      <c r="ACX42" s="1142"/>
      <c r="ACY42" s="1142"/>
      <c r="ACZ42" s="1142"/>
      <c r="ADA42" s="1142"/>
      <c r="ADB42" s="1142"/>
      <c r="ADC42" s="1142"/>
      <c r="ADD42" s="1142"/>
      <c r="ADE42" s="1142"/>
      <c r="ADF42" s="1142"/>
      <c r="ADG42" s="1142"/>
      <c r="ADH42" s="1142"/>
      <c r="ADI42" s="1142"/>
      <c r="ADJ42" s="1142"/>
      <c r="ADK42" s="1142"/>
      <c r="ADL42" s="1142"/>
      <c r="ADM42" s="1142"/>
      <c r="ADN42" s="1142"/>
      <c r="ADO42" s="1142"/>
      <c r="ADP42" s="1142"/>
      <c r="ADQ42" s="1142"/>
      <c r="ADR42" s="1142"/>
      <c r="ADS42" s="1142"/>
      <c r="ADT42" s="1142"/>
      <c r="ADU42" s="1167"/>
      <c r="ADV42" s="1167"/>
      <c r="ADW42" s="1167"/>
      <c r="ADX42" s="1167"/>
      <c r="ADY42" s="1167"/>
      <c r="ADZ42" s="1167"/>
      <c r="AEA42" s="1167"/>
      <c r="AEB42" s="1167"/>
      <c r="AEC42" s="1167"/>
      <c r="AED42" s="1142"/>
      <c r="AEE42" s="1142"/>
      <c r="AEF42" s="1142"/>
      <c r="AEG42" s="1142"/>
      <c r="AEH42" s="1142"/>
      <c r="AEI42" s="1142"/>
      <c r="AEJ42" s="1142"/>
      <c r="AEK42" s="1142"/>
      <c r="AEL42" s="1142"/>
      <c r="AEM42" s="1142"/>
      <c r="AEN42" s="1142"/>
      <c r="AEO42" s="1142"/>
      <c r="AEP42" s="1142"/>
      <c r="AEQ42" s="1142"/>
      <c r="AER42" s="1142"/>
      <c r="AES42" s="1142"/>
      <c r="AET42" s="1142"/>
      <c r="AEU42" s="1142"/>
      <c r="AEV42" s="1142"/>
      <c r="AEW42" s="1142"/>
      <c r="AEX42" s="1142"/>
      <c r="AEY42" s="1142"/>
      <c r="AEZ42" s="1142"/>
      <c r="AFA42" s="1167"/>
      <c r="AFB42" s="1167"/>
      <c r="AFC42" s="1167"/>
      <c r="AFD42" s="1167"/>
      <c r="AFE42" s="1167"/>
      <c r="AFF42" s="1167"/>
      <c r="AFG42" s="1167"/>
      <c r="AFH42" s="1167"/>
      <c r="AFI42" s="1167"/>
      <c r="AFJ42" s="1142"/>
      <c r="AFK42" s="1142"/>
      <c r="AFL42" s="1142"/>
      <c r="AFM42" s="1142"/>
      <c r="AFN42" s="1142"/>
      <c r="AFO42" s="1142"/>
      <c r="AFP42" s="1142"/>
      <c r="AFQ42" s="1142"/>
      <c r="AFR42" s="1142"/>
      <c r="AFS42" s="1142"/>
      <c r="AFT42" s="1142"/>
      <c r="AFU42" s="1142"/>
      <c r="AFV42" s="1142"/>
      <c r="AFW42" s="1142"/>
      <c r="AFX42" s="1142"/>
      <c r="AFY42" s="1142"/>
      <c r="AFZ42" s="1142"/>
      <c r="AGA42" s="1142"/>
      <c r="AGB42" s="1142"/>
      <c r="AGC42" s="1142"/>
      <c r="AGD42" s="1142"/>
      <c r="AGE42" s="1142"/>
      <c r="AGF42" s="1142"/>
      <c r="AGG42" s="1167"/>
      <c r="AGH42" s="1167"/>
      <c r="AGI42" s="1167"/>
      <c r="AGJ42" s="1167"/>
      <c r="AGK42" s="1167"/>
      <c r="AGL42" s="1167"/>
      <c r="AGM42" s="1167"/>
      <c r="AGN42" s="1167"/>
      <c r="AGO42" s="1167"/>
      <c r="AGP42" s="1142"/>
      <c r="AGQ42" s="1142"/>
      <c r="AGR42" s="1142"/>
      <c r="AGS42" s="1142"/>
      <c r="AGT42" s="1142"/>
      <c r="AGU42" s="1142"/>
      <c r="AGV42" s="1142"/>
      <c r="AGW42" s="1142"/>
      <c r="AGX42" s="1142"/>
      <c r="AGY42" s="1142"/>
      <c r="AGZ42" s="1142"/>
      <c r="AHA42" s="1142"/>
      <c r="AHB42" s="1142"/>
      <c r="AHC42" s="1142"/>
      <c r="AHD42" s="1142"/>
      <c r="AHE42" s="1142"/>
      <c r="AHF42" s="1142"/>
      <c r="AHG42" s="1142"/>
      <c r="AHH42" s="1142"/>
      <c r="AHI42" s="1142"/>
      <c r="AHJ42" s="1142"/>
      <c r="AHK42" s="1142"/>
      <c r="AHL42" s="1142"/>
      <c r="AHM42" s="1167"/>
      <c r="AHN42" s="1167"/>
      <c r="AHO42" s="1167"/>
      <c r="AHP42" s="1167"/>
      <c r="AHQ42" s="1167"/>
      <c r="AHR42" s="1167"/>
      <c r="AHS42" s="1167"/>
      <c r="AHT42" s="1167"/>
      <c r="AHU42" s="1167"/>
      <c r="AHV42" s="1142"/>
      <c r="AHW42" s="1142"/>
      <c r="AHX42" s="1142"/>
      <c r="AHY42" s="1142"/>
      <c r="AHZ42" s="1142"/>
      <c r="AIA42" s="1142"/>
      <c r="AIB42" s="1142"/>
      <c r="AIC42" s="1142"/>
      <c r="AID42" s="1142"/>
      <c r="AIE42" s="1142"/>
      <c r="AIF42" s="1142"/>
      <c r="AIG42" s="1142"/>
      <c r="AIH42" s="1142"/>
      <c r="AII42" s="1142"/>
      <c r="AIJ42" s="1142"/>
      <c r="AIK42" s="1142"/>
      <c r="AIL42" s="1142"/>
      <c r="AIM42" s="1142"/>
      <c r="AIN42" s="1142"/>
      <c r="AIO42" s="1142"/>
      <c r="AIP42" s="1142"/>
      <c r="AIQ42" s="1142"/>
      <c r="AIR42" s="1142"/>
      <c r="AIS42" s="1167"/>
      <c r="AIT42" s="1167"/>
      <c r="AIU42" s="1167"/>
      <c r="AIV42" s="1167"/>
      <c r="AIW42" s="1167"/>
      <c r="AIX42" s="1167"/>
      <c r="AIY42" s="1167"/>
      <c r="AIZ42" s="1167"/>
      <c r="AJA42" s="1167"/>
      <c r="AJB42" s="1142"/>
      <c r="AJC42" s="1142"/>
      <c r="AJD42" s="1142"/>
      <c r="AJE42" s="1142"/>
      <c r="AJF42" s="1142"/>
      <c r="AJG42" s="1142"/>
      <c r="AJH42" s="1142"/>
      <c r="AJI42" s="1142"/>
      <c r="AJJ42" s="1142"/>
      <c r="AJK42" s="1142"/>
      <c r="AJL42" s="1142"/>
      <c r="AJM42" s="1142"/>
      <c r="AJN42" s="1142"/>
      <c r="AJO42" s="1142"/>
      <c r="AJP42" s="1142"/>
      <c r="AJQ42" s="1142"/>
      <c r="AJR42" s="1142"/>
      <c r="AJS42" s="1142"/>
      <c r="AJT42" s="1142"/>
      <c r="AJU42" s="1142"/>
      <c r="AJV42" s="1142"/>
      <c r="AJW42" s="1142"/>
      <c r="AJX42" s="1142"/>
      <c r="AJY42" s="1167"/>
      <c r="AJZ42" s="1167"/>
      <c r="AKA42" s="1167"/>
      <c r="AKB42" s="1167"/>
      <c r="AKC42" s="1167"/>
      <c r="AKD42" s="1167"/>
      <c r="AKE42" s="1167"/>
      <c r="AKF42" s="1167"/>
      <c r="AKG42" s="1167"/>
      <c r="AKH42" s="1142"/>
      <c r="AKI42" s="1142"/>
      <c r="AKJ42" s="1142"/>
      <c r="AKK42" s="1142"/>
      <c r="AKL42" s="1142"/>
      <c r="AKM42" s="1142"/>
      <c r="AKN42" s="1142"/>
      <c r="AKO42" s="1142"/>
      <c r="AKP42" s="1142"/>
      <c r="AKQ42" s="1142"/>
      <c r="AKR42" s="1142"/>
      <c r="AKS42" s="1142"/>
      <c r="AKT42" s="1142"/>
      <c r="AKU42" s="1142"/>
      <c r="AKV42" s="1142"/>
      <c r="AKW42" s="1142"/>
      <c r="AKX42" s="1142"/>
      <c r="AKY42" s="1142"/>
      <c r="AKZ42" s="1142"/>
      <c r="ALA42" s="1142"/>
      <c r="ALB42" s="1142"/>
      <c r="ALC42" s="1142"/>
      <c r="ALD42" s="1142"/>
      <c r="ALE42" s="1167"/>
      <c r="ALF42" s="1167"/>
      <c r="ALG42" s="1167"/>
      <c r="ALH42" s="1167"/>
      <c r="ALI42" s="1167"/>
      <c r="ALJ42" s="1167"/>
      <c r="ALK42" s="1167"/>
      <c r="ALL42" s="1167"/>
      <c r="ALM42" s="1167"/>
      <c r="ALN42" s="1142"/>
      <c r="ALO42" s="1142"/>
      <c r="ALP42" s="1142"/>
      <c r="ALQ42" s="1142"/>
      <c r="ALR42" s="1142"/>
      <c r="ALS42" s="1142"/>
      <c r="ALT42" s="1142"/>
      <c r="ALU42" s="1142"/>
      <c r="ALV42" s="1142"/>
      <c r="ALW42" s="1142"/>
      <c r="ALX42" s="1142"/>
      <c r="ALY42" s="1142"/>
      <c r="ALZ42" s="1142"/>
      <c r="AMA42" s="1142"/>
      <c r="AMB42" s="1142"/>
      <c r="AMC42" s="1142"/>
      <c r="AMD42" s="1142"/>
      <c r="AME42" s="1142"/>
      <c r="AMF42" s="1142"/>
      <c r="AMG42" s="1142"/>
      <c r="AMH42" s="1142"/>
      <c r="AMI42" s="1142"/>
      <c r="AMJ42" s="1142"/>
      <c r="AMK42" s="1167"/>
      <c r="AML42" s="1167"/>
      <c r="AMM42" s="1167"/>
      <c r="AMN42" s="1167"/>
      <c r="AMO42" s="1167"/>
      <c r="AMP42" s="1167"/>
      <c r="AMQ42" s="1167"/>
      <c r="AMR42" s="1167"/>
      <c r="AMS42" s="1167"/>
      <c r="AMT42" s="1142"/>
      <c r="AMU42" s="1142"/>
      <c r="AMV42" s="1142"/>
      <c r="AMW42" s="1142"/>
      <c r="AMX42" s="1142"/>
      <c r="AMY42" s="1142"/>
      <c r="AMZ42" s="1142"/>
      <c r="ANA42" s="1142"/>
      <c r="ANB42" s="1142"/>
      <c r="ANC42" s="1142"/>
      <c r="AND42" s="1142"/>
      <c r="ANE42" s="1142"/>
      <c r="ANF42" s="1142"/>
      <c r="ANG42" s="1142"/>
      <c r="ANH42" s="1142"/>
      <c r="ANI42" s="1142"/>
      <c r="ANJ42" s="1142"/>
      <c r="ANK42" s="1142"/>
      <c r="ANL42" s="1142"/>
      <c r="ANM42" s="1142"/>
      <c r="ANN42" s="1142"/>
      <c r="ANO42" s="1142"/>
      <c r="ANP42" s="1142"/>
      <c r="ANQ42" s="1167"/>
      <c r="ANR42" s="1167"/>
      <c r="ANS42" s="1167"/>
      <c r="ANT42" s="1167"/>
      <c r="ANU42" s="1167"/>
      <c r="ANV42" s="1167"/>
      <c r="ANW42" s="1167"/>
      <c r="ANX42" s="1167"/>
      <c r="ANY42" s="1167"/>
      <c r="ANZ42" s="1142"/>
      <c r="AOA42" s="1142"/>
      <c r="AOB42" s="1142"/>
      <c r="AOC42" s="1142"/>
      <c r="AOD42" s="1142"/>
      <c r="AOE42" s="1142"/>
      <c r="AOF42" s="1142"/>
      <c r="AOG42" s="1142"/>
      <c r="AOH42" s="1142"/>
      <c r="AOI42" s="1142"/>
      <c r="AOJ42" s="1142"/>
      <c r="AOK42" s="1142"/>
      <c r="AOL42" s="1142"/>
      <c r="AOM42" s="1142"/>
      <c r="AON42" s="1142"/>
      <c r="AOO42" s="1142"/>
      <c r="AOP42" s="1142"/>
      <c r="AOQ42" s="1142"/>
      <c r="AOR42" s="1142"/>
      <c r="AOS42" s="1142"/>
      <c r="AOT42" s="1142"/>
      <c r="AOU42" s="1142"/>
      <c r="AOV42" s="1142"/>
      <c r="AOW42" s="1167"/>
      <c r="AOX42" s="1167"/>
      <c r="AOY42" s="1167"/>
      <c r="AOZ42" s="1167"/>
      <c r="APA42" s="1167"/>
      <c r="APB42" s="1167"/>
      <c r="APC42" s="1167"/>
      <c r="APD42" s="1167"/>
      <c r="APE42" s="1167"/>
      <c r="APF42" s="1142"/>
      <c r="APG42" s="1142"/>
      <c r="APH42" s="1142"/>
      <c r="API42" s="1142"/>
      <c r="APJ42" s="1142"/>
      <c r="APK42" s="1142"/>
      <c r="APL42" s="1142"/>
      <c r="APM42" s="1142"/>
      <c r="APN42" s="1142"/>
      <c r="APO42" s="1142"/>
      <c r="APP42" s="1142"/>
      <c r="APQ42" s="1142"/>
      <c r="APR42" s="1142"/>
      <c r="APS42" s="1142"/>
      <c r="APT42" s="1142"/>
      <c r="APU42" s="1142"/>
      <c r="APV42" s="1142"/>
      <c r="APW42" s="1142"/>
      <c r="APX42" s="1142"/>
      <c r="APY42" s="1142"/>
      <c r="APZ42" s="1142"/>
      <c r="AQA42" s="1142"/>
      <c r="AQB42" s="1142"/>
      <c r="AQC42" s="1167"/>
      <c r="AQD42" s="1167"/>
      <c r="AQE42" s="1167"/>
      <c r="AQF42" s="1167"/>
      <c r="AQG42" s="1167"/>
      <c r="AQH42" s="1167"/>
      <c r="AQI42" s="1167"/>
      <c r="AQJ42" s="1167"/>
      <c r="AQK42" s="1167"/>
      <c r="AQL42" s="1142"/>
      <c r="AQM42" s="1142"/>
      <c r="AQN42" s="1142"/>
      <c r="AQO42" s="1142"/>
      <c r="AQP42" s="1142"/>
      <c r="AQQ42" s="1142"/>
      <c r="AQR42" s="1142"/>
      <c r="AQS42" s="1142"/>
      <c r="AQT42" s="1142"/>
      <c r="AQU42" s="1142"/>
      <c r="AQV42" s="1142"/>
      <c r="AQW42" s="1142"/>
      <c r="AQX42" s="1142"/>
      <c r="AQY42" s="1142"/>
      <c r="AQZ42" s="1142"/>
      <c r="ARA42" s="1142"/>
      <c r="ARB42" s="1142"/>
      <c r="ARC42" s="1142"/>
      <c r="ARD42" s="1142"/>
      <c r="ARE42" s="1142"/>
      <c r="ARF42" s="1142"/>
      <c r="ARG42" s="1142"/>
      <c r="ARH42" s="1142"/>
      <c r="ARI42" s="1167"/>
      <c r="ARJ42" s="1167"/>
      <c r="ARK42" s="1167"/>
      <c r="ARL42" s="1167"/>
      <c r="ARM42" s="1167"/>
      <c r="ARN42" s="1167"/>
      <c r="ARO42" s="1167"/>
      <c r="ARP42" s="1167"/>
      <c r="ARQ42" s="1167"/>
      <c r="ARR42" s="1142"/>
      <c r="ARS42" s="1142"/>
      <c r="ART42" s="1142"/>
      <c r="ARU42" s="1142"/>
      <c r="ARV42" s="1142"/>
      <c r="ARW42" s="1142"/>
      <c r="ARX42" s="1142"/>
      <c r="ARY42" s="1142"/>
      <c r="ARZ42" s="1142"/>
      <c r="ASA42" s="1142"/>
      <c r="ASB42" s="1142"/>
      <c r="ASC42" s="1142"/>
      <c r="ASD42" s="1142"/>
      <c r="ASE42" s="1142"/>
      <c r="ASF42" s="1142"/>
      <c r="ASG42" s="1142"/>
      <c r="ASH42" s="1142"/>
      <c r="ASI42" s="1142"/>
      <c r="ASJ42" s="1142"/>
      <c r="ASK42" s="1142"/>
      <c r="ASL42" s="1142"/>
      <c r="ASM42" s="1142"/>
      <c r="ASN42" s="1142"/>
      <c r="ASO42" s="1167"/>
      <c r="ASP42" s="1167"/>
      <c r="ASQ42" s="1167"/>
      <c r="ASR42" s="1167"/>
      <c r="ASS42" s="1167"/>
      <c r="AST42" s="1167"/>
      <c r="ASU42" s="1167"/>
      <c r="ASV42" s="1167"/>
      <c r="ASW42" s="1167"/>
      <c r="ASX42" s="1142"/>
      <c r="ASY42" s="1142"/>
      <c r="ASZ42" s="1142"/>
      <c r="ATA42" s="1142"/>
      <c r="ATB42" s="1142"/>
      <c r="ATC42" s="1142"/>
      <c r="ATD42" s="1142"/>
      <c r="ATE42" s="1142"/>
      <c r="ATF42" s="1142"/>
      <c r="ATG42" s="1142"/>
      <c r="ATH42" s="1142"/>
      <c r="ATI42" s="1142"/>
      <c r="ATJ42" s="1142"/>
      <c r="ATK42" s="1142"/>
      <c r="ATL42" s="1142"/>
      <c r="ATM42" s="1142"/>
      <c r="ATN42" s="1142"/>
      <c r="ATO42" s="1142"/>
      <c r="ATP42" s="1142"/>
      <c r="ATQ42" s="1142"/>
      <c r="ATR42" s="1142"/>
      <c r="ATS42" s="1142"/>
      <c r="ATT42" s="1142"/>
      <c r="ATU42" s="1167"/>
      <c r="ATV42" s="1167"/>
      <c r="ATW42" s="1167"/>
      <c r="ATX42" s="1167"/>
      <c r="ATY42" s="1167"/>
      <c r="ATZ42" s="1167"/>
      <c r="AUA42" s="1167"/>
      <c r="AUB42" s="1167"/>
      <c r="AUC42" s="1167"/>
      <c r="AUD42" s="1142"/>
      <c r="AUE42" s="1142"/>
      <c r="AUF42" s="1142"/>
      <c r="AUG42" s="1142"/>
      <c r="AUH42" s="1142"/>
      <c r="AUI42" s="1142"/>
      <c r="AUJ42" s="1142"/>
      <c r="AUK42" s="1142"/>
      <c r="AUL42" s="1142"/>
      <c r="AUM42" s="1142"/>
      <c r="AUN42" s="1142"/>
      <c r="AUO42" s="1142"/>
      <c r="AUP42" s="1142"/>
      <c r="AUQ42" s="1142"/>
      <c r="AUR42" s="1142"/>
      <c r="AUS42" s="1142"/>
      <c r="AUT42" s="1142"/>
      <c r="AUU42" s="1142"/>
      <c r="AUV42" s="1142"/>
      <c r="AUW42" s="1142"/>
      <c r="AUX42" s="1142"/>
      <c r="AUY42" s="1142"/>
      <c r="AUZ42" s="1142"/>
      <c r="AVA42" s="1167"/>
      <c r="AVB42" s="1167"/>
      <c r="AVC42" s="1167"/>
      <c r="AVD42" s="1167"/>
      <c r="AVE42" s="1167"/>
      <c r="AVF42" s="1167"/>
      <c r="AVG42" s="1167"/>
      <c r="AVH42" s="1167"/>
      <c r="AVI42" s="1167"/>
      <c r="AVJ42" s="1142"/>
      <c r="AVK42" s="1142"/>
      <c r="AVL42" s="1142"/>
      <c r="AVM42" s="1142"/>
      <c r="AVN42" s="1142"/>
      <c r="AVO42" s="1142"/>
      <c r="AVP42" s="1142"/>
      <c r="AVQ42" s="1142"/>
      <c r="AVR42" s="1142"/>
      <c r="AVS42" s="1142"/>
      <c r="AVT42" s="1142"/>
      <c r="AVU42" s="1142"/>
      <c r="AVV42" s="1142"/>
      <c r="AVW42" s="1142"/>
      <c r="AVX42" s="1142"/>
      <c r="AVY42" s="1142"/>
      <c r="AVZ42" s="1142"/>
      <c r="AWA42" s="1142"/>
      <c r="AWB42" s="1142"/>
      <c r="AWC42" s="1142"/>
      <c r="AWD42" s="1142"/>
      <c r="AWE42" s="1142"/>
      <c r="AWF42" s="1142"/>
      <c r="AWG42" s="1167"/>
      <c r="AWH42" s="1167"/>
      <c r="AWI42" s="1167"/>
      <c r="AWJ42" s="1167"/>
      <c r="AWK42" s="1167"/>
      <c r="AWL42" s="1167"/>
      <c r="AWM42" s="1167"/>
      <c r="AWN42" s="1167"/>
      <c r="AWO42" s="1167"/>
      <c r="AWP42" s="1142"/>
      <c r="AWQ42" s="1142"/>
      <c r="AWR42" s="1142"/>
      <c r="AWS42" s="1142"/>
      <c r="AWT42" s="1142"/>
      <c r="AWU42" s="1142"/>
      <c r="AWV42" s="1142"/>
      <c r="AWW42" s="1142"/>
      <c r="AWX42" s="1142"/>
      <c r="AWY42" s="1142"/>
      <c r="AWZ42" s="1142"/>
      <c r="AXA42" s="1142"/>
      <c r="AXB42" s="1142"/>
      <c r="AXC42" s="1142"/>
      <c r="AXD42" s="1142"/>
      <c r="AXE42" s="1142"/>
      <c r="AXF42" s="1142"/>
      <c r="AXG42" s="1142"/>
      <c r="AXH42" s="1142"/>
      <c r="AXI42" s="1142"/>
      <c r="AXJ42" s="1142"/>
      <c r="AXK42" s="1142"/>
      <c r="AXL42" s="1142"/>
      <c r="AXM42" s="1167"/>
      <c r="AXN42" s="1167"/>
      <c r="AXO42" s="1167"/>
      <c r="AXP42" s="1167"/>
      <c r="AXQ42" s="1167"/>
      <c r="AXR42" s="1167"/>
      <c r="AXS42" s="1167"/>
      <c r="AXT42" s="1167"/>
      <c r="AXU42" s="1167"/>
      <c r="AXV42" s="1142"/>
      <c r="AXW42" s="1142"/>
      <c r="AXX42" s="1142"/>
      <c r="AXY42" s="1142"/>
      <c r="AXZ42" s="1142"/>
      <c r="AYA42" s="1142"/>
      <c r="AYB42" s="1142"/>
      <c r="AYC42" s="1142"/>
      <c r="AYD42" s="1142"/>
      <c r="AYE42" s="1142"/>
      <c r="AYF42" s="1142"/>
      <c r="AYG42" s="1142"/>
      <c r="AYH42" s="1142"/>
      <c r="AYI42" s="1142"/>
      <c r="AYJ42" s="1142"/>
      <c r="AYK42" s="1142"/>
      <c r="AYL42" s="1142"/>
      <c r="AYM42" s="1142"/>
      <c r="AYN42" s="1142"/>
      <c r="AYO42" s="1142"/>
      <c r="AYP42" s="1142"/>
      <c r="AYQ42" s="1142"/>
      <c r="AYR42" s="1142"/>
      <c r="AYS42" s="1167"/>
      <c r="AYT42" s="1167"/>
      <c r="AYU42" s="1167"/>
      <c r="AYV42" s="1167"/>
      <c r="AYW42" s="1167"/>
      <c r="AYX42" s="1167"/>
      <c r="AYY42" s="1167"/>
      <c r="AYZ42" s="1167"/>
      <c r="AZA42" s="1167"/>
      <c r="AZB42" s="1142"/>
      <c r="AZC42" s="1142"/>
      <c r="AZD42" s="1142"/>
      <c r="AZE42" s="1142"/>
      <c r="AZF42" s="1142"/>
      <c r="AZG42" s="1142"/>
      <c r="AZH42" s="1142"/>
      <c r="AZI42" s="1142"/>
      <c r="AZJ42" s="1142"/>
      <c r="AZK42" s="1142"/>
      <c r="AZL42" s="1142"/>
      <c r="AZM42" s="1142"/>
      <c r="AZN42" s="1142"/>
      <c r="AZO42" s="1142"/>
      <c r="AZP42" s="1142"/>
      <c r="AZQ42" s="1142"/>
      <c r="AZR42" s="1142"/>
      <c r="AZS42" s="1142"/>
      <c r="AZT42" s="1142"/>
      <c r="AZU42" s="1142"/>
      <c r="AZV42" s="1142"/>
      <c r="AZW42" s="1142"/>
      <c r="AZX42" s="1142"/>
      <c r="AZY42" s="1167"/>
      <c r="AZZ42" s="1167"/>
      <c r="BAA42" s="1167"/>
      <c r="BAB42" s="1167"/>
      <c r="BAC42" s="1167"/>
      <c r="BAD42" s="1167"/>
      <c r="BAE42" s="1167"/>
      <c r="BAF42" s="1167"/>
      <c r="BAG42" s="1167"/>
      <c r="BAH42" s="1142"/>
      <c r="BAI42" s="1142"/>
      <c r="BAJ42" s="1142"/>
      <c r="BAK42" s="1142"/>
      <c r="BAL42" s="1142"/>
      <c r="BAM42" s="1142"/>
      <c r="BAN42" s="1142"/>
      <c r="BAO42" s="1142"/>
      <c r="BAP42" s="1142"/>
      <c r="BAQ42" s="1142"/>
      <c r="BAR42" s="1142"/>
      <c r="BAS42" s="1142"/>
      <c r="BAT42" s="1142"/>
      <c r="BAU42" s="1142"/>
      <c r="BAV42" s="1142"/>
      <c r="BAW42" s="1142"/>
      <c r="BAX42" s="1142"/>
      <c r="BAY42" s="1142"/>
      <c r="BAZ42" s="1142"/>
      <c r="BBA42" s="1142"/>
      <c r="BBB42" s="1142"/>
      <c r="BBC42" s="1142"/>
      <c r="BBD42" s="1142"/>
      <c r="BBE42" s="1167"/>
      <c r="BBF42" s="1167"/>
      <c r="BBG42" s="1167"/>
      <c r="BBH42" s="1167"/>
      <c r="BBI42" s="1167"/>
      <c r="BBJ42" s="1167"/>
      <c r="BBK42" s="1167"/>
      <c r="BBL42" s="1167"/>
      <c r="BBM42" s="1167"/>
      <c r="BBN42" s="1142"/>
      <c r="BBO42" s="1142"/>
      <c r="BBP42" s="1142"/>
      <c r="BBQ42" s="1142"/>
      <c r="BBR42" s="1142"/>
      <c r="BBS42" s="1142"/>
      <c r="BBT42" s="1142"/>
      <c r="BBU42" s="1142"/>
      <c r="BBV42" s="1142"/>
      <c r="BBW42" s="1142"/>
      <c r="BBX42" s="1142"/>
      <c r="BBY42" s="1142"/>
      <c r="BBZ42" s="1142"/>
      <c r="BCA42" s="1142"/>
      <c r="BCB42" s="1142"/>
      <c r="BCC42" s="1142"/>
      <c r="BCD42" s="1142"/>
      <c r="BCE42" s="1142"/>
      <c r="BCF42" s="1142"/>
      <c r="BCG42" s="1142"/>
      <c r="BCH42" s="1142"/>
      <c r="BCI42" s="1142"/>
      <c r="BCJ42" s="1142"/>
      <c r="BCK42" s="1167"/>
      <c r="BCL42" s="1167"/>
      <c r="BCM42" s="1167"/>
      <c r="BCN42" s="1167"/>
      <c r="BCO42" s="1167"/>
      <c r="BCP42" s="1167"/>
      <c r="BCQ42" s="1167"/>
      <c r="BCR42" s="1167"/>
      <c r="BCS42" s="1167"/>
      <c r="BCT42" s="1142"/>
      <c r="BCU42" s="1142"/>
      <c r="BCV42" s="1142"/>
      <c r="BCW42" s="1142"/>
      <c r="BCX42" s="1142"/>
      <c r="BCY42" s="1142"/>
      <c r="BCZ42" s="1142"/>
      <c r="BDA42" s="1142"/>
      <c r="BDB42" s="1142"/>
      <c r="BDC42" s="1142"/>
      <c r="BDD42" s="1142"/>
      <c r="BDE42" s="1142"/>
      <c r="BDF42" s="1142"/>
      <c r="BDG42" s="1142"/>
      <c r="BDH42" s="1142"/>
      <c r="BDI42" s="1142"/>
      <c r="BDJ42" s="1142"/>
      <c r="BDK42" s="1142"/>
      <c r="BDL42" s="1142"/>
      <c r="BDM42" s="1142"/>
      <c r="BDN42" s="1142"/>
      <c r="BDO42" s="1142"/>
      <c r="BDP42" s="1142"/>
      <c r="BDQ42" s="1167"/>
      <c r="BDR42" s="1167"/>
      <c r="BDS42" s="1167"/>
      <c r="BDT42" s="1167"/>
      <c r="BDU42" s="1167"/>
      <c r="BDV42" s="1167"/>
      <c r="BDW42" s="1167"/>
      <c r="BDX42" s="1167"/>
      <c r="BDY42" s="1167"/>
      <c r="BDZ42" s="1142"/>
      <c r="BEA42" s="1142"/>
      <c r="BEB42" s="1142"/>
      <c r="BEC42" s="1142"/>
      <c r="BED42" s="1142"/>
      <c r="BEE42" s="1142"/>
      <c r="BEF42" s="1142"/>
      <c r="BEG42" s="1142"/>
      <c r="BEH42" s="1142"/>
      <c r="BEI42" s="1142"/>
      <c r="BEJ42" s="1142"/>
      <c r="BEK42" s="1142"/>
      <c r="BEL42" s="1142"/>
      <c r="BEM42" s="1142"/>
      <c r="BEN42" s="1142"/>
      <c r="BEO42" s="1142"/>
      <c r="BEP42" s="1142"/>
      <c r="BEQ42" s="1142"/>
      <c r="BER42" s="1142"/>
      <c r="BES42" s="1142"/>
      <c r="BET42" s="1142"/>
      <c r="BEU42" s="1142"/>
      <c r="BEV42" s="1142"/>
      <c r="BEW42" s="1167"/>
      <c r="BEX42" s="1167"/>
      <c r="BEY42" s="1167"/>
      <c r="BEZ42" s="1167"/>
      <c r="BFA42" s="1167"/>
      <c r="BFB42" s="1167"/>
      <c r="BFC42" s="1167"/>
      <c r="BFD42" s="1167"/>
      <c r="BFE42" s="1167"/>
      <c r="BFF42" s="1142"/>
      <c r="BFG42" s="1142"/>
      <c r="BFH42" s="1142"/>
      <c r="BFI42" s="1142"/>
      <c r="BFJ42" s="1142"/>
      <c r="BFK42" s="1142"/>
      <c r="BFL42" s="1142"/>
      <c r="BFM42" s="1142"/>
      <c r="BFN42" s="1142"/>
      <c r="BFO42" s="1142"/>
      <c r="BFP42" s="1142"/>
      <c r="BFQ42" s="1142"/>
      <c r="BFR42" s="1142"/>
      <c r="BFS42" s="1142"/>
      <c r="BFT42" s="1142"/>
      <c r="BFU42" s="1142"/>
      <c r="BFV42" s="1142"/>
      <c r="BFW42" s="1142"/>
      <c r="BFX42" s="1142"/>
      <c r="BFY42" s="1142"/>
      <c r="BFZ42" s="1142"/>
      <c r="BGA42" s="1142"/>
      <c r="BGB42" s="1142"/>
      <c r="BGC42" s="1167"/>
      <c r="BGD42" s="1167"/>
      <c r="BGE42" s="1167"/>
      <c r="BGF42" s="1167"/>
      <c r="BGG42" s="1167"/>
      <c r="BGH42" s="1167"/>
      <c r="BGI42" s="1167"/>
      <c r="BGJ42" s="1167"/>
      <c r="BGK42" s="1167"/>
      <c r="BGL42" s="1142"/>
      <c r="BGM42" s="1142"/>
      <c r="BGN42" s="1142"/>
      <c r="BGO42" s="1142"/>
      <c r="BGP42" s="1142"/>
      <c r="BGQ42" s="1142"/>
      <c r="BGR42" s="1142"/>
      <c r="BGS42" s="1142"/>
      <c r="BGT42" s="1142"/>
      <c r="BGU42" s="1142"/>
      <c r="BGV42" s="1142"/>
      <c r="BGW42" s="1142"/>
      <c r="BGX42" s="1142"/>
      <c r="BGY42" s="1142"/>
      <c r="BGZ42" s="1142"/>
      <c r="BHA42" s="1142"/>
      <c r="BHB42" s="1142"/>
      <c r="BHC42" s="1142"/>
      <c r="BHD42" s="1142"/>
      <c r="BHE42" s="1142"/>
      <c r="BHF42" s="1142"/>
      <c r="BHG42" s="1142"/>
      <c r="BHH42" s="1142"/>
      <c r="BHI42" s="1167"/>
      <c r="BHJ42" s="1167"/>
      <c r="BHK42" s="1167"/>
      <c r="BHL42" s="1167"/>
      <c r="BHM42" s="1167"/>
      <c r="BHN42" s="1167"/>
      <c r="BHO42" s="1167"/>
      <c r="BHP42" s="1167"/>
      <c r="BHQ42" s="1167"/>
      <c r="BHR42" s="1142"/>
      <c r="BHS42" s="1142"/>
      <c r="BHT42" s="1142"/>
      <c r="BHU42" s="1142"/>
      <c r="BHV42" s="1142"/>
      <c r="BHW42" s="1142"/>
      <c r="BHX42" s="1142"/>
      <c r="BHY42" s="1142"/>
      <c r="BHZ42" s="1142"/>
      <c r="BIA42" s="1142"/>
      <c r="BIB42" s="1142"/>
      <c r="BIC42" s="1142"/>
      <c r="BID42" s="1142"/>
      <c r="BIE42" s="1142"/>
      <c r="BIF42" s="1142"/>
      <c r="BIG42" s="1142"/>
      <c r="BIH42" s="1142"/>
      <c r="BII42" s="1142"/>
      <c r="BIJ42" s="1142"/>
      <c r="BIK42" s="1142"/>
      <c r="BIL42" s="1142"/>
      <c r="BIM42" s="1142"/>
      <c r="BIN42" s="1142"/>
      <c r="BIO42" s="1167"/>
      <c r="BIP42" s="1167"/>
      <c r="BIQ42" s="1167"/>
      <c r="BIR42" s="1167"/>
      <c r="BIS42" s="1167"/>
      <c r="BIT42" s="1167"/>
      <c r="BIU42" s="1167"/>
      <c r="BIV42" s="1167"/>
      <c r="BIW42" s="1167"/>
      <c r="BIX42" s="1142"/>
      <c r="BIY42" s="1142"/>
      <c r="BIZ42" s="1142"/>
      <c r="BJA42" s="1142"/>
      <c r="BJB42" s="1142"/>
      <c r="BJC42" s="1142"/>
      <c r="BJD42" s="1142"/>
      <c r="BJE42" s="1142"/>
      <c r="BJF42" s="1142"/>
      <c r="BJG42" s="1142"/>
      <c r="BJH42" s="1142"/>
      <c r="BJI42" s="1142"/>
      <c r="BJJ42" s="1142"/>
      <c r="BJK42" s="1142"/>
      <c r="BJL42" s="1142"/>
      <c r="BJM42" s="1142"/>
      <c r="BJN42" s="1142"/>
      <c r="BJO42" s="1142"/>
      <c r="BJP42" s="1142"/>
      <c r="BJQ42" s="1142"/>
      <c r="BJR42" s="1142"/>
      <c r="BJS42" s="1142"/>
      <c r="BJT42" s="1142"/>
      <c r="BJU42" s="1167"/>
      <c r="BJV42" s="1167"/>
      <c r="BJW42" s="1167"/>
      <c r="BJX42" s="1167"/>
      <c r="BJY42" s="1167"/>
      <c r="BJZ42" s="1167"/>
      <c r="BKA42" s="1167"/>
      <c r="BKB42" s="1167"/>
      <c r="BKC42" s="1167"/>
      <c r="BKD42" s="1142"/>
      <c r="BKE42" s="1142"/>
      <c r="BKF42" s="1142"/>
      <c r="BKG42" s="1142"/>
      <c r="BKH42" s="1142"/>
      <c r="BKI42" s="1142"/>
      <c r="BKJ42" s="1142"/>
      <c r="BKK42" s="1142"/>
      <c r="BKL42" s="1142"/>
      <c r="BKM42" s="1142"/>
      <c r="BKN42" s="1142"/>
      <c r="BKO42" s="1142"/>
      <c r="BKP42" s="1142"/>
      <c r="BKQ42" s="1142"/>
      <c r="BKR42" s="1142"/>
      <c r="BKS42" s="1142"/>
      <c r="BKT42" s="1142"/>
      <c r="BKU42" s="1142"/>
      <c r="BKV42" s="1142"/>
      <c r="BKW42" s="1142"/>
      <c r="BKX42" s="1142"/>
      <c r="BKY42" s="1142"/>
      <c r="BKZ42" s="1142"/>
      <c r="BLA42" s="1167"/>
      <c r="BLB42" s="1167"/>
      <c r="BLC42" s="1167"/>
      <c r="BLD42" s="1167"/>
      <c r="BLE42" s="1167"/>
      <c r="BLF42" s="1167"/>
      <c r="BLG42" s="1167"/>
      <c r="BLH42" s="1167"/>
      <c r="BLI42" s="1167"/>
      <c r="BLJ42" s="1142"/>
      <c r="BLK42" s="1142"/>
      <c r="BLL42" s="1142"/>
      <c r="BLM42" s="1142"/>
      <c r="BLN42" s="1142"/>
      <c r="BLO42" s="1142"/>
      <c r="BLP42" s="1142"/>
      <c r="BLQ42" s="1142"/>
      <c r="BLR42" s="1142"/>
      <c r="BLS42" s="1142"/>
      <c r="BLT42" s="1142"/>
      <c r="BLU42" s="1142"/>
      <c r="BLV42" s="1142"/>
      <c r="BLW42" s="1142"/>
      <c r="BLX42" s="1142"/>
      <c r="BLY42" s="1142"/>
      <c r="BLZ42" s="1142"/>
      <c r="BMA42" s="1142"/>
      <c r="BMB42" s="1142"/>
      <c r="BMC42" s="1142"/>
      <c r="BMD42" s="1142"/>
      <c r="BME42" s="1142"/>
      <c r="BMF42" s="1142"/>
      <c r="BMG42" s="1167"/>
      <c r="BMH42" s="1167"/>
      <c r="BMI42" s="1167"/>
      <c r="BMJ42" s="1167"/>
      <c r="BMK42" s="1167"/>
      <c r="BML42" s="1167"/>
      <c r="BMM42" s="1167"/>
      <c r="BMN42" s="1167"/>
      <c r="BMO42" s="1167"/>
      <c r="BMP42" s="1142"/>
      <c r="BMQ42" s="1142"/>
      <c r="BMR42" s="1142"/>
      <c r="BMS42" s="1142"/>
      <c r="BMT42" s="1142"/>
      <c r="BMU42" s="1142"/>
      <c r="BMV42" s="1142"/>
      <c r="BMW42" s="1142"/>
      <c r="BMX42" s="1142"/>
      <c r="BMY42" s="1142"/>
      <c r="BMZ42" s="1142"/>
      <c r="BNA42" s="1142"/>
      <c r="BNB42" s="1142"/>
      <c r="BNC42" s="1142"/>
      <c r="BND42" s="1142"/>
      <c r="BNE42" s="1142"/>
      <c r="BNF42" s="1142"/>
      <c r="BNG42" s="1142"/>
      <c r="BNH42" s="1142"/>
      <c r="BNI42" s="1142"/>
      <c r="BNJ42" s="1142"/>
      <c r="BNK42" s="1142"/>
      <c r="BNL42" s="1142"/>
      <c r="BNM42" s="1167"/>
      <c r="BNN42" s="1167"/>
      <c r="BNO42" s="1167"/>
      <c r="BNP42" s="1167"/>
      <c r="BNQ42" s="1167"/>
      <c r="BNR42" s="1167"/>
      <c r="BNS42" s="1167"/>
      <c r="BNT42" s="1167"/>
      <c r="BNU42" s="1167"/>
      <c r="BNV42" s="1142"/>
      <c r="BNW42" s="1142"/>
      <c r="BNX42" s="1142"/>
      <c r="BNY42" s="1142"/>
      <c r="BNZ42" s="1142"/>
      <c r="BOA42" s="1142"/>
      <c r="BOB42" s="1142"/>
      <c r="BOC42" s="1142"/>
      <c r="BOD42" s="1142"/>
      <c r="BOE42" s="1142"/>
      <c r="BOF42" s="1142"/>
      <c r="BOG42" s="1142"/>
      <c r="BOH42" s="1142"/>
      <c r="BOI42" s="1142"/>
      <c r="BOJ42" s="1142"/>
      <c r="BOK42" s="1142"/>
      <c r="BOL42" s="1142"/>
      <c r="BOM42" s="1142"/>
      <c r="BON42" s="1142"/>
      <c r="BOO42" s="1142"/>
      <c r="BOP42" s="1142"/>
      <c r="BOQ42" s="1142"/>
      <c r="BOR42" s="1142"/>
      <c r="BOS42" s="1167"/>
      <c r="BOT42" s="1167"/>
      <c r="BOU42" s="1167"/>
      <c r="BOV42" s="1167"/>
      <c r="BOW42" s="1167"/>
      <c r="BOX42" s="1167"/>
      <c r="BOY42" s="1167"/>
      <c r="BOZ42" s="1167"/>
      <c r="BPA42" s="1167"/>
      <c r="BPB42" s="1142"/>
      <c r="BPC42" s="1142"/>
      <c r="BPD42" s="1142"/>
      <c r="BPE42" s="1142"/>
      <c r="BPF42" s="1142"/>
      <c r="BPG42" s="1142"/>
      <c r="BPH42" s="1142"/>
      <c r="BPI42" s="1142"/>
      <c r="BPJ42" s="1142"/>
      <c r="BPK42" s="1142"/>
      <c r="BPL42" s="1142"/>
      <c r="BPM42" s="1142"/>
      <c r="BPN42" s="1142"/>
      <c r="BPO42" s="1142"/>
      <c r="BPP42" s="1142"/>
      <c r="BPQ42" s="1142"/>
      <c r="BPR42" s="1142"/>
      <c r="BPS42" s="1142"/>
      <c r="BPT42" s="1142"/>
      <c r="BPU42" s="1142"/>
      <c r="BPV42" s="1142"/>
      <c r="BPW42" s="1142"/>
      <c r="BPX42" s="1142"/>
      <c r="BPY42" s="1167"/>
      <c r="BPZ42" s="1167"/>
      <c r="BQA42" s="1167"/>
      <c r="BQB42" s="1167"/>
      <c r="BQC42" s="1167"/>
      <c r="BQD42" s="1167"/>
      <c r="BQE42" s="1167"/>
      <c r="BQF42" s="1167"/>
      <c r="BQG42" s="1167"/>
      <c r="BQH42" s="1142"/>
      <c r="BQI42" s="1142"/>
      <c r="BQJ42" s="1142"/>
      <c r="BQK42" s="1142"/>
      <c r="BQL42" s="1142"/>
      <c r="BQM42" s="1142"/>
      <c r="BQN42" s="1142"/>
      <c r="BQO42" s="1142"/>
      <c r="BQP42" s="1142"/>
      <c r="BQQ42" s="1142"/>
      <c r="BQR42" s="1142"/>
      <c r="BQS42" s="1142"/>
      <c r="BQT42" s="1142"/>
      <c r="BQU42" s="1142"/>
      <c r="BQV42" s="1142"/>
      <c r="BQW42" s="1142"/>
      <c r="BQX42" s="1142"/>
      <c r="BQY42" s="1142"/>
      <c r="BQZ42" s="1142"/>
      <c r="BRA42" s="1142"/>
      <c r="BRB42" s="1142"/>
      <c r="BRC42" s="1142"/>
      <c r="BRD42" s="1142"/>
      <c r="BRE42" s="1167"/>
      <c r="BRF42" s="1167"/>
      <c r="BRG42" s="1167"/>
      <c r="BRH42" s="1167"/>
      <c r="BRI42" s="1167"/>
      <c r="BRJ42" s="1167"/>
      <c r="BRK42" s="1167"/>
      <c r="BRL42" s="1167"/>
      <c r="BRM42" s="1167"/>
      <c r="BRN42" s="1142"/>
      <c r="BRO42" s="1142"/>
      <c r="BRP42" s="1142"/>
      <c r="BRQ42" s="1142"/>
      <c r="BRR42" s="1142"/>
      <c r="BRS42" s="1142"/>
      <c r="BRT42" s="1142"/>
      <c r="BRU42" s="1142"/>
      <c r="BRV42" s="1142"/>
      <c r="BRW42" s="1142"/>
      <c r="BRX42" s="1142"/>
      <c r="BRY42" s="1142"/>
      <c r="BRZ42" s="1142"/>
      <c r="BSA42" s="1142"/>
      <c r="BSB42" s="1142"/>
      <c r="BSC42" s="1142"/>
      <c r="BSD42" s="1142"/>
      <c r="BSE42" s="1142"/>
      <c r="BSF42" s="1142"/>
      <c r="BSG42" s="1142"/>
      <c r="BSH42" s="1142"/>
      <c r="BSI42" s="1142"/>
      <c r="BSJ42" s="1142"/>
      <c r="BSK42" s="1167"/>
      <c r="BSL42" s="1167"/>
      <c r="BSM42" s="1167"/>
      <c r="BSN42" s="1167"/>
      <c r="BSO42" s="1167"/>
      <c r="BSP42" s="1167"/>
      <c r="BSQ42" s="1167"/>
      <c r="BSR42" s="1167"/>
      <c r="BSS42" s="1167"/>
      <c r="BST42" s="1142"/>
      <c r="BSU42" s="1142"/>
      <c r="BSV42" s="1142"/>
      <c r="BSW42" s="1142"/>
      <c r="BSX42" s="1142"/>
      <c r="BSY42" s="1142"/>
      <c r="BSZ42" s="1142"/>
      <c r="BTA42" s="1142"/>
      <c r="BTB42" s="1142"/>
      <c r="BTC42" s="1142"/>
      <c r="BTD42" s="1142"/>
      <c r="BTE42" s="1142"/>
      <c r="BTF42" s="1142"/>
      <c r="BTG42" s="1142"/>
      <c r="BTH42" s="1142"/>
      <c r="BTI42" s="1142"/>
      <c r="BTJ42" s="1142"/>
      <c r="BTK42" s="1142"/>
      <c r="BTL42" s="1142"/>
      <c r="BTM42" s="1142"/>
      <c r="BTN42" s="1142"/>
      <c r="BTO42" s="1142"/>
      <c r="BTP42" s="1142"/>
      <c r="BTQ42" s="1167"/>
      <c r="BTR42" s="1167"/>
      <c r="BTS42" s="1167"/>
      <c r="BTT42" s="1167"/>
      <c r="BTU42" s="1167"/>
      <c r="BTV42" s="1167"/>
      <c r="BTW42" s="1167"/>
      <c r="BTX42" s="1167"/>
      <c r="BTY42" s="1167"/>
      <c r="BTZ42" s="1142"/>
      <c r="BUA42" s="1142"/>
      <c r="BUB42" s="1142"/>
      <c r="BUC42" s="1142"/>
      <c r="BUD42" s="1142"/>
      <c r="BUE42" s="1142"/>
      <c r="BUF42" s="1142"/>
      <c r="BUG42" s="1142"/>
      <c r="BUH42" s="1142"/>
      <c r="BUI42" s="1142"/>
      <c r="BUJ42" s="1142"/>
      <c r="BUK42" s="1142"/>
      <c r="BUL42" s="1142"/>
      <c r="BUM42" s="1142"/>
      <c r="BUN42" s="1142"/>
      <c r="BUO42" s="1142"/>
      <c r="BUP42" s="1142"/>
      <c r="BUQ42" s="1142"/>
      <c r="BUR42" s="1142"/>
      <c r="BUS42" s="1142"/>
      <c r="BUT42" s="1142"/>
      <c r="BUU42" s="1142"/>
      <c r="BUV42" s="1142"/>
      <c r="BUW42" s="1167"/>
      <c r="BUX42" s="1167"/>
      <c r="BUY42" s="1167"/>
      <c r="BUZ42" s="1167"/>
      <c r="BVA42" s="1167"/>
      <c r="BVB42" s="1167"/>
      <c r="BVC42" s="1167"/>
      <c r="BVD42" s="1167"/>
      <c r="BVE42" s="1167"/>
      <c r="BVF42" s="1142"/>
      <c r="BVG42" s="1142"/>
      <c r="BVH42" s="1142"/>
      <c r="BVI42" s="1142"/>
      <c r="BVJ42" s="1142"/>
      <c r="BVK42" s="1142"/>
      <c r="BVL42" s="1142"/>
      <c r="BVM42" s="1142"/>
      <c r="BVN42" s="1142"/>
      <c r="BVO42" s="1142"/>
      <c r="BVP42" s="1142"/>
      <c r="BVQ42" s="1142"/>
      <c r="BVR42" s="1142"/>
      <c r="BVS42" s="1142"/>
      <c r="BVT42" s="1142"/>
      <c r="BVU42" s="1142"/>
      <c r="BVV42" s="1142"/>
      <c r="BVW42" s="1142"/>
      <c r="BVX42" s="1142"/>
      <c r="BVY42" s="1142"/>
      <c r="BVZ42" s="1142"/>
      <c r="BWA42" s="1142"/>
      <c r="BWB42" s="1142"/>
      <c r="BWC42" s="1167"/>
      <c r="BWD42" s="1167"/>
      <c r="BWE42" s="1167"/>
      <c r="BWF42" s="1167"/>
      <c r="BWG42" s="1167"/>
      <c r="BWH42" s="1167"/>
      <c r="BWI42" s="1167"/>
      <c r="BWJ42" s="1167"/>
      <c r="BWK42" s="1167"/>
      <c r="BWL42" s="1142"/>
      <c r="BWM42" s="1142"/>
      <c r="BWN42" s="1142"/>
      <c r="BWO42" s="1142"/>
      <c r="BWP42" s="1142"/>
      <c r="BWQ42" s="1142"/>
      <c r="BWR42" s="1142"/>
      <c r="BWS42" s="1142"/>
      <c r="BWT42" s="1142"/>
      <c r="BWU42" s="1142"/>
      <c r="BWV42" s="1142"/>
      <c r="BWW42" s="1142"/>
      <c r="BWX42" s="1142"/>
      <c r="BWY42" s="1142"/>
      <c r="BWZ42" s="1142"/>
      <c r="BXA42" s="1142"/>
      <c r="BXB42" s="1142"/>
      <c r="BXC42" s="1142"/>
      <c r="BXD42" s="1142"/>
      <c r="BXE42" s="1142"/>
      <c r="BXF42" s="1142"/>
      <c r="BXG42" s="1142"/>
      <c r="BXH42" s="1142"/>
      <c r="BXI42" s="1167"/>
      <c r="BXJ42" s="1167"/>
      <c r="BXK42" s="1167"/>
      <c r="BXL42" s="1167"/>
      <c r="BXM42" s="1167"/>
      <c r="BXN42" s="1167"/>
      <c r="BXO42" s="1167"/>
      <c r="BXP42" s="1167"/>
      <c r="BXQ42" s="1167"/>
      <c r="BXR42" s="1142"/>
      <c r="BXS42" s="1142"/>
      <c r="BXT42" s="1142"/>
      <c r="BXU42" s="1142"/>
      <c r="BXV42" s="1142"/>
      <c r="BXW42" s="1142"/>
      <c r="BXX42" s="1142"/>
      <c r="BXY42" s="1142"/>
      <c r="BXZ42" s="1142"/>
      <c r="BYA42" s="1142"/>
      <c r="BYB42" s="1142"/>
      <c r="BYC42" s="1142"/>
      <c r="BYD42" s="1142"/>
      <c r="BYE42" s="1142"/>
      <c r="BYF42" s="1142"/>
      <c r="BYG42" s="1142"/>
      <c r="BYH42" s="1142"/>
      <c r="BYI42" s="1142"/>
      <c r="BYJ42" s="1142"/>
      <c r="BYK42" s="1142"/>
      <c r="BYL42" s="1142"/>
      <c r="BYM42" s="1142"/>
      <c r="BYN42" s="1142"/>
      <c r="BYO42" s="1167"/>
      <c r="BYP42" s="1167"/>
      <c r="BYQ42" s="1167"/>
      <c r="BYR42" s="1167"/>
      <c r="BYS42" s="1167"/>
      <c r="BYT42" s="1167"/>
      <c r="BYU42" s="1167"/>
      <c r="BYV42" s="1167"/>
      <c r="BYW42" s="1167"/>
      <c r="BYX42" s="1142"/>
      <c r="BYY42" s="1142"/>
      <c r="BYZ42" s="1142"/>
      <c r="BZA42" s="1142"/>
      <c r="BZB42" s="1142"/>
      <c r="BZC42" s="1142"/>
      <c r="BZD42" s="1142"/>
      <c r="BZE42" s="1142"/>
      <c r="BZF42" s="1142"/>
      <c r="BZG42" s="1142"/>
      <c r="BZH42" s="1142"/>
      <c r="BZI42" s="1142"/>
      <c r="BZJ42" s="1142"/>
      <c r="BZK42" s="1142"/>
      <c r="BZL42" s="1142"/>
      <c r="BZM42" s="1142"/>
      <c r="BZN42" s="1142"/>
      <c r="BZO42" s="1142"/>
      <c r="BZP42" s="1142"/>
      <c r="BZQ42" s="1142"/>
      <c r="BZR42" s="1142"/>
      <c r="BZS42" s="1142"/>
      <c r="BZT42" s="1142"/>
      <c r="BZU42" s="1167"/>
      <c r="BZV42" s="1167"/>
      <c r="BZW42" s="1167"/>
      <c r="BZX42" s="1167"/>
      <c r="BZY42" s="1167"/>
      <c r="BZZ42" s="1167"/>
      <c r="CAA42" s="1167"/>
      <c r="CAB42" s="1167"/>
      <c r="CAC42" s="1167"/>
      <c r="CAD42" s="1142"/>
      <c r="CAE42" s="1142"/>
      <c r="CAF42" s="1142"/>
      <c r="CAG42" s="1142"/>
      <c r="CAH42" s="1142"/>
      <c r="CAI42" s="1142"/>
      <c r="CAJ42" s="1142"/>
      <c r="CAK42" s="1142"/>
      <c r="CAL42" s="1142"/>
      <c r="CAM42" s="1142"/>
      <c r="CAN42" s="1142"/>
      <c r="CAO42" s="1142"/>
      <c r="CAP42" s="1142"/>
      <c r="CAQ42" s="1142"/>
      <c r="CAR42" s="1142"/>
      <c r="CAS42" s="1142"/>
      <c r="CAT42" s="1142"/>
      <c r="CAU42" s="1142"/>
      <c r="CAV42" s="1142"/>
      <c r="CAW42" s="1142"/>
      <c r="CAX42" s="1142"/>
      <c r="CAY42" s="1142"/>
      <c r="CAZ42" s="1142"/>
      <c r="CBA42" s="1167"/>
      <c r="CBB42" s="1167"/>
      <c r="CBC42" s="1167"/>
      <c r="CBD42" s="1167"/>
      <c r="CBE42" s="1167"/>
      <c r="CBF42" s="1167"/>
      <c r="CBG42" s="1167"/>
      <c r="CBH42" s="1167"/>
      <c r="CBI42" s="1167"/>
      <c r="CBJ42" s="1142"/>
      <c r="CBK42" s="1142"/>
      <c r="CBL42" s="1142"/>
      <c r="CBM42" s="1142"/>
      <c r="CBN42" s="1142"/>
      <c r="CBO42" s="1142"/>
      <c r="CBP42" s="1142"/>
      <c r="CBQ42" s="1142"/>
      <c r="CBR42" s="1142"/>
      <c r="CBS42" s="1142"/>
      <c r="CBT42" s="1142"/>
      <c r="CBU42" s="1142"/>
      <c r="CBV42" s="1142"/>
      <c r="CBW42" s="1142"/>
      <c r="CBX42" s="1142"/>
      <c r="CBY42" s="1142"/>
      <c r="CBZ42" s="1142"/>
      <c r="CCA42" s="1142"/>
      <c r="CCB42" s="1142"/>
      <c r="CCC42" s="1142"/>
      <c r="CCD42" s="1142"/>
      <c r="CCE42" s="1142"/>
      <c r="CCF42" s="1142"/>
      <c r="CCG42" s="1167"/>
      <c r="CCH42" s="1167"/>
      <c r="CCI42" s="1167"/>
      <c r="CCJ42" s="1167"/>
      <c r="CCK42" s="1167"/>
      <c r="CCL42" s="1167"/>
      <c r="CCM42" s="1167"/>
      <c r="CCN42" s="1167"/>
      <c r="CCO42" s="1167"/>
      <c r="CCP42" s="1142"/>
      <c r="CCQ42" s="1142"/>
      <c r="CCR42" s="1142"/>
      <c r="CCS42" s="1142"/>
      <c r="CCT42" s="1142"/>
      <c r="CCU42" s="1142"/>
      <c r="CCV42" s="1142"/>
      <c r="CCW42" s="1142"/>
      <c r="CCX42" s="1142"/>
      <c r="CCY42" s="1142"/>
      <c r="CCZ42" s="1142"/>
      <c r="CDA42" s="1142"/>
      <c r="CDB42" s="1142"/>
      <c r="CDC42" s="1142"/>
      <c r="CDD42" s="1142"/>
      <c r="CDE42" s="1142"/>
      <c r="CDF42" s="1142"/>
      <c r="CDG42" s="1142"/>
      <c r="CDH42" s="1142"/>
      <c r="CDI42" s="1142"/>
      <c r="CDJ42" s="1142"/>
      <c r="CDK42" s="1142"/>
      <c r="CDL42" s="1142"/>
      <c r="CDM42" s="1167"/>
      <c r="CDN42" s="1167"/>
      <c r="CDO42" s="1167"/>
      <c r="CDP42" s="1167"/>
      <c r="CDQ42" s="1167"/>
      <c r="CDR42" s="1167"/>
      <c r="CDS42" s="1167"/>
      <c r="CDT42" s="1167"/>
      <c r="CDU42" s="1167"/>
      <c r="CDV42" s="1142"/>
      <c r="CDW42" s="1142"/>
      <c r="CDX42" s="1142"/>
      <c r="CDY42" s="1142"/>
      <c r="CDZ42" s="1142"/>
      <c r="CEA42" s="1142"/>
      <c r="CEB42" s="1142"/>
      <c r="CEC42" s="1142"/>
      <c r="CED42" s="1142"/>
      <c r="CEE42" s="1142"/>
      <c r="CEF42" s="1142"/>
      <c r="CEG42" s="1142"/>
      <c r="CEH42" s="1142"/>
      <c r="CEI42" s="1142"/>
      <c r="CEJ42" s="1142"/>
      <c r="CEK42" s="1142"/>
      <c r="CEL42" s="1142"/>
      <c r="CEM42" s="1142"/>
      <c r="CEN42" s="1142"/>
      <c r="CEO42" s="1142"/>
      <c r="CEP42" s="1142"/>
      <c r="CEQ42" s="1142"/>
      <c r="CER42" s="1142"/>
      <c r="CES42" s="1167"/>
      <c r="CET42" s="1167"/>
      <c r="CEU42" s="1167"/>
      <c r="CEV42" s="1167"/>
      <c r="CEW42" s="1167"/>
      <c r="CEX42" s="1167"/>
      <c r="CEY42" s="1167"/>
      <c r="CEZ42" s="1167"/>
      <c r="CFA42" s="1167"/>
      <c r="CFB42" s="1142"/>
      <c r="CFC42" s="1142"/>
      <c r="CFD42" s="1142"/>
      <c r="CFE42" s="1142"/>
      <c r="CFF42" s="1142"/>
      <c r="CFG42" s="1142"/>
      <c r="CFH42" s="1142"/>
      <c r="CFI42" s="1142"/>
      <c r="CFJ42" s="1142"/>
      <c r="CFK42" s="1142"/>
      <c r="CFL42" s="1142"/>
      <c r="CFM42" s="1142"/>
      <c r="CFN42" s="1142"/>
      <c r="CFO42" s="1142"/>
      <c r="CFP42" s="1142"/>
      <c r="CFQ42" s="1142"/>
      <c r="CFR42" s="1142"/>
      <c r="CFS42" s="1142"/>
      <c r="CFT42" s="1142"/>
      <c r="CFU42" s="1142"/>
      <c r="CFV42" s="1142"/>
      <c r="CFW42" s="1142"/>
      <c r="CFX42" s="1142"/>
      <c r="CFY42" s="1167"/>
      <c r="CFZ42" s="1167"/>
      <c r="CGA42" s="1167"/>
      <c r="CGB42" s="1167"/>
      <c r="CGC42" s="1167"/>
      <c r="CGD42" s="1167"/>
      <c r="CGE42" s="1167"/>
      <c r="CGF42" s="1167"/>
      <c r="CGG42" s="1167"/>
      <c r="CGH42" s="1142"/>
      <c r="CGI42" s="1142"/>
      <c r="CGJ42" s="1142"/>
      <c r="CGK42" s="1142"/>
      <c r="CGL42" s="1142"/>
      <c r="CGM42" s="1142"/>
      <c r="CGN42" s="1142"/>
      <c r="CGO42" s="1142"/>
      <c r="CGP42" s="1142"/>
      <c r="CGQ42" s="1142"/>
      <c r="CGR42" s="1142"/>
      <c r="CGS42" s="1142"/>
      <c r="CGT42" s="1142"/>
      <c r="CGU42" s="1142"/>
      <c r="CGV42" s="1142"/>
      <c r="CGW42" s="1142"/>
      <c r="CGX42" s="1142"/>
      <c r="CGY42" s="1142"/>
      <c r="CGZ42" s="1142"/>
      <c r="CHA42" s="1142"/>
      <c r="CHB42" s="1142"/>
      <c r="CHC42" s="1142"/>
      <c r="CHD42" s="1142"/>
      <c r="CHE42" s="1167"/>
      <c r="CHF42" s="1167"/>
      <c r="CHG42" s="1167"/>
      <c r="CHH42" s="1167"/>
      <c r="CHI42" s="1167"/>
      <c r="CHJ42" s="1167"/>
      <c r="CHK42" s="1167"/>
      <c r="CHL42" s="1167"/>
      <c r="CHM42" s="1167"/>
      <c r="CHN42" s="1142"/>
      <c r="CHO42" s="1142"/>
      <c r="CHP42" s="1142"/>
      <c r="CHQ42" s="1142"/>
      <c r="CHR42" s="1142"/>
      <c r="CHS42" s="1142"/>
      <c r="CHT42" s="1142"/>
      <c r="CHU42" s="1142"/>
      <c r="CHV42" s="1142"/>
      <c r="CHW42" s="1142"/>
      <c r="CHX42" s="1142"/>
      <c r="CHY42" s="1142"/>
      <c r="CHZ42" s="1142"/>
      <c r="CIA42" s="1142"/>
      <c r="CIB42" s="1142"/>
      <c r="CIC42" s="1142"/>
      <c r="CID42" s="1142"/>
      <c r="CIE42" s="1142"/>
      <c r="CIF42" s="1142"/>
      <c r="CIG42" s="1142"/>
      <c r="CIH42" s="1142"/>
      <c r="CII42" s="1142"/>
      <c r="CIJ42" s="1142"/>
      <c r="CIK42" s="1167"/>
      <c r="CIL42" s="1167"/>
      <c r="CIM42" s="1167"/>
      <c r="CIN42" s="1167"/>
      <c r="CIO42" s="1167"/>
      <c r="CIP42" s="1167"/>
      <c r="CIQ42" s="1167"/>
      <c r="CIR42" s="1167"/>
      <c r="CIS42" s="1167"/>
      <c r="CIT42" s="1142"/>
      <c r="CIU42" s="1142"/>
      <c r="CIV42" s="1142"/>
      <c r="CIW42" s="1142"/>
      <c r="CIX42" s="1142"/>
      <c r="CIY42" s="1142"/>
      <c r="CIZ42" s="1142"/>
      <c r="CJA42" s="1142"/>
      <c r="CJB42" s="1142"/>
      <c r="CJC42" s="1142"/>
      <c r="CJD42" s="1142"/>
      <c r="CJE42" s="1142"/>
      <c r="CJF42" s="1142"/>
      <c r="CJG42" s="1142"/>
      <c r="CJH42" s="1142"/>
      <c r="CJI42" s="1142"/>
      <c r="CJJ42" s="1142"/>
      <c r="CJK42" s="1142"/>
      <c r="CJL42" s="1142"/>
      <c r="CJM42" s="1142"/>
      <c r="CJN42" s="1142"/>
      <c r="CJO42" s="1142"/>
      <c r="CJP42" s="1142"/>
      <c r="CJQ42" s="1167"/>
      <c r="CJR42" s="1167"/>
      <c r="CJS42" s="1167"/>
      <c r="CJT42" s="1167"/>
      <c r="CJU42" s="1167"/>
      <c r="CJV42" s="1167"/>
      <c r="CJW42" s="1167"/>
      <c r="CJX42" s="1167"/>
      <c r="CJY42" s="1167"/>
      <c r="CJZ42" s="1142"/>
      <c r="CKA42" s="1142"/>
      <c r="CKB42" s="1142"/>
      <c r="CKC42" s="1142"/>
      <c r="CKD42" s="1142"/>
      <c r="CKE42" s="1142"/>
      <c r="CKF42" s="1142"/>
      <c r="CKG42" s="1142"/>
      <c r="CKH42" s="1142"/>
      <c r="CKI42" s="1142"/>
      <c r="CKJ42" s="1142"/>
      <c r="CKK42" s="1142"/>
      <c r="CKL42" s="1142"/>
      <c r="CKM42" s="1142"/>
      <c r="CKN42" s="1142"/>
      <c r="CKO42" s="1142"/>
      <c r="CKP42" s="1142"/>
      <c r="CKQ42" s="1142"/>
      <c r="CKR42" s="1142"/>
      <c r="CKS42" s="1142"/>
      <c r="CKT42" s="1142"/>
      <c r="CKU42" s="1142"/>
      <c r="CKV42" s="1142"/>
      <c r="CKW42" s="1167"/>
      <c r="CKX42" s="1167"/>
      <c r="CKY42" s="1167"/>
      <c r="CKZ42" s="1167"/>
      <c r="CLA42" s="1167"/>
      <c r="CLB42" s="1167"/>
      <c r="CLC42" s="1167"/>
      <c r="CLD42" s="1167"/>
      <c r="CLE42" s="1167"/>
      <c r="CLF42" s="1142"/>
      <c r="CLG42" s="1142"/>
      <c r="CLH42" s="1142"/>
      <c r="CLI42" s="1142"/>
      <c r="CLJ42" s="1142"/>
      <c r="CLK42" s="1142"/>
      <c r="CLL42" s="1142"/>
      <c r="CLM42" s="1142"/>
      <c r="CLN42" s="1142"/>
      <c r="CLO42" s="1142"/>
      <c r="CLP42" s="1142"/>
      <c r="CLQ42" s="1142"/>
      <c r="CLR42" s="1142"/>
      <c r="CLS42" s="1142"/>
      <c r="CLT42" s="1142"/>
      <c r="CLU42" s="1142"/>
      <c r="CLV42" s="1142"/>
      <c r="CLW42" s="1142"/>
      <c r="CLX42" s="1142"/>
      <c r="CLY42" s="1142"/>
      <c r="CLZ42" s="1142"/>
      <c r="CMA42" s="1142"/>
      <c r="CMB42" s="1142"/>
      <c r="CMC42" s="1167"/>
      <c r="CMD42" s="1167"/>
      <c r="CME42" s="1167"/>
      <c r="CMF42" s="1167"/>
      <c r="CMG42" s="1167"/>
      <c r="CMH42" s="1167"/>
      <c r="CMI42" s="1167"/>
      <c r="CMJ42" s="1167"/>
      <c r="CMK42" s="1167"/>
      <c r="CML42" s="1142"/>
      <c r="CMM42" s="1142"/>
      <c r="CMN42" s="1142"/>
      <c r="CMO42" s="1142"/>
      <c r="CMP42" s="1142"/>
      <c r="CMQ42" s="1142"/>
      <c r="CMR42" s="1142"/>
      <c r="CMS42" s="1142"/>
      <c r="CMT42" s="1142"/>
      <c r="CMU42" s="1142"/>
      <c r="CMV42" s="1142"/>
      <c r="CMW42" s="1142"/>
      <c r="CMX42" s="1142"/>
      <c r="CMY42" s="1142"/>
      <c r="CMZ42" s="1142"/>
      <c r="CNA42" s="1142"/>
      <c r="CNB42" s="1142"/>
      <c r="CNC42" s="1142"/>
      <c r="CND42" s="1142"/>
      <c r="CNE42" s="1142"/>
      <c r="CNF42" s="1142"/>
      <c r="CNG42" s="1142"/>
      <c r="CNH42" s="1142"/>
      <c r="CNI42" s="1167"/>
      <c r="CNJ42" s="1167"/>
      <c r="CNK42" s="1167"/>
      <c r="CNL42" s="1167"/>
      <c r="CNM42" s="1167"/>
      <c r="CNN42" s="1167"/>
      <c r="CNO42" s="1167"/>
      <c r="CNP42" s="1167"/>
      <c r="CNQ42" s="1167"/>
      <c r="CNR42" s="1142"/>
      <c r="CNS42" s="1142"/>
      <c r="CNT42" s="1142"/>
      <c r="CNU42" s="1142"/>
      <c r="CNV42" s="1142"/>
      <c r="CNW42" s="1142"/>
      <c r="CNX42" s="1142"/>
      <c r="CNY42" s="1142"/>
      <c r="CNZ42" s="1142"/>
      <c r="COA42" s="1142"/>
      <c r="COB42" s="1142"/>
      <c r="COC42" s="1142"/>
      <c r="COD42" s="1142"/>
      <c r="COE42" s="1142"/>
      <c r="COF42" s="1142"/>
      <c r="COG42" s="1142"/>
      <c r="COH42" s="1142"/>
      <c r="COI42" s="1142"/>
      <c r="COJ42" s="1142"/>
      <c r="COK42" s="1142"/>
      <c r="COL42" s="1142"/>
      <c r="COM42" s="1142"/>
      <c r="CON42" s="1142"/>
      <c r="COO42" s="1167"/>
      <c r="COP42" s="1167"/>
      <c r="COQ42" s="1167"/>
      <c r="COR42" s="1167"/>
      <c r="COS42" s="1167"/>
      <c r="COT42" s="1167"/>
      <c r="COU42" s="1167"/>
      <c r="COV42" s="1167"/>
      <c r="COW42" s="1167"/>
      <c r="COX42" s="1142"/>
      <c r="COY42" s="1142"/>
      <c r="COZ42" s="1142"/>
      <c r="CPA42" s="1142"/>
      <c r="CPB42" s="1142"/>
      <c r="CPC42" s="1142"/>
      <c r="CPD42" s="1142"/>
      <c r="CPE42" s="1142"/>
      <c r="CPF42" s="1142"/>
      <c r="CPG42" s="1142"/>
      <c r="CPH42" s="1142"/>
      <c r="CPI42" s="1142"/>
      <c r="CPJ42" s="1142"/>
      <c r="CPK42" s="1142"/>
      <c r="CPL42" s="1142"/>
      <c r="CPM42" s="1142"/>
      <c r="CPN42" s="1142"/>
      <c r="CPO42" s="1142"/>
      <c r="CPP42" s="1142"/>
      <c r="CPQ42" s="1142"/>
      <c r="CPR42" s="1142"/>
      <c r="CPS42" s="1142"/>
      <c r="CPT42" s="1142"/>
      <c r="CPU42" s="1167"/>
      <c r="CPV42" s="1167"/>
      <c r="CPW42" s="1167"/>
      <c r="CPX42" s="1167"/>
      <c r="CPY42" s="1167"/>
      <c r="CPZ42" s="1167"/>
      <c r="CQA42" s="1167"/>
      <c r="CQB42" s="1167"/>
      <c r="CQC42" s="1167"/>
      <c r="CQD42" s="1142"/>
      <c r="CQE42" s="1142"/>
      <c r="CQF42" s="1142"/>
      <c r="CQG42" s="1142"/>
      <c r="CQH42" s="1142"/>
      <c r="CQI42" s="1142"/>
      <c r="CQJ42" s="1142"/>
      <c r="CQK42" s="1142"/>
      <c r="CQL42" s="1142"/>
      <c r="CQM42" s="1142"/>
      <c r="CQN42" s="1142"/>
      <c r="CQO42" s="1142"/>
      <c r="CQP42" s="1142"/>
      <c r="CQQ42" s="1142"/>
      <c r="CQR42" s="1142"/>
      <c r="CQS42" s="1142"/>
      <c r="CQT42" s="1142"/>
      <c r="CQU42" s="1142"/>
      <c r="CQV42" s="1142"/>
      <c r="CQW42" s="1142"/>
      <c r="CQX42" s="1142"/>
      <c r="CQY42" s="1142"/>
      <c r="CQZ42" s="1142"/>
      <c r="CRA42" s="1167"/>
      <c r="CRB42" s="1167"/>
      <c r="CRC42" s="1167"/>
      <c r="CRD42" s="1167"/>
      <c r="CRE42" s="1167"/>
      <c r="CRF42" s="1167"/>
      <c r="CRG42" s="1167"/>
      <c r="CRH42" s="1167"/>
      <c r="CRI42" s="1167"/>
      <c r="CRJ42" s="1142"/>
      <c r="CRK42" s="1142"/>
      <c r="CRL42" s="1142"/>
      <c r="CRM42" s="1142"/>
      <c r="CRN42" s="1142"/>
      <c r="CRO42" s="1142"/>
      <c r="CRP42" s="1142"/>
      <c r="CRQ42" s="1142"/>
      <c r="CRR42" s="1142"/>
      <c r="CRS42" s="1142"/>
      <c r="CRT42" s="1142"/>
      <c r="CRU42" s="1142"/>
      <c r="CRV42" s="1142"/>
      <c r="CRW42" s="1142"/>
      <c r="CRX42" s="1142"/>
      <c r="CRY42" s="1142"/>
      <c r="CRZ42" s="1142"/>
      <c r="CSA42" s="1142"/>
      <c r="CSB42" s="1142"/>
      <c r="CSC42" s="1142"/>
      <c r="CSD42" s="1142"/>
      <c r="CSE42" s="1142"/>
      <c r="CSF42" s="1142"/>
      <c r="CSG42" s="1167"/>
      <c r="CSH42" s="1167"/>
      <c r="CSI42" s="1167"/>
      <c r="CSJ42" s="1167"/>
      <c r="CSK42" s="1167"/>
      <c r="CSL42" s="1167"/>
      <c r="CSM42" s="1167"/>
      <c r="CSN42" s="1167"/>
      <c r="CSO42" s="1167"/>
      <c r="CSP42" s="1142"/>
      <c r="CSQ42" s="1142"/>
      <c r="CSR42" s="1142"/>
      <c r="CSS42" s="1142"/>
      <c r="CST42" s="1142"/>
      <c r="CSU42" s="1142"/>
      <c r="CSV42" s="1142"/>
      <c r="CSW42" s="1142"/>
      <c r="CSX42" s="1142"/>
      <c r="CSY42" s="1142"/>
      <c r="CSZ42" s="1142"/>
      <c r="CTA42" s="1142"/>
      <c r="CTB42" s="1142"/>
      <c r="CTC42" s="1142"/>
      <c r="CTD42" s="1142"/>
      <c r="CTE42" s="1142"/>
      <c r="CTF42" s="1142"/>
      <c r="CTG42" s="1142"/>
      <c r="CTH42" s="1142"/>
      <c r="CTI42" s="1142"/>
      <c r="CTJ42" s="1142"/>
      <c r="CTK42" s="1142"/>
      <c r="CTL42" s="1142"/>
      <c r="CTM42" s="1167"/>
      <c r="CTN42" s="1167"/>
      <c r="CTO42" s="1167"/>
      <c r="CTP42" s="1167"/>
      <c r="CTQ42" s="1167"/>
      <c r="CTR42" s="1167"/>
      <c r="CTS42" s="1167"/>
      <c r="CTT42" s="1167"/>
      <c r="CTU42" s="1167"/>
      <c r="CTV42" s="1142"/>
      <c r="CTW42" s="1142"/>
      <c r="CTX42" s="1142"/>
      <c r="CTY42" s="1142"/>
      <c r="CTZ42" s="1142"/>
      <c r="CUA42" s="1142"/>
      <c r="CUB42" s="1142"/>
      <c r="CUC42" s="1142"/>
      <c r="CUD42" s="1142"/>
      <c r="CUE42" s="1142"/>
      <c r="CUF42" s="1142"/>
      <c r="CUG42" s="1142"/>
      <c r="CUH42" s="1142"/>
      <c r="CUI42" s="1142"/>
      <c r="CUJ42" s="1142"/>
      <c r="CUK42" s="1142"/>
      <c r="CUL42" s="1142"/>
      <c r="CUM42" s="1142"/>
      <c r="CUN42" s="1142"/>
      <c r="CUO42" s="1142"/>
      <c r="CUP42" s="1142"/>
      <c r="CUQ42" s="1142"/>
      <c r="CUR42" s="1142"/>
      <c r="CUS42" s="1167"/>
      <c r="CUT42" s="1167"/>
      <c r="CUU42" s="1167"/>
      <c r="CUV42" s="1167"/>
      <c r="CUW42" s="1167"/>
      <c r="CUX42" s="1167"/>
      <c r="CUY42" s="1167"/>
      <c r="CUZ42" s="1167"/>
      <c r="CVA42" s="1167"/>
      <c r="CVB42" s="1142"/>
      <c r="CVC42" s="1142"/>
      <c r="CVD42" s="1142"/>
      <c r="CVE42" s="1142"/>
      <c r="CVF42" s="1142"/>
      <c r="CVG42" s="1142"/>
      <c r="CVH42" s="1142"/>
      <c r="CVI42" s="1142"/>
      <c r="CVJ42" s="1142"/>
      <c r="CVK42" s="1142"/>
      <c r="CVL42" s="1142"/>
      <c r="CVM42" s="1142"/>
      <c r="CVN42" s="1142"/>
      <c r="CVO42" s="1142"/>
      <c r="CVP42" s="1142"/>
      <c r="CVQ42" s="1142"/>
      <c r="CVR42" s="1142"/>
      <c r="CVS42" s="1142"/>
      <c r="CVT42" s="1142"/>
      <c r="CVU42" s="1142"/>
      <c r="CVV42" s="1142"/>
      <c r="CVW42" s="1142"/>
      <c r="CVX42" s="1142"/>
      <c r="CVY42" s="1167"/>
      <c r="CVZ42" s="1167"/>
      <c r="CWA42" s="1167"/>
      <c r="CWB42" s="1167"/>
      <c r="CWC42" s="1167"/>
      <c r="CWD42" s="1167"/>
      <c r="CWE42" s="1167"/>
      <c r="CWF42" s="1167"/>
      <c r="CWG42" s="1167"/>
      <c r="CWH42" s="1142"/>
      <c r="CWI42" s="1142"/>
      <c r="CWJ42" s="1142"/>
      <c r="CWK42" s="1142"/>
      <c r="CWL42" s="1142"/>
      <c r="CWM42" s="1142"/>
      <c r="CWN42" s="1142"/>
      <c r="CWO42" s="1142"/>
      <c r="CWP42" s="1142"/>
      <c r="CWQ42" s="1142"/>
      <c r="CWR42" s="1142"/>
      <c r="CWS42" s="1142"/>
      <c r="CWT42" s="1142"/>
      <c r="CWU42" s="1142"/>
      <c r="CWV42" s="1142"/>
      <c r="CWW42" s="1142"/>
      <c r="CWX42" s="1142"/>
      <c r="CWY42" s="1142"/>
      <c r="CWZ42" s="1142"/>
      <c r="CXA42" s="1142"/>
      <c r="CXB42" s="1142"/>
      <c r="CXC42" s="1142"/>
      <c r="CXD42" s="1142"/>
      <c r="CXE42" s="1167"/>
      <c r="CXF42" s="1167"/>
      <c r="CXG42" s="1167"/>
      <c r="CXH42" s="1167"/>
      <c r="CXI42" s="1167"/>
      <c r="CXJ42" s="1167"/>
      <c r="CXK42" s="1167"/>
      <c r="CXL42" s="1167"/>
      <c r="CXM42" s="1167"/>
      <c r="CXN42" s="1142"/>
      <c r="CXO42" s="1142"/>
      <c r="CXP42" s="1142"/>
      <c r="CXQ42" s="1142"/>
      <c r="CXR42" s="1142"/>
      <c r="CXS42" s="1142"/>
      <c r="CXT42" s="1142"/>
      <c r="CXU42" s="1142"/>
      <c r="CXV42" s="1142"/>
      <c r="CXW42" s="1142"/>
      <c r="CXX42" s="1142"/>
      <c r="CXY42" s="1142"/>
      <c r="CXZ42" s="1142"/>
      <c r="CYA42" s="1142"/>
      <c r="CYB42" s="1142"/>
      <c r="CYC42" s="1142"/>
      <c r="CYD42" s="1142"/>
      <c r="CYE42" s="1142"/>
      <c r="CYF42" s="1142"/>
      <c r="CYG42" s="1142"/>
      <c r="CYH42" s="1142"/>
      <c r="CYI42" s="1142"/>
      <c r="CYJ42" s="1142"/>
      <c r="CYK42" s="1167"/>
      <c r="CYL42" s="1167"/>
      <c r="CYM42" s="1167"/>
      <c r="CYN42" s="1167"/>
      <c r="CYO42" s="1167"/>
      <c r="CYP42" s="1167"/>
      <c r="CYQ42" s="1167"/>
      <c r="CYR42" s="1167"/>
      <c r="CYS42" s="1167"/>
      <c r="CYT42" s="1142"/>
      <c r="CYU42" s="1142"/>
      <c r="CYV42" s="1142"/>
      <c r="CYW42" s="1142"/>
      <c r="CYX42" s="1142"/>
      <c r="CYY42" s="1142"/>
      <c r="CYZ42" s="1142"/>
      <c r="CZA42" s="1142"/>
      <c r="CZB42" s="1142"/>
      <c r="CZC42" s="1142"/>
      <c r="CZD42" s="1142"/>
      <c r="CZE42" s="1142"/>
      <c r="CZF42" s="1142"/>
      <c r="CZG42" s="1142"/>
      <c r="CZH42" s="1142"/>
      <c r="CZI42" s="1142"/>
      <c r="CZJ42" s="1142"/>
      <c r="CZK42" s="1142"/>
      <c r="CZL42" s="1142"/>
      <c r="CZM42" s="1142"/>
      <c r="CZN42" s="1142"/>
      <c r="CZO42" s="1142"/>
      <c r="CZP42" s="1142"/>
      <c r="CZQ42" s="1167"/>
      <c r="CZR42" s="1167"/>
      <c r="CZS42" s="1167"/>
      <c r="CZT42" s="1167"/>
      <c r="CZU42" s="1167"/>
      <c r="CZV42" s="1167"/>
      <c r="CZW42" s="1167"/>
      <c r="CZX42" s="1167"/>
      <c r="CZY42" s="1167"/>
      <c r="CZZ42" s="1142"/>
      <c r="DAA42" s="1142"/>
      <c r="DAB42" s="1142"/>
      <c r="DAC42" s="1142"/>
      <c r="DAD42" s="1142"/>
      <c r="DAE42" s="1142"/>
      <c r="DAF42" s="1142"/>
      <c r="DAG42" s="1142"/>
      <c r="DAH42" s="1142"/>
      <c r="DAI42" s="1142"/>
      <c r="DAJ42" s="1142"/>
      <c r="DAK42" s="1142"/>
      <c r="DAL42" s="1142"/>
      <c r="DAM42" s="1142"/>
      <c r="DAN42" s="1142"/>
      <c r="DAO42" s="1142"/>
      <c r="DAP42" s="1142"/>
      <c r="DAQ42" s="1142"/>
      <c r="DAR42" s="1142"/>
      <c r="DAS42" s="1142"/>
      <c r="DAT42" s="1142"/>
      <c r="DAU42" s="1142"/>
      <c r="DAV42" s="1142"/>
      <c r="DAW42" s="1167"/>
      <c r="DAX42" s="1167"/>
      <c r="DAY42" s="1167"/>
      <c r="DAZ42" s="1167"/>
      <c r="DBA42" s="1167"/>
      <c r="DBB42" s="1167"/>
      <c r="DBC42" s="1167"/>
      <c r="DBD42" s="1167"/>
      <c r="DBE42" s="1167"/>
      <c r="DBF42" s="1142"/>
      <c r="DBG42" s="1142"/>
      <c r="DBH42" s="1142"/>
      <c r="DBI42" s="1142"/>
      <c r="DBJ42" s="1142"/>
      <c r="DBK42" s="1142"/>
      <c r="DBL42" s="1142"/>
      <c r="DBM42" s="1142"/>
      <c r="DBN42" s="1142"/>
      <c r="DBO42" s="1142"/>
      <c r="DBP42" s="1142"/>
      <c r="DBQ42" s="1142"/>
      <c r="DBR42" s="1142"/>
      <c r="DBS42" s="1142"/>
      <c r="DBT42" s="1142"/>
      <c r="DBU42" s="1142"/>
      <c r="DBV42" s="1142"/>
      <c r="DBW42" s="1142"/>
      <c r="DBX42" s="1142"/>
      <c r="DBY42" s="1142"/>
      <c r="DBZ42" s="1142"/>
      <c r="DCA42" s="1142"/>
      <c r="DCB42" s="1142"/>
      <c r="DCC42" s="1167"/>
      <c r="DCD42" s="1167"/>
      <c r="DCE42" s="1167"/>
      <c r="DCF42" s="1167"/>
      <c r="DCG42" s="1167"/>
      <c r="DCH42" s="1167"/>
      <c r="DCI42" s="1167"/>
      <c r="DCJ42" s="1167"/>
      <c r="DCK42" s="1167"/>
      <c r="DCL42" s="1142"/>
      <c r="DCM42" s="1142"/>
      <c r="DCN42" s="1142"/>
      <c r="DCO42" s="1142"/>
      <c r="DCP42" s="1142"/>
      <c r="DCQ42" s="1142"/>
      <c r="DCR42" s="1142"/>
      <c r="DCS42" s="1142"/>
      <c r="DCT42" s="1142"/>
      <c r="DCU42" s="1142"/>
      <c r="DCV42" s="1142"/>
      <c r="DCW42" s="1142"/>
      <c r="DCX42" s="1142"/>
      <c r="DCY42" s="1142"/>
      <c r="DCZ42" s="1142"/>
      <c r="DDA42" s="1142"/>
      <c r="DDB42" s="1142"/>
      <c r="DDC42" s="1142"/>
      <c r="DDD42" s="1142"/>
      <c r="DDE42" s="1142"/>
      <c r="DDF42" s="1142"/>
      <c r="DDG42" s="1142"/>
      <c r="DDH42" s="1142"/>
      <c r="DDI42" s="1167"/>
      <c r="DDJ42" s="1167"/>
      <c r="DDK42" s="1167"/>
      <c r="DDL42" s="1167"/>
      <c r="DDM42" s="1167"/>
      <c r="DDN42" s="1167"/>
      <c r="DDO42" s="1167"/>
      <c r="DDP42" s="1167"/>
      <c r="DDQ42" s="1167"/>
      <c r="DDR42" s="1142"/>
      <c r="DDS42" s="1142"/>
      <c r="DDT42" s="1142"/>
      <c r="DDU42" s="1142"/>
      <c r="DDV42" s="1142"/>
      <c r="DDW42" s="1142"/>
      <c r="DDX42" s="1142"/>
      <c r="DDY42" s="1142"/>
      <c r="DDZ42" s="1142"/>
      <c r="DEA42" s="1142"/>
      <c r="DEB42" s="1142"/>
      <c r="DEC42" s="1142"/>
      <c r="DED42" s="1142"/>
      <c r="DEE42" s="1142"/>
      <c r="DEF42" s="1142"/>
      <c r="DEG42" s="1142"/>
      <c r="DEH42" s="1142"/>
      <c r="DEI42" s="1142"/>
      <c r="DEJ42" s="1142"/>
      <c r="DEK42" s="1142"/>
      <c r="DEL42" s="1142"/>
      <c r="DEM42" s="1142"/>
      <c r="DEN42" s="1142"/>
      <c r="DEO42" s="1167"/>
      <c r="DEP42" s="1167"/>
      <c r="DEQ42" s="1167"/>
      <c r="DER42" s="1167"/>
      <c r="DES42" s="1167"/>
      <c r="DET42" s="1167"/>
      <c r="DEU42" s="1167"/>
      <c r="DEV42" s="1167"/>
      <c r="DEW42" s="1167"/>
      <c r="DEX42" s="1142"/>
      <c r="DEY42" s="1142"/>
      <c r="DEZ42" s="1142"/>
      <c r="DFA42" s="1142"/>
      <c r="DFB42" s="1142"/>
      <c r="DFC42" s="1142"/>
      <c r="DFD42" s="1142"/>
      <c r="DFE42" s="1142"/>
      <c r="DFF42" s="1142"/>
      <c r="DFG42" s="1142"/>
      <c r="DFH42" s="1142"/>
      <c r="DFI42" s="1142"/>
      <c r="DFJ42" s="1142"/>
      <c r="DFK42" s="1142"/>
      <c r="DFL42" s="1142"/>
      <c r="DFM42" s="1142"/>
      <c r="DFN42" s="1142"/>
      <c r="DFO42" s="1142"/>
      <c r="DFP42" s="1142"/>
      <c r="DFQ42" s="1142"/>
      <c r="DFR42" s="1142"/>
      <c r="DFS42" s="1142"/>
      <c r="DFT42" s="1142"/>
      <c r="DFU42" s="1167"/>
      <c r="DFV42" s="1167"/>
      <c r="DFW42" s="1167"/>
      <c r="DFX42" s="1167"/>
      <c r="DFY42" s="1167"/>
      <c r="DFZ42" s="1167"/>
      <c r="DGA42" s="1167"/>
      <c r="DGB42" s="1167"/>
      <c r="DGC42" s="1167"/>
      <c r="DGD42" s="1142"/>
      <c r="DGE42" s="1142"/>
      <c r="DGF42" s="1142"/>
      <c r="DGG42" s="1142"/>
      <c r="DGH42" s="1142"/>
      <c r="DGI42" s="1142"/>
      <c r="DGJ42" s="1142"/>
      <c r="DGK42" s="1142"/>
      <c r="DGL42" s="1142"/>
      <c r="DGM42" s="1142"/>
      <c r="DGN42" s="1142"/>
      <c r="DGO42" s="1142"/>
      <c r="DGP42" s="1142"/>
      <c r="DGQ42" s="1142"/>
      <c r="DGR42" s="1142"/>
      <c r="DGS42" s="1142"/>
      <c r="DGT42" s="1142"/>
      <c r="DGU42" s="1142"/>
      <c r="DGV42" s="1142"/>
      <c r="DGW42" s="1142"/>
      <c r="DGX42" s="1142"/>
      <c r="DGY42" s="1142"/>
      <c r="DGZ42" s="1142"/>
      <c r="DHA42" s="1167"/>
      <c r="DHB42" s="1167"/>
      <c r="DHC42" s="1167"/>
      <c r="DHD42" s="1167"/>
      <c r="DHE42" s="1167"/>
      <c r="DHF42" s="1167"/>
      <c r="DHG42" s="1167"/>
      <c r="DHH42" s="1167"/>
      <c r="DHI42" s="1167"/>
      <c r="DHJ42" s="1142"/>
      <c r="DHK42" s="1142"/>
      <c r="DHL42" s="1142"/>
      <c r="DHM42" s="1142"/>
      <c r="DHN42" s="1142"/>
      <c r="DHO42" s="1142"/>
      <c r="DHP42" s="1142"/>
      <c r="DHQ42" s="1142"/>
      <c r="DHR42" s="1142"/>
      <c r="DHS42" s="1142"/>
      <c r="DHT42" s="1142"/>
      <c r="DHU42" s="1142"/>
      <c r="DHV42" s="1142"/>
      <c r="DHW42" s="1142"/>
      <c r="DHX42" s="1142"/>
      <c r="DHY42" s="1142"/>
      <c r="DHZ42" s="1142"/>
      <c r="DIA42" s="1142"/>
      <c r="DIB42" s="1142"/>
      <c r="DIC42" s="1142"/>
      <c r="DID42" s="1142"/>
      <c r="DIE42" s="1142"/>
      <c r="DIF42" s="1142"/>
      <c r="DIG42" s="1167"/>
      <c r="DIH42" s="1167"/>
      <c r="DII42" s="1167"/>
      <c r="DIJ42" s="1167"/>
      <c r="DIK42" s="1167"/>
      <c r="DIL42" s="1167"/>
      <c r="DIM42" s="1167"/>
      <c r="DIN42" s="1167"/>
      <c r="DIO42" s="1167"/>
      <c r="DIP42" s="1142"/>
      <c r="DIQ42" s="1142"/>
      <c r="DIR42" s="1142"/>
      <c r="DIS42" s="1142"/>
      <c r="DIT42" s="1142"/>
      <c r="DIU42" s="1142"/>
      <c r="DIV42" s="1142"/>
      <c r="DIW42" s="1142"/>
      <c r="DIX42" s="1142"/>
      <c r="DIY42" s="1142"/>
      <c r="DIZ42" s="1142"/>
      <c r="DJA42" s="1142"/>
      <c r="DJB42" s="1142"/>
      <c r="DJC42" s="1142"/>
      <c r="DJD42" s="1142"/>
      <c r="DJE42" s="1142"/>
      <c r="DJF42" s="1142"/>
      <c r="DJG42" s="1142"/>
      <c r="DJH42" s="1142"/>
      <c r="DJI42" s="1142"/>
      <c r="DJJ42" s="1142"/>
      <c r="DJK42" s="1142"/>
      <c r="DJL42" s="1142"/>
      <c r="DJM42" s="1167"/>
      <c r="DJN42" s="1167"/>
      <c r="DJO42" s="1167"/>
      <c r="DJP42" s="1167"/>
      <c r="DJQ42" s="1167"/>
      <c r="DJR42" s="1167"/>
      <c r="DJS42" s="1167"/>
      <c r="DJT42" s="1167"/>
      <c r="DJU42" s="1167"/>
      <c r="DJV42" s="1142"/>
      <c r="DJW42" s="1142"/>
      <c r="DJX42" s="1142"/>
      <c r="DJY42" s="1142"/>
      <c r="DJZ42" s="1142"/>
      <c r="DKA42" s="1142"/>
      <c r="DKB42" s="1142"/>
      <c r="DKC42" s="1142"/>
      <c r="DKD42" s="1142"/>
      <c r="DKE42" s="1142"/>
      <c r="DKF42" s="1142"/>
      <c r="DKG42" s="1142"/>
      <c r="DKH42" s="1142"/>
      <c r="DKI42" s="1142"/>
      <c r="DKJ42" s="1142"/>
      <c r="DKK42" s="1142"/>
      <c r="DKL42" s="1142"/>
      <c r="DKM42" s="1142"/>
      <c r="DKN42" s="1142"/>
      <c r="DKO42" s="1142"/>
      <c r="DKP42" s="1142"/>
      <c r="DKQ42" s="1142"/>
      <c r="DKR42" s="1142"/>
      <c r="DKS42" s="1167"/>
      <c r="DKT42" s="1167"/>
      <c r="DKU42" s="1167"/>
      <c r="DKV42" s="1167"/>
      <c r="DKW42" s="1167"/>
      <c r="DKX42" s="1167"/>
      <c r="DKY42" s="1167"/>
      <c r="DKZ42" s="1167"/>
      <c r="DLA42" s="1167"/>
      <c r="DLB42" s="1142"/>
      <c r="DLC42" s="1142"/>
      <c r="DLD42" s="1142"/>
      <c r="DLE42" s="1142"/>
      <c r="DLF42" s="1142"/>
      <c r="DLG42" s="1142"/>
      <c r="DLH42" s="1142"/>
      <c r="DLI42" s="1142"/>
      <c r="DLJ42" s="1142"/>
      <c r="DLK42" s="1142"/>
      <c r="DLL42" s="1142"/>
      <c r="DLM42" s="1142"/>
      <c r="DLN42" s="1142"/>
      <c r="DLO42" s="1142"/>
      <c r="DLP42" s="1142"/>
      <c r="DLQ42" s="1142"/>
      <c r="DLR42" s="1142"/>
      <c r="DLS42" s="1142"/>
      <c r="DLT42" s="1142"/>
      <c r="DLU42" s="1142"/>
      <c r="DLV42" s="1142"/>
      <c r="DLW42" s="1142"/>
      <c r="DLX42" s="1142"/>
      <c r="DLY42" s="1167"/>
      <c r="DLZ42" s="1167"/>
      <c r="DMA42" s="1167"/>
      <c r="DMB42" s="1167"/>
      <c r="DMC42" s="1167"/>
      <c r="DMD42" s="1167"/>
      <c r="DME42" s="1167"/>
      <c r="DMF42" s="1167"/>
      <c r="DMG42" s="1167"/>
      <c r="DMH42" s="1142"/>
      <c r="DMI42" s="1142"/>
      <c r="DMJ42" s="1142"/>
      <c r="DMK42" s="1142"/>
      <c r="DML42" s="1142"/>
      <c r="DMM42" s="1142"/>
      <c r="DMN42" s="1142"/>
      <c r="DMO42" s="1142"/>
      <c r="DMP42" s="1142"/>
      <c r="DMQ42" s="1142"/>
      <c r="DMR42" s="1142"/>
      <c r="DMS42" s="1142"/>
      <c r="DMT42" s="1142"/>
      <c r="DMU42" s="1142"/>
      <c r="DMV42" s="1142"/>
      <c r="DMW42" s="1142"/>
      <c r="DMX42" s="1142"/>
      <c r="DMY42" s="1142"/>
      <c r="DMZ42" s="1142"/>
      <c r="DNA42" s="1142"/>
      <c r="DNB42" s="1142"/>
      <c r="DNC42" s="1142"/>
      <c r="DND42" s="1142"/>
      <c r="DNE42" s="1167"/>
      <c r="DNF42" s="1167"/>
      <c r="DNG42" s="1167"/>
      <c r="DNH42" s="1167"/>
      <c r="DNI42" s="1167"/>
      <c r="DNJ42" s="1167"/>
      <c r="DNK42" s="1167"/>
      <c r="DNL42" s="1167"/>
      <c r="DNM42" s="1167"/>
      <c r="DNN42" s="1142"/>
      <c r="DNO42" s="1142"/>
      <c r="DNP42" s="1142"/>
      <c r="DNQ42" s="1142"/>
      <c r="DNR42" s="1142"/>
      <c r="DNS42" s="1142"/>
      <c r="DNT42" s="1142"/>
      <c r="DNU42" s="1142"/>
      <c r="DNV42" s="1142"/>
      <c r="DNW42" s="1142"/>
      <c r="DNX42" s="1142"/>
      <c r="DNY42" s="1142"/>
      <c r="DNZ42" s="1142"/>
      <c r="DOA42" s="1142"/>
      <c r="DOB42" s="1142"/>
      <c r="DOC42" s="1142"/>
      <c r="DOD42" s="1142"/>
      <c r="DOE42" s="1142"/>
      <c r="DOF42" s="1142"/>
      <c r="DOG42" s="1142"/>
      <c r="DOH42" s="1142"/>
      <c r="DOI42" s="1142"/>
      <c r="DOJ42" s="1142"/>
      <c r="DOK42" s="1167"/>
      <c r="DOL42" s="1167"/>
      <c r="DOM42" s="1167"/>
      <c r="DON42" s="1167"/>
      <c r="DOO42" s="1167"/>
      <c r="DOP42" s="1167"/>
      <c r="DOQ42" s="1167"/>
      <c r="DOR42" s="1167"/>
      <c r="DOS42" s="1167"/>
      <c r="DOT42" s="1142"/>
      <c r="DOU42" s="1142"/>
      <c r="DOV42" s="1142"/>
      <c r="DOW42" s="1142"/>
      <c r="DOX42" s="1142"/>
      <c r="DOY42" s="1142"/>
      <c r="DOZ42" s="1142"/>
      <c r="DPA42" s="1142"/>
      <c r="DPB42" s="1142"/>
      <c r="DPC42" s="1142"/>
      <c r="DPD42" s="1142"/>
      <c r="DPE42" s="1142"/>
      <c r="DPF42" s="1142"/>
      <c r="DPG42" s="1142"/>
      <c r="DPH42" s="1142"/>
      <c r="DPI42" s="1142"/>
      <c r="DPJ42" s="1142"/>
      <c r="DPK42" s="1142"/>
      <c r="DPL42" s="1142"/>
      <c r="DPM42" s="1142"/>
      <c r="DPN42" s="1142"/>
      <c r="DPO42" s="1142"/>
      <c r="DPP42" s="1142"/>
      <c r="DPQ42" s="1167"/>
      <c r="DPR42" s="1167"/>
      <c r="DPS42" s="1167"/>
      <c r="DPT42" s="1167"/>
      <c r="DPU42" s="1167"/>
      <c r="DPV42" s="1167"/>
      <c r="DPW42" s="1167"/>
      <c r="DPX42" s="1167"/>
      <c r="DPY42" s="1167"/>
      <c r="DPZ42" s="1142"/>
      <c r="DQA42" s="1142"/>
      <c r="DQB42" s="1142"/>
      <c r="DQC42" s="1142"/>
      <c r="DQD42" s="1142"/>
      <c r="DQE42" s="1142"/>
      <c r="DQF42" s="1142"/>
      <c r="DQG42" s="1142"/>
      <c r="DQH42" s="1142"/>
      <c r="DQI42" s="1142"/>
      <c r="DQJ42" s="1142"/>
      <c r="DQK42" s="1142"/>
      <c r="DQL42" s="1142"/>
      <c r="DQM42" s="1142"/>
      <c r="DQN42" s="1142"/>
      <c r="DQO42" s="1142"/>
      <c r="DQP42" s="1142"/>
      <c r="DQQ42" s="1142"/>
      <c r="DQR42" s="1142"/>
      <c r="DQS42" s="1142"/>
      <c r="DQT42" s="1142"/>
      <c r="DQU42" s="1142"/>
      <c r="DQV42" s="1142"/>
      <c r="DQW42" s="1167"/>
      <c r="DQX42" s="1167"/>
      <c r="DQY42" s="1167"/>
      <c r="DQZ42" s="1167"/>
      <c r="DRA42" s="1167"/>
      <c r="DRB42" s="1167"/>
      <c r="DRC42" s="1167"/>
      <c r="DRD42" s="1167"/>
      <c r="DRE42" s="1167"/>
      <c r="DRF42" s="1142"/>
      <c r="DRG42" s="1142"/>
      <c r="DRH42" s="1142"/>
      <c r="DRI42" s="1142"/>
      <c r="DRJ42" s="1142"/>
      <c r="DRK42" s="1142"/>
      <c r="DRL42" s="1142"/>
      <c r="DRM42" s="1142"/>
      <c r="DRN42" s="1142"/>
      <c r="DRO42" s="1142"/>
      <c r="DRP42" s="1142"/>
      <c r="DRQ42" s="1142"/>
      <c r="DRR42" s="1142"/>
      <c r="DRS42" s="1142"/>
      <c r="DRT42" s="1142"/>
      <c r="DRU42" s="1142"/>
      <c r="DRV42" s="1142"/>
      <c r="DRW42" s="1142"/>
      <c r="DRX42" s="1142"/>
      <c r="DRY42" s="1142"/>
      <c r="DRZ42" s="1142"/>
      <c r="DSA42" s="1142"/>
      <c r="DSB42" s="1142"/>
      <c r="DSC42" s="1167"/>
      <c r="DSD42" s="1167"/>
      <c r="DSE42" s="1167"/>
      <c r="DSF42" s="1167"/>
      <c r="DSG42" s="1167"/>
      <c r="DSH42" s="1167"/>
      <c r="DSI42" s="1167"/>
      <c r="DSJ42" s="1167"/>
      <c r="DSK42" s="1167"/>
      <c r="DSL42" s="1142"/>
      <c r="DSM42" s="1142"/>
      <c r="DSN42" s="1142"/>
      <c r="DSO42" s="1142"/>
      <c r="DSP42" s="1142"/>
      <c r="DSQ42" s="1142"/>
      <c r="DSR42" s="1142"/>
      <c r="DSS42" s="1142"/>
      <c r="DST42" s="1142"/>
      <c r="DSU42" s="1142"/>
      <c r="DSV42" s="1142"/>
      <c r="DSW42" s="1142"/>
      <c r="DSX42" s="1142"/>
      <c r="DSY42" s="1142"/>
      <c r="DSZ42" s="1142"/>
      <c r="DTA42" s="1142"/>
      <c r="DTB42" s="1142"/>
      <c r="DTC42" s="1142"/>
      <c r="DTD42" s="1142"/>
      <c r="DTE42" s="1142"/>
      <c r="DTF42" s="1142"/>
      <c r="DTG42" s="1142"/>
      <c r="DTH42" s="1142"/>
      <c r="DTI42" s="1167"/>
      <c r="DTJ42" s="1167"/>
      <c r="DTK42" s="1167"/>
      <c r="DTL42" s="1167"/>
      <c r="DTM42" s="1167"/>
      <c r="DTN42" s="1167"/>
      <c r="DTO42" s="1167"/>
      <c r="DTP42" s="1167"/>
      <c r="DTQ42" s="1167"/>
      <c r="DTR42" s="1142"/>
      <c r="DTS42" s="1142"/>
      <c r="DTT42" s="1142"/>
      <c r="DTU42" s="1142"/>
      <c r="DTV42" s="1142"/>
      <c r="DTW42" s="1142"/>
      <c r="DTX42" s="1142"/>
      <c r="DTY42" s="1142"/>
      <c r="DTZ42" s="1142"/>
      <c r="DUA42" s="1142"/>
      <c r="DUB42" s="1142"/>
      <c r="DUC42" s="1142"/>
      <c r="DUD42" s="1142"/>
      <c r="DUE42" s="1142"/>
      <c r="DUF42" s="1142"/>
      <c r="DUG42" s="1142"/>
      <c r="DUH42" s="1142"/>
      <c r="DUI42" s="1142"/>
      <c r="DUJ42" s="1142"/>
      <c r="DUK42" s="1142"/>
      <c r="DUL42" s="1142"/>
      <c r="DUM42" s="1142"/>
      <c r="DUN42" s="1142"/>
      <c r="DUO42" s="1167"/>
      <c r="DUP42" s="1167"/>
      <c r="DUQ42" s="1167"/>
      <c r="DUR42" s="1167"/>
      <c r="DUS42" s="1167"/>
      <c r="DUT42" s="1167"/>
      <c r="DUU42" s="1167"/>
      <c r="DUV42" s="1167"/>
      <c r="DUW42" s="1167"/>
      <c r="DUX42" s="1142"/>
      <c r="DUY42" s="1142"/>
      <c r="DUZ42" s="1142"/>
      <c r="DVA42" s="1142"/>
      <c r="DVB42" s="1142"/>
      <c r="DVC42" s="1142"/>
      <c r="DVD42" s="1142"/>
      <c r="DVE42" s="1142"/>
      <c r="DVF42" s="1142"/>
      <c r="DVG42" s="1142"/>
      <c r="DVH42" s="1142"/>
      <c r="DVI42" s="1142"/>
      <c r="DVJ42" s="1142"/>
      <c r="DVK42" s="1142"/>
      <c r="DVL42" s="1142"/>
      <c r="DVM42" s="1142"/>
      <c r="DVN42" s="1142"/>
      <c r="DVO42" s="1142"/>
      <c r="DVP42" s="1142"/>
      <c r="DVQ42" s="1142"/>
      <c r="DVR42" s="1142"/>
      <c r="DVS42" s="1142"/>
      <c r="DVT42" s="1142"/>
      <c r="DVU42" s="1167"/>
      <c r="DVV42" s="1167"/>
      <c r="DVW42" s="1167"/>
      <c r="DVX42" s="1167"/>
      <c r="DVY42" s="1167"/>
      <c r="DVZ42" s="1167"/>
      <c r="DWA42" s="1167"/>
      <c r="DWB42" s="1167"/>
      <c r="DWC42" s="1167"/>
      <c r="DWD42" s="1142"/>
      <c r="DWE42" s="1142"/>
      <c r="DWF42" s="1142"/>
      <c r="DWG42" s="1142"/>
      <c r="DWH42" s="1142"/>
      <c r="DWI42" s="1142"/>
      <c r="DWJ42" s="1142"/>
      <c r="DWK42" s="1142"/>
      <c r="DWL42" s="1142"/>
      <c r="DWM42" s="1142"/>
      <c r="DWN42" s="1142"/>
      <c r="DWO42" s="1142"/>
      <c r="DWP42" s="1142"/>
      <c r="DWQ42" s="1142"/>
      <c r="DWR42" s="1142"/>
      <c r="DWS42" s="1142"/>
      <c r="DWT42" s="1142"/>
      <c r="DWU42" s="1142"/>
      <c r="DWV42" s="1142"/>
      <c r="DWW42" s="1142"/>
      <c r="DWX42" s="1142"/>
      <c r="DWY42" s="1142"/>
      <c r="DWZ42" s="1142"/>
      <c r="DXA42" s="1167"/>
      <c r="DXB42" s="1167"/>
      <c r="DXC42" s="1167"/>
      <c r="DXD42" s="1167"/>
      <c r="DXE42" s="1167"/>
      <c r="DXF42" s="1167"/>
      <c r="DXG42" s="1167"/>
      <c r="DXH42" s="1167"/>
      <c r="DXI42" s="1167"/>
      <c r="DXJ42" s="1142"/>
      <c r="DXK42" s="1142"/>
      <c r="DXL42" s="1142"/>
      <c r="DXM42" s="1142"/>
      <c r="DXN42" s="1142"/>
      <c r="DXO42" s="1142"/>
      <c r="DXP42" s="1142"/>
      <c r="DXQ42" s="1142"/>
      <c r="DXR42" s="1142"/>
      <c r="DXS42" s="1142"/>
      <c r="DXT42" s="1142"/>
      <c r="DXU42" s="1142"/>
      <c r="DXV42" s="1142"/>
      <c r="DXW42" s="1142"/>
      <c r="DXX42" s="1142"/>
      <c r="DXY42" s="1142"/>
      <c r="DXZ42" s="1142"/>
      <c r="DYA42" s="1142"/>
      <c r="DYB42" s="1142"/>
      <c r="DYC42" s="1142"/>
      <c r="DYD42" s="1142"/>
      <c r="DYE42" s="1142"/>
      <c r="DYF42" s="1142"/>
      <c r="DYG42" s="1167"/>
      <c r="DYH42" s="1167"/>
      <c r="DYI42" s="1167"/>
      <c r="DYJ42" s="1167"/>
      <c r="DYK42" s="1167"/>
      <c r="DYL42" s="1167"/>
      <c r="DYM42" s="1167"/>
      <c r="DYN42" s="1167"/>
      <c r="DYO42" s="1167"/>
      <c r="DYP42" s="1142"/>
      <c r="DYQ42" s="1142"/>
      <c r="DYR42" s="1142"/>
      <c r="DYS42" s="1142"/>
      <c r="DYT42" s="1142"/>
      <c r="DYU42" s="1142"/>
      <c r="DYV42" s="1142"/>
      <c r="DYW42" s="1142"/>
      <c r="DYX42" s="1142"/>
      <c r="DYY42" s="1142"/>
      <c r="DYZ42" s="1142"/>
      <c r="DZA42" s="1142"/>
      <c r="DZB42" s="1142"/>
      <c r="DZC42" s="1142"/>
      <c r="DZD42" s="1142"/>
      <c r="DZE42" s="1142"/>
      <c r="DZF42" s="1142"/>
      <c r="DZG42" s="1142"/>
      <c r="DZH42" s="1142"/>
      <c r="DZI42" s="1142"/>
      <c r="DZJ42" s="1142"/>
      <c r="DZK42" s="1142"/>
      <c r="DZL42" s="1142"/>
      <c r="DZM42" s="1167"/>
      <c r="DZN42" s="1167"/>
      <c r="DZO42" s="1167"/>
      <c r="DZP42" s="1167"/>
      <c r="DZQ42" s="1167"/>
      <c r="DZR42" s="1167"/>
      <c r="DZS42" s="1167"/>
      <c r="DZT42" s="1167"/>
      <c r="DZU42" s="1167"/>
      <c r="DZV42" s="1142"/>
      <c r="DZW42" s="1142"/>
      <c r="DZX42" s="1142"/>
      <c r="DZY42" s="1142"/>
      <c r="DZZ42" s="1142"/>
      <c r="EAA42" s="1142"/>
      <c r="EAB42" s="1142"/>
      <c r="EAC42" s="1142"/>
      <c r="EAD42" s="1142"/>
      <c r="EAE42" s="1142"/>
      <c r="EAF42" s="1142"/>
      <c r="EAG42" s="1142"/>
      <c r="EAH42" s="1142"/>
      <c r="EAI42" s="1142"/>
      <c r="EAJ42" s="1142"/>
      <c r="EAK42" s="1142"/>
      <c r="EAL42" s="1142"/>
      <c r="EAM42" s="1142"/>
      <c r="EAN42" s="1142"/>
      <c r="EAO42" s="1142"/>
      <c r="EAP42" s="1142"/>
      <c r="EAQ42" s="1142"/>
      <c r="EAR42" s="1142"/>
      <c r="EAS42" s="1167"/>
      <c r="EAT42" s="1167"/>
      <c r="EAU42" s="1167"/>
      <c r="EAV42" s="1167"/>
      <c r="EAW42" s="1167"/>
      <c r="EAX42" s="1167"/>
      <c r="EAY42" s="1167"/>
      <c r="EAZ42" s="1167"/>
      <c r="EBA42" s="1167"/>
      <c r="EBB42" s="1142"/>
      <c r="EBC42" s="1142"/>
      <c r="EBD42" s="1142"/>
      <c r="EBE42" s="1142"/>
      <c r="EBF42" s="1142"/>
      <c r="EBG42" s="1142"/>
      <c r="EBH42" s="1142"/>
      <c r="EBI42" s="1142"/>
      <c r="EBJ42" s="1142"/>
      <c r="EBK42" s="1142"/>
      <c r="EBL42" s="1142"/>
      <c r="EBM42" s="1142"/>
      <c r="EBN42" s="1142"/>
      <c r="EBO42" s="1142"/>
      <c r="EBP42" s="1142"/>
      <c r="EBQ42" s="1142"/>
      <c r="EBR42" s="1142"/>
      <c r="EBS42" s="1142"/>
      <c r="EBT42" s="1142"/>
      <c r="EBU42" s="1142"/>
      <c r="EBV42" s="1142"/>
      <c r="EBW42" s="1142"/>
      <c r="EBX42" s="1142"/>
      <c r="EBY42" s="1167"/>
      <c r="EBZ42" s="1167"/>
      <c r="ECA42" s="1167"/>
      <c r="ECB42" s="1167"/>
      <c r="ECC42" s="1167"/>
      <c r="ECD42" s="1167"/>
      <c r="ECE42" s="1167"/>
      <c r="ECF42" s="1167"/>
      <c r="ECG42" s="1167"/>
      <c r="ECH42" s="1142"/>
      <c r="ECI42" s="1142"/>
      <c r="ECJ42" s="1142"/>
      <c r="ECK42" s="1142"/>
      <c r="ECL42" s="1142"/>
      <c r="ECM42" s="1142"/>
      <c r="ECN42" s="1142"/>
      <c r="ECO42" s="1142"/>
      <c r="ECP42" s="1142"/>
      <c r="ECQ42" s="1142"/>
      <c r="ECR42" s="1142"/>
      <c r="ECS42" s="1142"/>
      <c r="ECT42" s="1142"/>
      <c r="ECU42" s="1142"/>
      <c r="ECV42" s="1142"/>
      <c r="ECW42" s="1142"/>
      <c r="ECX42" s="1142"/>
      <c r="ECY42" s="1142"/>
      <c r="ECZ42" s="1142"/>
      <c r="EDA42" s="1142"/>
      <c r="EDB42" s="1142"/>
      <c r="EDC42" s="1142"/>
      <c r="EDD42" s="1142"/>
      <c r="EDE42" s="1167"/>
      <c r="EDF42" s="1167"/>
      <c r="EDG42" s="1167"/>
      <c r="EDH42" s="1167"/>
      <c r="EDI42" s="1167"/>
      <c r="EDJ42" s="1167"/>
      <c r="EDK42" s="1167"/>
      <c r="EDL42" s="1167"/>
      <c r="EDM42" s="1167"/>
      <c r="EDN42" s="1142"/>
      <c r="EDO42" s="1142"/>
      <c r="EDP42" s="1142"/>
      <c r="EDQ42" s="1142"/>
      <c r="EDR42" s="1142"/>
      <c r="EDS42" s="1142"/>
      <c r="EDT42" s="1142"/>
      <c r="EDU42" s="1142"/>
      <c r="EDV42" s="1142"/>
      <c r="EDW42" s="1142"/>
      <c r="EDX42" s="1142"/>
      <c r="EDY42" s="1142"/>
      <c r="EDZ42" s="1142"/>
      <c r="EEA42" s="1142"/>
      <c r="EEB42" s="1142"/>
      <c r="EEC42" s="1142"/>
      <c r="EED42" s="1142"/>
      <c r="EEE42" s="1142"/>
      <c r="EEF42" s="1142"/>
      <c r="EEG42" s="1142"/>
      <c r="EEH42" s="1142"/>
      <c r="EEI42" s="1142"/>
      <c r="EEJ42" s="1142"/>
      <c r="EEK42" s="1167"/>
      <c r="EEL42" s="1167"/>
      <c r="EEM42" s="1167"/>
      <c r="EEN42" s="1167"/>
      <c r="EEO42" s="1167"/>
      <c r="EEP42" s="1167"/>
      <c r="EEQ42" s="1167"/>
      <c r="EER42" s="1167"/>
      <c r="EES42" s="1167"/>
      <c r="EET42" s="1142"/>
      <c r="EEU42" s="1142"/>
      <c r="EEV42" s="1142"/>
      <c r="EEW42" s="1142"/>
      <c r="EEX42" s="1142"/>
      <c r="EEY42" s="1142"/>
      <c r="EEZ42" s="1142"/>
      <c r="EFA42" s="1142"/>
      <c r="EFB42" s="1142"/>
      <c r="EFC42" s="1142"/>
      <c r="EFD42" s="1142"/>
      <c r="EFE42" s="1142"/>
      <c r="EFF42" s="1142"/>
      <c r="EFG42" s="1142"/>
      <c r="EFH42" s="1142"/>
      <c r="EFI42" s="1142"/>
      <c r="EFJ42" s="1142"/>
      <c r="EFK42" s="1142"/>
      <c r="EFL42" s="1142"/>
      <c r="EFM42" s="1142"/>
      <c r="EFN42" s="1142"/>
      <c r="EFO42" s="1142"/>
      <c r="EFP42" s="1142"/>
      <c r="EFQ42" s="1167"/>
      <c r="EFR42" s="1167"/>
      <c r="EFS42" s="1167"/>
      <c r="EFT42" s="1167"/>
      <c r="EFU42" s="1167"/>
      <c r="EFV42" s="1167"/>
      <c r="EFW42" s="1167"/>
      <c r="EFX42" s="1167"/>
      <c r="EFY42" s="1167"/>
      <c r="EFZ42" s="1142"/>
      <c r="EGA42" s="1142"/>
      <c r="EGB42" s="1142"/>
      <c r="EGC42" s="1142"/>
      <c r="EGD42" s="1142"/>
      <c r="EGE42" s="1142"/>
      <c r="EGF42" s="1142"/>
      <c r="EGG42" s="1142"/>
      <c r="EGH42" s="1142"/>
      <c r="EGI42" s="1142"/>
      <c r="EGJ42" s="1142"/>
      <c r="EGK42" s="1142"/>
      <c r="EGL42" s="1142"/>
      <c r="EGM42" s="1142"/>
      <c r="EGN42" s="1142"/>
      <c r="EGO42" s="1142"/>
      <c r="EGP42" s="1142"/>
      <c r="EGQ42" s="1142"/>
      <c r="EGR42" s="1142"/>
      <c r="EGS42" s="1142"/>
      <c r="EGT42" s="1142"/>
      <c r="EGU42" s="1142"/>
      <c r="EGV42" s="1142"/>
      <c r="EGW42" s="1167"/>
      <c r="EGX42" s="1167"/>
      <c r="EGY42" s="1167"/>
      <c r="EGZ42" s="1167"/>
      <c r="EHA42" s="1167"/>
      <c r="EHB42" s="1167"/>
      <c r="EHC42" s="1167"/>
      <c r="EHD42" s="1167"/>
      <c r="EHE42" s="1167"/>
      <c r="EHF42" s="1142"/>
      <c r="EHG42" s="1142"/>
      <c r="EHH42" s="1142"/>
      <c r="EHI42" s="1142"/>
      <c r="EHJ42" s="1142"/>
      <c r="EHK42" s="1142"/>
      <c r="EHL42" s="1142"/>
      <c r="EHM42" s="1142"/>
      <c r="EHN42" s="1142"/>
      <c r="EHO42" s="1142"/>
      <c r="EHP42" s="1142"/>
      <c r="EHQ42" s="1142"/>
      <c r="EHR42" s="1142"/>
      <c r="EHS42" s="1142"/>
      <c r="EHT42" s="1142"/>
      <c r="EHU42" s="1142"/>
      <c r="EHV42" s="1142"/>
      <c r="EHW42" s="1142"/>
      <c r="EHX42" s="1142"/>
      <c r="EHY42" s="1142"/>
      <c r="EHZ42" s="1142"/>
      <c r="EIA42" s="1142"/>
      <c r="EIB42" s="1142"/>
      <c r="EIC42" s="1167"/>
      <c r="EID42" s="1167"/>
      <c r="EIE42" s="1167"/>
      <c r="EIF42" s="1167"/>
      <c r="EIG42" s="1167"/>
      <c r="EIH42" s="1167"/>
      <c r="EII42" s="1167"/>
      <c r="EIJ42" s="1167"/>
      <c r="EIK42" s="1167"/>
      <c r="EIL42" s="1142"/>
      <c r="EIM42" s="1142"/>
      <c r="EIN42" s="1142"/>
      <c r="EIO42" s="1142"/>
      <c r="EIP42" s="1142"/>
      <c r="EIQ42" s="1142"/>
      <c r="EIR42" s="1142"/>
      <c r="EIS42" s="1142"/>
      <c r="EIT42" s="1142"/>
      <c r="EIU42" s="1142"/>
      <c r="EIV42" s="1142"/>
      <c r="EIW42" s="1142"/>
      <c r="EIX42" s="1142"/>
      <c r="EIY42" s="1142"/>
      <c r="EIZ42" s="1142"/>
      <c r="EJA42" s="1142"/>
      <c r="EJB42" s="1142"/>
      <c r="EJC42" s="1142"/>
      <c r="EJD42" s="1142"/>
      <c r="EJE42" s="1142"/>
      <c r="EJF42" s="1142"/>
      <c r="EJG42" s="1142"/>
      <c r="EJH42" s="1142"/>
      <c r="EJI42" s="1167"/>
      <c r="EJJ42" s="1167"/>
      <c r="EJK42" s="1167"/>
      <c r="EJL42" s="1167"/>
      <c r="EJM42" s="1167"/>
      <c r="EJN42" s="1167"/>
      <c r="EJO42" s="1167"/>
      <c r="EJP42" s="1167"/>
      <c r="EJQ42" s="1167"/>
      <c r="EJR42" s="1142"/>
      <c r="EJS42" s="1142"/>
      <c r="EJT42" s="1142"/>
      <c r="EJU42" s="1142"/>
      <c r="EJV42" s="1142"/>
      <c r="EJW42" s="1142"/>
      <c r="EJX42" s="1142"/>
      <c r="EJY42" s="1142"/>
      <c r="EJZ42" s="1142"/>
      <c r="EKA42" s="1142"/>
      <c r="EKB42" s="1142"/>
      <c r="EKC42" s="1142"/>
      <c r="EKD42" s="1142"/>
      <c r="EKE42" s="1142"/>
      <c r="EKF42" s="1142"/>
      <c r="EKG42" s="1142"/>
      <c r="EKH42" s="1142"/>
      <c r="EKI42" s="1142"/>
      <c r="EKJ42" s="1142"/>
      <c r="EKK42" s="1142"/>
      <c r="EKL42" s="1142"/>
      <c r="EKM42" s="1142"/>
      <c r="EKN42" s="1142"/>
      <c r="EKO42" s="1167"/>
      <c r="EKP42" s="1167"/>
      <c r="EKQ42" s="1167"/>
      <c r="EKR42" s="1167"/>
      <c r="EKS42" s="1167"/>
      <c r="EKT42" s="1167"/>
      <c r="EKU42" s="1167"/>
      <c r="EKV42" s="1167"/>
      <c r="EKW42" s="1167"/>
      <c r="EKX42" s="1142"/>
      <c r="EKY42" s="1142"/>
      <c r="EKZ42" s="1142"/>
      <c r="ELA42" s="1142"/>
      <c r="ELB42" s="1142"/>
      <c r="ELC42" s="1142"/>
      <c r="ELD42" s="1142"/>
      <c r="ELE42" s="1142"/>
      <c r="ELF42" s="1142"/>
      <c r="ELG42" s="1142"/>
      <c r="ELH42" s="1142"/>
      <c r="ELI42" s="1142"/>
      <c r="ELJ42" s="1142"/>
      <c r="ELK42" s="1142"/>
      <c r="ELL42" s="1142"/>
      <c r="ELM42" s="1142"/>
      <c r="ELN42" s="1142"/>
      <c r="ELO42" s="1142"/>
      <c r="ELP42" s="1142"/>
      <c r="ELQ42" s="1142"/>
      <c r="ELR42" s="1142"/>
      <c r="ELS42" s="1142"/>
      <c r="ELT42" s="1142"/>
      <c r="ELU42" s="1167"/>
      <c r="ELV42" s="1167"/>
      <c r="ELW42" s="1167"/>
      <c r="ELX42" s="1167"/>
      <c r="ELY42" s="1167"/>
      <c r="ELZ42" s="1167"/>
      <c r="EMA42" s="1167"/>
      <c r="EMB42" s="1167"/>
      <c r="EMC42" s="1167"/>
      <c r="EMD42" s="1142"/>
      <c r="EME42" s="1142"/>
      <c r="EMF42" s="1142"/>
      <c r="EMG42" s="1142"/>
      <c r="EMH42" s="1142"/>
      <c r="EMI42" s="1142"/>
      <c r="EMJ42" s="1142"/>
      <c r="EMK42" s="1142"/>
      <c r="EML42" s="1142"/>
      <c r="EMM42" s="1142"/>
      <c r="EMN42" s="1142"/>
      <c r="EMO42" s="1142"/>
      <c r="EMP42" s="1142"/>
      <c r="EMQ42" s="1142"/>
      <c r="EMR42" s="1142"/>
      <c r="EMS42" s="1142"/>
      <c r="EMT42" s="1142"/>
      <c r="EMU42" s="1142"/>
      <c r="EMV42" s="1142"/>
      <c r="EMW42" s="1142"/>
      <c r="EMX42" s="1142"/>
      <c r="EMY42" s="1142"/>
      <c r="EMZ42" s="1142"/>
      <c r="ENA42" s="1167"/>
      <c r="ENB42" s="1167"/>
      <c r="ENC42" s="1167"/>
      <c r="END42" s="1167"/>
      <c r="ENE42" s="1167"/>
      <c r="ENF42" s="1167"/>
      <c r="ENG42" s="1167"/>
      <c r="ENH42" s="1167"/>
      <c r="ENI42" s="1167"/>
      <c r="ENJ42" s="1142"/>
      <c r="ENK42" s="1142"/>
      <c r="ENL42" s="1142"/>
      <c r="ENM42" s="1142"/>
      <c r="ENN42" s="1142"/>
      <c r="ENO42" s="1142"/>
      <c r="ENP42" s="1142"/>
      <c r="ENQ42" s="1142"/>
      <c r="ENR42" s="1142"/>
      <c r="ENS42" s="1142"/>
      <c r="ENT42" s="1142"/>
      <c r="ENU42" s="1142"/>
      <c r="ENV42" s="1142"/>
      <c r="ENW42" s="1142"/>
      <c r="ENX42" s="1142"/>
      <c r="ENY42" s="1142"/>
      <c r="ENZ42" s="1142"/>
      <c r="EOA42" s="1142"/>
      <c r="EOB42" s="1142"/>
      <c r="EOC42" s="1142"/>
      <c r="EOD42" s="1142"/>
      <c r="EOE42" s="1142"/>
      <c r="EOF42" s="1142"/>
      <c r="EOG42" s="1167"/>
      <c r="EOH42" s="1167"/>
      <c r="EOI42" s="1167"/>
      <c r="EOJ42" s="1167"/>
      <c r="EOK42" s="1167"/>
      <c r="EOL42" s="1167"/>
      <c r="EOM42" s="1167"/>
      <c r="EON42" s="1167"/>
      <c r="EOO42" s="1167"/>
      <c r="EOP42" s="1142"/>
      <c r="EOQ42" s="1142"/>
      <c r="EOR42" s="1142"/>
      <c r="EOS42" s="1142"/>
      <c r="EOT42" s="1142"/>
      <c r="EOU42" s="1142"/>
      <c r="EOV42" s="1142"/>
      <c r="EOW42" s="1142"/>
      <c r="EOX42" s="1142"/>
      <c r="EOY42" s="1142"/>
      <c r="EOZ42" s="1142"/>
      <c r="EPA42" s="1142"/>
      <c r="EPB42" s="1142"/>
      <c r="EPC42" s="1142"/>
      <c r="EPD42" s="1142"/>
      <c r="EPE42" s="1142"/>
      <c r="EPF42" s="1142"/>
      <c r="EPG42" s="1142"/>
      <c r="EPH42" s="1142"/>
      <c r="EPI42" s="1142"/>
      <c r="EPJ42" s="1142"/>
      <c r="EPK42" s="1142"/>
      <c r="EPL42" s="1142"/>
      <c r="EPM42" s="1167"/>
      <c r="EPN42" s="1167"/>
      <c r="EPO42" s="1167"/>
      <c r="EPP42" s="1167"/>
      <c r="EPQ42" s="1167"/>
      <c r="EPR42" s="1167"/>
      <c r="EPS42" s="1167"/>
      <c r="EPT42" s="1167"/>
      <c r="EPU42" s="1167"/>
      <c r="EPV42" s="1142"/>
      <c r="EPW42" s="1142"/>
      <c r="EPX42" s="1142"/>
      <c r="EPY42" s="1142"/>
      <c r="EPZ42" s="1142"/>
      <c r="EQA42" s="1142"/>
      <c r="EQB42" s="1142"/>
      <c r="EQC42" s="1142"/>
      <c r="EQD42" s="1142"/>
      <c r="EQE42" s="1142"/>
      <c r="EQF42" s="1142"/>
      <c r="EQG42" s="1142"/>
      <c r="EQH42" s="1142"/>
      <c r="EQI42" s="1142"/>
      <c r="EQJ42" s="1142"/>
      <c r="EQK42" s="1142"/>
      <c r="EQL42" s="1142"/>
      <c r="EQM42" s="1142"/>
      <c r="EQN42" s="1142"/>
      <c r="EQO42" s="1142"/>
      <c r="EQP42" s="1142"/>
      <c r="EQQ42" s="1142"/>
      <c r="EQR42" s="1142"/>
      <c r="EQS42" s="1167"/>
      <c r="EQT42" s="1167"/>
      <c r="EQU42" s="1167"/>
      <c r="EQV42" s="1167"/>
      <c r="EQW42" s="1167"/>
      <c r="EQX42" s="1167"/>
      <c r="EQY42" s="1167"/>
      <c r="EQZ42" s="1167"/>
      <c r="ERA42" s="1167"/>
      <c r="ERB42" s="1142"/>
      <c r="ERC42" s="1142"/>
      <c r="ERD42" s="1142"/>
      <c r="ERE42" s="1142"/>
      <c r="ERF42" s="1142"/>
      <c r="ERG42" s="1142"/>
      <c r="ERH42" s="1142"/>
      <c r="ERI42" s="1142"/>
      <c r="ERJ42" s="1142"/>
      <c r="ERK42" s="1142"/>
      <c r="ERL42" s="1142"/>
      <c r="ERM42" s="1142"/>
      <c r="ERN42" s="1142"/>
      <c r="ERO42" s="1142"/>
      <c r="ERP42" s="1142"/>
      <c r="ERQ42" s="1142"/>
      <c r="ERR42" s="1142"/>
      <c r="ERS42" s="1142"/>
      <c r="ERT42" s="1142"/>
      <c r="ERU42" s="1142"/>
      <c r="ERV42" s="1142"/>
      <c r="ERW42" s="1142"/>
      <c r="ERX42" s="1142"/>
      <c r="ERY42" s="1167"/>
      <c r="ERZ42" s="1167"/>
      <c r="ESA42" s="1167"/>
      <c r="ESB42" s="1167"/>
      <c r="ESC42" s="1167"/>
      <c r="ESD42" s="1167"/>
      <c r="ESE42" s="1167"/>
      <c r="ESF42" s="1167"/>
      <c r="ESG42" s="1167"/>
      <c r="ESH42" s="1142"/>
      <c r="ESI42" s="1142"/>
      <c r="ESJ42" s="1142"/>
      <c r="ESK42" s="1142"/>
      <c r="ESL42" s="1142"/>
      <c r="ESM42" s="1142"/>
      <c r="ESN42" s="1142"/>
      <c r="ESO42" s="1142"/>
      <c r="ESP42" s="1142"/>
      <c r="ESQ42" s="1142"/>
      <c r="ESR42" s="1142"/>
      <c r="ESS42" s="1142"/>
      <c r="EST42" s="1142"/>
      <c r="ESU42" s="1142"/>
      <c r="ESV42" s="1142"/>
      <c r="ESW42" s="1142"/>
      <c r="ESX42" s="1142"/>
      <c r="ESY42" s="1142"/>
      <c r="ESZ42" s="1142"/>
      <c r="ETA42" s="1142"/>
      <c r="ETB42" s="1142"/>
      <c r="ETC42" s="1142"/>
      <c r="ETD42" s="1142"/>
      <c r="ETE42" s="1167"/>
      <c r="ETF42" s="1167"/>
      <c r="ETG42" s="1167"/>
      <c r="ETH42" s="1167"/>
      <c r="ETI42" s="1167"/>
      <c r="ETJ42" s="1167"/>
      <c r="ETK42" s="1167"/>
      <c r="ETL42" s="1167"/>
      <c r="ETM42" s="1167"/>
      <c r="ETN42" s="1142"/>
      <c r="ETO42" s="1142"/>
      <c r="ETP42" s="1142"/>
      <c r="ETQ42" s="1142"/>
      <c r="ETR42" s="1142"/>
      <c r="ETS42" s="1142"/>
      <c r="ETT42" s="1142"/>
      <c r="ETU42" s="1142"/>
      <c r="ETV42" s="1142"/>
      <c r="ETW42" s="1142"/>
      <c r="ETX42" s="1142"/>
      <c r="ETY42" s="1142"/>
      <c r="ETZ42" s="1142"/>
      <c r="EUA42" s="1142"/>
      <c r="EUB42" s="1142"/>
      <c r="EUC42" s="1142"/>
      <c r="EUD42" s="1142"/>
      <c r="EUE42" s="1142"/>
      <c r="EUF42" s="1142"/>
      <c r="EUG42" s="1142"/>
      <c r="EUH42" s="1142"/>
      <c r="EUI42" s="1142"/>
      <c r="EUJ42" s="1142"/>
      <c r="EUK42" s="1167"/>
      <c r="EUL42" s="1167"/>
      <c r="EUM42" s="1167"/>
      <c r="EUN42" s="1167"/>
      <c r="EUO42" s="1167"/>
      <c r="EUP42" s="1167"/>
      <c r="EUQ42" s="1167"/>
      <c r="EUR42" s="1167"/>
      <c r="EUS42" s="1167"/>
      <c r="EUT42" s="1142"/>
      <c r="EUU42" s="1142"/>
      <c r="EUV42" s="1142"/>
      <c r="EUW42" s="1142"/>
      <c r="EUX42" s="1142"/>
      <c r="EUY42" s="1142"/>
      <c r="EUZ42" s="1142"/>
      <c r="EVA42" s="1142"/>
      <c r="EVB42" s="1142"/>
      <c r="EVC42" s="1142"/>
      <c r="EVD42" s="1142"/>
      <c r="EVE42" s="1142"/>
      <c r="EVF42" s="1142"/>
      <c r="EVG42" s="1142"/>
      <c r="EVH42" s="1142"/>
      <c r="EVI42" s="1142"/>
      <c r="EVJ42" s="1142"/>
      <c r="EVK42" s="1142"/>
      <c r="EVL42" s="1142"/>
      <c r="EVM42" s="1142"/>
      <c r="EVN42" s="1142"/>
      <c r="EVO42" s="1142"/>
      <c r="EVP42" s="1142"/>
      <c r="EVQ42" s="1167"/>
      <c r="EVR42" s="1167"/>
      <c r="EVS42" s="1167"/>
      <c r="EVT42" s="1167"/>
      <c r="EVU42" s="1167"/>
      <c r="EVV42" s="1167"/>
      <c r="EVW42" s="1167"/>
      <c r="EVX42" s="1167"/>
      <c r="EVY42" s="1167"/>
      <c r="EVZ42" s="1142"/>
      <c r="EWA42" s="1142"/>
      <c r="EWB42" s="1142"/>
      <c r="EWC42" s="1142"/>
      <c r="EWD42" s="1142"/>
      <c r="EWE42" s="1142"/>
      <c r="EWF42" s="1142"/>
      <c r="EWG42" s="1142"/>
      <c r="EWH42" s="1142"/>
      <c r="EWI42" s="1142"/>
      <c r="EWJ42" s="1142"/>
      <c r="EWK42" s="1142"/>
      <c r="EWL42" s="1142"/>
      <c r="EWM42" s="1142"/>
      <c r="EWN42" s="1142"/>
      <c r="EWO42" s="1142"/>
      <c r="EWP42" s="1142"/>
      <c r="EWQ42" s="1142"/>
      <c r="EWR42" s="1142"/>
      <c r="EWS42" s="1142"/>
      <c r="EWT42" s="1142"/>
      <c r="EWU42" s="1142"/>
      <c r="EWV42" s="1142"/>
      <c r="EWW42" s="1167"/>
      <c r="EWX42" s="1167"/>
      <c r="EWY42" s="1167"/>
      <c r="EWZ42" s="1167"/>
      <c r="EXA42" s="1167"/>
      <c r="EXB42" s="1167"/>
      <c r="EXC42" s="1167"/>
      <c r="EXD42" s="1167"/>
      <c r="EXE42" s="1167"/>
      <c r="EXF42" s="1142"/>
      <c r="EXG42" s="1142"/>
      <c r="EXH42" s="1142"/>
      <c r="EXI42" s="1142"/>
      <c r="EXJ42" s="1142"/>
      <c r="EXK42" s="1142"/>
      <c r="EXL42" s="1142"/>
      <c r="EXM42" s="1142"/>
      <c r="EXN42" s="1142"/>
      <c r="EXO42" s="1142"/>
      <c r="EXP42" s="1142"/>
      <c r="EXQ42" s="1142"/>
      <c r="EXR42" s="1142"/>
      <c r="EXS42" s="1142"/>
      <c r="EXT42" s="1142"/>
      <c r="EXU42" s="1142"/>
      <c r="EXV42" s="1142"/>
      <c r="EXW42" s="1142"/>
      <c r="EXX42" s="1142"/>
      <c r="EXY42" s="1142"/>
      <c r="EXZ42" s="1142"/>
      <c r="EYA42" s="1142"/>
      <c r="EYB42" s="1142"/>
      <c r="EYC42" s="1167"/>
      <c r="EYD42" s="1167"/>
      <c r="EYE42" s="1167"/>
      <c r="EYF42" s="1167"/>
      <c r="EYG42" s="1167"/>
      <c r="EYH42" s="1167"/>
      <c r="EYI42" s="1167"/>
      <c r="EYJ42" s="1167"/>
      <c r="EYK42" s="1167"/>
      <c r="EYL42" s="1142"/>
      <c r="EYM42" s="1142"/>
      <c r="EYN42" s="1142"/>
      <c r="EYO42" s="1142"/>
      <c r="EYP42" s="1142"/>
      <c r="EYQ42" s="1142"/>
      <c r="EYR42" s="1142"/>
      <c r="EYS42" s="1142"/>
      <c r="EYT42" s="1142"/>
      <c r="EYU42" s="1142"/>
      <c r="EYV42" s="1142"/>
      <c r="EYW42" s="1142"/>
      <c r="EYX42" s="1142"/>
      <c r="EYY42" s="1142"/>
      <c r="EYZ42" s="1142"/>
      <c r="EZA42" s="1142"/>
      <c r="EZB42" s="1142"/>
      <c r="EZC42" s="1142"/>
      <c r="EZD42" s="1142"/>
      <c r="EZE42" s="1142"/>
      <c r="EZF42" s="1142"/>
      <c r="EZG42" s="1142"/>
      <c r="EZH42" s="1142"/>
      <c r="EZI42" s="1167"/>
      <c r="EZJ42" s="1167"/>
      <c r="EZK42" s="1167"/>
      <c r="EZL42" s="1167"/>
      <c r="EZM42" s="1167"/>
      <c r="EZN42" s="1167"/>
      <c r="EZO42" s="1167"/>
      <c r="EZP42" s="1167"/>
      <c r="EZQ42" s="1167"/>
      <c r="EZR42" s="1142"/>
      <c r="EZS42" s="1142"/>
      <c r="EZT42" s="1142"/>
      <c r="EZU42" s="1142"/>
      <c r="EZV42" s="1142"/>
      <c r="EZW42" s="1142"/>
      <c r="EZX42" s="1142"/>
      <c r="EZY42" s="1142"/>
      <c r="EZZ42" s="1142"/>
      <c r="FAA42" s="1142"/>
      <c r="FAB42" s="1142"/>
      <c r="FAC42" s="1142"/>
      <c r="FAD42" s="1142"/>
      <c r="FAE42" s="1142"/>
      <c r="FAF42" s="1142"/>
      <c r="FAG42" s="1142"/>
      <c r="FAH42" s="1142"/>
      <c r="FAI42" s="1142"/>
      <c r="FAJ42" s="1142"/>
      <c r="FAK42" s="1142"/>
      <c r="FAL42" s="1142"/>
      <c r="FAM42" s="1142"/>
      <c r="FAN42" s="1142"/>
      <c r="FAO42" s="1167"/>
      <c r="FAP42" s="1167"/>
      <c r="FAQ42" s="1167"/>
      <c r="FAR42" s="1167"/>
      <c r="FAS42" s="1167"/>
      <c r="FAT42" s="1167"/>
      <c r="FAU42" s="1167"/>
      <c r="FAV42" s="1167"/>
      <c r="FAW42" s="1167"/>
      <c r="FAX42" s="1142"/>
      <c r="FAY42" s="1142"/>
      <c r="FAZ42" s="1142"/>
      <c r="FBA42" s="1142"/>
      <c r="FBB42" s="1142"/>
      <c r="FBC42" s="1142"/>
      <c r="FBD42" s="1142"/>
      <c r="FBE42" s="1142"/>
      <c r="FBF42" s="1142"/>
      <c r="FBG42" s="1142"/>
      <c r="FBH42" s="1142"/>
      <c r="FBI42" s="1142"/>
      <c r="FBJ42" s="1142"/>
      <c r="FBK42" s="1142"/>
      <c r="FBL42" s="1142"/>
      <c r="FBM42" s="1142"/>
      <c r="FBN42" s="1142"/>
      <c r="FBO42" s="1142"/>
      <c r="FBP42" s="1142"/>
      <c r="FBQ42" s="1142"/>
      <c r="FBR42" s="1142"/>
      <c r="FBS42" s="1142"/>
      <c r="FBT42" s="1142"/>
      <c r="FBU42" s="1167"/>
      <c r="FBV42" s="1167"/>
      <c r="FBW42" s="1167"/>
      <c r="FBX42" s="1167"/>
      <c r="FBY42" s="1167"/>
      <c r="FBZ42" s="1167"/>
      <c r="FCA42" s="1167"/>
      <c r="FCB42" s="1167"/>
      <c r="FCC42" s="1167"/>
      <c r="FCD42" s="1142"/>
      <c r="FCE42" s="1142"/>
      <c r="FCF42" s="1142"/>
      <c r="FCG42" s="1142"/>
      <c r="FCH42" s="1142"/>
      <c r="FCI42" s="1142"/>
      <c r="FCJ42" s="1142"/>
      <c r="FCK42" s="1142"/>
      <c r="FCL42" s="1142"/>
      <c r="FCM42" s="1142"/>
      <c r="FCN42" s="1142"/>
      <c r="FCO42" s="1142"/>
      <c r="FCP42" s="1142"/>
      <c r="FCQ42" s="1142"/>
      <c r="FCR42" s="1142"/>
      <c r="FCS42" s="1142"/>
      <c r="FCT42" s="1142"/>
      <c r="FCU42" s="1142"/>
      <c r="FCV42" s="1142"/>
      <c r="FCW42" s="1142"/>
      <c r="FCX42" s="1142"/>
      <c r="FCY42" s="1142"/>
      <c r="FCZ42" s="1142"/>
      <c r="FDA42" s="1167"/>
      <c r="FDB42" s="1167"/>
      <c r="FDC42" s="1167"/>
      <c r="FDD42" s="1167"/>
      <c r="FDE42" s="1167"/>
      <c r="FDF42" s="1167"/>
      <c r="FDG42" s="1167"/>
      <c r="FDH42" s="1167"/>
      <c r="FDI42" s="1167"/>
      <c r="FDJ42" s="1142"/>
      <c r="FDK42" s="1142"/>
      <c r="FDL42" s="1142"/>
      <c r="FDM42" s="1142"/>
      <c r="FDN42" s="1142"/>
      <c r="FDO42" s="1142"/>
      <c r="FDP42" s="1142"/>
      <c r="FDQ42" s="1142"/>
      <c r="FDR42" s="1142"/>
      <c r="FDS42" s="1142"/>
      <c r="FDT42" s="1142"/>
      <c r="FDU42" s="1142"/>
      <c r="FDV42" s="1142"/>
      <c r="FDW42" s="1142"/>
      <c r="FDX42" s="1142"/>
      <c r="FDY42" s="1142"/>
      <c r="FDZ42" s="1142"/>
      <c r="FEA42" s="1142"/>
      <c r="FEB42" s="1142"/>
      <c r="FEC42" s="1142"/>
      <c r="FED42" s="1142"/>
      <c r="FEE42" s="1142"/>
      <c r="FEF42" s="1142"/>
      <c r="FEG42" s="1167"/>
      <c r="FEH42" s="1167"/>
      <c r="FEI42" s="1167"/>
      <c r="FEJ42" s="1167"/>
      <c r="FEK42" s="1167"/>
      <c r="FEL42" s="1167"/>
      <c r="FEM42" s="1167"/>
      <c r="FEN42" s="1167"/>
      <c r="FEO42" s="1167"/>
      <c r="FEP42" s="1142"/>
      <c r="FEQ42" s="1142"/>
      <c r="FER42" s="1142"/>
      <c r="FES42" s="1142"/>
      <c r="FET42" s="1142"/>
      <c r="FEU42" s="1142"/>
      <c r="FEV42" s="1142"/>
      <c r="FEW42" s="1142"/>
      <c r="FEX42" s="1142"/>
      <c r="FEY42" s="1142"/>
      <c r="FEZ42" s="1142"/>
      <c r="FFA42" s="1142"/>
      <c r="FFB42" s="1142"/>
      <c r="FFC42" s="1142"/>
      <c r="FFD42" s="1142"/>
      <c r="FFE42" s="1142"/>
      <c r="FFF42" s="1142"/>
      <c r="FFG42" s="1142"/>
      <c r="FFH42" s="1142"/>
      <c r="FFI42" s="1142"/>
      <c r="FFJ42" s="1142"/>
      <c r="FFK42" s="1142"/>
      <c r="FFL42" s="1142"/>
      <c r="FFM42" s="1167"/>
      <c r="FFN42" s="1167"/>
      <c r="FFO42" s="1167"/>
      <c r="FFP42" s="1167"/>
      <c r="FFQ42" s="1167"/>
      <c r="FFR42" s="1167"/>
      <c r="FFS42" s="1167"/>
      <c r="FFT42" s="1167"/>
      <c r="FFU42" s="1167"/>
      <c r="FFV42" s="1142"/>
      <c r="FFW42" s="1142"/>
      <c r="FFX42" s="1142"/>
      <c r="FFY42" s="1142"/>
      <c r="FFZ42" s="1142"/>
      <c r="FGA42" s="1142"/>
      <c r="FGB42" s="1142"/>
      <c r="FGC42" s="1142"/>
      <c r="FGD42" s="1142"/>
      <c r="FGE42" s="1142"/>
      <c r="FGF42" s="1142"/>
      <c r="FGG42" s="1142"/>
      <c r="FGH42" s="1142"/>
      <c r="FGI42" s="1142"/>
      <c r="FGJ42" s="1142"/>
      <c r="FGK42" s="1142"/>
      <c r="FGL42" s="1142"/>
      <c r="FGM42" s="1142"/>
      <c r="FGN42" s="1142"/>
      <c r="FGO42" s="1142"/>
      <c r="FGP42" s="1142"/>
      <c r="FGQ42" s="1142"/>
      <c r="FGR42" s="1142"/>
      <c r="FGS42" s="1167"/>
      <c r="FGT42" s="1167"/>
      <c r="FGU42" s="1167"/>
      <c r="FGV42" s="1167"/>
      <c r="FGW42" s="1167"/>
      <c r="FGX42" s="1167"/>
      <c r="FGY42" s="1167"/>
      <c r="FGZ42" s="1167"/>
      <c r="FHA42" s="1167"/>
      <c r="FHB42" s="1142"/>
      <c r="FHC42" s="1142"/>
      <c r="FHD42" s="1142"/>
      <c r="FHE42" s="1142"/>
      <c r="FHF42" s="1142"/>
      <c r="FHG42" s="1142"/>
      <c r="FHH42" s="1142"/>
      <c r="FHI42" s="1142"/>
      <c r="FHJ42" s="1142"/>
      <c r="FHK42" s="1142"/>
      <c r="FHL42" s="1142"/>
      <c r="FHM42" s="1142"/>
      <c r="FHN42" s="1142"/>
      <c r="FHO42" s="1142"/>
      <c r="FHP42" s="1142"/>
      <c r="FHQ42" s="1142"/>
      <c r="FHR42" s="1142"/>
      <c r="FHS42" s="1142"/>
      <c r="FHT42" s="1142"/>
      <c r="FHU42" s="1142"/>
      <c r="FHV42" s="1142"/>
      <c r="FHW42" s="1142"/>
      <c r="FHX42" s="1142"/>
      <c r="FHY42" s="1167"/>
      <c r="FHZ42" s="1167"/>
      <c r="FIA42" s="1167"/>
      <c r="FIB42" s="1167"/>
      <c r="FIC42" s="1167"/>
      <c r="FID42" s="1167"/>
      <c r="FIE42" s="1167"/>
      <c r="FIF42" s="1167"/>
      <c r="FIG42" s="1167"/>
      <c r="FIH42" s="1142"/>
      <c r="FII42" s="1142"/>
      <c r="FIJ42" s="1142"/>
      <c r="FIK42" s="1142"/>
      <c r="FIL42" s="1142"/>
      <c r="FIM42" s="1142"/>
      <c r="FIN42" s="1142"/>
      <c r="FIO42" s="1142"/>
      <c r="FIP42" s="1142"/>
      <c r="FIQ42" s="1142"/>
      <c r="FIR42" s="1142"/>
      <c r="FIS42" s="1142"/>
      <c r="FIT42" s="1142"/>
      <c r="FIU42" s="1142"/>
      <c r="FIV42" s="1142"/>
      <c r="FIW42" s="1142"/>
      <c r="FIX42" s="1142"/>
      <c r="FIY42" s="1142"/>
      <c r="FIZ42" s="1142"/>
      <c r="FJA42" s="1142"/>
      <c r="FJB42" s="1142"/>
      <c r="FJC42" s="1142"/>
      <c r="FJD42" s="1142"/>
      <c r="FJE42" s="1167"/>
      <c r="FJF42" s="1167"/>
      <c r="FJG42" s="1167"/>
      <c r="FJH42" s="1167"/>
      <c r="FJI42" s="1167"/>
      <c r="FJJ42" s="1167"/>
      <c r="FJK42" s="1167"/>
      <c r="FJL42" s="1167"/>
      <c r="FJM42" s="1167"/>
      <c r="FJN42" s="1142"/>
      <c r="FJO42" s="1142"/>
      <c r="FJP42" s="1142"/>
      <c r="FJQ42" s="1142"/>
      <c r="FJR42" s="1142"/>
      <c r="FJS42" s="1142"/>
      <c r="FJT42" s="1142"/>
      <c r="FJU42" s="1142"/>
      <c r="FJV42" s="1142"/>
      <c r="FJW42" s="1142"/>
      <c r="FJX42" s="1142"/>
      <c r="FJY42" s="1142"/>
      <c r="FJZ42" s="1142"/>
      <c r="FKA42" s="1142"/>
      <c r="FKB42" s="1142"/>
      <c r="FKC42" s="1142"/>
      <c r="FKD42" s="1142"/>
      <c r="FKE42" s="1142"/>
      <c r="FKF42" s="1142"/>
      <c r="FKG42" s="1142"/>
      <c r="FKH42" s="1142"/>
      <c r="FKI42" s="1142"/>
      <c r="FKJ42" s="1142"/>
      <c r="FKK42" s="1167"/>
      <c r="FKL42" s="1167"/>
      <c r="FKM42" s="1167"/>
      <c r="FKN42" s="1167"/>
      <c r="FKO42" s="1167"/>
      <c r="FKP42" s="1167"/>
      <c r="FKQ42" s="1167"/>
      <c r="FKR42" s="1167"/>
      <c r="FKS42" s="1167"/>
      <c r="FKT42" s="1142"/>
      <c r="FKU42" s="1142"/>
      <c r="FKV42" s="1142"/>
      <c r="FKW42" s="1142"/>
      <c r="FKX42" s="1142"/>
      <c r="FKY42" s="1142"/>
      <c r="FKZ42" s="1142"/>
      <c r="FLA42" s="1142"/>
      <c r="FLB42" s="1142"/>
      <c r="FLC42" s="1142"/>
      <c r="FLD42" s="1142"/>
      <c r="FLE42" s="1142"/>
      <c r="FLF42" s="1142"/>
      <c r="FLG42" s="1142"/>
      <c r="FLH42" s="1142"/>
      <c r="FLI42" s="1142"/>
      <c r="FLJ42" s="1142"/>
      <c r="FLK42" s="1142"/>
      <c r="FLL42" s="1142"/>
      <c r="FLM42" s="1142"/>
      <c r="FLN42" s="1142"/>
      <c r="FLO42" s="1142"/>
      <c r="FLP42" s="1142"/>
      <c r="FLQ42" s="1167"/>
      <c r="FLR42" s="1167"/>
      <c r="FLS42" s="1167"/>
      <c r="FLT42" s="1167"/>
      <c r="FLU42" s="1167"/>
      <c r="FLV42" s="1167"/>
      <c r="FLW42" s="1167"/>
      <c r="FLX42" s="1167"/>
      <c r="FLY42" s="1167"/>
      <c r="FLZ42" s="1142"/>
      <c r="FMA42" s="1142"/>
      <c r="FMB42" s="1142"/>
      <c r="FMC42" s="1142"/>
      <c r="FMD42" s="1142"/>
      <c r="FME42" s="1142"/>
      <c r="FMF42" s="1142"/>
      <c r="FMG42" s="1142"/>
      <c r="FMH42" s="1142"/>
      <c r="FMI42" s="1142"/>
      <c r="FMJ42" s="1142"/>
      <c r="FMK42" s="1142"/>
      <c r="FML42" s="1142"/>
      <c r="FMM42" s="1142"/>
      <c r="FMN42" s="1142"/>
      <c r="FMO42" s="1142"/>
      <c r="FMP42" s="1142"/>
      <c r="FMQ42" s="1142"/>
      <c r="FMR42" s="1142"/>
      <c r="FMS42" s="1142"/>
      <c r="FMT42" s="1142"/>
      <c r="FMU42" s="1142"/>
      <c r="FMV42" s="1142"/>
      <c r="FMW42" s="1167"/>
      <c r="FMX42" s="1167"/>
      <c r="FMY42" s="1167"/>
      <c r="FMZ42" s="1167"/>
      <c r="FNA42" s="1167"/>
      <c r="FNB42" s="1167"/>
      <c r="FNC42" s="1167"/>
      <c r="FND42" s="1167"/>
      <c r="FNE42" s="1167"/>
      <c r="FNF42" s="1142"/>
      <c r="FNG42" s="1142"/>
      <c r="FNH42" s="1142"/>
      <c r="FNI42" s="1142"/>
      <c r="FNJ42" s="1142"/>
      <c r="FNK42" s="1142"/>
      <c r="FNL42" s="1142"/>
      <c r="FNM42" s="1142"/>
      <c r="FNN42" s="1142"/>
      <c r="FNO42" s="1142"/>
      <c r="FNP42" s="1142"/>
      <c r="FNQ42" s="1142"/>
      <c r="FNR42" s="1142"/>
      <c r="FNS42" s="1142"/>
      <c r="FNT42" s="1142"/>
      <c r="FNU42" s="1142"/>
      <c r="FNV42" s="1142"/>
      <c r="FNW42" s="1142"/>
      <c r="FNX42" s="1142"/>
      <c r="FNY42" s="1142"/>
      <c r="FNZ42" s="1142"/>
      <c r="FOA42" s="1142"/>
      <c r="FOB42" s="1142"/>
      <c r="FOC42" s="1167"/>
      <c r="FOD42" s="1167"/>
      <c r="FOE42" s="1167"/>
      <c r="FOF42" s="1167"/>
      <c r="FOG42" s="1167"/>
      <c r="FOH42" s="1167"/>
      <c r="FOI42" s="1167"/>
      <c r="FOJ42" s="1167"/>
      <c r="FOK42" s="1167"/>
      <c r="FOL42" s="1142"/>
      <c r="FOM42" s="1142"/>
      <c r="FON42" s="1142"/>
      <c r="FOO42" s="1142"/>
      <c r="FOP42" s="1142"/>
      <c r="FOQ42" s="1142"/>
      <c r="FOR42" s="1142"/>
      <c r="FOS42" s="1142"/>
      <c r="FOT42" s="1142"/>
      <c r="FOU42" s="1142"/>
      <c r="FOV42" s="1142"/>
      <c r="FOW42" s="1142"/>
      <c r="FOX42" s="1142"/>
      <c r="FOY42" s="1142"/>
      <c r="FOZ42" s="1142"/>
      <c r="FPA42" s="1142"/>
      <c r="FPB42" s="1142"/>
      <c r="FPC42" s="1142"/>
      <c r="FPD42" s="1142"/>
      <c r="FPE42" s="1142"/>
      <c r="FPF42" s="1142"/>
      <c r="FPG42" s="1142"/>
      <c r="FPH42" s="1142"/>
      <c r="FPI42" s="1167"/>
      <c r="FPJ42" s="1167"/>
      <c r="FPK42" s="1167"/>
      <c r="FPL42" s="1167"/>
      <c r="FPM42" s="1167"/>
      <c r="FPN42" s="1167"/>
      <c r="FPO42" s="1167"/>
      <c r="FPP42" s="1167"/>
      <c r="FPQ42" s="1167"/>
      <c r="FPR42" s="1142"/>
      <c r="FPS42" s="1142"/>
      <c r="FPT42" s="1142"/>
      <c r="FPU42" s="1142"/>
      <c r="FPV42" s="1142"/>
      <c r="FPW42" s="1142"/>
      <c r="FPX42" s="1142"/>
      <c r="FPY42" s="1142"/>
      <c r="FPZ42" s="1142"/>
      <c r="FQA42" s="1142"/>
      <c r="FQB42" s="1142"/>
      <c r="FQC42" s="1142"/>
      <c r="FQD42" s="1142"/>
      <c r="FQE42" s="1142"/>
      <c r="FQF42" s="1142"/>
      <c r="FQG42" s="1142"/>
      <c r="FQH42" s="1142"/>
      <c r="FQI42" s="1142"/>
      <c r="FQJ42" s="1142"/>
      <c r="FQK42" s="1142"/>
      <c r="FQL42" s="1142"/>
      <c r="FQM42" s="1142"/>
      <c r="FQN42" s="1142"/>
      <c r="FQO42" s="1167"/>
      <c r="FQP42" s="1167"/>
      <c r="FQQ42" s="1167"/>
      <c r="FQR42" s="1167"/>
      <c r="FQS42" s="1167"/>
      <c r="FQT42" s="1167"/>
      <c r="FQU42" s="1167"/>
      <c r="FQV42" s="1167"/>
      <c r="FQW42" s="1167"/>
      <c r="FQX42" s="1142"/>
      <c r="FQY42" s="1142"/>
      <c r="FQZ42" s="1142"/>
      <c r="FRA42" s="1142"/>
      <c r="FRB42" s="1142"/>
      <c r="FRC42" s="1142"/>
      <c r="FRD42" s="1142"/>
      <c r="FRE42" s="1142"/>
      <c r="FRF42" s="1142"/>
      <c r="FRG42" s="1142"/>
      <c r="FRH42" s="1142"/>
      <c r="FRI42" s="1142"/>
      <c r="FRJ42" s="1142"/>
      <c r="FRK42" s="1142"/>
      <c r="FRL42" s="1142"/>
      <c r="FRM42" s="1142"/>
      <c r="FRN42" s="1142"/>
      <c r="FRO42" s="1142"/>
      <c r="FRP42" s="1142"/>
      <c r="FRQ42" s="1142"/>
      <c r="FRR42" s="1142"/>
      <c r="FRS42" s="1142"/>
      <c r="FRT42" s="1142"/>
      <c r="FRU42" s="1167"/>
      <c r="FRV42" s="1167"/>
      <c r="FRW42" s="1167"/>
      <c r="FRX42" s="1167"/>
      <c r="FRY42" s="1167"/>
      <c r="FRZ42" s="1167"/>
      <c r="FSA42" s="1167"/>
      <c r="FSB42" s="1167"/>
      <c r="FSC42" s="1167"/>
      <c r="FSD42" s="1142"/>
      <c r="FSE42" s="1142"/>
      <c r="FSF42" s="1142"/>
      <c r="FSG42" s="1142"/>
      <c r="FSH42" s="1142"/>
      <c r="FSI42" s="1142"/>
      <c r="FSJ42" s="1142"/>
      <c r="FSK42" s="1142"/>
      <c r="FSL42" s="1142"/>
      <c r="FSM42" s="1142"/>
      <c r="FSN42" s="1142"/>
      <c r="FSO42" s="1142"/>
      <c r="FSP42" s="1142"/>
      <c r="FSQ42" s="1142"/>
      <c r="FSR42" s="1142"/>
      <c r="FSS42" s="1142"/>
      <c r="FST42" s="1142"/>
      <c r="FSU42" s="1142"/>
      <c r="FSV42" s="1142"/>
      <c r="FSW42" s="1142"/>
      <c r="FSX42" s="1142"/>
      <c r="FSY42" s="1142"/>
      <c r="FSZ42" s="1142"/>
      <c r="FTA42" s="1167"/>
      <c r="FTB42" s="1167"/>
      <c r="FTC42" s="1167"/>
      <c r="FTD42" s="1167"/>
      <c r="FTE42" s="1167"/>
      <c r="FTF42" s="1167"/>
      <c r="FTG42" s="1167"/>
      <c r="FTH42" s="1167"/>
      <c r="FTI42" s="1167"/>
      <c r="FTJ42" s="1142"/>
      <c r="FTK42" s="1142"/>
      <c r="FTL42" s="1142"/>
      <c r="FTM42" s="1142"/>
      <c r="FTN42" s="1142"/>
      <c r="FTO42" s="1142"/>
      <c r="FTP42" s="1142"/>
      <c r="FTQ42" s="1142"/>
      <c r="FTR42" s="1142"/>
      <c r="FTS42" s="1142"/>
      <c r="FTT42" s="1142"/>
      <c r="FTU42" s="1142"/>
      <c r="FTV42" s="1142"/>
      <c r="FTW42" s="1142"/>
      <c r="FTX42" s="1142"/>
      <c r="FTY42" s="1142"/>
      <c r="FTZ42" s="1142"/>
      <c r="FUA42" s="1142"/>
      <c r="FUB42" s="1142"/>
      <c r="FUC42" s="1142"/>
      <c r="FUD42" s="1142"/>
      <c r="FUE42" s="1142"/>
      <c r="FUF42" s="1142"/>
      <c r="FUG42" s="1167"/>
      <c r="FUH42" s="1167"/>
      <c r="FUI42" s="1167"/>
      <c r="FUJ42" s="1167"/>
      <c r="FUK42" s="1167"/>
      <c r="FUL42" s="1167"/>
      <c r="FUM42" s="1167"/>
      <c r="FUN42" s="1167"/>
      <c r="FUO42" s="1167"/>
      <c r="FUP42" s="1142"/>
      <c r="FUQ42" s="1142"/>
      <c r="FUR42" s="1142"/>
      <c r="FUS42" s="1142"/>
      <c r="FUT42" s="1142"/>
      <c r="FUU42" s="1142"/>
      <c r="FUV42" s="1142"/>
      <c r="FUW42" s="1142"/>
      <c r="FUX42" s="1142"/>
      <c r="FUY42" s="1142"/>
      <c r="FUZ42" s="1142"/>
      <c r="FVA42" s="1142"/>
      <c r="FVB42" s="1142"/>
      <c r="FVC42" s="1142"/>
      <c r="FVD42" s="1142"/>
      <c r="FVE42" s="1142"/>
      <c r="FVF42" s="1142"/>
      <c r="FVG42" s="1142"/>
      <c r="FVH42" s="1142"/>
      <c r="FVI42" s="1142"/>
      <c r="FVJ42" s="1142"/>
      <c r="FVK42" s="1142"/>
      <c r="FVL42" s="1142"/>
      <c r="FVM42" s="1167"/>
      <c r="FVN42" s="1167"/>
      <c r="FVO42" s="1167"/>
      <c r="FVP42" s="1167"/>
      <c r="FVQ42" s="1167"/>
      <c r="FVR42" s="1167"/>
      <c r="FVS42" s="1167"/>
      <c r="FVT42" s="1167"/>
      <c r="FVU42" s="1167"/>
      <c r="FVV42" s="1142"/>
      <c r="FVW42" s="1142"/>
      <c r="FVX42" s="1142"/>
      <c r="FVY42" s="1142"/>
      <c r="FVZ42" s="1142"/>
      <c r="FWA42" s="1142"/>
      <c r="FWB42" s="1142"/>
      <c r="FWC42" s="1142"/>
      <c r="FWD42" s="1142"/>
      <c r="FWE42" s="1142"/>
      <c r="FWF42" s="1142"/>
      <c r="FWG42" s="1142"/>
      <c r="FWH42" s="1142"/>
      <c r="FWI42" s="1142"/>
      <c r="FWJ42" s="1142"/>
      <c r="FWK42" s="1142"/>
      <c r="FWL42" s="1142"/>
      <c r="FWM42" s="1142"/>
      <c r="FWN42" s="1142"/>
      <c r="FWO42" s="1142"/>
      <c r="FWP42" s="1142"/>
      <c r="FWQ42" s="1142"/>
      <c r="FWR42" s="1142"/>
      <c r="FWS42" s="1167"/>
      <c r="FWT42" s="1167"/>
      <c r="FWU42" s="1167"/>
      <c r="FWV42" s="1167"/>
      <c r="FWW42" s="1167"/>
      <c r="FWX42" s="1167"/>
      <c r="FWY42" s="1167"/>
      <c r="FWZ42" s="1167"/>
      <c r="FXA42" s="1167"/>
      <c r="FXB42" s="1142"/>
      <c r="FXC42" s="1142"/>
      <c r="FXD42" s="1142"/>
      <c r="FXE42" s="1142"/>
      <c r="FXF42" s="1142"/>
      <c r="FXG42" s="1142"/>
      <c r="FXH42" s="1142"/>
      <c r="FXI42" s="1142"/>
      <c r="FXJ42" s="1142"/>
      <c r="FXK42" s="1142"/>
      <c r="FXL42" s="1142"/>
      <c r="FXM42" s="1142"/>
      <c r="FXN42" s="1142"/>
      <c r="FXO42" s="1142"/>
      <c r="FXP42" s="1142"/>
      <c r="FXQ42" s="1142"/>
      <c r="FXR42" s="1142"/>
      <c r="FXS42" s="1142"/>
      <c r="FXT42" s="1142"/>
      <c r="FXU42" s="1142"/>
      <c r="FXV42" s="1142"/>
      <c r="FXW42" s="1142"/>
      <c r="FXX42" s="1142"/>
      <c r="FXY42" s="1167"/>
      <c r="FXZ42" s="1167"/>
      <c r="FYA42" s="1167"/>
      <c r="FYB42" s="1167"/>
      <c r="FYC42" s="1167"/>
      <c r="FYD42" s="1167"/>
      <c r="FYE42" s="1167"/>
      <c r="FYF42" s="1167"/>
      <c r="FYG42" s="1167"/>
      <c r="FYH42" s="1142"/>
      <c r="FYI42" s="1142"/>
      <c r="FYJ42" s="1142"/>
      <c r="FYK42" s="1142"/>
      <c r="FYL42" s="1142"/>
      <c r="FYM42" s="1142"/>
      <c r="FYN42" s="1142"/>
      <c r="FYO42" s="1142"/>
      <c r="FYP42" s="1142"/>
      <c r="FYQ42" s="1142"/>
      <c r="FYR42" s="1142"/>
      <c r="FYS42" s="1142"/>
      <c r="FYT42" s="1142"/>
      <c r="FYU42" s="1142"/>
      <c r="FYV42" s="1142"/>
      <c r="FYW42" s="1142"/>
      <c r="FYX42" s="1142"/>
      <c r="FYY42" s="1142"/>
      <c r="FYZ42" s="1142"/>
      <c r="FZA42" s="1142"/>
      <c r="FZB42" s="1142"/>
      <c r="FZC42" s="1142"/>
      <c r="FZD42" s="1142"/>
      <c r="FZE42" s="1167"/>
      <c r="FZF42" s="1167"/>
      <c r="FZG42" s="1167"/>
      <c r="FZH42" s="1167"/>
      <c r="FZI42" s="1167"/>
      <c r="FZJ42" s="1167"/>
      <c r="FZK42" s="1167"/>
      <c r="FZL42" s="1167"/>
      <c r="FZM42" s="1167"/>
      <c r="FZN42" s="1142"/>
      <c r="FZO42" s="1142"/>
      <c r="FZP42" s="1142"/>
      <c r="FZQ42" s="1142"/>
      <c r="FZR42" s="1142"/>
      <c r="FZS42" s="1142"/>
      <c r="FZT42" s="1142"/>
      <c r="FZU42" s="1142"/>
      <c r="FZV42" s="1142"/>
      <c r="FZW42" s="1142"/>
      <c r="FZX42" s="1142"/>
      <c r="FZY42" s="1142"/>
      <c r="FZZ42" s="1142"/>
      <c r="GAA42" s="1142"/>
      <c r="GAB42" s="1142"/>
      <c r="GAC42" s="1142"/>
      <c r="GAD42" s="1142"/>
      <c r="GAE42" s="1142"/>
      <c r="GAF42" s="1142"/>
      <c r="GAG42" s="1142"/>
      <c r="GAH42" s="1142"/>
      <c r="GAI42" s="1142"/>
      <c r="GAJ42" s="1142"/>
      <c r="GAK42" s="1167"/>
      <c r="GAL42" s="1167"/>
      <c r="GAM42" s="1167"/>
      <c r="GAN42" s="1167"/>
      <c r="GAO42" s="1167"/>
      <c r="GAP42" s="1167"/>
      <c r="GAQ42" s="1167"/>
      <c r="GAR42" s="1167"/>
      <c r="GAS42" s="1167"/>
      <c r="GAT42" s="1142"/>
      <c r="GAU42" s="1142"/>
      <c r="GAV42" s="1142"/>
      <c r="GAW42" s="1142"/>
      <c r="GAX42" s="1142"/>
      <c r="GAY42" s="1142"/>
      <c r="GAZ42" s="1142"/>
      <c r="GBA42" s="1142"/>
      <c r="GBB42" s="1142"/>
      <c r="GBC42" s="1142"/>
      <c r="GBD42" s="1142"/>
      <c r="GBE42" s="1142"/>
      <c r="GBF42" s="1142"/>
      <c r="GBG42" s="1142"/>
      <c r="GBH42" s="1142"/>
      <c r="GBI42" s="1142"/>
      <c r="GBJ42" s="1142"/>
      <c r="GBK42" s="1142"/>
      <c r="GBL42" s="1142"/>
      <c r="GBM42" s="1142"/>
      <c r="GBN42" s="1142"/>
      <c r="GBO42" s="1142"/>
      <c r="GBP42" s="1142"/>
      <c r="GBQ42" s="1167"/>
      <c r="GBR42" s="1167"/>
      <c r="GBS42" s="1167"/>
      <c r="GBT42" s="1167"/>
      <c r="GBU42" s="1167"/>
      <c r="GBV42" s="1167"/>
      <c r="GBW42" s="1167"/>
      <c r="GBX42" s="1167"/>
      <c r="GBY42" s="1167"/>
      <c r="GBZ42" s="1142"/>
      <c r="GCA42" s="1142"/>
      <c r="GCB42" s="1142"/>
      <c r="GCC42" s="1142"/>
      <c r="GCD42" s="1142"/>
      <c r="GCE42" s="1142"/>
      <c r="GCF42" s="1142"/>
      <c r="GCG42" s="1142"/>
      <c r="GCH42" s="1142"/>
      <c r="GCI42" s="1142"/>
      <c r="GCJ42" s="1142"/>
      <c r="GCK42" s="1142"/>
      <c r="GCL42" s="1142"/>
      <c r="GCM42" s="1142"/>
      <c r="GCN42" s="1142"/>
      <c r="GCO42" s="1142"/>
      <c r="GCP42" s="1142"/>
      <c r="GCQ42" s="1142"/>
      <c r="GCR42" s="1142"/>
      <c r="GCS42" s="1142"/>
      <c r="GCT42" s="1142"/>
      <c r="GCU42" s="1142"/>
      <c r="GCV42" s="1142"/>
      <c r="GCW42" s="1167"/>
      <c r="GCX42" s="1167"/>
      <c r="GCY42" s="1167"/>
      <c r="GCZ42" s="1167"/>
      <c r="GDA42" s="1167"/>
      <c r="GDB42" s="1167"/>
      <c r="GDC42" s="1167"/>
      <c r="GDD42" s="1167"/>
      <c r="GDE42" s="1167"/>
      <c r="GDF42" s="1142"/>
      <c r="GDG42" s="1142"/>
      <c r="GDH42" s="1142"/>
      <c r="GDI42" s="1142"/>
      <c r="GDJ42" s="1142"/>
      <c r="GDK42" s="1142"/>
      <c r="GDL42" s="1142"/>
      <c r="GDM42" s="1142"/>
      <c r="GDN42" s="1142"/>
      <c r="GDO42" s="1142"/>
      <c r="GDP42" s="1142"/>
      <c r="GDQ42" s="1142"/>
      <c r="GDR42" s="1142"/>
      <c r="GDS42" s="1142"/>
      <c r="GDT42" s="1142"/>
      <c r="GDU42" s="1142"/>
      <c r="GDV42" s="1142"/>
      <c r="GDW42" s="1142"/>
      <c r="GDX42" s="1142"/>
      <c r="GDY42" s="1142"/>
      <c r="GDZ42" s="1142"/>
      <c r="GEA42" s="1142"/>
      <c r="GEB42" s="1142"/>
      <c r="GEC42" s="1167"/>
      <c r="GED42" s="1167"/>
      <c r="GEE42" s="1167"/>
      <c r="GEF42" s="1167"/>
      <c r="GEG42" s="1167"/>
      <c r="GEH42" s="1167"/>
      <c r="GEI42" s="1167"/>
      <c r="GEJ42" s="1167"/>
      <c r="GEK42" s="1167"/>
      <c r="GEL42" s="1142"/>
      <c r="GEM42" s="1142"/>
      <c r="GEN42" s="1142"/>
      <c r="GEO42" s="1142"/>
      <c r="GEP42" s="1142"/>
      <c r="GEQ42" s="1142"/>
      <c r="GER42" s="1142"/>
      <c r="GES42" s="1142"/>
      <c r="GET42" s="1142"/>
      <c r="GEU42" s="1142"/>
      <c r="GEV42" s="1142"/>
      <c r="GEW42" s="1142"/>
      <c r="GEX42" s="1142"/>
      <c r="GEY42" s="1142"/>
      <c r="GEZ42" s="1142"/>
      <c r="GFA42" s="1142"/>
      <c r="GFB42" s="1142"/>
      <c r="GFC42" s="1142"/>
      <c r="GFD42" s="1142"/>
      <c r="GFE42" s="1142"/>
      <c r="GFF42" s="1142"/>
      <c r="GFG42" s="1142"/>
      <c r="GFH42" s="1142"/>
      <c r="GFI42" s="1167"/>
      <c r="GFJ42" s="1167"/>
      <c r="GFK42" s="1167"/>
      <c r="GFL42" s="1167"/>
      <c r="GFM42" s="1167"/>
      <c r="GFN42" s="1167"/>
      <c r="GFO42" s="1167"/>
      <c r="GFP42" s="1167"/>
      <c r="GFQ42" s="1167"/>
      <c r="GFR42" s="1142"/>
      <c r="GFS42" s="1142"/>
      <c r="GFT42" s="1142"/>
      <c r="GFU42" s="1142"/>
      <c r="GFV42" s="1142"/>
      <c r="GFW42" s="1142"/>
      <c r="GFX42" s="1142"/>
      <c r="GFY42" s="1142"/>
      <c r="GFZ42" s="1142"/>
      <c r="GGA42" s="1142"/>
      <c r="GGB42" s="1142"/>
      <c r="GGC42" s="1142"/>
      <c r="GGD42" s="1142"/>
      <c r="GGE42" s="1142"/>
      <c r="GGF42" s="1142"/>
      <c r="GGG42" s="1142"/>
      <c r="GGH42" s="1142"/>
      <c r="GGI42" s="1142"/>
      <c r="GGJ42" s="1142"/>
      <c r="GGK42" s="1142"/>
      <c r="GGL42" s="1142"/>
      <c r="GGM42" s="1142"/>
      <c r="GGN42" s="1142"/>
      <c r="GGO42" s="1167"/>
      <c r="GGP42" s="1167"/>
      <c r="GGQ42" s="1167"/>
      <c r="GGR42" s="1167"/>
      <c r="GGS42" s="1167"/>
      <c r="GGT42" s="1167"/>
      <c r="GGU42" s="1167"/>
      <c r="GGV42" s="1167"/>
      <c r="GGW42" s="1167"/>
      <c r="GGX42" s="1142"/>
      <c r="GGY42" s="1142"/>
      <c r="GGZ42" s="1142"/>
      <c r="GHA42" s="1142"/>
      <c r="GHB42" s="1142"/>
      <c r="GHC42" s="1142"/>
      <c r="GHD42" s="1142"/>
      <c r="GHE42" s="1142"/>
      <c r="GHF42" s="1142"/>
      <c r="GHG42" s="1142"/>
      <c r="GHH42" s="1142"/>
      <c r="GHI42" s="1142"/>
      <c r="GHJ42" s="1142"/>
      <c r="GHK42" s="1142"/>
      <c r="GHL42" s="1142"/>
      <c r="GHM42" s="1142"/>
      <c r="GHN42" s="1142"/>
      <c r="GHO42" s="1142"/>
      <c r="GHP42" s="1142"/>
      <c r="GHQ42" s="1142"/>
      <c r="GHR42" s="1142"/>
      <c r="GHS42" s="1142"/>
      <c r="GHT42" s="1142"/>
      <c r="GHU42" s="1167"/>
      <c r="GHV42" s="1167"/>
      <c r="GHW42" s="1167"/>
      <c r="GHX42" s="1167"/>
      <c r="GHY42" s="1167"/>
      <c r="GHZ42" s="1167"/>
      <c r="GIA42" s="1167"/>
      <c r="GIB42" s="1167"/>
      <c r="GIC42" s="1167"/>
      <c r="GID42" s="1142"/>
      <c r="GIE42" s="1142"/>
      <c r="GIF42" s="1142"/>
      <c r="GIG42" s="1142"/>
      <c r="GIH42" s="1142"/>
      <c r="GII42" s="1142"/>
      <c r="GIJ42" s="1142"/>
      <c r="GIK42" s="1142"/>
      <c r="GIL42" s="1142"/>
      <c r="GIM42" s="1142"/>
      <c r="GIN42" s="1142"/>
      <c r="GIO42" s="1142"/>
      <c r="GIP42" s="1142"/>
      <c r="GIQ42" s="1142"/>
      <c r="GIR42" s="1142"/>
      <c r="GIS42" s="1142"/>
      <c r="GIT42" s="1142"/>
      <c r="GIU42" s="1142"/>
      <c r="GIV42" s="1142"/>
      <c r="GIW42" s="1142"/>
      <c r="GIX42" s="1142"/>
      <c r="GIY42" s="1142"/>
      <c r="GIZ42" s="1142"/>
      <c r="GJA42" s="1167"/>
      <c r="GJB42" s="1167"/>
      <c r="GJC42" s="1167"/>
      <c r="GJD42" s="1167"/>
      <c r="GJE42" s="1167"/>
      <c r="GJF42" s="1167"/>
      <c r="GJG42" s="1167"/>
      <c r="GJH42" s="1167"/>
      <c r="GJI42" s="1167"/>
      <c r="GJJ42" s="1142"/>
      <c r="GJK42" s="1142"/>
      <c r="GJL42" s="1142"/>
      <c r="GJM42" s="1142"/>
      <c r="GJN42" s="1142"/>
      <c r="GJO42" s="1142"/>
      <c r="GJP42" s="1142"/>
      <c r="GJQ42" s="1142"/>
      <c r="GJR42" s="1142"/>
      <c r="GJS42" s="1142"/>
      <c r="GJT42" s="1142"/>
      <c r="GJU42" s="1142"/>
      <c r="GJV42" s="1142"/>
      <c r="GJW42" s="1142"/>
      <c r="GJX42" s="1142"/>
      <c r="GJY42" s="1142"/>
      <c r="GJZ42" s="1142"/>
      <c r="GKA42" s="1142"/>
      <c r="GKB42" s="1142"/>
      <c r="GKC42" s="1142"/>
      <c r="GKD42" s="1142"/>
      <c r="GKE42" s="1142"/>
      <c r="GKF42" s="1142"/>
      <c r="GKG42" s="1167"/>
      <c r="GKH42" s="1167"/>
      <c r="GKI42" s="1167"/>
      <c r="GKJ42" s="1167"/>
      <c r="GKK42" s="1167"/>
      <c r="GKL42" s="1167"/>
      <c r="GKM42" s="1167"/>
      <c r="GKN42" s="1167"/>
      <c r="GKO42" s="1167"/>
      <c r="GKP42" s="1142"/>
      <c r="GKQ42" s="1142"/>
      <c r="GKR42" s="1142"/>
      <c r="GKS42" s="1142"/>
      <c r="GKT42" s="1142"/>
      <c r="GKU42" s="1142"/>
      <c r="GKV42" s="1142"/>
      <c r="GKW42" s="1142"/>
      <c r="GKX42" s="1142"/>
      <c r="GKY42" s="1142"/>
      <c r="GKZ42" s="1142"/>
      <c r="GLA42" s="1142"/>
      <c r="GLB42" s="1142"/>
      <c r="GLC42" s="1142"/>
      <c r="GLD42" s="1142"/>
      <c r="GLE42" s="1142"/>
      <c r="GLF42" s="1142"/>
      <c r="GLG42" s="1142"/>
      <c r="GLH42" s="1142"/>
      <c r="GLI42" s="1142"/>
      <c r="GLJ42" s="1142"/>
      <c r="GLK42" s="1142"/>
      <c r="GLL42" s="1142"/>
      <c r="GLM42" s="1167"/>
      <c r="GLN42" s="1167"/>
      <c r="GLO42" s="1167"/>
      <c r="GLP42" s="1167"/>
      <c r="GLQ42" s="1167"/>
      <c r="GLR42" s="1167"/>
      <c r="GLS42" s="1167"/>
      <c r="GLT42" s="1167"/>
      <c r="GLU42" s="1167"/>
      <c r="GLV42" s="1142"/>
      <c r="GLW42" s="1142"/>
      <c r="GLX42" s="1142"/>
      <c r="GLY42" s="1142"/>
      <c r="GLZ42" s="1142"/>
      <c r="GMA42" s="1142"/>
      <c r="GMB42" s="1142"/>
      <c r="GMC42" s="1142"/>
      <c r="GMD42" s="1142"/>
      <c r="GME42" s="1142"/>
      <c r="GMF42" s="1142"/>
      <c r="GMG42" s="1142"/>
      <c r="GMH42" s="1142"/>
      <c r="GMI42" s="1142"/>
      <c r="GMJ42" s="1142"/>
      <c r="GMK42" s="1142"/>
      <c r="GML42" s="1142"/>
      <c r="GMM42" s="1142"/>
      <c r="GMN42" s="1142"/>
      <c r="GMO42" s="1142"/>
      <c r="GMP42" s="1142"/>
      <c r="GMQ42" s="1142"/>
      <c r="GMR42" s="1142"/>
      <c r="GMS42" s="1167"/>
      <c r="GMT42" s="1167"/>
      <c r="GMU42" s="1167"/>
      <c r="GMV42" s="1167"/>
      <c r="GMW42" s="1167"/>
      <c r="GMX42" s="1167"/>
      <c r="GMY42" s="1167"/>
      <c r="GMZ42" s="1167"/>
      <c r="GNA42" s="1167"/>
      <c r="GNB42" s="1142"/>
      <c r="GNC42" s="1142"/>
      <c r="GND42" s="1142"/>
      <c r="GNE42" s="1142"/>
      <c r="GNF42" s="1142"/>
      <c r="GNG42" s="1142"/>
      <c r="GNH42" s="1142"/>
      <c r="GNI42" s="1142"/>
      <c r="GNJ42" s="1142"/>
      <c r="GNK42" s="1142"/>
      <c r="GNL42" s="1142"/>
      <c r="GNM42" s="1142"/>
      <c r="GNN42" s="1142"/>
      <c r="GNO42" s="1142"/>
      <c r="GNP42" s="1142"/>
      <c r="GNQ42" s="1142"/>
      <c r="GNR42" s="1142"/>
      <c r="GNS42" s="1142"/>
      <c r="GNT42" s="1142"/>
      <c r="GNU42" s="1142"/>
      <c r="GNV42" s="1142"/>
      <c r="GNW42" s="1142"/>
      <c r="GNX42" s="1142"/>
      <c r="GNY42" s="1167"/>
      <c r="GNZ42" s="1167"/>
      <c r="GOA42" s="1167"/>
      <c r="GOB42" s="1167"/>
      <c r="GOC42" s="1167"/>
      <c r="GOD42" s="1167"/>
      <c r="GOE42" s="1167"/>
      <c r="GOF42" s="1167"/>
      <c r="GOG42" s="1167"/>
      <c r="GOH42" s="1142"/>
      <c r="GOI42" s="1142"/>
      <c r="GOJ42" s="1142"/>
      <c r="GOK42" s="1142"/>
      <c r="GOL42" s="1142"/>
      <c r="GOM42" s="1142"/>
      <c r="GON42" s="1142"/>
      <c r="GOO42" s="1142"/>
      <c r="GOP42" s="1142"/>
      <c r="GOQ42" s="1142"/>
      <c r="GOR42" s="1142"/>
      <c r="GOS42" s="1142"/>
      <c r="GOT42" s="1142"/>
      <c r="GOU42" s="1142"/>
      <c r="GOV42" s="1142"/>
      <c r="GOW42" s="1142"/>
      <c r="GOX42" s="1142"/>
      <c r="GOY42" s="1142"/>
      <c r="GOZ42" s="1142"/>
      <c r="GPA42" s="1142"/>
      <c r="GPB42" s="1142"/>
      <c r="GPC42" s="1142"/>
      <c r="GPD42" s="1142"/>
      <c r="GPE42" s="1167"/>
      <c r="GPF42" s="1167"/>
      <c r="GPG42" s="1167"/>
      <c r="GPH42" s="1167"/>
      <c r="GPI42" s="1167"/>
      <c r="GPJ42" s="1167"/>
      <c r="GPK42" s="1167"/>
      <c r="GPL42" s="1167"/>
      <c r="GPM42" s="1167"/>
      <c r="GPN42" s="1142"/>
      <c r="GPO42" s="1142"/>
      <c r="GPP42" s="1142"/>
      <c r="GPQ42" s="1142"/>
      <c r="GPR42" s="1142"/>
      <c r="GPS42" s="1142"/>
      <c r="GPT42" s="1142"/>
      <c r="GPU42" s="1142"/>
      <c r="GPV42" s="1142"/>
      <c r="GPW42" s="1142"/>
      <c r="GPX42" s="1142"/>
      <c r="GPY42" s="1142"/>
      <c r="GPZ42" s="1142"/>
      <c r="GQA42" s="1142"/>
      <c r="GQB42" s="1142"/>
      <c r="GQC42" s="1142"/>
      <c r="GQD42" s="1142"/>
      <c r="GQE42" s="1142"/>
      <c r="GQF42" s="1142"/>
      <c r="GQG42" s="1142"/>
      <c r="GQH42" s="1142"/>
      <c r="GQI42" s="1142"/>
      <c r="GQJ42" s="1142"/>
      <c r="GQK42" s="1167"/>
      <c r="GQL42" s="1167"/>
      <c r="GQM42" s="1167"/>
      <c r="GQN42" s="1167"/>
      <c r="GQO42" s="1167"/>
      <c r="GQP42" s="1167"/>
      <c r="GQQ42" s="1167"/>
      <c r="GQR42" s="1167"/>
      <c r="GQS42" s="1167"/>
      <c r="GQT42" s="1142"/>
      <c r="GQU42" s="1142"/>
      <c r="GQV42" s="1142"/>
      <c r="GQW42" s="1142"/>
      <c r="GQX42" s="1142"/>
      <c r="GQY42" s="1142"/>
      <c r="GQZ42" s="1142"/>
      <c r="GRA42" s="1142"/>
      <c r="GRB42" s="1142"/>
      <c r="GRC42" s="1142"/>
      <c r="GRD42" s="1142"/>
      <c r="GRE42" s="1142"/>
      <c r="GRF42" s="1142"/>
      <c r="GRG42" s="1142"/>
      <c r="GRH42" s="1142"/>
      <c r="GRI42" s="1142"/>
      <c r="GRJ42" s="1142"/>
      <c r="GRK42" s="1142"/>
      <c r="GRL42" s="1142"/>
      <c r="GRM42" s="1142"/>
      <c r="GRN42" s="1142"/>
      <c r="GRO42" s="1142"/>
      <c r="GRP42" s="1142"/>
      <c r="GRQ42" s="1167"/>
      <c r="GRR42" s="1167"/>
      <c r="GRS42" s="1167"/>
      <c r="GRT42" s="1167"/>
      <c r="GRU42" s="1167"/>
      <c r="GRV42" s="1167"/>
      <c r="GRW42" s="1167"/>
      <c r="GRX42" s="1167"/>
      <c r="GRY42" s="1167"/>
      <c r="GRZ42" s="1142"/>
      <c r="GSA42" s="1142"/>
      <c r="GSB42" s="1142"/>
      <c r="GSC42" s="1142"/>
      <c r="GSD42" s="1142"/>
      <c r="GSE42" s="1142"/>
      <c r="GSF42" s="1142"/>
      <c r="GSG42" s="1142"/>
      <c r="GSH42" s="1142"/>
      <c r="GSI42" s="1142"/>
      <c r="GSJ42" s="1142"/>
      <c r="GSK42" s="1142"/>
      <c r="GSL42" s="1142"/>
      <c r="GSM42" s="1142"/>
      <c r="GSN42" s="1142"/>
      <c r="GSO42" s="1142"/>
      <c r="GSP42" s="1142"/>
      <c r="GSQ42" s="1142"/>
      <c r="GSR42" s="1142"/>
      <c r="GSS42" s="1142"/>
      <c r="GST42" s="1142"/>
      <c r="GSU42" s="1142"/>
      <c r="GSV42" s="1142"/>
      <c r="GSW42" s="1167"/>
      <c r="GSX42" s="1167"/>
      <c r="GSY42" s="1167"/>
      <c r="GSZ42" s="1167"/>
      <c r="GTA42" s="1167"/>
      <c r="GTB42" s="1167"/>
      <c r="GTC42" s="1167"/>
      <c r="GTD42" s="1167"/>
      <c r="GTE42" s="1167"/>
      <c r="GTF42" s="1142"/>
      <c r="GTG42" s="1142"/>
      <c r="GTH42" s="1142"/>
      <c r="GTI42" s="1142"/>
      <c r="GTJ42" s="1142"/>
      <c r="GTK42" s="1142"/>
      <c r="GTL42" s="1142"/>
      <c r="GTM42" s="1142"/>
      <c r="GTN42" s="1142"/>
      <c r="GTO42" s="1142"/>
      <c r="GTP42" s="1142"/>
      <c r="GTQ42" s="1142"/>
      <c r="GTR42" s="1142"/>
      <c r="GTS42" s="1142"/>
      <c r="GTT42" s="1142"/>
      <c r="GTU42" s="1142"/>
      <c r="GTV42" s="1142"/>
      <c r="GTW42" s="1142"/>
      <c r="GTX42" s="1142"/>
      <c r="GTY42" s="1142"/>
      <c r="GTZ42" s="1142"/>
      <c r="GUA42" s="1142"/>
      <c r="GUB42" s="1142"/>
      <c r="GUC42" s="1167"/>
      <c r="GUD42" s="1167"/>
      <c r="GUE42" s="1167"/>
      <c r="GUF42" s="1167"/>
      <c r="GUG42" s="1167"/>
      <c r="GUH42" s="1167"/>
      <c r="GUI42" s="1167"/>
      <c r="GUJ42" s="1167"/>
      <c r="GUK42" s="1167"/>
      <c r="GUL42" s="1142"/>
      <c r="GUM42" s="1142"/>
      <c r="GUN42" s="1142"/>
      <c r="GUO42" s="1142"/>
      <c r="GUP42" s="1142"/>
      <c r="GUQ42" s="1142"/>
      <c r="GUR42" s="1142"/>
      <c r="GUS42" s="1142"/>
      <c r="GUT42" s="1142"/>
      <c r="GUU42" s="1142"/>
      <c r="GUV42" s="1142"/>
      <c r="GUW42" s="1142"/>
      <c r="GUX42" s="1142"/>
      <c r="GUY42" s="1142"/>
      <c r="GUZ42" s="1142"/>
      <c r="GVA42" s="1142"/>
      <c r="GVB42" s="1142"/>
      <c r="GVC42" s="1142"/>
      <c r="GVD42" s="1142"/>
      <c r="GVE42" s="1142"/>
      <c r="GVF42" s="1142"/>
      <c r="GVG42" s="1142"/>
      <c r="GVH42" s="1142"/>
      <c r="GVI42" s="1167"/>
      <c r="GVJ42" s="1167"/>
      <c r="GVK42" s="1167"/>
      <c r="GVL42" s="1167"/>
      <c r="GVM42" s="1167"/>
      <c r="GVN42" s="1167"/>
      <c r="GVO42" s="1167"/>
      <c r="GVP42" s="1167"/>
      <c r="GVQ42" s="1167"/>
      <c r="GVR42" s="1142"/>
      <c r="GVS42" s="1142"/>
      <c r="GVT42" s="1142"/>
      <c r="GVU42" s="1142"/>
      <c r="GVV42" s="1142"/>
      <c r="GVW42" s="1142"/>
      <c r="GVX42" s="1142"/>
      <c r="GVY42" s="1142"/>
      <c r="GVZ42" s="1142"/>
      <c r="GWA42" s="1142"/>
      <c r="GWB42" s="1142"/>
      <c r="GWC42" s="1142"/>
      <c r="GWD42" s="1142"/>
      <c r="GWE42" s="1142"/>
      <c r="GWF42" s="1142"/>
      <c r="GWG42" s="1142"/>
      <c r="GWH42" s="1142"/>
      <c r="GWI42" s="1142"/>
      <c r="GWJ42" s="1142"/>
      <c r="GWK42" s="1142"/>
      <c r="GWL42" s="1142"/>
      <c r="GWM42" s="1142"/>
      <c r="GWN42" s="1142"/>
      <c r="GWO42" s="1167"/>
      <c r="GWP42" s="1167"/>
      <c r="GWQ42" s="1167"/>
      <c r="GWR42" s="1167"/>
      <c r="GWS42" s="1167"/>
      <c r="GWT42" s="1167"/>
      <c r="GWU42" s="1167"/>
      <c r="GWV42" s="1167"/>
      <c r="GWW42" s="1167"/>
      <c r="GWX42" s="1142"/>
      <c r="GWY42" s="1142"/>
      <c r="GWZ42" s="1142"/>
      <c r="GXA42" s="1142"/>
      <c r="GXB42" s="1142"/>
      <c r="GXC42" s="1142"/>
      <c r="GXD42" s="1142"/>
      <c r="GXE42" s="1142"/>
      <c r="GXF42" s="1142"/>
      <c r="GXG42" s="1142"/>
      <c r="GXH42" s="1142"/>
      <c r="GXI42" s="1142"/>
      <c r="GXJ42" s="1142"/>
      <c r="GXK42" s="1142"/>
      <c r="GXL42" s="1142"/>
      <c r="GXM42" s="1142"/>
      <c r="GXN42" s="1142"/>
      <c r="GXO42" s="1142"/>
      <c r="GXP42" s="1142"/>
      <c r="GXQ42" s="1142"/>
      <c r="GXR42" s="1142"/>
      <c r="GXS42" s="1142"/>
      <c r="GXT42" s="1142"/>
      <c r="GXU42" s="1167"/>
      <c r="GXV42" s="1167"/>
      <c r="GXW42" s="1167"/>
      <c r="GXX42" s="1167"/>
      <c r="GXY42" s="1167"/>
      <c r="GXZ42" s="1167"/>
      <c r="GYA42" s="1167"/>
      <c r="GYB42" s="1167"/>
      <c r="GYC42" s="1167"/>
      <c r="GYD42" s="1142"/>
      <c r="GYE42" s="1142"/>
      <c r="GYF42" s="1142"/>
      <c r="GYG42" s="1142"/>
      <c r="GYH42" s="1142"/>
      <c r="GYI42" s="1142"/>
      <c r="GYJ42" s="1142"/>
      <c r="GYK42" s="1142"/>
      <c r="GYL42" s="1142"/>
      <c r="GYM42" s="1142"/>
      <c r="GYN42" s="1142"/>
      <c r="GYO42" s="1142"/>
      <c r="GYP42" s="1142"/>
      <c r="GYQ42" s="1142"/>
      <c r="GYR42" s="1142"/>
      <c r="GYS42" s="1142"/>
      <c r="GYT42" s="1142"/>
      <c r="GYU42" s="1142"/>
      <c r="GYV42" s="1142"/>
      <c r="GYW42" s="1142"/>
      <c r="GYX42" s="1142"/>
      <c r="GYY42" s="1142"/>
      <c r="GYZ42" s="1142"/>
      <c r="GZA42" s="1167"/>
      <c r="GZB42" s="1167"/>
      <c r="GZC42" s="1167"/>
      <c r="GZD42" s="1167"/>
      <c r="GZE42" s="1167"/>
      <c r="GZF42" s="1167"/>
      <c r="GZG42" s="1167"/>
      <c r="GZH42" s="1167"/>
      <c r="GZI42" s="1167"/>
      <c r="GZJ42" s="1142"/>
      <c r="GZK42" s="1142"/>
      <c r="GZL42" s="1142"/>
      <c r="GZM42" s="1142"/>
      <c r="GZN42" s="1142"/>
      <c r="GZO42" s="1142"/>
      <c r="GZP42" s="1142"/>
      <c r="GZQ42" s="1142"/>
      <c r="GZR42" s="1142"/>
      <c r="GZS42" s="1142"/>
      <c r="GZT42" s="1142"/>
      <c r="GZU42" s="1142"/>
      <c r="GZV42" s="1142"/>
      <c r="GZW42" s="1142"/>
      <c r="GZX42" s="1142"/>
      <c r="GZY42" s="1142"/>
      <c r="GZZ42" s="1142"/>
      <c r="HAA42" s="1142"/>
      <c r="HAB42" s="1142"/>
      <c r="HAC42" s="1142"/>
      <c r="HAD42" s="1142"/>
      <c r="HAE42" s="1142"/>
      <c r="HAF42" s="1142"/>
      <c r="HAG42" s="1167"/>
      <c r="HAH42" s="1167"/>
      <c r="HAI42" s="1167"/>
      <c r="HAJ42" s="1167"/>
      <c r="HAK42" s="1167"/>
      <c r="HAL42" s="1167"/>
      <c r="HAM42" s="1167"/>
      <c r="HAN42" s="1167"/>
      <c r="HAO42" s="1167"/>
      <c r="HAP42" s="1142"/>
      <c r="HAQ42" s="1142"/>
      <c r="HAR42" s="1142"/>
      <c r="HAS42" s="1142"/>
      <c r="HAT42" s="1142"/>
      <c r="HAU42" s="1142"/>
      <c r="HAV42" s="1142"/>
      <c r="HAW42" s="1142"/>
      <c r="HAX42" s="1142"/>
      <c r="HAY42" s="1142"/>
      <c r="HAZ42" s="1142"/>
      <c r="HBA42" s="1142"/>
      <c r="HBB42" s="1142"/>
      <c r="HBC42" s="1142"/>
      <c r="HBD42" s="1142"/>
      <c r="HBE42" s="1142"/>
      <c r="HBF42" s="1142"/>
      <c r="HBG42" s="1142"/>
      <c r="HBH42" s="1142"/>
      <c r="HBI42" s="1142"/>
      <c r="HBJ42" s="1142"/>
      <c r="HBK42" s="1142"/>
      <c r="HBL42" s="1142"/>
      <c r="HBM42" s="1167"/>
      <c r="HBN42" s="1167"/>
      <c r="HBO42" s="1167"/>
      <c r="HBP42" s="1167"/>
      <c r="HBQ42" s="1167"/>
      <c r="HBR42" s="1167"/>
      <c r="HBS42" s="1167"/>
      <c r="HBT42" s="1167"/>
      <c r="HBU42" s="1167"/>
      <c r="HBV42" s="1142"/>
      <c r="HBW42" s="1142"/>
      <c r="HBX42" s="1142"/>
      <c r="HBY42" s="1142"/>
      <c r="HBZ42" s="1142"/>
      <c r="HCA42" s="1142"/>
      <c r="HCB42" s="1142"/>
      <c r="HCC42" s="1142"/>
      <c r="HCD42" s="1142"/>
      <c r="HCE42" s="1142"/>
      <c r="HCF42" s="1142"/>
      <c r="HCG42" s="1142"/>
      <c r="HCH42" s="1142"/>
      <c r="HCI42" s="1142"/>
      <c r="HCJ42" s="1142"/>
      <c r="HCK42" s="1142"/>
      <c r="HCL42" s="1142"/>
      <c r="HCM42" s="1142"/>
      <c r="HCN42" s="1142"/>
      <c r="HCO42" s="1142"/>
      <c r="HCP42" s="1142"/>
      <c r="HCQ42" s="1142"/>
      <c r="HCR42" s="1142"/>
      <c r="HCS42" s="1167"/>
      <c r="HCT42" s="1167"/>
      <c r="HCU42" s="1167"/>
      <c r="HCV42" s="1167"/>
      <c r="HCW42" s="1167"/>
      <c r="HCX42" s="1167"/>
      <c r="HCY42" s="1167"/>
      <c r="HCZ42" s="1167"/>
      <c r="HDA42" s="1167"/>
      <c r="HDB42" s="1142"/>
      <c r="HDC42" s="1142"/>
      <c r="HDD42" s="1142"/>
      <c r="HDE42" s="1142"/>
      <c r="HDF42" s="1142"/>
      <c r="HDG42" s="1142"/>
      <c r="HDH42" s="1142"/>
      <c r="HDI42" s="1142"/>
      <c r="HDJ42" s="1142"/>
      <c r="HDK42" s="1142"/>
      <c r="HDL42" s="1142"/>
      <c r="HDM42" s="1142"/>
      <c r="HDN42" s="1142"/>
      <c r="HDO42" s="1142"/>
      <c r="HDP42" s="1142"/>
      <c r="HDQ42" s="1142"/>
      <c r="HDR42" s="1142"/>
      <c r="HDS42" s="1142"/>
      <c r="HDT42" s="1142"/>
      <c r="HDU42" s="1142"/>
      <c r="HDV42" s="1142"/>
      <c r="HDW42" s="1142"/>
      <c r="HDX42" s="1142"/>
      <c r="HDY42" s="1167"/>
      <c r="HDZ42" s="1167"/>
      <c r="HEA42" s="1167"/>
      <c r="HEB42" s="1167"/>
      <c r="HEC42" s="1167"/>
      <c r="HED42" s="1167"/>
      <c r="HEE42" s="1167"/>
      <c r="HEF42" s="1167"/>
      <c r="HEG42" s="1167"/>
      <c r="HEH42" s="1142"/>
      <c r="HEI42" s="1142"/>
      <c r="HEJ42" s="1142"/>
      <c r="HEK42" s="1142"/>
      <c r="HEL42" s="1142"/>
      <c r="HEM42" s="1142"/>
      <c r="HEN42" s="1142"/>
      <c r="HEO42" s="1142"/>
      <c r="HEP42" s="1142"/>
      <c r="HEQ42" s="1142"/>
      <c r="HER42" s="1142"/>
      <c r="HES42" s="1142"/>
      <c r="HET42" s="1142"/>
      <c r="HEU42" s="1142"/>
      <c r="HEV42" s="1142"/>
      <c r="HEW42" s="1142"/>
      <c r="HEX42" s="1142"/>
      <c r="HEY42" s="1142"/>
      <c r="HEZ42" s="1142"/>
      <c r="HFA42" s="1142"/>
      <c r="HFB42" s="1142"/>
      <c r="HFC42" s="1142"/>
      <c r="HFD42" s="1142"/>
      <c r="HFE42" s="1167"/>
      <c r="HFF42" s="1167"/>
      <c r="HFG42" s="1167"/>
      <c r="HFH42" s="1167"/>
      <c r="HFI42" s="1167"/>
      <c r="HFJ42" s="1167"/>
      <c r="HFK42" s="1167"/>
      <c r="HFL42" s="1167"/>
      <c r="HFM42" s="1167"/>
      <c r="HFN42" s="1142"/>
      <c r="HFO42" s="1142"/>
      <c r="HFP42" s="1142"/>
      <c r="HFQ42" s="1142"/>
      <c r="HFR42" s="1142"/>
      <c r="HFS42" s="1142"/>
      <c r="HFT42" s="1142"/>
      <c r="HFU42" s="1142"/>
      <c r="HFV42" s="1142"/>
      <c r="HFW42" s="1142"/>
      <c r="HFX42" s="1142"/>
      <c r="HFY42" s="1142"/>
      <c r="HFZ42" s="1142"/>
      <c r="HGA42" s="1142"/>
      <c r="HGB42" s="1142"/>
      <c r="HGC42" s="1142"/>
      <c r="HGD42" s="1142"/>
      <c r="HGE42" s="1142"/>
      <c r="HGF42" s="1142"/>
      <c r="HGG42" s="1142"/>
      <c r="HGH42" s="1142"/>
      <c r="HGI42" s="1142"/>
      <c r="HGJ42" s="1142"/>
      <c r="HGK42" s="1167"/>
      <c r="HGL42" s="1167"/>
      <c r="HGM42" s="1167"/>
      <c r="HGN42" s="1167"/>
      <c r="HGO42" s="1167"/>
      <c r="HGP42" s="1167"/>
      <c r="HGQ42" s="1167"/>
      <c r="HGR42" s="1167"/>
      <c r="HGS42" s="1167"/>
      <c r="HGT42" s="1142"/>
      <c r="HGU42" s="1142"/>
      <c r="HGV42" s="1142"/>
      <c r="HGW42" s="1142"/>
      <c r="HGX42" s="1142"/>
      <c r="HGY42" s="1142"/>
      <c r="HGZ42" s="1142"/>
      <c r="HHA42" s="1142"/>
      <c r="HHB42" s="1142"/>
      <c r="HHC42" s="1142"/>
      <c r="HHD42" s="1142"/>
      <c r="HHE42" s="1142"/>
      <c r="HHF42" s="1142"/>
      <c r="HHG42" s="1142"/>
      <c r="HHH42" s="1142"/>
      <c r="HHI42" s="1142"/>
      <c r="HHJ42" s="1142"/>
      <c r="HHK42" s="1142"/>
      <c r="HHL42" s="1142"/>
      <c r="HHM42" s="1142"/>
      <c r="HHN42" s="1142"/>
      <c r="HHO42" s="1142"/>
      <c r="HHP42" s="1142"/>
      <c r="HHQ42" s="1167"/>
      <c r="HHR42" s="1167"/>
      <c r="HHS42" s="1167"/>
      <c r="HHT42" s="1167"/>
      <c r="HHU42" s="1167"/>
      <c r="HHV42" s="1167"/>
      <c r="HHW42" s="1167"/>
      <c r="HHX42" s="1167"/>
      <c r="HHY42" s="1167"/>
      <c r="HHZ42" s="1142"/>
      <c r="HIA42" s="1142"/>
      <c r="HIB42" s="1142"/>
      <c r="HIC42" s="1142"/>
      <c r="HID42" s="1142"/>
      <c r="HIE42" s="1142"/>
      <c r="HIF42" s="1142"/>
      <c r="HIG42" s="1142"/>
      <c r="HIH42" s="1142"/>
      <c r="HII42" s="1142"/>
      <c r="HIJ42" s="1142"/>
      <c r="HIK42" s="1142"/>
      <c r="HIL42" s="1142"/>
      <c r="HIM42" s="1142"/>
      <c r="HIN42" s="1142"/>
      <c r="HIO42" s="1142"/>
      <c r="HIP42" s="1142"/>
      <c r="HIQ42" s="1142"/>
      <c r="HIR42" s="1142"/>
      <c r="HIS42" s="1142"/>
      <c r="HIT42" s="1142"/>
      <c r="HIU42" s="1142"/>
      <c r="HIV42" s="1142"/>
      <c r="HIW42" s="1167"/>
      <c r="HIX42" s="1167"/>
      <c r="HIY42" s="1167"/>
      <c r="HIZ42" s="1167"/>
      <c r="HJA42" s="1167"/>
      <c r="HJB42" s="1167"/>
      <c r="HJC42" s="1167"/>
      <c r="HJD42" s="1167"/>
      <c r="HJE42" s="1167"/>
      <c r="HJF42" s="1142"/>
      <c r="HJG42" s="1142"/>
      <c r="HJH42" s="1142"/>
      <c r="HJI42" s="1142"/>
      <c r="HJJ42" s="1142"/>
      <c r="HJK42" s="1142"/>
      <c r="HJL42" s="1142"/>
      <c r="HJM42" s="1142"/>
      <c r="HJN42" s="1142"/>
      <c r="HJO42" s="1142"/>
      <c r="HJP42" s="1142"/>
      <c r="HJQ42" s="1142"/>
      <c r="HJR42" s="1142"/>
      <c r="HJS42" s="1142"/>
      <c r="HJT42" s="1142"/>
      <c r="HJU42" s="1142"/>
      <c r="HJV42" s="1142"/>
      <c r="HJW42" s="1142"/>
      <c r="HJX42" s="1142"/>
      <c r="HJY42" s="1142"/>
      <c r="HJZ42" s="1142"/>
      <c r="HKA42" s="1142"/>
      <c r="HKB42" s="1142"/>
      <c r="HKC42" s="1167"/>
      <c r="HKD42" s="1167"/>
      <c r="HKE42" s="1167"/>
      <c r="HKF42" s="1167"/>
      <c r="HKG42" s="1167"/>
      <c r="HKH42" s="1167"/>
      <c r="HKI42" s="1167"/>
      <c r="HKJ42" s="1167"/>
      <c r="HKK42" s="1167"/>
      <c r="HKL42" s="1142"/>
      <c r="HKM42" s="1142"/>
      <c r="HKN42" s="1142"/>
      <c r="HKO42" s="1142"/>
      <c r="HKP42" s="1142"/>
      <c r="HKQ42" s="1142"/>
      <c r="HKR42" s="1142"/>
      <c r="HKS42" s="1142"/>
      <c r="HKT42" s="1142"/>
      <c r="HKU42" s="1142"/>
      <c r="HKV42" s="1142"/>
      <c r="HKW42" s="1142"/>
      <c r="HKX42" s="1142"/>
      <c r="HKY42" s="1142"/>
      <c r="HKZ42" s="1142"/>
      <c r="HLA42" s="1142"/>
      <c r="HLB42" s="1142"/>
      <c r="HLC42" s="1142"/>
      <c r="HLD42" s="1142"/>
      <c r="HLE42" s="1142"/>
      <c r="HLF42" s="1142"/>
      <c r="HLG42" s="1142"/>
      <c r="HLH42" s="1142"/>
      <c r="HLI42" s="1167"/>
      <c r="HLJ42" s="1167"/>
      <c r="HLK42" s="1167"/>
      <c r="HLL42" s="1167"/>
      <c r="HLM42" s="1167"/>
      <c r="HLN42" s="1167"/>
      <c r="HLO42" s="1167"/>
      <c r="HLP42" s="1167"/>
      <c r="HLQ42" s="1167"/>
      <c r="HLR42" s="1142"/>
      <c r="HLS42" s="1142"/>
      <c r="HLT42" s="1142"/>
      <c r="HLU42" s="1142"/>
      <c r="HLV42" s="1142"/>
      <c r="HLW42" s="1142"/>
      <c r="HLX42" s="1142"/>
      <c r="HLY42" s="1142"/>
      <c r="HLZ42" s="1142"/>
      <c r="HMA42" s="1142"/>
      <c r="HMB42" s="1142"/>
      <c r="HMC42" s="1142"/>
      <c r="HMD42" s="1142"/>
      <c r="HME42" s="1142"/>
      <c r="HMF42" s="1142"/>
      <c r="HMG42" s="1142"/>
      <c r="HMH42" s="1142"/>
      <c r="HMI42" s="1142"/>
      <c r="HMJ42" s="1142"/>
      <c r="HMK42" s="1142"/>
      <c r="HML42" s="1142"/>
      <c r="HMM42" s="1142"/>
      <c r="HMN42" s="1142"/>
      <c r="HMO42" s="1167"/>
      <c r="HMP42" s="1167"/>
      <c r="HMQ42" s="1167"/>
      <c r="HMR42" s="1167"/>
      <c r="HMS42" s="1167"/>
      <c r="HMT42" s="1167"/>
      <c r="HMU42" s="1167"/>
      <c r="HMV42" s="1167"/>
      <c r="HMW42" s="1167"/>
      <c r="HMX42" s="1142"/>
      <c r="HMY42" s="1142"/>
      <c r="HMZ42" s="1142"/>
      <c r="HNA42" s="1142"/>
      <c r="HNB42" s="1142"/>
      <c r="HNC42" s="1142"/>
      <c r="HND42" s="1142"/>
      <c r="HNE42" s="1142"/>
      <c r="HNF42" s="1142"/>
      <c r="HNG42" s="1142"/>
      <c r="HNH42" s="1142"/>
      <c r="HNI42" s="1142"/>
      <c r="HNJ42" s="1142"/>
      <c r="HNK42" s="1142"/>
      <c r="HNL42" s="1142"/>
      <c r="HNM42" s="1142"/>
      <c r="HNN42" s="1142"/>
      <c r="HNO42" s="1142"/>
      <c r="HNP42" s="1142"/>
      <c r="HNQ42" s="1142"/>
      <c r="HNR42" s="1142"/>
      <c r="HNS42" s="1142"/>
      <c r="HNT42" s="1142"/>
      <c r="HNU42" s="1167"/>
      <c r="HNV42" s="1167"/>
      <c r="HNW42" s="1167"/>
      <c r="HNX42" s="1167"/>
      <c r="HNY42" s="1167"/>
      <c r="HNZ42" s="1167"/>
      <c r="HOA42" s="1167"/>
      <c r="HOB42" s="1167"/>
      <c r="HOC42" s="1167"/>
      <c r="HOD42" s="1142"/>
      <c r="HOE42" s="1142"/>
      <c r="HOF42" s="1142"/>
      <c r="HOG42" s="1142"/>
      <c r="HOH42" s="1142"/>
      <c r="HOI42" s="1142"/>
      <c r="HOJ42" s="1142"/>
      <c r="HOK42" s="1142"/>
      <c r="HOL42" s="1142"/>
      <c r="HOM42" s="1142"/>
      <c r="HON42" s="1142"/>
      <c r="HOO42" s="1142"/>
      <c r="HOP42" s="1142"/>
      <c r="HOQ42" s="1142"/>
      <c r="HOR42" s="1142"/>
      <c r="HOS42" s="1142"/>
      <c r="HOT42" s="1142"/>
      <c r="HOU42" s="1142"/>
      <c r="HOV42" s="1142"/>
      <c r="HOW42" s="1142"/>
      <c r="HOX42" s="1142"/>
      <c r="HOY42" s="1142"/>
      <c r="HOZ42" s="1142"/>
      <c r="HPA42" s="1167"/>
      <c r="HPB42" s="1167"/>
      <c r="HPC42" s="1167"/>
      <c r="HPD42" s="1167"/>
      <c r="HPE42" s="1167"/>
      <c r="HPF42" s="1167"/>
      <c r="HPG42" s="1167"/>
      <c r="HPH42" s="1167"/>
      <c r="HPI42" s="1167"/>
      <c r="HPJ42" s="1142"/>
      <c r="HPK42" s="1142"/>
      <c r="HPL42" s="1142"/>
      <c r="HPM42" s="1142"/>
      <c r="HPN42" s="1142"/>
      <c r="HPO42" s="1142"/>
      <c r="HPP42" s="1142"/>
      <c r="HPQ42" s="1142"/>
      <c r="HPR42" s="1142"/>
      <c r="HPS42" s="1142"/>
      <c r="HPT42" s="1142"/>
      <c r="HPU42" s="1142"/>
      <c r="HPV42" s="1142"/>
      <c r="HPW42" s="1142"/>
      <c r="HPX42" s="1142"/>
      <c r="HPY42" s="1142"/>
      <c r="HPZ42" s="1142"/>
      <c r="HQA42" s="1142"/>
      <c r="HQB42" s="1142"/>
      <c r="HQC42" s="1142"/>
      <c r="HQD42" s="1142"/>
      <c r="HQE42" s="1142"/>
      <c r="HQF42" s="1142"/>
      <c r="HQG42" s="1167"/>
      <c r="HQH42" s="1167"/>
      <c r="HQI42" s="1167"/>
      <c r="HQJ42" s="1167"/>
      <c r="HQK42" s="1167"/>
      <c r="HQL42" s="1167"/>
      <c r="HQM42" s="1167"/>
      <c r="HQN42" s="1167"/>
      <c r="HQO42" s="1167"/>
      <c r="HQP42" s="1142"/>
      <c r="HQQ42" s="1142"/>
      <c r="HQR42" s="1142"/>
      <c r="HQS42" s="1142"/>
      <c r="HQT42" s="1142"/>
      <c r="HQU42" s="1142"/>
      <c r="HQV42" s="1142"/>
      <c r="HQW42" s="1142"/>
      <c r="HQX42" s="1142"/>
      <c r="HQY42" s="1142"/>
      <c r="HQZ42" s="1142"/>
      <c r="HRA42" s="1142"/>
      <c r="HRB42" s="1142"/>
      <c r="HRC42" s="1142"/>
      <c r="HRD42" s="1142"/>
      <c r="HRE42" s="1142"/>
      <c r="HRF42" s="1142"/>
      <c r="HRG42" s="1142"/>
      <c r="HRH42" s="1142"/>
      <c r="HRI42" s="1142"/>
      <c r="HRJ42" s="1142"/>
      <c r="HRK42" s="1142"/>
      <c r="HRL42" s="1142"/>
      <c r="HRM42" s="1167"/>
      <c r="HRN42" s="1167"/>
      <c r="HRO42" s="1167"/>
      <c r="HRP42" s="1167"/>
      <c r="HRQ42" s="1167"/>
      <c r="HRR42" s="1167"/>
      <c r="HRS42" s="1167"/>
      <c r="HRT42" s="1167"/>
      <c r="HRU42" s="1167"/>
      <c r="HRV42" s="1142"/>
      <c r="HRW42" s="1142"/>
      <c r="HRX42" s="1142"/>
      <c r="HRY42" s="1142"/>
      <c r="HRZ42" s="1142"/>
      <c r="HSA42" s="1142"/>
      <c r="HSB42" s="1142"/>
      <c r="HSC42" s="1142"/>
      <c r="HSD42" s="1142"/>
      <c r="HSE42" s="1142"/>
      <c r="HSF42" s="1142"/>
      <c r="HSG42" s="1142"/>
      <c r="HSH42" s="1142"/>
      <c r="HSI42" s="1142"/>
      <c r="HSJ42" s="1142"/>
      <c r="HSK42" s="1142"/>
      <c r="HSL42" s="1142"/>
      <c r="HSM42" s="1142"/>
      <c r="HSN42" s="1142"/>
      <c r="HSO42" s="1142"/>
      <c r="HSP42" s="1142"/>
      <c r="HSQ42" s="1142"/>
      <c r="HSR42" s="1142"/>
      <c r="HSS42" s="1167"/>
      <c r="HST42" s="1167"/>
      <c r="HSU42" s="1167"/>
      <c r="HSV42" s="1167"/>
      <c r="HSW42" s="1167"/>
      <c r="HSX42" s="1167"/>
      <c r="HSY42" s="1167"/>
      <c r="HSZ42" s="1167"/>
      <c r="HTA42" s="1167"/>
      <c r="HTB42" s="1142"/>
      <c r="HTC42" s="1142"/>
      <c r="HTD42" s="1142"/>
      <c r="HTE42" s="1142"/>
      <c r="HTF42" s="1142"/>
      <c r="HTG42" s="1142"/>
      <c r="HTH42" s="1142"/>
      <c r="HTI42" s="1142"/>
      <c r="HTJ42" s="1142"/>
      <c r="HTK42" s="1142"/>
      <c r="HTL42" s="1142"/>
      <c r="HTM42" s="1142"/>
      <c r="HTN42" s="1142"/>
      <c r="HTO42" s="1142"/>
      <c r="HTP42" s="1142"/>
      <c r="HTQ42" s="1142"/>
      <c r="HTR42" s="1142"/>
      <c r="HTS42" s="1142"/>
      <c r="HTT42" s="1142"/>
      <c r="HTU42" s="1142"/>
      <c r="HTV42" s="1142"/>
      <c r="HTW42" s="1142"/>
      <c r="HTX42" s="1142"/>
      <c r="HTY42" s="1167"/>
      <c r="HTZ42" s="1167"/>
      <c r="HUA42" s="1167"/>
      <c r="HUB42" s="1167"/>
      <c r="HUC42" s="1167"/>
      <c r="HUD42" s="1167"/>
      <c r="HUE42" s="1167"/>
      <c r="HUF42" s="1167"/>
      <c r="HUG42" s="1167"/>
      <c r="HUH42" s="1142"/>
      <c r="HUI42" s="1142"/>
      <c r="HUJ42" s="1142"/>
      <c r="HUK42" s="1142"/>
      <c r="HUL42" s="1142"/>
      <c r="HUM42" s="1142"/>
      <c r="HUN42" s="1142"/>
      <c r="HUO42" s="1142"/>
      <c r="HUP42" s="1142"/>
      <c r="HUQ42" s="1142"/>
      <c r="HUR42" s="1142"/>
      <c r="HUS42" s="1142"/>
      <c r="HUT42" s="1142"/>
      <c r="HUU42" s="1142"/>
      <c r="HUV42" s="1142"/>
      <c r="HUW42" s="1142"/>
      <c r="HUX42" s="1142"/>
      <c r="HUY42" s="1142"/>
      <c r="HUZ42" s="1142"/>
      <c r="HVA42" s="1142"/>
      <c r="HVB42" s="1142"/>
      <c r="HVC42" s="1142"/>
      <c r="HVD42" s="1142"/>
      <c r="HVE42" s="1167"/>
      <c r="HVF42" s="1167"/>
      <c r="HVG42" s="1167"/>
      <c r="HVH42" s="1167"/>
      <c r="HVI42" s="1167"/>
      <c r="HVJ42" s="1167"/>
      <c r="HVK42" s="1167"/>
      <c r="HVL42" s="1167"/>
      <c r="HVM42" s="1167"/>
      <c r="HVN42" s="1142"/>
      <c r="HVO42" s="1142"/>
      <c r="HVP42" s="1142"/>
      <c r="HVQ42" s="1142"/>
      <c r="HVR42" s="1142"/>
      <c r="HVS42" s="1142"/>
      <c r="HVT42" s="1142"/>
      <c r="HVU42" s="1142"/>
      <c r="HVV42" s="1142"/>
      <c r="HVW42" s="1142"/>
      <c r="HVX42" s="1142"/>
      <c r="HVY42" s="1142"/>
      <c r="HVZ42" s="1142"/>
      <c r="HWA42" s="1142"/>
      <c r="HWB42" s="1142"/>
      <c r="HWC42" s="1142"/>
      <c r="HWD42" s="1142"/>
      <c r="HWE42" s="1142"/>
      <c r="HWF42" s="1142"/>
      <c r="HWG42" s="1142"/>
      <c r="HWH42" s="1142"/>
      <c r="HWI42" s="1142"/>
      <c r="HWJ42" s="1142"/>
      <c r="HWK42" s="1167"/>
      <c r="HWL42" s="1167"/>
      <c r="HWM42" s="1167"/>
      <c r="HWN42" s="1167"/>
      <c r="HWO42" s="1167"/>
      <c r="HWP42" s="1167"/>
      <c r="HWQ42" s="1167"/>
      <c r="HWR42" s="1167"/>
      <c r="HWS42" s="1167"/>
      <c r="HWT42" s="1142"/>
      <c r="HWU42" s="1142"/>
      <c r="HWV42" s="1142"/>
      <c r="HWW42" s="1142"/>
      <c r="HWX42" s="1142"/>
      <c r="HWY42" s="1142"/>
      <c r="HWZ42" s="1142"/>
      <c r="HXA42" s="1142"/>
      <c r="HXB42" s="1142"/>
      <c r="HXC42" s="1142"/>
      <c r="HXD42" s="1142"/>
      <c r="HXE42" s="1142"/>
      <c r="HXF42" s="1142"/>
      <c r="HXG42" s="1142"/>
      <c r="HXH42" s="1142"/>
      <c r="HXI42" s="1142"/>
      <c r="HXJ42" s="1142"/>
      <c r="HXK42" s="1142"/>
      <c r="HXL42" s="1142"/>
      <c r="HXM42" s="1142"/>
      <c r="HXN42" s="1142"/>
      <c r="HXO42" s="1142"/>
      <c r="HXP42" s="1142"/>
      <c r="HXQ42" s="1167"/>
      <c r="HXR42" s="1167"/>
      <c r="HXS42" s="1167"/>
      <c r="HXT42" s="1167"/>
      <c r="HXU42" s="1167"/>
      <c r="HXV42" s="1167"/>
      <c r="HXW42" s="1167"/>
      <c r="HXX42" s="1167"/>
      <c r="HXY42" s="1167"/>
      <c r="HXZ42" s="1142"/>
      <c r="HYA42" s="1142"/>
      <c r="HYB42" s="1142"/>
      <c r="HYC42" s="1142"/>
      <c r="HYD42" s="1142"/>
      <c r="HYE42" s="1142"/>
      <c r="HYF42" s="1142"/>
      <c r="HYG42" s="1142"/>
      <c r="HYH42" s="1142"/>
      <c r="HYI42" s="1142"/>
      <c r="HYJ42" s="1142"/>
      <c r="HYK42" s="1142"/>
      <c r="HYL42" s="1142"/>
      <c r="HYM42" s="1142"/>
      <c r="HYN42" s="1142"/>
      <c r="HYO42" s="1142"/>
      <c r="HYP42" s="1142"/>
      <c r="HYQ42" s="1142"/>
      <c r="HYR42" s="1142"/>
      <c r="HYS42" s="1142"/>
      <c r="HYT42" s="1142"/>
      <c r="HYU42" s="1142"/>
      <c r="HYV42" s="1142"/>
      <c r="HYW42" s="1167"/>
      <c r="HYX42" s="1167"/>
      <c r="HYY42" s="1167"/>
      <c r="HYZ42" s="1167"/>
      <c r="HZA42" s="1167"/>
      <c r="HZB42" s="1167"/>
      <c r="HZC42" s="1167"/>
      <c r="HZD42" s="1167"/>
      <c r="HZE42" s="1167"/>
      <c r="HZF42" s="1142"/>
      <c r="HZG42" s="1142"/>
      <c r="HZH42" s="1142"/>
      <c r="HZI42" s="1142"/>
      <c r="HZJ42" s="1142"/>
      <c r="HZK42" s="1142"/>
      <c r="HZL42" s="1142"/>
      <c r="HZM42" s="1142"/>
      <c r="HZN42" s="1142"/>
      <c r="HZO42" s="1142"/>
      <c r="HZP42" s="1142"/>
      <c r="HZQ42" s="1142"/>
      <c r="HZR42" s="1142"/>
      <c r="HZS42" s="1142"/>
      <c r="HZT42" s="1142"/>
      <c r="HZU42" s="1142"/>
      <c r="HZV42" s="1142"/>
      <c r="HZW42" s="1142"/>
      <c r="HZX42" s="1142"/>
      <c r="HZY42" s="1142"/>
      <c r="HZZ42" s="1142"/>
      <c r="IAA42" s="1142"/>
      <c r="IAB42" s="1142"/>
      <c r="IAC42" s="1167"/>
      <c r="IAD42" s="1167"/>
      <c r="IAE42" s="1167"/>
      <c r="IAF42" s="1167"/>
      <c r="IAG42" s="1167"/>
      <c r="IAH42" s="1167"/>
      <c r="IAI42" s="1167"/>
      <c r="IAJ42" s="1167"/>
      <c r="IAK42" s="1167"/>
      <c r="IAL42" s="1142"/>
      <c r="IAM42" s="1142"/>
      <c r="IAN42" s="1142"/>
      <c r="IAO42" s="1142"/>
      <c r="IAP42" s="1142"/>
      <c r="IAQ42" s="1142"/>
      <c r="IAR42" s="1142"/>
      <c r="IAS42" s="1142"/>
      <c r="IAT42" s="1142"/>
      <c r="IAU42" s="1142"/>
      <c r="IAV42" s="1142"/>
      <c r="IAW42" s="1142"/>
      <c r="IAX42" s="1142"/>
      <c r="IAY42" s="1142"/>
      <c r="IAZ42" s="1142"/>
      <c r="IBA42" s="1142"/>
      <c r="IBB42" s="1142"/>
      <c r="IBC42" s="1142"/>
      <c r="IBD42" s="1142"/>
      <c r="IBE42" s="1142"/>
      <c r="IBF42" s="1142"/>
      <c r="IBG42" s="1142"/>
      <c r="IBH42" s="1142"/>
      <c r="IBI42" s="1167"/>
      <c r="IBJ42" s="1167"/>
      <c r="IBK42" s="1167"/>
      <c r="IBL42" s="1167"/>
      <c r="IBM42" s="1167"/>
      <c r="IBN42" s="1167"/>
      <c r="IBO42" s="1167"/>
      <c r="IBP42" s="1167"/>
      <c r="IBQ42" s="1167"/>
      <c r="IBR42" s="1142"/>
      <c r="IBS42" s="1142"/>
      <c r="IBT42" s="1142"/>
      <c r="IBU42" s="1142"/>
      <c r="IBV42" s="1142"/>
      <c r="IBW42" s="1142"/>
      <c r="IBX42" s="1142"/>
      <c r="IBY42" s="1142"/>
      <c r="IBZ42" s="1142"/>
      <c r="ICA42" s="1142"/>
      <c r="ICB42" s="1142"/>
      <c r="ICC42" s="1142"/>
      <c r="ICD42" s="1142"/>
      <c r="ICE42" s="1142"/>
      <c r="ICF42" s="1142"/>
      <c r="ICG42" s="1142"/>
      <c r="ICH42" s="1142"/>
      <c r="ICI42" s="1142"/>
      <c r="ICJ42" s="1142"/>
      <c r="ICK42" s="1142"/>
      <c r="ICL42" s="1142"/>
      <c r="ICM42" s="1142"/>
      <c r="ICN42" s="1142"/>
      <c r="ICO42" s="1167"/>
      <c r="ICP42" s="1167"/>
      <c r="ICQ42" s="1167"/>
      <c r="ICR42" s="1167"/>
      <c r="ICS42" s="1167"/>
      <c r="ICT42" s="1167"/>
      <c r="ICU42" s="1167"/>
      <c r="ICV42" s="1167"/>
      <c r="ICW42" s="1167"/>
      <c r="ICX42" s="1142"/>
      <c r="ICY42" s="1142"/>
      <c r="ICZ42" s="1142"/>
      <c r="IDA42" s="1142"/>
      <c r="IDB42" s="1142"/>
      <c r="IDC42" s="1142"/>
      <c r="IDD42" s="1142"/>
      <c r="IDE42" s="1142"/>
      <c r="IDF42" s="1142"/>
      <c r="IDG42" s="1142"/>
      <c r="IDH42" s="1142"/>
      <c r="IDI42" s="1142"/>
      <c r="IDJ42" s="1142"/>
      <c r="IDK42" s="1142"/>
      <c r="IDL42" s="1142"/>
      <c r="IDM42" s="1142"/>
      <c r="IDN42" s="1142"/>
      <c r="IDO42" s="1142"/>
      <c r="IDP42" s="1142"/>
      <c r="IDQ42" s="1142"/>
      <c r="IDR42" s="1142"/>
      <c r="IDS42" s="1142"/>
      <c r="IDT42" s="1142"/>
      <c r="IDU42" s="1167"/>
      <c r="IDV42" s="1167"/>
      <c r="IDW42" s="1167"/>
      <c r="IDX42" s="1167"/>
      <c r="IDY42" s="1167"/>
      <c r="IDZ42" s="1167"/>
      <c r="IEA42" s="1167"/>
      <c r="IEB42" s="1167"/>
      <c r="IEC42" s="1167"/>
      <c r="IED42" s="1142"/>
      <c r="IEE42" s="1142"/>
      <c r="IEF42" s="1142"/>
      <c r="IEG42" s="1142"/>
      <c r="IEH42" s="1142"/>
      <c r="IEI42" s="1142"/>
      <c r="IEJ42" s="1142"/>
      <c r="IEK42" s="1142"/>
      <c r="IEL42" s="1142"/>
      <c r="IEM42" s="1142"/>
      <c r="IEN42" s="1142"/>
      <c r="IEO42" s="1142"/>
      <c r="IEP42" s="1142"/>
      <c r="IEQ42" s="1142"/>
      <c r="IER42" s="1142"/>
      <c r="IES42" s="1142"/>
      <c r="IET42" s="1142"/>
      <c r="IEU42" s="1142"/>
      <c r="IEV42" s="1142"/>
      <c r="IEW42" s="1142"/>
      <c r="IEX42" s="1142"/>
      <c r="IEY42" s="1142"/>
      <c r="IEZ42" s="1142"/>
      <c r="IFA42" s="1167"/>
      <c r="IFB42" s="1167"/>
      <c r="IFC42" s="1167"/>
      <c r="IFD42" s="1167"/>
      <c r="IFE42" s="1167"/>
      <c r="IFF42" s="1167"/>
      <c r="IFG42" s="1167"/>
      <c r="IFH42" s="1167"/>
      <c r="IFI42" s="1167"/>
      <c r="IFJ42" s="1142"/>
      <c r="IFK42" s="1142"/>
      <c r="IFL42" s="1142"/>
      <c r="IFM42" s="1142"/>
      <c r="IFN42" s="1142"/>
      <c r="IFO42" s="1142"/>
      <c r="IFP42" s="1142"/>
      <c r="IFQ42" s="1142"/>
      <c r="IFR42" s="1142"/>
      <c r="IFS42" s="1142"/>
      <c r="IFT42" s="1142"/>
      <c r="IFU42" s="1142"/>
      <c r="IFV42" s="1142"/>
      <c r="IFW42" s="1142"/>
      <c r="IFX42" s="1142"/>
      <c r="IFY42" s="1142"/>
      <c r="IFZ42" s="1142"/>
      <c r="IGA42" s="1142"/>
      <c r="IGB42" s="1142"/>
      <c r="IGC42" s="1142"/>
      <c r="IGD42" s="1142"/>
      <c r="IGE42" s="1142"/>
      <c r="IGF42" s="1142"/>
      <c r="IGG42" s="1167"/>
      <c r="IGH42" s="1167"/>
      <c r="IGI42" s="1167"/>
      <c r="IGJ42" s="1167"/>
      <c r="IGK42" s="1167"/>
      <c r="IGL42" s="1167"/>
      <c r="IGM42" s="1167"/>
      <c r="IGN42" s="1167"/>
      <c r="IGO42" s="1167"/>
      <c r="IGP42" s="1142"/>
      <c r="IGQ42" s="1142"/>
      <c r="IGR42" s="1142"/>
      <c r="IGS42" s="1142"/>
      <c r="IGT42" s="1142"/>
      <c r="IGU42" s="1142"/>
      <c r="IGV42" s="1142"/>
      <c r="IGW42" s="1142"/>
      <c r="IGX42" s="1142"/>
      <c r="IGY42" s="1142"/>
      <c r="IGZ42" s="1142"/>
      <c r="IHA42" s="1142"/>
      <c r="IHB42" s="1142"/>
      <c r="IHC42" s="1142"/>
      <c r="IHD42" s="1142"/>
      <c r="IHE42" s="1142"/>
      <c r="IHF42" s="1142"/>
      <c r="IHG42" s="1142"/>
      <c r="IHH42" s="1142"/>
      <c r="IHI42" s="1142"/>
      <c r="IHJ42" s="1142"/>
      <c r="IHK42" s="1142"/>
      <c r="IHL42" s="1142"/>
      <c r="IHM42" s="1167"/>
      <c r="IHN42" s="1167"/>
      <c r="IHO42" s="1167"/>
      <c r="IHP42" s="1167"/>
      <c r="IHQ42" s="1167"/>
      <c r="IHR42" s="1167"/>
      <c r="IHS42" s="1167"/>
      <c r="IHT42" s="1167"/>
      <c r="IHU42" s="1167"/>
      <c r="IHV42" s="1142"/>
      <c r="IHW42" s="1142"/>
      <c r="IHX42" s="1142"/>
      <c r="IHY42" s="1142"/>
      <c r="IHZ42" s="1142"/>
      <c r="IIA42" s="1142"/>
      <c r="IIB42" s="1142"/>
      <c r="IIC42" s="1142"/>
      <c r="IID42" s="1142"/>
      <c r="IIE42" s="1142"/>
      <c r="IIF42" s="1142"/>
      <c r="IIG42" s="1142"/>
      <c r="IIH42" s="1142"/>
      <c r="III42" s="1142"/>
      <c r="IIJ42" s="1142"/>
      <c r="IIK42" s="1142"/>
      <c r="IIL42" s="1142"/>
      <c r="IIM42" s="1142"/>
      <c r="IIN42" s="1142"/>
      <c r="IIO42" s="1142"/>
      <c r="IIP42" s="1142"/>
      <c r="IIQ42" s="1142"/>
      <c r="IIR42" s="1142"/>
      <c r="IIS42" s="1167"/>
      <c r="IIT42" s="1167"/>
      <c r="IIU42" s="1167"/>
      <c r="IIV42" s="1167"/>
      <c r="IIW42" s="1167"/>
      <c r="IIX42" s="1167"/>
      <c r="IIY42" s="1167"/>
      <c r="IIZ42" s="1167"/>
      <c r="IJA42" s="1167"/>
      <c r="IJB42" s="1142"/>
      <c r="IJC42" s="1142"/>
      <c r="IJD42" s="1142"/>
      <c r="IJE42" s="1142"/>
      <c r="IJF42" s="1142"/>
      <c r="IJG42" s="1142"/>
      <c r="IJH42" s="1142"/>
      <c r="IJI42" s="1142"/>
      <c r="IJJ42" s="1142"/>
      <c r="IJK42" s="1142"/>
      <c r="IJL42" s="1142"/>
      <c r="IJM42" s="1142"/>
      <c r="IJN42" s="1142"/>
      <c r="IJO42" s="1142"/>
      <c r="IJP42" s="1142"/>
      <c r="IJQ42" s="1142"/>
      <c r="IJR42" s="1142"/>
      <c r="IJS42" s="1142"/>
      <c r="IJT42" s="1142"/>
      <c r="IJU42" s="1142"/>
      <c r="IJV42" s="1142"/>
      <c r="IJW42" s="1142"/>
      <c r="IJX42" s="1142"/>
      <c r="IJY42" s="1167"/>
      <c r="IJZ42" s="1167"/>
      <c r="IKA42" s="1167"/>
      <c r="IKB42" s="1167"/>
      <c r="IKC42" s="1167"/>
      <c r="IKD42" s="1167"/>
      <c r="IKE42" s="1167"/>
      <c r="IKF42" s="1167"/>
      <c r="IKG42" s="1167"/>
      <c r="IKH42" s="1142"/>
      <c r="IKI42" s="1142"/>
      <c r="IKJ42" s="1142"/>
      <c r="IKK42" s="1142"/>
      <c r="IKL42" s="1142"/>
      <c r="IKM42" s="1142"/>
      <c r="IKN42" s="1142"/>
      <c r="IKO42" s="1142"/>
      <c r="IKP42" s="1142"/>
      <c r="IKQ42" s="1142"/>
      <c r="IKR42" s="1142"/>
      <c r="IKS42" s="1142"/>
      <c r="IKT42" s="1142"/>
      <c r="IKU42" s="1142"/>
      <c r="IKV42" s="1142"/>
      <c r="IKW42" s="1142"/>
      <c r="IKX42" s="1142"/>
      <c r="IKY42" s="1142"/>
      <c r="IKZ42" s="1142"/>
      <c r="ILA42" s="1142"/>
      <c r="ILB42" s="1142"/>
      <c r="ILC42" s="1142"/>
      <c r="ILD42" s="1142"/>
      <c r="ILE42" s="1167"/>
      <c r="ILF42" s="1167"/>
      <c r="ILG42" s="1167"/>
      <c r="ILH42" s="1167"/>
      <c r="ILI42" s="1167"/>
      <c r="ILJ42" s="1167"/>
      <c r="ILK42" s="1167"/>
      <c r="ILL42" s="1167"/>
      <c r="ILM42" s="1167"/>
      <c r="ILN42" s="1142"/>
      <c r="ILO42" s="1142"/>
      <c r="ILP42" s="1142"/>
      <c r="ILQ42" s="1142"/>
      <c r="ILR42" s="1142"/>
      <c r="ILS42" s="1142"/>
      <c r="ILT42" s="1142"/>
      <c r="ILU42" s="1142"/>
      <c r="ILV42" s="1142"/>
      <c r="ILW42" s="1142"/>
      <c r="ILX42" s="1142"/>
      <c r="ILY42" s="1142"/>
      <c r="ILZ42" s="1142"/>
      <c r="IMA42" s="1142"/>
      <c r="IMB42" s="1142"/>
      <c r="IMC42" s="1142"/>
      <c r="IMD42" s="1142"/>
      <c r="IME42" s="1142"/>
      <c r="IMF42" s="1142"/>
      <c r="IMG42" s="1142"/>
      <c r="IMH42" s="1142"/>
      <c r="IMI42" s="1142"/>
      <c r="IMJ42" s="1142"/>
      <c r="IMK42" s="1167"/>
      <c r="IML42" s="1167"/>
      <c r="IMM42" s="1167"/>
      <c r="IMN42" s="1167"/>
      <c r="IMO42" s="1167"/>
      <c r="IMP42" s="1167"/>
      <c r="IMQ42" s="1167"/>
      <c r="IMR42" s="1167"/>
      <c r="IMS42" s="1167"/>
      <c r="IMT42" s="1142"/>
      <c r="IMU42" s="1142"/>
      <c r="IMV42" s="1142"/>
      <c r="IMW42" s="1142"/>
      <c r="IMX42" s="1142"/>
      <c r="IMY42" s="1142"/>
      <c r="IMZ42" s="1142"/>
      <c r="INA42" s="1142"/>
      <c r="INB42" s="1142"/>
      <c r="INC42" s="1142"/>
      <c r="IND42" s="1142"/>
      <c r="INE42" s="1142"/>
      <c r="INF42" s="1142"/>
      <c r="ING42" s="1142"/>
      <c r="INH42" s="1142"/>
      <c r="INI42" s="1142"/>
      <c r="INJ42" s="1142"/>
      <c r="INK42" s="1142"/>
      <c r="INL42" s="1142"/>
      <c r="INM42" s="1142"/>
      <c r="INN42" s="1142"/>
      <c r="INO42" s="1142"/>
      <c r="INP42" s="1142"/>
      <c r="INQ42" s="1167"/>
      <c r="INR42" s="1167"/>
      <c r="INS42" s="1167"/>
      <c r="INT42" s="1167"/>
      <c r="INU42" s="1167"/>
      <c r="INV42" s="1167"/>
      <c r="INW42" s="1167"/>
      <c r="INX42" s="1167"/>
      <c r="INY42" s="1167"/>
      <c r="INZ42" s="1142"/>
      <c r="IOA42" s="1142"/>
      <c r="IOB42" s="1142"/>
      <c r="IOC42" s="1142"/>
      <c r="IOD42" s="1142"/>
      <c r="IOE42" s="1142"/>
      <c r="IOF42" s="1142"/>
      <c r="IOG42" s="1142"/>
      <c r="IOH42" s="1142"/>
      <c r="IOI42" s="1142"/>
      <c r="IOJ42" s="1142"/>
      <c r="IOK42" s="1142"/>
      <c r="IOL42" s="1142"/>
      <c r="IOM42" s="1142"/>
      <c r="ION42" s="1142"/>
      <c r="IOO42" s="1142"/>
      <c r="IOP42" s="1142"/>
      <c r="IOQ42" s="1142"/>
      <c r="IOR42" s="1142"/>
      <c r="IOS42" s="1142"/>
      <c r="IOT42" s="1142"/>
      <c r="IOU42" s="1142"/>
      <c r="IOV42" s="1142"/>
      <c r="IOW42" s="1167"/>
      <c r="IOX42" s="1167"/>
      <c r="IOY42" s="1167"/>
      <c r="IOZ42" s="1167"/>
      <c r="IPA42" s="1167"/>
      <c r="IPB42" s="1167"/>
      <c r="IPC42" s="1167"/>
      <c r="IPD42" s="1167"/>
      <c r="IPE42" s="1167"/>
      <c r="IPF42" s="1142"/>
      <c r="IPG42" s="1142"/>
      <c r="IPH42" s="1142"/>
      <c r="IPI42" s="1142"/>
      <c r="IPJ42" s="1142"/>
      <c r="IPK42" s="1142"/>
      <c r="IPL42" s="1142"/>
      <c r="IPM42" s="1142"/>
      <c r="IPN42" s="1142"/>
      <c r="IPO42" s="1142"/>
      <c r="IPP42" s="1142"/>
      <c r="IPQ42" s="1142"/>
      <c r="IPR42" s="1142"/>
      <c r="IPS42" s="1142"/>
      <c r="IPT42" s="1142"/>
      <c r="IPU42" s="1142"/>
      <c r="IPV42" s="1142"/>
      <c r="IPW42" s="1142"/>
      <c r="IPX42" s="1142"/>
      <c r="IPY42" s="1142"/>
      <c r="IPZ42" s="1142"/>
      <c r="IQA42" s="1142"/>
      <c r="IQB42" s="1142"/>
      <c r="IQC42" s="1167"/>
      <c r="IQD42" s="1167"/>
      <c r="IQE42" s="1167"/>
      <c r="IQF42" s="1167"/>
      <c r="IQG42" s="1167"/>
      <c r="IQH42" s="1167"/>
      <c r="IQI42" s="1167"/>
      <c r="IQJ42" s="1167"/>
      <c r="IQK42" s="1167"/>
      <c r="IQL42" s="1142"/>
      <c r="IQM42" s="1142"/>
      <c r="IQN42" s="1142"/>
      <c r="IQO42" s="1142"/>
      <c r="IQP42" s="1142"/>
      <c r="IQQ42" s="1142"/>
      <c r="IQR42" s="1142"/>
      <c r="IQS42" s="1142"/>
      <c r="IQT42" s="1142"/>
      <c r="IQU42" s="1142"/>
      <c r="IQV42" s="1142"/>
      <c r="IQW42" s="1142"/>
      <c r="IQX42" s="1142"/>
      <c r="IQY42" s="1142"/>
      <c r="IQZ42" s="1142"/>
      <c r="IRA42" s="1142"/>
      <c r="IRB42" s="1142"/>
      <c r="IRC42" s="1142"/>
      <c r="IRD42" s="1142"/>
      <c r="IRE42" s="1142"/>
      <c r="IRF42" s="1142"/>
      <c r="IRG42" s="1142"/>
      <c r="IRH42" s="1142"/>
      <c r="IRI42" s="1167"/>
      <c r="IRJ42" s="1167"/>
      <c r="IRK42" s="1167"/>
      <c r="IRL42" s="1167"/>
      <c r="IRM42" s="1167"/>
      <c r="IRN42" s="1167"/>
      <c r="IRO42" s="1167"/>
      <c r="IRP42" s="1167"/>
      <c r="IRQ42" s="1167"/>
      <c r="IRR42" s="1142"/>
      <c r="IRS42" s="1142"/>
      <c r="IRT42" s="1142"/>
      <c r="IRU42" s="1142"/>
      <c r="IRV42" s="1142"/>
      <c r="IRW42" s="1142"/>
      <c r="IRX42" s="1142"/>
      <c r="IRY42" s="1142"/>
      <c r="IRZ42" s="1142"/>
      <c r="ISA42" s="1142"/>
      <c r="ISB42" s="1142"/>
      <c r="ISC42" s="1142"/>
      <c r="ISD42" s="1142"/>
      <c r="ISE42" s="1142"/>
      <c r="ISF42" s="1142"/>
      <c r="ISG42" s="1142"/>
      <c r="ISH42" s="1142"/>
      <c r="ISI42" s="1142"/>
      <c r="ISJ42" s="1142"/>
      <c r="ISK42" s="1142"/>
      <c r="ISL42" s="1142"/>
      <c r="ISM42" s="1142"/>
      <c r="ISN42" s="1142"/>
      <c r="ISO42" s="1167"/>
      <c r="ISP42" s="1167"/>
      <c r="ISQ42" s="1167"/>
      <c r="ISR42" s="1167"/>
      <c r="ISS42" s="1167"/>
      <c r="IST42" s="1167"/>
      <c r="ISU42" s="1167"/>
      <c r="ISV42" s="1167"/>
      <c r="ISW42" s="1167"/>
      <c r="ISX42" s="1142"/>
      <c r="ISY42" s="1142"/>
      <c r="ISZ42" s="1142"/>
      <c r="ITA42" s="1142"/>
      <c r="ITB42" s="1142"/>
      <c r="ITC42" s="1142"/>
      <c r="ITD42" s="1142"/>
      <c r="ITE42" s="1142"/>
      <c r="ITF42" s="1142"/>
      <c r="ITG42" s="1142"/>
      <c r="ITH42" s="1142"/>
      <c r="ITI42" s="1142"/>
      <c r="ITJ42" s="1142"/>
      <c r="ITK42" s="1142"/>
      <c r="ITL42" s="1142"/>
      <c r="ITM42" s="1142"/>
      <c r="ITN42" s="1142"/>
      <c r="ITO42" s="1142"/>
      <c r="ITP42" s="1142"/>
      <c r="ITQ42" s="1142"/>
      <c r="ITR42" s="1142"/>
      <c r="ITS42" s="1142"/>
      <c r="ITT42" s="1142"/>
      <c r="ITU42" s="1167"/>
      <c r="ITV42" s="1167"/>
      <c r="ITW42" s="1167"/>
      <c r="ITX42" s="1167"/>
      <c r="ITY42" s="1167"/>
      <c r="ITZ42" s="1167"/>
      <c r="IUA42" s="1167"/>
      <c r="IUB42" s="1167"/>
      <c r="IUC42" s="1167"/>
      <c r="IUD42" s="1142"/>
      <c r="IUE42" s="1142"/>
      <c r="IUF42" s="1142"/>
      <c r="IUG42" s="1142"/>
      <c r="IUH42" s="1142"/>
      <c r="IUI42" s="1142"/>
      <c r="IUJ42" s="1142"/>
      <c r="IUK42" s="1142"/>
      <c r="IUL42" s="1142"/>
      <c r="IUM42" s="1142"/>
      <c r="IUN42" s="1142"/>
      <c r="IUO42" s="1142"/>
      <c r="IUP42" s="1142"/>
      <c r="IUQ42" s="1142"/>
      <c r="IUR42" s="1142"/>
      <c r="IUS42" s="1142"/>
      <c r="IUT42" s="1142"/>
      <c r="IUU42" s="1142"/>
      <c r="IUV42" s="1142"/>
      <c r="IUW42" s="1142"/>
      <c r="IUX42" s="1142"/>
      <c r="IUY42" s="1142"/>
      <c r="IUZ42" s="1142"/>
      <c r="IVA42" s="1167"/>
      <c r="IVB42" s="1167"/>
      <c r="IVC42" s="1167"/>
      <c r="IVD42" s="1167"/>
      <c r="IVE42" s="1167"/>
      <c r="IVF42" s="1167"/>
      <c r="IVG42" s="1167"/>
      <c r="IVH42" s="1167"/>
      <c r="IVI42" s="1167"/>
      <c r="IVJ42" s="1142"/>
      <c r="IVK42" s="1142"/>
      <c r="IVL42" s="1142"/>
      <c r="IVM42" s="1142"/>
      <c r="IVN42" s="1142"/>
      <c r="IVO42" s="1142"/>
      <c r="IVP42" s="1142"/>
      <c r="IVQ42" s="1142"/>
      <c r="IVR42" s="1142"/>
      <c r="IVS42" s="1142"/>
      <c r="IVT42" s="1142"/>
      <c r="IVU42" s="1142"/>
      <c r="IVV42" s="1142"/>
      <c r="IVW42" s="1142"/>
      <c r="IVX42" s="1142"/>
      <c r="IVY42" s="1142"/>
      <c r="IVZ42" s="1142"/>
      <c r="IWA42" s="1142"/>
      <c r="IWB42" s="1142"/>
      <c r="IWC42" s="1142"/>
      <c r="IWD42" s="1142"/>
      <c r="IWE42" s="1142"/>
      <c r="IWF42" s="1142"/>
      <c r="IWG42" s="1167"/>
      <c r="IWH42" s="1167"/>
      <c r="IWI42" s="1167"/>
      <c r="IWJ42" s="1167"/>
      <c r="IWK42" s="1167"/>
      <c r="IWL42" s="1167"/>
      <c r="IWM42" s="1167"/>
      <c r="IWN42" s="1167"/>
      <c r="IWO42" s="1167"/>
      <c r="IWP42" s="1142"/>
      <c r="IWQ42" s="1142"/>
      <c r="IWR42" s="1142"/>
      <c r="IWS42" s="1142"/>
      <c r="IWT42" s="1142"/>
      <c r="IWU42" s="1142"/>
      <c r="IWV42" s="1142"/>
      <c r="IWW42" s="1142"/>
      <c r="IWX42" s="1142"/>
      <c r="IWY42" s="1142"/>
      <c r="IWZ42" s="1142"/>
      <c r="IXA42" s="1142"/>
      <c r="IXB42" s="1142"/>
      <c r="IXC42" s="1142"/>
      <c r="IXD42" s="1142"/>
      <c r="IXE42" s="1142"/>
      <c r="IXF42" s="1142"/>
      <c r="IXG42" s="1142"/>
      <c r="IXH42" s="1142"/>
      <c r="IXI42" s="1142"/>
      <c r="IXJ42" s="1142"/>
      <c r="IXK42" s="1142"/>
      <c r="IXL42" s="1142"/>
      <c r="IXM42" s="1167"/>
      <c r="IXN42" s="1167"/>
      <c r="IXO42" s="1167"/>
      <c r="IXP42" s="1167"/>
      <c r="IXQ42" s="1167"/>
      <c r="IXR42" s="1167"/>
      <c r="IXS42" s="1167"/>
      <c r="IXT42" s="1167"/>
      <c r="IXU42" s="1167"/>
      <c r="IXV42" s="1142"/>
      <c r="IXW42" s="1142"/>
      <c r="IXX42" s="1142"/>
      <c r="IXY42" s="1142"/>
      <c r="IXZ42" s="1142"/>
      <c r="IYA42" s="1142"/>
      <c r="IYB42" s="1142"/>
      <c r="IYC42" s="1142"/>
      <c r="IYD42" s="1142"/>
      <c r="IYE42" s="1142"/>
      <c r="IYF42" s="1142"/>
      <c r="IYG42" s="1142"/>
      <c r="IYH42" s="1142"/>
      <c r="IYI42" s="1142"/>
      <c r="IYJ42" s="1142"/>
      <c r="IYK42" s="1142"/>
      <c r="IYL42" s="1142"/>
      <c r="IYM42" s="1142"/>
      <c r="IYN42" s="1142"/>
      <c r="IYO42" s="1142"/>
      <c r="IYP42" s="1142"/>
      <c r="IYQ42" s="1142"/>
      <c r="IYR42" s="1142"/>
      <c r="IYS42" s="1167"/>
      <c r="IYT42" s="1167"/>
      <c r="IYU42" s="1167"/>
      <c r="IYV42" s="1167"/>
      <c r="IYW42" s="1167"/>
      <c r="IYX42" s="1167"/>
      <c r="IYY42" s="1167"/>
      <c r="IYZ42" s="1167"/>
      <c r="IZA42" s="1167"/>
      <c r="IZB42" s="1142"/>
      <c r="IZC42" s="1142"/>
      <c r="IZD42" s="1142"/>
      <c r="IZE42" s="1142"/>
      <c r="IZF42" s="1142"/>
      <c r="IZG42" s="1142"/>
      <c r="IZH42" s="1142"/>
      <c r="IZI42" s="1142"/>
      <c r="IZJ42" s="1142"/>
      <c r="IZK42" s="1142"/>
      <c r="IZL42" s="1142"/>
      <c r="IZM42" s="1142"/>
      <c r="IZN42" s="1142"/>
      <c r="IZO42" s="1142"/>
      <c r="IZP42" s="1142"/>
      <c r="IZQ42" s="1142"/>
      <c r="IZR42" s="1142"/>
      <c r="IZS42" s="1142"/>
      <c r="IZT42" s="1142"/>
      <c r="IZU42" s="1142"/>
      <c r="IZV42" s="1142"/>
      <c r="IZW42" s="1142"/>
      <c r="IZX42" s="1142"/>
      <c r="IZY42" s="1167"/>
      <c r="IZZ42" s="1167"/>
      <c r="JAA42" s="1167"/>
      <c r="JAB42" s="1167"/>
      <c r="JAC42" s="1167"/>
      <c r="JAD42" s="1167"/>
      <c r="JAE42" s="1167"/>
      <c r="JAF42" s="1167"/>
      <c r="JAG42" s="1167"/>
      <c r="JAH42" s="1142"/>
      <c r="JAI42" s="1142"/>
      <c r="JAJ42" s="1142"/>
      <c r="JAK42" s="1142"/>
      <c r="JAL42" s="1142"/>
      <c r="JAM42" s="1142"/>
      <c r="JAN42" s="1142"/>
      <c r="JAO42" s="1142"/>
      <c r="JAP42" s="1142"/>
      <c r="JAQ42" s="1142"/>
      <c r="JAR42" s="1142"/>
      <c r="JAS42" s="1142"/>
      <c r="JAT42" s="1142"/>
      <c r="JAU42" s="1142"/>
      <c r="JAV42" s="1142"/>
      <c r="JAW42" s="1142"/>
      <c r="JAX42" s="1142"/>
      <c r="JAY42" s="1142"/>
      <c r="JAZ42" s="1142"/>
      <c r="JBA42" s="1142"/>
      <c r="JBB42" s="1142"/>
      <c r="JBC42" s="1142"/>
      <c r="JBD42" s="1142"/>
      <c r="JBE42" s="1167"/>
      <c r="JBF42" s="1167"/>
      <c r="JBG42" s="1167"/>
      <c r="JBH42" s="1167"/>
      <c r="JBI42" s="1167"/>
      <c r="JBJ42" s="1167"/>
      <c r="JBK42" s="1167"/>
      <c r="JBL42" s="1167"/>
      <c r="JBM42" s="1167"/>
      <c r="JBN42" s="1142"/>
      <c r="JBO42" s="1142"/>
      <c r="JBP42" s="1142"/>
      <c r="JBQ42" s="1142"/>
      <c r="JBR42" s="1142"/>
      <c r="JBS42" s="1142"/>
      <c r="JBT42" s="1142"/>
      <c r="JBU42" s="1142"/>
      <c r="JBV42" s="1142"/>
      <c r="JBW42" s="1142"/>
      <c r="JBX42" s="1142"/>
      <c r="JBY42" s="1142"/>
      <c r="JBZ42" s="1142"/>
      <c r="JCA42" s="1142"/>
      <c r="JCB42" s="1142"/>
      <c r="JCC42" s="1142"/>
      <c r="JCD42" s="1142"/>
      <c r="JCE42" s="1142"/>
      <c r="JCF42" s="1142"/>
      <c r="JCG42" s="1142"/>
      <c r="JCH42" s="1142"/>
      <c r="JCI42" s="1142"/>
      <c r="JCJ42" s="1142"/>
      <c r="JCK42" s="1167"/>
      <c r="JCL42" s="1167"/>
      <c r="JCM42" s="1167"/>
      <c r="JCN42" s="1167"/>
      <c r="JCO42" s="1167"/>
      <c r="JCP42" s="1167"/>
      <c r="JCQ42" s="1167"/>
      <c r="JCR42" s="1167"/>
      <c r="JCS42" s="1167"/>
      <c r="JCT42" s="1142"/>
      <c r="JCU42" s="1142"/>
      <c r="JCV42" s="1142"/>
      <c r="JCW42" s="1142"/>
      <c r="JCX42" s="1142"/>
      <c r="JCY42" s="1142"/>
      <c r="JCZ42" s="1142"/>
      <c r="JDA42" s="1142"/>
      <c r="JDB42" s="1142"/>
      <c r="JDC42" s="1142"/>
      <c r="JDD42" s="1142"/>
      <c r="JDE42" s="1142"/>
      <c r="JDF42" s="1142"/>
      <c r="JDG42" s="1142"/>
      <c r="JDH42" s="1142"/>
      <c r="JDI42" s="1142"/>
      <c r="JDJ42" s="1142"/>
      <c r="JDK42" s="1142"/>
      <c r="JDL42" s="1142"/>
      <c r="JDM42" s="1142"/>
      <c r="JDN42" s="1142"/>
      <c r="JDO42" s="1142"/>
      <c r="JDP42" s="1142"/>
      <c r="JDQ42" s="1167"/>
      <c r="JDR42" s="1167"/>
      <c r="JDS42" s="1167"/>
      <c r="JDT42" s="1167"/>
      <c r="JDU42" s="1167"/>
      <c r="JDV42" s="1167"/>
      <c r="JDW42" s="1167"/>
      <c r="JDX42" s="1167"/>
      <c r="JDY42" s="1167"/>
      <c r="JDZ42" s="1142"/>
      <c r="JEA42" s="1142"/>
      <c r="JEB42" s="1142"/>
      <c r="JEC42" s="1142"/>
      <c r="JED42" s="1142"/>
      <c r="JEE42" s="1142"/>
      <c r="JEF42" s="1142"/>
      <c r="JEG42" s="1142"/>
      <c r="JEH42" s="1142"/>
      <c r="JEI42" s="1142"/>
      <c r="JEJ42" s="1142"/>
      <c r="JEK42" s="1142"/>
      <c r="JEL42" s="1142"/>
      <c r="JEM42" s="1142"/>
      <c r="JEN42" s="1142"/>
      <c r="JEO42" s="1142"/>
      <c r="JEP42" s="1142"/>
      <c r="JEQ42" s="1142"/>
      <c r="JER42" s="1142"/>
      <c r="JES42" s="1142"/>
      <c r="JET42" s="1142"/>
      <c r="JEU42" s="1142"/>
      <c r="JEV42" s="1142"/>
      <c r="JEW42" s="1167"/>
      <c r="JEX42" s="1167"/>
      <c r="JEY42" s="1167"/>
      <c r="JEZ42" s="1167"/>
      <c r="JFA42" s="1167"/>
      <c r="JFB42" s="1167"/>
      <c r="JFC42" s="1167"/>
      <c r="JFD42" s="1167"/>
      <c r="JFE42" s="1167"/>
      <c r="JFF42" s="1142"/>
      <c r="JFG42" s="1142"/>
      <c r="JFH42" s="1142"/>
      <c r="JFI42" s="1142"/>
      <c r="JFJ42" s="1142"/>
      <c r="JFK42" s="1142"/>
      <c r="JFL42" s="1142"/>
      <c r="JFM42" s="1142"/>
      <c r="JFN42" s="1142"/>
      <c r="JFO42" s="1142"/>
      <c r="JFP42" s="1142"/>
      <c r="JFQ42" s="1142"/>
      <c r="JFR42" s="1142"/>
      <c r="JFS42" s="1142"/>
      <c r="JFT42" s="1142"/>
      <c r="JFU42" s="1142"/>
      <c r="JFV42" s="1142"/>
      <c r="JFW42" s="1142"/>
      <c r="JFX42" s="1142"/>
      <c r="JFY42" s="1142"/>
      <c r="JFZ42" s="1142"/>
      <c r="JGA42" s="1142"/>
      <c r="JGB42" s="1142"/>
      <c r="JGC42" s="1167"/>
      <c r="JGD42" s="1167"/>
      <c r="JGE42" s="1167"/>
      <c r="JGF42" s="1167"/>
      <c r="JGG42" s="1167"/>
      <c r="JGH42" s="1167"/>
      <c r="JGI42" s="1167"/>
      <c r="JGJ42" s="1167"/>
      <c r="JGK42" s="1167"/>
      <c r="JGL42" s="1142"/>
      <c r="JGM42" s="1142"/>
      <c r="JGN42" s="1142"/>
      <c r="JGO42" s="1142"/>
      <c r="JGP42" s="1142"/>
      <c r="JGQ42" s="1142"/>
      <c r="JGR42" s="1142"/>
      <c r="JGS42" s="1142"/>
      <c r="JGT42" s="1142"/>
      <c r="JGU42" s="1142"/>
      <c r="JGV42" s="1142"/>
      <c r="JGW42" s="1142"/>
      <c r="JGX42" s="1142"/>
      <c r="JGY42" s="1142"/>
      <c r="JGZ42" s="1142"/>
      <c r="JHA42" s="1142"/>
      <c r="JHB42" s="1142"/>
      <c r="JHC42" s="1142"/>
      <c r="JHD42" s="1142"/>
      <c r="JHE42" s="1142"/>
      <c r="JHF42" s="1142"/>
      <c r="JHG42" s="1142"/>
      <c r="JHH42" s="1142"/>
      <c r="JHI42" s="1167"/>
      <c r="JHJ42" s="1167"/>
      <c r="JHK42" s="1167"/>
      <c r="JHL42" s="1167"/>
      <c r="JHM42" s="1167"/>
      <c r="JHN42" s="1167"/>
      <c r="JHO42" s="1167"/>
      <c r="JHP42" s="1167"/>
      <c r="JHQ42" s="1167"/>
      <c r="JHR42" s="1142"/>
      <c r="JHS42" s="1142"/>
      <c r="JHT42" s="1142"/>
      <c r="JHU42" s="1142"/>
      <c r="JHV42" s="1142"/>
      <c r="JHW42" s="1142"/>
      <c r="JHX42" s="1142"/>
      <c r="JHY42" s="1142"/>
      <c r="JHZ42" s="1142"/>
      <c r="JIA42" s="1142"/>
      <c r="JIB42" s="1142"/>
      <c r="JIC42" s="1142"/>
      <c r="JID42" s="1142"/>
      <c r="JIE42" s="1142"/>
      <c r="JIF42" s="1142"/>
      <c r="JIG42" s="1142"/>
      <c r="JIH42" s="1142"/>
      <c r="JII42" s="1142"/>
      <c r="JIJ42" s="1142"/>
      <c r="JIK42" s="1142"/>
      <c r="JIL42" s="1142"/>
      <c r="JIM42" s="1142"/>
      <c r="JIN42" s="1142"/>
      <c r="JIO42" s="1167"/>
      <c r="JIP42" s="1167"/>
      <c r="JIQ42" s="1167"/>
      <c r="JIR42" s="1167"/>
      <c r="JIS42" s="1167"/>
      <c r="JIT42" s="1167"/>
      <c r="JIU42" s="1167"/>
      <c r="JIV42" s="1167"/>
      <c r="JIW42" s="1167"/>
      <c r="JIX42" s="1142"/>
      <c r="JIY42" s="1142"/>
      <c r="JIZ42" s="1142"/>
      <c r="JJA42" s="1142"/>
      <c r="JJB42" s="1142"/>
      <c r="JJC42" s="1142"/>
      <c r="JJD42" s="1142"/>
      <c r="JJE42" s="1142"/>
      <c r="JJF42" s="1142"/>
      <c r="JJG42" s="1142"/>
      <c r="JJH42" s="1142"/>
      <c r="JJI42" s="1142"/>
      <c r="JJJ42" s="1142"/>
      <c r="JJK42" s="1142"/>
      <c r="JJL42" s="1142"/>
      <c r="JJM42" s="1142"/>
      <c r="JJN42" s="1142"/>
      <c r="JJO42" s="1142"/>
      <c r="JJP42" s="1142"/>
      <c r="JJQ42" s="1142"/>
      <c r="JJR42" s="1142"/>
      <c r="JJS42" s="1142"/>
      <c r="JJT42" s="1142"/>
      <c r="JJU42" s="1167"/>
      <c r="JJV42" s="1167"/>
      <c r="JJW42" s="1167"/>
      <c r="JJX42" s="1167"/>
      <c r="JJY42" s="1167"/>
      <c r="JJZ42" s="1167"/>
      <c r="JKA42" s="1167"/>
      <c r="JKB42" s="1167"/>
      <c r="JKC42" s="1167"/>
      <c r="JKD42" s="1142"/>
      <c r="JKE42" s="1142"/>
      <c r="JKF42" s="1142"/>
      <c r="JKG42" s="1142"/>
      <c r="JKH42" s="1142"/>
      <c r="JKI42" s="1142"/>
      <c r="JKJ42" s="1142"/>
      <c r="JKK42" s="1142"/>
      <c r="JKL42" s="1142"/>
      <c r="JKM42" s="1142"/>
      <c r="JKN42" s="1142"/>
      <c r="JKO42" s="1142"/>
      <c r="JKP42" s="1142"/>
      <c r="JKQ42" s="1142"/>
      <c r="JKR42" s="1142"/>
      <c r="JKS42" s="1142"/>
      <c r="JKT42" s="1142"/>
      <c r="JKU42" s="1142"/>
      <c r="JKV42" s="1142"/>
      <c r="JKW42" s="1142"/>
      <c r="JKX42" s="1142"/>
      <c r="JKY42" s="1142"/>
      <c r="JKZ42" s="1142"/>
      <c r="JLA42" s="1167"/>
      <c r="JLB42" s="1167"/>
      <c r="JLC42" s="1167"/>
      <c r="JLD42" s="1167"/>
      <c r="JLE42" s="1167"/>
      <c r="JLF42" s="1167"/>
      <c r="JLG42" s="1167"/>
      <c r="JLH42" s="1167"/>
      <c r="JLI42" s="1167"/>
      <c r="JLJ42" s="1142"/>
      <c r="JLK42" s="1142"/>
      <c r="JLL42" s="1142"/>
      <c r="JLM42" s="1142"/>
      <c r="JLN42" s="1142"/>
      <c r="JLO42" s="1142"/>
      <c r="JLP42" s="1142"/>
      <c r="JLQ42" s="1142"/>
      <c r="JLR42" s="1142"/>
      <c r="JLS42" s="1142"/>
      <c r="JLT42" s="1142"/>
      <c r="JLU42" s="1142"/>
      <c r="JLV42" s="1142"/>
      <c r="JLW42" s="1142"/>
      <c r="JLX42" s="1142"/>
      <c r="JLY42" s="1142"/>
      <c r="JLZ42" s="1142"/>
      <c r="JMA42" s="1142"/>
      <c r="JMB42" s="1142"/>
      <c r="JMC42" s="1142"/>
      <c r="JMD42" s="1142"/>
      <c r="JME42" s="1142"/>
      <c r="JMF42" s="1142"/>
      <c r="JMG42" s="1167"/>
      <c r="JMH42" s="1167"/>
      <c r="JMI42" s="1167"/>
      <c r="JMJ42" s="1167"/>
      <c r="JMK42" s="1167"/>
      <c r="JML42" s="1167"/>
      <c r="JMM42" s="1167"/>
      <c r="JMN42" s="1167"/>
      <c r="JMO42" s="1167"/>
      <c r="JMP42" s="1142"/>
      <c r="JMQ42" s="1142"/>
      <c r="JMR42" s="1142"/>
      <c r="JMS42" s="1142"/>
      <c r="JMT42" s="1142"/>
      <c r="JMU42" s="1142"/>
      <c r="JMV42" s="1142"/>
      <c r="JMW42" s="1142"/>
      <c r="JMX42" s="1142"/>
      <c r="JMY42" s="1142"/>
      <c r="JMZ42" s="1142"/>
      <c r="JNA42" s="1142"/>
      <c r="JNB42" s="1142"/>
      <c r="JNC42" s="1142"/>
      <c r="JND42" s="1142"/>
      <c r="JNE42" s="1142"/>
      <c r="JNF42" s="1142"/>
      <c r="JNG42" s="1142"/>
      <c r="JNH42" s="1142"/>
      <c r="JNI42" s="1142"/>
      <c r="JNJ42" s="1142"/>
      <c r="JNK42" s="1142"/>
      <c r="JNL42" s="1142"/>
      <c r="JNM42" s="1167"/>
      <c r="JNN42" s="1167"/>
      <c r="JNO42" s="1167"/>
      <c r="JNP42" s="1167"/>
      <c r="JNQ42" s="1167"/>
      <c r="JNR42" s="1167"/>
      <c r="JNS42" s="1167"/>
      <c r="JNT42" s="1167"/>
      <c r="JNU42" s="1167"/>
      <c r="JNV42" s="1142"/>
      <c r="JNW42" s="1142"/>
      <c r="JNX42" s="1142"/>
      <c r="JNY42" s="1142"/>
      <c r="JNZ42" s="1142"/>
      <c r="JOA42" s="1142"/>
      <c r="JOB42" s="1142"/>
      <c r="JOC42" s="1142"/>
      <c r="JOD42" s="1142"/>
      <c r="JOE42" s="1142"/>
      <c r="JOF42" s="1142"/>
      <c r="JOG42" s="1142"/>
      <c r="JOH42" s="1142"/>
      <c r="JOI42" s="1142"/>
      <c r="JOJ42" s="1142"/>
      <c r="JOK42" s="1142"/>
      <c r="JOL42" s="1142"/>
      <c r="JOM42" s="1142"/>
      <c r="JON42" s="1142"/>
      <c r="JOO42" s="1142"/>
      <c r="JOP42" s="1142"/>
      <c r="JOQ42" s="1142"/>
      <c r="JOR42" s="1142"/>
      <c r="JOS42" s="1167"/>
      <c r="JOT42" s="1167"/>
      <c r="JOU42" s="1167"/>
      <c r="JOV42" s="1167"/>
      <c r="JOW42" s="1167"/>
      <c r="JOX42" s="1167"/>
      <c r="JOY42" s="1167"/>
      <c r="JOZ42" s="1167"/>
      <c r="JPA42" s="1167"/>
      <c r="JPB42" s="1142"/>
      <c r="JPC42" s="1142"/>
      <c r="JPD42" s="1142"/>
      <c r="JPE42" s="1142"/>
      <c r="JPF42" s="1142"/>
      <c r="JPG42" s="1142"/>
      <c r="JPH42" s="1142"/>
      <c r="JPI42" s="1142"/>
      <c r="JPJ42" s="1142"/>
      <c r="JPK42" s="1142"/>
      <c r="JPL42" s="1142"/>
      <c r="JPM42" s="1142"/>
      <c r="JPN42" s="1142"/>
      <c r="JPO42" s="1142"/>
      <c r="JPP42" s="1142"/>
      <c r="JPQ42" s="1142"/>
      <c r="JPR42" s="1142"/>
      <c r="JPS42" s="1142"/>
      <c r="JPT42" s="1142"/>
      <c r="JPU42" s="1142"/>
      <c r="JPV42" s="1142"/>
      <c r="JPW42" s="1142"/>
      <c r="JPX42" s="1142"/>
      <c r="JPY42" s="1167"/>
      <c r="JPZ42" s="1167"/>
      <c r="JQA42" s="1167"/>
      <c r="JQB42" s="1167"/>
      <c r="JQC42" s="1167"/>
      <c r="JQD42" s="1167"/>
      <c r="JQE42" s="1167"/>
      <c r="JQF42" s="1167"/>
      <c r="JQG42" s="1167"/>
      <c r="JQH42" s="1142"/>
      <c r="JQI42" s="1142"/>
      <c r="JQJ42" s="1142"/>
      <c r="JQK42" s="1142"/>
      <c r="JQL42" s="1142"/>
      <c r="JQM42" s="1142"/>
      <c r="JQN42" s="1142"/>
      <c r="JQO42" s="1142"/>
      <c r="JQP42" s="1142"/>
      <c r="JQQ42" s="1142"/>
      <c r="JQR42" s="1142"/>
      <c r="JQS42" s="1142"/>
      <c r="JQT42" s="1142"/>
      <c r="JQU42" s="1142"/>
      <c r="JQV42" s="1142"/>
      <c r="JQW42" s="1142"/>
      <c r="JQX42" s="1142"/>
      <c r="JQY42" s="1142"/>
      <c r="JQZ42" s="1142"/>
      <c r="JRA42" s="1142"/>
      <c r="JRB42" s="1142"/>
      <c r="JRC42" s="1142"/>
      <c r="JRD42" s="1142"/>
      <c r="JRE42" s="1167"/>
      <c r="JRF42" s="1167"/>
      <c r="JRG42" s="1167"/>
      <c r="JRH42" s="1167"/>
      <c r="JRI42" s="1167"/>
      <c r="JRJ42" s="1167"/>
      <c r="JRK42" s="1167"/>
      <c r="JRL42" s="1167"/>
      <c r="JRM42" s="1167"/>
      <c r="JRN42" s="1142"/>
      <c r="JRO42" s="1142"/>
      <c r="JRP42" s="1142"/>
      <c r="JRQ42" s="1142"/>
      <c r="JRR42" s="1142"/>
      <c r="JRS42" s="1142"/>
      <c r="JRT42" s="1142"/>
      <c r="JRU42" s="1142"/>
      <c r="JRV42" s="1142"/>
      <c r="JRW42" s="1142"/>
      <c r="JRX42" s="1142"/>
      <c r="JRY42" s="1142"/>
      <c r="JRZ42" s="1142"/>
      <c r="JSA42" s="1142"/>
      <c r="JSB42" s="1142"/>
      <c r="JSC42" s="1142"/>
      <c r="JSD42" s="1142"/>
      <c r="JSE42" s="1142"/>
      <c r="JSF42" s="1142"/>
      <c r="JSG42" s="1142"/>
      <c r="JSH42" s="1142"/>
      <c r="JSI42" s="1142"/>
      <c r="JSJ42" s="1142"/>
      <c r="JSK42" s="1167"/>
      <c r="JSL42" s="1167"/>
      <c r="JSM42" s="1167"/>
      <c r="JSN42" s="1167"/>
      <c r="JSO42" s="1167"/>
      <c r="JSP42" s="1167"/>
      <c r="JSQ42" s="1167"/>
      <c r="JSR42" s="1167"/>
      <c r="JSS42" s="1167"/>
      <c r="JST42" s="1142"/>
      <c r="JSU42" s="1142"/>
      <c r="JSV42" s="1142"/>
      <c r="JSW42" s="1142"/>
      <c r="JSX42" s="1142"/>
      <c r="JSY42" s="1142"/>
      <c r="JSZ42" s="1142"/>
      <c r="JTA42" s="1142"/>
      <c r="JTB42" s="1142"/>
      <c r="JTC42" s="1142"/>
      <c r="JTD42" s="1142"/>
      <c r="JTE42" s="1142"/>
      <c r="JTF42" s="1142"/>
      <c r="JTG42" s="1142"/>
      <c r="JTH42" s="1142"/>
      <c r="JTI42" s="1142"/>
      <c r="JTJ42" s="1142"/>
      <c r="JTK42" s="1142"/>
      <c r="JTL42" s="1142"/>
      <c r="JTM42" s="1142"/>
      <c r="JTN42" s="1142"/>
      <c r="JTO42" s="1142"/>
      <c r="JTP42" s="1142"/>
      <c r="JTQ42" s="1167"/>
      <c r="JTR42" s="1167"/>
      <c r="JTS42" s="1167"/>
      <c r="JTT42" s="1167"/>
      <c r="JTU42" s="1167"/>
      <c r="JTV42" s="1167"/>
      <c r="JTW42" s="1167"/>
      <c r="JTX42" s="1167"/>
      <c r="JTY42" s="1167"/>
      <c r="JTZ42" s="1142"/>
      <c r="JUA42" s="1142"/>
      <c r="JUB42" s="1142"/>
      <c r="JUC42" s="1142"/>
      <c r="JUD42" s="1142"/>
      <c r="JUE42" s="1142"/>
      <c r="JUF42" s="1142"/>
      <c r="JUG42" s="1142"/>
      <c r="JUH42" s="1142"/>
      <c r="JUI42" s="1142"/>
      <c r="JUJ42" s="1142"/>
      <c r="JUK42" s="1142"/>
      <c r="JUL42" s="1142"/>
      <c r="JUM42" s="1142"/>
      <c r="JUN42" s="1142"/>
      <c r="JUO42" s="1142"/>
      <c r="JUP42" s="1142"/>
      <c r="JUQ42" s="1142"/>
      <c r="JUR42" s="1142"/>
      <c r="JUS42" s="1142"/>
      <c r="JUT42" s="1142"/>
      <c r="JUU42" s="1142"/>
      <c r="JUV42" s="1142"/>
      <c r="JUW42" s="1167"/>
      <c r="JUX42" s="1167"/>
      <c r="JUY42" s="1167"/>
      <c r="JUZ42" s="1167"/>
      <c r="JVA42" s="1167"/>
      <c r="JVB42" s="1167"/>
      <c r="JVC42" s="1167"/>
      <c r="JVD42" s="1167"/>
      <c r="JVE42" s="1167"/>
      <c r="JVF42" s="1142"/>
      <c r="JVG42" s="1142"/>
      <c r="JVH42" s="1142"/>
      <c r="JVI42" s="1142"/>
      <c r="JVJ42" s="1142"/>
      <c r="JVK42" s="1142"/>
      <c r="JVL42" s="1142"/>
      <c r="JVM42" s="1142"/>
      <c r="JVN42" s="1142"/>
      <c r="JVO42" s="1142"/>
      <c r="JVP42" s="1142"/>
      <c r="JVQ42" s="1142"/>
      <c r="JVR42" s="1142"/>
      <c r="JVS42" s="1142"/>
      <c r="JVT42" s="1142"/>
      <c r="JVU42" s="1142"/>
      <c r="JVV42" s="1142"/>
      <c r="JVW42" s="1142"/>
      <c r="JVX42" s="1142"/>
      <c r="JVY42" s="1142"/>
      <c r="JVZ42" s="1142"/>
      <c r="JWA42" s="1142"/>
      <c r="JWB42" s="1142"/>
      <c r="JWC42" s="1167"/>
      <c r="JWD42" s="1167"/>
      <c r="JWE42" s="1167"/>
      <c r="JWF42" s="1167"/>
      <c r="JWG42" s="1167"/>
      <c r="JWH42" s="1167"/>
      <c r="JWI42" s="1167"/>
      <c r="JWJ42" s="1167"/>
      <c r="JWK42" s="1167"/>
      <c r="JWL42" s="1142"/>
      <c r="JWM42" s="1142"/>
      <c r="JWN42" s="1142"/>
      <c r="JWO42" s="1142"/>
      <c r="JWP42" s="1142"/>
      <c r="JWQ42" s="1142"/>
      <c r="JWR42" s="1142"/>
      <c r="JWS42" s="1142"/>
      <c r="JWT42" s="1142"/>
      <c r="JWU42" s="1142"/>
      <c r="JWV42" s="1142"/>
      <c r="JWW42" s="1142"/>
      <c r="JWX42" s="1142"/>
      <c r="JWY42" s="1142"/>
      <c r="JWZ42" s="1142"/>
      <c r="JXA42" s="1142"/>
      <c r="JXB42" s="1142"/>
      <c r="JXC42" s="1142"/>
      <c r="JXD42" s="1142"/>
      <c r="JXE42" s="1142"/>
      <c r="JXF42" s="1142"/>
      <c r="JXG42" s="1142"/>
      <c r="JXH42" s="1142"/>
      <c r="JXI42" s="1167"/>
      <c r="JXJ42" s="1167"/>
      <c r="JXK42" s="1167"/>
      <c r="JXL42" s="1167"/>
      <c r="JXM42" s="1167"/>
      <c r="JXN42" s="1167"/>
      <c r="JXO42" s="1167"/>
      <c r="JXP42" s="1167"/>
      <c r="JXQ42" s="1167"/>
      <c r="JXR42" s="1142"/>
      <c r="JXS42" s="1142"/>
      <c r="JXT42" s="1142"/>
      <c r="JXU42" s="1142"/>
      <c r="JXV42" s="1142"/>
      <c r="JXW42" s="1142"/>
      <c r="JXX42" s="1142"/>
      <c r="JXY42" s="1142"/>
      <c r="JXZ42" s="1142"/>
      <c r="JYA42" s="1142"/>
      <c r="JYB42" s="1142"/>
      <c r="JYC42" s="1142"/>
      <c r="JYD42" s="1142"/>
      <c r="JYE42" s="1142"/>
      <c r="JYF42" s="1142"/>
      <c r="JYG42" s="1142"/>
      <c r="JYH42" s="1142"/>
      <c r="JYI42" s="1142"/>
      <c r="JYJ42" s="1142"/>
      <c r="JYK42" s="1142"/>
      <c r="JYL42" s="1142"/>
      <c r="JYM42" s="1142"/>
      <c r="JYN42" s="1142"/>
      <c r="JYO42" s="1167"/>
      <c r="JYP42" s="1167"/>
      <c r="JYQ42" s="1167"/>
      <c r="JYR42" s="1167"/>
      <c r="JYS42" s="1167"/>
      <c r="JYT42" s="1167"/>
      <c r="JYU42" s="1167"/>
      <c r="JYV42" s="1167"/>
      <c r="JYW42" s="1167"/>
      <c r="JYX42" s="1142"/>
      <c r="JYY42" s="1142"/>
      <c r="JYZ42" s="1142"/>
      <c r="JZA42" s="1142"/>
      <c r="JZB42" s="1142"/>
      <c r="JZC42" s="1142"/>
      <c r="JZD42" s="1142"/>
      <c r="JZE42" s="1142"/>
      <c r="JZF42" s="1142"/>
      <c r="JZG42" s="1142"/>
      <c r="JZH42" s="1142"/>
      <c r="JZI42" s="1142"/>
      <c r="JZJ42" s="1142"/>
      <c r="JZK42" s="1142"/>
      <c r="JZL42" s="1142"/>
      <c r="JZM42" s="1142"/>
      <c r="JZN42" s="1142"/>
      <c r="JZO42" s="1142"/>
      <c r="JZP42" s="1142"/>
      <c r="JZQ42" s="1142"/>
      <c r="JZR42" s="1142"/>
      <c r="JZS42" s="1142"/>
      <c r="JZT42" s="1142"/>
      <c r="JZU42" s="1167"/>
      <c r="JZV42" s="1167"/>
      <c r="JZW42" s="1167"/>
      <c r="JZX42" s="1167"/>
      <c r="JZY42" s="1167"/>
      <c r="JZZ42" s="1167"/>
      <c r="KAA42" s="1167"/>
      <c r="KAB42" s="1167"/>
      <c r="KAC42" s="1167"/>
      <c r="KAD42" s="1142"/>
      <c r="KAE42" s="1142"/>
      <c r="KAF42" s="1142"/>
      <c r="KAG42" s="1142"/>
      <c r="KAH42" s="1142"/>
      <c r="KAI42" s="1142"/>
      <c r="KAJ42" s="1142"/>
      <c r="KAK42" s="1142"/>
      <c r="KAL42" s="1142"/>
      <c r="KAM42" s="1142"/>
      <c r="KAN42" s="1142"/>
      <c r="KAO42" s="1142"/>
      <c r="KAP42" s="1142"/>
      <c r="KAQ42" s="1142"/>
      <c r="KAR42" s="1142"/>
      <c r="KAS42" s="1142"/>
      <c r="KAT42" s="1142"/>
      <c r="KAU42" s="1142"/>
      <c r="KAV42" s="1142"/>
      <c r="KAW42" s="1142"/>
      <c r="KAX42" s="1142"/>
      <c r="KAY42" s="1142"/>
      <c r="KAZ42" s="1142"/>
      <c r="KBA42" s="1167"/>
      <c r="KBB42" s="1167"/>
      <c r="KBC42" s="1167"/>
      <c r="KBD42" s="1167"/>
      <c r="KBE42" s="1167"/>
      <c r="KBF42" s="1167"/>
      <c r="KBG42" s="1167"/>
      <c r="KBH42" s="1167"/>
      <c r="KBI42" s="1167"/>
      <c r="KBJ42" s="1142"/>
      <c r="KBK42" s="1142"/>
      <c r="KBL42" s="1142"/>
      <c r="KBM42" s="1142"/>
      <c r="KBN42" s="1142"/>
      <c r="KBO42" s="1142"/>
      <c r="KBP42" s="1142"/>
      <c r="KBQ42" s="1142"/>
      <c r="KBR42" s="1142"/>
      <c r="KBS42" s="1142"/>
      <c r="KBT42" s="1142"/>
      <c r="KBU42" s="1142"/>
      <c r="KBV42" s="1142"/>
      <c r="KBW42" s="1142"/>
      <c r="KBX42" s="1142"/>
      <c r="KBY42" s="1142"/>
      <c r="KBZ42" s="1142"/>
      <c r="KCA42" s="1142"/>
      <c r="KCB42" s="1142"/>
      <c r="KCC42" s="1142"/>
      <c r="KCD42" s="1142"/>
      <c r="KCE42" s="1142"/>
      <c r="KCF42" s="1142"/>
      <c r="KCG42" s="1167"/>
      <c r="KCH42" s="1167"/>
      <c r="KCI42" s="1167"/>
      <c r="KCJ42" s="1167"/>
      <c r="KCK42" s="1167"/>
      <c r="KCL42" s="1167"/>
      <c r="KCM42" s="1167"/>
      <c r="KCN42" s="1167"/>
      <c r="KCO42" s="1167"/>
      <c r="KCP42" s="1142"/>
      <c r="KCQ42" s="1142"/>
      <c r="KCR42" s="1142"/>
      <c r="KCS42" s="1142"/>
      <c r="KCT42" s="1142"/>
      <c r="KCU42" s="1142"/>
      <c r="KCV42" s="1142"/>
      <c r="KCW42" s="1142"/>
      <c r="KCX42" s="1142"/>
      <c r="KCY42" s="1142"/>
      <c r="KCZ42" s="1142"/>
      <c r="KDA42" s="1142"/>
      <c r="KDB42" s="1142"/>
      <c r="KDC42" s="1142"/>
      <c r="KDD42" s="1142"/>
      <c r="KDE42" s="1142"/>
      <c r="KDF42" s="1142"/>
      <c r="KDG42" s="1142"/>
      <c r="KDH42" s="1142"/>
      <c r="KDI42" s="1142"/>
      <c r="KDJ42" s="1142"/>
      <c r="KDK42" s="1142"/>
      <c r="KDL42" s="1142"/>
      <c r="KDM42" s="1167"/>
      <c r="KDN42" s="1167"/>
      <c r="KDO42" s="1167"/>
      <c r="KDP42" s="1167"/>
      <c r="KDQ42" s="1167"/>
      <c r="KDR42" s="1167"/>
      <c r="KDS42" s="1167"/>
      <c r="KDT42" s="1167"/>
      <c r="KDU42" s="1167"/>
      <c r="KDV42" s="1142"/>
      <c r="KDW42" s="1142"/>
      <c r="KDX42" s="1142"/>
      <c r="KDY42" s="1142"/>
      <c r="KDZ42" s="1142"/>
      <c r="KEA42" s="1142"/>
      <c r="KEB42" s="1142"/>
      <c r="KEC42" s="1142"/>
      <c r="KED42" s="1142"/>
      <c r="KEE42" s="1142"/>
      <c r="KEF42" s="1142"/>
      <c r="KEG42" s="1142"/>
      <c r="KEH42" s="1142"/>
      <c r="KEI42" s="1142"/>
      <c r="KEJ42" s="1142"/>
      <c r="KEK42" s="1142"/>
      <c r="KEL42" s="1142"/>
      <c r="KEM42" s="1142"/>
      <c r="KEN42" s="1142"/>
      <c r="KEO42" s="1142"/>
      <c r="KEP42" s="1142"/>
      <c r="KEQ42" s="1142"/>
      <c r="KER42" s="1142"/>
      <c r="KES42" s="1167"/>
      <c r="KET42" s="1167"/>
      <c r="KEU42" s="1167"/>
      <c r="KEV42" s="1167"/>
      <c r="KEW42" s="1167"/>
      <c r="KEX42" s="1167"/>
      <c r="KEY42" s="1167"/>
      <c r="KEZ42" s="1167"/>
      <c r="KFA42" s="1167"/>
      <c r="KFB42" s="1142"/>
      <c r="KFC42" s="1142"/>
      <c r="KFD42" s="1142"/>
      <c r="KFE42" s="1142"/>
      <c r="KFF42" s="1142"/>
      <c r="KFG42" s="1142"/>
      <c r="KFH42" s="1142"/>
      <c r="KFI42" s="1142"/>
      <c r="KFJ42" s="1142"/>
      <c r="KFK42" s="1142"/>
      <c r="KFL42" s="1142"/>
      <c r="KFM42" s="1142"/>
      <c r="KFN42" s="1142"/>
      <c r="KFO42" s="1142"/>
      <c r="KFP42" s="1142"/>
      <c r="KFQ42" s="1142"/>
      <c r="KFR42" s="1142"/>
      <c r="KFS42" s="1142"/>
      <c r="KFT42" s="1142"/>
      <c r="KFU42" s="1142"/>
      <c r="KFV42" s="1142"/>
      <c r="KFW42" s="1142"/>
      <c r="KFX42" s="1142"/>
      <c r="KFY42" s="1167"/>
      <c r="KFZ42" s="1167"/>
      <c r="KGA42" s="1167"/>
      <c r="KGB42" s="1167"/>
      <c r="KGC42" s="1167"/>
      <c r="KGD42" s="1167"/>
      <c r="KGE42" s="1167"/>
      <c r="KGF42" s="1167"/>
      <c r="KGG42" s="1167"/>
      <c r="KGH42" s="1142"/>
      <c r="KGI42" s="1142"/>
      <c r="KGJ42" s="1142"/>
      <c r="KGK42" s="1142"/>
      <c r="KGL42" s="1142"/>
      <c r="KGM42" s="1142"/>
      <c r="KGN42" s="1142"/>
      <c r="KGO42" s="1142"/>
      <c r="KGP42" s="1142"/>
      <c r="KGQ42" s="1142"/>
      <c r="KGR42" s="1142"/>
      <c r="KGS42" s="1142"/>
      <c r="KGT42" s="1142"/>
      <c r="KGU42" s="1142"/>
      <c r="KGV42" s="1142"/>
      <c r="KGW42" s="1142"/>
      <c r="KGX42" s="1142"/>
      <c r="KGY42" s="1142"/>
      <c r="KGZ42" s="1142"/>
      <c r="KHA42" s="1142"/>
      <c r="KHB42" s="1142"/>
      <c r="KHC42" s="1142"/>
      <c r="KHD42" s="1142"/>
      <c r="KHE42" s="1167"/>
      <c r="KHF42" s="1167"/>
      <c r="KHG42" s="1167"/>
      <c r="KHH42" s="1167"/>
      <c r="KHI42" s="1167"/>
      <c r="KHJ42" s="1167"/>
      <c r="KHK42" s="1167"/>
      <c r="KHL42" s="1167"/>
      <c r="KHM42" s="1167"/>
      <c r="KHN42" s="1142"/>
      <c r="KHO42" s="1142"/>
      <c r="KHP42" s="1142"/>
      <c r="KHQ42" s="1142"/>
      <c r="KHR42" s="1142"/>
      <c r="KHS42" s="1142"/>
      <c r="KHT42" s="1142"/>
      <c r="KHU42" s="1142"/>
      <c r="KHV42" s="1142"/>
      <c r="KHW42" s="1142"/>
      <c r="KHX42" s="1142"/>
      <c r="KHY42" s="1142"/>
      <c r="KHZ42" s="1142"/>
      <c r="KIA42" s="1142"/>
      <c r="KIB42" s="1142"/>
      <c r="KIC42" s="1142"/>
      <c r="KID42" s="1142"/>
      <c r="KIE42" s="1142"/>
      <c r="KIF42" s="1142"/>
      <c r="KIG42" s="1142"/>
      <c r="KIH42" s="1142"/>
      <c r="KII42" s="1142"/>
      <c r="KIJ42" s="1142"/>
      <c r="KIK42" s="1167"/>
      <c r="KIL42" s="1167"/>
      <c r="KIM42" s="1167"/>
      <c r="KIN42" s="1167"/>
      <c r="KIO42" s="1167"/>
      <c r="KIP42" s="1167"/>
      <c r="KIQ42" s="1167"/>
      <c r="KIR42" s="1167"/>
      <c r="KIS42" s="1167"/>
      <c r="KIT42" s="1142"/>
      <c r="KIU42" s="1142"/>
      <c r="KIV42" s="1142"/>
      <c r="KIW42" s="1142"/>
      <c r="KIX42" s="1142"/>
      <c r="KIY42" s="1142"/>
      <c r="KIZ42" s="1142"/>
      <c r="KJA42" s="1142"/>
      <c r="KJB42" s="1142"/>
      <c r="KJC42" s="1142"/>
      <c r="KJD42" s="1142"/>
      <c r="KJE42" s="1142"/>
      <c r="KJF42" s="1142"/>
      <c r="KJG42" s="1142"/>
      <c r="KJH42" s="1142"/>
      <c r="KJI42" s="1142"/>
      <c r="KJJ42" s="1142"/>
      <c r="KJK42" s="1142"/>
      <c r="KJL42" s="1142"/>
      <c r="KJM42" s="1142"/>
      <c r="KJN42" s="1142"/>
      <c r="KJO42" s="1142"/>
      <c r="KJP42" s="1142"/>
      <c r="KJQ42" s="1167"/>
      <c r="KJR42" s="1167"/>
      <c r="KJS42" s="1167"/>
      <c r="KJT42" s="1167"/>
      <c r="KJU42" s="1167"/>
      <c r="KJV42" s="1167"/>
      <c r="KJW42" s="1167"/>
      <c r="KJX42" s="1167"/>
      <c r="KJY42" s="1167"/>
      <c r="KJZ42" s="1142"/>
      <c r="KKA42" s="1142"/>
      <c r="KKB42" s="1142"/>
      <c r="KKC42" s="1142"/>
      <c r="KKD42" s="1142"/>
      <c r="KKE42" s="1142"/>
      <c r="KKF42" s="1142"/>
      <c r="KKG42" s="1142"/>
      <c r="KKH42" s="1142"/>
      <c r="KKI42" s="1142"/>
      <c r="KKJ42" s="1142"/>
      <c r="KKK42" s="1142"/>
      <c r="KKL42" s="1142"/>
      <c r="KKM42" s="1142"/>
      <c r="KKN42" s="1142"/>
      <c r="KKO42" s="1142"/>
      <c r="KKP42" s="1142"/>
      <c r="KKQ42" s="1142"/>
      <c r="KKR42" s="1142"/>
      <c r="KKS42" s="1142"/>
      <c r="KKT42" s="1142"/>
      <c r="KKU42" s="1142"/>
      <c r="KKV42" s="1142"/>
      <c r="KKW42" s="1167"/>
      <c r="KKX42" s="1167"/>
      <c r="KKY42" s="1167"/>
      <c r="KKZ42" s="1167"/>
      <c r="KLA42" s="1167"/>
      <c r="KLB42" s="1167"/>
      <c r="KLC42" s="1167"/>
      <c r="KLD42" s="1167"/>
      <c r="KLE42" s="1167"/>
      <c r="KLF42" s="1142"/>
      <c r="KLG42" s="1142"/>
      <c r="KLH42" s="1142"/>
      <c r="KLI42" s="1142"/>
      <c r="KLJ42" s="1142"/>
      <c r="KLK42" s="1142"/>
      <c r="KLL42" s="1142"/>
      <c r="KLM42" s="1142"/>
      <c r="KLN42" s="1142"/>
      <c r="KLO42" s="1142"/>
      <c r="KLP42" s="1142"/>
      <c r="KLQ42" s="1142"/>
      <c r="KLR42" s="1142"/>
      <c r="KLS42" s="1142"/>
      <c r="KLT42" s="1142"/>
      <c r="KLU42" s="1142"/>
      <c r="KLV42" s="1142"/>
      <c r="KLW42" s="1142"/>
      <c r="KLX42" s="1142"/>
      <c r="KLY42" s="1142"/>
      <c r="KLZ42" s="1142"/>
      <c r="KMA42" s="1142"/>
      <c r="KMB42" s="1142"/>
      <c r="KMC42" s="1167"/>
      <c r="KMD42" s="1167"/>
      <c r="KME42" s="1167"/>
      <c r="KMF42" s="1167"/>
      <c r="KMG42" s="1167"/>
      <c r="KMH42" s="1167"/>
      <c r="KMI42" s="1167"/>
      <c r="KMJ42" s="1167"/>
      <c r="KMK42" s="1167"/>
      <c r="KML42" s="1142"/>
      <c r="KMM42" s="1142"/>
      <c r="KMN42" s="1142"/>
      <c r="KMO42" s="1142"/>
      <c r="KMP42" s="1142"/>
      <c r="KMQ42" s="1142"/>
      <c r="KMR42" s="1142"/>
      <c r="KMS42" s="1142"/>
      <c r="KMT42" s="1142"/>
      <c r="KMU42" s="1142"/>
      <c r="KMV42" s="1142"/>
      <c r="KMW42" s="1142"/>
      <c r="KMX42" s="1142"/>
      <c r="KMY42" s="1142"/>
      <c r="KMZ42" s="1142"/>
      <c r="KNA42" s="1142"/>
      <c r="KNB42" s="1142"/>
      <c r="KNC42" s="1142"/>
      <c r="KND42" s="1142"/>
      <c r="KNE42" s="1142"/>
      <c r="KNF42" s="1142"/>
      <c r="KNG42" s="1142"/>
      <c r="KNH42" s="1142"/>
      <c r="KNI42" s="1167"/>
      <c r="KNJ42" s="1167"/>
      <c r="KNK42" s="1167"/>
      <c r="KNL42" s="1167"/>
      <c r="KNM42" s="1167"/>
      <c r="KNN42" s="1167"/>
      <c r="KNO42" s="1167"/>
      <c r="KNP42" s="1167"/>
      <c r="KNQ42" s="1167"/>
      <c r="KNR42" s="1142"/>
      <c r="KNS42" s="1142"/>
      <c r="KNT42" s="1142"/>
      <c r="KNU42" s="1142"/>
      <c r="KNV42" s="1142"/>
      <c r="KNW42" s="1142"/>
      <c r="KNX42" s="1142"/>
      <c r="KNY42" s="1142"/>
      <c r="KNZ42" s="1142"/>
      <c r="KOA42" s="1142"/>
      <c r="KOB42" s="1142"/>
      <c r="KOC42" s="1142"/>
      <c r="KOD42" s="1142"/>
      <c r="KOE42" s="1142"/>
      <c r="KOF42" s="1142"/>
      <c r="KOG42" s="1142"/>
      <c r="KOH42" s="1142"/>
      <c r="KOI42" s="1142"/>
      <c r="KOJ42" s="1142"/>
      <c r="KOK42" s="1142"/>
      <c r="KOL42" s="1142"/>
      <c r="KOM42" s="1142"/>
      <c r="KON42" s="1142"/>
      <c r="KOO42" s="1167"/>
      <c r="KOP42" s="1167"/>
      <c r="KOQ42" s="1167"/>
      <c r="KOR42" s="1167"/>
      <c r="KOS42" s="1167"/>
      <c r="KOT42" s="1167"/>
      <c r="KOU42" s="1167"/>
      <c r="KOV42" s="1167"/>
      <c r="KOW42" s="1167"/>
      <c r="KOX42" s="1142"/>
      <c r="KOY42" s="1142"/>
      <c r="KOZ42" s="1142"/>
      <c r="KPA42" s="1142"/>
      <c r="KPB42" s="1142"/>
      <c r="KPC42" s="1142"/>
      <c r="KPD42" s="1142"/>
      <c r="KPE42" s="1142"/>
      <c r="KPF42" s="1142"/>
      <c r="KPG42" s="1142"/>
      <c r="KPH42" s="1142"/>
      <c r="KPI42" s="1142"/>
      <c r="KPJ42" s="1142"/>
      <c r="KPK42" s="1142"/>
      <c r="KPL42" s="1142"/>
      <c r="KPM42" s="1142"/>
      <c r="KPN42" s="1142"/>
      <c r="KPO42" s="1142"/>
      <c r="KPP42" s="1142"/>
      <c r="KPQ42" s="1142"/>
      <c r="KPR42" s="1142"/>
      <c r="KPS42" s="1142"/>
      <c r="KPT42" s="1142"/>
      <c r="KPU42" s="1167"/>
      <c r="KPV42" s="1167"/>
      <c r="KPW42" s="1167"/>
      <c r="KPX42" s="1167"/>
      <c r="KPY42" s="1167"/>
      <c r="KPZ42" s="1167"/>
      <c r="KQA42" s="1167"/>
      <c r="KQB42" s="1167"/>
      <c r="KQC42" s="1167"/>
      <c r="KQD42" s="1142"/>
      <c r="KQE42" s="1142"/>
      <c r="KQF42" s="1142"/>
      <c r="KQG42" s="1142"/>
      <c r="KQH42" s="1142"/>
      <c r="KQI42" s="1142"/>
      <c r="KQJ42" s="1142"/>
      <c r="KQK42" s="1142"/>
      <c r="KQL42" s="1142"/>
      <c r="KQM42" s="1142"/>
      <c r="KQN42" s="1142"/>
      <c r="KQO42" s="1142"/>
      <c r="KQP42" s="1142"/>
      <c r="KQQ42" s="1142"/>
      <c r="KQR42" s="1142"/>
      <c r="KQS42" s="1142"/>
      <c r="KQT42" s="1142"/>
      <c r="KQU42" s="1142"/>
      <c r="KQV42" s="1142"/>
      <c r="KQW42" s="1142"/>
      <c r="KQX42" s="1142"/>
      <c r="KQY42" s="1142"/>
      <c r="KQZ42" s="1142"/>
      <c r="KRA42" s="1167"/>
      <c r="KRB42" s="1167"/>
      <c r="KRC42" s="1167"/>
      <c r="KRD42" s="1167"/>
      <c r="KRE42" s="1167"/>
      <c r="KRF42" s="1167"/>
      <c r="KRG42" s="1167"/>
      <c r="KRH42" s="1167"/>
      <c r="KRI42" s="1167"/>
      <c r="KRJ42" s="1142"/>
      <c r="KRK42" s="1142"/>
      <c r="KRL42" s="1142"/>
      <c r="KRM42" s="1142"/>
      <c r="KRN42" s="1142"/>
      <c r="KRO42" s="1142"/>
      <c r="KRP42" s="1142"/>
      <c r="KRQ42" s="1142"/>
      <c r="KRR42" s="1142"/>
      <c r="KRS42" s="1142"/>
      <c r="KRT42" s="1142"/>
      <c r="KRU42" s="1142"/>
      <c r="KRV42" s="1142"/>
      <c r="KRW42" s="1142"/>
      <c r="KRX42" s="1142"/>
      <c r="KRY42" s="1142"/>
      <c r="KRZ42" s="1142"/>
      <c r="KSA42" s="1142"/>
      <c r="KSB42" s="1142"/>
      <c r="KSC42" s="1142"/>
      <c r="KSD42" s="1142"/>
      <c r="KSE42" s="1142"/>
      <c r="KSF42" s="1142"/>
      <c r="KSG42" s="1167"/>
      <c r="KSH42" s="1167"/>
      <c r="KSI42" s="1167"/>
      <c r="KSJ42" s="1167"/>
      <c r="KSK42" s="1167"/>
      <c r="KSL42" s="1167"/>
      <c r="KSM42" s="1167"/>
      <c r="KSN42" s="1167"/>
      <c r="KSO42" s="1167"/>
      <c r="KSP42" s="1142"/>
      <c r="KSQ42" s="1142"/>
      <c r="KSR42" s="1142"/>
      <c r="KSS42" s="1142"/>
      <c r="KST42" s="1142"/>
      <c r="KSU42" s="1142"/>
      <c r="KSV42" s="1142"/>
      <c r="KSW42" s="1142"/>
      <c r="KSX42" s="1142"/>
      <c r="KSY42" s="1142"/>
      <c r="KSZ42" s="1142"/>
      <c r="KTA42" s="1142"/>
      <c r="KTB42" s="1142"/>
      <c r="KTC42" s="1142"/>
      <c r="KTD42" s="1142"/>
      <c r="KTE42" s="1142"/>
      <c r="KTF42" s="1142"/>
      <c r="KTG42" s="1142"/>
      <c r="KTH42" s="1142"/>
      <c r="KTI42" s="1142"/>
      <c r="KTJ42" s="1142"/>
      <c r="KTK42" s="1142"/>
      <c r="KTL42" s="1142"/>
      <c r="KTM42" s="1167"/>
      <c r="KTN42" s="1167"/>
      <c r="KTO42" s="1167"/>
      <c r="KTP42" s="1167"/>
      <c r="KTQ42" s="1167"/>
      <c r="KTR42" s="1167"/>
      <c r="KTS42" s="1167"/>
      <c r="KTT42" s="1167"/>
      <c r="KTU42" s="1167"/>
      <c r="KTV42" s="1142"/>
      <c r="KTW42" s="1142"/>
      <c r="KTX42" s="1142"/>
      <c r="KTY42" s="1142"/>
      <c r="KTZ42" s="1142"/>
      <c r="KUA42" s="1142"/>
      <c r="KUB42" s="1142"/>
      <c r="KUC42" s="1142"/>
      <c r="KUD42" s="1142"/>
      <c r="KUE42" s="1142"/>
      <c r="KUF42" s="1142"/>
      <c r="KUG42" s="1142"/>
      <c r="KUH42" s="1142"/>
      <c r="KUI42" s="1142"/>
      <c r="KUJ42" s="1142"/>
      <c r="KUK42" s="1142"/>
      <c r="KUL42" s="1142"/>
      <c r="KUM42" s="1142"/>
      <c r="KUN42" s="1142"/>
      <c r="KUO42" s="1142"/>
      <c r="KUP42" s="1142"/>
      <c r="KUQ42" s="1142"/>
      <c r="KUR42" s="1142"/>
      <c r="KUS42" s="1167"/>
      <c r="KUT42" s="1167"/>
      <c r="KUU42" s="1167"/>
      <c r="KUV42" s="1167"/>
      <c r="KUW42" s="1167"/>
      <c r="KUX42" s="1167"/>
      <c r="KUY42" s="1167"/>
      <c r="KUZ42" s="1167"/>
      <c r="KVA42" s="1167"/>
      <c r="KVB42" s="1142"/>
      <c r="KVC42" s="1142"/>
      <c r="KVD42" s="1142"/>
      <c r="KVE42" s="1142"/>
      <c r="KVF42" s="1142"/>
      <c r="KVG42" s="1142"/>
      <c r="KVH42" s="1142"/>
      <c r="KVI42" s="1142"/>
      <c r="KVJ42" s="1142"/>
      <c r="KVK42" s="1142"/>
      <c r="KVL42" s="1142"/>
      <c r="KVM42" s="1142"/>
      <c r="KVN42" s="1142"/>
      <c r="KVO42" s="1142"/>
      <c r="KVP42" s="1142"/>
      <c r="KVQ42" s="1142"/>
      <c r="KVR42" s="1142"/>
      <c r="KVS42" s="1142"/>
      <c r="KVT42" s="1142"/>
      <c r="KVU42" s="1142"/>
      <c r="KVV42" s="1142"/>
      <c r="KVW42" s="1142"/>
      <c r="KVX42" s="1142"/>
      <c r="KVY42" s="1167"/>
      <c r="KVZ42" s="1167"/>
      <c r="KWA42" s="1167"/>
      <c r="KWB42" s="1167"/>
      <c r="KWC42" s="1167"/>
      <c r="KWD42" s="1167"/>
      <c r="KWE42" s="1167"/>
      <c r="KWF42" s="1167"/>
      <c r="KWG42" s="1167"/>
      <c r="KWH42" s="1142"/>
      <c r="KWI42" s="1142"/>
      <c r="KWJ42" s="1142"/>
      <c r="KWK42" s="1142"/>
      <c r="KWL42" s="1142"/>
      <c r="KWM42" s="1142"/>
      <c r="KWN42" s="1142"/>
      <c r="KWO42" s="1142"/>
      <c r="KWP42" s="1142"/>
      <c r="KWQ42" s="1142"/>
      <c r="KWR42" s="1142"/>
      <c r="KWS42" s="1142"/>
      <c r="KWT42" s="1142"/>
      <c r="KWU42" s="1142"/>
      <c r="KWV42" s="1142"/>
      <c r="KWW42" s="1142"/>
      <c r="KWX42" s="1142"/>
      <c r="KWY42" s="1142"/>
      <c r="KWZ42" s="1142"/>
      <c r="KXA42" s="1142"/>
      <c r="KXB42" s="1142"/>
      <c r="KXC42" s="1142"/>
      <c r="KXD42" s="1142"/>
      <c r="KXE42" s="1167"/>
      <c r="KXF42" s="1167"/>
      <c r="KXG42" s="1167"/>
      <c r="KXH42" s="1167"/>
      <c r="KXI42" s="1167"/>
      <c r="KXJ42" s="1167"/>
      <c r="KXK42" s="1167"/>
      <c r="KXL42" s="1167"/>
      <c r="KXM42" s="1167"/>
      <c r="KXN42" s="1142"/>
      <c r="KXO42" s="1142"/>
      <c r="KXP42" s="1142"/>
      <c r="KXQ42" s="1142"/>
      <c r="KXR42" s="1142"/>
      <c r="KXS42" s="1142"/>
      <c r="KXT42" s="1142"/>
      <c r="KXU42" s="1142"/>
      <c r="KXV42" s="1142"/>
      <c r="KXW42" s="1142"/>
      <c r="KXX42" s="1142"/>
      <c r="KXY42" s="1142"/>
      <c r="KXZ42" s="1142"/>
      <c r="KYA42" s="1142"/>
      <c r="KYB42" s="1142"/>
      <c r="KYC42" s="1142"/>
      <c r="KYD42" s="1142"/>
      <c r="KYE42" s="1142"/>
      <c r="KYF42" s="1142"/>
      <c r="KYG42" s="1142"/>
      <c r="KYH42" s="1142"/>
      <c r="KYI42" s="1142"/>
      <c r="KYJ42" s="1142"/>
      <c r="KYK42" s="1167"/>
      <c r="KYL42" s="1167"/>
      <c r="KYM42" s="1167"/>
      <c r="KYN42" s="1167"/>
      <c r="KYO42" s="1167"/>
      <c r="KYP42" s="1167"/>
      <c r="KYQ42" s="1167"/>
      <c r="KYR42" s="1167"/>
      <c r="KYS42" s="1167"/>
      <c r="KYT42" s="1142"/>
      <c r="KYU42" s="1142"/>
      <c r="KYV42" s="1142"/>
      <c r="KYW42" s="1142"/>
      <c r="KYX42" s="1142"/>
      <c r="KYY42" s="1142"/>
      <c r="KYZ42" s="1142"/>
      <c r="KZA42" s="1142"/>
      <c r="KZB42" s="1142"/>
      <c r="KZC42" s="1142"/>
      <c r="KZD42" s="1142"/>
      <c r="KZE42" s="1142"/>
      <c r="KZF42" s="1142"/>
      <c r="KZG42" s="1142"/>
      <c r="KZH42" s="1142"/>
      <c r="KZI42" s="1142"/>
      <c r="KZJ42" s="1142"/>
      <c r="KZK42" s="1142"/>
      <c r="KZL42" s="1142"/>
      <c r="KZM42" s="1142"/>
      <c r="KZN42" s="1142"/>
      <c r="KZO42" s="1142"/>
      <c r="KZP42" s="1142"/>
      <c r="KZQ42" s="1167"/>
      <c r="KZR42" s="1167"/>
      <c r="KZS42" s="1167"/>
      <c r="KZT42" s="1167"/>
      <c r="KZU42" s="1167"/>
      <c r="KZV42" s="1167"/>
      <c r="KZW42" s="1167"/>
      <c r="KZX42" s="1167"/>
      <c r="KZY42" s="1167"/>
      <c r="KZZ42" s="1142"/>
      <c r="LAA42" s="1142"/>
      <c r="LAB42" s="1142"/>
      <c r="LAC42" s="1142"/>
      <c r="LAD42" s="1142"/>
      <c r="LAE42" s="1142"/>
      <c r="LAF42" s="1142"/>
      <c r="LAG42" s="1142"/>
      <c r="LAH42" s="1142"/>
      <c r="LAI42" s="1142"/>
      <c r="LAJ42" s="1142"/>
      <c r="LAK42" s="1142"/>
      <c r="LAL42" s="1142"/>
      <c r="LAM42" s="1142"/>
      <c r="LAN42" s="1142"/>
      <c r="LAO42" s="1142"/>
      <c r="LAP42" s="1142"/>
      <c r="LAQ42" s="1142"/>
      <c r="LAR42" s="1142"/>
      <c r="LAS42" s="1142"/>
      <c r="LAT42" s="1142"/>
      <c r="LAU42" s="1142"/>
      <c r="LAV42" s="1142"/>
      <c r="LAW42" s="1167"/>
      <c r="LAX42" s="1167"/>
      <c r="LAY42" s="1167"/>
      <c r="LAZ42" s="1167"/>
      <c r="LBA42" s="1167"/>
      <c r="LBB42" s="1167"/>
      <c r="LBC42" s="1167"/>
      <c r="LBD42" s="1167"/>
      <c r="LBE42" s="1167"/>
      <c r="LBF42" s="1142"/>
      <c r="LBG42" s="1142"/>
      <c r="LBH42" s="1142"/>
      <c r="LBI42" s="1142"/>
      <c r="LBJ42" s="1142"/>
      <c r="LBK42" s="1142"/>
      <c r="LBL42" s="1142"/>
      <c r="LBM42" s="1142"/>
      <c r="LBN42" s="1142"/>
      <c r="LBO42" s="1142"/>
      <c r="LBP42" s="1142"/>
      <c r="LBQ42" s="1142"/>
      <c r="LBR42" s="1142"/>
      <c r="LBS42" s="1142"/>
      <c r="LBT42" s="1142"/>
      <c r="LBU42" s="1142"/>
      <c r="LBV42" s="1142"/>
      <c r="LBW42" s="1142"/>
      <c r="LBX42" s="1142"/>
      <c r="LBY42" s="1142"/>
      <c r="LBZ42" s="1142"/>
      <c r="LCA42" s="1142"/>
      <c r="LCB42" s="1142"/>
      <c r="LCC42" s="1167"/>
      <c r="LCD42" s="1167"/>
      <c r="LCE42" s="1167"/>
      <c r="LCF42" s="1167"/>
      <c r="LCG42" s="1167"/>
      <c r="LCH42" s="1167"/>
      <c r="LCI42" s="1167"/>
      <c r="LCJ42" s="1167"/>
      <c r="LCK42" s="1167"/>
      <c r="LCL42" s="1142"/>
      <c r="LCM42" s="1142"/>
      <c r="LCN42" s="1142"/>
      <c r="LCO42" s="1142"/>
      <c r="LCP42" s="1142"/>
      <c r="LCQ42" s="1142"/>
      <c r="LCR42" s="1142"/>
      <c r="LCS42" s="1142"/>
      <c r="LCT42" s="1142"/>
      <c r="LCU42" s="1142"/>
      <c r="LCV42" s="1142"/>
      <c r="LCW42" s="1142"/>
      <c r="LCX42" s="1142"/>
      <c r="LCY42" s="1142"/>
      <c r="LCZ42" s="1142"/>
      <c r="LDA42" s="1142"/>
      <c r="LDB42" s="1142"/>
      <c r="LDC42" s="1142"/>
      <c r="LDD42" s="1142"/>
      <c r="LDE42" s="1142"/>
      <c r="LDF42" s="1142"/>
      <c r="LDG42" s="1142"/>
      <c r="LDH42" s="1142"/>
      <c r="LDI42" s="1167"/>
      <c r="LDJ42" s="1167"/>
      <c r="LDK42" s="1167"/>
      <c r="LDL42" s="1167"/>
      <c r="LDM42" s="1167"/>
      <c r="LDN42" s="1167"/>
      <c r="LDO42" s="1167"/>
      <c r="LDP42" s="1167"/>
      <c r="LDQ42" s="1167"/>
      <c r="LDR42" s="1142"/>
      <c r="LDS42" s="1142"/>
      <c r="LDT42" s="1142"/>
      <c r="LDU42" s="1142"/>
      <c r="LDV42" s="1142"/>
      <c r="LDW42" s="1142"/>
      <c r="LDX42" s="1142"/>
      <c r="LDY42" s="1142"/>
      <c r="LDZ42" s="1142"/>
      <c r="LEA42" s="1142"/>
      <c r="LEB42" s="1142"/>
      <c r="LEC42" s="1142"/>
      <c r="LED42" s="1142"/>
      <c r="LEE42" s="1142"/>
      <c r="LEF42" s="1142"/>
      <c r="LEG42" s="1142"/>
      <c r="LEH42" s="1142"/>
      <c r="LEI42" s="1142"/>
      <c r="LEJ42" s="1142"/>
      <c r="LEK42" s="1142"/>
      <c r="LEL42" s="1142"/>
      <c r="LEM42" s="1142"/>
      <c r="LEN42" s="1142"/>
      <c r="LEO42" s="1167"/>
      <c r="LEP42" s="1167"/>
      <c r="LEQ42" s="1167"/>
      <c r="LER42" s="1167"/>
      <c r="LES42" s="1167"/>
      <c r="LET42" s="1167"/>
      <c r="LEU42" s="1167"/>
      <c r="LEV42" s="1167"/>
      <c r="LEW42" s="1167"/>
      <c r="LEX42" s="1142"/>
      <c r="LEY42" s="1142"/>
      <c r="LEZ42" s="1142"/>
      <c r="LFA42" s="1142"/>
      <c r="LFB42" s="1142"/>
      <c r="LFC42" s="1142"/>
      <c r="LFD42" s="1142"/>
      <c r="LFE42" s="1142"/>
      <c r="LFF42" s="1142"/>
      <c r="LFG42" s="1142"/>
      <c r="LFH42" s="1142"/>
      <c r="LFI42" s="1142"/>
      <c r="LFJ42" s="1142"/>
      <c r="LFK42" s="1142"/>
      <c r="LFL42" s="1142"/>
      <c r="LFM42" s="1142"/>
      <c r="LFN42" s="1142"/>
      <c r="LFO42" s="1142"/>
      <c r="LFP42" s="1142"/>
      <c r="LFQ42" s="1142"/>
      <c r="LFR42" s="1142"/>
      <c r="LFS42" s="1142"/>
      <c r="LFT42" s="1142"/>
      <c r="LFU42" s="1167"/>
      <c r="LFV42" s="1167"/>
      <c r="LFW42" s="1167"/>
      <c r="LFX42" s="1167"/>
      <c r="LFY42" s="1167"/>
      <c r="LFZ42" s="1167"/>
      <c r="LGA42" s="1167"/>
      <c r="LGB42" s="1167"/>
      <c r="LGC42" s="1167"/>
      <c r="LGD42" s="1142"/>
      <c r="LGE42" s="1142"/>
      <c r="LGF42" s="1142"/>
      <c r="LGG42" s="1142"/>
      <c r="LGH42" s="1142"/>
      <c r="LGI42" s="1142"/>
      <c r="LGJ42" s="1142"/>
      <c r="LGK42" s="1142"/>
      <c r="LGL42" s="1142"/>
      <c r="LGM42" s="1142"/>
      <c r="LGN42" s="1142"/>
      <c r="LGO42" s="1142"/>
      <c r="LGP42" s="1142"/>
      <c r="LGQ42" s="1142"/>
      <c r="LGR42" s="1142"/>
      <c r="LGS42" s="1142"/>
      <c r="LGT42" s="1142"/>
      <c r="LGU42" s="1142"/>
      <c r="LGV42" s="1142"/>
      <c r="LGW42" s="1142"/>
      <c r="LGX42" s="1142"/>
      <c r="LGY42" s="1142"/>
      <c r="LGZ42" s="1142"/>
      <c r="LHA42" s="1167"/>
      <c r="LHB42" s="1167"/>
      <c r="LHC42" s="1167"/>
      <c r="LHD42" s="1167"/>
      <c r="LHE42" s="1167"/>
      <c r="LHF42" s="1167"/>
      <c r="LHG42" s="1167"/>
      <c r="LHH42" s="1167"/>
      <c r="LHI42" s="1167"/>
      <c r="LHJ42" s="1142"/>
      <c r="LHK42" s="1142"/>
      <c r="LHL42" s="1142"/>
      <c r="LHM42" s="1142"/>
      <c r="LHN42" s="1142"/>
      <c r="LHO42" s="1142"/>
      <c r="LHP42" s="1142"/>
      <c r="LHQ42" s="1142"/>
      <c r="LHR42" s="1142"/>
      <c r="LHS42" s="1142"/>
      <c r="LHT42" s="1142"/>
      <c r="LHU42" s="1142"/>
      <c r="LHV42" s="1142"/>
      <c r="LHW42" s="1142"/>
      <c r="LHX42" s="1142"/>
      <c r="LHY42" s="1142"/>
      <c r="LHZ42" s="1142"/>
      <c r="LIA42" s="1142"/>
      <c r="LIB42" s="1142"/>
      <c r="LIC42" s="1142"/>
      <c r="LID42" s="1142"/>
      <c r="LIE42" s="1142"/>
      <c r="LIF42" s="1142"/>
      <c r="LIG42" s="1167"/>
      <c r="LIH42" s="1167"/>
      <c r="LII42" s="1167"/>
      <c r="LIJ42" s="1167"/>
      <c r="LIK42" s="1167"/>
      <c r="LIL42" s="1167"/>
      <c r="LIM42" s="1167"/>
      <c r="LIN42" s="1167"/>
      <c r="LIO42" s="1167"/>
      <c r="LIP42" s="1142"/>
      <c r="LIQ42" s="1142"/>
      <c r="LIR42" s="1142"/>
      <c r="LIS42" s="1142"/>
      <c r="LIT42" s="1142"/>
      <c r="LIU42" s="1142"/>
      <c r="LIV42" s="1142"/>
      <c r="LIW42" s="1142"/>
      <c r="LIX42" s="1142"/>
      <c r="LIY42" s="1142"/>
      <c r="LIZ42" s="1142"/>
      <c r="LJA42" s="1142"/>
      <c r="LJB42" s="1142"/>
      <c r="LJC42" s="1142"/>
      <c r="LJD42" s="1142"/>
      <c r="LJE42" s="1142"/>
      <c r="LJF42" s="1142"/>
      <c r="LJG42" s="1142"/>
      <c r="LJH42" s="1142"/>
      <c r="LJI42" s="1142"/>
      <c r="LJJ42" s="1142"/>
      <c r="LJK42" s="1142"/>
      <c r="LJL42" s="1142"/>
      <c r="LJM42" s="1167"/>
      <c r="LJN42" s="1167"/>
      <c r="LJO42" s="1167"/>
      <c r="LJP42" s="1167"/>
      <c r="LJQ42" s="1167"/>
      <c r="LJR42" s="1167"/>
      <c r="LJS42" s="1167"/>
      <c r="LJT42" s="1167"/>
      <c r="LJU42" s="1167"/>
      <c r="LJV42" s="1142"/>
      <c r="LJW42" s="1142"/>
      <c r="LJX42" s="1142"/>
      <c r="LJY42" s="1142"/>
      <c r="LJZ42" s="1142"/>
      <c r="LKA42" s="1142"/>
      <c r="LKB42" s="1142"/>
      <c r="LKC42" s="1142"/>
      <c r="LKD42" s="1142"/>
      <c r="LKE42" s="1142"/>
      <c r="LKF42" s="1142"/>
      <c r="LKG42" s="1142"/>
      <c r="LKH42" s="1142"/>
      <c r="LKI42" s="1142"/>
      <c r="LKJ42" s="1142"/>
      <c r="LKK42" s="1142"/>
      <c r="LKL42" s="1142"/>
      <c r="LKM42" s="1142"/>
      <c r="LKN42" s="1142"/>
      <c r="LKO42" s="1142"/>
      <c r="LKP42" s="1142"/>
      <c r="LKQ42" s="1142"/>
      <c r="LKR42" s="1142"/>
      <c r="LKS42" s="1167"/>
      <c r="LKT42" s="1167"/>
      <c r="LKU42" s="1167"/>
      <c r="LKV42" s="1167"/>
      <c r="LKW42" s="1167"/>
      <c r="LKX42" s="1167"/>
      <c r="LKY42" s="1167"/>
      <c r="LKZ42" s="1167"/>
      <c r="LLA42" s="1167"/>
      <c r="LLB42" s="1142"/>
      <c r="LLC42" s="1142"/>
      <c r="LLD42" s="1142"/>
      <c r="LLE42" s="1142"/>
      <c r="LLF42" s="1142"/>
      <c r="LLG42" s="1142"/>
      <c r="LLH42" s="1142"/>
      <c r="LLI42" s="1142"/>
      <c r="LLJ42" s="1142"/>
      <c r="LLK42" s="1142"/>
      <c r="LLL42" s="1142"/>
      <c r="LLM42" s="1142"/>
      <c r="LLN42" s="1142"/>
      <c r="LLO42" s="1142"/>
      <c r="LLP42" s="1142"/>
      <c r="LLQ42" s="1142"/>
      <c r="LLR42" s="1142"/>
      <c r="LLS42" s="1142"/>
      <c r="LLT42" s="1142"/>
      <c r="LLU42" s="1142"/>
      <c r="LLV42" s="1142"/>
      <c r="LLW42" s="1142"/>
      <c r="LLX42" s="1142"/>
      <c r="LLY42" s="1167"/>
      <c r="LLZ42" s="1167"/>
      <c r="LMA42" s="1167"/>
      <c r="LMB42" s="1167"/>
      <c r="LMC42" s="1167"/>
      <c r="LMD42" s="1167"/>
      <c r="LME42" s="1167"/>
      <c r="LMF42" s="1167"/>
      <c r="LMG42" s="1167"/>
      <c r="LMH42" s="1142"/>
      <c r="LMI42" s="1142"/>
      <c r="LMJ42" s="1142"/>
      <c r="LMK42" s="1142"/>
      <c r="LML42" s="1142"/>
      <c r="LMM42" s="1142"/>
      <c r="LMN42" s="1142"/>
      <c r="LMO42" s="1142"/>
      <c r="LMP42" s="1142"/>
      <c r="LMQ42" s="1142"/>
      <c r="LMR42" s="1142"/>
      <c r="LMS42" s="1142"/>
      <c r="LMT42" s="1142"/>
      <c r="LMU42" s="1142"/>
      <c r="LMV42" s="1142"/>
      <c r="LMW42" s="1142"/>
      <c r="LMX42" s="1142"/>
      <c r="LMY42" s="1142"/>
      <c r="LMZ42" s="1142"/>
      <c r="LNA42" s="1142"/>
      <c r="LNB42" s="1142"/>
      <c r="LNC42" s="1142"/>
      <c r="LND42" s="1142"/>
      <c r="LNE42" s="1167"/>
      <c r="LNF42" s="1167"/>
      <c r="LNG42" s="1167"/>
      <c r="LNH42" s="1167"/>
      <c r="LNI42" s="1167"/>
      <c r="LNJ42" s="1167"/>
      <c r="LNK42" s="1167"/>
      <c r="LNL42" s="1167"/>
      <c r="LNM42" s="1167"/>
      <c r="LNN42" s="1142"/>
      <c r="LNO42" s="1142"/>
      <c r="LNP42" s="1142"/>
      <c r="LNQ42" s="1142"/>
      <c r="LNR42" s="1142"/>
      <c r="LNS42" s="1142"/>
      <c r="LNT42" s="1142"/>
      <c r="LNU42" s="1142"/>
      <c r="LNV42" s="1142"/>
      <c r="LNW42" s="1142"/>
      <c r="LNX42" s="1142"/>
      <c r="LNY42" s="1142"/>
      <c r="LNZ42" s="1142"/>
      <c r="LOA42" s="1142"/>
      <c r="LOB42" s="1142"/>
      <c r="LOC42" s="1142"/>
      <c r="LOD42" s="1142"/>
      <c r="LOE42" s="1142"/>
      <c r="LOF42" s="1142"/>
      <c r="LOG42" s="1142"/>
      <c r="LOH42" s="1142"/>
      <c r="LOI42" s="1142"/>
      <c r="LOJ42" s="1142"/>
      <c r="LOK42" s="1167"/>
      <c r="LOL42" s="1167"/>
      <c r="LOM42" s="1167"/>
      <c r="LON42" s="1167"/>
      <c r="LOO42" s="1167"/>
      <c r="LOP42" s="1167"/>
      <c r="LOQ42" s="1167"/>
      <c r="LOR42" s="1167"/>
      <c r="LOS42" s="1167"/>
      <c r="LOT42" s="1142"/>
      <c r="LOU42" s="1142"/>
      <c r="LOV42" s="1142"/>
      <c r="LOW42" s="1142"/>
      <c r="LOX42" s="1142"/>
      <c r="LOY42" s="1142"/>
      <c r="LOZ42" s="1142"/>
      <c r="LPA42" s="1142"/>
      <c r="LPB42" s="1142"/>
      <c r="LPC42" s="1142"/>
      <c r="LPD42" s="1142"/>
      <c r="LPE42" s="1142"/>
      <c r="LPF42" s="1142"/>
      <c r="LPG42" s="1142"/>
      <c r="LPH42" s="1142"/>
      <c r="LPI42" s="1142"/>
      <c r="LPJ42" s="1142"/>
      <c r="LPK42" s="1142"/>
      <c r="LPL42" s="1142"/>
      <c r="LPM42" s="1142"/>
      <c r="LPN42" s="1142"/>
      <c r="LPO42" s="1142"/>
      <c r="LPP42" s="1142"/>
      <c r="LPQ42" s="1167"/>
      <c r="LPR42" s="1167"/>
      <c r="LPS42" s="1167"/>
      <c r="LPT42" s="1167"/>
      <c r="LPU42" s="1167"/>
      <c r="LPV42" s="1167"/>
      <c r="LPW42" s="1167"/>
      <c r="LPX42" s="1167"/>
      <c r="LPY42" s="1167"/>
      <c r="LPZ42" s="1142"/>
      <c r="LQA42" s="1142"/>
      <c r="LQB42" s="1142"/>
      <c r="LQC42" s="1142"/>
      <c r="LQD42" s="1142"/>
      <c r="LQE42" s="1142"/>
      <c r="LQF42" s="1142"/>
      <c r="LQG42" s="1142"/>
      <c r="LQH42" s="1142"/>
      <c r="LQI42" s="1142"/>
      <c r="LQJ42" s="1142"/>
      <c r="LQK42" s="1142"/>
      <c r="LQL42" s="1142"/>
      <c r="LQM42" s="1142"/>
      <c r="LQN42" s="1142"/>
      <c r="LQO42" s="1142"/>
      <c r="LQP42" s="1142"/>
      <c r="LQQ42" s="1142"/>
      <c r="LQR42" s="1142"/>
      <c r="LQS42" s="1142"/>
      <c r="LQT42" s="1142"/>
      <c r="LQU42" s="1142"/>
      <c r="LQV42" s="1142"/>
      <c r="LQW42" s="1167"/>
      <c r="LQX42" s="1167"/>
      <c r="LQY42" s="1167"/>
      <c r="LQZ42" s="1167"/>
      <c r="LRA42" s="1167"/>
      <c r="LRB42" s="1167"/>
      <c r="LRC42" s="1167"/>
      <c r="LRD42" s="1167"/>
      <c r="LRE42" s="1167"/>
      <c r="LRF42" s="1142"/>
      <c r="LRG42" s="1142"/>
      <c r="LRH42" s="1142"/>
      <c r="LRI42" s="1142"/>
      <c r="LRJ42" s="1142"/>
      <c r="LRK42" s="1142"/>
      <c r="LRL42" s="1142"/>
      <c r="LRM42" s="1142"/>
      <c r="LRN42" s="1142"/>
      <c r="LRO42" s="1142"/>
      <c r="LRP42" s="1142"/>
      <c r="LRQ42" s="1142"/>
      <c r="LRR42" s="1142"/>
      <c r="LRS42" s="1142"/>
      <c r="LRT42" s="1142"/>
      <c r="LRU42" s="1142"/>
      <c r="LRV42" s="1142"/>
      <c r="LRW42" s="1142"/>
      <c r="LRX42" s="1142"/>
      <c r="LRY42" s="1142"/>
      <c r="LRZ42" s="1142"/>
      <c r="LSA42" s="1142"/>
      <c r="LSB42" s="1142"/>
      <c r="LSC42" s="1167"/>
      <c r="LSD42" s="1167"/>
      <c r="LSE42" s="1167"/>
      <c r="LSF42" s="1167"/>
      <c r="LSG42" s="1167"/>
      <c r="LSH42" s="1167"/>
      <c r="LSI42" s="1167"/>
      <c r="LSJ42" s="1167"/>
      <c r="LSK42" s="1167"/>
      <c r="LSL42" s="1142"/>
      <c r="LSM42" s="1142"/>
      <c r="LSN42" s="1142"/>
      <c r="LSO42" s="1142"/>
      <c r="LSP42" s="1142"/>
      <c r="LSQ42" s="1142"/>
      <c r="LSR42" s="1142"/>
      <c r="LSS42" s="1142"/>
      <c r="LST42" s="1142"/>
      <c r="LSU42" s="1142"/>
      <c r="LSV42" s="1142"/>
      <c r="LSW42" s="1142"/>
      <c r="LSX42" s="1142"/>
      <c r="LSY42" s="1142"/>
      <c r="LSZ42" s="1142"/>
      <c r="LTA42" s="1142"/>
      <c r="LTB42" s="1142"/>
      <c r="LTC42" s="1142"/>
      <c r="LTD42" s="1142"/>
      <c r="LTE42" s="1142"/>
      <c r="LTF42" s="1142"/>
      <c r="LTG42" s="1142"/>
      <c r="LTH42" s="1142"/>
      <c r="LTI42" s="1167"/>
      <c r="LTJ42" s="1167"/>
      <c r="LTK42" s="1167"/>
      <c r="LTL42" s="1167"/>
      <c r="LTM42" s="1167"/>
      <c r="LTN42" s="1167"/>
      <c r="LTO42" s="1167"/>
      <c r="LTP42" s="1167"/>
      <c r="LTQ42" s="1167"/>
      <c r="LTR42" s="1142"/>
      <c r="LTS42" s="1142"/>
      <c r="LTT42" s="1142"/>
      <c r="LTU42" s="1142"/>
      <c r="LTV42" s="1142"/>
      <c r="LTW42" s="1142"/>
      <c r="LTX42" s="1142"/>
      <c r="LTY42" s="1142"/>
      <c r="LTZ42" s="1142"/>
      <c r="LUA42" s="1142"/>
      <c r="LUB42" s="1142"/>
      <c r="LUC42" s="1142"/>
      <c r="LUD42" s="1142"/>
      <c r="LUE42" s="1142"/>
      <c r="LUF42" s="1142"/>
      <c r="LUG42" s="1142"/>
      <c r="LUH42" s="1142"/>
      <c r="LUI42" s="1142"/>
      <c r="LUJ42" s="1142"/>
      <c r="LUK42" s="1142"/>
      <c r="LUL42" s="1142"/>
      <c r="LUM42" s="1142"/>
      <c r="LUN42" s="1142"/>
      <c r="LUO42" s="1167"/>
      <c r="LUP42" s="1167"/>
      <c r="LUQ42" s="1167"/>
      <c r="LUR42" s="1167"/>
      <c r="LUS42" s="1167"/>
      <c r="LUT42" s="1167"/>
      <c r="LUU42" s="1167"/>
      <c r="LUV42" s="1167"/>
      <c r="LUW42" s="1167"/>
      <c r="LUX42" s="1142"/>
      <c r="LUY42" s="1142"/>
      <c r="LUZ42" s="1142"/>
      <c r="LVA42" s="1142"/>
      <c r="LVB42" s="1142"/>
      <c r="LVC42" s="1142"/>
      <c r="LVD42" s="1142"/>
      <c r="LVE42" s="1142"/>
      <c r="LVF42" s="1142"/>
      <c r="LVG42" s="1142"/>
      <c r="LVH42" s="1142"/>
      <c r="LVI42" s="1142"/>
      <c r="LVJ42" s="1142"/>
      <c r="LVK42" s="1142"/>
      <c r="LVL42" s="1142"/>
      <c r="LVM42" s="1142"/>
      <c r="LVN42" s="1142"/>
      <c r="LVO42" s="1142"/>
      <c r="LVP42" s="1142"/>
      <c r="LVQ42" s="1142"/>
      <c r="LVR42" s="1142"/>
      <c r="LVS42" s="1142"/>
      <c r="LVT42" s="1142"/>
      <c r="LVU42" s="1167"/>
      <c r="LVV42" s="1167"/>
      <c r="LVW42" s="1167"/>
      <c r="LVX42" s="1167"/>
      <c r="LVY42" s="1167"/>
      <c r="LVZ42" s="1167"/>
      <c r="LWA42" s="1167"/>
      <c r="LWB42" s="1167"/>
      <c r="LWC42" s="1167"/>
      <c r="LWD42" s="1142"/>
      <c r="LWE42" s="1142"/>
      <c r="LWF42" s="1142"/>
      <c r="LWG42" s="1142"/>
      <c r="LWH42" s="1142"/>
      <c r="LWI42" s="1142"/>
      <c r="LWJ42" s="1142"/>
      <c r="LWK42" s="1142"/>
      <c r="LWL42" s="1142"/>
      <c r="LWM42" s="1142"/>
      <c r="LWN42" s="1142"/>
      <c r="LWO42" s="1142"/>
      <c r="LWP42" s="1142"/>
      <c r="LWQ42" s="1142"/>
      <c r="LWR42" s="1142"/>
      <c r="LWS42" s="1142"/>
      <c r="LWT42" s="1142"/>
      <c r="LWU42" s="1142"/>
      <c r="LWV42" s="1142"/>
      <c r="LWW42" s="1142"/>
      <c r="LWX42" s="1142"/>
      <c r="LWY42" s="1142"/>
      <c r="LWZ42" s="1142"/>
      <c r="LXA42" s="1167"/>
      <c r="LXB42" s="1167"/>
      <c r="LXC42" s="1167"/>
      <c r="LXD42" s="1167"/>
      <c r="LXE42" s="1167"/>
      <c r="LXF42" s="1167"/>
      <c r="LXG42" s="1167"/>
      <c r="LXH42" s="1167"/>
      <c r="LXI42" s="1167"/>
      <c r="LXJ42" s="1142"/>
      <c r="LXK42" s="1142"/>
      <c r="LXL42" s="1142"/>
      <c r="LXM42" s="1142"/>
      <c r="LXN42" s="1142"/>
      <c r="LXO42" s="1142"/>
      <c r="LXP42" s="1142"/>
      <c r="LXQ42" s="1142"/>
      <c r="LXR42" s="1142"/>
      <c r="LXS42" s="1142"/>
      <c r="LXT42" s="1142"/>
      <c r="LXU42" s="1142"/>
      <c r="LXV42" s="1142"/>
      <c r="LXW42" s="1142"/>
      <c r="LXX42" s="1142"/>
      <c r="LXY42" s="1142"/>
      <c r="LXZ42" s="1142"/>
      <c r="LYA42" s="1142"/>
      <c r="LYB42" s="1142"/>
      <c r="LYC42" s="1142"/>
      <c r="LYD42" s="1142"/>
      <c r="LYE42" s="1142"/>
      <c r="LYF42" s="1142"/>
      <c r="LYG42" s="1167"/>
      <c r="LYH42" s="1167"/>
      <c r="LYI42" s="1167"/>
      <c r="LYJ42" s="1167"/>
      <c r="LYK42" s="1167"/>
      <c r="LYL42" s="1167"/>
      <c r="LYM42" s="1167"/>
      <c r="LYN42" s="1167"/>
      <c r="LYO42" s="1167"/>
      <c r="LYP42" s="1142"/>
      <c r="LYQ42" s="1142"/>
      <c r="LYR42" s="1142"/>
      <c r="LYS42" s="1142"/>
      <c r="LYT42" s="1142"/>
      <c r="LYU42" s="1142"/>
      <c r="LYV42" s="1142"/>
      <c r="LYW42" s="1142"/>
      <c r="LYX42" s="1142"/>
      <c r="LYY42" s="1142"/>
      <c r="LYZ42" s="1142"/>
      <c r="LZA42" s="1142"/>
      <c r="LZB42" s="1142"/>
      <c r="LZC42" s="1142"/>
      <c r="LZD42" s="1142"/>
      <c r="LZE42" s="1142"/>
      <c r="LZF42" s="1142"/>
      <c r="LZG42" s="1142"/>
      <c r="LZH42" s="1142"/>
      <c r="LZI42" s="1142"/>
      <c r="LZJ42" s="1142"/>
      <c r="LZK42" s="1142"/>
      <c r="LZL42" s="1142"/>
      <c r="LZM42" s="1167"/>
      <c r="LZN42" s="1167"/>
      <c r="LZO42" s="1167"/>
      <c r="LZP42" s="1167"/>
      <c r="LZQ42" s="1167"/>
      <c r="LZR42" s="1167"/>
      <c r="LZS42" s="1167"/>
      <c r="LZT42" s="1167"/>
      <c r="LZU42" s="1167"/>
      <c r="LZV42" s="1142"/>
      <c r="LZW42" s="1142"/>
      <c r="LZX42" s="1142"/>
      <c r="LZY42" s="1142"/>
      <c r="LZZ42" s="1142"/>
      <c r="MAA42" s="1142"/>
      <c r="MAB42" s="1142"/>
      <c r="MAC42" s="1142"/>
      <c r="MAD42" s="1142"/>
      <c r="MAE42" s="1142"/>
      <c r="MAF42" s="1142"/>
      <c r="MAG42" s="1142"/>
      <c r="MAH42" s="1142"/>
      <c r="MAI42" s="1142"/>
      <c r="MAJ42" s="1142"/>
      <c r="MAK42" s="1142"/>
      <c r="MAL42" s="1142"/>
      <c r="MAM42" s="1142"/>
      <c r="MAN42" s="1142"/>
      <c r="MAO42" s="1142"/>
      <c r="MAP42" s="1142"/>
      <c r="MAQ42" s="1142"/>
      <c r="MAR42" s="1142"/>
      <c r="MAS42" s="1167"/>
      <c r="MAT42" s="1167"/>
      <c r="MAU42" s="1167"/>
      <c r="MAV42" s="1167"/>
      <c r="MAW42" s="1167"/>
      <c r="MAX42" s="1167"/>
      <c r="MAY42" s="1167"/>
      <c r="MAZ42" s="1167"/>
      <c r="MBA42" s="1167"/>
      <c r="MBB42" s="1142"/>
      <c r="MBC42" s="1142"/>
      <c r="MBD42" s="1142"/>
      <c r="MBE42" s="1142"/>
      <c r="MBF42" s="1142"/>
      <c r="MBG42" s="1142"/>
      <c r="MBH42" s="1142"/>
      <c r="MBI42" s="1142"/>
      <c r="MBJ42" s="1142"/>
      <c r="MBK42" s="1142"/>
      <c r="MBL42" s="1142"/>
      <c r="MBM42" s="1142"/>
      <c r="MBN42" s="1142"/>
      <c r="MBO42" s="1142"/>
      <c r="MBP42" s="1142"/>
      <c r="MBQ42" s="1142"/>
      <c r="MBR42" s="1142"/>
      <c r="MBS42" s="1142"/>
      <c r="MBT42" s="1142"/>
      <c r="MBU42" s="1142"/>
      <c r="MBV42" s="1142"/>
      <c r="MBW42" s="1142"/>
      <c r="MBX42" s="1142"/>
      <c r="MBY42" s="1167"/>
      <c r="MBZ42" s="1167"/>
      <c r="MCA42" s="1167"/>
      <c r="MCB42" s="1167"/>
      <c r="MCC42" s="1167"/>
      <c r="MCD42" s="1167"/>
      <c r="MCE42" s="1167"/>
      <c r="MCF42" s="1167"/>
      <c r="MCG42" s="1167"/>
      <c r="MCH42" s="1142"/>
      <c r="MCI42" s="1142"/>
      <c r="MCJ42" s="1142"/>
      <c r="MCK42" s="1142"/>
      <c r="MCL42" s="1142"/>
      <c r="MCM42" s="1142"/>
      <c r="MCN42" s="1142"/>
      <c r="MCO42" s="1142"/>
      <c r="MCP42" s="1142"/>
      <c r="MCQ42" s="1142"/>
      <c r="MCR42" s="1142"/>
      <c r="MCS42" s="1142"/>
      <c r="MCT42" s="1142"/>
      <c r="MCU42" s="1142"/>
      <c r="MCV42" s="1142"/>
      <c r="MCW42" s="1142"/>
      <c r="MCX42" s="1142"/>
      <c r="MCY42" s="1142"/>
      <c r="MCZ42" s="1142"/>
      <c r="MDA42" s="1142"/>
      <c r="MDB42" s="1142"/>
      <c r="MDC42" s="1142"/>
      <c r="MDD42" s="1142"/>
      <c r="MDE42" s="1167"/>
      <c r="MDF42" s="1167"/>
      <c r="MDG42" s="1167"/>
      <c r="MDH42" s="1167"/>
      <c r="MDI42" s="1167"/>
      <c r="MDJ42" s="1167"/>
      <c r="MDK42" s="1167"/>
      <c r="MDL42" s="1167"/>
      <c r="MDM42" s="1167"/>
      <c r="MDN42" s="1142"/>
      <c r="MDO42" s="1142"/>
      <c r="MDP42" s="1142"/>
      <c r="MDQ42" s="1142"/>
      <c r="MDR42" s="1142"/>
      <c r="MDS42" s="1142"/>
      <c r="MDT42" s="1142"/>
      <c r="MDU42" s="1142"/>
      <c r="MDV42" s="1142"/>
      <c r="MDW42" s="1142"/>
      <c r="MDX42" s="1142"/>
      <c r="MDY42" s="1142"/>
      <c r="MDZ42" s="1142"/>
      <c r="MEA42" s="1142"/>
      <c r="MEB42" s="1142"/>
      <c r="MEC42" s="1142"/>
      <c r="MED42" s="1142"/>
      <c r="MEE42" s="1142"/>
      <c r="MEF42" s="1142"/>
      <c r="MEG42" s="1142"/>
      <c r="MEH42" s="1142"/>
      <c r="MEI42" s="1142"/>
      <c r="MEJ42" s="1142"/>
      <c r="MEK42" s="1167"/>
      <c r="MEL42" s="1167"/>
      <c r="MEM42" s="1167"/>
      <c r="MEN42" s="1167"/>
      <c r="MEO42" s="1167"/>
      <c r="MEP42" s="1167"/>
      <c r="MEQ42" s="1167"/>
      <c r="MER42" s="1167"/>
      <c r="MES42" s="1167"/>
      <c r="MET42" s="1142"/>
      <c r="MEU42" s="1142"/>
      <c r="MEV42" s="1142"/>
      <c r="MEW42" s="1142"/>
      <c r="MEX42" s="1142"/>
      <c r="MEY42" s="1142"/>
      <c r="MEZ42" s="1142"/>
      <c r="MFA42" s="1142"/>
      <c r="MFB42" s="1142"/>
      <c r="MFC42" s="1142"/>
      <c r="MFD42" s="1142"/>
      <c r="MFE42" s="1142"/>
      <c r="MFF42" s="1142"/>
      <c r="MFG42" s="1142"/>
      <c r="MFH42" s="1142"/>
      <c r="MFI42" s="1142"/>
      <c r="MFJ42" s="1142"/>
      <c r="MFK42" s="1142"/>
      <c r="MFL42" s="1142"/>
      <c r="MFM42" s="1142"/>
      <c r="MFN42" s="1142"/>
      <c r="MFO42" s="1142"/>
      <c r="MFP42" s="1142"/>
      <c r="MFQ42" s="1167"/>
      <c r="MFR42" s="1167"/>
      <c r="MFS42" s="1167"/>
      <c r="MFT42" s="1167"/>
      <c r="MFU42" s="1167"/>
      <c r="MFV42" s="1167"/>
      <c r="MFW42" s="1167"/>
      <c r="MFX42" s="1167"/>
      <c r="MFY42" s="1167"/>
      <c r="MFZ42" s="1142"/>
      <c r="MGA42" s="1142"/>
      <c r="MGB42" s="1142"/>
      <c r="MGC42" s="1142"/>
      <c r="MGD42" s="1142"/>
      <c r="MGE42" s="1142"/>
      <c r="MGF42" s="1142"/>
      <c r="MGG42" s="1142"/>
      <c r="MGH42" s="1142"/>
      <c r="MGI42" s="1142"/>
      <c r="MGJ42" s="1142"/>
      <c r="MGK42" s="1142"/>
      <c r="MGL42" s="1142"/>
      <c r="MGM42" s="1142"/>
      <c r="MGN42" s="1142"/>
      <c r="MGO42" s="1142"/>
      <c r="MGP42" s="1142"/>
      <c r="MGQ42" s="1142"/>
      <c r="MGR42" s="1142"/>
      <c r="MGS42" s="1142"/>
      <c r="MGT42" s="1142"/>
      <c r="MGU42" s="1142"/>
      <c r="MGV42" s="1142"/>
      <c r="MGW42" s="1167"/>
      <c r="MGX42" s="1167"/>
      <c r="MGY42" s="1167"/>
      <c r="MGZ42" s="1167"/>
      <c r="MHA42" s="1167"/>
      <c r="MHB42" s="1167"/>
      <c r="MHC42" s="1167"/>
      <c r="MHD42" s="1167"/>
      <c r="MHE42" s="1167"/>
      <c r="MHF42" s="1142"/>
      <c r="MHG42" s="1142"/>
      <c r="MHH42" s="1142"/>
      <c r="MHI42" s="1142"/>
      <c r="MHJ42" s="1142"/>
      <c r="MHK42" s="1142"/>
      <c r="MHL42" s="1142"/>
      <c r="MHM42" s="1142"/>
      <c r="MHN42" s="1142"/>
      <c r="MHO42" s="1142"/>
      <c r="MHP42" s="1142"/>
      <c r="MHQ42" s="1142"/>
      <c r="MHR42" s="1142"/>
      <c r="MHS42" s="1142"/>
      <c r="MHT42" s="1142"/>
      <c r="MHU42" s="1142"/>
      <c r="MHV42" s="1142"/>
      <c r="MHW42" s="1142"/>
      <c r="MHX42" s="1142"/>
      <c r="MHY42" s="1142"/>
      <c r="MHZ42" s="1142"/>
      <c r="MIA42" s="1142"/>
      <c r="MIB42" s="1142"/>
      <c r="MIC42" s="1167"/>
      <c r="MID42" s="1167"/>
      <c r="MIE42" s="1167"/>
      <c r="MIF42" s="1167"/>
      <c r="MIG42" s="1167"/>
      <c r="MIH42" s="1167"/>
      <c r="MII42" s="1167"/>
      <c r="MIJ42" s="1167"/>
      <c r="MIK42" s="1167"/>
      <c r="MIL42" s="1142"/>
      <c r="MIM42" s="1142"/>
      <c r="MIN42" s="1142"/>
      <c r="MIO42" s="1142"/>
      <c r="MIP42" s="1142"/>
      <c r="MIQ42" s="1142"/>
      <c r="MIR42" s="1142"/>
      <c r="MIS42" s="1142"/>
      <c r="MIT42" s="1142"/>
      <c r="MIU42" s="1142"/>
      <c r="MIV42" s="1142"/>
      <c r="MIW42" s="1142"/>
      <c r="MIX42" s="1142"/>
      <c r="MIY42" s="1142"/>
      <c r="MIZ42" s="1142"/>
      <c r="MJA42" s="1142"/>
      <c r="MJB42" s="1142"/>
      <c r="MJC42" s="1142"/>
      <c r="MJD42" s="1142"/>
      <c r="MJE42" s="1142"/>
      <c r="MJF42" s="1142"/>
      <c r="MJG42" s="1142"/>
      <c r="MJH42" s="1142"/>
      <c r="MJI42" s="1167"/>
      <c r="MJJ42" s="1167"/>
      <c r="MJK42" s="1167"/>
      <c r="MJL42" s="1167"/>
      <c r="MJM42" s="1167"/>
      <c r="MJN42" s="1167"/>
      <c r="MJO42" s="1167"/>
      <c r="MJP42" s="1167"/>
      <c r="MJQ42" s="1167"/>
      <c r="MJR42" s="1142"/>
      <c r="MJS42" s="1142"/>
      <c r="MJT42" s="1142"/>
      <c r="MJU42" s="1142"/>
      <c r="MJV42" s="1142"/>
      <c r="MJW42" s="1142"/>
      <c r="MJX42" s="1142"/>
      <c r="MJY42" s="1142"/>
      <c r="MJZ42" s="1142"/>
      <c r="MKA42" s="1142"/>
      <c r="MKB42" s="1142"/>
      <c r="MKC42" s="1142"/>
      <c r="MKD42" s="1142"/>
      <c r="MKE42" s="1142"/>
      <c r="MKF42" s="1142"/>
      <c r="MKG42" s="1142"/>
      <c r="MKH42" s="1142"/>
      <c r="MKI42" s="1142"/>
      <c r="MKJ42" s="1142"/>
      <c r="MKK42" s="1142"/>
      <c r="MKL42" s="1142"/>
      <c r="MKM42" s="1142"/>
      <c r="MKN42" s="1142"/>
      <c r="MKO42" s="1167"/>
      <c r="MKP42" s="1167"/>
      <c r="MKQ42" s="1167"/>
      <c r="MKR42" s="1167"/>
      <c r="MKS42" s="1167"/>
      <c r="MKT42" s="1167"/>
      <c r="MKU42" s="1167"/>
      <c r="MKV42" s="1167"/>
      <c r="MKW42" s="1167"/>
      <c r="MKX42" s="1142"/>
      <c r="MKY42" s="1142"/>
      <c r="MKZ42" s="1142"/>
      <c r="MLA42" s="1142"/>
      <c r="MLB42" s="1142"/>
      <c r="MLC42" s="1142"/>
      <c r="MLD42" s="1142"/>
      <c r="MLE42" s="1142"/>
      <c r="MLF42" s="1142"/>
      <c r="MLG42" s="1142"/>
      <c r="MLH42" s="1142"/>
      <c r="MLI42" s="1142"/>
      <c r="MLJ42" s="1142"/>
      <c r="MLK42" s="1142"/>
      <c r="MLL42" s="1142"/>
      <c r="MLM42" s="1142"/>
      <c r="MLN42" s="1142"/>
      <c r="MLO42" s="1142"/>
      <c r="MLP42" s="1142"/>
      <c r="MLQ42" s="1142"/>
      <c r="MLR42" s="1142"/>
      <c r="MLS42" s="1142"/>
      <c r="MLT42" s="1142"/>
      <c r="MLU42" s="1167"/>
      <c r="MLV42" s="1167"/>
      <c r="MLW42" s="1167"/>
      <c r="MLX42" s="1167"/>
      <c r="MLY42" s="1167"/>
      <c r="MLZ42" s="1167"/>
      <c r="MMA42" s="1167"/>
      <c r="MMB42" s="1167"/>
      <c r="MMC42" s="1167"/>
      <c r="MMD42" s="1142"/>
      <c r="MME42" s="1142"/>
      <c r="MMF42" s="1142"/>
      <c r="MMG42" s="1142"/>
      <c r="MMH42" s="1142"/>
      <c r="MMI42" s="1142"/>
      <c r="MMJ42" s="1142"/>
      <c r="MMK42" s="1142"/>
      <c r="MML42" s="1142"/>
      <c r="MMM42" s="1142"/>
      <c r="MMN42" s="1142"/>
      <c r="MMO42" s="1142"/>
      <c r="MMP42" s="1142"/>
      <c r="MMQ42" s="1142"/>
      <c r="MMR42" s="1142"/>
      <c r="MMS42" s="1142"/>
      <c r="MMT42" s="1142"/>
      <c r="MMU42" s="1142"/>
      <c r="MMV42" s="1142"/>
      <c r="MMW42" s="1142"/>
      <c r="MMX42" s="1142"/>
      <c r="MMY42" s="1142"/>
      <c r="MMZ42" s="1142"/>
      <c r="MNA42" s="1167"/>
      <c r="MNB42" s="1167"/>
      <c r="MNC42" s="1167"/>
      <c r="MND42" s="1167"/>
      <c r="MNE42" s="1167"/>
      <c r="MNF42" s="1167"/>
      <c r="MNG42" s="1167"/>
      <c r="MNH42" s="1167"/>
      <c r="MNI42" s="1167"/>
      <c r="MNJ42" s="1142"/>
      <c r="MNK42" s="1142"/>
      <c r="MNL42" s="1142"/>
      <c r="MNM42" s="1142"/>
      <c r="MNN42" s="1142"/>
      <c r="MNO42" s="1142"/>
      <c r="MNP42" s="1142"/>
      <c r="MNQ42" s="1142"/>
      <c r="MNR42" s="1142"/>
      <c r="MNS42" s="1142"/>
      <c r="MNT42" s="1142"/>
      <c r="MNU42" s="1142"/>
      <c r="MNV42" s="1142"/>
      <c r="MNW42" s="1142"/>
      <c r="MNX42" s="1142"/>
      <c r="MNY42" s="1142"/>
      <c r="MNZ42" s="1142"/>
      <c r="MOA42" s="1142"/>
      <c r="MOB42" s="1142"/>
      <c r="MOC42" s="1142"/>
      <c r="MOD42" s="1142"/>
      <c r="MOE42" s="1142"/>
      <c r="MOF42" s="1142"/>
      <c r="MOG42" s="1167"/>
      <c r="MOH42" s="1167"/>
      <c r="MOI42" s="1167"/>
      <c r="MOJ42" s="1167"/>
      <c r="MOK42" s="1167"/>
      <c r="MOL42" s="1167"/>
      <c r="MOM42" s="1167"/>
      <c r="MON42" s="1167"/>
      <c r="MOO42" s="1167"/>
      <c r="MOP42" s="1142"/>
      <c r="MOQ42" s="1142"/>
      <c r="MOR42" s="1142"/>
      <c r="MOS42" s="1142"/>
      <c r="MOT42" s="1142"/>
      <c r="MOU42" s="1142"/>
      <c r="MOV42" s="1142"/>
      <c r="MOW42" s="1142"/>
      <c r="MOX42" s="1142"/>
      <c r="MOY42" s="1142"/>
      <c r="MOZ42" s="1142"/>
      <c r="MPA42" s="1142"/>
      <c r="MPB42" s="1142"/>
      <c r="MPC42" s="1142"/>
      <c r="MPD42" s="1142"/>
      <c r="MPE42" s="1142"/>
      <c r="MPF42" s="1142"/>
      <c r="MPG42" s="1142"/>
      <c r="MPH42" s="1142"/>
      <c r="MPI42" s="1142"/>
      <c r="MPJ42" s="1142"/>
      <c r="MPK42" s="1142"/>
      <c r="MPL42" s="1142"/>
      <c r="MPM42" s="1167"/>
      <c r="MPN42" s="1167"/>
      <c r="MPO42" s="1167"/>
      <c r="MPP42" s="1167"/>
      <c r="MPQ42" s="1167"/>
      <c r="MPR42" s="1167"/>
      <c r="MPS42" s="1167"/>
      <c r="MPT42" s="1167"/>
      <c r="MPU42" s="1167"/>
      <c r="MPV42" s="1142"/>
      <c r="MPW42" s="1142"/>
      <c r="MPX42" s="1142"/>
      <c r="MPY42" s="1142"/>
      <c r="MPZ42" s="1142"/>
      <c r="MQA42" s="1142"/>
      <c r="MQB42" s="1142"/>
      <c r="MQC42" s="1142"/>
      <c r="MQD42" s="1142"/>
      <c r="MQE42" s="1142"/>
      <c r="MQF42" s="1142"/>
      <c r="MQG42" s="1142"/>
      <c r="MQH42" s="1142"/>
      <c r="MQI42" s="1142"/>
      <c r="MQJ42" s="1142"/>
      <c r="MQK42" s="1142"/>
      <c r="MQL42" s="1142"/>
      <c r="MQM42" s="1142"/>
      <c r="MQN42" s="1142"/>
      <c r="MQO42" s="1142"/>
      <c r="MQP42" s="1142"/>
      <c r="MQQ42" s="1142"/>
      <c r="MQR42" s="1142"/>
      <c r="MQS42" s="1167"/>
      <c r="MQT42" s="1167"/>
      <c r="MQU42" s="1167"/>
      <c r="MQV42" s="1167"/>
      <c r="MQW42" s="1167"/>
      <c r="MQX42" s="1167"/>
      <c r="MQY42" s="1167"/>
      <c r="MQZ42" s="1167"/>
      <c r="MRA42" s="1167"/>
      <c r="MRB42" s="1142"/>
      <c r="MRC42" s="1142"/>
      <c r="MRD42" s="1142"/>
      <c r="MRE42" s="1142"/>
      <c r="MRF42" s="1142"/>
      <c r="MRG42" s="1142"/>
      <c r="MRH42" s="1142"/>
      <c r="MRI42" s="1142"/>
      <c r="MRJ42" s="1142"/>
      <c r="MRK42" s="1142"/>
      <c r="MRL42" s="1142"/>
      <c r="MRM42" s="1142"/>
      <c r="MRN42" s="1142"/>
      <c r="MRO42" s="1142"/>
      <c r="MRP42" s="1142"/>
      <c r="MRQ42" s="1142"/>
      <c r="MRR42" s="1142"/>
      <c r="MRS42" s="1142"/>
      <c r="MRT42" s="1142"/>
      <c r="MRU42" s="1142"/>
      <c r="MRV42" s="1142"/>
      <c r="MRW42" s="1142"/>
      <c r="MRX42" s="1142"/>
      <c r="MRY42" s="1167"/>
      <c r="MRZ42" s="1167"/>
      <c r="MSA42" s="1167"/>
      <c r="MSB42" s="1167"/>
      <c r="MSC42" s="1167"/>
      <c r="MSD42" s="1167"/>
      <c r="MSE42" s="1167"/>
      <c r="MSF42" s="1167"/>
      <c r="MSG42" s="1167"/>
      <c r="MSH42" s="1142"/>
      <c r="MSI42" s="1142"/>
      <c r="MSJ42" s="1142"/>
      <c r="MSK42" s="1142"/>
      <c r="MSL42" s="1142"/>
      <c r="MSM42" s="1142"/>
      <c r="MSN42" s="1142"/>
      <c r="MSO42" s="1142"/>
      <c r="MSP42" s="1142"/>
      <c r="MSQ42" s="1142"/>
      <c r="MSR42" s="1142"/>
      <c r="MSS42" s="1142"/>
      <c r="MST42" s="1142"/>
      <c r="MSU42" s="1142"/>
      <c r="MSV42" s="1142"/>
      <c r="MSW42" s="1142"/>
      <c r="MSX42" s="1142"/>
      <c r="MSY42" s="1142"/>
      <c r="MSZ42" s="1142"/>
      <c r="MTA42" s="1142"/>
      <c r="MTB42" s="1142"/>
      <c r="MTC42" s="1142"/>
      <c r="MTD42" s="1142"/>
      <c r="MTE42" s="1167"/>
      <c r="MTF42" s="1167"/>
      <c r="MTG42" s="1167"/>
      <c r="MTH42" s="1167"/>
      <c r="MTI42" s="1167"/>
      <c r="MTJ42" s="1167"/>
      <c r="MTK42" s="1167"/>
      <c r="MTL42" s="1167"/>
      <c r="MTM42" s="1167"/>
      <c r="MTN42" s="1142"/>
      <c r="MTO42" s="1142"/>
      <c r="MTP42" s="1142"/>
      <c r="MTQ42" s="1142"/>
      <c r="MTR42" s="1142"/>
      <c r="MTS42" s="1142"/>
      <c r="MTT42" s="1142"/>
      <c r="MTU42" s="1142"/>
      <c r="MTV42" s="1142"/>
      <c r="MTW42" s="1142"/>
      <c r="MTX42" s="1142"/>
      <c r="MTY42" s="1142"/>
      <c r="MTZ42" s="1142"/>
      <c r="MUA42" s="1142"/>
      <c r="MUB42" s="1142"/>
      <c r="MUC42" s="1142"/>
      <c r="MUD42" s="1142"/>
      <c r="MUE42" s="1142"/>
      <c r="MUF42" s="1142"/>
      <c r="MUG42" s="1142"/>
      <c r="MUH42" s="1142"/>
      <c r="MUI42" s="1142"/>
      <c r="MUJ42" s="1142"/>
      <c r="MUK42" s="1167"/>
      <c r="MUL42" s="1167"/>
      <c r="MUM42" s="1167"/>
      <c r="MUN42" s="1167"/>
      <c r="MUO42" s="1167"/>
      <c r="MUP42" s="1167"/>
      <c r="MUQ42" s="1167"/>
      <c r="MUR42" s="1167"/>
      <c r="MUS42" s="1167"/>
      <c r="MUT42" s="1142"/>
      <c r="MUU42" s="1142"/>
      <c r="MUV42" s="1142"/>
      <c r="MUW42" s="1142"/>
      <c r="MUX42" s="1142"/>
      <c r="MUY42" s="1142"/>
      <c r="MUZ42" s="1142"/>
      <c r="MVA42" s="1142"/>
      <c r="MVB42" s="1142"/>
      <c r="MVC42" s="1142"/>
      <c r="MVD42" s="1142"/>
      <c r="MVE42" s="1142"/>
      <c r="MVF42" s="1142"/>
      <c r="MVG42" s="1142"/>
      <c r="MVH42" s="1142"/>
      <c r="MVI42" s="1142"/>
      <c r="MVJ42" s="1142"/>
      <c r="MVK42" s="1142"/>
      <c r="MVL42" s="1142"/>
      <c r="MVM42" s="1142"/>
      <c r="MVN42" s="1142"/>
      <c r="MVO42" s="1142"/>
      <c r="MVP42" s="1142"/>
      <c r="MVQ42" s="1167"/>
      <c r="MVR42" s="1167"/>
      <c r="MVS42" s="1167"/>
      <c r="MVT42" s="1167"/>
      <c r="MVU42" s="1167"/>
      <c r="MVV42" s="1167"/>
      <c r="MVW42" s="1167"/>
      <c r="MVX42" s="1167"/>
      <c r="MVY42" s="1167"/>
      <c r="MVZ42" s="1142"/>
      <c r="MWA42" s="1142"/>
      <c r="MWB42" s="1142"/>
      <c r="MWC42" s="1142"/>
      <c r="MWD42" s="1142"/>
      <c r="MWE42" s="1142"/>
      <c r="MWF42" s="1142"/>
      <c r="MWG42" s="1142"/>
      <c r="MWH42" s="1142"/>
      <c r="MWI42" s="1142"/>
      <c r="MWJ42" s="1142"/>
      <c r="MWK42" s="1142"/>
      <c r="MWL42" s="1142"/>
      <c r="MWM42" s="1142"/>
      <c r="MWN42" s="1142"/>
      <c r="MWO42" s="1142"/>
      <c r="MWP42" s="1142"/>
      <c r="MWQ42" s="1142"/>
      <c r="MWR42" s="1142"/>
      <c r="MWS42" s="1142"/>
      <c r="MWT42" s="1142"/>
      <c r="MWU42" s="1142"/>
      <c r="MWV42" s="1142"/>
      <c r="MWW42" s="1167"/>
      <c r="MWX42" s="1167"/>
      <c r="MWY42" s="1167"/>
      <c r="MWZ42" s="1167"/>
      <c r="MXA42" s="1167"/>
      <c r="MXB42" s="1167"/>
      <c r="MXC42" s="1167"/>
      <c r="MXD42" s="1167"/>
      <c r="MXE42" s="1167"/>
      <c r="MXF42" s="1142"/>
      <c r="MXG42" s="1142"/>
      <c r="MXH42" s="1142"/>
      <c r="MXI42" s="1142"/>
      <c r="MXJ42" s="1142"/>
      <c r="MXK42" s="1142"/>
      <c r="MXL42" s="1142"/>
      <c r="MXM42" s="1142"/>
      <c r="MXN42" s="1142"/>
      <c r="MXO42" s="1142"/>
      <c r="MXP42" s="1142"/>
      <c r="MXQ42" s="1142"/>
      <c r="MXR42" s="1142"/>
      <c r="MXS42" s="1142"/>
      <c r="MXT42" s="1142"/>
      <c r="MXU42" s="1142"/>
      <c r="MXV42" s="1142"/>
      <c r="MXW42" s="1142"/>
      <c r="MXX42" s="1142"/>
      <c r="MXY42" s="1142"/>
      <c r="MXZ42" s="1142"/>
      <c r="MYA42" s="1142"/>
      <c r="MYB42" s="1142"/>
      <c r="MYC42" s="1167"/>
      <c r="MYD42" s="1167"/>
      <c r="MYE42" s="1167"/>
      <c r="MYF42" s="1167"/>
      <c r="MYG42" s="1167"/>
      <c r="MYH42" s="1167"/>
      <c r="MYI42" s="1167"/>
      <c r="MYJ42" s="1167"/>
      <c r="MYK42" s="1167"/>
      <c r="MYL42" s="1142"/>
      <c r="MYM42" s="1142"/>
      <c r="MYN42" s="1142"/>
      <c r="MYO42" s="1142"/>
      <c r="MYP42" s="1142"/>
      <c r="MYQ42" s="1142"/>
      <c r="MYR42" s="1142"/>
      <c r="MYS42" s="1142"/>
      <c r="MYT42" s="1142"/>
      <c r="MYU42" s="1142"/>
      <c r="MYV42" s="1142"/>
      <c r="MYW42" s="1142"/>
      <c r="MYX42" s="1142"/>
      <c r="MYY42" s="1142"/>
      <c r="MYZ42" s="1142"/>
      <c r="MZA42" s="1142"/>
      <c r="MZB42" s="1142"/>
      <c r="MZC42" s="1142"/>
      <c r="MZD42" s="1142"/>
      <c r="MZE42" s="1142"/>
      <c r="MZF42" s="1142"/>
      <c r="MZG42" s="1142"/>
      <c r="MZH42" s="1142"/>
      <c r="MZI42" s="1167"/>
      <c r="MZJ42" s="1167"/>
      <c r="MZK42" s="1167"/>
      <c r="MZL42" s="1167"/>
      <c r="MZM42" s="1167"/>
      <c r="MZN42" s="1167"/>
      <c r="MZO42" s="1167"/>
      <c r="MZP42" s="1167"/>
      <c r="MZQ42" s="1167"/>
      <c r="MZR42" s="1142"/>
      <c r="MZS42" s="1142"/>
      <c r="MZT42" s="1142"/>
      <c r="MZU42" s="1142"/>
      <c r="MZV42" s="1142"/>
      <c r="MZW42" s="1142"/>
      <c r="MZX42" s="1142"/>
      <c r="MZY42" s="1142"/>
      <c r="MZZ42" s="1142"/>
      <c r="NAA42" s="1142"/>
      <c r="NAB42" s="1142"/>
      <c r="NAC42" s="1142"/>
      <c r="NAD42" s="1142"/>
      <c r="NAE42" s="1142"/>
      <c r="NAF42" s="1142"/>
      <c r="NAG42" s="1142"/>
      <c r="NAH42" s="1142"/>
      <c r="NAI42" s="1142"/>
      <c r="NAJ42" s="1142"/>
      <c r="NAK42" s="1142"/>
      <c r="NAL42" s="1142"/>
      <c r="NAM42" s="1142"/>
      <c r="NAN42" s="1142"/>
      <c r="NAO42" s="1167"/>
      <c r="NAP42" s="1167"/>
      <c r="NAQ42" s="1167"/>
      <c r="NAR42" s="1167"/>
      <c r="NAS42" s="1167"/>
      <c r="NAT42" s="1167"/>
      <c r="NAU42" s="1167"/>
      <c r="NAV42" s="1167"/>
      <c r="NAW42" s="1167"/>
      <c r="NAX42" s="1142"/>
      <c r="NAY42" s="1142"/>
      <c r="NAZ42" s="1142"/>
      <c r="NBA42" s="1142"/>
      <c r="NBB42" s="1142"/>
      <c r="NBC42" s="1142"/>
      <c r="NBD42" s="1142"/>
      <c r="NBE42" s="1142"/>
      <c r="NBF42" s="1142"/>
      <c r="NBG42" s="1142"/>
      <c r="NBH42" s="1142"/>
      <c r="NBI42" s="1142"/>
      <c r="NBJ42" s="1142"/>
      <c r="NBK42" s="1142"/>
      <c r="NBL42" s="1142"/>
      <c r="NBM42" s="1142"/>
      <c r="NBN42" s="1142"/>
      <c r="NBO42" s="1142"/>
      <c r="NBP42" s="1142"/>
      <c r="NBQ42" s="1142"/>
      <c r="NBR42" s="1142"/>
      <c r="NBS42" s="1142"/>
      <c r="NBT42" s="1142"/>
      <c r="NBU42" s="1167"/>
      <c r="NBV42" s="1167"/>
      <c r="NBW42" s="1167"/>
      <c r="NBX42" s="1167"/>
      <c r="NBY42" s="1167"/>
      <c r="NBZ42" s="1167"/>
      <c r="NCA42" s="1167"/>
      <c r="NCB42" s="1167"/>
      <c r="NCC42" s="1167"/>
      <c r="NCD42" s="1142"/>
      <c r="NCE42" s="1142"/>
      <c r="NCF42" s="1142"/>
      <c r="NCG42" s="1142"/>
      <c r="NCH42" s="1142"/>
      <c r="NCI42" s="1142"/>
      <c r="NCJ42" s="1142"/>
      <c r="NCK42" s="1142"/>
      <c r="NCL42" s="1142"/>
      <c r="NCM42" s="1142"/>
      <c r="NCN42" s="1142"/>
      <c r="NCO42" s="1142"/>
      <c r="NCP42" s="1142"/>
      <c r="NCQ42" s="1142"/>
      <c r="NCR42" s="1142"/>
      <c r="NCS42" s="1142"/>
      <c r="NCT42" s="1142"/>
      <c r="NCU42" s="1142"/>
      <c r="NCV42" s="1142"/>
      <c r="NCW42" s="1142"/>
      <c r="NCX42" s="1142"/>
      <c r="NCY42" s="1142"/>
      <c r="NCZ42" s="1142"/>
      <c r="NDA42" s="1167"/>
      <c r="NDB42" s="1167"/>
      <c r="NDC42" s="1167"/>
      <c r="NDD42" s="1167"/>
      <c r="NDE42" s="1167"/>
      <c r="NDF42" s="1167"/>
      <c r="NDG42" s="1167"/>
      <c r="NDH42" s="1167"/>
      <c r="NDI42" s="1167"/>
      <c r="NDJ42" s="1142"/>
      <c r="NDK42" s="1142"/>
      <c r="NDL42" s="1142"/>
      <c r="NDM42" s="1142"/>
      <c r="NDN42" s="1142"/>
      <c r="NDO42" s="1142"/>
      <c r="NDP42" s="1142"/>
      <c r="NDQ42" s="1142"/>
      <c r="NDR42" s="1142"/>
      <c r="NDS42" s="1142"/>
      <c r="NDT42" s="1142"/>
      <c r="NDU42" s="1142"/>
      <c r="NDV42" s="1142"/>
      <c r="NDW42" s="1142"/>
      <c r="NDX42" s="1142"/>
      <c r="NDY42" s="1142"/>
      <c r="NDZ42" s="1142"/>
      <c r="NEA42" s="1142"/>
      <c r="NEB42" s="1142"/>
      <c r="NEC42" s="1142"/>
      <c r="NED42" s="1142"/>
      <c r="NEE42" s="1142"/>
      <c r="NEF42" s="1142"/>
      <c r="NEG42" s="1167"/>
      <c r="NEH42" s="1167"/>
      <c r="NEI42" s="1167"/>
      <c r="NEJ42" s="1167"/>
      <c r="NEK42" s="1167"/>
      <c r="NEL42" s="1167"/>
      <c r="NEM42" s="1167"/>
      <c r="NEN42" s="1167"/>
      <c r="NEO42" s="1167"/>
      <c r="NEP42" s="1142"/>
      <c r="NEQ42" s="1142"/>
      <c r="NER42" s="1142"/>
      <c r="NES42" s="1142"/>
      <c r="NET42" s="1142"/>
      <c r="NEU42" s="1142"/>
      <c r="NEV42" s="1142"/>
      <c r="NEW42" s="1142"/>
      <c r="NEX42" s="1142"/>
      <c r="NEY42" s="1142"/>
      <c r="NEZ42" s="1142"/>
      <c r="NFA42" s="1142"/>
      <c r="NFB42" s="1142"/>
      <c r="NFC42" s="1142"/>
      <c r="NFD42" s="1142"/>
      <c r="NFE42" s="1142"/>
      <c r="NFF42" s="1142"/>
      <c r="NFG42" s="1142"/>
      <c r="NFH42" s="1142"/>
      <c r="NFI42" s="1142"/>
      <c r="NFJ42" s="1142"/>
      <c r="NFK42" s="1142"/>
      <c r="NFL42" s="1142"/>
      <c r="NFM42" s="1167"/>
      <c r="NFN42" s="1167"/>
      <c r="NFO42" s="1167"/>
      <c r="NFP42" s="1167"/>
      <c r="NFQ42" s="1167"/>
      <c r="NFR42" s="1167"/>
      <c r="NFS42" s="1167"/>
      <c r="NFT42" s="1167"/>
      <c r="NFU42" s="1167"/>
      <c r="NFV42" s="1142"/>
      <c r="NFW42" s="1142"/>
      <c r="NFX42" s="1142"/>
      <c r="NFY42" s="1142"/>
      <c r="NFZ42" s="1142"/>
      <c r="NGA42" s="1142"/>
      <c r="NGB42" s="1142"/>
      <c r="NGC42" s="1142"/>
      <c r="NGD42" s="1142"/>
      <c r="NGE42" s="1142"/>
      <c r="NGF42" s="1142"/>
      <c r="NGG42" s="1142"/>
      <c r="NGH42" s="1142"/>
      <c r="NGI42" s="1142"/>
      <c r="NGJ42" s="1142"/>
      <c r="NGK42" s="1142"/>
      <c r="NGL42" s="1142"/>
      <c r="NGM42" s="1142"/>
      <c r="NGN42" s="1142"/>
      <c r="NGO42" s="1142"/>
      <c r="NGP42" s="1142"/>
      <c r="NGQ42" s="1142"/>
      <c r="NGR42" s="1142"/>
      <c r="NGS42" s="1167"/>
      <c r="NGT42" s="1167"/>
      <c r="NGU42" s="1167"/>
      <c r="NGV42" s="1167"/>
      <c r="NGW42" s="1167"/>
      <c r="NGX42" s="1167"/>
      <c r="NGY42" s="1167"/>
      <c r="NGZ42" s="1167"/>
      <c r="NHA42" s="1167"/>
      <c r="NHB42" s="1142"/>
      <c r="NHC42" s="1142"/>
      <c r="NHD42" s="1142"/>
      <c r="NHE42" s="1142"/>
      <c r="NHF42" s="1142"/>
      <c r="NHG42" s="1142"/>
      <c r="NHH42" s="1142"/>
      <c r="NHI42" s="1142"/>
      <c r="NHJ42" s="1142"/>
      <c r="NHK42" s="1142"/>
      <c r="NHL42" s="1142"/>
      <c r="NHM42" s="1142"/>
      <c r="NHN42" s="1142"/>
      <c r="NHO42" s="1142"/>
      <c r="NHP42" s="1142"/>
      <c r="NHQ42" s="1142"/>
      <c r="NHR42" s="1142"/>
      <c r="NHS42" s="1142"/>
      <c r="NHT42" s="1142"/>
      <c r="NHU42" s="1142"/>
      <c r="NHV42" s="1142"/>
      <c r="NHW42" s="1142"/>
      <c r="NHX42" s="1142"/>
      <c r="NHY42" s="1167"/>
      <c r="NHZ42" s="1167"/>
      <c r="NIA42" s="1167"/>
      <c r="NIB42" s="1167"/>
      <c r="NIC42" s="1167"/>
      <c r="NID42" s="1167"/>
      <c r="NIE42" s="1167"/>
      <c r="NIF42" s="1167"/>
      <c r="NIG42" s="1167"/>
      <c r="NIH42" s="1142"/>
      <c r="NII42" s="1142"/>
      <c r="NIJ42" s="1142"/>
      <c r="NIK42" s="1142"/>
      <c r="NIL42" s="1142"/>
      <c r="NIM42" s="1142"/>
      <c r="NIN42" s="1142"/>
      <c r="NIO42" s="1142"/>
      <c r="NIP42" s="1142"/>
      <c r="NIQ42" s="1142"/>
      <c r="NIR42" s="1142"/>
      <c r="NIS42" s="1142"/>
      <c r="NIT42" s="1142"/>
      <c r="NIU42" s="1142"/>
      <c r="NIV42" s="1142"/>
      <c r="NIW42" s="1142"/>
      <c r="NIX42" s="1142"/>
      <c r="NIY42" s="1142"/>
      <c r="NIZ42" s="1142"/>
      <c r="NJA42" s="1142"/>
      <c r="NJB42" s="1142"/>
      <c r="NJC42" s="1142"/>
      <c r="NJD42" s="1142"/>
      <c r="NJE42" s="1167"/>
      <c r="NJF42" s="1167"/>
      <c r="NJG42" s="1167"/>
      <c r="NJH42" s="1167"/>
      <c r="NJI42" s="1167"/>
      <c r="NJJ42" s="1167"/>
      <c r="NJK42" s="1167"/>
      <c r="NJL42" s="1167"/>
      <c r="NJM42" s="1167"/>
      <c r="NJN42" s="1142"/>
      <c r="NJO42" s="1142"/>
      <c r="NJP42" s="1142"/>
      <c r="NJQ42" s="1142"/>
      <c r="NJR42" s="1142"/>
      <c r="NJS42" s="1142"/>
      <c r="NJT42" s="1142"/>
      <c r="NJU42" s="1142"/>
      <c r="NJV42" s="1142"/>
      <c r="NJW42" s="1142"/>
      <c r="NJX42" s="1142"/>
      <c r="NJY42" s="1142"/>
      <c r="NJZ42" s="1142"/>
      <c r="NKA42" s="1142"/>
      <c r="NKB42" s="1142"/>
      <c r="NKC42" s="1142"/>
      <c r="NKD42" s="1142"/>
      <c r="NKE42" s="1142"/>
      <c r="NKF42" s="1142"/>
      <c r="NKG42" s="1142"/>
      <c r="NKH42" s="1142"/>
      <c r="NKI42" s="1142"/>
      <c r="NKJ42" s="1142"/>
      <c r="NKK42" s="1167"/>
      <c r="NKL42" s="1167"/>
      <c r="NKM42" s="1167"/>
      <c r="NKN42" s="1167"/>
      <c r="NKO42" s="1167"/>
      <c r="NKP42" s="1167"/>
      <c r="NKQ42" s="1167"/>
      <c r="NKR42" s="1167"/>
      <c r="NKS42" s="1167"/>
      <c r="NKT42" s="1142"/>
      <c r="NKU42" s="1142"/>
      <c r="NKV42" s="1142"/>
      <c r="NKW42" s="1142"/>
      <c r="NKX42" s="1142"/>
      <c r="NKY42" s="1142"/>
      <c r="NKZ42" s="1142"/>
      <c r="NLA42" s="1142"/>
      <c r="NLB42" s="1142"/>
      <c r="NLC42" s="1142"/>
      <c r="NLD42" s="1142"/>
      <c r="NLE42" s="1142"/>
      <c r="NLF42" s="1142"/>
      <c r="NLG42" s="1142"/>
      <c r="NLH42" s="1142"/>
      <c r="NLI42" s="1142"/>
      <c r="NLJ42" s="1142"/>
      <c r="NLK42" s="1142"/>
      <c r="NLL42" s="1142"/>
      <c r="NLM42" s="1142"/>
      <c r="NLN42" s="1142"/>
      <c r="NLO42" s="1142"/>
      <c r="NLP42" s="1142"/>
      <c r="NLQ42" s="1167"/>
      <c r="NLR42" s="1167"/>
      <c r="NLS42" s="1167"/>
      <c r="NLT42" s="1167"/>
      <c r="NLU42" s="1167"/>
      <c r="NLV42" s="1167"/>
      <c r="NLW42" s="1167"/>
      <c r="NLX42" s="1167"/>
      <c r="NLY42" s="1167"/>
      <c r="NLZ42" s="1142"/>
      <c r="NMA42" s="1142"/>
      <c r="NMB42" s="1142"/>
      <c r="NMC42" s="1142"/>
      <c r="NMD42" s="1142"/>
      <c r="NME42" s="1142"/>
      <c r="NMF42" s="1142"/>
      <c r="NMG42" s="1142"/>
      <c r="NMH42" s="1142"/>
      <c r="NMI42" s="1142"/>
      <c r="NMJ42" s="1142"/>
      <c r="NMK42" s="1142"/>
      <c r="NML42" s="1142"/>
      <c r="NMM42" s="1142"/>
      <c r="NMN42" s="1142"/>
      <c r="NMO42" s="1142"/>
      <c r="NMP42" s="1142"/>
      <c r="NMQ42" s="1142"/>
      <c r="NMR42" s="1142"/>
      <c r="NMS42" s="1142"/>
      <c r="NMT42" s="1142"/>
      <c r="NMU42" s="1142"/>
      <c r="NMV42" s="1142"/>
      <c r="NMW42" s="1167"/>
      <c r="NMX42" s="1167"/>
      <c r="NMY42" s="1167"/>
      <c r="NMZ42" s="1167"/>
      <c r="NNA42" s="1167"/>
      <c r="NNB42" s="1167"/>
      <c r="NNC42" s="1167"/>
      <c r="NND42" s="1167"/>
      <c r="NNE42" s="1167"/>
      <c r="NNF42" s="1142"/>
      <c r="NNG42" s="1142"/>
      <c r="NNH42" s="1142"/>
      <c r="NNI42" s="1142"/>
      <c r="NNJ42" s="1142"/>
      <c r="NNK42" s="1142"/>
      <c r="NNL42" s="1142"/>
      <c r="NNM42" s="1142"/>
      <c r="NNN42" s="1142"/>
      <c r="NNO42" s="1142"/>
      <c r="NNP42" s="1142"/>
      <c r="NNQ42" s="1142"/>
      <c r="NNR42" s="1142"/>
      <c r="NNS42" s="1142"/>
      <c r="NNT42" s="1142"/>
      <c r="NNU42" s="1142"/>
      <c r="NNV42" s="1142"/>
      <c r="NNW42" s="1142"/>
      <c r="NNX42" s="1142"/>
      <c r="NNY42" s="1142"/>
      <c r="NNZ42" s="1142"/>
      <c r="NOA42" s="1142"/>
      <c r="NOB42" s="1142"/>
      <c r="NOC42" s="1167"/>
      <c r="NOD42" s="1167"/>
      <c r="NOE42" s="1167"/>
      <c r="NOF42" s="1167"/>
      <c r="NOG42" s="1167"/>
      <c r="NOH42" s="1167"/>
      <c r="NOI42" s="1167"/>
      <c r="NOJ42" s="1167"/>
      <c r="NOK42" s="1167"/>
      <c r="NOL42" s="1142"/>
      <c r="NOM42" s="1142"/>
      <c r="NON42" s="1142"/>
      <c r="NOO42" s="1142"/>
      <c r="NOP42" s="1142"/>
      <c r="NOQ42" s="1142"/>
      <c r="NOR42" s="1142"/>
      <c r="NOS42" s="1142"/>
      <c r="NOT42" s="1142"/>
      <c r="NOU42" s="1142"/>
      <c r="NOV42" s="1142"/>
      <c r="NOW42" s="1142"/>
      <c r="NOX42" s="1142"/>
      <c r="NOY42" s="1142"/>
      <c r="NOZ42" s="1142"/>
      <c r="NPA42" s="1142"/>
      <c r="NPB42" s="1142"/>
      <c r="NPC42" s="1142"/>
      <c r="NPD42" s="1142"/>
      <c r="NPE42" s="1142"/>
      <c r="NPF42" s="1142"/>
      <c r="NPG42" s="1142"/>
      <c r="NPH42" s="1142"/>
      <c r="NPI42" s="1167"/>
      <c r="NPJ42" s="1167"/>
      <c r="NPK42" s="1167"/>
      <c r="NPL42" s="1167"/>
      <c r="NPM42" s="1167"/>
      <c r="NPN42" s="1167"/>
      <c r="NPO42" s="1167"/>
      <c r="NPP42" s="1167"/>
      <c r="NPQ42" s="1167"/>
      <c r="NPR42" s="1142"/>
      <c r="NPS42" s="1142"/>
      <c r="NPT42" s="1142"/>
      <c r="NPU42" s="1142"/>
      <c r="NPV42" s="1142"/>
      <c r="NPW42" s="1142"/>
      <c r="NPX42" s="1142"/>
      <c r="NPY42" s="1142"/>
      <c r="NPZ42" s="1142"/>
      <c r="NQA42" s="1142"/>
      <c r="NQB42" s="1142"/>
      <c r="NQC42" s="1142"/>
      <c r="NQD42" s="1142"/>
      <c r="NQE42" s="1142"/>
      <c r="NQF42" s="1142"/>
      <c r="NQG42" s="1142"/>
      <c r="NQH42" s="1142"/>
      <c r="NQI42" s="1142"/>
      <c r="NQJ42" s="1142"/>
      <c r="NQK42" s="1142"/>
      <c r="NQL42" s="1142"/>
      <c r="NQM42" s="1142"/>
      <c r="NQN42" s="1142"/>
      <c r="NQO42" s="1167"/>
      <c r="NQP42" s="1167"/>
      <c r="NQQ42" s="1167"/>
      <c r="NQR42" s="1167"/>
      <c r="NQS42" s="1167"/>
      <c r="NQT42" s="1167"/>
      <c r="NQU42" s="1167"/>
      <c r="NQV42" s="1167"/>
      <c r="NQW42" s="1167"/>
      <c r="NQX42" s="1142"/>
      <c r="NQY42" s="1142"/>
      <c r="NQZ42" s="1142"/>
      <c r="NRA42" s="1142"/>
      <c r="NRB42" s="1142"/>
      <c r="NRC42" s="1142"/>
      <c r="NRD42" s="1142"/>
      <c r="NRE42" s="1142"/>
      <c r="NRF42" s="1142"/>
      <c r="NRG42" s="1142"/>
      <c r="NRH42" s="1142"/>
      <c r="NRI42" s="1142"/>
      <c r="NRJ42" s="1142"/>
      <c r="NRK42" s="1142"/>
      <c r="NRL42" s="1142"/>
      <c r="NRM42" s="1142"/>
      <c r="NRN42" s="1142"/>
      <c r="NRO42" s="1142"/>
      <c r="NRP42" s="1142"/>
      <c r="NRQ42" s="1142"/>
      <c r="NRR42" s="1142"/>
      <c r="NRS42" s="1142"/>
      <c r="NRT42" s="1142"/>
      <c r="NRU42" s="1167"/>
      <c r="NRV42" s="1167"/>
      <c r="NRW42" s="1167"/>
      <c r="NRX42" s="1167"/>
      <c r="NRY42" s="1167"/>
      <c r="NRZ42" s="1167"/>
      <c r="NSA42" s="1167"/>
      <c r="NSB42" s="1167"/>
      <c r="NSC42" s="1167"/>
      <c r="NSD42" s="1142"/>
      <c r="NSE42" s="1142"/>
      <c r="NSF42" s="1142"/>
      <c r="NSG42" s="1142"/>
      <c r="NSH42" s="1142"/>
      <c r="NSI42" s="1142"/>
      <c r="NSJ42" s="1142"/>
      <c r="NSK42" s="1142"/>
      <c r="NSL42" s="1142"/>
      <c r="NSM42" s="1142"/>
      <c r="NSN42" s="1142"/>
      <c r="NSO42" s="1142"/>
      <c r="NSP42" s="1142"/>
      <c r="NSQ42" s="1142"/>
      <c r="NSR42" s="1142"/>
      <c r="NSS42" s="1142"/>
      <c r="NST42" s="1142"/>
      <c r="NSU42" s="1142"/>
      <c r="NSV42" s="1142"/>
      <c r="NSW42" s="1142"/>
      <c r="NSX42" s="1142"/>
      <c r="NSY42" s="1142"/>
      <c r="NSZ42" s="1142"/>
      <c r="NTA42" s="1167"/>
      <c r="NTB42" s="1167"/>
      <c r="NTC42" s="1167"/>
      <c r="NTD42" s="1167"/>
      <c r="NTE42" s="1167"/>
      <c r="NTF42" s="1167"/>
      <c r="NTG42" s="1167"/>
      <c r="NTH42" s="1167"/>
      <c r="NTI42" s="1167"/>
      <c r="NTJ42" s="1142"/>
      <c r="NTK42" s="1142"/>
      <c r="NTL42" s="1142"/>
      <c r="NTM42" s="1142"/>
      <c r="NTN42" s="1142"/>
      <c r="NTO42" s="1142"/>
      <c r="NTP42" s="1142"/>
      <c r="NTQ42" s="1142"/>
      <c r="NTR42" s="1142"/>
      <c r="NTS42" s="1142"/>
      <c r="NTT42" s="1142"/>
      <c r="NTU42" s="1142"/>
      <c r="NTV42" s="1142"/>
      <c r="NTW42" s="1142"/>
      <c r="NTX42" s="1142"/>
      <c r="NTY42" s="1142"/>
      <c r="NTZ42" s="1142"/>
      <c r="NUA42" s="1142"/>
      <c r="NUB42" s="1142"/>
      <c r="NUC42" s="1142"/>
      <c r="NUD42" s="1142"/>
      <c r="NUE42" s="1142"/>
      <c r="NUF42" s="1142"/>
      <c r="NUG42" s="1167"/>
      <c r="NUH42" s="1167"/>
      <c r="NUI42" s="1167"/>
      <c r="NUJ42" s="1167"/>
      <c r="NUK42" s="1167"/>
      <c r="NUL42" s="1167"/>
      <c r="NUM42" s="1167"/>
      <c r="NUN42" s="1167"/>
      <c r="NUO42" s="1167"/>
      <c r="NUP42" s="1142"/>
      <c r="NUQ42" s="1142"/>
      <c r="NUR42" s="1142"/>
      <c r="NUS42" s="1142"/>
      <c r="NUT42" s="1142"/>
      <c r="NUU42" s="1142"/>
      <c r="NUV42" s="1142"/>
      <c r="NUW42" s="1142"/>
      <c r="NUX42" s="1142"/>
      <c r="NUY42" s="1142"/>
      <c r="NUZ42" s="1142"/>
      <c r="NVA42" s="1142"/>
      <c r="NVB42" s="1142"/>
      <c r="NVC42" s="1142"/>
      <c r="NVD42" s="1142"/>
      <c r="NVE42" s="1142"/>
      <c r="NVF42" s="1142"/>
      <c r="NVG42" s="1142"/>
      <c r="NVH42" s="1142"/>
      <c r="NVI42" s="1142"/>
      <c r="NVJ42" s="1142"/>
      <c r="NVK42" s="1142"/>
      <c r="NVL42" s="1142"/>
      <c r="NVM42" s="1167"/>
      <c r="NVN42" s="1167"/>
      <c r="NVO42" s="1167"/>
      <c r="NVP42" s="1167"/>
      <c r="NVQ42" s="1167"/>
      <c r="NVR42" s="1167"/>
      <c r="NVS42" s="1167"/>
      <c r="NVT42" s="1167"/>
      <c r="NVU42" s="1167"/>
      <c r="NVV42" s="1142"/>
      <c r="NVW42" s="1142"/>
      <c r="NVX42" s="1142"/>
      <c r="NVY42" s="1142"/>
      <c r="NVZ42" s="1142"/>
      <c r="NWA42" s="1142"/>
      <c r="NWB42" s="1142"/>
      <c r="NWC42" s="1142"/>
      <c r="NWD42" s="1142"/>
      <c r="NWE42" s="1142"/>
      <c r="NWF42" s="1142"/>
      <c r="NWG42" s="1142"/>
      <c r="NWH42" s="1142"/>
      <c r="NWI42" s="1142"/>
      <c r="NWJ42" s="1142"/>
      <c r="NWK42" s="1142"/>
      <c r="NWL42" s="1142"/>
      <c r="NWM42" s="1142"/>
      <c r="NWN42" s="1142"/>
      <c r="NWO42" s="1142"/>
      <c r="NWP42" s="1142"/>
      <c r="NWQ42" s="1142"/>
      <c r="NWR42" s="1142"/>
      <c r="NWS42" s="1167"/>
      <c r="NWT42" s="1167"/>
      <c r="NWU42" s="1167"/>
      <c r="NWV42" s="1167"/>
      <c r="NWW42" s="1167"/>
      <c r="NWX42" s="1167"/>
      <c r="NWY42" s="1167"/>
      <c r="NWZ42" s="1167"/>
      <c r="NXA42" s="1167"/>
      <c r="NXB42" s="1142"/>
      <c r="NXC42" s="1142"/>
      <c r="NXD42" s="1142"/>
      <c r="NXE42" s="1142"/>
      <c r="NXF42" s="1142"/>
      <c r="NXG42" s="1142"/>
      <c r="NXH42" s="1142"/>
      <c r="NXI42" s="1142"/>
      <c r="NXJ42" s="1142"/>
      <c r="NXK42" s="1142"/>
      <c r="NXL42" s="1142"/>
      <c r="NXM42" s="1142"/>
      <c r="NXN42" s="1142"/>
      <c r="NXO42" s="1142"/>
      <c r="NXP42" s="1142"/>
      <c r="NXQ42" s="1142"/>
      <c r="NXR42" s="1142"/>
      <c r="NXS42" s="1142"/>
      <c r="NXT42" s="1142"/>
      <c r="NXU42" s="1142"/>
      <c r="NXV42" s="1142"/>
      <c r="NXW42" s="1142"/>
      <c r="NXX42" s="1142"/>
      <c r="NXY42" s="1167"/>
      <c r="NXZ42" s="1167"/>
      <c r="NYA42" s="1167"/>
      <c r="NYB42" s="1167"/>
      <c r="NYC42" s="1167"/>
      <c r="NYD42" s="1167"/>
      <c r="NYE42" s="1167"/>
      <c r="NYF42" s="1167"/>
      <c r="NYG42" s="1167"/>
      <c r="NYH42" s="1142"/>
      <c r="NYI42" s="1142"/>
      <c r="NYJ42" s="1142"/>
      <c r="NYK42" s="1142"/>
      <c r="NYL42" s="1142"/>
      <c r="NYM42" s="1142"/>
      <c r="NYN42" s="1142"/>
      <c r="NYO42" s="1142"/>
      <c r="NYP42" s="1142"/>
      <c r="NYQ42" s="1142"/>
      <c r="NYR42" s="1142"/>
      <c r="NYS42" s="1142"/>
      <c r="NYT42" s="1142"/>
      <c r="NYU42" s="1142"/>
      <c r="NYV42" s="1142"/>
      <c r="NYW42" s="1142"/>
      <c r="NYX42" s="1142"/>
      <c r="NYY42" s="1142"/>
      <c r="NYZ42" s="1142"/>
      <c r="NZA42" s="1142"/>
      <c r="NZB42" s="1142"/>
      <c r="NZC42" s="1142"/>
      <c r="NZD42" s="1142"/>
      <c r="NZE42" s="1167"/>
      <c r="NZF42" s="1167"/>
      <c r="NZG42" s="1167"/>
      <c r="NZH42" s="1167"/>
      <c r="NZI42" s="1167"/>
      <c r="NZJ42" s="1167"/>
      <c r="NZK42" s="1167"/>
      <c r="NZL42" s="1167"/>
      <c r="NZM42" s="1167"/>
      <c r="NZN42" s="1142"/>
      <c r="NZO42" s="1142"/>
      <c r="NZP42" s="1142"/>
      <c r="NZQ42" s="1142"/>
      <c r="NZR42" s="1142"/>
      <c r="NZS42" s="1142"/>
      <c r="NZT42" s="1142"/>
      <c r="NZU42" s="1142"/>
      <c r="NZV42" s="1142"/>
      <c r="NZW42" s="1142"/>
      <c r="NZX42" s="1142"/>
      <c r="NZY42" s="1142"/>
      <c r="NZZ42" s="1142"/>
      <c r="OAA42" s="1142"/>
      <c r="OAB42" s="1142"/>
      <c r="OAC42" s="1142"/>
      <c r="OAD42" s="1142"/>
      <c r="OAE42" s="1142"/>
      <c r="OAF42" s="1142"/>
      <c r="OAG42" s="1142"/>
      <c r="OAH42" s="1142"/>
      <c r="OAI42" s="1142"/>
      <c r="OAJ42" s="1142"/>
      <c r="OAK42" s="1167"/>
      <c r="OAL42" s="1167"/>
      <c r="OAM42" s="1167"/>
      <c r="OAN42" s="1167"/>
      <c r="OAO42" s="1167"/>
      <c r="OAP42" s="1167"/>
      <c r="OAQ42" s="1167"/>
      <c r="OAR42" s="1167"/>
      <c r="OAS42" s="1167"/>
      <c r="OAT42" s="1142"/>
      <c r="OAU42" s="1142"/>
      <c r="OAV42" s="1142"/>
      <c r="OAW42" s="1142"/>
      <c r="OAX42" s="1142"/>
      <c r="OAY42" s="1142"/>
      <c r="OAZ42" s="1142"/>
      <c r="OBA42" s="1142"/>
      <c r="OBB42" s="1142"/>
      <c r="OBC42" s="1142"/>
      <c r="OBD42" s="1142"/>
      <c r="OBE42" s="1142"/>
      <c r="OBF42" s="1142"/>
      <c r="OBG42" s="1142"/>
      <c r="OBH42" s="1142"/>
      <c r="OBI42" s="1142"/>
      <c r="OBJ42" s="1142"/>
      <c r="OBK42" s="1142"/>
      <c r="OBL42" s="1142"/>
      <c r="OBM42" s="1142"/>
      <c r="OBN42" s="1142"/>
      <c r="OBO42" s="1142"/>
      <c r="OBP42" s="1142"/>
      <c r="OBQ42" s="1167"/>
      <c r="OBR42" s="1167"/>
      <c r="OBS42" s="1167"/>
      <c r="OBT42" s="1167"/>
      <c r="OBU42" s="1167"/>
      <c r="OBV42" s="1167"/>
      <c r="OBW42" s="1167"/>
      <c r="OBX42" s="1167"/>
      <c r="OBY42" s="1167"/>
      <c r="OBZ42" s="1142"/>
      <c r="OCA42" s="1142"/>
      <c r="OCB42" s="1142"/>
      <c r="OCC42" s="1142"/>
      <c r="OCD42" s="1142"/>
      <c r="OCE42" s="1142"/>
      <c r="OCF42" s="1142"/>
      <c r="OCG42" s="1142"/>
      <c r="OCH42" s="1142"/>
      <c r="OCI42" s="1142"/>
      <c r="OCJ42" s="1142"/>
      <c r="OCK42" s="1142"/>
      <c r="OCL42" s="1142"/>
      <c r="OCM42" s="1142"/>
      <c r="OCN42" s="1142"/>
      <c r="OCO42" s="1142"/>
      <c r="OCP42" s="1142"/>
      <c r="OCQ42" s="1142"/>
      <c r="OCR42" s="1142"/>
      <c r="OCS42" s="1142"/>
      <c r="OCT42" s="1142"/>
      <c r="OCU42" s="1142"/>
      <c r="OCV42" s="1142"/>
      <c r="OCW42" s="1167"/>
      <c r="OCX42" s="1167"/>
      <c r="OCY42" s="1167"/>
      <c r="OCZ42" s="1167"/>
      <c r="ODA42" s="1167"/>
      <c r="ODB42" s="1167"/>
      <c r="ODC42" s="1167"/>
      <c r="ODD42" s="1167"/>
      <c r="ODE42" s="1167"/>
      <c r="ODF42" s="1142"/>
      <c r="ODG42" s="1142"/>
      <c r="ODH42" s="1142"/>
      <c r="ODI42" s="1142"/>
      <c r="ODJ42" s="1142"/>
      <c r="ODK42" s="1142"/>
      <c r="ODL42" s="1142"/>
      <c r="ODM42" s="1142"/>
      <c r="ODN42" s="1142"/>
      <c r="ODO42" s="1142"/>
      <c r="ODP42" s="1142"/>
      <c r="ODQ42" s="1142"/>
      <c r="ODR42" s="1142"/>
      <c r="ODS42" s="1142"/>
      <c r="ODT42" s="1142"/>
      <c r="ODU42" s="1142"/>
      <c r="ODV42" s="1142"/>
      <c r="ODW42" s="1142"/>
      <c r="ODX42" s="1142"/>
      <c r="ODY42" s="1142"/>
      <c r="ODZ42" s="1142"/>
      <c r="OEA42" s="1142"/>
      <c r="OEB42" s="1142"/>
      <c r="OEC42" s="1167"/>
      <c r="OED42" s="1167"/>
      <c r="OEE42" s="1167"/>
      <c r="OEF42" s="1167"/>
      <c r="OEG42" s="1167"/>
      <c r="OEH42" s="1167"/>
      <c r="OEI42" s="1167"/>
      <c r="OEJ42" s="1167"/>
      <c r="OEK42" s="1167"/>
      <c r="OEL42" s="1142"/>
      <c r="OEM42" s="1142"/>
      <c r="OEN42" s="1142"/>
      <c r="OEO42" s="1142"/>
      <c r="OEP42" s="1142"/>
      <c r="OEQ42" s="1142"/>
      <c r="OER42" s="1142"/>
      <c r="OES42" s="1142"/>
      <c r="OET42" s="1142"/>
      <c r="OEU42" s="1142"/>
      <c r="OEV42" s="1142"/>
      <c r="OEW42" s="1142"/>
      <c r="OEX42" s="1142"/>
      <c r="OEY42" s="1142"/>
      <c r="OEZ42" s="1142"/>
      <c r="OFA42" s="1142"/>
      <c r="OFB42" s="1142"/>
      <c r="OFC42" s="1142"/>
      <c r="OFD42" s="1142"/>
      <c r="OFE42" s="1142"/>
      <c r="OFF42" s="1142"/>
      <c r="OFG42" s="1142"/>
      <c r="OFH42" s="1142"/>
      <c r="OFI42" s="1167"/>
      <c r="OFJ42" s="1167"/>
      <c r="OFK42" s="1167"/>
      <c r="OFL42" s="1167"/>
      <c r="OFM42" s="1167"/>
      <c r="OFN42" s="1167"/>
      <c r="OFO42" s="1167"/>
      <c r="OFP42" s="1167"/>
      <c r="OFQ42" s="1167"/>
      <c r="OFR42" s="1142"/>
      <c r="OFS42" s="1142"/>
      <c r="OFT42" s="1142"/>
      <c r="OFU42" s="1142"/>
      <c r="OFV42" s="1142"/>
      <c r="OFW42" s="1142"/>
      <c r="OFX42" s="1142"/>
      <c r="OFY42" s="1142"/>
      <c r="OFZ42" s="1142"/>
      <c r="OGA42" s="1142"/>
      <c r="OGB42" s="1142"/>
      <c r="OGC42" s="1142"/>
      <c r="OGD42" s="1142"/>
      <c r="OGE42" s="1142"/>
      <c r="OGF42" s="1142"/>
      <c r="OGG42" s="1142"/>
      <c r="OGH42" s="1142"/>
      <c r="OGI42" s="1142"/>
      <c r="OGJ42" s="1142"/>
      <c r="OGK42" s="1142"/>
      <c r="OGL42" s="1142"/>
      <c r="OGM42" s="1142"/>
      <c r="OGN42" s="1142"/>
      <c r="OGO42" s="1167"/>
      <c r="OGP42" s="1167"/>
      <c r="OGQ42" s="1167"/>
      <c r="OGR42" s="1167"/>
      <c r="OGS42" s="1167"/>
      <c r="OGT42" s="1167"/>
      <c r="OGU42" s="1167"/>
      <c r="OGV42" s="1167"/>
      <c r="OGW42" s="1167"/>
      <c r="OGX42" s="1142"/>
      <c r="OGY42" s="1142"/>
      <c r="OGZ42" s="1142"/>
      <c r="OHA42" s="1142"/>
      <c r="OHB42" s="1142"/>
      <c r="OHC42" s="1142"/>
      <c r="OHD42" s="1142"/>
      <c r="OHE42" s="1142"/>
      <c r="OHF42" s="1142"/>
      <c r="OHG42" s="1142"/>
      <c r="OHH42" s="1142"/>
      <c r="OHI42" s="1142"/>
      <c r="OHJ42" s="1142"/>
      <c r="OHK42" s="1142"/>
      <c r="OHL42" s="1142"/>
      <c r="OHM42" s="1142"/>
      <c r="OHN42" s="1142"/>
      <c r="OHO42" s="1142"/>
      <c r="OHP42" s="1142"/>
      <c r="OHQ42" s="1142"/>
      <c r="OHR42" s="1142"/>
      <c r="OHS42" s="1142"/>
      <c r="OHT42" s="1142"/>
      <c r="OHU42" s="1167"/>
      <c r="OHV42" s="1167"/>
      <c r="OHW42" s="1167"/>
      <c r="OHX42" s="1167"/>
      <c r="OHY42" s="1167"/>
      <c r="OHZ42" s="1167"/>
      <c r="OIA42" s="1167"/>
      <c r="OIB42" s="1167"/>
      <c r="OIC42" s="1167"/>
      <c r="OID42" s="1142"/>
      <c r="OIE42" s="1142"/>
      <c r="OIF42" s="1142"/>
      <c r="OIG42" s="1142"/>
      <c r="OIH42" s="1142"/>
      <c r="OII42" s="1142"/>
      <c r="OIJ42" s="1142"/>
      <c r="OIK42" s="1142"/>
      <c r="OIL42" s="1142"/>
      <c r="OIM42" s="1142"/>
      <c r="OIN42" s="1142"/>
      <c r="OIO42" s="1142"/>
      <c r="OIP42" s="1142"/>
      <c r="OIQ42" s="1142"/>
      <c r="OIR42" s="1142"/>
      <c r="OIS42" s="1142"/>
      <c r="OIT42" s="1142"/>
      <c r="OIU42" s="1142"/>
      <c r="OIV42" s="1142"/>
      <c r="OIW42" s="1142"/>
      <c r="OIX42" s="1142"/>
      <c r="OIY42" s="1142"/>
      <c r="OIZ42" s="1142"/>
      <c r="OJA42" s="1167"/>
      <c r="OJB42" s="1167"/>
      <c r="OJC42" s="1167"/>
      <c r="OJD42" s="1167"/>
      <c r="OJE42" s="1167"/>
      <c r="OJF42" s="1167"/>
      <c r="OJG42" s="1167"/>
      <c r="OJH42" s="1167"/>
      <c r="OJI42" s="1167"/>
      <c r="OJJ42" s="1142"/>
      <c r="OJK42" s="1142"/>
      <c r="OJL42" s="1142"/>
      <c r="OJM42" s="1142"/>
      <c r="OJN42" s="1142"/>
      <c r="OJO42" s="1142"/>
      <c r="OJP42" s="1142"/>
      <c r="OJQ42" s="1142"/>
      <c r="OJR42" s="1142"/>
      <c r="OJS42" s="1142"/>
      <c r="OJT42" s="1142"/>
      <c r="OJU42" s="1142"/>
      <c r="OJV42" s="1142"/>
      <c r="OJW42" s="1142"/>
      <c r="OJX42" s="1142"/>
      <c r="OJY42" s="1142"/>
      <c r="OJZ42" s="1142"/>
      <c r="OKA42" s="1142"/>
      <c r="OKB42" s="1142"/>
      <c r="OKC42" s="1142"/>
      <c r="OKD42" s="1142"/>
      <c r="OKE42" s="1142"/>
      <c r="OKF42" s="1142"/>
      <c r="OKG42" s="1167"/>
      <c r="OKH42" s="1167"/>
      <c r="OKI42" s="1167"/>
      <c r="OKJ42" s="1167"/>
      <c r="OKK42" s="1167"/>
      <c r="OKL42" s="1167"/>
      <c r="OKM42" s="1167"/>
      <c r="OKN42" s="1167"/>
      <c r="OKO42" s="1167"/>
      <c r="OKP42" s="1142"/>
      <c r="OKQ42" s="1142"/>
      <c r="OKR42" s="1142"/>
      <c r="OKS42" s="1142"/>
      <c r="OKT42" s="1142"/>
      <c r="OKU42" s="1142"/>
      <c r="OKV42" s="1142"/>
      <c r="OKW42" s="1142"/>
      <c r="OKX42" s="1142"/>
      <c r="OKY42" s="1142"/>
      <c r="OKZ42" s="1142"/>
      <c r="OLA42" s="1142"/>
      <c r="OLB42" s="1142"/>
      <c r="OLC42" s="1142"/>
      <c r="OLD42" s="1142"/>
      <c r="OLE42" s="1142"/>
      <c r="OLF42" s="1142"/>
      <c r="OLG42" s="1142"/>
      <c r="OLH42" s="1142"/>
      <c r="OLI42" s="1142"/>
      <c r="OLJ42" s="1142"/>
      <c r="OLK42" s="1142"/>
      <c r="OLL42" s="1142"/>
      <c r="OLM42" s="1167"/>
      <c r="OLN42" s="1167"/>
      <c r="OLO42" s="1167"/>
      <c r="OLP42" s="1167"/>
      <c r="OLQ42" s="1167"/>
      <c r="OLR42" s="1167"/>
      <c r="OLS42" s="1167"/>
      <c r="OLT42" s="1167"/>
      <c r="OLU42" s="1167"/>
      <c r="OLV42" s="1142"/>
      <c r="OLW42" s="1142"/>
      <c r="OLX42" s="1142"/>
      <c r="OLY42" s="1142"/>
      <c r="OLZ42" s="1142"/>
      <c r="OMA42" s="1142"/>
      <c r="OMB42" s="1142"/>
      <c r="OMC42" s="1142"/>
      <c r="OMD42" s="1142"/>
      <c r="OME42" s="1142"/>
      <c r="OMF42" s="1142"/>
      <c r="OMG42" s="1142"/>
      <c r="OMH42" s="1142"/>
      <c r="OMI42" s="1142"/>
      <c r="OMJ42" s="1142"/>
      <c r="OMK42" s="1142"/>
      <c r="OML42" s="1142"/>
      <c r="OMM42" s="1142"/>
      <c r="OMN42" s="1142"/>
      <c r="OMO42" s="1142"/>
      <c r="OMP42" s="1142"/>
      <c r="OMQ42" s="1142"/>
      <c r="OMR42" s="1142"/>
      <c r="OMS42" s="1167"/>
      <c r="OMT42" s="1167"/>
      <c r="OMU42" s="1167"/>
      <c r="OMV42" s="1167"/>
      <c r="OMW42" s="1167"/>
      <c r="OMX42" s="1167"/>
      <c r="OMY42" s="1167"/>
      <c r="OMZ42" s="1167"/>
      <c r="ONA42" s="1167"/>
      <c r="ONB42" s="1142"/>
      <c r="ONC42" s="1142"/>
      <c r="OND42" s="1142"/>
      <c r="ONE42" s="1142"/>
      <c r="ONF42" s="1142"/>
      <c r="ONG42" s="1142"/>
      <c r="ONH42" s="1142"/>
      <c r="ONI42" s="1142"/>
      <c r="ONJ42" s="1142"/>
      <c r="ONK42" s="1142"/>
      <c r="ONL42" s="1142"/>
      <c r="ONM42" s="1142"/>
      <c r="ONN42" s="1142"/>
      <c r="ONO42" s="1142"/>
      <c r="ONP42" s="1142"/>
      <c r="ONQ42" s="1142"/>
      <c r="ONR42" s="1142"/>
      <c r="ONS42" s="1142"/>
      <c r="ONT42" s="1142"/>
      <c r="ONU42" s="1142"/>
      <c r="ONV42" s="1142"/>
      <c r="ONW42" s="1142"/>
      <c r="ONX42" s="1142"/>
      <c r="ONY42" s="1167"/>
      <c r="ONZ42" s="1167"/>
      <c r="OOA42" s="1167"/>
      <c r="OOB42" s="1167"/>
      <c r="OOC42" s="1167"/>
      <c r="OOD42" s="1167"/>
      <c r="OOE42" s="1167"/>
      <c r="OOF42" s="1167"/>
      <c r="OOG42" s="1167"/>
      <c r="OOH42" s="1142"/>
      <c r="OOI42" s="1142"/>
      <c r="OOJ42" s="1142"/>
      <c r="OOK42" s="1142"/>
      <c r="OOL42" s="1142"/>
      <c r="OOM42" s="1142"/>
      <c r="OON42" s="1142"/>
      <c r="OOO42" s="1142"/>
      <c r="OOP42" s="1142"/>
      <c r="OOQ42" s="1142"/>
      <c r="OOR42" s="1142"/>
      <c r="OOS42" s="1142"/>
      <c r="OOT42" s="1142"/>
      <c r="OOU42" s="1142"/>
      <c r="OOV42" s="1142"/>
      <c r="OOW42" s="1142"/>
      <c r="OOX42" s="1142"/>
      <c r="OOY42" s="1142"/>
      <c r="OOZ42" s="1142"/>
      <c r="OPA42" s="1142"/>
      <c r="OPB42" s="1142"/>
      <c r="OPC42" s="1142"/>
      <c r="OPD42" s="1142"/>
      <c r="OPE42" s="1167"/>
      <c r="OPF42" s="1167"/>
      <c r="OPG42" s="1167"/>
      <c r="OPH42" s="1167"/>
      <c r="OPI42" s="1167"/>
      <c r="OPJ42" s="1167"/>
      <c r="OPK42" s="1167"/>
      <c r="OPL42" s="1167"/>
      <c r="OPM42" s="1167"/>
      <c r="OPN42" s="1142"/>
      <c r="OPO42" s="1142"/>
      <c r="OPP42" s="1142"/>
      <c r="OPQ42" s="1142"/>
      <c r="OPR42" s="1142"/>
      <c r="OPS42" s="1142"/>
      <c r="OPT42" s="1142"/>
      <c r="OPU42" s="1142"/>
      <c r="OPV42" s="1142"/>
      <c r="OPW42" s="1142"/>
      <c r="OPX42" s="1142"/>
      <c r="OPY42" s="1142"/>
      <c r="OPZ42" s="1142"/>
      <c r="OQA42" s="1142"/>
      <c r="OQB42" s="1142"/>
      <c r="OQC42" s="1142"/>
      <c r="OQD42" s="1142"/>
      <c r="OQE42" s="1142"/>
      <c r="OQF42" s="1142"/>
      <c r="OQG42" s="1142"/>
      <c r="OQH42" s="1142"/>
      <c r="OQI42" s="1142"/>
      <c r="OQJ42" s="1142"/>
      <c r="OQK42" s="1167"/>
      <c r="OQL42" s="1167"/>
      <c r="OQM42" s="1167"/>
      <c r="OQN42" s="1167"/>
      <c r="OQO42" s="1167"/>
      <c r="OQP42" s="1167"/>
      <c r="OQQ42" s="1167"/>
      <c r="OQR42" s="1167"/>
      <c r="OQS42" s="1167"/>
      <c r="OQT42" s="1142"/>
      <c r="OQU42" s="1142"/>
      <c r="OQV42" s="1142"/>
      <c r="OQW42" s="1142"/>
      <c r="OQX42" s="1142"/>
      <c r="OQY42" s="1142"/>
      <c r="OQZ42" s="1142"/>
      <c r="ORA42" s="1142"/>
      <c r="ORB42" s="1142"/>
      <c r="ORC42" s="1142"/>
      <c r="ORD42" s="1142"/>
      <c r="ORE42" s="1142"/>
      <c r="ORF42" s="1142"/>
      <c r="ORG42" s="1142"/>
      <c r="ORH42" s="1142"/>
      <c r="ORI42" s="1142"/>
      <c r="ORJ42" s="1142"/>
      <c r="ORK42" s="1142"/>
      <c r="ORL42" s="1142"/>
      <c r="ORM42" s="1142"/>
      <c r="ORN42" s="1142"/>
      <c r="ORO42" s="1142"/>
      <c r="ORP42" s="1142"/>
      <c r="ORQ42" s="1167"/>
      <c r="ORR42" s="1167"/>
      <c r="ORS42" s="1167"/>
      <c r="ORT42" s="1167"/>
      <c r="ORU42" s="1167"/>
      <c r="ORV42" s="1167"/>
      <c r="ORW42" s="1167"/>
      <c r="ORX42" s="1167"/>
      <c r="ORY42" s="1167"/>
      <c r="ORZ42" s="1142"/>
      <c r="OSA42" s="1142"/>
      <c r="OSB42" s="1142"/>
      <c r="OSC42" s="1142"/>
      <c r="OSD42" s="1142"/>
      <c r="OSE42" s="1142"/>
      <c r="OSF42" s="1142"/>
      <c r="OSG42" s="1142"/>
      <c r="OSH42" s="1142"/>
      <c r="OSI42" s="1142"/>
      <c r="OSJ42" s="1142"/>
      <c r="OSK42" s="1142"/>
      <c r="OSL42" s="1142"/>
      <c r="OSM42" s="1142"/>
      <c r="OSN42" s="1142"/>
      <c r="OSO42" s="1142"/>
      <c r="OSP42" s="1142"/>
      <c r="OSQ42" s="1142"/>
      <c r="OSR42" s="1142"/>
      <c r="OSS42" s="1142"/>
      <c r="OST42" s="1142"/>
      <c r="OSU42" s="1142"/>
      <c r="OSV42" s="1142"/>
      <c r="OSW42" s="1167"/>
      <c r="OSX42" s="1167"/>
      <c r="OSY42" s="1167"/>
      <c r="OSZ42" s="1167"/>
      <c r="OTA42" s="1167"/>
      <c r="OTB42" s="1167"/>
      <c r="OTC42" s="1167"/>
      <c r="OTD42" s="1167"/>
      <c r="OTE42" s="1167"/>
      <c r="OTF42" s="1142"/>
      <c r="OTG42" s="1142"/>
      <c r="OTH42" s="1142"/>
      <c r="OTI42" s="1142"/>
      <c r="OTJ42" s="1142"/>
      <c r="OTK42" s="1142"/>
      <c r="OTL42" s="1142"/>
      <c r="OTM42" s="1142"/>
      <c r="OTN42" s="1142"/>
      <c r="OTO42" s="1142"/>
      <c r="OTP42" s="1142"/>
      <c r="OTQ42" s="1142"/>
      <c r="OTR42" s="1142"/>
      <c r="OTS42" s="1142"/>
      <c r="OTT42" s="1142"/>
      <c r="OTU42" s="1142"/>
      <c r="OTV42" s="1142"/>
      <c r="OTW42" s="1142"/>
      <c r="OTX42" s="1142"/>
      <c r="OTY42" s="1142"/>
      <c r="OTZ42" s="1142"/>
      <c r="OUA42" s="1142"/>
      <c r="OUB42" s="1142"/>
      <c r="OUC42" s="1167"/>
      <c r="OUD42" s="1167"/>
      <c r="OUE42" s="1167"/>
      <c r="OUF42" s="1167"/>
      <c r="OUG42" s="1167"/>
      <c r="OUH42" s="1167"/>
      <c r="OUI42" s="1167"/>
      <c r="OUJ42" s="1167"/>
      <c r="OUK42" s="1167"/>
      <c r="OUL42" s="1142"/>
      <c r="OUM42" s="1142"/>
      <c r="OUN42" s="1142"/>
      <c r="OUO42" s="1142"/>
      <c r="OUP42" s="1142"/>
      <c r="OUQ42" s="1142"/>
      <c r="OUR42" s="1142"/>
      <c r="OUS42" s="1142"/>
      <c r="OUT42" s="1142"/>
      <c r="OUU42" s="1142"/>
      <c r="OUV42" s="1142"/>
      <c r="OUW42" s="1142"/>
      <c r="OUX42" s="1142"/>
      <c r="OUY42" s="1142"/>
      <c r="OUZ42" s="1142"/>
      <c r="OVA42" s="1142"/>
      <c r="OVB42" s="1142"/>
      <c r="OVC42" s="1142"/>
      <c r="OVD42" s="1142"/>
      <c r="OVE42" s="1142"/>
      <c r="OVF42" s="1142"/>
      <c r="OVG42" s="1142"/>
      <c r="OVH42" s="1142"/>
      <c r="OVI42" s="1167"/>
      <c r="OVJ42" s="1167"/>
      <c r="OVK42" s="1167"/>
      <c r="OVL42" s="1167"/>
      <c r="OVM42" s="1167"/>
      <c r="OVN42" s="1167"/>
      <c r="OVO42" s="1167"/>
      <c r="OVP42" s="1167"/>
      <c r="OVQ42" s="1167"/>
      <c r="OVR42" s="1142"/>
      <c r="OVS42" s="1142"/>
      <c r="OVT42" s="1142"/>
      <c r="OVU42" s="1142"/>
      <c r="OVV42" s="1142"/>
      <c r="OVW42" s="1142"/>
      <c r="OVX42" s="1142"/>
      <c r="OVY42" s="1142"/>
      <c r="OVZ42" s="1142"/>
      <c r="OWA42" s="1142"/>
      <c r="OWB42" s="1142"/>
      <c r="OWC42" s="1142"/>
      <c r="OWD42" s="1142"/>
      <c r="OWE42" s="1142"/>
      <c r="OWF42" s="1142"/>
      <c r="OWG42" s="1142"/>
      <c r="OWH42" s="1142"/>
      <c r="OWI42" s="1142"/>
      <c r="OWJ42" s="1142"/>
      <c r="OWK42" s="1142"/>
      <c r="OWL42" s="1142"/>
      <c r="OWM42" s="1142"/>
      <c r="OWN42" s="1142"/>
      <c r="OWO42" s="1167"/>
      <c r="OWP42" s="1167"/>
      <c r="OWQ42" s="1167"/>
      <c r="OWR42" s="1167"/>
      <c r="OWS42" s="1167"/>
      <c r="OWT42" s="1167"/>
      <c r="OWU42" s="1167"/>
      <c r="OWV42" s="1167"/>
      <c r="OWW42" s="1167"/>
      <c r="OWX42" s="1142"/>
      <c r="OWY42" s="1142"/>
      <c r="OWZ42" s="1142"/>
      <c r="OXA42" s="1142"/>
      <c r="OXB42" s="1142"/>
      <c r="OXC42" s="1142"/>
      <c r="OXD42" s="1142"/>
      <c r="OXE42" s="1142"/>
      <c r="OXF42" s="1142"/>
      <c r="OXG42" s="1142"/>
      <c r="OXH42" s="1142"/>
      <c r="OXI42" s="1142"/>
      <c r="OXJ42" s="1142"/>
      <c r="OXK42" s="1142"/>
      <c r="OXL42" s="1142"/>
      <c r="OXM42" s="1142"/>
      <c r="OXN42" s="1142"/>
      <c r="OXO42" s="1142"/>
      <c r="OXP42" s="1142"/>
      <c r="OXQ42" s="1142"/>
      <c r="OXR42" s="1142"/>
      <c r="OXS42" s="1142"/>
      <c r="OXT42" s="1142"/>
      <c r="OXU42" s="1167"/>
      <c r="OXV42" s="1167"/>
      <c r="OXW42" s="1167"/>
      <c r="OXX42" s="1167"/>
      <c r="OXY42" s="1167"/>
      <c r="OXZ42" s="1167"/>
      <c r="OYA42" s="1167"/>
      <c r="OYB42" s="1167"/>
      <c r="OYC42" s="1167"/>
      <c r="OYD42" s="1142"/>
      <c r="OYE42" s="1142"/>
      <c r="OYF42" s="1142"/>
      <c r="OYG42" s="1142"/>
      <c r="OYH42" s="1142"/>
      <c r="OYI42" s="1142"/>
      <c r="OYJ42" s="1142"/>
      <c r="OYK42" s="1142"/>
      <c r="OYL42" s="1142"/>
      <c r="OYM42" s="1142"/>
      <c r="OYN42" s="1142"/>
      <c r="OYO42" s="1142"/>
      <c r="OYP42" s="1142"/>
      <c r="OYQ42" s="1142"/>
      <c r="OYR42" s="1142"/>
      <c r="OYS42" s="1142"/>
      <c r="OYT42" s="1142"/>
      <c r="OYU42" s="1142"/>
      <c r="OYV42" s="1142"/>
      <c r="OYW42" s="1142"/>
      <c r="OYX42" s="1142"/>
      <c r="OYY42" s="1142"/>
      <c r="OYZ42" s="1142"/>
      <c r="OZA42" s="1167"/>
      <c r="OZB42" s="1167"/>
      <c r="OZC42" s="1167"/>
      <c r="OZD42" s="1167"/>
      <c r="OZE42" s="1167"/>
      <c r="OZF42" s="1167"/>
      <c r="OZG42" s="1167"/>
      <c r="OZH42" s="1167"/>
      <c r="OZI42" s="1167"/>
      <c r="OZJ42" s="1142"/>
      <c r="OZK42" s="1142"/>
      <c r="OZL42" s="1142"/>
      <c r="OZM42" s="1142"/>
      <c r="OZN42" s="1142"/>
      <c r="OZO42" s="1142"/>
      <c r="OZP42" s="1142"/>
      <c r="OZQ42" s="1142"/>
      <c r="OZR42" s="1142"/>
      <c r="OZS42" s="1142"/>
      <c r="OZT42" s="1142"/>
      <c r="OZU42" s="1142"/>
      <c r="OZV42" s="1142"/>
      <c r="OZW42" s="1142"/>
      <c r="OZX42" s="1142"/>
      <c r="OZY42" s="1142"/>
      <c r="OZZ42" s="1142"/>
      <c r="PAA42" s="1142"/>
      <c r="PAB42" s="1142"/>
      <c r="PAC42" s="1142"/>
      <c r="PAD42" s="1142"/>
      <c r="PAE42" s="1142"/>
      <c r="PAF42" s="1142"/>
      <c r="PAG42" s="1167"/>
      <c r="PAH42" s="1167"/>
      <c r="PAI42" s="1167"/>
      <c r="PAJ42" s="1167"/>
      <c r="PAK42" s="1167"/>
      <c r="PAL42" s="1167"/>
      <c r="PAM42" s="1167"/>
      <c r="PAN42" s="1167"/>
      <c r="PAO42" s="1167"/>
      <c r="PAP42" s="1142"/>
      <c r="PAQ42" s="1142"/>
      <c r="PAR42" s="1142"/>
      <c r="PAS42" s="1142"/>
      <c r="PAT42" s="1142"/>
      <c r="PAU42" s="1142"/>
      <c r="PAV42" s="1142"/>
      <c r="PAW42" s="1142"/>
      <c r="PAX42" s="1142"/>
      <c r="PAY42" s="1142"/>
      <c r="PAZ42" s="1142"/>
      <c r="PBA42" s="1142"/>
      <c r="PBB42" s="1142"/>
      <c r="PBC42" s="1142"/>
      <c r="PBD42" s="1142"/>
      <c r="PBE42" s="1142"/>
      <c r="PBF42" s="1142"/>
      <c r="PBG42" s="1142"/>
      <c r="PBH42" s="1142"/>
      <c r="PBI42" s="1142"/>
      <c r="PBJ42" s="1142"/>
      <c r="PBK42" s="1142"/>
      <c r="PBL42" s="1142"/>
      <c r="PBM42" s="1167"/>
      <c r="PBN42" s="1167"/>
      <c r="PBO42" s="1167"/>
      <c r="PBP42" s="1167"/>
      <c r="PBQ42" s="1167"/>
      <c r="PBR42" s="1167"/>
      <c r="PBS42" s="1167"/>
      <c r="PBT42" s="1167"/>
      <c r="PBU42" s="1167"/>
      <c r="PBV42" s="1142"/>
      <c r="PBW42" s="1142"/>
      <c r="PBX42" s="1142"/>
      <c r="PBY42" s="1142"/>
      <c r="PBZ42" s="1142"/>
      <c r="PCA42" s="1142"/>
      <c r="PCB42" s="1142"/>
      <c r="PCC42" s="1142"/>
      <c r="PCD42" s="1142"/>
      <c r="PCE42" s="1142"/>
      <c r="PCF42" s="1142"/>
      <c r="PCG42" s="1142"/>
      <c r="PCH42" s="1142"/>
      <c r="PCI42" s="1142"/>
      <c r="PCJ42" s="1142"/>
      <c r="PCK42" s="1142"/>
      <c r="PCL42" s="1142"/>
      <c r="PCM42" s="1142"/>
      <c r="PCN42" s="1142"/>
      <c r="PCO42" s="1142"/>
      <c r="PCP42" s="1142"/>
      <c r="PCQ42" s="1142"/>
      <c r="PCR42" s="1142"/>
      <c r="PCS42" s="1167"/>
      <c r="PCT42" s="1167"/>
      <c r="PCU42" s="1167"/>
      <c r="PCV42" s="1167"/>
      <c r="PCW42" s="1167"/>
      <c r="PCX42" s="1167"/>
      <c r="PCY42" s="1167"/>
      <c r="PCZ42" s="1167"/>
      <c r="PDA42" s="1167"/>
      <c r="PDB42" s="1142"/>
      <c r="PDC42" s="1142"/>
      <c r="PDD42" s="1142"/>
      <c r="PDE42" s="1142"/>
      <c r="PDF42" s="1142"/>
      <c r="PDG42" s="1142"/>
      <c r="PDH42" s="1142"/>
      <c r="PDI42" s="1142"/>
      <c r="PDJ42" s="1142"/>
      <c r="PDK42" s="1142"/>
      <c r="PDL42" s="1142"/>
      <c r="PDM42" s="1142"/>
      <c r="PDN42" s="1142"/>
      <c r="PDO42" s="1142"/>
      <c r="PDP42" s="1142"/>
      <c r="PDQ42" s="1142"/>
      <c r="PDR42" s="1142"/>
      <c r="PDS42" s="1142"/>
      <c r="PDT42" s="1142"/>
      <c r="PDU42" s="1142"/>
      <c r="PDV42" s="1142"/>
      <c r="PDW42" s="1142"/>
      <c r="PDX42" s="1142"/>
      <c r="PDY42" s="1167"/>
      <c r="PDZ42" s="1167"/>
      <c r="PEA42" s="1167"/>
      <c r="PEB42" s="1167"/>
      <c r="PEC42" s="1167"/>
      <c r="PED42" s="1167"/>
      <c r="PEE42" s="1167"/>
      <c r="PEF42" s="1167"/>
      <c r="PEG42" s="1167"/>
      <c r="PEH42" s="1142"/>
      <c r="PEI42" s="1142"/>
      <c r="PEJ42" s="1142"/>
      <c r="PEK42" s="1142"/>
      <c r="PEL42" s="1142"/>
      <c r="PEM42" s="1142"/>
      <c r="PEN42" s="1142"/>
      <c r="PEO42" s="1142"/>
      <c r="PEP42" s="1142"/>
      <c r="PEQ42" s="1142"/>
      <c r="PER42" s="1142"/>
      <c r="PES42" s="1142"/>
      <c r="PET42" s="1142"/>
      <c r="PEU42" s="1142"/>
      <c r="PEV42" s="1142"/>
      <c r="PEW42" s="1142"/>
      <c r="PEX42" s="1142"/>
      <c r="PEY42" s="1142"/>
      <c r="PEZ42" s="1142"/>
      <c r="PFA42" s="1142"/>
      <c r="PFB42" s="1142"/>
      <c r="PFC42" s="1142"/>
      <c r="PFD42" s="1142"/>
      <c r="PFE42" s="1167"/>
      <c r="PFF42" s="1167"/>
      <c r="PFG42" s="1167"/>
      <c r="PFH42" s="1167"/>
      <c r="PFI42" s="1167"/>
      <c r="PFJ42" s="1167"/>
      <c r="PFK42" s="1167"/>
      <c r="PFL42" s="1167"/>
      <c r="PFM42" s="1167"/>
      <c r="PFN42" s="1142"/>
      <c r="PFO42" s="1142"/>
      <c r="PFP42" s="1142"/>
      <c r="PFQ42" s="1142"/>
      <c r="PFR42" s="1142"/>
      <c r="PFS42" s="1142"/>
      <c r="PFT42" s="1142"/>
      <c r="PFU42" s="1142"/>
      <c r="PFV42" s="1142"/>
      <c r="PFW42" s="1142"/>
      <c r="PFX42" s="1142"/>
      <c r="PFY42" s="1142"/>
      <c r="PFZ42" s="1142"/>
      <c r="PGA42" s="1142"/>
      <c r="PGB42" s="1142"/>
      <c r="PGC42" s="1142"/>
      <c r="PGD42" s="1142"/>
      <c r="PGE42" s="1142"/>
      <c r="PGF42" s="1142"/>
      <c r="PGG42" s="1142"/>
      <c r="PGH42" s="1142"/>
      <c r="PGI42" s="1142"/>
      <c r="PGJ42" s="1142"/>
      <c r="PGK42" s="1167"/>
      <c r="PGL42" s="1167"/>
      <c r="PGM42" s="1167"/>
      <c r="PGN42" s="1167"/>
      <c r="PGO42" s="1167"/>
      <c r="PGP42" s="1167"/>
      <c r="PGQ42" s="1167"/>
      <c r="PGR42" s="1167"/>
      <c r="PGS42" s="1167"/>
      <c r="PGT42" s="1142"/>
      <c r="PGU42" s="1142"/>
      <c r="PGV42" s="1142"/>
      <c r="PGW42" s="1142"/>
      <c r="PGX42" s="1142"/>
      <c r="PGY42" s="1142"/>
      <c r="PGZ42" s="1142"/>
      <c r="PHA42" s="1142"/>
      <c r="PHB42" s="1142"/>
      <c r="PHC42" s="1142"/>
      <c r="PHD42" s="1142"/>
      <c r="PHE42" s="1142"/>
      <c r="PHF42" s="1142"/>
      <c r="PHG42" s="1142"/>
      <c r="PHH42" s="1142"/>
      <c r="PHI42" s="1142"/>
      <c r="PHJ42" s="1142"/>
      <c r="PHK42" s="1142"/>
      <c r="PHL42" s="1142"/>
      <c r="PHM42" s="1142"/>
      <c r="PHN42" s="1142"/>
      <c r="PHO42" s="1142"/>
      <c r="PHP42" s="1142"/>
      <c r="PHQ42" s="1167"/>
      <c r="PHR42" s="1167"/>
      <c r="PHS42" s="1167"/>
      <c r="PHT42" s="1167"/>
      <c r="PHU42" s="1167"/>
      <c r="PHV42" s="1167"/>
      <c r="PHW42" s="1167"/>
      <c r="PHX42" s="1167"/>
      <c r="PHY42" s="1167"/>
      <c r="PHZ42" s="1142"/>
      <c r="PIA42" s="1142"/>
      <c r="PIB42" s="1142"/>
      <c r="PIC42" s="1142"/>
      <c r="PID42" s="1142"/>
      <c r="PIE42" s="1142"/>
      <c r="PIF42" s="1142"/>
      <c r="PIG42" s="1142"/>
      <c r="PIH42" s="1142"/>
      <c r="PII42" s="1142"/>
      <c r="PIJ42" s="1142"/>
      <c r="PIK42" s="1142"/>
      <c r="PIL42" s="1142"/>
      <c r="PIM42" s="1142"/>
      <c r="PIN42" s="1142"/>
      <c r="PIO42" s="1142"/>
      <c r="PIP42" s="1142"/>
      <c r="PIQ42" s="1142"/>
      <c r="PIR42" s="1142"/>
      <c r="PIS42" s="1142"/>
      <c r="PIT42" s="1142"/>
      <c r="PIU42" s="1142"/>
      <c r="PIV42" s="1142"/>
      <c r="PIW42" s="1167"/>
      <c r="PIX42" s="1167"/>
      <c r="PIY42" s="1167"/>
      <c r="PIZ42" s="1167"/>
      <c r="PJA42" s="1167"/>
      <c r="PJB42" s="1167"/>
      <c r="PJC42" s="1167"/>
      <c r="PJD42" s="1167"/>
      <c r="PJE42" s="1167"/>
      <c r="PJF42" s="1142"/>
      <c r="PJG42" s="1142"/>
      <c r="PJH42" s="1142"/>
      <c r="PJI42" s="1142"/>
      <c r="PJJ42" s="1142"/>
      <c r="PJK42" s="1142"/>
      <c r="PJL42" s="1142"/>
      <c r="PJM42" s="1142"/>
      <c r="PJN42" s="1142"/>
      <c r="PJO42" s="1142"/>
      <c r="PJP42" s="1142"/>
      <c r="PJQ42" s="1142"/>
      <c r="PJR42" s="1142"/>
      <c r="PJS42" s="1142"/>
      <c r="PJT42" s="1142"/>
      <c r="PJU42" s="1142"/>
      <c r="PJV42" s="1142"/>
      <c r="PJW42" s="1142"/>
      <c r="PJX42" s="1142"/>
      <c r="PJY42" s="1142"/>
      <c r="PJZ42" s="1142"/>
      <c r="PKA42" s="1142"/>
      <c r="PKB42" s="1142"/>
      <c r="PKC42" s="1167"/>
      <c r="PKD42" s="1167"/>
      <c r="PKE42" s="1167"/>
      <c r="PKF42" s="1167"/>
      <c r="PKG42" s="1167"/>
      <c r="PKH42" s="1167"/>
      <c r="PKI42" s="1167"/>
      <c r="PKJ42" s="1167"/>
      <c r="PKK42" s="1167"/>
      <c r="PKL42" s="1142"/>
      <c r="PKM42" s="1142"/>
      <c r="PKN42" s="1142"/>
      <c r="PKO42" s="1142"/>
      <c r="PKP42" s="1142"/>
      <c r="PKQ42" s="1142"/>
      <c r="PKR42" s="1142"/>
      <c r="PKS42" s="1142"/>
      <c r="PKT42" s="1142"/>
      <c r="PKU42" s="1142"/>
      <c r="PKV42" s="1142"/>
      <c r="PKW42" s="1142"/>
      <c r="PKX42" s="1142"/>
      <c r="PKY42" s="1142"/>
      <c r="PKZ42" s="1142"/>
      <c r="PLA42" s="1142"/>
      <c r="PLB42" s="1142"/>
      <c r="PLC42" s="1142"/>
      <c r="PLD42" s="1142"/>
      <c r="PLE42" s="1142"/>
      <c r="PLF42" s="1142"/>
      <c r="PLG42" s="1142"/>
      <c r="PLH42" s="1142"/>
      <c r="PLI42" s="1167"/>
      <c r="PLJ42" s="1167"/>
      <c r="PLK42" s="1167"/>
      <c r="PLL42" s="1167"/>
      <c r="PLM42" s="1167"/>
      <c r="PLN42" s="1167"/>
      <c r="PLO42" s="1167"/>
      <c r="PLP42" s="1167"/>
      <c r="PLQ42" s="1167"/>
      <c r="PLR42" s="1142"/>
      <c r="PLS42" s="1142"/>
      <c r="PLT42" s="1142"/>
      <c r="PLU42" s="1142"/>
      <c r="PLV42" s="1142"/>
      <c r="PLW42" s="1142"/>
      <c r="PLX42" s="1142"/>
      <c r="PLY42" s="1142"/>
      <c r="PLZ42" s="1142"/>
      <c r="PMA42" s="1142"/>
      <c r="PMB42" s="1142"/>
      <c r="PMC42" s="1142"/>
      <c r="PMD42" s="1142"/>
      <c r="PME42" s="1142"/>
      <c r="PMF42" s="1142"/>
      <c r="PMG42" s="1142"/>
      <c r="PMH42" s="1142"/>
      <c r="PMI42" s="1142"/>
      <c r="PMJ42" s="1142"/>
      <c r="PMK42" s="1142"/>
      <c r="PML42" s="1142"/>
      <c r="PMM42" s="1142"/>
      <c r="PMN42" s="1142"/>
      <c r="PMO42" s="1167"/>
      <c r="PMP42" s="1167"/>
      <c r="PMQ42" s="1167"/>
      <c r="PMR42" s="1167"/>
      <c r="PMS42" s="1167"/>
      <c r="PMT42" s="1167"/>
      <c r="PMU42" s="1167"/>
      <c r="PMV42" s="1167"/>
      <c r="PMW42" s="1167"/>
      <c r="PMX42" s="1142"/>
      <c r="PMY42" s="1142"/>
      <c r="PMZ42" s="1142"/>
      <c r="PNA42" s="1142"/>
      <c r="PNB42" s="1142"/>
      <c r="PNC42" s="1142"/>
      <c r="PND42" s="1142"/>
      <c r="PNE42" s="1142"/>
      <c r="PNF42" s="1142"/>
      <c r="PNG42" s="1142"/>
      <c r="PNH42" s="1142"/>
      <c r="PNI42" s="1142"/>
      <c r="PNJ42" s="1142"/>
      <c r="PNK42" s="1142"/>
      <c r="PNL42" s="1142"/>
      <c r="PNM42" s="1142"/>
      <c r="PNN42" s="1142"/>
      <c r="PNO42" s="1142"/>
      <c r="PNP42" s="1142"/>
      <c r="PNQ42" s="1142"/>
      <c r="PNR42" s="1142"/>
      <c r="PNS42" s="1142"/>
      <c r="PNT42" s="1142"/>
      <c r="PNU42" s="1167"/>
      <c r="PNV42" s="1167"/>
      <c r="PNW42" s="1167"/>
      <c r="PNX42" s="1167"/>
      <c r="PNY42" s="1167"/>
      <c r="PNZ42" s="1167"/>
      <c r="POA42" s="1167"/>
      <c r="POB42" s="1167"/>
      <c r="POC42" s="1167"/>
      <c r="POD42" s="1142"/>
      <c r="POE42" s="1142"/>
      <c r="POF42" s="1142"/>
      <c r="POG42" s="1142"/>
      <c r="POH42" s="1142"/>
      <c r="POI42" s="1142"/>
      <c r="POJ42" s="1142"/>
      <c r="POK42" s="1142"/>
      <c r="POL42" s="1142"/>
      <c r="POM42" s="1142"/>
      <c r="PON42" s="1142"/>
      <c r="POO42" s="1142"/>
      <c r="POP42" s="1142"/>
      <c r="POQ42" s="1142"/>
      <c r="POR42" s="1142"/>
      <c r="POS42" s="1142"/>
      <c r="POT42" s="1142"/>
      <c r="POU42" s="1142"/>
      <c r="POV42" s="1142"/>
      <c r="POW42" s="1142"/>
      <c r="POX42" s="1142"/>
      <c r="POY42" s="1142"/>
      <c r="POZ42" s="1142"/>
      <c r="PPA42" s="1167"/>
      <c r="PPB42" s="1167"/>
      <c r="PPC42" s="1167"/>
      <c r="PPD42" s="1167"/>
      <c r="PPE42" s="1167"/>
      <c r="PPF42" s="1167"/>
      <c r="PPG42" s="1167"/>
      <c r="PPH42" s="1167"/>
      <c r="PPI42" s="1167"/>
      <c r="PPJ42" s="1142"/>
      <c r="PPK42" s="1142"/>
      <c r="PPL42" s="1142"/>
      <c r="PPM42" s="1142"/>
      <c r="PPN42" s="1142"/>
      <c r="PPO42" s="1142"/>
      <c r="PPP42" s="1142"/>
      <c r="PPQ42" s="1142"/>
      <c r="PPR42" s="1142"/>
      <c r="PPS42" s="1142"/>
      <c r="PPT42" s="1142"/>
      <c r="PPU42" s="1142"/>
      <c r="PPV42" s="1142"/>
      <c r="PPW42" s="1142"/>
      <c r="PPX42" s="1142"/>
      <c r="PPY42" s="1142"/>
      <c r="PPZ42" s="1142"/>
      <c r="PQA42" s="1142"/>
      <c r="PQB42" s="1142"/>
      <c r="PQC42" s="1142"/>
      <c r="PQD42" s="1142"/>
      <c r="PQE42" s="1142"/>
      <c r="PQF42" s="1142"/>
      <c r="PQG42" s="1167"/>
      <c r="PQH42" s="1167"/>
      <c r="PQI42" s="1167"/>
      <c r="PQJ42" s="1167"/>
      <c r="PQK42" s="1167"/>
      <c r="PQL42" s="1167"/>
      <c r="PQM42" s="1167"/>
      <c r="PQN42" s="1167"/>
      <c r="PQO42" s="1167"/>
      <c r="PQP42" s="1142"/>
      <c r="PQQ42" s="1142"/>
      <c r="PQR42" s="1142"/>
      <c r="PQS42" s="1142"/>
      <c r="PQT42" s="1142"/>
      <c r="PQU42" s="1142"/>
      <c r="PQV42" s="1142"/>
      <c r="PQW42" s="1142"/>
      <c r="PQX42" s="1142"/>
      <c r="PQY42" s="1142"/>
      <c r="PQZ42" s="1142"/>
      <c r="PRA42" s="1142"/>
      <c r="PRB42" s="1142"/>
      <c r="PRC42" s="1142"/>
      <c r="PRD42" s="1142"/>
      <c r="PRE42" s="1142"/>
      <c r="PRF42" s="1142"/>
      <c r="PRG42" s="1142"/>
      <c r="PRH42" s="1142"/>
      <c r="PRI42" s="1142"/>
      <c r="PRJ42" s="1142"/>
      <c r="PRK42" s="1142"/>
      <c r="PRL42" s="1142"/>
      <c r="PRM42" s="1167"/>
      <c r="PRN42" s="1167"/>
      <c r="PRO42" s="1167"/>
      <c r="PRP42" s="1167"/>
      <c r="PRQ42" s="1167"/>
      <c r="PRR42" s="1167"/>
      <c r="PRS42" s="1167"/>
      <c r="PRT42" s="1167"/>
      <c r="PRU42" s="1167"/>
      <c r="PRV42" s="1142"/>
      <c r="PRW42" s="1142"/>
      <c r="PRX42" s="1142"/>
      <c r="PRY42" s="1142"/>
      <c r="PRZ42" s="1142"/>
      <c r="PSA42" s="1142"/>
      <c r="PSB42" s="1142"/>
      <c r="PSC42" s="1142"/>
      <c r="PSD42" s="1142"/>
      <c r="PSE42" s="1142"/>
      <c r="PSF42" s="1142"/>
      <c r="PSG42" s="1142"/>
      <c r="PSH42" s="1142"/>
      <c r="PSI42" s="1142"/>
      <c r="PSJ42" s="1142"/>
      <c r="PSK42" s="1142"/>
      <c r="PSL42" s="1142"/>
      <c r="PSM42" s="1142"/>
      <c r="PSN42" s="1142"/>
      <c r="PSO42" s="1142"/>
      <c r="PSP42" s="1142"/>
      <c r="PSQ42" s="1142"/>
      <c r="PSR42" s="1142"/>
      <c r="PSS42" s="1167"/>
      <c r="PST42" s="1167"/>
      <c r="PSU42" s="1167"/>
      <c r="PSV42" s="1167"/>
      <c r="PSW42" s="1167"/>
      <c r="PSX42" s="1167"/>
      <c r="PSY42" s="1167"/>
      <c r="PSZ42" s="1167"/>
      <c r="PTA42" s="1167"/>
      <c r="PTB42" s="1142"/>
      <c r="PTC42" s="1142"/>
      <c r="PTD42" s="1142"/>
      <c r="PTE42" s="1142"/>
      <c r="PTF42" s="1142"/>
      <c r="PTG42" s="1142"/>
      <c r="PTH42" s="1142"/>
      <c r="PTI42" s="1142"/>
      <c r="PTJ42" s="1142"/>
      <c r="PTK42" s="1142"/>
      <c r="PTL42" s="1142"/>
      <c r="PTM42" s="1142"/>
      <c r="PTN42" s="1142"/>
      <c r="PTO42" s="1142"/>
      <c r="PTP42" s="1142"/>
      <c r="PTQ42" s="1142"/>
      <c r="PTR42" s="1142"/>
      <c r="PTS42" s="1142"/>
      <c r="PTT42" s="1142"/>
      <c r="PTU42" s="1142"/>
      <c r="PTV42" s="1142"/>
      <c r="PTW42" s="1142"/>
      <c r="PTX42" s="1142"/>
      <c r="PTY42" s="1167"/>
      <c r="PTZ42" s="1167"/>
      <c r="PUA42" s="1167"/>
      <c r="PUB42" s="1167"/>
      <c r="PUC42" s="1167"/>
      <c r="PUD42" s="1167"/>
      <c r="PUE42" s="1167"/>
      <c r="PUF42" s="1167"/>
      <c r="PUG42" s="1167"/>
      <c r="PUH42" s="1142"/>
      <c r="PUI42" s="1142"/>
      <c r="PUJ42" s="1142"/>
      <c r="PUK42" s="1142"/>
      <c r="PUL42" s="1142"/>
      <c r="PUM42" s="1142"/>
      <c r="PUN42" s="1142"/>
      <c r="PUO42" s="1142"/>
      <c r="PUP42" s="1142"/>
      <c r="PUQ42" s="1142"/>
      <c r="PUR42" s="1142"/>
      <c r="PUS42" s="1142"/>
      <c r="PUT42" s="1142"/>
      <c r="PUU42" s="1142"/>
      <c r="PUV42" s="1142"/>
      <c r="PUW42" s="1142"/>
      <c r="PUX42" s="1142"/>
      <c r="PUY42" s="1142"/>
      <c r="PUZ42" s="1142"/>
      <c r="PVA42" s="1142"/>
      <c r="PVB42" s="1142"/>
      <c r="PVC42" s="1142"/>
      <c r="PVD42" s="1142"/>
      <c r="PVE42" s="1167"/>
      <c r="PVF42" s="1167"/>
      <c r="PVG42" s="1167"/>
      <c r="PVH42" s="1167"/>
      <c r="PVI42" s="1167"/>
      <c r="PVJ42" s="1167"/>
      <c r="PVK42" s="1167"/>
      <c r="PVL42" s="1167"/>
      <c r="PVM42" s="1167"/>
      <c r="PVN42" s="1142"/>
      <c r="PVO42" s="1142"/>
      <c r="PVP42" s="1142"/>
      <c r="PVQ42" s="1142"/>
      <c r="PVR42" s="1142"/>
      <c r="PVS42" s="1142"/>
      <c r="PVT42" s="1142"/>
      <c r="PVU42" s="1142"/>
      <c r="PVV42" s="1142"/>
      <c r="PVW42" s="1142"/>
      <c r="PVX42" s="1142"/>
      <c r="PVY42" s="1142"/>
      <c r="PVZ42" s="1142"/>
      <c r="PWA42" s="1142"/>
      <c r="PWB42" s="1142"/>
      <c r="PWC42" s="1142"/>
      <c r="PWD42" s="1142"/>
      <c r="PWE42" s="1142"/>
      <c r="PWF42" s="1142"/>
      <c r="PWG42" s="1142"/>
      <c r="PWH42" s="1142"/>
      <c r="PWI42" s="1142"/>
      <c r="PWJ42" s="1142"/>
      <c r="PWK42" s="1167"/>
      <c r="PWL42" s="1167"/>
      <c r="PWM42" s="1167"/>
      <c r="PWN42" s="1167"/>
      <c r="PWO42" s="1167"/>
      <c r="PWP42" s="1167"/>
      <c r="PWQ42" s="1167"/>
      <c r="PWR42" s="1167"/>
      <c r="PWS42" s="1167"/>
      <c r="PWT42" s="1142"/>
      <c r="PWU42" s="1142"/>
      <c r="PWV42" s="1142"/>
      <c r="PWW42" s="1142"/>
      <c r="PWX42" s="1142"/>
      <c r="PWY42" s="1142"/>
      <c r="PWZ42" s="1142"/>
      <c r="PXA42" s="1142"/>
      <c r="PXB42" s="1142"/>
      <c r="PXC42" s="1142"/>
      <c r="PXD42" s="1142"/>
      <c r="PXE42" s="1142"/>
      <c r="PXF42" s="1142"/>
      <c r="PXG42" s="1142"/>
      <c r="PXH42" s="1142"/>
      <c r="PXI42" s="1142"/>
      <c r="PXJ42" s="1142"/>
      <c r="PXK42" s="1142"/>
      <c r="PXL42" s="1142"/>
      <c r="PXM42" s="1142"/>
      <c r="PXN42" s="1142"/>
      <c r="PXO42" s="1142"/>
      <c r="PXP42" s="1142"/>
      <c r="PXQ42" s="1167"/>
      <c r="PXR42" s="1167"/>
      <c r="PXS42" s="1167"/>
      <c r="PXT42" s="1167"/>
      <c r="PXU42" s="1167"/>
      <c r="PXV42" s="1167"/>
      <c r="PXW42" s="1167"/>
      <c r="PXX42" s="1167"/>
      <c r="PXY42" s="1167"/>
      <c r="PXZ42" s="1142"/>
      <c r="PYA42" s="1142"/>
      <c r="PYB42" s="1142"/>
      <c r="PYC42" s="1142"/>
      <c r="PYD42" s="1142"/>
      <c r="PYE42" s="1142"/>
      <c r="PYF42" s="1142"/>
      <c r="PYG42" s="1142"/>
      <c r="PYH42" s="1142"/>
      <c r="PYI42" s="1142"/>
      <c r="PYJ42" s="1142"/>
      <c r="PYK42" s="1142"/>
      <c r="PYL42" s="1142"/>
      <c r="PYM42" s="1142"/>
      <c r="PYN42" s="1142"/>
      <c r="PYO42" s="1142"/>
      <c r="PYP42" s="1142"/>
      <c r="PYQ42" s="1142"/>
      <c r="PYR42" s="1142"/>
      <c r="PYS42" s="1142"/>
      <c r="PYT42" s="1142"/>
      <c r="PYU42" s="1142"/>
      <c r="PYV42" s="1142"/>
      <c r="PYW42" s="1167"/>
      <c r="PYX42" s="1167"/>
      <c r="PYY42" s="1167"/>
      <c r="PYZ42" s="1167"/>
      <c r="PZA42" s="1167"/>
      <c r="PZB42" s="1167"/>
      <c r="PZC42" s="1167"/>
      <c r="PZD42" s="1167"/>
      <c r="PZE42" s="1167"/>
      <c r="PZF42" s="1142"/>
      <c r="PZG42" s="1142"/>
      <c r="PZH42" s="1142"/>
      <c r="PZI42" s="1142"/>
      <c r="PZJ42" s="1142"/>
      <c r="PZK42" s="1142"/>
      <c r="PZL42" s="1142"/>
      <c r="PZM42" s="1142"/>
      <c r="PZN42" s="1142"/>
      <c r="PZO42" s="1142"/>
      <c r="PZP42" s="1142"/>
      <c r="PZQ42" s="1142"/>
      <c r="PZR42" s="1142"/>
      <c r="PZS42" s="1142"/>
      <c r="PZT42" s="1142"/>
      <c r="PZU42" s="1142"/>
      <c r="PZV42" s="1142"/>
      <c r="PZW42" s="1142"/>
      <c r="PZX42" s="1142"/>
      <c r="PZY42" s="1142"/>
      <c r="PZZ42" s="1142"/>
      <c r="QAA42" s="1142"/>
      <c r="QAB42" s="1142"/>
      <c r="QAC42" s="1167"/>
      <c r="QAD42" s="1167"/>
      <c r="QAE42" s="1167"/>
      <c r="QAF42" s="1167"/>
      <c r="QAG42" s="1167"/>
      <c r="QAH42" s="1167"/>
      <c r="QAI42" s="1167"/>
      <c r="QAJ42" s="1167"/>
      <c r="QAK42" s="1167"/>
      <c r="QAL42" s="1142"/>
      <c r="QAM42" s="1142"/>
      <c r="QAN42" s="1142"/>
      <c r="QAO42" s="1142"/>
      <c r="QAP42" s="1142"/>
      <c r="QAQ42" s="1142"/>
      <c r="QAR42" s="1142"/>
      <c r="QAS42" s="1142"/>
      <c r="QAT42" s="1142"/>
      <c r="QAU42" s="1142"/>
      <c r="QAV42" s="1142"/>
      <c r="QAW42" s="1142"/>
      <c r="QAX42" s="1142"/>
      <c r="QAY42" s="1142"/>
      <c r="QAZ42" s="1142"/>
      <c r="QBA42" s="1142"/>
      <c r="QBB42" s="1142"/>
      <c r="QBC42" s="1142"/>
      <c r="QBD42" s="1142"/>
      <c r="QBE42" s="1142"/>
      <c r="QBF42" s="1142"/>
      <c r="QBG42" s="1142"/>
      <c r="QBH42" s="1142"/>
      <c r="QBI42" s="1167"/>
      <c r="QBJ42" s="1167"/>
      <c r="QBK42" s="1167"/>
      <c r="QBL42" s="1167"/>
      <c r="QBM42" s="1167"/>
      <c r="QBN42" s="1167"/>
      <c r="QBO42" s="1167"/>
      <c r="QBP42" s="1167"/>
      <c r="QBQ42" s="1167"/>
      <c r="QBR42" s="1142"/>
      <c r="QBS42" s="1142"/>
      <c r="QBT42" s="1142"/>
      <c r="QBU42" s="1142"/>
      <c r="QBV42" s="1142"/>
      <c r="QBW42" s="1142"/>
      <c r="QBX42" s="1142"/>
      <c r="QBY42" s="1142"/>
      <c r="QBZ42" s="1142"/>
      <c r="QCA42" s="1142"/>
      <c r="QCB42" s="1142"/>
      <c r="QCC42" s="1142"/>
      <c r="QCD42" s="1142"/>
      <c r="QCE42" s="1142"/>
      <c r="QCF42" s="1142"/>
      <c r="QCG42" s="1142"/>
      <c r="QCH42" s="1142"/>
      <c r="QCI42" s="1142"/>
      <c r="QCJ42" s="1142"/>
      <c r="QCK42" s="1142"/>
      <c r="QCL42" s="1142"/>
      <c r="QCM42" s="1142"/>
      <c r="QCN42" s="1142"/>
      <c r="QCO42" s="1167"/>
      <c r="QCP42" s="1167"/>
      <c r="QCQ42" s="1167"/>
      <c r="QCR42" s="1167"/>
      <c r="QCS42" s="1167"/>
      <c r="QCT42" s="1167"/>
      <c r="QCU42" s="1167"/>
      <c r="QCV42" s="1167"/>
      <c r="QCW42" s="1167"/>
      <c r="QCX42" s="1142"/>
      <c r="QCY42" s="1142"/>
      <c r="QCZ42" s="1142"/>
      <c r="QDA42" s="1142"/>
      <c r="QDB42" s="1142"/>
      <c r="QDC42" s="1142"/>
      <c r="QDD42" s="1142"/>
      <c r="QDE42" s="1142"/>
      <c r="QDF42" s="1142"/>
      <c r="QDG42" s="1142"/>
      <c r="QDH42" s="1142"/>
      <c r="QDI42" s="1142"/>
      <c r="QDJ42" s="1142"/>
      <c r="QDK42" s="1142"/>
      <c r="QDL42" s="1142"/>
      <c r="QDM42" s="1142"/>
      <c r="QDN42" s="1142"/>
      <c r="QDO42" s="1142"/>
      <c r="QDP42" s="1142"/>
      <c r="QDQ42" s="1142"/>
      <c r="QDR42" s="1142"/>
      <c r="QDS42" s="1142"/>
      <c r="QDT42" s="1142"/>
      <c r="QDU42" s="1167"/>
      <c r="QDV42" s="1167"/>
      <c r="QDW42" s="1167"/>
      <c r="QDX42" s="1167"/>
      <c r="QDY42" s="1167"/>
      <c r="QDZ42" s="1167"/>
      <c r="QEA42" s="1167"/>
      <c r="QEB42" s="1167"/>
      <c r="QEC42" s="1167"/>
      <c r="QED42" s="1142"/>
      <c r="QEE42" s="1142"/>
      <c r="QEF42" s="1142"/>
      <c r="QEG42" s="1142"/>
      <c r="QEH42" s="1142"/>
      <c r="QEI42" s="1142"/>
      <c r="QEJ42" s="1142"/>
      <c r="QEK42" s="1142"/>
      <c r="QEL42" s="1142"/>
      <c r="QEM42" s="1142"/>
      <c r="QEN42" s="1142"/>
      <c r="QEO42" s="1142"/>
      <c r="QEP42" s="1142"/>
      <c r="QEQ42" s="1142"/>
      <c r="QER42" s="1142"/>
      <c r="QES42" s="1142"/>
      <c r="QET42" s="1142"/>
      <c r="QEU42" s="1142"/>
      <c r="QEV42" s="1142"/>
      <c r="QEW42" s="1142"/>
      <c r="QEX42" s="1142"/>
      <c r="QEY42" s="1142"/>
      <c r="QEZ42" s="1142"/>
      <c r="QFA42" s="1167"/>
      <c r="QFB42" s="1167"/>
      <c r="QFC42" s="1167"/>
      <c r="QFD42" s="1167"/>
      <c r="QFE42" s="1167"/>
      <c r="QFF42" s="1167"/>
      <c r="QFG42" s="1167"/>
      <c r="QFH42" s="1167"/>
      <c r="QFI42" s="1167"/>
      <c r="QFJ42" s="1142"/>
      <c r="QFK42" s="1142"/>
      <c r="QFL42" s="1142"/>
      <c r="QFM42" s="1142"/>
      <c r="QFN42" s="1142"/>
      <c r="QFO42" s="1142"/>
      <c r="QFP42" s="1142"/>
      <c r="QFQ42" s="1142"/>
      <c r="QFR42" s="1142"/>
      <c r="QFS42" s="1142"/>
      <c r="QFT42" s="1142"/>
      <c r="QFU42" s="1142"/>
      <c r="QFV42" s="1142"/>
      <c r="QFW42" s="1142"/>
      <c r="QFX42" s="1142"/>
      <c r="QFY42" s="1142"/>
      <c r="QFZ42" s="1142"/>
      <c r="QGA42" s="1142"/>
      <c r="QGB42" s="1142"/>
      <c r="QGC42" s="1142"/>
      <c r="QGD42" s="1142"/>
      <c r="QGE42" s="1142"/>
      <c r="QGF42" s="1142"/>
      <c r="QGG42" s="1167"/>
      <c r="QGH42" s="1167"/>
      <c r="QGI42" s="1167"/>
      <c r="QGJ42" s="1167"/>
      <c r="QGK42" s="1167"/>
      <c r="QGL42" s="1167"/>
      <c r="QGM42" s="1167"/>
      <c r="QGN42" s="1167"/>
      <c r="QGO42" s="1167"/>
      <c r="QGP42" s="1142"/>
      <c r="QGQ42" s="1142"/>
      <c r="QGR42" s="1142"/>
      <c r="QGS42" s="1142"/>
      <c r="QGT42" s="1142"/>
      <c r="QGU42" s="1142"/>
      <c r="QGV42" s="1142"/>
      <c r="QGW42" s="1142"/>
      <c r="QGX42" s="1142"/>
      <c r="QGY42" s="1142"/>
      <c r="QGZ42" s="1142"/>
      <c r="QHA42" s="1142"/>
      <c r="QHB42" s="1142"/>
      <c r="QHC42" s="1142"/>
      <c r="QHD42" s="1142"/>
      <c r="QHE42" s="1142"/>
      <c r="QHF42" s="1142"/>
      <c r="QHG42" s="1142"/>
      <c r="QHH42" s="1142"/>
      <c r="QHI42" s="1142"/>
      <c r="QHJ42" s="1142"/>
      <c r="QHK42" s="1142"/>
      <c r="QHL42" s="1142"/>
      <c r="QHM42" s="1167"/>
      <c r="QHN42" s="1167"/>
      <c r="QHO42" s="1167"/>
      <c r="QHP42" s="1167"/>
      <c r="QHQ42" s="1167"/>
      <c r="QHR42" s="1167"/>
      <c r="QHS42" s="1167"/>
      <c r="QHT42" s="1167"/>
      <c r="QHU42" s="1167"/>
      <c r="QHV42" s="1142"/>
      <c r="QHW42" s="1142"/>
      <c r="QHX42" s="1142"/>
      <c r="QHY42" s="1142"/>
      <c r="QHZ42" s="1142"/>
      <c r="QIA42" s="1142"/>
      <c r="QIB42" s="1142"/>
      <c r="QIC42" s="1142"/>
      <c r="QID42" s="1142"/>
      <c r="QIE42" s="1142"/>
      <c r="QIF42" s="1142"/>
      <c r="QIG42" s="1142"/>
      <c r="QIH42" s="1142"/>
      <c r="QII42" s="1142"/>
      <c r="QIJ42" s="1142"/>
      <c r="QIK42" s="1142"/>
      <c r="QIL42" s="1142"/>
      <c r="QIM42" s="1142"/>
      <c r="QIN42" s="1142"/>
      <c r="QIO42" s="1142"/>
      <c r="QIP42" s="1142"/>
      <c r="QIQ42" s="1142"/>
      <c r="QIR42" s="1142"/>
      <c r="QIS42" s="1167"/>
      <c r="QIT42" s="1167"/>
      <c r="QIU42" s="1167"/>
      <c r="QIV42" s="1167"/>
      <c r="QIW42" s="1167"/>
      <c r="QIX42" s="1167"/>
      <c r="QIY42" s="1167"/>
      <c r="QIZ42" s="1167"/>
      <c r="QJA42" s="1167"/>
      <c r="QJB42" s="1142"/>
      <c r="QJC42" s="1142"/>
      <c r="QJD42" s="1142"/>
      <c r="QJE42" s="1142"/>
      <c r="QJF42" s="1142"/>
      <c r="QJG42" s="1142"/>
      <c r="QJH42" s="1142"/>
      <c r="QJI42" s="1142"/>
      <c r="QJJ42" s="1142"/>
      <c r="QJK42" s="1142"/>
      <c r="QJL42" s="1142"/>
      <c r="QJM42" s="1142"/>
      <c r="QJN42" s="1142"/>
      <c r="QJO42" s="1142"/>
      <c r="QJP42" s="1142"/>
      <c r="QJQ42" s="1142"/>
      <c r="QJR42" s="1142"/>
      <c r="QJS42" s="1142"/>
      <c r="QJT42" s="1142"/>
      <c r="QJU42" s="1142"/>
      <c r="QJV42" s="1142"/>
      <c r="QJW42" s="1142"/>
      <c r="QJX42" s="1142"/>
      <c r="QJY42" s="1167"/>
      <c r="QJZ42" s="1167"/>
      <c r="QKA42" s="1167"/>
      <c r="QKB42" s="1167"/>
      <c r="QKC42" s="1167"/>
      <c r="QKD42" s="1167"/>
      <c r="QKE42" s="1167"/>
      <c r="QKF42" s="1167"/>
      <c r="QKG42" s="1167"/>
      <c r="QKH42" s="1142"/>
      <c r="QKI42" s="1142"/>
      <c r="QKJ42" s="1142"/>
      <c r="QKK42" s="1142"/>
      <c r="QKL42" s="1142"/>
      <c r="QKM42" s="1142"/>
      <c r="QKN42" s="1142"/>
      <c r="QKO42" s="1142"/>
      <c r="QKP42" s="1142"/>
      <c r="QKQ42" s="1142"/>
      <c r="QKR42" s="1142"/>
      <c r="QKS42" s="1142"/>
      <c r="QKT42" s="1142"/>
      <c r="QKU42" s="1142"/>
      <c r="QKV42" s="1142"/>
      <c r="QKW42" s="1142"/>
      <c r="QKX42" s="1142"/>
      <c r="QKY42" s="1142"/>
      <c r="QKZ42" s="1142"/>
      <c r="QLA42" s="1142"/>
      <c r="QLB42" s="1142"/>
      <c r="QLC42" s="1142"/>
      <c r="QLD42" s="1142"/>
      <c r="QLE42" s="1167"/>
      <c r="QLF42" s="1167"/>
      <c r="QLG42" s="1167"/>
      <c r="QLH42" s="1167"/>
      <c r="QLI42" s="1167"/>
      <c r="QLJ42" s="1167"/>
      <c r="QLK42" s="1167"/>
      <c r="QLL42" s="1167"/>
      <c r="QLM42" s="1167"/>
      <c r="QLN42" s="1142"/>
      <c r="QLO42" s="1142"/>
      <c r="QLP42" s="1142"/>
      <c r="QLQ42" s="1142"/>
      <c r="QLR42" s="1142"/>
      <c r="QLS42" s="1142"/>
      <c r="QLT42" s="1142"/>
      <c r="QLU42" s="1142"/>
      <c r="QLV42" s="1142"/>
      <c r="QLW42" s="1142"/>
      <c r="QLX42" s="1142"/>
      <c r="QLY42" s="1142"/>
      <c r="QLZ42" s="1142"/>
      <c r="QMA42" s="1142"/>
      <c r="QMB42" s="1142"/>
      <c r="QMC42" s="1142"/>
      <c r="QMD42" s="1142"/>
      <c r="QME42" s="1142"/>
      <c r="QMF42" s="1142"/>
      <c r="QMG42" s="1142"/>
      <c r="QMH42" s="1142"/>
      <c r="QMI42" s="1142"/>
      <c r="QMJ42" s="1142"/>
      <c r="QMK42" s="1167"/>
      <c r="QML42" s="1167"/>
      <c r="QMM42" s="1167"/>
      <c r="QMN42" s="1167"/>
      <c r="QMO42" s="1167"/>
      <c r="QMP42" s="1167"/>
      <c r="QMQ42" s="1167"/>
      <c r="QMR42" s="1167"/>
      <c r="QMS42" s="1167"/>
      <c r="QMT42" s="1142"/>
      <c r="QMU42" s="1142"/>
      <c r="QMV42" s="1142"/>
      <c r="QMW42" s="1142"/>
      <c r="QMX42" s="1142"/>
      <c r="QMY42" s="1142"/>
      <c r="QMZ42" s="1142"/>
      <c r="QNA42" s="1142"/>
      <c r="QNB42" s="1142"/>
      <c r="QNC42" s="1142"/>
      <c r="QND42" s="1142"/>
      <c r="QNE42" s="1142"/>
      <c r="QNF42" s="1142"/>
      <c r="QNG42" s="1142"/>
      <c r="QNH42" s="1142"/>
      <c r="QNI42" s="1142"/>
      <c r="QNJ42" s="1142"/>
      <c r="QNK42" s="1142"/>
      <c r="QNL42" s="1142"/>
      <c r="QNM42" s="1142"/>
      <c r="QNN42" s="1142"/>
      <c r="QNO42" s="1142"/>
      <c r="QNP42" s="1142"/>
      <c r="QNQ42" s="1167"/>
      <c r="QNR42" s="1167"/>
      <c r="QNS42" s="1167"/>
      <c r="QNT42" s="1167"/>
      <c r="QNU42" s="1167"/>
      <c r="QNV42" s="1167"/>
      <c r="QNW42" s="1167"/>
      <c r="QNX42" s="1167"/>
      <c r="QNY42" s="1167"/>
      <c r="QNZ42" s="1142"/>
      <c r="QOA42" s="1142"/>
      <c r="QOB42" s="1142"/>
      <c r="QOC42" s="1142"/>
      <c r="QOD42" s="1142"/>
      <c r="QOE42" s="1142"/>
      <c r="QOF42" s="1142"/>
      <c r="QOG42" s="1142"/>
      <c r="QOH42" s="1142"/>
      <c r="QOI42" s="1142"/>
      <c r="QOJ42" s="1142"/>
      <c r="QOK42" s="1142"/>
      <c r="QOL42" s="1142"/>
      <c r="QOM42" s="1142"/>
      <c r="QON42" s="1142"/>
      <c r="QOO42" s="1142"/>
      <c r="QOP42" s="1142"/>
      <c r="QOQ42" s="1142"/>
      <c r="QOR42" s="1142"/>
      <c r="QOS42" s="1142"/>
      <c r="QOT42" s="1142"/>
      <c r="QOU42" s="1142"/>
      <c r="QOV42" s="1142"/>
      <c r="QOW42" s="1167"/>
      <c r="QOX42" s="1167"/>
      <c r="QOY42" s="1167"/>
      <c r="QOZ42" s="1167"/>
      <c r="QPA42" s="1167"/>
      <c r="QPB42" s="1167"/>
      <c r="QPC42" s="1167"/>
      <c r="QPD42" s="1167"/>
      <c r="QPE42" s="1167"/>
      <c r="QPF42" s="1142"/>
      <c r="QPG42" s="1142"/>
      <c r="QPH42" s="1142"/>
      <c r="QPI42" s="1142"/>
      <c r="QPJ42" s="1142"/>
      <c r="QPK42" s="1142"/>
      <c r="QPL42" s="1142"/>
      <c r="QPM42" s="1142"/>
      <c r="QPN42" s="1142"/>
      <c r="QPO42" s="1142"/>
      <c r="QPP42" s="1142"/>
      <c r="QPQ42" s="1142"/>
      <c r="QPR42" s="1142"/>
      <c r="QPS42" s="1142"/>
      <c r="QPT42" s="1142"/>
      <c r="QPU42" s="1142"/>
      <c r="QPV42" s="1142"/>
      <c r="QPW42" s="1142"/>
      <c r="QPX42" s="1142"/>
      <c r="QPY42" s="1142"/>
      <c r="QPZ42" s="1142"/>
      <c r="QQA42" s="1142"/>
      <c r="QQB42" s="1142"/>
      <c r="QQC42" s="1167"/>
      <c r="QQD42" s="1167"/>
      <c r="QQE42" s="1167"/>
      <c r="QQF42" s="1167"/>
      <c r="QQG42" s="1167"/>
      <c r="QQH42" s="1167"/>
      <c r="QQI42" s="1167"/>
      <c r="QQJ42" s="1167"/>
      <c r="QQK42" s="1167"/>
      <c r="QQL42" s="1142"/>
      <c r="QQM42" s="1142"/>
      <c r="QQN42" s="1142"/>
      <c r="QQO42" s="1142"/>
      <c r="QQP42" s="1142"/>
      <c r="QQQ42" s="1142"/>
      <c r="QQR42" s="1142"/>
      <c r="QQS42" s="1142"/>
      <c r="QQT42" s="1142"/>
      <c r="QQU42" s="1142"/>
      <c r="QQV42" s="1142"/>
      <c r="QQW42" s="1142"/>
      <c r="QQX42" s="1142"/>
      <c r="QQY42" s="1142"/>
      <c r="QQZ42" s="1142"/>
      <c r="QRA42" s="1142"/>
      <c r="QRB42" s="1142"/>
      <c r="QRC42" s="1142"/>
      <c r="QRD42" s="1142"/>
      <c r="QRE42" s="1142"/>
      <c r="QRF42" s="1142"/>
      <c r="QRG42" s="1142"/>
      <c r="QRH42" s="1142"/>
      <c r="QRI42" s="1167"/>
      <c r="QRJ42" s="1167"/>
      <c r="QRK42" s="1167"/>
      <c r="QRL42" s="1167"/>
      <c r="QRM42" s="1167"/>
      <c r="QRN42" s="1167"/>
      <c r="QRO42" s="1167"/>
      <c r="QRP42" s="1167"/>
      <c r="QRQ42" s="1167"/>
      <c r="QRR42" s="1142"/>
      <c r="QRS42" s="1142"/>
      <c r="QRT42" s="1142"/>
      <c r="QRU42" s="1142"/>
      <c r="QRV42" s="1142"/>
      <c r="QRW42" s="1142"/>
      <c r="QRX42" s="1142"/>
      <c r="QRY42" s="1142"/>
      <c r="QRZ42" s="1142"/>
      <c r="QSA42" s="1142"/>
      <c r="QSB42" s="1142"/>
      <c r="QSC42" s="1142"/>
      <c r="QSD42" s="1142"/>
      <c r="QSE42" s="1142"/>
      <c r="QSF42" s="1142"/>
      <c r="QSG42" s="1142"/>
      <c r="QSH42" s="1142"/>
      <c r="QSI42" s="1142"/>
      <c r="QSJ42" s="1142"/>
      <c r="QSK42" s="1142"/>
      <c r="QSL42" s="1142"/>
      <c r="QSM42" s="1142"/>
      <c r="QSN42" s="1142"/>
      <c r="QSO42" s="1167"/>
      <c r="QSP42" s="1167"/>
      <c r="QSQ42" s="1167"/>
      <c r="QSR42" s="1167"/>
      <c r="QSS42" s="1167"/>
      <c r="QST42" s="1167"/>
      <c r="QSU42" s="1167"/>
      <c r="QSV42" s="1167"/>
      <c r="QSW42" s="1167"/>
      <c r="QSX42" s="1142"/>
      <c r="QSY42" s="1142"/>
      <c r="QSZ42" s="1142"/>
      <c r="QTA42" s="1142"/>
      <c r="QTB42" s="1142"/>
      <c r="QTC42" s="1142"/>
      <c r="QTD42" s="1142"/>
      <c r="QTE42" s="1142"/>
      <c r="QTF42" s="1142"/>
      <c r="QTG42" s="1142"/>
      <c r="QTH42" s="1142"/>
      <c r="QTI42" s="1142"/>
      <c r="QTJ42" s="1142"/>
      <c r="QTK42" s="1142"/>
      <c r="QTL42" s="1142"/>
      <c r="QTM42" s="1142"/>
      <c r="QTN42" s="1142"/>
      <c r="QTO42" s="1142"/>
      <c r="QTP42" s="1142"/>
      <c r="QTQ42" s="1142"/>
      <c r="QTR42" s="1142"/>
      <c r="QTS42" s="1142"/>
      <c r="QTT42" s="1142"/>
      <c r="QTU42" s="1167"/>
      <c r="QTV42" s="1167"/>
      <c r="QTW42" s="1167"/>
      <c r="QTX42" s="1167"/>
      <c r="QTY42" s="1167"/>
      <c r="QTZ42" s="1167"/>
      <c r="QUA42" s="1167"/>
      <c r="QUB42" s="1167"/>
      <c r="QUC42" s="1167"/>
      <c r="QUD42" s="1142"/>
      <c r="QUE42" s="1142"/>
      <c r="QUF42" s="1142"/>
      <c r="QUG42" s="1142"/>
      <c r="QUH42" s="1142"/>
      <c r="QUI42" s="1142"/>
      <c r="QUJ42" s="1142"/>
      <c r="QUK42" s="1142"/>
      <c r="QUL42" s="1142"/>
      <c r="QUM42" s="1142"/>
      <c r="QUN42" s="1142"/>
      <c r="QUO42" s="1142"/>
      <c r="QUP42" s="1142"/>
      <c r="QUQ42" s="1142"/>
      <c r="QUR42" s="1142"/>
      <c r="QUS42" s="1142"/>
      <c r="QUT42" s="1142"/>
      <c r="QUU42" s="1142"/>
      <c r="QUV42" s="1142"/>
      <c r="QUW42" s="1142"/>
      <c r="QUX42" s="1142"/>
      <c r="QUY42" s="1142"/>
      <c r="QUZ42" s="1142"/>
      <c r="QVA42" s="1167"/>
      <c r="QVB42" s="1167"/>
      <c r="QVC42" s="1167"/>
      <c r="QVD42" s="1167"/>
      <c r="QVE42" s="1167"/>
      <c r="QVF42" s="1167"/>
      <c r="QVG42" s="1167"/>
      <c r="QVH42" s="1167"/>
      <c r="QVI42" s="1167"/>
      <c r="QVJ42" s="1142"/>
      <c r="QVK42" s="1142"/>
      <c r="QVL42" s="1142"/>
      <c r="QVM42" s="1142"/>
      <c r="QVN42" s="1142"/>
      <c r="QVO42" s="1142"/>
      <c r="QVP42" s="1142"/>
      <c r="QVQ42" s="1142"/>
      <c r="QVR42" s="1142"/>
      <c r="QVS42" s="1142"/>
      <c r="QVT42" s="1142"/>
      <c r="QVU42" s="1142"/>
      <c r="QVV42" s="1142"/>
      <c r="QVW42" s="1142"/>
      <c r="QVX42" s="1142"/>
      <c r="QVY42" s="1142"/>
      <c r="QVZ42" s="1142"/>
      <c r="QWA42" s="1142"/>
      <c r="QWB42" s="1142"/>
      <c r="QWC42" s="1142"/>
      <c r="QWD42" s="1142"/>
      <c r="QWE42" s="1142"/>
      <c r="QWF42" s="1142"/>
      <c r="QWG42" s="1167"/>
      <c r="QWH42" s="1167"/>
      <c r="QWI42" s="1167"/>
      <c r="QWJ42" s="1167"/>
      <c r="QWK42" s="1167"/>
      <c r="QWL42" s="1167"/>
      <c r="QWM42" s="1167"/>
      <c r="QWN42" s="1167"/>
      <c r="QWO42" s="1167"/>
      <c r="QWP42" s="1142"/>
      <c r="QWQ42" s="1142"/>
      <c r="QWR42" s="1142"/>
      <c r="QWS42" s="1142"/>
      <c r="QWT42" s="1142"/>
      <c r="QWU42" s="1142"/>
      <c r="QWV42" s="1142"/>
      <c r="QWW42" s="1142"/>
      <c r="QWX42" s="1142"/>
      <c r="QWY42" s="1142"/>
      <c r="QWZ42" s="1142"/>
      <c r="QXA42" s="1142"/>
      <c r="QXB42" s="1142"/>
      <c r="QXC42" s="1142"/>
      <c r="QXD42" s="1142"/>
      <c r="QXE42" s="1142"/>
      <c r="QXF42" s="1142"/>
      <c r="QXG42" s="1142"/>
      <c r="QXH42" s="1142"/>
      <c r="QXI42" s="1142"/>
      <c r="QXJ42" s="1142"/>
      <c r="QXK42" s="1142"/>
      <c r="QXL42" s="1142"/>
      <c r="QXM42" s="1167"/>
      <c r="QXN42" s="1167"/>
      <c r="QXO42" s="1167"/>
      <c r="QXP42" s="1167"/>
      <c r="QXQ42" s="1167"/>
      <c r="QXR42" s="1167"/>
      <c r="QXS42" s="1167"/>
      <c r="QXT42" s="1167"/>
      <c r="QXU42" s="1167"/>
      <c r="QXV42" s="1142"/>
      <c r="QXW42" s="1142"/>
      <c r="QXX42" s="1142"/>
      <c r="QXY42" s="1142"/>
      <c r="QXZ42" s="1142"/>
      <c r="QYA42" s="1142"/>
      <c r="QYB42" s="1142"/>
      <c r="QYC42" s="1142"/>
      <c r="QYD42" s="1142"/>
      <c r="QYE42" s="1142"/>
      <c r="QYF42" s="1142"/>
      <c r="QYG42" s="1142"/>
      <c r="QYH42" s="1142"/>
      <c r="QYI42" s="1142"/>
      <c r="QYJ42" s="1142"/>
      <c r="QYK42" s="1142"/>
      <c r="QYL42" s="1142"/>
      <c r="QYM42" s="1142"/>
      <c r="QYN42" s="1142"/>
      <c r="QYO42" s="1142"/>
      <c r="QYP42" s="1142"/>
      <c r="QYQ42" s="1142"/>
      <c r="QYR42" s="1142"/>
      <c r="QYS42" s="1167"/>
      <c r="QYT42" s="1167"/>
      <c r="QYU42" s="1167"/>
      <c r="QYV42" s="1167"/>
      <c r="QYW42" s="1167"/>
      <c r="QYX42" s="1167"/>
      <c r="QYY42" s="1167"/>
      <c r="QYZ42" s="1167"/>
      <c r="QZA42" s="1167"/>
      <c r="QZB42" s="1142"/>
      <c r="QZC42" s="1142"/>
      <c r="QZD42" s="1142"/>
      <c r="QZE42" s="1142"/>
      <c r="QZF42" s="1142"/>
      <c r="QZG42" s="1142"/>
      <c r="QZH42" s="1142"/>
      <c r="QZI42" s="1142"/>
      <c r="QZJ42" s="1142"/>
      <c r="QZK42" s="1142"/>
      <c r="QZL42" s="1142"/>
      <c r="QZM42" s="1142"/>
      <c r="QZN42" s="1142"/>
      <c r="QZO42" s="1142"/>
      <c r="QZP42" s="1142"/>
      <c r="QZQ42" s="1142"/>
      <c r="QZR42" s="1142"/>
      <c r="QZS42" s="1142"/>
      <c r="QZT42" s="1142"/>
      <c r="QZU42" s="1142"/>
      <c r="QZV42" s="1142"/>
      <c r="QZW42" s="1142"/>
      <c r="QZX42" s="1142"/>
      <c r="QZY42" s="1167"/>
      <c r="QZZ42" s="1167"/>
      <c r="RAA42" s="1167"/>
      <c r="RAB42" s="1167"/>
      <c r="RAC42" s="1167"/>
      <c r="RAD42" s="1167"/>
      <c r="RAE42" s="1167"/>
      <c r="RAF42" s="1167"/>
      <c r="RAG42" s="1167"/>
      <c r="RAH42" s="1142"/>
      <c r="RAI42" s="1142"/>
      <c r="RAJ42" s="1142"/>
      <c r="RAK42" s="1142"/>
      <c r="RAL42" s="1142"/>
      <c r="RAM42" s="1142"/>
      <c r="RAN42" s="1142"/>
      <c r="RAO42" s="1142"/>
      <c r="RAP42" s="1142"/>
      <c r="RAQ42" s="1142"/>
      <c r="RAR42" s="1142"/>
      <c r="RAS42" s="1142"/>
      <c r="RAT42" s="1142"/>
      <c r="RAU42" s="1142"/>
      <c r="RAV42" s="1142"/>
      <c r="RAW42" s="1142"/>
      <c r="RAX42" s="1142"/>
      <c r="RAY42" s="1142"/>
      <c r="RAZ42" s="1142"/>
      <c r="RBA42" s="1142"/>
      <c r="RBB42" s="1142"/>
      <c r="RBC42" s="1142"/>
      <c r="RBD42" s="1142"/>
      <c r="RBE42" s="1167"/>
      <c r="RBF42" s="1167"/>
      <c r="RBG42" s="1167"/>
      <c r="RBH42" s="1167"/>
      <c r="RBI42" s="1167"/>
      <c r="RBJ42" s="1167"/>
      <c r="RBK42" s="1167"/>
      <c r="RBL42" s="1167"/>
      <c r="RBM42" s="1167"/>
      <c r="RBN42" s="1142"/>
      <c r="RBO42" s="1142"/>
      <c r="RBP42" s="1142"/>
      <c r="RBQ42" s="1142"/>
      <c r="RBR42" s="1142"/>
      <c r="RBS42" s="1142"/>
      <c r="RBT42" s="1142"/>
      <c r="RBU42" s="1142"/>
      <c r="RBV42" s="1142"/>
      <c r="RBW42" s="1142"/>
      <c r="RBX42" s="1142"/>
      <c r="RBY42" s="1142"/>
      <c r="RBZ42" s="1142"/>
      <c r="RCA42" s="1142"/>
      <c r="RCB42" s="1142"/>
      <c r="RCC42" s="1142"/>
      <c r="RCD42" s="1142"/>
      <c r="RCE42" s="1142"/>
      <c r="RCF42" s="1142"/>
      <c r="RCG42" s="1142"/>
      <c r="RCH42" s="1142"/>
      <c r="RCI42" s="1142"/>
      <c r="RCJ42" s="1142"/>
      <c r="RCK42" s="1167"/>
      <c r="RCL42" s="1167"/>
      <c r="RCM42" s="1167"/>
      <c r="RCN42" s="1167"/>
      <c r="RCO42" s="1167"/>
      <c r="RCP42" s="1167"/>
      <c r="RCQ42" s="1167"/>
      <c r="RCR42" s="1167"/>
      <c r="RCS42" s="1167"/>
      <c r="RCT42" s="1142"/>
      <c r="RCU42" s="1142"/>
      <c r="RCV42" s="1142"/>
      <c r="RCW42" s="1142"/>
      <c r="RCX42" s="1142"/>
      <c r="RCY42" s="1142"/>
      <c r="RCZ42" s="1142"/>
      <c r="RDA42" s="1142"/>
      <c r="RDB42" s="1142"/>
      <c r="RDC42" s="1142"/>
      <c r="RDD42" s="1142"/>
      <c r="RDE42" s="1142"/>
      <c r="RDF42" s="1142"/>
      <c r="RDG42" s="1142"/>
      <c r="RDH42" s="1142"/>
      <c r="RDI42" s="1142"/>
      <c r="RDJ42" s="1142"/>
      <c r="RDK42" s="1142"/>
      <c r="RDL42" s="1142"/>
      <c r="RDM42" s="1142"/>
      <c r="RDN42" s="1142"/>
      <c r="RDO42" s="1142"/>
      <c r="RDP42" s="1142"/>
      <c r="RDQ42" s="1167"/>
      <c r="RDR42" s="1167"/>
      <c r="RDS42" s="1167"/>
      <c r="RDT42" s="1167"/>
      <c r="RDU42" s="1167"/>
      <c r="RDV42" s="1167"/>
      <c r="RDW42" s="1167"/>
      <c r="RDX42" s="1167"/>
      <c r="RDY42" s="1167"/>
      <c r="RDZ42" s="1142"/>
      <c r="REA42" s="1142"/>
      <c r="REB42" s="1142"/>
      <c r="REC42" s="1142"/>
      <c r="RED42" s="1142"/>
      <c r="REE42" s="1142"/>
      <c r="REF42" s="1142"/>
      <c r="REG42" s="1142"/>
      <c r="REH42" s="1142"/>
      <c r="REI42" s="1142"/>
      <c r="REJ42" s="1142"/>
      <c r="REK42" s="1142"/>
      <c r="REL42" s="1142"/>
      <c r="REM42" s="1142"/>
      <c r="REN42" s="1142"/>
      <c r="REO42" s="1142"/>
      <c r="REP42" s="1142"/>
      <c r="REQ42" s="1142"/>
      <c r="RER42" s="1142"/>
      <c r="RES42" s="1142"/>
      <c r="RET42" s="1142"/>
      <c r="REU42" s="1142"/>
      <c r="REV42" s="1142"/>
      <c r="REW42" s="1167"/>
      <c r="REX42" s="1167"/>
      <c r="REY42" s="1167"/>
      <c r="REZ42" s="1167"/>
      <c r="RFA42" s="1167"/>
      <c r="RFB42" s="1167"/>
      <c r="RFC42" s="1167"/>
      <c r="RFD42" s="1167"/>
      <c r="RFE42" s="1167"/>
      <c r="RFF42" s="1142"/>
      <c r="RFG42" s="1142"/>
      <c r="RFH42" s="1142"/>
      <c r="RFI42" s="1142"/>
      <c r="RFJ42" s="1142"/>
      <c r="RFK42" s="1142"/>
      <c r="RFL42" s="1142"/>
      <c r="RFM42" s="1142"/>
      <c r="RFN42" s="1142"/>
      <c r="RFO42" s="1142"/>
      <c r="RFP42" s="1142"/>
      <c r="RFQ42" s="1142"/>
      <c r="RFR42" s="1142"/>
      <c r="RFS42" s="1142"/>
      <c r="RFT42" s="1142"/>
      <c r="RFU42" s="1142"/>
      <c r="RFV42" s="1142"/>
      <c r="RFW42" s="1142"/>
      <c r="RFX42" s="1142"/>
      <c r="RFY42" s="1142"/>
      <c r="RFZ42" s="1142"/>
      <c r="RGA42" s="1142"/>
      <c r="RGB42" s="1142"/>
      <c r="RGC42" s="1167"/>
      <c r="RGD42" s="1167"/>
      <c r="RGE42" s="1167"/>
      <c r="RGF42" s="1167"/>
      <c r="RGG42" s="1167"/>
      <c r="RGH42" s="1167"/>
      <c r="RGI42" s="1167"/>
      <c r="RGJ42" s="1167"/>
      <c r="RGK42" s="1167"/>
      <c r="RGL42" s="1142"/>
      <c r="RGM42" s="1142"/>
      <c r="RGN42" s="1142"/>
      <c r="RGO42" s="1142"/>
      <c r="RGP42" s="1142"/>
      <c r="RGQ42" s="1142"/>
      <c r="RGR42" s="1142"/>
      <c r="RGS42" s="1142"/>
      <c r="RGT42" s="1142"/>
      <c r="RGU42" s="1142"/>
      <c r="RGV42" s="1142"/>
      <c r="RGW42" s="1142"/>
      <c r="RGX42" s="1142"/>
      <c r="RGY42" s="1142"/>
      <c r="RGZ42" s="1142"/>
      <c r="RHA42" s="1142"/>
      <c r="RHB42" s="1142"/>
      <c r="RHC42" s="1142"/>
      <c r="RHD42" s="1142"/>
      <c r="RHE42" s="1142"/>
      <c r="RHF42" s="1142"/>
      <c r="RHG42" s="1142"/>
      <c r="RHH42" s="1142"/>
      <c r="RHI42" s="1167"/>
      <c r="RHJ42" s="1167"/>
      <c r="RHK42" s="1167"/>
      <c r="RHL42" s="1167"/>
      <c r="RHM42" s="1167"/>
      <c r="RHN42" s="1167"/>
      <c r="RHO42" s="1167"/>
      <c r="RHP42" s="1167"/>
      <c r="RHQ42" s="1167"/>
      <c r="RHR42" s="1142"/>
      <c r="RHS42" s="1142"/>
      <c r="RHT42" s="1142"/>
      <c r="RHU42" s="1142"/>
      <c r="RHV42" s="1142"/>
      <c r="RHW42" s="1142"/>
      <c r="RHX42" s="1142"/>
      <c r="RHY42" s="1142"/>
      <c r="RHZ42" s="1142"/>
      <c r="RIA42" s="1142"/>
      <c r="RIB42" s="1142"/>
      <c r="RIC42" s="1142"/>
      <c r="RID42" s="1142"/>
      <c r="RIE42" s="1142"/>
      <c r="RIF42" s="1142"/>
      <c r="RIG42" s="1142"/>
      <c r="RIH42" s="1142"/>
      <c r="RII42" s="1142"/>
      <c r="RIJ42" s="1142"/>
      <c r="RIK42" s="1142"/>
      <c r="RIL42" s="1142"/>
      <c r="RIM42" s="1142"/>
      <c r="RIN42" s="1142"/>
      <c r="RIO42" s="1167"/>
      <c r="RIP42" s="1167"/>
      <c r="RIQ42" s="1167"/>
      <c r="RIR42" s="1167"/>
      <c r="RIS42" s="1167"/>
      <c r="RIT42" s="1167"/>
      <c r="RIU42" s="1167"/>
      <c r="RIV42" s="1167"/>
      <c r="RIW42" s="1167"/>
      <c r="RIX42" s="1142"/>
      <c r="RIY42" s="1142"/>
      <c r="RIZ42" s="1142"/>
      <c r="RJA42" s="1142"/>
      <c r="RJB42" s="1142"/>
      <c r="RJC42" s="1142"/>
      <c r="RJD42" s="1142"/>
      <c r="RJE42" s="1142"/>
      <c r="RJF42" s="1142"/>
      <c r="RJG42" s="1142"/>
      <c r="RJH42" s="1142"/>
      <c r="RJI42" s="1142"/>
      <c r="RJJ42" s="1142"/>
      <c r="RJK42" s="1142"/>
      <c r="RJL42" s="1142"/>
      <c r="RJM42" s="1142"/>
      <c r="RJN42" s="1142"/>
      <c r="RJO42" s="1142"/>
      <c r="RJP42" s="1142"/>
      <c r="RJQ42" s="1142"/>
      <c r="RJR42" s="1142"/>
      <c r="RJS42" s="1142"/>
      <c r="RJT42" s="1142"/>
      <c r="RJU42" s="1167"/>
      <c r="RJV42" s="1167"/>
      <c r="RJW42" s="1167"/>
      <c r="RJX42" s="1167"/>
      <c r="RJY42" s="1167"/>
      <c r="RJZ42" s="1167"/>
      <c r="RKA42" s="1167"/>
      <c r="RKB42" s="1167"/>
      <c r="RKC42" s="1167"/>
      <c r="RKD42" s="1142"/>
      <c r="RKE42" s="1142"/>
      <c r="RKF42" s="1142"/>
      <c r="RKG42" s="1142"/>
      <c r="RKH42" s="1142"/>
      <c r="RKI42" s="1142"/>
      <c r="RKJ42" s="1142"/>
      <c r="RKK42" s="1142"/>
      <c r="RKL42" s="1142"/>
      <c r="RKM42" s="1142"/>
      <c r="RKN42" s="1142"/>
      <c r="RKO42" s="1142"/>
      <c r="RKP42" s="1142"/>
      <c r="RKQ42" s="1142"/>
      <c r="RKR42" s="1142"/>
      <c r="RKS42" s="1142"/>
      <c r="RKT42" s="1142"/>
      <c r="RKU42" s="1142"/>
      <c r="RKV42" s="1142"/>
      <c r="RKW42" s="1142"/>
      <c r="RKX42" s="1142"/>
      <c r="RKY42" s="1142"/>
      <c r="RKZ42" s="1142"/>
      <c r="RLA42" s="1167"/>
      <c r="RLB42" s="1167"/>
      <c r="RLC42" s="1167"/>
      <c r="RLD42" s="1167"/>
      <c r="RLE42" s="1167"/>
      <c r="RLF42" s="1167"/>
      <c r="RLG42" s="1167"/>
      <c r="RLH42" s="1167"/>
      <c r="RLI42" s="1167"/>
      <c r="RLJ42" s="1142"/>
      <c r="RLK42" s="1142"/>
      <c r="RLL42" s="1142"/>
      <c r="RLM42" s="1142"/>
      <c r="RLN42" s="1142"/>
      <c r="RLO42" s="1142"/>
      <c r="RLP42" s="1142"/>
      <c r="RLQ42" s="1142"/>
      <c r="RLR42" s="1142"/>
      <c r="RLS42" s="1142"/>
      <c r="RLT42" s="1142"/>
      <c r="RLU42" s="1142"/>
      <c r="RLV42" s="1142"/>
      <c r="RLW42" s="1142"/>
      <c r="RLX42" s="1142"/>
      <c r="RLY42" s="1142"/>
      <c r="RLZ42" s="1142"/>
      <c r="RMA42" s="1142"/>
      <c r="RMB42" s="1142"/>
      <c r="RMC42" s="1142"/>
      <c r="RMD42" s="1142"/>
      <c r="RME42" s="1142"/>
      <c r="RMF42" s="1142"/>
      <c r="RMG42" s="1167"/>
      <c r="RMH42" s="1167"/>
      <c r="RMI42" s="1167"/>
      <c r="RMJ42" s="1167"/>
      <c r="RMK42" s="1167"/>
      <c r="RML42" s="1167"/>
      <c r="RMM42" s="1167"/>
      <c r="RMN42" s="1167"/>
      <c r="RMO42" s="1167"/>
      <c r="RMP42" s="1142"/>
      <c r="RMQ42" s="1142"/>
      <c r="RMR42" s="1142"/>
      <c r="RMS42" s="1142"/>
      <c r="RMT42" s="1142"/>
      <c r="RMU42" s="1142"/>
      <c r="RMV42" s="1142"/>
      <c r="RMW42" s="1142"/>
      <c r="RMX42" s="1142"/>
      <c r="RMY42" s="1142"/>
      <c r="RMZ42" s="1142"/>
      <c r="RNA42" s="1142"/>
      <c r="RNB42" s="1142"/>
      <c r="RNC42" s="1142"/>
      <c r="RND42" s="1142"/>
      <c r="RNE42" s="1142"/>
      <c r="RNF42" s="1142"/>
      <c r="RNG42" s="1142"/>
      <c r="RNH42" s="1142"/>
      <c r="RNI42" s="1142"/>
      <c r="RNJ42" s="1142"/>
      <c r="RNK42" s="1142"/>
      <c r="RNL42" s="1142"/>
      <c r="RNM42" s="1167"/>
      <c r="RNN42" s="1167"/>
      <c r="RNO42" s="1167"/>
      <c r="RNP42" s="1167"/>
      <c r="RNQ42" s="1167"/>
      <c r="RNR42" s="1167"/>
      <c r="RNS42" s="1167"/>
      <c r="RNT42" s="1167"/>
      <c r="RNU42" s="1167"/>
      <c r="RNV42" s="1142"/>
      <c r="RNW42" s="1142"/>
      <c r="RNX42" s="1142"/>
      <c r="RNY42" s="1142"/>
      <c r="RNZ42" s="1142"/>
      <c r="ROA42" s="1142"/>
      <c r="ROB42" s="1142"/>
      <c r="ROC42" s="1142"/>
      <c r="ROD42" s="1142"/>
      <c r="ROE42" s="1142"/>
      <c r="ROF42" s="1142"/>
      <c r="ROG42" s="1142"/>
      <c r="ROH42" s="1142"/>
      <c r="ROI42" s="1142"/>
      <c r="ROJ42" s="1142"/>
      <c r="ROK42" s="1142"/>
      <c r="ROL42" s="1142"/>
      <c r="ROM42" s="1142"/>
      <c r="RON42" s="1142"/>
      <c r="ROO42" s="1142"/>
      <c r="ROP42" s="1142"/>
      <c r="ROQ42" s="1142"/>
      <c r="ROR42" s="1142"/>
      <c r="ROS42" s="1167"/>
      <c r="ROT42" s="1167"/>
      <c r="ROU42" s="1167"/>
      <c r="ROV42" s="1167"/>
      <c r="ROW42" s="1167"/>
      <c r="ROX42" s="1167"/>
      <c r="ROY42" s="1167"/>
      <c r="ROZ42" s="1167"/>
      <c r="RPA42" s="1167"/>
      <c r="RPB42" s="1142"/>
      <c r="RPC42" s="1142"/>
      <c r="RPD42" s="1142"/>
      <c r="RPE42" s="1142"/>
      <c r="RPF42" s="1142"/>
      <c r="RPG42" s="1142"/>
      <c r="RPH42" s="1142"/>
      <c r="RPI42" s="1142"/>
      <c r="RPJ42" s="1142"/>
      <c r="RPK42" s="1142"/>
      <c r="RPL42" s="1142"/>
      <c r="RPM42" s="1142"/>
      <c r="RPN42" s="1142"/>
      <c r="RPO42" s="1142"/>
      <c r="RPP42" s="1142"/>
      <c r="RPQ42" s="1142"/>
      <c r="RPR42" s="1142"/>
      <c r="RPS42" s="1142"/>
      <c r="RPT42" s="1142"/>
      <c r="RPU42" s="1142"/>
      <c r="RPV42" s="1142"/>
      <c r="RPW42" s="1142"/>
      <c r="RPX42" s="1142"/>
      <c r="RPY42" s="1167"/>
      <c r="RPZ42" s="1167"/>
      <c r="RQA42" s="1167"/>
      <c r="RQB42" s="1167"/>
      <c r="RQC42" s="1167"/>
      <c r="RQD42" s="1167"/>
      <c r="RQE42" s="1167"/>
      <c r="RQF42" s="1167"/>
      <c r="RQG42" s="1167"/>
      <c r="RQH42" s="1142"/>
      <c r="RQI42" s="1142"/>
      <c r="RQJ42" s="1142"/>
      <c r="RQK42" s="1142"/>
      <c r="RQL42" s="1142"/>
      <c r="RQM42" s="1142"/>
      <c r="RQN42" s="1142"/>
      <c r="RQO42" s="1142"/>
      <c r="RQP42" s="1142"/>
      <c r="RQQ42" s="1142"/>
      <c r="RQR42" s="1142"/>
      <c r="RQS42" s="1142"/>
      <c r="RQT42" s="1142"/>
      <c r="RQU42" s="1142"/>
      <c r="RQV42" s="1142"/>
      <c r="RQW42" s="1142"/>
      <c r="RQX42" s="1142"/>
      <c r="RQY42" s="1142"/>
      <c r="RQZ42" s="1142"/>
      <c r="RRA42" s="1142"/>
      <c r="RRB42" s="1142"/>
      <c r="RRC42" s="1142"/>
      <c r="RRD42" s="1142"/>
      <c r="RRE42" s="1167"/>
      <c r="RRF42" s="1167"/>
      <c r="RRG42" s="1167"/>
      <c r="RRH42" s="1167"/>
      <c r="RRI42" s="1167"/>
      <c r="RRJ42" s="1167"/>
      <c r="RRK42" s="1167"/>
      <c r="RRL42" s="1167"/>
      <c r="RRM42" s="1167"/>
      <c r="RRN42" s="1142"/>
      <c r="RRO42" s="1142"/>
      <c r="RRP42" s="1142"/>
      <c r="RRQ42" s="1142"/>
      <c r="RRR42" s="1142"/>
      <c r="RRS42" s="1142"/>
      <c r="RRT42" s="1142"/>
      <c r="RRU42" s="1142"/>
      <c r="RRV42" s="1142"/>
      <c r="RRW42" s="1142"/>
      <c r="RRX42" s="1142"/>
      <c r="RRY42" s="1142"/>
      <c r="RRZ42" s="1142"/>
      <c r="RSA42" s="1142"/>
      <c r="RSB42" s="1142"/>
      <c r="RSC42" s="1142"/>
      <c r="RSD42" s="1142"/>
      <c r="RSE42" s="1142"/>
      <c r="RSF42" s="1142"/>
      <c r="RSG42" s="1142"/>
      <c r="RSH42" s="1142"/>
      <c r="RSI42" s="1142"/>
      <c r="RSJ42" s="1142"/>
      <c r="RSK42" s="1167"/>
      <c r="RSL42" s="1167"/>
      <c r="RSM42" s="1167"/>
      <c r="RSN42" s="1167"/>
      <c r="RSO42" s="1167"/>
      <c r="RSP42" s="1167"/>
      <c r="RSQ42" s="1167"/>
      <c r="RSR42" s="1167"/>
      <c r="RSS42" s="1167"/>
      <c r="RST42" s="1142"/>
      <c r="RSU42" s="1142"/>
      <c r="RSV42" s="1142"/>
      <c r="RSW42" s="1142"/>
      <c r="RSX42" s="1142"/>
      <c r="RSY42" s="1142"/>
      <c r="RSZ42" s="1142"/>
      <c r="RTA42" s="1142"/>
      <c r="RTB42" s="1142"/>
      <c r="RTC42" s="1142"/>
      <c r="RTD42" s="1142"/>
      <c r="RTE42" s="1142"/>
      <c r="RTF42" s="1142"/>
      <c r="RTG42" s="1142"/>
      <c r="RTH42" s="1142"/>
      <c r="RTI42" s="1142"/>
      <c r="RTJ42" s="1142"/>
      <c r="RTK42" s="1142"/>
      <c r="RTL42" s="1142"/>
      <c r="RTM42" s="1142"/>
      <c r="RTN42" s="1142"/>
      <c r="RTO42" s="1142"/>
      <c r="RTP42" s="1142"/>
      <c r="RTQ42" s="1167"/>
      <c r="RTR42" s="1167"/>
      <c r="RTS42" s="1167"/>
      <c r="RTT42" s="1167"/>
      <c r="RTU42" s="1167"/>
      <c r="RTV42" s="1167"/>
      <c r="RTW42" s="1167"/>
      <c r="RTX42" s="1167"/>
      <c r="RTY42" s="1167"/>
      <c r="RTZ42" s="1142"/>
      <c r="RUA42" s="1142"/>
      <c r="RUB42" s="1142"/>
      <c r="RUC42" s="1142"/>
      <c r="RUD42" s="1142"/>
      <c r="RUE42" s="1142"/>
      <c r="RUF42" s="1142"/>
      <c r="RUG42" s="1142"/>
      <c r="RUH42" s="1142"/>
      <c r="RUI42" s="1142"/>
      <c r="RUJ42" s="1142"/>
      <c r="RUK42" s="1142"/>
      <c r="RUL42" s="1142"/>
      <c r="RUM42" s="1142"/>
      <c r="RUN42" s="1142"/>
      <c r="RUO42" s="1142"/>
      <c r="RUP42" s="1142"/>
      <c r="RUQ42" s="1142"/>
      <c r="RUR42" s="1142"/>
      <c r="RUS42" s="1142"/>
      <c r="RUT42" s="1142"/>
      <c r="RUU42" s="1142"/>
      <c r="RUV42" s="1142"/>
      <c r="RUW42" s="1167"/>
      <c r="RUX42" s="1167"/>
      <c r="RUY42" s="1167"/>
      <c r="RUZ42" s="1167"/>
      <c r="RVA42" s="1167"/>
      <c r="RVB42" s="1167"/>
      <c r="RVC42" s="1167"/>
      <c r="RVD42" s="1167"/>
      <c r="RVE42" s="1167"/>
      <c r="RVF42" s="1142"/>
      <c r="RVG42" s="1142"/>
      <c r="RVH42" s="1142"/>
      <c r="RVI42" s="1142"/>
      <c r="RVJ42" s="1142"/>
      <c r="RVK42" s="1142"/>
      <c r="RVL42" s="1142"/>
      <c r="RVM42" s="1142"/>
      <c r="RVN42" s="1142"/>
      <c r="RVO42" s="1142"/>
      <c r="RVP42" s="1142"/>
      <c r="RVQ42" s="1142"/>
      <c r="RVR42" s="1142"/>
      <c r="RVS42" s="1142"/>
      <c r="RVT42" s="1142"/>
      <c r="RVU42" s="1142"/>
      <c r="RVV42" s="1142"/>
      <c r="RVW42" s="1142"/>
      <c r="RVX42" s="1142"/>
      <c r="RVY42" s="1142"/>
      <c r="RVZ42" s="1142"/>
      <c r="RWA42" s="1142"/>
      <c r="RWB42" s="1142"/>
      <c r="RWC42" s="1167"/>
      <c r="RWD42" s="1167"/>
      <c r="RWE42" s="1167"/>
      <c r="RWF42" s="1167"/>
      <c r="RWG42" s="1167"/>
      <c r="RWH42" s="1167"/>
      <c r="RWI42" s="1167"/>
      <c r="RWJ42" s="1167"/>
      <c r="RWK42" s="1167"/>
      <c r="RWL42" s="1142"/>
      <c r="RWM42" s="1142"/>
      <c r="RWN42" s="1142"/>
      <c r="RWO42" s="1142"/>
      <c r="RWP42" s="1142"/>
      <c r="RWQ42" s="1142"/>
      <c r="RWR42" s="1142"/>
      <c r="RWS42" s="1142"/>
      <c r="RWT42" s="1142"/>
      <c r="RWU42" s="1142"/>
      <c r="RWV42" s="1142"/>
      <c r="RWW42" s="1142"/>
      <c r="RWX42" s="1142"/>
      <c r="RWY42" s="1142"/>
      <c r="RWZ42" s="1142"/>
      <c r="RXA42" s="1142"/>
      <c r="RXB42" s="1142"/>
      <c r="RXC42" s="1142"/>
      <c r="RXD42" s="1142"/>
      <c r="RXE42" s="1142"/>
      <c r="RXF42" s="1142"/>
      <c r="RXG42" s="1142"/>
      <c r="RXH42" s="1142"/>
      <c r="RXI42" s="1167"/>
      <c r="RXJ42" s="1167"/>
      <c r="RXK42" s="1167"/>
      <c r="RXL42" s="1167"/>
      <c r="RXM42" s="1167"/>
      <c r="RXN42" s="1167"/>
      <c r="RXO42" s="1167"/>
      <c r="RXP42" s="1167"/>
      <c r="RXQ42" s="1167"/>
      <c r="RXR42" s="1142"/>
      <c r="RXS42" s="1142"/>
      <c r="RXT42" s="1142"/>
      <c r="RXU42" s="1142"/>
      <c r="RXV42" s="1142"/>
      <c r="RXW42" s="1142"/>
      <c r="RXX42" s="1142"/>
      <c r="RXY42" s="1142"/>
      <c r="RXZ42" s="1142"/>
      <c r="RYA42" s="1142"/>
      <c r="RYB42" s="1142"/>
      <c r="RYC42" s="1142"/>
      <c r="RYD42" s="1142"/>
      <c r="RYE42" s="1142"/>
      <c r="RYF42" s="1142"/>
      <c r="RYG42" s="1142"/>
      <c r="RYH42" s="1142"/>
      <c r="RYI42" s="1142"/>
      <c r="RYJ42" s="1142"/>
      <c r="RYK42" s="1142"/>
      <c r="RYL42" s="1142"/>
      <c r="RYM42" s="1142"/>
      <c r="RYN42" s="1142"/>
      <c r="RYO42" s="1167"/>
      <c r="RYP42" s="1167"/>
      <c r="RYQ42" s="1167"/>
      <c r="RYR42" s="1167"/>
      <c r="RYS42" s="1167"/>
      <c r="RYT42" s="1167"/>
      <c r="RYU42" s="1167"/>
      <c r="RYV42" s="1167"/>
      <c r="RYW42" s="1167"/>
      <c r="RYX42" s="1142"/>
      <c r="RYY42" s="1142"/>
      <c r="RYZ42" s="1142"/>
      <c r="RZA42" s="1142"/>
      <c r="RZB42" s="1142"/>
      <c r="RZC42" s="1142"/>
      <c r="RZD42" s="1142"/>
      <c r="RZE42" s="1142"/>
      <c r="RZF42" s="1142"/>
      <c r="RZG42" s="1142"/>
      <c r="RZH42" s="1142"/>
      <c r="RZI42" s="1142"/>
      <c r="RZJ42" s="1142"/>
      <c r="RZK42" s="1142"/>
      <c r="RZL42" s="1142"/>
      <c r="RZM42" s="1142"/>
      <c r="RZN42" s="1142"/>
      <c r="RZO42" s="1142"/>
      <c r="RZP42" s="1142"/>
      <c r="RZQ42" s="1142"/>
      <c r="RZR42" s="1142"/>
      <c r="RZS42" s="1142"/>
      <c r="RZT42" s="1142"/>
      <c r="RZU42" s="1167"/>
      <c r="RZV42" s="1167"/>
      <c r="RZW42" s="1167"/>
      <c r="RZX42" s="1167"/>
      <c r="RZY42" s="1167"/>
      <c r="RZZ42" s="1167"/>
      <c r="SAA42" s="1167"/>
      <c r="SAB42" s="1167"/>
      <c r="SAC42" s="1167"/>
      <c r="SAD42" s="1142"/>
      <c r="SAE42" s="1142"/>
      <c r="SAF42" s="1142"/>
      <c r="SAG42" s="1142"/>
      <c r="SAH42" s="1142"/>
      <c r="SAI42" s="1142"/>
      <c r="SAJ42" s="1142"/>
      <c r="SAK42" s="1142"/>
      <c r="SAL42" s="1142"/>
      <c r="SAM42" s="1142"/>
      <c r="SAN42" s="1142"/>
      <c r="SAO42" s="1142"/>
      <c r="SAP42" s="1142"/>
      <c r="SAQ42" s="1142"/>
      <c r="SAR42" s="1142"/>
      <c r="SAS42" s="1142"/>
      <c r="SAT42" s="1142"/>
      <c r="SAU42" s="1142"/>
      <c r="SAV42" s="1142"/>
      <c r="SAW42" s="1142"/>
      <c r="SAX42" s="1142"/>
      <c r="SAY42" s="1142"/>
      <c r="SAZ42" s="1142"/>
      <c r="SBA42" s="1167"/>
      <c r="SBB42" s="1167"/>
      <c r="SBC42" s="1167"/>
      <c r="SBD42" s="1167"/>
      <c r="SBE42" s="1167"/>
      <c r="SBF42" s="1167"/>
      <c r="SBG42" s="1167"/>
      <c r="SBH42" s="1167"/>
      <c r="SBI42" s="1167"/>
      <c r="SBJ42" s="1142"/>
      <c r="SBK42" s="1142"/>
      <c r="SBL42" s="1142"/>
      <c r="SBM42" s="1142"/>
      <c r="SBN42" s="1142"/>
      <c r="SBO42" s="1142"/>
      <c r="SBP42" s="1142"/>
      <c r="SBQ42" s="1142"/>
      <c r="SBR42" s="1142"/>
      <c r="SBS42" s="1142"/>
      <c r="SBT42" s="1142"/>
      <c r="SBU42" s="1142"/>
      <c r="SBV42" s="1142"/>
      <c r="SBW42" s="1142"/>
      <c r="SBX42" s="1142"/>
      <c r="SBY42" s="1142"/>
      <c r="SBZ42" s="1142"/>
      <c r="SCA42" s="1142"/>
      <c r="SCB42" s="1142"/>
      <c r="SCC42" s="1142"/>
      <c r="SCD42" s="1142"/>
      <c r="SCE42" s="1142"/>
      <c r="SCF42" s="1142"/>
      <c r="SCG42" s="1167"/>
      <c r="SCH42" s="1167"/>
      <c r="SCI42" s="1167"/>
      <c r="SCJ42" s="1167"/>
      <c r="SCK42" s="1167"/>
      <c r="SCL42" s="1167"/>
      <c r="SCM42" s="1167"/>
      <c r="SCN42" s="1167"/>
      <c r="SCO42" s="1167"/>
      <c r="SCP42" s="1142"/>
      <c r="SCQ42" s="1142"/>
      <c r="SCR42" s="1142"/>
      <c r="SCS42" s="1142"/>
      <c r="SCT42" s="1142"/>
      <c r="SCU42" s="1142"/>
      <c r="SCV42" s="1142"/>
      <c r="SCW42" s="1142"/>
      <c r="SCX42" s="1142"/>
      <c r="SCY42" s="1142"/>
      <c r="SCZ42" s="1142"/>
      <c r="SDA42" s="1142"/>
      <c r="SDB42" s="1142"/>
      <c r="SDC42" s="1142"/>
      <c r="SDD42" s="1142"/>
      <c r="SDE42" s="1142"/>
      <c r="SDF42" s="1142"/>
      <c r="SDG42" s="1142"/>
      <c r="SDH42" s="1142"/>
      <c r="SDI42" s="1142"/>
      <c r="SDJ42" s="1142"/>
      <c r="SDK42" s="1142"/>
      <c r="SDL42" s="1142"/>
      <c r="SDM42" s="1167"/>
      <c r="SDN42" s="1167"/>
      <c r="SDO42" s="1167"/>
      <c r="SDP42" s="1167"/>
      <c r="SDQ42" s="1167"/>
      <c r="SDR42" s="1167"/>
      <c r="SDS42" s="1167"/>
      <c r="SDT42" s="1167"/>
      <c r="SDU42" s="1167"/>
      <c r="SDV42" s="1142"/>
      <c r="SDW42" s="1142"/>
      <c r="SDX42" s="1142"/>
      <c r="SDY42" s="1142"/>
      <c r="SDZ42" s="1142"/>
      <c r="SEA42" s="1142"/>
      <c r="SEB42" s="1142"/>
      <c r="SEC42" s="1142"/>
      <c r="SED42" s="1142"/>
      <c r="SEE42" s="1142"/>
      <c r="SEF42" s="1142"/>
      <c r="SEG42" s="1142"/>
      <c r="SEH42" s="1142"/>
      <c r="SEI42" s="1142"/>
      <c r="SEJ42" s="1142"/>
      <c r="SEK42" s="1142"/>
      <c r="SEL42" s="1142"/>
      <c r="SEM42" s="1142"/>
      <c r="SEN42" s="1142"/>
      <c r="SEO42" s="1142"/>
      <c r="SEP42" s="1142"/>
      <c r="SEQ42" s="1142"/>
      <c r="SER42" s="1142"/>
      <c r="SES42" s="1167"/>
      <c r="SET42" s="1167"/>
      <c r="SEU42" s="1167"/>
      <c r="SEV42" s="1167"/>
      <c r="SEW42" s="1167"/>
      <c r="SEX42" s="1167"/>
      <c r="SEY42" s="1167"/>
      <c r="SEZ42" s="1167"/>
      <c r="SFA42" s="1167"/>
      <c r="SFB42" s="1142"/>
      <c r="SFC42" s="1142"/>
      <c r="SFD42" s="1142"/>
      <c r="SFE42" s="1142"/>
      <c r="SFF42" s="1142"/>
      <c r="SFG42" s="1142"/>
      <c r="SFH42" s="1142"/>
      <c r="SFI42" s="1142"/>
      <c r="SFJ42" s="1142"/>
      <c r="SFK42" s="1142"/>
      <c r="SFL42" s="1142"/>
      <c r="SFM42" s="1142"/>
      <c r="SFN42" s="1142"/>
      <c r="SFO42" s="1142"/>
      <c r="SFP42" s="1142"/>
      <c r="SFQ42" s="1142"/>
      <c r="SFR42" s="1142"/>
      <c r="SFS42" s="1142"/>
      <c r="SFT42" s="1142"/>
      <c r="SFU42" s="1142"/>
      <c r="SFV42" s="1142"/>
      <c r="SFW42" s="1142"/>
      <c r="SFX42" s="1142"/>
      <c r="SFY42" s="1167"/>
      <c r="SFZ42" s="1167"/>
      <c r="SGA42" s="1167"/>
      <c r="SGB42" s="1167"/>
      <c r="SGC42" s="1167"/>
      <c r="SGD42" s="1167"/>
      <c r="SGE42" s="1167"/>
      <c r="SGF42" s="1167"/>
      <c r="SGG42" s="1167"/>
      <c r="SGH42" s="1142"/>
      <c r="SGI42" s="1142"/>
      <c r="SGJ42" s="1142"/>
      <c r="SGK42" s="1142"/>
      <c r="SGL42" s="1142"/>
      <c r="SGM42" s="1142"/>
      <c r="SGN42" s="1142"/>
      <c r="SGO42" s="1142"/>
      <c r="SGP42" s="1142"/>
      <c r="SGQ42" s="1142"/>
      <c r="SGR42" s="1142"/>
      <c r="SGS42" s="1142"/>
      <c r="SGT42" s="1142"/>
      <c r="SGU42" s="1142"/>
      <c r="SGV42" s="1142"/>
      <c r="SGW42" s="1142"/>
      <c r="SGX42" s="1142"/>
      <c r="SGY42" s="1142"/>
      <c r="SGZ42" s="1142"/>
      <c r="SHA42" s="1142"/>
      <c r="SHB42" s="1142"/>
      <c r="SHC42" s="1142"/>
      <c r="SHD42" s="1142"/>
      <c r="SHE42" s="1167"/>
      <c r="SHF42" s="1167"/>
      <c r="SHG42" s="1167"/>
      <c r="SHH42" s="1167"/>
      <c r="SHI42" s="1167"/>
      <c r="SHJ42" s="1167"/>
      <c r="SHK42" s="1167"/>
      <c r="SHL42" s="1167"/>
      <c r="SHM42" s="1167"/>
      <c r="SHN42" s="1142"/>
      <c r="SHO42" s="1142"/>
      <c r="SHP42" s="1142"/>
      <c r="SHQ42" s="1142"/>
      <c r="SHR42" s="1142"/>
      <c r="SHS42" s="1142"/>
      <c r="SHT42" s="1142"/>
      <c r="SHU42" s="1142"/>
      <c r="SHV42" s="1142"/>
      <c r="SHW42" s="1142"/>
      <c r="SHX42" s="1142"/>
      <c r="SHY42" s="1142"/>
      <c r="SHZ42" s="1142"/>
      <c r="SIA42" s="1142"/>
      <c r="SIB42" s="1142"/>
      <c r="SIC42" s="1142"/>
      <c r="SID42" s="1142"/>
      <c r="SIE42" s="1142"/>
      <c r="SIF42" s="1142"/>
      <c r="SIG42" s="1142"/>
      <c r="SIH42" s="1142"/>
      <c r="SII42" s="1142"/>
      <c r="SIJ42" s="1142"/>
      <c r="SIK42" s="1167"/>
      <c r="SIL42" s="1167"/>
      <c r="SIM42" s="1167"/>
      <c r="SIN42" s="1167"/>
      <c r="SIO42" s="1167"/>
      <c r="SIP42" s="1167"/>
      <c r="SIQ42" s="1167"/>
      <c r="SIR42" s="1167"/>
      <c r="SIS42" s="1167"/>
      <c r="SIT42" s="1142"/>
      <c r="SIU42" s="1142"/>
      <c r="SIV42" s="1142"/>
      <c r="SIW42" s="1142"/>
      <c r="SIX42" s="1142"/>
      <c r="SIY42" s="1142"/>
      <c r="SIZ42" s="1142"/>
      <c r="SJA42" s="1142"/>
      <c r="SJB42" s="1142"/>
      <c r="SJC42" s="1142"/>
      <c r="SJD42" s="1142"/>
      <c r="SJE42" s="1142"/>
      <c r="SJF42" s="1142"/>
      <c r="SJG42" s="1142"/>
      <c r="SJH42" s="1142"/>
      <c r="SJI42" s="1142"/>
      <c r="SJJ42" s="1142"/>
      <c r="SJK42" s="1142"/>
      <c r="SJL42" s="1142"/>
      <c r="SJM42" s="1142"/>
      <c r="SJN42" s="1142"/>
      <c r="SJO42" s="1142"/>
      <c r="SJP42" s="1142"/>
      <c r="SJQ42" s="1167"/>
      <c r="SJR42" s="1167"/>
      <c r="SJS42" s="1167"/>
      <c r="SJT42" s="1167"/>
      <c r="SJU42" s="1167"/>
      <c r="SJV42" s="1167"/>
      <c r="SJW42" s="1167"/>
      <c r="SJX42" s="1167"/>
      <c r="SJY42" s="1167"/>
      <c r="SJZ42" s="1142"/>
      <c r="SKA42" s="1142"/>
      <c r="SKB42" s="1142"/>
      <c r="SKC42" s="1142"/>
      <c r="SKD42" s="1142"/>
      <c r="SKE42" s="1142"/>
      <c r="SKF42" s="1142"/>
      <c r="SKG42" s="1142"/>
      <c r="SKH42" s="1142"/>
      <c r="SKI42" s="1142"/>
      <c r="SKJ42" s="1142"/>
      <c r="SKK42" s="1142"/>
      <c r="SKL42" s="1142"/>
      <c r="SKM42" s="1142"/>
      <c r="SKN42" s="1142"/>
      <c r="SKO42" s="1142"/>
      <c r="SKP42" s="1142"/>
      <c r="SKQ42" s="1142"/>
      <c r="SKR42" s="1142"/>
      <c r="SKS42" s="1142"/>
      <c r="SKT42" s="1142"/>
      <c r="SKU42" s="1142"/>
      <c r="SKV42" s="1142"/>
      <c r="SKW42" s="1167"/>
      <c r="SKX42" s="1167"/>
      <c r="SKY42" s="1167"/>
      <c r="SKZ42" s="1167"/>
      <c r="SLA42" s="1167"/>
      <c r="SLB42" s="1167"/>
      <c r="SLC42" s="1167"/>
      <c r="SLD42" s="1167"/>
      <c r="SLE42" s="1167"/>
      <c r="SLF42" s="1142"/>
      <c r="SLG42" s="1142"/>
      <c r="SLH42" s="1142"/>
      <c r="SLI42" s="1142"/>
      <c r="SLJ42" s="1142"/>
      <c r="SLK42" s="1142"/>
      <c r="SLL42" s="1142"/>
      <c r="SLM42" s="1142"/>
      <c r="SLN42" s="1142"/>
      <c r="SLO42" s="1142"/>
      <c r="SLP42" s="1142"/>
      <c r="SLQ42" s="1142"/>
      <c r="SLR42" s="1142"/>
      <c r="SLS42" s="1142"/>
      <c r="SLT42" s="1142"/>
      <c r="SLU42" s="1142"/>
      <c r="SLV42" s="1142"/>
      <c r="SLW42" s="1142"/>
      <c r="SLX42" s="1142"/>
      <c r="SLY42" s="1142"/>
      <c r="SLZ42" s="1142"/>
      <c r="SMA42" s="1142"/>
      <c r="SMB42" s="1142"/>
      <c r="SMC42" s="1167"/>
      <c r="SMD42" s="1167"/>
      <c r="SME42" s="1167"/>
      <c r="SMF42" s="1167"/>
      <c r="SMG42" s="1167"/>
      <c r="SMH42" s="1167"/>
      <c r="SMI42" s="1167"/>
      <c r="SMJ42" s="1167"/>
      <c r="SMK42" s="1167"/>
      <c r="SML42" s="1142"/>
      <c r="SMM42" s="1142"/>
      <c r="SMN42" s="1142"/>
      <c r="SMO42" s="1142"/>
      <c r="SMP42" s="1142"/>
      <c r="SMQ42" s="1142"/>
      <c r="SMR42" s="1142"/>
      <c r="SMS42" s="1142"/>
      <c r="SMT42" s="1142"/>
      <c r="SMU42" s="1142"/>
      <c r="SMV42" s="1142"/>
      <c r="SMW42" s="1142"/>
      <c r="SMX42" s="1142"/>
      <c r="SMY42" s="1142"/>
      <c r="SMZ42" s="1142"/>
      <c r="SNA42" s="1142"/>
      <c r="SNB42" s="1142"/>
      <c r="SNC42" s="1142"/>
      <c r="SND42" s="1142"/>
      <c r="SNE42" s="1142"/>
      <c r="SNF42" s="1142"/>
      <c r="SNG42" s="1142"/>
      <c r="SNH42" s="1142"/>
      <c r="SNI42" s="1167"/>
      <c r="SNJ42" s="1167"/>
      <c r="SNK42" s="1167"/>
      <c r="SNL42" s="1167"/>
      <c r="SNM42" s="1167"/>
      <c r="SNN42" s="1167"/>
      <c r="SNO42" s="1167"/>
      <c r="SNP42" s="1167"/>
      <c r="SNQ42" s="1167"/>
      <c r="SNR42" s="1142"/>
      <c r="SNS42" s="1142"/>
      <c r="SNT42" s="1142"/>
      <c r="SNU42" s="1142"/>
      <c r="SNV42" s="1142"/>
      <c r="SNW42" s="1142"/>
      <c r="SNX42" s="1142"/>
      <c r="SNY42" s="1142"/>
      <c r="SNZ42" s="1142"/>
      <c r="SOA42" s="1142"/>
      <c r="SOB42" s="1142"/>
      <c r="SOC42" s="1142"/>
      <c r="SOD42" s="1142"/>
      <c r="SOE42" s="1142"/>
      <c r="SOF42" s="1142"/>
      <c r="SOG42" s="1142"/>
      <c r="SOH42" s="1142"/>
      <c r="SOI42" s="1142"/>
      <c r="SOJ42" s="1142"/>
      <c r="SOK42" s="1142"/>
      <c r="SOL42" s="1142"/>
      <c r="SOM42" s="1142"/>
      <c r="SON42" s="1142"/>
      <c r="SOO42" s="1167"/>
      <c r="SOP42" s="1167"/>
      <c r="SOQ42" s="1167"/>
      <c r="SOR42" s="1167"/>
      <c r="SOS42" s="1167"/>
      <c r="SOT42" s="1167"/>
      <c r="SOU42" s="1167"/>
      <c r="SOV42" s="1167"/>
      <c r="SOW42" s="1167"/>
      <c r="SOX42" s="1142"/>
      <c r="SOY42" s="1142"/>
      <c r="SOZ42" s="1142"/>
      <c r="SPA42" s="1142"/>
      <c r="SPB42" s="1142"/>
      <c r="SPC42" s="1142"/>
      <c r="SPD42" s="1142"/>
      <c r="SPE42" s="1142"/>
      <c r="SPF42" s="1142"/>
      <c r="SPG42" s="1142"/>
      <c r="SPH42" s="1142"/>
      <c r="SPI42" s="1142"/>
      <c r="SPJ42" s="1142"/>
      <c r="SPK42" s="1142"/>
      <c r="SPL42" s="1142"/>
      <c r="SPM42" s="1142"/>
      <c r="SPN42" s="1142"/>
      <c r="SPO42" s="1142"/>
      <c r="SPP42" s="1142"/>
      <c r="SPQ42" s="1142"/>
      <c r="SPR42" s="1142"/>
      <c r="SPS42" s="1142"/>
      <c r="SPT42" s="1142"/>
      <c r="SPU42" s="1167"/>
      <c r="SPV42" s="1167"/>
      <c r="SPW42" s="1167"/>
      <c r="SPX42" s="1167"/>
      <c r="SPY42" s="1167"/>
      <c r="SPZ42" s="1167"/>
      <c r="SQA42" s="1167"/>
      <c r="SQB42" s="1167"/>
      <c r="SQC42" s="1167"/>
      <c r="SQD42" s="1142"/>
      <c r="SQE42" s="1142"/>
      <c r="SQF42" s="1142"/>
      <c r="SQG42" s="1142"/>
      <c r="SQH42" s="1142"/>
      <c r="SQI42" s="1142"/>
      <c r="SQJ42" s="1142"/>
      <c r="SQK42" s="1142"/>
      <c r="SQL42" s="1142"/>
      <c r="SQM42" s="1142"/>
      <c r="SQN42" s="1142"/>
      <c r="SQO42" s="1142"/>
      <c r="SQP42" s="1142"/>
      <c r="SQQ42" s="1142"/>
      <c r="SQR42" s="1142"/>
      <c r="SQS42" s="1142"/>
      <c r="SQT42" s="1142"/>
      <c r="SQU42" s="1142"/>
      <c r="SQV42" s="1142"/>
      <c r="SQW42" s="1142"/>
      <c r="SQX42" s="1142"/>
      <c r="SQY42" s="1142"/>
      <c r="SQZ42" s="1142"/>
      <c r="SRA42" s="1167"/>
      <c r="SRB42" s="1167"/>
      <c r="SRC42" s="1167"/>
      <c r="SRD42" s="1167"/>
      <c r="SRE42" s="1167"/>
      <c r="SRF42" s="1167"/>
      <c r="SRG42" s="1167"/>
      <c r="SRH42" s="1167"/>
      <c r="SRI42" s="1167"/>
      <c r="SRJ42" s="1142"/>
      <c r="SRK42" s="1142"/>
      <c r="SRL42" s="1142"/>
      <c r="SRM42" s="1142"/>
      <c r="SRN42" s="1142"/>
      <c r="SRO42" s="1142"/>
      <c r="SRP42" s="1142"/>
      <c r="SRQ42" s="1142"/>
      <c r="SRR42" s="1142"/>
      <c r="SRS42" s="1142"/>
      <c r="SRT42" s="1142"/>
      <c r="SRU42" s="1142"/>
      <c r="SRV42" s="1142"/>
      <c r="SRW42" s="1142"/>
      <c r="SRX42" s="1142"/>
      <c r="SRY42" s="1142"/>
      <c r="SRZ42" s="1142"/>
      <c r="SSA42" s="1142"/>
      <c r="SSB42" s="1142"/>
      <c r="SSC42" s="1142"/>
      <c r="SSD42" s="1142"/>
      <c r="SSE42" s="1142"/>
      <c r="SSF42" s="1142"/>
      <c r="SSG42" s="1167"/>
      <c r="SSH42" s="1167"/>
      <c r="SSI42" s="1167"/>
      <c r="SSJ42" s="1167"/>
      <c r="SSK42" s="1167"/>
      <c r="SSL42" s="1167"/>
      <c r="SSM42" s="1167"/>
      <c r="SSN42" s="1167"/>
      <c r="SSO42" s="1167"/>
      <c r="SSP42" s="1142"/>
      <c r="SSQ42" s="1142"/>
      <c r="SSR42" s="1142"/>
      <c r="SSS42" s="1142"/>
      <c r="SST42" s="1142"/>
      <c r="SSU42" s="1142"/>
      <c r="SSV42" s="1142"/>
      <c r="SSW42" s="1142"/>
      <c r="SSX42" s="1142"/>
      <c r="SSY42" s="1142"/>
      <c r="SSZ42" s="1142"/>
      <c r="STA42" s="1142"/>
      <c r="STB42" s="1142"/>
      <c r="STC42" s="1142"/>
      <c r="STD42" s="1142"/>
      <c r="STE42" s="1142"/>
      <c r="STF42" s="1142"/>
      <c r="STG42" s="1142"/>
      <c r="STH42" s="1142"/>
      <c r="STI42" s="1142"/>
      <c r="STJ42" s="1142"/>
      <c r="STK42" s="1142"/>
      <c r="STL42" s="1142"/>
      <c r="STM42" s="1167"/>
      <c r="STN42" s="1167"/>
      <c r="STO42" s="1167"/>
      <c r="STP42" s="1167"/>
      <c r="STQ42" s="1167"/>
      <c r="STR42" s="1167"/>
      <c r="STS42" s="1167"/>
      <c r="STT42" s="1167"/>
      <c r="STU42" s="1167"/>
      <c r="STV42" s="1142"/>
      <c r="STW42" s="1142"/>
      <c r="STX42" s="1142"/>
      <c r="STY42" s="1142"/>
      <c r="STZ42" s="1142"/>
      <c r="SUA42" s="1142"/>
      <c r="SUB42" s="1142"/>
      <c r="SUC42" s="1142"/>
      <c r="SUD42" s="1142"/>
      <c r="SUE42" s="1142"/>
      <c r="SUF42" s="1142"/>
      <c r="SUG42" s="1142"/>
      <c r="SUH42" s="1142"/>
      <c r="SUI42" s="1142"/>
      <c r="SUJ42" s="1142"/>
      <c r="SUK42" s="1142"/>
      <c r="SUL42" s="1142"/>
      <c r="SUM42" s="1142"/>
      <c r="SUN42" s="1142"/>
      <c r="SUO42" s="1142"/>
      <c r="SUP42" s="1142"/>
      <c r="SUQ42" s="1142"/>
      <c r="SUR42" s="1142"/>
      <c r="SUS42" s="1167"/>
      <c r="SUT42" s="1167"/>
      <c r="SUU42" s="1167"/>
      <c r="SUV42" s="1167"/>
      <c r="SUW42" s="1167"/>
      <c r="SUX42" s="1167"/>
      <c r="SUY42" s="1167"/>
      <c r="SUZ42" s="1167"/>
      <c r="SVA42" s="1167"/>
      <c r="SVB42" s="1142"/>
      <c r="SVC42" s="1142"/>
      <c r="SVD42" s="1142"/>
      <c r="SVE42" s="1142"/>
      <c r="SVF42" s="1142"/>
      <c r="SVG42" s="1142"/>
      <c r="SVH42" s="1142"/>
      <c r="SVI42" s="1142"/>
      <c r="SVJ42" s="1142"/>
      <c r="SVK42" s="1142"/>
      <c r="SVL42" s="1142"/>
      <c r="SVM42" s="1142"/>
      <c r="SVN42" s="1142"/>
      <c r="SVO42" s="1142"/>
      <c r="SVP42" s="1142"/>
      <c r="SVQ42" s="1142"/>
      <c r="SVR42" s="1142"/>
      <c r="SVS42" s="1142"/>
      <c r="SVT42" s="1142"/>
      <c r="SVU42" s="1142"/>
      <c r="SVV42" s="1142"/>
      <c r="SVW42" s="1142"/>
      <c r="SVX42" s="1142"/>
      <c r="SVY42" s="1167"/>
      <c r="SVZ42" s="1167"/>
      <c r="SWA42" s="1167"/>
      <c r="SWB42" s="1167"/>
      <c r="SWC42" s="1167"/>
      <c r="SWD42" s="1167"/>
      <c r="SWE42" s="1167"/>
      <c r="SWF42" s="1167"/>
      <c r="SWG42" s="1167"/>
      <c r="SWH42" s="1142"/>
      <c r="SWI42" s="1142"/>
      <c r="SWJ42" s="1142"/>
      <c r="SWK42" s="1142"/>
      <c r="SWL42" s="1142"/>
      <c r="SWM42" s="1142"/>
      <c r="SWN42" s="1142"/>
      <c r="SWO42" s="1142"/>
      <c r="SWP42" s="1142"/>
      <c r="SWQ42" s="1142"/>
      <c r="SWR42" s="1142"/>
      <c r="SWS42" s="1142"/>
      <c r="SWT42" s="1142"/>
      <c r="SWU42" s="1142"/>
      <c r="SWV42" s="1142"/>
      <c r="SWW42" s="1142"/>
      <c r="SWX42" s="1142"/>
      <c r="SWY42" s="1142"/>
      <c r="SWZ42" s="1142"/>
      <c r="SXA42" s="1142"/>
      <c r="SXB42" s="1142"/>
      <c r="SXC42" s="1142"/>
      <c r="SXD42" s="1142"/>
      <c r="SXE42" s="1167"/>
      <c r="SXF42" s="1167"/>
      <c r="SXG42" s="1167"/>
      <c r="SXH42" s="1167"/>
      <c r="SXI42" s="1167"/>
      <c r="SXJ42" s="1167"/>
      <c r="SXK42" s="1167"/>
      <c r="SXL42" s="1167"/>
      <c r="SXM42" s="1167"/>
      <c r="SXN42" s="1142"/>
      <c r="SXO42" s="1142"/>
      <c r="SXP42" s="1142"/>
      <c r="SXQ42" s="1142"/>
      <c r="SXR42" s="1142"/>
      <c r="SXS42" s="1142"/>
      <c r="SXT42" s="1142"/>
      <c r="SXU42" s="1142"/>
      <c r="SXV42" s="1142"/>
      <c r="SXW42" s="1142"/>
      <c r="SXX42" s="1142"/>
      <c r="SXY42" s="1142"/>
      <c r="SXZ42" s="1142"/>
      <c r="SYA42" s="1142"/>
      <c r="SYB42" s="1142"/>
      <c r="SYC42" s="1142"/>
      <c r="SYD42" s="1142"/>
      <c r="SYE42" s="1142"/>
      <c r="SYF42" s="1142"/>
      <c r="SYG42" s="1142"/>
      <c r="SYH42" s="1142"/>
      <c r="SYI42" s="1142"/>
      <c r="SYJ42" s="1142"/>
      <c r="SYK42" s="1167"/>
      <c r="SYL42" s="1167"/>
      <c r="SYM42" s="1167"/>
      <c r="SYN42" s="1167"/>
      <c r="SYO42" s="1167"/>
      <c r="SYP42" s="1167"/>
      <c r="SYQ42" s="1167"/>
      <c r="SYR42" s="1167"/>
      <c r="SYS42" s="1167"/>
      <c r="SYT42" s="1142"/>
      <c r="SYU42" s="1142"/>
      <c r="SYV42" s="1142"/>
      <c r="SYW42" s="1142"/>
      <c r="SYX42" s="1142"/>
      <c r="SYY42" s="1142"/>
      <c r="SYZ42" s="1142"/>
      <c r="SZA42" s="1142"/>
      <c r="SZB42" s="1142"/>
      <c r="SZC42" s="1142"/>
      <c r="SZD42" s="1142"/>
      <c r="SZE42" s="1142"/>
      <c r="SZF42" s="1142"/>
      <c r="SZG42" s="1142"/>
      <c r="SZH42" s="1142"/>
      <c r="SZI42" s="1142"/>
      <c r="SZJ42" s="1142"/>
      <c r="SZK42" s="1142"/>
      <c r="SZL42" s="1142"/>
      <c r="SZM42" s="1142"/>
      <c r="SZN42" s="1142"/>
      <c r="SZO42" s="1142"/>
      <c r="SZP42" s="1142"/>
      <c r="SZQ42" s="1167"/>
      <c r="SZR42" s="1167"/>
      <c r="SZS42" s="1167"/>
      <c r="SZT42" s="1167"/>
      <c r="SZU42" s="1167"/>
      <c r="SZV42" s="1167"/>
      <c r="SZW42" s="1167"/>
      <c r="SZX42" s="1167"/>
      <c r="SZY42" s="1167"/>
      <c r="SZZ42" s="1142"/>
      <c r="TAA42" s="1142"/>
      <c r="TAB42" s="1142"/>
      <c r="TAC42" s="1142"/>
      <c r="TAD42" s="1142"/>
      <c r="TAE42" s="1142"/>
      <c r="TAF42" s="1142"/>
      <c r="TAG42" s="1142"/>
      <c r="TAH42" s="1142"/>
      <c r="TAI42" s="1142"/>
      <c r="TAJ42" s="1142"/>
      <c r="TAK42" s="1142"/>
      <c r="TAL42" s="1142"/>
      <c r="TAM42" s="1142"/>
      <c r="TAN42" s="1142"/>
      <c r="TAO42" s="1142"/>
      <c r="TAP42" s="1142"/>
      <c r="TAQ42" s="1142"/>
      <c r="TAR42" s="1142"/>
      <c r="TAS42" s="1142"/>
      <c r="TAT42" s="1142"/>
      <c r="TAU42" s="1142"/>
      <c r="TAV42" s="1142"/>
      <c r="TAW42" s="1167"/>
      <c r="TAX42" s="1167"/>
      <c r="TAY42" s="1167"/>
      <c r="TAZ42" s="1167"/>
      <c r="TBA42" s="1167"/>
      <c r="TBB42" s="1167"/>
      <c r="TBC42" s="1167"/>
      <c r="TBD42" s="1167"/>
      <c r="TBE42" s="1167"/>
      <c r="TBF42" s="1142"/>
      <c r="TBG42" s="1142"/>
      <c r="TBH42" s="1142"/>
      <c r="TBI42" s="1142"/>
      <c r="TBJ42" s="1142"/>
      <c r="TBK42" s="1142"/>
      <c r="TBL42" s="1142"/>
      <c r="TBM42" s="1142"/>
      <c r="TBN42" s="1142"/>
      <c r="TBO42" s="1142"/>
      <c r="TBP42" s="1142"/>
      <c r="TBQ42" s="1142"/>
      <c r="TBR42" s="1142"/>
      <c r="TBS42" s="1142"/>
      <c r="TBT42" s="1142"/>
      <c r="TBU42" s="1142"/>
      <c r="TBV42" s="1142"/>
      <c r="TBW42" s="1142"/>
      <c r="TBX42" s="1142"/>
      <c r="TBY42" s="1142"/>
      <c r="TBZ42" s="1142"/>
      <c r="TCA42" s="1142"/>
      <c r="TCB42" s="1142"/>
      <c r="TCC42" s="1167"/>
      <c r="TCD42" s="1167"/>
      <c r="TCE42" s="1167"/>
      <c r="TCF42" s="1167"/>
      <c r="TCG42" s="1167"/>
      <c r="TCH42" s="1167"/>
      <c r="TCI42" s="1167"/>
      <c r="TCJ42" s="1167"/>
      <c r="TCK42" s="1167"/>
      <c r="TCL42" s="1142"/>
      <c r="TCM42" s="1142"/>
      <c r="TCN42" s="1142"/>
      <c r="TCO42" s="1142"/>
      <c r="TCP42" s="1142"/>
      <c r="TCQ42" s="1142"/>
      <c r="TCR42" s="1142"/>
      <c r="TCS42" s="1142"/>
      <c r="TCT42" s="1142"/>
      <c r="TCU42" s="1142"/>
      <c r="TCV42" s="1142"/>
      <c r="TCW42" s="1142"/>
      <c r="TCX42" s="1142"/>
      <c r="TCY42" s="1142"/>
      <c r="TCZ42" s="1142"/>
      <c r="TDA42" s="1142"/>
      <c r="TDB42" s="1142"/>
      <c r="TDC42" s="1142"/>
      <c r="TDD42" s="1142"/>
      <c r="TDE42" s="1142"/>
      <c r="TDF42" s="1142"/>
      <c r="TDG42" s="1142"/>
      <c r="TDH42" s="1142"/>
      <c r="TDI42" s="1167"/>
      <c r="TDJ42" s="1167"/>
      <c r="TDK42" s="1167"/>
      <c r="TDL42" s="1167"/>
      <c r="TDM42" s="1167"/>
      <c r="TDN42" s="1167"/>
      <c r="TDO42" s="1167"/>
      <c r="TDP42" s="1167"/>
      <c r="TDQ42" s="1167"/>
      <c r="TDR42" s="1142"/>
      <c r="TDS42" s="1142"/>
      <c r="TDT42" s="1142"/>
      <c r="TDU42" s="1142"/>
      <c r="TDV42" s="1142"/>
      <c r="TDW42" s="1142"/>
      <c r="TDX42" s="1142"/>
      <c r="TDY42" s="1142"/>
      <c r="TDZ42" s="1142"/>
      <c r="TEA42" s="1142"/>
      <c r="TEB42" s="1142"/>
      <c r="TEC42" s="1142"/>
      <c r="TED42" s="1142"/>
      <c r="TEE42" s="1142"/>
      <c r="TEF42" s="1142"/>
      <c r="TEG42" s="1142"/>
      <c r="TEH42" s="1142"/>
      <c r="TEI42" s="1142"/>
      <c r="TEJ42" s="1142"/>
      <c r="TEK42" s="1142"/>
      <c r="TEL42" s="1142"/>
      <c r="TEM42" s="1142"/>
      <c r="TEN42" s="1142"/>
      <c r="TEO42" s="1167"/>
      <c r="TEP42" s="1167"/>
      <c r="TEQ42" s="1167"/>
      <c r="TER42" s="1167"/>
      <c r="TES42" s="1167"/>
      <c r="TET42" s="1167"/>
      <c r="TEU42" s="1167"/>
      <c r="TEV42" s="1167"/>
      <c r="TEW42" s="1167"/>
      <c r="TEX42" s="1142"/>
      <c r="TEY42" s="1142"/>
      <c r="TEZ42" s="1142"/>
      <c r="TFA42" s="1142"/>
      <c r="TFB42" s="1142"/>
      <c r="TFC42" s="1142"/>
      <c r="TFD42" s="1142"/>
      <c r="TFE42" s="1142"/>
      <c r="TFF42" s="1142"/>
      <c r="TFG42" s="1142"/>
      <c r="TFH42" s="1142"/>
      <c r="TFI42" s="1142"/>
      <c r="TFJ42" s="1142"/>
      <c r="TFK42" s="1142"/>
      <c r="TFL42" s="1142"/>
      <c r="TFM42" s="1142"/>
      <c r="TFN42" s="1142"/>
      <c r="TFO42" s="1142"/>
      <c r="TFP42" s="1142"/>
      <c r="TFQ42" s="1142"/>
      <c r="TFR42" s="1142"/>
      <c r="TFS42" s="1142"/>
      <c r="TFT42" s="1142"/>
      <c r="TFU42" s="1167"/>
      <c r="TFV42" s="1167"/>
      <c r="TFW42" s="1167"/>
      <c r="TFX42" s="1167"/>
      <c r="TFY42" s="1167"/>
      <c r="TFZ42" s="1167"/>
      <c r="TGA42" s="1167"/>
      <c r="TGB42" s="1167"/>
      <c r="TGC42" s="1167"/>
      <c r="TGD42" s="1142"/>
      <c r="TGE42" s="1142"/>
      <c r="TGF42" s="1142"/>
      <c r="TGG42" s="1142"/>
      <c r="TGH42" s="1142"/>
      <c r="TGI42" s="1142"/>
      <c r="TGJ42" s="1142"/>
      <c r="TGK42" s="1142"/>
      <c r="TGL42" s="1142"/>
      <c r="TGM42" s="1142"/>
      <c r="TGN42" s="1142"/>
      <c r="TGO42" s="1142"/>
      <c r="TGP42" s="1142"/>
      <c r="TGQ42" s="1142"/>
      <c r="TGR42" s="1142"/>
      <c r="TGS42" s="1142"/>
      <c r="TGT42" s="1142"/>
      <c r="TGU42" s="1142"/>
      <c r="TGV42" s="1142"/>
      <c r="TGW42" s="1142"/>
      <c r="TGX42" s="1142"/>
      <c r="TGY42" s="1142"/>
      <c r="TGZ42" s="1142"/>
      <c r="THA42" s="1167"/>
      <c r="THB42" s="1167"/>
      <c r="THC42" s="1167"/>
      <c r="THD42" s="1167"/>
      <c r="THE42" s="1167"/>
      <c r="THF42" s="1167"/>
      <c r="THG42" s="1167"/>
      <c r="THH42" s="1167"/>
      <c r="THI42" s="1167"/>
      <c r="THJ42" s="1142"/>
      <c r="THK42" s="1142"/>
      <c r="THL42" s="1142"/>
      <c r="THM42" s="1142"/>
      <c r="THN42" s="1142"/>
      <c r="THO42" s="1142"/>
      <c r="THP42" s="1142"/>
      <c r="THQ42" s="1142"/>
      <c r="THR42" s="1142"/>
      <c r="THS42" s="1142"/>
      <c r="THT42" s="1142"/>
      <c r="THU42" s="1142"/>
      <c r="THV42" s="1142"/>
      <c r="THW42" s="1142"/>
      <c r="THX42" s="1142"/>
      <c r="THY42" s="1142"/>
      <c r="THZ42" s="1142"/>
      <c r="TIA42" s="1142"/>
      <c r="TIB42" s="1142"/>
      <c r="TIC42" s="1142"/>
      <c r="TID42" s="1142"/>
      <c r="TIE42" s="1142"/>
      <c r="TIF42" s="1142"/>
      <c r="TIG42" s="1167"/>
      <c r="TIH42" s="1167"/>
      <c r="TII42" s="1167"/>
      <c r="TIJ42" s="1167"/>
      <c r="TIK42" s="1167"/>
      <c r="TIL42" s="1167"/>
      <c r="TIM42" s="1167"/>
      <c r="TIN42" s="1167"/>
      <c r="TIO42" s="1167"/>
      <c r="TIP42" s="1142"/>
      <c r="TIQ42" s="1142"/>
      <c r="TIR42" s="1142"/>
      <c r="TIS42" s="1142"/>
      <c r="TIT42" s="1142"/>
      <c r="TIU42" s="1142"/>
      <c r="TIV42" s="1142"/>
      <c r="TIW42" s="1142"/>
      <c r="TIX42" s="1142"/>
      <c r="TIY42" s="1142"/>
      <c r="TIZ42" s="1142"/>
      <c r="TJA42" s="1142"/>
      <c r="TJB42" s="1142"/>
      <c r="TJC42" s="1142"/>
      <c r="TJD42" s="1142"/>
      <c r="TJE42" s="1142"/>
      <c r="TJF42" s="1142"/>
      <c r="TJG42" s="1142"/>
      <c r="TJH42" s="1142"/>
      <c r="TJI42" s="1142"/>
      <c r="TJJ42" s="1142"/>
      <c r="TJK42" s="1142"/>
      <c r="TJL42" s="1142"/>
      <c r="TJM42" s="1167"/>
      <c r="TJN42" s="1167"/>
      <c r="TJO42" s="1167"/>
      <c r="TJP42" s="1167"/>
      <c r="TJQ42" s="1167"/>
      <c r="TJR42" s="1167"/>
      <c r="TJS42" s="1167"/>
      <c r="TJT42" s="1167"/>
      <c r="TJU42" s="1167"/>
      <c r="TJV42" s="1142"/>
      <c r="TJW42" s="1142"/>
      <c r="TJX42" s="1142"/>
      <c r="TJY42" s="1142"/>
      <c r="TJZ42" s="1142"/>
      <c r="TKA42" s="1142"/>
      <c r="TKB42" s="1142"/>
      <c r="TKC42" s="1142"/>
      <c r="TKD42" s="1142"/>
      <c r="TKE42" s="1142"/>
      <c r="TKF42" s="1142"/>
      <c r="TKG42" s="1142"/>
      <c r="TKH42" s="1142"/>
      <c r="TKI42" s="1142"/>
      <c r="TKJ42" s="1142"/>
      <c r="TKK42" s="1142"/>
      <c r="TKL42" s="1142"/>
      <c r="TKM42" s="1142"/>
      <c r="TKN42" s="1142"/>
      <c r="TKO42" s="1142"/>
      <c r="TKP42" s="1142"/>
      <c r="TKQ42" s="1142"/>
      <c r="TKR42" s="1142"/>
      <c r="TKS42" s="1167"/>
      <c r="TKT42" s="1167"/>
      <c r="TKU42" s="1167"/>
      <c r="TKV42" s="1167"/>
      <c r="TKW42" s="1167"/>
      <c r="TKX42" s="1167"/>
      <c r="TKY42" s="1167"/>
      <c r="TKZ42" s="1167"/>
      <c r="TLA42" s="1167"/>
      <c r="TLB42" s="1142"/>
      <c r="TLC42" s="1142"/>
      <c r="TLD42" s="1142"/>
      <c r="TLE42" s="1142"/>
      <c r="TLF42" s="1142"/>
      <c r="TLG42" s="1142"/>
      <c r="TLH42" s="1142"/>
      <c r="TLI42" s="1142"/>
      <c r="TLJ42" s="1142"/>
      <c r="TLK42" s="1142"/>
      <c r="TLL42" s="1142"/>
      <c r="TLM42" s="1142"/>
      <c r="TLN42" s="1142"/>
      <c r="TLO42" s="1142"/>
      <c r="TLP42" s="1142"/>
      <c r="TLQ42" s="1142"/>
      <c r="TLR42" s="1142"/>
      <c r="TLS42" s="1142"/>
      <c r="TLT42" s="1142"/>
      <c r="TLU42" s="1142"/>
      <c r="TLV42" s="1142"/>
      <c r="TLW42" s="1142"/>
      <c r="TLX42" s="1142"/>
      <c r="TLY42" s="1167"/>
      <c r="TLZ42" s="1167"/>
      <c r="TMA42" s="1167"/>
      <c r="TMB42" s="1167"/>
      <c r="TMC42" s="1167"/>
      <c r="TMD42" s="1167"/>
      <c r="TME42" s="1167"/>
      <c r="TMF42" s="1167"/>
      <c r="TMG42" s="1167"/>
      <c r="TMH42" s="1142"/>
      <c r="TMI42" s="1142"/>
      <c r="TMJ42" s="1142"/>
      <c r="TMK42" s="1142"/>
      <c r="TML42" s="1142"/>
      <c r="TMM42" s="1142"/>
      <c r="TMN42" s="1142"/>
      <c r="TMO42" s="1142"/>
      <c r="TMP42" s="1142"/>
      <c r="TMQ42" s="1142"/>
      <c r="TMR42" s="1142"/>
      <c r="TMS42" s="1142"/>
      <c r="TMT42" s="1142"/>
      <c r="TMU42" s="1142"/>
      <c r="TMV42" s="1142"/>
      <c r="TMW42" s="1142"/>
      <c r="TMX42" s="1142"/>
      <c r="TMY42" s="1142"/>
      <c r="TMZ42" s="1142"/>
      <c r="TNA42" s="1142"/>
      <c r="TNB42" s="1142"/>
      <c r="TNC42" s="1142"/>
      <c r="TND42" s="1142"/>
      <c r="TNE42" s="1167"/>
      <c r="TNF42" s="1167"/>
      <c r="TNG42" s="1167"/>
      <c r="TNH42" s="1167"/>
      <c r="TNI42" s="1167"/>
      <c r="TNJ42" s="1167"/>
      <c r="TNK42" s="1167"/>
      <c r="TNL42" s="1167"/>
      <c r="TNM42" s="1167"/>
      <c r="TNN42" s="1142"/>
      <c r="TNO42" s="1142"/>
      <c r="TNP42" s="1142"/>
      <c r="TNQ42" s="1142"/>
      <c r="TNR42" s="1142"/>
      <c r="TNS42" s="1142"/>
      <c r="TNT42" s="1142"/>
      <c r="TNU42" s="1142"/>
      <c r="TNV42" s="1142"/>
      <c r="TNW42" s="1142"/>
      <c r="TNX42" s="1142"/>
      <c r="TNY42" s="1142"/>
      <c r="TNZ42" s="1142"/>
      <c r="TOA42" s="1142"/>
      <c r="TOB42" s="1142"/>
      <c r="TOC42" s="1142"/>
      <c r="TOD42" s="1142"/>
      <c r="TOE42" s="1142"/>
      <c r="TOF42" s="1142"/>
      <c r="TOG42" s="1142"/>
      <c r="TOH42" s="1142"/>
      <c r="TOI42" s="1142"/>
      <c r="TOJ42" s="1142"/>
      <c r="TOK42" s="1167"/>
      <c r="TOL42" s="1167"/>
      <c r="TOM42" s="1167"/>
      <c r="TON42" s="1167"/>
      <c r="TOO42" s="1167"/>
      <c r="TOP42" s="1167"/>
      <c r="TOQ42" s="1167"/>
      <c r="TOR42" s="1167"/>
      <c r="TOS42" s="1167"/>
      <c r="TOT42" s="1142"/>
      <c r="TOU42" s="1142"/>
      <c r="TOV42" s="1142"/>
      <c r="TOW42" s="1142"/>
      <c r="TOX42" s="1142"/>
      <c r="TOY42" s="1142"/>
      <c r="TOZ42" s="1142"/>
      <c r="TPA42" s="1142"/>
      <c r="TPB42" s="1142"/>
      <c r="TPC42" s="1142"/>
      <c r="TPD42" s="1142"/>
      <c r="TPE42" s="1142"/>
      <c r="TPF42" s="1142"/>
      <c r="TPG42" s="1142"/>
      <c r="TPH42" s="1142"/>
      <c r="TPI42" s="1142"/>
      <c r="TPJ42" s="1142"/>
      <c r="TPK42" s="1142"/>
      <c r="TPL42" s="1142"/>
      <c r="TPM42" s="1142"/>
      <c r="TPN42" s="1142"/>
      <c r="TPO42" s="1142"/>
      <c r="TPP42" s="1142"/>
      <c r="TPQ42" s="1167"/>
      <c r="TPR42" s="1167"/>
      <c r="TPS42" s="1167"/>
      <c r="TPT42" s="1167"/>
      <c r="TPU42" s="1167"/>
      <c r="TPV42" s="1167"/>
      <c r="TPW42" s="1167"/>
      <c r="TPX42" s="1167"/>
      <c r="TPY42" s="1167"/>
      <c r="TPZ42" s="1142"/>
      <c r="TQA42" s="1142"/>
      <c r="TQB42" s="1142"/>
      <c r="TQC42" s="1142"/>
      <c r="TQD42" s="1142"/>
      <c r="TQE42" s="1142"/>
      <c r="TQF42" s="1142"/>
      <c r="TQG42" s="1142"/>
      <c r="TQH42" s="1142"/>
      <c r="TQI42" s="1142"/>
      <c r="TQJ42" s="1142"/>
      <c r="TQK42" s="1142"/>
      <c r="TQL42" s="1142"/>
      <c r="TQM42" s="1142"/>
      <c r="TQN42" s="1142"/>
      <c r="TQO42" s="1142"/>
      <c r="TQP42" s="1142"/>
      <c r="TQQ42" s="1142"/>
      <c r="TQR42" s="1142"/>
      <c r="TQS42" s="1142"/>
      <c r="TQT42" s="1142"/>
      <c r="TQU42" s="1142"/>
      <c r="TQV42" s="1142"/>
      <c r="TQW42" s="1167"/>
      <c r="TQX42" s="1167"/>
      <c r="TQY42" s="1167"/>
      <c r="TQZ42" s="1167"/>
      <c r="TRA42" s="1167"/>
      <c r="TRB42" s="1167"/>
      <c r="TRC42" s="1167"/>
      <c r="TRD42" s="1167"/>
      <c r="TRE42" s="1167"/>
      <c r="TRF42" s="1142"/>
      <c r="TRG42" s="1142"/>
      <c r="TRH42" s="1142"/>
      <c r="TRI42" s="1142"/>
      <c r="TRJ42" s="1142"/>
      <c r="TRK42" s="1142"/>
      <c r="TRL42" s="1142"/>
      <c r="TRM42" s="1142"/>
      <c r="TRN42" s="1142"/>
      <c r="TRO42" s="1142"/>
      <c r="TRP42" s="1142"/>
      <c r="TRQ42" s="1142"/>
      <c r="TRR42" s="1142"/>
      <c r="TRS42" s="1142"/>
      <c r="TRT42" s="1142"/>
      <c r="TRU42" s="1142"/>
      <c r="TRV42" s="1142"/>
      <c r="TRW42" s="1142"/>
      <c r="TRX42" s="1142"/>
      <c r="TRY42" s="1142"/>
      <c r="TRZ42" s="1142"/>
      <c r="TSA42" s="1142"/>
      <c r="TSB42" s="1142"/>
      <c r="TSC42" s="1167"/>
      <c r="TSD42" s="1167"/>
      <c r="TSE42" s="1167"/>
      <c r="TSF42" s="1167"/>
      <c r="TSG42" s="1167"/>
      <c r="TSH42" s="1167"/>
      <c r="TSI42" s="1167"/>
      <c r="TSJ42" s="1167"/>
      <c r="TSK42" s="1167"/>
      <c r="TSL42" s="1142"/>
      <c r="TSM42" s="1142"/>
      <c r="TSN42" s="1142"/>
      <c r="TSO42" s="1142"/>
      <c r="TSP42" s="1142"/>
      <c r="TSQ42" s="1142"/>
      <c r="TSR42" s="1142"/>
      <c r="TSS42" s="1142"/>
      <c r="TST42" s="1142"/>
      <c r="TSU42" s="1142"/>
      <c r="TSV42" s="1142"/>
      <c r="TSW42" s="1142"/>
      <c r="TSX42" s="1142"/>
      <c r="TSY42" s="1142"/>
      <c r="TSZ42" s="1142"/>
      <c r="TTA42" s="1142"/>
      <c r="TTB42" s="1142"/>
      <c r="TTC42" s="1142"/>
      <c r="TTD42" s="1142"/>
      <c r="TTE42" s="1142"/>
      <c r="TTF42" s="1142"/>
      <c r="TTG42" s="1142"/>
      <c r="TTH42" s="1142"/>
      <c r="TTI42" s="1167"/>
      <c r="TTJ42" s="1167"/>
      <c r="TTK42" s="1167"/>
      <c r="TTL42" s="1167"/>
      <c r="TTM42" s="1167"/>
      <c r="TTN42" s="1167"/>
      <c r="TTO42" s="1167"/>
      <c r="TTP42" s="1167"/>
      <c r="TTQ42" s="1167"/>
      <c r="TTR42" s="1142"/>
      <c r="TTS42" s="1142"/>
      <c r="TTT42" s="1142"/>
      <c r="TTU42" s="1142"/>
      <c r="TTV42" s="1142"/>
      <c r="TTW42" s="1142"/>
      <c r="TTX42" s="1142"/>
      <c r="TTY42" s="1142"/>
      <c r="TTZ42" s="1142"/>
      <c r="TUA42" s="1142"/>
      <c r="TUB42" s="1142"/>
      <c r="TUC42" s="1142"/>
      <c r="TUD42" s="1142"/>
      <c r="TUE42" s="1142"/>
      <c r="TUF42" s="1142"/>
      <c r="TUG42" s="1142"/>
      <c r="TUH42" s="1142"/>
      <c r="TUI42" s="1142"/>
      <c r="TUJ42" s="1142"/>
      <c r="TUK42" s="1142"/>
      <c r="TUL42" s="1142"/>
      <c r="TUM42" s="1142"/>
      <c r="TUN42" s="1142"/>
      <c r="TUO42" s="1167"/>
      <c r="TUP42" s="1167"/>
      <c r="TUQ42" s="1167"/>
      <c r="TUR42" s="1167"/>
      <c r="TUS42" s="1167"/>
      <c r="TUT42" s="1167"/>
      <c r="TUU42" s="1167"/>
      <c r="TUV42" s="1167"/>
      <c r="TUW42" s="1167"/>
      <c r="TUX42" s="1142"/>
      <c r="TUY42" s="1142"/>
      <c r="TUZ42" s="1142"/>
      <c r="TVA42" s="1142"/>
      <c r="TVB42" s="1142"/>
      <c r="TVC42" s="1142"/>
      <c r="TVD42" s="1142"/>
      <c r="TVE42" s="1142"/>
      <c r="TVF42" s="1142"/>
      <c r="TVG42" s="1142"/>
      <c r="TVH42" s="1142"/>
      <c r="TVI42" s="1142"/>
      <c r="TVJ42" s="1142"/>
      <c r="TVK42" s="1142"/>
      <c r="TVL42" s="1142"/>
      <c r="TVM42" s="1142"/>
      <c r="TVN42" s="1142"/>
      <c r="TVO42" s="1142"/>
      <c r="TVP42" s="1142"/>
      <c r="TVQ42" s="1142"/>
      <c r="TVR42" s="1142"/>
      <c r="TVS42" s="1142"/>
      <c r="TVT42" s="1142"/>
      <c r="TVU42" s="1167"/>
      <c r="TVV42" s="1167"/>
      <c r="TVW42" s="1167"/>
      <c r="TVX42" s="1167"/>
      <c r="TVY42" s="1167"/>
      <c r="TVZ42" s="1167"/>
      <c r="TWA42" s="1167"/>
      <c r="TWB42" s="1167"/>
      <c r="TWC42" s="1167"/>
      <c r="TWD42" s="1142"/>
      <c r="TWE42" s="1142"/>
      <c r="TWF42" s="1142"/>
      <c r="TWG42" s="1142"/>
      <c r="TWH42" s="1142"/>
      <c r="TWI42" s="1142"/>
      <c r="TWJ42" s="1142"/>
      <c r="TWK42" s="1142"/>
      <c r="TWL42" s="1142"/>
      <c r="TWM42" s="1142"/>
      <c r="TWN42" s="1142"/>
      <c r="TWO42" s="1142"/>
      <c r="TWP42" s="1142"/>
      <c r="TWQ42" s="1142"/>
      <c r="TWR42" s="1142"/>
      <c r="TWS42" s="1142"/>
      <c r="TWT42" s="1142"/>
      <c r="TWU42" s="1142"/>
      <c r="TWV42" s="1142"/>
      <c r="TWW42" s="1142"/>
      <c r="TWX42" s="1142"/>
      <c r="TWY42" s="1142"/>
      <c r="TWZ42" s="1142"/>
      <c r="TXA42" s="1167"/>
      <c r="TXB42" s="1167"/>
      <c r="TXC42" s="1167"/>
      <c r="TXD42" s="1167"/>
      <c r="TXE42" s="1167"/>
      <c r="TXF42" s="1167"/>
      <c r="TXG42" s="1167"/>
      <c r="TXH42" s="1167"/>
      <c r="TXI42" s="1167"/>
      <c r="TXJ42" s="1142"/>
      <c r="TXK42" s="1142"/>
      <c r="TXL42" s="1142"/>
      <c r="TXM42" s="1142"/>
      <c r="TXN42" s="1142"/>
      <c r="TXO42" s="1142"/>
      <c r="TXP42" s="1142"/>
      <c r="TXQ42" s="1142"/>
      <c r="TXR42" s="1142"/>
      <c r="TXS42" s="1142"/>
      <c r="TXT42" s="1142"/>
      <c r="TXU42" s="1142"/>
      <c r="TXV42" s="1142"/>
      <c r="TXW42" s="1142"/>
      <c r="TXX42" s="1142"/>
      <c r="TXY42" s="1142"/>
      <c r="TXZ42" s="1142"/>
      <c r="TYA42" s="1142"/>
      <c r="TYB42" s="1142"/>
      <c r="TYC42" s="1142"/>
      <c r="TYD42" s="1142"/>
      <c r="TYE42" s="1142"/>
      <c r="TYF42" s="1142"/>
      <c r="TYG42" s="1167"/>
      <c r="TYH42" s="1167"/>
      <c r="TYI42" s="1167"/>
      <c r="TYJ42" s="1167"/>
      <c r="TYK42" s="1167"/>
      <c r="TYL42" s="1167"/>
      <c r="TYM42" s="1167"/>
      <c r="TYN42" s="1167"/>
      <c r="TYO42" s="1167"/>
      <c r="TYP42" s="1142"/>
      <c r="TYQ42" s="1142"/>
      <c r="TYR42" s="1142"/>
      <c r="TYS42" s="1142"/>
      <c r="TYT42" s="1142"/>
      <c r="TYU42" s="1142"/>
      <c r="TYV42" s="1142"/>
      <c r="TYW42" s="1142"/>
      <c r="TYX42" s="1142"/>
      <c r="TYY42" s="1142"/>
      <c r="TYZ42" s="1142"/>
      <c r="TZA42" s="1142"/>
      <c r="TZB42" s="1142"/>
      <c r="TZC42" s="1142"/>
      <c r="TZD42" s="1142"/>
      <c r="TZE42" s="1142"/>
      <c r="TZF42" s="1142"/>
      <c r="TZG42" s="1142"/>
      <c r="TZH42" s="1142"/>
      <c r="TZI42" s="1142"/>
      <c r="TZJ42" s="1142"/>
      <c r="TZK42" s="1142"/>
      <c r="TZL42" s="1142"/>
      <c r="TZM42" s="1167"/>
      <c r="TZN42" s="1167"/>
      <c r="TZO42" s="1167"/>
      <c r="TZP42" s="1167"/>
      <c r="TZQ42" s="1167"/>
      <c r="TZR42" s="1167"/>
      <c r="TZS42" s="1167"/>
      <c r="TZT42" s="1167"/>
      <c r="TZU42" s="1167"/>
      <c r="TZV42" s="1142"/>
      <c r="TZW42" s="1142"/>
      <c r="TZX42" s="1142"/>
      <c r="TZY42" s="1142"/>
      <c r="TZZ42" s="1142"/>
      <c r="UAA42" s="1142"/>
      <c r="UAB42" s="1142"/>
      <c r="UAC42" s="1142"/>
      <c r="UAD42" s="1142"/>
      <c r="UAE42" s="1142"/>
      <c r="UAF42" s="1142"/>
      <c r="UAG42" s="1142"/>
      <c r="UAH42" s="1142"/>
      <c r="UAI42" s="1142"/>
      <c r="UAJ42" s="1142"/>
      <c r="UAK42" s="1142"/>
      <c r="UAL42" s="1142"/>
      <c r="UAM42" s="1142"/>
      <c r="UAN42" s="1142"/>
      <c r="UAO42" s="1142"/>
      <c r="UAP42" s="1142"/>
      <c r="UAQ42" s="1142"/>
      <c r="UAR42" s="1142"/>
      <c r="UAS42" s="1167"/>
      <c r="UAT42" s="1167"/>
      <c r="UAU42" s="1167"/>
      <c r="UAV42" s="1167"/>
      <c r="UAW42" s="1167"/>
      <c r="UAX42" s="1167"/>
      <c r="UAY42" s="1167"/>
      <c r="UAZ42" s="1167"/>
      <c r="UBA42" s="1167"/>
      <c r="UBB42" s="1142"/>
      <c r="UBC42" s="1142"/>
      <c r="UBD42" s="1142"/>
      <c r="UBE42" s="1142"/>
      <c r="UBF42" s="1142"/>
      <c r="UBG42" s="1142"/>
      <c r="UBH42" s="1142"/>
      <c r="UBI42" s="1142"/>
      <c r="UBJ42" s="1142"/>
      <c r="UBK42" s="1142"/>
      <c r="UBL42" s="1142"/>
      <c r="UBM42" s="1142"/>
      <c r="UBN42" s="1142"/>
      <c r="UBO42" s="1142"/>
      <c r="UBP42" s="1142"/>
      <c r="UBQ42" s="1142"/>
      <c r="UBR42" s="1142"/>
      <c r="UBS42" s="1142"/>
      <c r="UBT42" s="1142"/>
      <c r="UBU42" s="1142"/>
      <c r="UBV42" s="1142"/>
      <c r="UBW42" s="1142"/>
      <c r="UBX42" s="1142"/>
      <c r="UBY42" s="1167"/>
      <c r="UBZ42" s="1167"/>
      <c r="UCA42" s="1167"/>
      <c r="UCB42" s="1167"/>
      <c r="UCC42" s="1167"/>
      <c r="UCD42" s="1167"/>
      <c r="UCE42" s="1167"/>
      <c r="UCF42" s="1167"/>
      <c r="UCG42" s="1167"/>
      <c r="UCH42" s="1142"/>
      <c r="UCI42" s="1142"/>
      <c r="UCJ42" s="1142"/>
      <c r="UCK42" s="1142"/>
      <c r="UCL42" s="1142"/>
      <c r="UCM42" s="1142"/>
      <c r="UCN42" s="1142"/>
      <c r="UCO42" s="1142"/>
      <c r="UCP42" s="1142"/>
      <c r="UCQ42" s="1142"/>
      <c r="UCR42" s="1142"/>
      <c r="UCS42" s="1142"/>
      <c r="UCT42" s="1142"/>
      <c r="UCU42" s="1142"/>
      <c r="UCV42" s="1142"/>
      <c r="UCW42" s="1142"/>
      <c r="UCX42" s="1142"/>
      <c r="UCY42" s="1142"/>
      <c r="UCZ42" s="1142"/>
      <c r="UDA42" s="1142"/>
      <c r="UDB42" s="1142"/>
      <c r="UDC42" s="1142"/>
      <c r="UDD42" s="1142"/>
      <c r="UDE42" s="1167"/>
      <c r="UDF42" s="1167"/>
      <c r="UDG42" s="1167"/>
      <c r="UDH42" s="1167"/>
      <c r="UDI42" s="1167"/>
      <c r="UDJ42" s="1167"/>
      <c r="UDK42" s="1167"/>
      <c r="UDL42" s="1167"/>
      <c r="UDM42" s="1167"/>
      <c r="UDN42" s="1142"/>
      <c r="UDO42" s="1142"/>
      <c r="UDP42" s="1142"/>
      <c r="UDQ42" s="1142"/>
      <c r="UDR42" s="1142"/>
      <c r="UDS42" s="1142"/>
      <c r="UDT42" s="1142"/>
      <c r="UDU42" s="1142"/>
      <c r="UDV42" s="1142"/>
      <c r="UDW42" s="1142"/>
      <c r="UDX42" s="1142"/>
      <c r="UDY42" s="1142"/>
      <c r="UDZ42" s="1142"/>
      <c r="UEA42" s="1142"/>
      <c r="UEB42" s="1142"/>
      <c r="UEC42" s="1142"/>
      <c r="UED42" s="1142"/>
      <c r="UEE42" s="1142"/>
      <c r="UEF42" s="1142"/>
      <c r="UEG42" s="1142"/>
      <c r="UEH42" s="1142"/>
      <c r="UEI42" s="1142"/>
      <c r="UEJ42" s="1142"/>
      <c r="UEK42" s="1167"/>
      <c r="UEL42" s="1167"/>
      <c r="UEM42" s="1167"/>
      <c r="UEN42" s="1167"/>
      <c r="UEO42" s="1167"/>
      <c r="UEP42" s="1167"/>
      <c r="UEQ42" s="1167"/>
      <c r="UER42" s="1167"/>
      <c r="UES42" s="1167"/>
      <c r="UET42" s="1142"/>
      <c r="UEU42" s="1142"/>
      <c r="UEV42" s="1142"/>
      <c r="UEW42" s="1142"/>
      <c r="UEX42" s="1142"/>
      <c r="UEY42" s="1142"/>
      <c r="UEZ42" s="1142"/>
      <c r="UFA42" s="1142"/>
      <c r="UFB42" s="1142"/>
      <c r="UFC42" s="1142"/>
      <c r="UFD42" s="1142"/>
      <c r="UFE42" s="1142"/>
      <c r="UFF42" s="1142"/>
      <c r="UFG42" s="1142"/>
      <c r="UFH42" s="1142"/>
      <c r="UFI42" s="1142"/>
      <c r="UFJ42" s="1142"/>
      <c r="UFK42" s="1142"/>
      <c r="UFL42" s="1142"/>
      <c r="UFM42" s="1142"/>
      <c r="UFN42" s="1142"/>
      <c r="UFO42" s="1142"/>
      <c r="UFP42" s="1142"/>
      <c r="UFQ42" s="1167"/>
      <c r="UFR42" s="1167"/>
      <c r="UFS42" s="1167"/>
      <c r="UFT42" s="1167"/>
      <c r="UFU42" s="1167"/>
      <c r="UFV42" s="1167"/>
      <c r="UFW42" s="1167"/>
      <c r="UFX42" s="1167"/>
      <c r="UFY42" s="1167"/>
      <c r="UFZ42" s="1142"/>
      <c r="UGA42" s="1142"/>
      <c r="UGB42" s="1142"/>
      <c r="UGC42" s="1142"/>
      <c r="UGD42" s="1142"/>
      <c r="UGE42" s="1142"/>
      <c r="UGF42" s="1142"/>
      <c r="UGG42" s="1142"/>
      <c r="UGH42" s="1142"/>
      <c r="UGI42" s="1142"/>
      <c r="UGJ42" s="1142"/>
      <c r="UGK42" s="1142"/>
      <c r="UGL42" s="1142"/>
      <c r="UGM42" s="1142"/>
      <c r="UGN42" s="1142"/>
      <c r="UGO42" s="1142"/>
      <c r="UGP42" s="1142"/>
      <c r="UGQ42" s="1142"/>
      <c r="UGR42" s="1142"/>
      <c r="UGS42" s="1142"/>
      <c r="UGT42" s="1142"/>
      <c r="UGU42" s="1142"/>
      <c r="UGV42" s="1142"/>
      <c r="UGW42" s="1167"/>
      <c r="UGX42" s="1167"/>
      <c r="UGY42" s="1167"/>
      <c r="UGZ42" s="1167"/>
      <c r="UHA42" s="1167"/>
      <c r="UHB42" s="1167"/>
      <c r="UHC42" s="1167"/>
      <c r="UHD42" s="1167"/>
      <c r="UHE42" s="1167"/>
      <c r="UHF42" s="1142"/>
      <c r="UHG42" s="1142"/>
      <c r="UHH42" s="1142"/>
      <c r="UHI42" s="1142"/>
      <c r="UHJ42" s="1142"/>
      <c r="UHK42" s="1142"/>
      <c r="UHL42" s="1142"/>
      <c r="UHM42" s="1142"/>
      <c r="UHN42" s="1142"/>
      <c r="UHO42" s="1142"/>
      <c r="UHP42" s="1142"/>
      <c r="UHQ42" s="1142"/>
      <c r="UHR42" s="1142"/>
      <c r="UHS42" s="1142"/>
      <c r="UHT42" s="1142"/>
      <c r="UHU42" s="1142"/>
      <c r="UHV42" s="1142"/>
      <c r="UHW42" s="1142"/>
      <c r="UHX42" s="1142"/>
      <c r="UHY42" s="1142"/>
      <c r="UHZ42" s="1142"/>
      <c r="UIA42" s="1142"/>
      <c r="UIB42" s="1142"/>
      <c r="UIC42" s="1167"/>
      <c r="UID42" s="1167"/>
      <c r="UIE42" s="1167"/>
      <c r="UIF42" s="1167"/>
      <c r="UIG42" s="1167"/>
      <c r="UIH42" s="1167"/>
      <c r="UII42" s="1167"/>
      <c r="UIJ42" s="1167"/>
      <c r="UIK42" s="1167"/>
      <c r="UIL42" s="1142"/>
      <c r="UIM42" s="1142"/>
      <c r="UIN42" s="1142"/>
      <c r="UIO42" s="1142"/>
      <c r="UIP42" s="1142"/>
      <c r="UIQ42" s="1142"/>
      <c r="UIR42" s="1142"/>
      <c r="UIS42" s="1142"/>
      <c r="UIT42" s="1142"/>
      <c r="UIU42" s="1142"/>
      <c r="UIV42" s="1142"/>
      <c r="UIW42" s="1142"/>
      <c r="UIX42" s="1142"/>
      <c r="UIY42" s="1142"/>
      <c r="UIZ42" s="1142"/>
      <c r="UJA42" s="1142"/>
      <c r="UJB42" s="1142"/>
      <c r="UJC42" s="1142"/>
      <c r="UJD42" s="1142"/>
      <c r="UJE42" s="1142"/>
      <c r="UJF42" s="1142"/>
      <c r="UJG42" s="1142"/>
      <c r="UJH42" s="1142"/>
      <c r="UJI42" s="1167"/>
      <c r="UJJ42" s="1167"/>
      <c r="UJK42" s="1167"/>
      <c r="UJL42" s="1167"/>
      <c r="UJM42" s="1167"/>
      <c r="UJN42" s="1167"/>
      <c r="UJO42" s="1167"/>
      <c r="UJP42" s="1167"/>
      <c r="UJQ42" s="1167"/>
      <c r="UJR42" s="1142"/>
      <c r="UJS42" s="1142"/>
      <c r="UJT42" s="1142"/>
      <c r="UJU42" s="1142"/>
      <c r="UJV42" s="1142"/>
      <c r="UJW42" s="1142"/>
      <c r="UJX42" s="1142"/>
      <c r="UJY42" s="1142"/>
      <c r="UJZ42" s="1142"/>
      <c r="UKA42" s="1142"/>
      <c r="UKB42" s="1142"/>
      <c r="UKC42" s="1142"/>
      <c r="UKD42" s="1142"/>
      <c r="UKE42" s="1142"/>
      <c r="UKF42" s="1142"/>
      <c r="UKG42" s="1142"/>
      <c r="UKH42" s="1142"/>
      <c r="UKI42" s="1142"/>
      <c r="UKJ42" s="1142"/>
      <c r="UKK42" s="1142"/>
      <c r="UKL42" s="1142"/>
      <c r="UKM42" s="1142"/>
      <c r="UKN42" s="1142"/>
      <c r="UKO42" s="1167"/>
      <c r="UKP42" s="1167"/>
      <c r="UKQ42" s="1167"/>
      <c r="UKR42" s="1167"/>
      <c r="UKS42" s="1167"/>
      <c r="UKT42" s="1167"/>
      <c r="UKU42" s="1167"/>
      <c r="UKV42" s="1167"/>
      <c r="UKW42" s="1167"/>
      <c r="UKX42" s="1142"/>
      <c r="UKY42" s="1142"/>
      <c r="UKZ42" s="1142"/>
      <c r="ULA42" s="1142"/>
      <c r="ULB42" s="1142"/>
      <c r="ULC42" s="1142"/>
      <c r="ULD42" s="1142"/>
      <c r="ULE42" s="1142"/>
      <c r="ULF42" s="1142"/>
      <c r="ULG42" s="1142"/>
      <c r="ULH42" s="1142"/>
      <c r="ULI42" s="1142"/>
      <c r="ULJ42" s="1142"/>
      <c r="ULK42" s="1142"/>
      <c r="ULL42" s="1142"/>
      <c r="ULM42" s="1142"/>
      <c r="ULN42" s="1142"/>
      <c r="ULO42" s="1142"/>
      <c r="ULP42" s="1142"/>
      <c r="ULQ42" s="1142"/>
      <c r="ULR42" s="1142"/>
      <c r="ULS42" s="1142"/>
      <c r="ULT42" s="1142"/>
      <c r="ULU42" s="1167"/>
      <c r="ULV42" s="1167"/>
      <c r="ULW42" s="1167"/>
      <c r="ULX42" s="1167"/>
      <c r="ULY42" s="1167"/>
      <c r="ULZ42" s="1167"/>
      <c r="UMA42" s="1167"/>
      <c r="UMB42" s="1167"/>
      <c r="UMC42" s="1167"/>
      <c r="UMD42" s="1142"/>
      <c r="UME42" s="1142"/>
      <c r="UMF42" s="1142"/>
      <c r="UMG42" s="1142"/>
      <c r="UMH42" s="1142"/>
      <c r="UMI42" s="1142"/>
      <c r="UMJ42" s="1142"/>
      <c r="UMK42" s="1142"/>
      <c r="UML42" s="1142"/>
      <c r="UMM42" s="1142"/>
      <c r="UMN42" s="1142"/>
      <c r="UMO42" s="1142"/>
      <c r="UMP42" s="1142"/>
      <c r="UMQ42" s="1142"/>
      <c r="UMR42" s="1142"/>
      <c r="UMS42" s="1142"/>
      <c r="UMT42" s="1142"/>
      <c r="UMU42" s="1142"/>
      <c r="UMV42" s="1142"/>
      <c r="UMW42" s="1142"/>
      <c r="UMX42" s="1142"/>
      <c r="UMY42" s="1142"/>
      <c r="UMZ42" s="1142"/>
      <c r="UNA42" s="1167"/>
      <c r="UNB42" s="1167"/>
      <c r="UNC42" s="1167"/>
      <c r="UND42" s="1167"/>
      <c r="UNE42" s="1167"/>
      <c r="UNF42" s="1167"/>
      <c r="UNG42" s="1167"/>
      <c r="UNH42" s="1167"/>
      <c r="UNI42" s="1167"/>
      <c r="UNJ42" s="1142"/>
      <c r="UNK42" s="1142"/>
      <c r="UNL42" s="1142"/>
      <c r="UNM42" s="1142"/>
      <c r="UNN42" s="1142"/>
      <c r="UNO42" s="1142"/>
      <c r="UNP42" s="1142"/>
      <c r="UNQ42" s="1142"/>
      <c r="UNR42" s="1142"/>
      <c r="UNS42" s="1142"/>
      <c r="UNT42" s="1142"/>
      <c r="UNU42" s="1142"/>
      <c r="UNV42" s="1142"/>
      <c r="UNW42" s="1142"/>
      <c r="UNX42" s="1142"/>
      <c r="UNY42" s="1142"/>
      <c r="UNZ42" s="1142"/>
      <c r="UOA42" s="1142"/>
      <c r="UOB42" s="1142"/>
      <c r="UOC42" s="1142"/>
      <c r="UOD42" s="1142"/>
      <c r="UOE42" s="1142"/>
      <c r="UOF42" s="1142"/>
      <c r="UOG42" s="1167"/>
      <c r="UOH42" s="1167"/>
      <c r="UOI42" s="1167"/>
      <c r="UOJ42" s="1167"/>
      <c r="UOK42" s="1167"/>
      <c r="UOL42" s="1167"/>
      <c r="UOM42" s="1167"/>
      <c r="UON42" s="1167"/>
      <c r="UOO42" s="1167"/>
      <c r="UOP42" s="1142"/>
      <c r="UOQ42" s="1142"/>
      <c r="UOR42" s="1142"/>
      <c r="UOS42" s="1142"/>
      <c r="UOT42" s="1142"/>
      <c r="UOU42" s="1142"/>
      <c r="UOV42" s="1142"/>
      <c r="UOW42" s="1142"/>
      <c r="UOX42" s="1142"/>
      <c r="UOY42" s="1142"/>
      <c r="UOZ42" s="1142"/>
      <c r="UPA42" s="1142"/>
      <c r="UPB42" s="1142"/>
      <c r="UPC42" s="1142"/>
      <c r="UPD42" s="1142"/>
      <c r="UPE42" s="1142"/>
      <c r="UPF42" s="1142"/>
      <c r="UPG42" s="1142"/>
      <c r="UPH42" s="1142"/>
      <c r="UPI42" s="1142"/>
      <c r="UPJ42" s="1142"/>
      <c r="UPK42" s="1142"/>
      <c r="UPL42" s="1142"/>
      <c r="UPM42" s="1167"/>
      <c r="UPN42" s="1167"/>
      <c r="UPO42" s="1167"/>
      <c r="UPP42" s="1167"/>
      <c r="UPQ42" s="1167"/>
      <c r="UPR42" s="1167"/>
      <c r="UPS42" s="1167"/>
      <c r="UPT42" s="1167"/>
      <c r="UPU42" s="1167"/>
      <c r="UPV42" s="1142"/>
      <c r="UPW42" s="1142"/>
      <c r="UPX42" s="1142"/>
      <c r="UPY42" s="1142"/>
      <c r="UPZ42" s="1142"/>
      <c r="UQA42" s="1142"/>
      <c r="UQB42" s="1142"/>
      <c r="UQC42" s="1142"/>
      <c r="UQD42" s="1142"/>
      <c r="UQE42" s="1142"/>
      <c r="UQF42" s="1142"/>
      <c r="UQG42" s="1142"/>
      <c r="UQH42" s="1142"/>
      <c r="UQI42" s="1142"/>
      <c r="UQJ42" s="1142"/>
      <c r="UQK42" s="1142"/>
      <c r="UQL42" s="1142"/>
      <c r="UQM42" s="1142"/>
      <c r="UQN42" s="1142"/>
      <c r="UQO42" s="1142"/>
      <c r="UQP42" s="1142"/>
      <c r="UQQ42" s="1142"/>
      <c r="UQR42" s="1142"/>
      <c r="UQS42" s="1167"/>
      <c r="UQT42" s="1167"/>
      <c r="UQU42" s="1167"/>
      <c r="UQV42" s="1167"/>
      <c r="UQW42" s="1167"/>
      <c r="UQX42" s="1167"/>
      <c r="UQY42" s="1167"/>
      <c r="UQZ42" s="1167"/>
      <c r="URA42" s="1167"/>
      <c r="URB42" s="1142"/>
      <c r="URC42" s="1142"/>
      <c r="URD42" s="1142"/>
      <c r="URE42" s="1142"/>
      <c r="URF42" s="1142"/>
      <c r="URG42" s="1142"/>
      <c r="URH42" s="1142"/>
      <c r="URI42" s="1142"/>
      <c r="URJ42" s="1142"/>
      <c r="URK42" s="1142"/>
      <c r="URL42" s="1142"/>
      <c r="URM42" s="1142"/>
      <c r="URN42" s="1142"/>
      <c r="URO42" s="1142"/>
      <c r="URP42" s="1142"/>
      <c r="URQ42" s="1142"/>
      <c r="URR42" s="1142"/>
      <c r="URS42" s="1142"/>
      <c r="URT42" s="1142"/>
      <c r="URU42" s="1142"/>
      <c r="URV42" s="1142"/>
      <c r="URW42" s="1142"/>
      <c r="URX42" s="1142"/>
      <c r="URY42" s="1167"/>
      <c r="URZ42" s="1167"/>
      <c r="USA42" s="1167"/>
      <c r="USB42" s="1167"/>
      <c r="USC42" s="1167"/>
      <c r="USD42" s="1167"/>
      <c r="USE42" s="1167"/>
      <c r="USF42" s="1167"/>
      <c r="USG42" s="1167"/>
      <c r="USH42" s="1142"/>
      <c r="USI42" s="1142"/>
      <c r="USJ42" s="1142"/>
      <c r="USK42" s="1142"/>
      <c r="USL42" s="1142"/>
      <c r="USM42" s="1142"/>
      <c r="USN42" s="1142"/>
      <c r="USO42" s="1142"/>
      <c r="USP42" s="1142"/>
      <c r="USQ42" s="1142"/>
      <c r="USR42" s="1142"/>
      <c r="USS42" s="1142"/>
      <c r="UST42" s="1142"/>
      <c r="USU42" s="1142"/>
      <c r="USV42" s="1142"/>
      <c r="USW42" s="1142"/>
      <c r="USX42" s="1142"/>
      <c r="USY42" s="1142"/>
      <c r="USZ42" s="1142"/>
      <c r="UTA42" s="1142"/>
      <c r="UTB42" s="1142"/>
      <c r="UTC42" s="1142"/>
      <c r="UTD42" s="1142"/>
      <c r="UTE42" s="1167"/>
      <c r="UTF42" s="1167"/>
      <c r="UTG42" s="1167"/>
      <c r="UTH42" s="1167"/>
      <c r="UTI42" s="1167"/>
      <c r="UTJ42" s="1167"/>
      <c r="UTK42" s="1167"/>
      <c r="UTL42" s="1167"/>
      <c r="UTM42" s="1167"/>
      <c r="UTN42" s="1142"/>
      <c r="UTO42" s="1142"/>
      <c r="UTP42" s="1142"/>
      <c r="UTQ42" s="1142"/>
      <c r="UTR42" s="1142"/>
      <c r="UTS42" s="1142"/>
      <c r="UTT42" s="1142"/>
      <c r="UTU42" s="1142"/>
      <c r="UTV42" s="1142"/>
      <c r="UTW42" s="1142"/>
      <c r="UTX42" s="1142"/>
      <c r="UTY42" s="1142"/>
      <c r="UTZ42" s="1142"/>
      <c r="UUA42" s="1142"/>
      <c r="UUB42" s="1142"/>
      <c r="UUC42" s="1142"/>
      <c r="UUD42" s="1142"/>
      <c r="UUE42" s="1142"/>
      <c r="UUF42" s="1142"/>
      <c r="UUG42" s="1142"/>
      <c r="UUH42" s="1142"/>
      <c r="UUI42" s="1142"/>
      <c r="UUJ42" s="1142"/>
      <c r="UUK42" s="1167"/>
      <c r="UUL42" s="1167"/>
      <c r="UUM42" s="1167"/>
      <c r="UUN42" s="1167"/>
      <c r="UUO42" s="1167"/>
      <c r="UUP42" s="1167"/>
      <c r="UUQ42" s="1167"/>
      <c r="UUR42" s="1167"/>
      <c r="UUS42" s="1167"/>
      <c r="UUT42" s="1142"/>
      <c r="UUU42" s="1142"/>
      <c r="UUV42" s="1142"/>
      <c r="UUW42" s="1142"/>
      <c r="UUX42" s="1142"/>
      <c r="UUY42" s="1142"/>
      <c r="UUZ42" s="1142"/>
      <c r="UVA42" s="1142"/>
      <c r="UVB42" s="1142"/>
      <c r="UVC42" s="1142"/>
      <c r="UVD42" s="1142"/>
      <c r="UVE42" s="1142"/>
      <c r="UVF42" s="1142"/>
      <c r="UVG42" s="1142"/>
      <c r="UVH42" s="1142"/>
      <c r="UVI42" s="1142"/>
      <c r="UVJ42" s="1142"/>
      <c r="UVK42" s="1142"/>
      <c r="UVL42" s="1142"/>
      <c r="UVM42" s="1142"/>
      <c r="UVN42" s="1142"/>
      <c r="UVO42" s="1142"/>
      <c r="UVP42" s="1142"/>
      <c r="UVQ42" s="1167"/>
      <c r="UVR42" s="1167"/>
      <c r="UVS42" s="1167"/>
      <c r="UVT42" s="1167"/>
      <c r="UVU42" s="1167"/>
      <c r="UVV42" s="1167"/>
      <c r="UVW42" s="1167"/>
      <c r="UVX42" s="1167"/>
      <c r="UVY42" s="1167"/>
      <c r="UVZ42" s="1142"/>
      <c r="UWA42" s="1142"/>
      <c r="UWB42" s="1142"/>
      <c r="UWC42" s="1142"/>
      <c r="UWD42" s="1142"/>
      <c r="UWE42" s="1142"/>
      <c r="UWF42" s="1142"/>
      <c r="UWG42" s="1142"/>
      <c r="UWH42" s="1142"/>
      <c r="UWI42" s="1142"/>
      <c r="UWJ42" s="1142"/>
      <c r="UWK42" s="1142"/>
      <c r="UWL42" s="1142"/>
      <c r="UWM42" s="1142"/>
      <c r="UWN42" s="1142"/>
      <c r="UWO42" s="1142"/>
      <c r="UWP42" s="1142"/>
      <c r="UWQ42" s="1142"/>
      <c r="UWR42" s="1142"/>
      <c r="UWS42" s="1142"/>
      <c r="UWT42" s="1142"/>
      <c r="UWU42" s="1142"/>
      <c r="UWV42" s="1142"/>
      <c r="UWW42" s="1167"/>
      <c r="UWX42" s="1167"/>
      <c r="UWY42" s="1167"/>
      <c r="UWZ42" s="1167"/>
      <c r="UXA42" s="1167"/>
      <c r="UXB42" s="1167"/>
      <c r="UXC42" s="1167"/>
      <c r="UXD42" s="1167"/>
      <c r="UXE42" s="1167"/>
      <c r="UXF42" s="1142"/>
      <c r="UXG42" s="1142"/>
      <c r="UXH42" s="1142"/>
      <c r="UXI42" s="1142"/>
      <c r="UXJ42" s="1142"/>
      <c r="UXK42" s="1142"/>
      <c r="UXL42" s="1142"/>
      <c r="UXM42" s="1142"/>
      <c r="UXN42" s="1142"/>
      <c r="UXO42" s="1142"/>
      <c r="UXP42" s="1142"/>
      <c r="UXQ42" s="1142"/>
      <c r="UXR42" s="1142"/>
      <c r="UXS42" s="1142"/>
      <c r="UXT42" s="1142"/>
      <c r="UXU42" s="1142"/>
      <c r="UXV42" s="1142"/>
      <c r="UXW42" s="1142"/>
      <c r="UXX42" s="1142"/>
      <c r="UXY42" s="1142"/>
      <c r="UXZ42" s="1142"/>
      <c r="UYA42" s="1142"/>
      <c r="UYB42" s="1142"/>
      <c r="UYC42" s="1167"/>
      <c r="UYD42" s="1167"/>
      <c r="UYE42" s="1167"/>
      <c r="UYF42" s="1167"/>
      <c r="UYG42" s="1167"/>
      <c r="UYH42" s="1167"/>
      <c r="UYI42" s="1167"/>
      <c r="UYJ42" s="1167"/>
      <c r="UYK42" s="1167"/>
      <c r="UYL42" s="1142"/>
      <c r="UYM42" s="1142"/>
      <c r="UYN42" s="1142"/>
      <c r="UYO42" s="1142"/>
      <c r="UYP42" s="1142"/>
      <c r="UYQ42" s="1142"/>
      <c r="UYR42" s="1142"/>
      <c r="UYS42" s="1142"/>
      <c r="UYT42" s="1142"/>
      <c r="UYU42" s="1142"/>
      <c r="UYV42" s="1142"/>
      <c r="UYW42" s="1142"/>
      <c r="UYX42" s="1142"/>
      <c r="UYY42" s="1142"/>
      <c r="UYZ42" s="1142"/>
      <c r="UZA42" s="1142"/>
      <c r="UZB42" s="1142"/>
      <c r="UZC42" s="1142"/>
      <c r="UZD42" s="1142"/>
      <c r="UZE42" s="1142"/>
      <c r="UZF42" s="1142"/>
      <c r="UZG42" s="1142"/>
      <c r="UZH42" s="1142"/>
      <c r="UZI42" s="1167"/>
      <c r="UZJ42" s="1167"/>
      <c r="UZK42" s="1167"/>
      <c r="UZL42" s="1167"/>
      <c r="UZM42" s="1167"/>
      <c r="UZN42" s="1167"/>
      <c r="UZO42" s="1167"/>
      <c r="UZP42" s="1167"/>
      <c r="UZQ42" s="1167"/>
      <c r="UZR42" s="1142"/>
      <c r="UZS42" s="1142"/>
      <c r="UZT42" s="1142"/>
      <c r="UZU42" s="1142"/>
      <c r="UZV42" s="1142"/>
      <c r="UZW42" s="1142"/>
      <c r="UZX42" s="1142"/>
      <c r="UZY42" s="1142"/>
      <c r="UZZ42" s="1142"/>
      <c r="VAA42" s="1142"/>
      <c r="VAB42" s="1142"/>
      <c r="VAC42" s="1142"/>
      <c r="VAD42" s="1142"/>
      <c r="VAE42" s="1142"/>
      <c r="VAF42" s="1142"/>
      <c r="VAG42" s="1142"/>
      <c r="VAH42" s="1142"/>
      <c r="VAI42" s="1142"/>
      <c r="VAJ42" s="1142"/>
      <c r="VAK42" s="1142"/>
      <c r="VAL42" s="1142"/>
      <c r="VAM42" s="1142"/>
      <c r="VAN42" s="1142"/>
      <c r="VAO42" s="1167"/>
      <c r="VAP42" s="1167"/>
      <c r="VAQ42" s="1167"/>
      <c r="VAR42" s="1167"/>
      <c r="VAS42" s="1167"/>
      <c r="VAT42" s="1167"/>
      <c r="VAU42" s="1167"/>
      <c r="VAV42" s="1167"/>
      <c r="VAW42" s="1167"/>
      <c r="VAX42" s="1142"/>
      <c r="VAY42" s="1142"/>
      <c r="VAZ42" s="1142"/>
      <c r="VBA42" s="1142"/>
      <c r="VBB42" s="1142"/>
      <c r="VBC42" s="1142"/>
      <c r="VBD42" s="1142"/>
      <c r="VBE42" s="1142"/>
      <c r="VBF42" s="1142"/>
      <c r="VBG42" s="1142"/>
      <c r="VBH42" s="1142"/>
      <c r="VBI42" s="1142"/>
      <c r="VBJ42" s="1142"/>
      <c r="VBK42" s="1142"/>
      <c r="VBL42" s="1142"/>
      <c r="VBM42" s="1142"/>
      <c r="VBN42" s="1142"/>
      <c r="VBO42" s="1142"/>
      <c r="VBP42" s="1142"/>
      <c r="VBQ42" s="1142"/>
      <c r="VBR42" s="1142"/>
      <c r="VBS42" s="1142"/>
      <c r="VBT42" s="1142"/>
      <c r="VBU42" s="1167"/>
      <c r="VBV42" s="1167"/>
      <c r="VBW42" s="1167"/>
      <c r="VBX42" s="1167"/>
      <c r="VBY42" s="1167"/>
      <c r="VBZ42" s="1167"/>
      <c r="VCA42" s="1167"/>
      <c r="VCB42" s="1167"/>
      <c r="VCC42" s="1167"/>
      <c r="VCD42" s="1142"/>
      <c r="VCE42" s="1142"/>
      <c r="VCF42" s="1142"/>
      <c r="VCG42" s="1142"/>
      <c r="VCH42" s="1142"/>
      <c r="VCI42" s="1142"/>
      <c r="VCJ42" s="1142"/>
      <c r="VCK42" s="1142"/>
      <c r="VCL42" s="1142"/>
      <c r="VCM42" s="1142"/>
      <c r="VCN42" s="1142"/>
      <c r="VCO42" s="1142"/>
      <c r="VCP42" s="1142"/>
      <c r="VCQ42" s="1142"/>
      <c r="VCR42" s="1142"/>
      <c r="VCS42" s="1142"/>
      <c r="VCT42" s="1142"/>
      <c r="VCU42" s="1142"/>
      <c r="VCV42" s="1142"/>
      <c r="VCW42" s="1142"/>
      <c r="VCX42" s="1142"/>
      <c r="VCY42" s="1142"/>
      <c r="VCZ42" s="1142"/>
      <c r="VDA42" s="1167"/>
      <c r="VDB42" s="1167"/>
      <c r="VDC42" s="1167"/>
      <c r="VDD42" s="1167"/>
      <c r="VDE42" s="1167"/>
      <c r="VDF42" s="1167"/>
      <c r="VDG42" s="1167"/>
      <c r="VDH42" s="1167"/>
      <c r="VDI42" s="1167"/>
      <c r="VDJ42" s="1142"/>
      <c r="VDK42" s="1142"/>
      <c r="VDL42" s="1142"/>
      <c r="VDM42" s="1142"/>
      <c r="VDN42" s="1142"/>
      <c r="VDO42" s="1142"/>
      <c r="VDP42" s="1142"/>
      <c r="VDQ42" s="1142"/>
      <c r="VDR42" s="1142"/>
      <c r="VDS42" s="1142"/>
      <c r="VDT42" s="1142"/>
      <c r="VDU42" s="1142"/>
      <c r="VDV42" s="1142"/>
      <c r="VDW42" s="1142"/>
      <c r="VDX42" s="1142"/>
      <c r="VDY42" s="1142"/>
      <c r="VDZ42" s="1142"/>
      <c r="VEA42" s="1142"/>
      <c r="VEB42" s="1142"/>
      <c r="VEC42" s="1142"/>
      <c r="VED42" s="1142"/>
      <c r="VEE42" s="1142"/>
      <c r="VEF42" s="1142"/>
      <c r="VEG42" s="1167"/>
      <c r="VEH42" s="1167"/>
      <c r="VEI42" s="1167"/>
      <c r="VEJ42" s="1167"/>
      <c r="VEK42" s="1167"/>
      <c r="VEL42" s="1167"/>
      <c r="VEM42" s="1167"/>
      <c r="VEN42" s="1167"/>
      <c r="VEO42" s="1167"/>
      <c r="VEP42" s="1142"/>
      <c r="VEQ42" s="1142"/>
      <c r="VER42" s="1142"/>
      <c r="VES42" s="1142"/>
      <c r="VET42" s="1142"/>
      <c r="VEU42" s="1142"/>
      <c r="VEV42" s="1142"/>
      <c r="VEW42" s="1142"/>
      <c r="VEX42" s="1142"/>
      <c r="VEY42" s="1142"/>
      <c r="VEZ42" s="1142"/>
      <c r="VFA42" s="1142"/>
      <c r="VFB42" s="1142"/>
      <c r="VFC42" s="1142"/>
      <c r="VFD42" s="1142"/>
      <c r="VFE42" s="1142"/>
      <c r="VFF42" s="1142"/>
      <c r="VFG42" s="1142"/>
      <c r="VFH42" s="1142"/>
      <c r="VFI42" s="1142"/>
      <c r="VFJ42" s="1142"/>
      <c r="VFK42" s="1142"/>
      <c r="VFL42" s="1142"/>
      <c r="VFM42" s="1167"/>
      <c r="VFN42" s="1167"/>
      <c r="VFO42" s="1167"/>
      <c r="VFP42" s="1167"/>
      <c r="VFQ42" s="1167"/>
      <c r="VFR42" s="1167"/>
      <c r="VFS42" s="1167"/>
      <c r="VFT42" s="1167"/>
      <c r="VFU42" s="1167"/>
      <c r="VFV42" s="1142"/>
      <c r="VFW42" s="1142"/>
      <c r="VFX42" s="1142"/>
      <c r="VFY42" s="1142"/>
      <c r="VFZ42" s="1142"/>
      <c r="VGA42" s="1142"/>
      <c r="VGB42" s="1142"/>
      <c r="VGC42" s="1142"/>
      <c r="VGD42" s="1142"/>
      <c r="VGE42" s="1142"/>
      <c r="VGF42" s="1142"/>
      <c r="VGG42" s="1142"/>
      <c r="VGH42" s="1142"/>
      <c r="VGI42" s="1142"/>
      <c r="VGJ42" s="1142"/>
      <c r="VGK42" s="1142"/>
      <c r="VGL42" s="1142"/>
      <c r="VGM42" s="1142"/>
      <c r="VGN42" s="1142"/>
      <c r="VGO42" s="1142"/>
      <c r="VGP42" s="1142"/>
      <c r="VGQ42" s="1142"/>
      <c r="VGR42" s="1142"/>
      <c r="VGS42" s="1167"/>
      <c r="VGT42" s="1167"/>
      <c r="VGU42" s="1167"/>
      <c r="VGV42" s="1167"/>
      <c r="VGW42" s="1167"/>
      <c r="VGX42" s="1167"/>
      <c r="VGY42" s="1167"/>
      <c r="VGZ42" s="1167"/>
      <c r="VHA42" s="1167"/>
      <c r="VHB42" s="1142"/>
      <c r="VHC42" s="1142"/>
      <c r="VHD42" s="1142"/>
      <c r="VHE42" s="1142"/>
      <c r="VHF42" s="1142"/>
      <c r="VHG42" s="1142"/>
      <c r="VHH42" s="1142"/>
      <c r="VHI42" s="1142"/>
      <c r="VHJ42" s="1142"/>
      <c r="VHK42" s="1142"/>
      <c r="VHL42" s="1142"/>
      <c r="VHM42" s="1142"/>
      <c r="VHN42" s="1142"/>
      <c r="VHO42" s="1142"/>
      <c r="VHP42" s="1142"/>
      <c r="VHQ42" s="1142"/>
      <c r="VHR42" s="1142"/>
      <c r="VHS42" s="1142"/>
      <c r="VHT42" s="1142"/>
      <c r="VHU42" s="1142"/>
      <c r="VHV42" s="1142"/>
      <c r="VHW42" s="1142"/>
      <c r="VHX42" s="1142"/>
      <c r="VHY42" s="1167"/>
      <c r="VHZ42" s="1167"/>
      <c r="VIA42" s="1167"/>
      <c r="VIB42" s="1167"/>
      <c r="VIC42" s="1167"/>
      <c r="VID42" s="1167"/>
      <c r="VIE42" s="1167"/>
      <c r="VIF42" s="1167"/>
      <c r="VIG42" s="1167"/>
      <c r="VIH42" s="1142"/>
      <c r="VII42" s="1142"/>
      <c r="VIJ42" s="1142"/>
      <c r="VIK42" s="1142"/>
      <c r="VIL42" s="1142"/>
      <c r="VIM42" s="1142"/>
      <c r="VIN42" s="1142"/>
      <c r="VIO42" s="1142"/>
      <c r="VIP42" s="1142"/>
      <c r="VIQ42" s="1142"/>
      <c r="VIR42" s="1142"/>
      <c r="VIS42" s="1142"/>
      <c r="VIT42" s="1142"/>
      <c r="VIU42" s="1142"/>
      <c r="VIV42" s="1142"/>
      <c r="VIW42" s="1142"/>
      <c r="VIX42" s="1142"/>
      <c r="VIY42" s="1142"/>
      <c r="VIZ42" s="1142"/>
      <c r="VJA42" s="1142"/>
      <c r="VJB42" s="1142"/>
      <c r="VJC42" s="1142"/>
      <c r="VJD42" s="1142"/>
      <c r="VJE42" s="1167"/>
      <c r="VJF42" s="1167"/>
      <c r="VJG42" s="1167"/>
      <c r="VJH42" s="1167"/>
      <c r="VJI42" s="1167"/>
      <c r="VJJ42" s="1167"/>
      <c r="VJK42" s="1167"/>
      <c r="VJL42" s="1167"/>
      <c r="VJM42" s="1167"/>
      <c r="VJN42" s="1142"/>
      <c r="VJO42" s="1142"/>
      <c r="VJP42" s="1142"/>
      <c r="VJQ42" s="1142"/>
      <c r="VJR42" s="1142"/>
      <c r="VJS42" s="1142"/>
      <c r="VJT42" s="1142"/>
      <c r="VJU42" s="1142"/>
      <c r="VJV42" s="1142"/>
      <c r="VJW42" s="1142"/>
      <c r="VJX42" s="1142"/>
      <c r="VJY42" s="1142"/>
      <c r="VJZ42" s="1142"/>
      <c r="VKA42" s="1142"/>
      <c r="VKB42" s="1142"/>
      <c r="VKC42" s="1142"/>
      <c r="VKD42" s="1142"/>
      <c r="VKE42" s="1142"/>
      <c r="VKF42" s="1142"/>
      <c r="VKG42" s="1142"/>
      <c r="VKH42" s="1142"/>
      <c r="VKI42" s="1142"/>
      <c r="VKJ42" s="1142"/>
      <c r="VKK42" s="1167"/>
      <c r="VKL42" s="1167"/>
      <c r="VKM42" s="1167"/>
      <c r="VKN42" s="1167"/>
      <c r="VKO42" s="1167"/>
      <c r="VKP42" s="1167"/>
      <c r="VKQ42" s="1167"/>
      <c r="VKR42" s="1167"/>
      <c r="VKS42" s="1167"/>
      <c r="VKT42" s="1142"/>
      <c r="VKU42" s="1142"/>
      <c r="VKV42" s="1142"/>
      <c r="VKW42" s="1142"/>
      <c r="VKX42" s="1142"/>
      <c r="VKY42" s="1142"/>
      <c r="VKZ42" s="1142"/>
      <c r="VLA42" s="1142"/>
      <c r="VLB42" s="1142"/>
      <c r="VLC42" s="1142"/>
      <c r="VLD42" s="1142"/>
      <c r="VLE42" s="1142"/>
      <c r="VLF42" s="1142"/>
      <c r="VLG42" s="1142"/>
      <c r="VLH42" s="1142"/>
      <c r="VLI42" s="1142"/>
      <c r="VLJ42" s="1142"/>
      <c r="VLK42" s="1142"/>
      <c r="VLL42" s="1142"/>
      <c r="VLM42" s="1142"/>
      <c r="VLN42" s="1142"/>
      <c r="VLO42" s="1142"/>
      <c r="VLP42" s="1142"/>
      <c r="VLQ42" s="1167"/>
      <c r="VLR42" s="1167"/>
      <c r="VLS42" s="1167"/>
      <c r="VLT42" s="1167"/>
      <c r="VLU42" s="1167"/>
      <c r="VLV42" s="1167"/>
      <c r="VLW42" s="1167"/>
      <c r="VLX42" s="1167"/>
      <c r="VLY42" s="1167"/>
      <c r="VLZ42" s="1142"/>
      <c r="VMA42" s="1142"/>
      <c r="VMB42" s="1142"/>
      <c r="VMC42" s="1142"/>
      <c r="VMD42" s="1142"/>
      <c r="VME42" s="1142"/>
      <c r="VMF42" s="1142"/>
      <c r="VMG42" s="1142"/>
      <c r="VMH42" s="1142"/>
      <c r="VMI42" s="1142"/>
      <c r="VMJ42" s="1142"/>
      <c r="VMK42" s="1142"/>
      <c r="VML42" s="1142"/>
      <c r="VMM42" s="1142"/>
      <c r="VMN42" s="1142"/>
      <c r="VMO42" s="1142"/>
      <c r="VMP42" s="1142"/>
      <c r="VMQ42" s="1142"/>
      <c r="VMR42" s="1142"/>
      <c r="VMS42" s="1142"/>
      <c r="VMT42" s="1142"/>
      <c r="VMU42" s="1142"/>
      <c r="VMV42" s="1142"/>
      <c r="VMW42" s="1167"/>
      <c r="VMX42" s="1167"/>
      <c r="VMY42" s="1167"/>
      <c r="VMZ42" s="1167"/>
      <c r="VNA42" s="1167"/>
      <c r="VNB42" s="1167"/>
      <c r="VNC42" s="1167"/>
      <c r="VND42" s="1167"/>
      <c r="VNE42" s="1167"/>
      <c r="VNF42" s="1142"/>
      <c r="VNG42" s="1142"/>
      <c r="VNH42" s="1142"/>
      <c r="VNI42" s="1142"/>
      <c r="VNJ42" s="1142"/>
      <c r="VNK42" s="1142"/>
      <c r="VNL42" s="1142"/>
      <c r="VNM42" s="1142"/>
      <c r="VNN42" s="1142"/>
      <c r="VNO42" s="1142"/>
      <c r="VNP42" s="1142"/>
      <c r="VNQ42" s="1142"/>
      <c r="VNR42" s="1142"/>
      <c r="VNS42" s="1142"/>
      <c r="VNT42" s="1142"/>
      <c r="VNU42" s="1142"/>
      <c r="VNV42" s="1142"/>
      <c r="VNW42" s="1142"/>
      <c r="VNX42" s="1142"/>
      <c r="VNY42" s="1142"/>
      <c r="VNZ42" s="1142"/>
      <c r="VOA42" s="1142"/>
      <c r="VOB42" s="1142"/>
      <c r="VOC42" s="1167"/>
      <c r="VOD42" s="1167"/>
      <c r="VOE42" s="1167"/>
      <c r="VOF42" s="1167"/>
      <c r="VOG42" s="1167"/>
      <c r="VOH42" s="1167"/>
      <c r="VOI42" s="1167"/>
      <c r="VOJ42" s="1167"/>
      <c r="VOK42" s="1167"/>
      <c r="VOL42" s="1142"/>
      <c r="VOM42" s="1142"/>
      <c r="VON42" s="1142"/>
      <c r="VOO42" s="1142"/>
      <c r="VOP42" s="1142"/>
      <c r="VOQ42" s="1142"/>
      <c r="VOR42" s="1142"/>
      <c r="VOS42" s="1142"/>
      <c r="VOT42" s="1142"/>
      <c r="VOU42" s="1142"/>
      <c r="VOV42" s="1142"/>
      <c r="VOW42" s="1142"/>
      <c r="VOX42" s="1142"/>
      <c r="VOY42" s="1142"/>
      <c r="VOZ42" s="1142"/>
      <c r="VPA42" s="1142"/>
      <c r="VPB42" s="1142"/>
      <c r="VPC42" s="1142"/>
      <c r="VPD42" s="1142"/>
      <c r="VPE42" s="1142"/>
      <c r="VPF42" s="1142"/>
      <c r="VPG42" s="1142"/>
      <c r="VPH42" s="1142"/>
      <c r="VPI42" s="1167"/>
      <c r="VPJ42" s="1167"/>
      <c r="VPK42" s="1167"/>
      <c r="VPL42" s="1167"/>
      <c r="VPM42" s="1167"/>
      <c r="VPN42" s="1167"/>
      <c r="VPO42" s="1167"/>
      <c r="VPP42" s="1167"/>
      <c r="VPQ42" s="1167"/>
      <c r="VPR42" s="1142"/>
      <c r="VPS42" s="1142"/>
      <c r="VPT42" s="1142"/>
      <c r="VPU42" s="1142"/>
      <c r="VPV42" s="1142"/>
      <c r="VPW42" s="1142"/>
      <c r="VPX42" s="1142"/>
      <c r="VPY42" s="1142"/>
      <c r="VPZ42" s="1142"/>
      <c r="VQA42" s="1142"/>
      <c r="VQB42" s="1142"/>
      <c r="VQC42" s="1142"/>
      <c r="VQD42" s="1142"/>
      <c r="VQE42" s="1142"/>
      <c r="VQF42" s="1142"/>
      <c r="VQG42" s="1142"/>
      <c r="VQH42" s="1142"/>
      <c r="VQI42" s="1142"/>
      <c r="VQJ42" s="1142"/>
      <c r="VQK42" s="1142"/>
      <c r="VQL42" s="1142"/>
      <c r="VQM42" s="1142"/>
      <c r="VQN42" s="1142"/>
      <c r="VQO42" s="1167"/>
      <c r="VQP42" s="1167"/>
      <c r="VQQ42" s="1167"/>
      <c r="VQR42" s="1167"/>
      <c r="VQS42" s="1167"/>
      <c r="VQT42" s="1167"/>
      <c r="VQU42" s="1167"/>
      <c r="VQV42" s="1167"/>
      <c r="VQW42" s="1167"/>
      <c r="VQX42" s="1142"/>
      <c r="VQY42" s="1142"/>
      <c r="VQZ42" s="1142"/>
      <c r="VRA42" s="1142"/>
      <c r="VRB42" s="1142"/>
      <c r="VRC42" s="1142"/>
      <c r="VRD42" s="1142"/>
      <c r="VRE42" s="1142"/>
      <c r="VRF42" s="1142"/>
      <c r="VRG42" s="1142"/>
      <c r="VRH42" s="1142"/>
      <c r="VRI42" s="1142"/>
      <c r="VRJ42" s="1142"/>
      <c r="VRK42" s="1142"/>
      <c r="VRL42" s="1142"/>
      <c r="VRM42" s="1142"/>
      <c r="VRN42" s="1142"/>
      <c r="VRO42" s="1142"/>
      <c r="VRP42" s="1142"/>
      <c r="VRQ42" s="1142"/>
      <c r="VRR42" s="1142"/>
      <c r="VRS42" s="1142"/>
      <c r="VRT42" s="1142"/>
      <c r="VRU42" s="1167"/>
      <c r="VRV42" s="1167"/>
      <c r="VRW42" s="1167"/>
      <c r="VRX42" s="1167"/>
      <c r="VRY42" s="1167"/>
      <c r="VRZ42" s="1167"/>
      <c r="VSA42" s="1167"/>
      <c r="VSB42" s="1167"/>
      <c r="VSC42" s="1167"/>
      <c r="VSD42" s="1142"/>
      <c r="VSE42" s="1142"/>
      <c r="VSF42" s="1142"/>
      <c r="VSG42" s="1142"/>
      <c r="VSH42" s="1142"/>
      <c r="VSI42" s="1142"/>
      <c r="VSJ42" s="1142"/>
      <c r="VSK42" s="1142"/>
      <c r="VSL42" s="1142"/>
      <c r="VSM42" s="1142"/>
      <c r="VSN42" s="1142"/>
      <c r="VSO42" s="1142"/>
      <c r="VSP42" s="1142"/>
      <c r="VSQ42" s="1142"/>
      <c r="VSR42" s="1142"/>
      <c r="VSS42" s="1142"/>
      <c r="VST42" s="1142"/>
      <c r="VSU42" s="1142"/>
      <c r="VSV42" s="1142"/>
      <c r="VSW42" s="1142"/>
      <c r="VSX42" s="1142"/>
      <c r="VSY42" s="1142"/>
      <c r="VSZ42" s="1142"/>
      <c r="VTA42" s="1167"/>
      <c r="VTB42" s="1167"/>
      <c r="VTC42" s="1167"/>
      <c r="VTD42" s="1167"/>
      <c r="VTE42" s="1167"/>
      <c r="VTF42" s="1167"/>
      <c r="VTG42" s="1167"/>
      <c r="VTH42" s="1167"/>
      <c r="VTI42" s="1167"/>
      <c r="VTJ42" s="1142"/>
      <c r="VTK42" s="1142"/>
      <c r="VTL42" s="1142"/>
      <c r="VTM42" s="1142"/>
      <c r="VTN42" s="1142"/>
      <c r="VTO42" s="1142"/>
      <c r="VTP42" s="1142"/>
      <c r="VTQ42" s="1142"/>
      <c r="VTR42" s="1142"/>
      <c r="VTS42" s="1142"/>
      <c r="VTT42" s="1142"/>
      <c r="VTU42" s="1142"/>
      <c r="VTV42" s="1142"/>
      <c r="VTW42" s="1142"/>
      <c r="VTX42" s="1142"/>
      <c r="VTY42" s="1142"/>
      <c r="VTZ42" s="1142"/>
      <c r="VUA42" s="1142"/>
      <c r="VUB42" s="1142"/>
      <c r="VUC42" s="1142"/>
      <c r="VUD42" s="1142"/>
      <c r="VUE42" s="1142"/>
      <c r="VUF42" s="1142"/>
      <c r="VUG42" s="1167"/>
      <c r="VUH42" s="1167"/>
      <c r="VUI42" s="1167"/>
      <c r="VUJ42" s="1167"/>
      <c r="VUK42" s="1167"/>
      <c r="VUL42" s="1167"/>
      <c r="VUM42" s="1167"/>
      <c r="VUN42" s="1167"/>
      <c r="VUO42" s="1167"/>
      <c r="VUP42" s="1142"/>
      <c r="VUQ42" s="1142"/>
      <c r="VUR42" s="1142"/>
      <c r="VUS42" s="1142"/>
      <c r="VUT42" s="1142"/>
      <c r="VUU42" s="1142"/>
      <c r="VUV42" s="1142"/>
      <c r="VUW42" s="1142"/>
      <c r="VUX42" s="1142"/>
      <c r="VUY42" s="1142"/>
      <c r="VUZ42" s="1142"/>
      <c r="VVA42" s="1142"/>
      <c r="VVB42" s="1142"/>
      <c r="VVC42" s="1142"/>
      <c r="VVD42" s="1142"/>
      <c r="VVE42" s="1142"/>
      <c r="VVF42" s="1142"/>
      <c r="VVG42" s="1142"/>
      <c r="VVH42" s="1142"/>
      <c r="VVI42" s="1142"/>
      <c r="VVJ42" s="1142"/>
      <c r="VVK42" s="1142"/>
      <c r="VVL42" s="1142"/>
      <c r="VVM42" s="1167"/>
      <c r="VVN42" s="1167"/>
      <c r="VVO42" s="1167"/>
      <c r="VVP42" s="1167"/>
      <c r="VVQ42" s="1167"/>
      <c r="VVR42" s="1167"/>
      <c r="VVS42" s="1167"/>
      <c r="VVT42" s="1167"/>
      <c r="VVU42" s="1167"/>
      <c r="VVV42" s="1142"/>
      <c r="VVW42" s="1142"/>
      <c r="VVX42" s="1142"/>
      <c r="VVY42" s="1142"/>
      <c r="VVZ42" s="1142"/>
      <c r="VWA42" s="1142"/>
      <c r="VWB42" s="1142"/>
      <c r="VWC42" s="1142"/>
      <c r="VWD42" s="1142"/>
      <c r="VWE42" s="1142"/>
      <c r="VWF42" s="1142"/>
      <c r="VWG42" s="1142"/>
      <c r="VWH42" s="1142"/>
      <c r="VWI42" s="1142"/>
      <c r="VWJ42" s="1142"/>
      <c r="VWK42" s="1142"/>
      <c r="VWL42" s="1142"/>
      <c r="VWM42" s="1142"/>
      <c r="VWN42" s="1142"/>
      <c r="VWO42" s="1142"/>
      <c r="VWP42" s="1142"/>
      <c r="VWQ42" s="1142"/>
      <c r="VWR42" s="1142"/>
      <c r="VWS42" s="1167"/>
      <c r="VWT42" s="1167"/>
      <c r="VWU42" s="1167"/>
      <c r="VWV42" s="1167"/>
      <c r="VWW42" s="1167"/>
      <c r="VWX42" s="1167"/>
      <c r="VWY42" s="1167"/>
      <c r="VWZ42" s="1167"/>
      <c r="VXA42" s="1167"/>
      <c r="VXB42" s="1142"/>
      <c r="VXC42" s="1142"/>
      <c r="VXD42" s="1142"/>
      <c r="VXE42" s="1142"/>
      <c r="VXF42" s="1142"/>
      <c r="VXG42" s="1142"/>
      <c r="VXH42" s="1142"/>
      <c r="VXI42" s="1142"/>
      <c r="VXJ42" s="1142"/>
      <c r="VXK42" s="1142"/>
      <c r="VXL42" s="1142"/>
      <c r="VXM42" s="1142"/>
      <c r="VXN42" s="1142"/>
      <c r="VXO42" s="1142"/>
      <c r="VXP42" s="1142"/>
      <c r="VXQ42" s="1142"/>
      <c r="VXR42" s="1142"/>
      <c r="VXS42" s="1142"/>
      <c r="VXT42" s="1142"/>
      <c r="VXU42" s="1142"/>
      <c r="VXV42" s="1142"/>
      <c r="VXW42" s="1142"/>
      <c r="VXX42" s="1142"/>
      <c r="VXY42" s="1167"/>
      <c r="VXZ42" s="1167"/>
      <c r="VYA42" s="1167"/>
      <c r="VYB42" s="1167"/>
      <c r="VYC42" s="1167"/>
      <c r="VYD42" s="1167"/>
      <c r="VYE42" s="1167"/>
      <c r="VYF42" s="1167"/>
      <c r="VYG42" s="1167"/>
      <c r="VYH42" s="1142"/>
      <c r="VYI42" s="1142"/>
      <c r="VYJ42" s="1142"/>
      <c r="VYK42" s="1142"/>
      <c r="VYL42" s="1142"/>
      <c r="VYM42" s="1142"/>
      <c r="VYN42" s="1142"/>
      <c r="VYO42" s="1142"/>
      <c r="VYP42" s="1142"/>
      <c r="VYQ42" s="1142"/>
      <c r="VYR42" s="1142"/>
      <c r="VYS42" s="1142"/>
      <c r="VYT42" s="1142"/>
      <c r="VYU42" s="1142"/>
      <c r="VYV42" s="1142"/>
      <c r="VYW42" s="1142"/>
      <c r="VYX42" s="1142"/>
      <c r="VYY42" s="1142"/>
      <c r="VYZ42" s="1142"/>
      <c r="VZA42" s="1142"/>
      <c r="VZB42" s="1142"/>
      <c r="VZC42" s="1142"/>
      <c r="VZD42" s="1142"/>
      <c r="VZE42" s="1167"/>
      <c r="VZF42" s="1167"/>
      <c r="VZG42" s="1167"/>
      <c r="VZH42" s="1167"/>
      <c r="VZI42" s="1167"/>
      <c r="VZJ42" s="1167"/>
      <c r="VZK42" s="1167"/>
      <c r="VZL42" s="1167"/>
      <c r="VZM42" s="1167"/>
      <c r="VZN42" s="1142"/>
      <c r="VZO42" s="1142"/>
      <c r="VZP42" s="1142"/>
      <c r="VZQ42" s="1142"/>
      <c r="VZR42" s="1142"/>
      <c r="VZS42" s="1142"/>
      <c r="VZT42" s="1142"/>
      <c r="VZU42" s="1142"/>
      <c r="VZV42" s="1142"/>
      <c r="VZW42" s="1142"/>
      <c r="VZX42" s="1142"/>
      <c r="VZY42" s="1142"/>
      <c r="VZZ42" s="1142"/>
      <c r="WAA42" s="1142"/>
      <c r="WAB42" s="1142"/>
      <c r="WAC42" s="1142"/>
      <c r="WAD42" s="1142"/>
      <c r="WAE42" s="1142"/>
      <c r="WAF42" s="1142"/>
      <c r="WAG42" s="1142"/>
      <c r="WAH42" s="1142"/>
      <c r="WAI42" s="1142"/>
      <c r="WAJ42" s="1142"/>
      <c r="WAK42" s="1167"/>
      <c r="WAL42" s="1167"/>
      <c r="WAM42" s="1167"/>
      <c r="WAN42" s="1167"/>
      <c r="WAO42" s="1167"/>
      <c r="WAP42" s="1167"/>
      <c r="WAQ42" s="1167"/>
      <c r="WAR42" s="1167"/>
      <c r="WAS42" s="1167"/>
      <c r="WAT42" s="1142"/>
      <c r="WAU42" s="1142"/>
      <c r="WAV42" s="1142"/>
      <c r="WAW42" s="1142"/>
      <c r="WAX42" s="1142"/>
      <c r="WAY42" s="1142"/>
      <c r="WAZ42" s="1142"/>
      <c r="WBA42" s="1142"/>
      <c r="WBB42" s="1142"/>
      <c r="WBC42" s="1142"/>
      <c r="WBD42" s="1142"/>
      <c r="WBE42" s="1142"/>
      <c r="WBF42" s="1142"/>
      <c r="WBG42" s="1142"/>
      <c r="WBH42" s="1142"/>
      <c r="WBI42" s="1142"/>
      <c r="WBJ42" s="1142"/>
      <c r="WBK42" s="1142"/>
      <c r="WBL42" s="1142"/>
      <c r="WBM42" s="1142"/>
      <c r="WBN42" s="1142"/>
      <c r="WBO42" s="1142"/>
      <c r="WBP42" s="1142"/>
      <c r="WBQ42" s="1167"/>
      <c r="WBR42" s="1167"/>
      <c r="WBS42" s="1167"/>
      <c r="WBT42" s="1167"/>
      <c r="WBU42" s="1167"/>
      <c r="WBV42" s="1167"/>
      <c r="WBW42" s="1167"/>
      <c r="WBX42" s="1167"/>
      <c r="WBY42" s="1167"/>
      <c r="WBZ42" s="1142"/>
      <c r="WCA42" s="1142"/>
      <c r="WCB42" s="1142"/>
      <c r="WCC42" s="1142"/>
      <c r="WCD42" s="1142"/>
      <c r="WCE42" s="1142"/>
      <c r="WCF42" s="1142"/>
      <c r="WCG42" s="1142"/>
      <c r="WCH42" s="1142"/>
      <c r="WCI42" s="1142"/>
      <c r="WCJ42" s="1142"/>
      <c r="WCK42" s="1142"/>
      <c r="WCL42" s="1142"/>
      <c r="WCM42" s="1142"/>
      <c r="WCN42" s="1142"/>
      <c r="WCO42" s="1142"/>
      <c r="WCP42" s="1142"/>
      <c r="WCQ42" s="1142"/>
      <c r="WCR42" s="1142"/>
      <c r="WCS42" s="1142"/>
      <c r="WCT42" s="1142"/>
      <c r="WCU42" s="1142"/>
      <c r="WCV42" s="1142"/>
      <c r="WCW42" s="1167"/>
      <c r="WCX42" s="1167"/>
      <c r="WCY42" s="1167"/>
      <c r="WCZ42" s="1167"/>
      <c r="WDA42" s="1167"/>
      <c r="WDB42" s="1167"/>
      <c r="WDC42" s="1167"/>
      <c r="WDD42" s="1167"/>
      <c r="WDE42" s="1167"/>
      <c r="WDF42" s="1142"/>
      <c r="WDG42" s="1142"/>
      <c r="WDH42" s="1142"/>
      <c r="WDI42" s="1142"/>
      <c r="WDJ42" s="1142"/>
      <c r="WDK42" s="1142"/>
      <c r="WDL42" s="1142"/>
      <c r="WDM42" s="1142"/>
      <c r="WDN42" s="1142"/>
      <c r="WDO42" s="1142"/>
      <c r="WDP42" s="1142"/>
      <c r="WDQ42" s="1142"/>
      <c r="WDR42" s="1142"/>
      <c r="WDS42" s="1142"/>
      <c r="WDT42" s="1142"/>
      <c r="WDU42" s="1142"/>
      <c r="WDV42" s="1142"/>
      <c r="WDW42" s="1142"/>
      <c r="WDX42" s="1142"/>
      <c r="WDY42" s="1142"/>
      <c r="WDZ42" s="1142"/>
      <c r="WEA42" s="1142"/>
      <c r="WEB42" s="1142"/>
      <c r="WEC42" s="1167"/>
      <c r="WED42" s="1167"/>
      <c r="WEE42" s="1167"/>
      <c r="WEF42" s="1167"/>
      <c r="WEG42" s="1167"/>
      <c r="WEH42" s="1167"/>
      <c r="WEI42" s="1167"/>
      <c r="WEJ42" s="1167"/>
      <c r="WEK42" s="1167"/>
      <c r="WEL42" s="1142"/>
      <c r="WEM42" s="1142"/>
      <c r="WEN42" s="1142"/>
      <c r="WEO42" s="1142"/>
      <c r="WEP42" s="1142"/>
      <c r="WEQ42" s="1142"/>
      <c r="WER42" s="1142"/>
      <c r="WES42" s="1142"/>
      <c r="WET42" s="1142"/>
      <c r="WEU42" s="1142"/>
      <c r="WEV42" s="1142"/>
      <c r="WEW42" s="1142"/>
      <c r="WEX42" s="1142"/>
      <c r="WEY42" s="1142"/>
      <c r="WEZ42" s="1142"/>
      <c r="WFA42" s="1142"/>
      <c r="WFB42" s="1142"/>
      <c r="WFC42" s="1142"/>
      <c r="WFD42" s="1142"/>
      <c r="WFE42" s="1142"/>
      <c r="WFF42" s="1142"/>
      <c r="WFG42" s="1142"/>
      <c r="WFH42" s="1142"/>
      <c r="WFI42" s="1167"/>
      <c r="WFJ42" s="1167"/>
      <c r="WFK42" s="1167"/>
      <c r="WFL42" s="1167"/>
      <c r="WFM42" s="1167"/>
      <c r="WFN42" s="1167"/>
      <c r="WFO42" s="1167"/>
      <c r="WFP42" s="1167"/>
      <c r="WFQ42" s="1167"/>
      <c r="WFR42" s="1142"/>
      <c r="WFS42" s="1142"/>
      <c r="WFT42" s="1142"/>
      <c r="WFU42" s="1142"/>
      <c r="WFV42" s="1142"/>
      <c r="WFW42" s="1142"/>
      <c r="WFX42" s="1142"/>
      <c r="WFY42" s="1142"/>
      <c r="WFZ42" s="1142"/>
      <c r="WGA42" s="1142"/>
      <c r="WGB42" s="1142"/>
      <c r="WGC42" s="1142"/>
      <c r="WGD42" s="1142"/>
      <c r="WGE42" s="1142"/>
      <c r="WGF42" s="1142"/>
      <c r="WGG42" s="1142"/>
      <c r="WGH42" s="1142"/>
      <c r="WGI42" s="1142"/>
      <c r="WGJ42" s="1142"/>
      <c r="WGK42" s="1142"/>
      <c r="WGL42" s="1142"/>
      <c r="WGM42" s="1142"/>
      <c r="WGN42" s="1142"/>
      <c r="WGO42" s="1167"/>
      <c r="WGP42" s="1167"/>
      <c r="WGQ42" s="1167"/>
      <c r="WGR42" s="1167"/>
      <c r="WGS42" s="1167"/>
      <c r="WGT42" s="1167"/>
      <c r="WGU42" s="1167"/>
      <c r="WGV42" s="1167"/>
      <c r="WGW42" s="1167"/>
      <c r="WGX42" s="1142"/>
      <c r="WGY42" s="1142"/>
      <c r="WGZ42" s="1142"/>
      <c r="WHA42" s="1142"/>
      <c r="WHB42" s="1142"/>
      <c r="WHC42" s="1142"/>
      <c r="WHD42" s="1142"/>
      <c r="WHE42" s="1142"/>
      <c r="WHF42" s="1142"/>
      <c r="WHG42" s="1142"/>
      <c r="WHH42" s="1142"/>
      <c r="WHI42" s="1142"/>
      <c r="WHJ42" s="1142"/>
      <c r="WHK42" s="1142"/>
      <c r="WHL42" s="1142"/>
      <c r="WHM42" s="1142"/>
      <c r="WHN42" s="1142"/>
      <c r="WHO42" s="1142"/>
      <c r="WHP42" s="1142"/>
      <c r="WHQ42" s="1142"/>
      <c r="WHR42" s="1142"/>
      <c r="WHS42" s="1142"/>
      <c r="WHT42" s="1142"/>
      <c r="WHU42" s="1167"/>
      <c r="WHV42" s="1167"/>
      <c r="WHW42" s="1167"/>
      <c r="WHX42" s="1167"/>
      <c r="WHY42" s="1167"/>
      <c r="WHZ42" s="1167"/>
      <c r="WIA42" s="1167"/>
      <c r="WIB42" s="1167"/>
      <c r="WIC42" s="1167"/>
      <c r="WID42" s="1142"/>
      <c r="WIE42" s="1142"/>
      <c r="WIF42" s="1142"/>
      <c r="WIG42" s="1142"/>
      <c r="WIH42" s="1142"/>
      <c r="WII42" s="1142"/>
      <c r="WIJ42" s="1142"/>
      <c r="WIK42" s="1142"/>
      <c r="WIL42" s="1142"/>
      <c r="WIM42" s="1142"/>
      <c r="WIN42" s="1142"/>
      <c r="WIO42" s="1142"/>
      <c r="WIP42" s="1142"/>
      <c r="WIQ42" s="1142"/>
      <c r="WIR42" s="1142"/>
      <c r="WIS42" s="1142"/>
      <c r="WIT42" s="1142"/>
      <c r="WIU42" s="1142"/>
      <c r="WIV42" s="1142"/>
      <c r="WIW42" s="1142"/>
      <c r="WIX42" s="1142"/>
      <c r="WIY42" s="1142"/>
      <c r="WIZ42" s="1142"/>
      <c r="WJA42" s="1167"/>
      <c r="WJB42" s="1167"/>
      <c r="WJC42" s="1167"/>
      <c r="WJD42" s="1167"/>
      <c r="WJE42" s="1167"/>
      <c r="WJF42" s="1167"/>
      <c r="WJG42" s="1167"/>
      <c r="WJH42" s="1167"/>
      <c r="WJI42" s="1167"/>
      <c r="WJJ42" s="1142"/>
      <c r="WJK42" s="1142"/>
      <c r="WJL42" s="1142"/>
      <c r="WJM42" s="1142"/>
      <c r="WJN42" s="1142"/>
      <c r="WJO42" s="1142"/>
      <c r="WJP42" s="1142"/>
      <c r="WJQ42" s="1142"/>
      <c r="WJR42" s="1142"/>
      <c r="WJS42" s="1142"/>
      <c r="WJT42" s="1142"/>
      <c r="WJU42" s="1142"/>
      <c r="WJV42" s="1142"/>
      <c r="WJW42" s="1142"/>
      <c r="WJX42" s="1142"/>
      <c r="WJY42" s="1142"/>
      <c r="WJZ42" s="1142"/>
      <c r="WKA42" s="1142"/>
      <c r="WKB42" s="1142"/>
      <c r="WKC42" s="1142"/>
      <c r="WKD42" s="1142"/>
      <c r="WKE42" s="1142"/>
      <c r="WKF42" s="1142"/>
      <c r="WKG42" s="1167"/>
      <c r="WKH42" s="1167"/>
      <c r="WKI42" s="1167"/>
      <c r="WKJ42" s="1167"/>
      <c r="WKK42" s="1167"/>
      <c r="WKL42" s="1167"/>
      <c r="WKM42" s="1167"/>
      <c r="WKN42" s="1167"/>
      <c r="WKO42" s="1167"/>
      <c r="WKP42" s="1142"/>
      <c r="WKQ42" s="1142"/>
      <c r="WKR42" s="1142"/>
      <c r="WKS42" s="1142"/>
      <c r="WKT42" s="1142"/>
      <c r="WKU42" s="1142"/>
      <c r="WKV42" s="1142"/>
      <c r="WKW42" s="1142"/>
      <c r="WKX42" s="1142"/>
      <c r="WKY42" s="1142"/>
      <c r="WKZ42" s="1142"/>
      <c r="WLA42" s="1142"/>
      <c r="WLB42" s="1142"/>
      <c r="WLC42" s="1142"/>
      <c r="WLD42" s="1142"/>
      <c r="WLE42" s="1142"/>
      <c r="WLF42" s="1142"/>
      <c r="WLG42" s="1142"/>
      <c r="WLH42" s="1142"/>
      <c r="WLI42" s="1142"/>
      <c r="WLJ42" s="1142"/>
      <c r="WLK42" s="1142"/>
      <c r="WLL42" s="1142"/>
      <c r="WLM42" s="1167"/>
      <c r="WLN42" s="1167"/>
      <c r="WLO42" s="1167"/>
      <c r="WLP42" s="1167"/>
      <c r="WLQ42" s="1167"/>
      <c r="WLR42" s="1167"/>
      <c r="WLS42" s="1167"/>
      <c r="WLT42" s="1167"/>
      <c r="WLU42" s="1167"/>
      <c r="WLV42" s="1142"/>
      <c r="WLW42" s="1142"/>
      <c r="WLX42" s="1142"/>
      <c r="WLY42" s="1142"/>
      <c r="WLZ42" s="1142"/>
      <c r="WMA42" s="1142"/>
      <c r="WMB42" s="1142"/>
      <c r="WMC42" s="1142"/>
      <c r="WMD42" s="1142"/>
      <c r="WME42" s="1142"/>
      <c r="WMF42" s="1142"/>
      <c r="WMG42" s="1142"/>
      <c r="WMH42" s="1142"/>
      <c r="WMI42" s="1142"/>
      <c r="WMJ42" s="1142"/>
      <c r="WMK42" s="1142"/>
      <c r="WML42" s="1142"/>
      <c r="WMM42" s="1142"/>
      <c r="WMN42" s="1142"/>
      <c r="WMO42" s="1142"/>
      <c r="WMP42" s="1142"/>
      <c r="WMQ42" s="1142"/>
      <c r="WMR42" s="1142"/>
      <c r="WMS42" s="1167"/>
      <c r="WMT42" s="1167"/>
      <c r="WMU42" s="1167"/>
      <c r="WMV42" s="1167"/>
      <c r="WMW42" s="1167"/>
      <c r="WMX42" s="1167"/>
      <c r="WMY42" s="1167"/>
      <c r="WMZ42" s="1167"/>
      <c r="WNA42" s="1167"/>
      <c r="WNB42" s="1142"/>
      <c r="WNC42" s="1142"/>
      <c r="WND42" s="1142"/>
      <c r="WNE42" s="1142"/>
      <c r="WNF42" s="1142"/>
      <c r="WNG42" s="1142"/>
      <c r="WNH42" s="1142"/>
      <c r="WNI42" s="1142"/>
      <c r="WNJ42" s="1142"/>
      <c r="WNK42" s="1142"/>
      <c r="WNL42" s="1142"/>
      <c r="WNM42" s="1142"/>
      <c r="WNN42" s="1142"/>
      <c r="WNO42" s="1142"/>
      <c r="WNP42" s="1142"/>
      <c r="WNQ42" s="1142"/>
      <c r="WNR42" s="1142"/>
      <c r="WNS42" s="1142"/>
      <c r="WNT42" s="1142"/>
      <c r="WNU42" s="1142"/>
      <c r="WNV42" s="1142"/>
      <c r="WNW42" s="1142"/>
      <c r="WNX42" s="1142"/>
      <c r="WNY42" s="1167"/>
      <c r="WNZ42" s="1167"/>
      <c r="WOA42" s="1167"/>
      <c r="WOB42" s="1167"/>
      <c r="WOC42" s="1167"/>
      <c r="WOD42" s="1167"/>
      <c r="WOE42" s="1167"/>
      <c r="WOF42" s="1167"/>
      <c r="WOG42" s="1167"/>
      <c r="WOH42" s="1142"/>
      <c r="WOI42" s="1142"/>
      <c r="WOJ42" s="1142"/>
      <c r="WOK42" s="1142"/>
      <c r="WOL42" s="1142"/>
      <c r="WOM42" s="1142"/>
      <c r="WON42" s="1142"/>
      <c r="WOO42" s="1142"/>
      <c r="WOP42" s="1142"/>
      <c r="WOQ42" s="1142"/>
      <c r="WOR42" s="1142"/>
      <c r="WOS42" s="1142"/>
      <c r="WOT42" s="1142"/>
      <c r="WOU42" s="1142"/>
      <c r="WOV42" s="1142"/>
      <c r="WOW42" s="1142"/>
      <c r="WOX42" s="1142"/>
      <c r="WOY42" s="1142"/>
      <c r="WOZ42" s="1142"/>
      <c r="WPA42" s="1142"/>
      <c r="WPB42" s="1142"/>
      <c r="WPC42" s="1142"/>
      <c r="WPD42" s="1142"/>
      <c r="WPE42" s="1167"/>
      <c r="WPF42" s="1167"/>
      <c r="WPG42" s="1167"/>
      <c r="WPH42" s="1167"/>
      <c r="WPI42" s="1167"/>
      <c r="WPJ42" s="1167"/>
      <c r="WPK42" s="1167"/>
      <c r="WPL42" s="1167"/>
      <c r="WPM42" s="1167"/>
      <c r="WPN42" s="1142"/>
      <c r="WPO42" s="1142"/>
      <c r="WPP42" s="1142"/>
      <c r="WPQ42" s="1142"/>
      <c r="WPR42" s="1142"/>
      <c r="WPS42" s="1142"/>
      <c r="WPT42" s="1142"/>
      <c r="WPU42" s="1142"/>
      <c r="WPV42" s="1142"/>
      <c r="WPW42" s="1142"/>
      <c r="WPX42" s="1142"/>
      <c r="WPY42" s="1142"/>
      <c r="WPZ42" s="1142"/>
      <c r="WQA42" s="1142"/>
      <c r="WQB42" s="1142"/>
      <c r="WQC42" s="1142"/>
      <c r="WQD42" s="1142"/>
      <c r="WQE42" s="1142"/>
      <c r="WQF42" s="1142"/>
      <c r="WQG42" s="1142"/>
      <c r="WQH42" s="1142"/>
      <c r="WQI42" s="1142"/>
      <c r="WQJ42" s="1142"/>
      <c r="WQK42" s="1167"/>
      <c r="WQL42" s="1167"/>
      <c r="WQM42" s="1167"/>
      <c r="WQN42" s="1167"/>
      <c r="WQO42" s="1167"/>
      <c r="WQP42" s="1167"/>
      <c r="WQQ42" s="1167"/>
      <c r="WQR42" s="1167"/>
      <c r="WQS42" s="1167"/>
      <c r="WQT42" s="1142"/>
      <c r="WQU42" s="1142"/>
      <c r="WQV42" s="1142"/>
      <c r="WQW42" s="1142"/>
      <c r="WQX42" s="1142"/>
      <c r="WQY42" s="1142"/>
      <c r="WQZ42" s="1142"/>
      <c r="WRA42" s="1142"/>
      <c r="WRB42" s="1142"/>
      <c r="WRC42" s="1142"/>
      <c r="WRD42" s="1142"/>
      <c r="WRE42" s="1142"/>
      <c r="WRF42" s="1142"/>
      <c r="WRG42" s="1142"/>
      <c r="WRH42" s="1142"/>
      <c r="WRI42" s="1142"/>
      <c r="WRJ42" s="1142"/>
      <c r="WRK42" s="1142"/>
      <c r="WRL42" s="1142"/>
      <c r="WRM42" s="1142"/>
      <c r="WRN42" s="1142"/>
      <c r="WRO42" s="1142"/>
      <c r="WRP42" s="1142"/>
      <c r="WRQ42" s="1167"/>
      <c r="WRR42" s="1167"/>
      <c r="WRS42" s="1167"/>
      <c r="WRT42" s="1167"/>
      <c r="WRU42" s="1167"/>
      <c r="WRV42" s="1167"/>
      <c r="WRW42" s="1167"/>
      <c r="WRX42" s="1167"/>
      <c r="WRY42" s="1167"/>
      <c r="WRZ42" s="1142"/>
      <c r="WSA42" s="1142"/>
      <c r="WSB42" s="1142"/>
      <c r="WSC42" s="1142"/>
      <c r="WSD42" s="1142"/>
      <c r="WSE42" s="1142"/>
      <c r="WSF42" s="1142"/>
      <c r="WSG42" s="1142"/>
      <c r="WSH42" s="1142"/>
      <c r="WSI42" s="1142"/>
      <c r="WSJ42" s="1142"/>
      <c r="WSK42" s="1142"/>
      <c r="WSL42" s="1142"/>
      <c r="WSM42" s="1142"/>
      <c r="WSN42" s="1142"/>
      <c r="WSO42" s="1142"/>
      <c r="WSP42" s="1142"/>
      <c r="WSQ42" s="1142"/>
      <c r="WSR42" s="1142"/>
      <c r="WSS42" s="1142"/>
      <c r="WST42" s="1142"/>
      <c r="WSU42" s="1142"/>
      <c r="WSV42" s="1142"/>
      <c r="WSW42" s="1167"/>
      <c r="WSX42" s="1167"/>
      <c r="WSY42" s="1167"/>
      <c r="WSZ42" s="1167"/>
      <c r="WTA42" s="1167"/>
      <c r="WTB42" s="1167"/>
      <c r="WTC42" s="1167"/>
      <c r="WTD42" s="1167"/>
      <c r="WTE42" s="1167"/>
      <c r="WTF42" s="1142"/>
      <c r="WTG42" s="1142"/>
      <c r="WTH42" s="1142"/>
      <c r="WTI42" s="1142"/>
      <c r="WTJ42" s="1142"/>
      <c r="WTK42" s="1142"/>
      <c r="WTL42" s="1142"/>
      <c r="WTM42" s="1142"/>
      <c r="WTN42" s="1142"/>
      <c r="WTO42" s="1142"/>
      <c r="WTP42" s="1142"/>
      <c r="WTQ42" s="1142"/>
      <c r="WTR42" s="1142"/>
      <c r="WTS42" s="1142"/>
      <c r="WTT42" s="1142"/>
      <c r="WTU42" s="1142"/>
      <c r="WTV42" s="1142"/>
      <c r="WTW42" s="1142"/>
      <c r="WTX42" s="1142"/>
      <c r="WTY42" s="1142"/>
      <c r="WTZ42" s="1142"/>
      <c r="WUA42" s="1142"/>
      <c r="WUB42" s="1142"/>
      <c r="WUC42" s="1167"/>
      <c r="WUD42" s="1167"/>
      <c r="WUE42" s="1167"/>
      <c r="WUF42" s="1167"/>
      <c r="WUG42" s="1167"/>
      <c r="WUH42" s="1167"/>
      <c r="WUI42" s="1167"/>
      <c r="WUJ42" s="1167"/>
      <c r="WUK42" s="1167"/>
      <c r="WUL42" s="1142"/>
      <c r="WUM42" s="1142"/>
      <c r="WUN42" s="1142"/>
      <c r="WUO42" s="1142"/>
      <c r="WUP42" s="1142"/>
      <c r="WUQ42" s="1142"/>
      <c r="WUR42" s="1142"/>
      <c r="WUS42" s="1142"/>
      <c r="WUT42" s="1142"/>
      <c r="WUU42" s="1142"/>
      <c r="WUV42" s="1142"/>
      <c r="WUW42" s="1142"/>
      <c r="WUX42" s="1142"/>
      <c r="WUY42" s="1142"/>
      <c r="WUZ42" s="1142"/>
      <c r="WVA42" s="1142"/>
      <c r="WVB42" s="1142"/>
      <c r="WVC42" s="1142"/>
      <c r="WVD42" s="1142"/>
      <c r="WVE42" s="1142"/>
      <c r="WVF42" s="1142"/>
      <c r="WVG42" s="1142"/>
      <c r="WVH42" s="1142"/>
      <c r="WVI42" s="1167"/>
      <c r="WVJ42" s="1167"/>
      <c r="WVK42" s="1167"/>
      <c r="WVL42" s="1167"/>
      <c r="WVM42" s="1167"/>
      <c r="WVN42" s="1167"/>
      <c r="WVO42" s="1167"/>
      <c r="WVP42" s="1167"/>
      <c r="WVQ42" s="1167"/>
      <c r="WVR42" s="1142"/>
      <c r="WVS42" s="1142"/>
      <c r="WVT42" s="1142"/>
      <c r="WVU42" s="1142"/>
      <c r="WVV42" s="1142"/>
      <c r="WVW42" s="1142"/>
      <c r="WVX42" s="1142"/>
      <c r="WVY42" s="1142"/>
      <c r="WVZ42" s="1142"/>
      <c r="WWA42" s="1142"/>
      <c r="WWB42" s="1142"/>
      <c r="WWC42" s="1142"/>
      <c r="WWD42" s="1142"/>
      <c r="WWE42" s="1142"/>
      <c r="WWF42" s="1142"/>
      <c r="WWG42" s="1142"/>
      <c r="WWH42" s="1142"/>
      <c r="WWI42" s="1142"/>
      <c r="WWJ42" s="1142"/>
      <c r="WWK42" s="1142"/>
      <c r="WWL42" s="1142"/>
      <c r="WWM42" s="1142"/>
      <c r="WWN42" s="1142"/>
      <c r="WWO42" s="1167"/>
      <c r="WWP42" s="1167"/>
      <c r="WWQ42" s="1167"/>
      <c r="WWR42" s="1167"/>
      <c r="WWS42" s="1167"/>
      <c r="WWT42" s="1167"/>
      <c r="WWU42" s="1167"/>
      <c r="WWV42" s="1167"/>
      <c r="WWW42" s="1167"/>
      <c r="WWX42" s="1142"/>
      <c r="WWY42" s="1142"/>
      <c r="WWZ42" s="1142"/>
      <c r="WXA42" s="1142"/>
      <c r="WXB42" s="1142"/>
      <c r="WXC42" s="1142"/>
      <c r="WXD42" s="1142"/>
      <c r="WXE42" s="1142"/>
      <c r="WXF42" s="1142"/>
      <c r="WXG42" s="1142"/>
      <c r="WXH42" s="1142"/>
      <c r="WXI42" s="1142"/>
      <c r="WXJ42" s="1142"/>
      <c r="WXK42" s="1142"/>
      <c r="WXL42" s="1142"/>
      <c r="WXM42" s="1142"/>
      <c r="WXN42" s="1142"/>
      <c r="WXO42" s="1142"/>
      <c r="WXP42" s="1142"/>
      <c r="WXQ42" s="1142"/>
      <c r="WXR42" s="1142"/>
      <c r="WXS42" s="1142"/>
      <c r="WXT42" s="1142"/>
      <c r="WXU42" s="1167"/>
      <c r="WXV42" s="1167"/>
      <c r="WXW42" s="1167"/>
      <c r="WXX42" s="1167"/>
      <c r="WXY42" s="1167"/>
      <c r="WXZ42" s="1167"/>
      <c r="WYA42" s="1167"/>
      <c r="WYB42" s="1167"/>
      <c r="WYC42" s="1167"/>
      <c r="WYD42" s="1142"/>
      <c r="WYE42" s="1142"/>
      <c r="WYF42" s="1142"/>
      <c r="WYG42" s="1142"/>
      <c r="WYH42" s="1142"/>
      <c r="WYI42" s="1142"/>
      <c r="WYJ42" s="1142"/>
      <c r="WYK42" s="1142"/>
      <c r="WYL42" s="1142"/>
      <c r="WYM42" s="1142"/>
      <c r="WYN42" s="1142"/>
      <c r="WYO42" s="1142"/>
      <c r="WYP42" s="1142"/>
      <c r="WYQ42" s="1142"/>
      <c r="WYR42" s="1142"/>
      <c r="WYS42" s="1142"/>
      <c r="WYT42" s="1142"/>
      <c r="WYU42" s="1142"/>
      <c r="WYV42" s="1142"/>
      <c r="WYW42" s="1142"/>
      <c r="WYX42" s="1142"/>
      <c r="WYY42" s="1142"/>
      <c r="WYZ42" s="1142"/>
      <c r="WZA42" s="1167"/>
      <c r="WZB42" s="1167"/>
      <c r="WZC42" s="1167"/>
      <c r="WZD42" s="1167"/>
      <c r="WZE42" s="1167"/>
      <c r="WZF42" s="1167"/>
      <c r="WZG42" s="1167"/>
      <c r="WZH42" s="1167"/>
      <c r="WZI42" s="1167"/>
      <c r="WZJ42" s="1142"/>
      <c r="WZK42" s="1142"/>
      <c r="WZL42" s="1142"/>
      <c r="WZM42" s="1142"/>
      <c r="WZN42" s="1142"/>
      <c r="WZO42" s="1142"/>
      <c r="WZP42" s="1142"/>
      <c r="WZQ42" s="1142"/>
      <c r="WZR42" s="1142"/>
      <c r="WZS42" s="1142"/>
      <c r="WZT42" s="1142"/>
      <c r="WZU42" s="1142"/>
      <c r="WZV42" s="1142"/>
      <c r="WZW42" s="1142"/>
      <c r="WZX42" s="1142"/>
      <c r="WZY42" s="1142"/>
      <c r="WZZ42" s="1142"/>
      <c r="XAA42" s="1142"/>
      <c r="XAB42" s="1142"/>
      <c r="XAC42" s="1142"/>
      <c r="XAD42" s="1142"/>
      <c r="XAE42" s="1142"/>
      <c r="XAF42" s="1142"/>
      <c r="XAG42" s="1167"/>
      <c r="XAH42" s="1167"/>
      <c r="XAI42" s="1167"/>
      <c r="XAJ42" s="1167"/>
      <c r="XAK42" s="1167"/>
      <c r="XAL42" s="1167"/>
      <c r="XAM42" s="1167"/>
      <c r="XAN42" s="1167"/>
      <c r="XAO42" s="1167"/>
      <c r="XAP42" s="1142"/>
      <c r="XAQ42" s="1142"/>
      <c r="XAR42" s="1142"/>
      <c r="XAS42" s="1142"/>
      <c r="XAT42" s="1142"/>
      <c r="XAU42" s="1142"/>
      <c r="XAV42" s="1142"/>
      <c r="XAW42" s="1142"/>
      <c r="XAX42" s="1142"/>
      <c r="XAY42" s="1142"/>
      <c r="XAZ42" s="1142"/>
      <c r="XBA42" s="1142"/>
      <c r="XBB42" s="1142"/>
      <c r="XBC42" s="1142"/>
      <c r="XBD42" s="1142"/>
      <c r="XBE42" s="1142"/>
      <c r="XBF42" s="1142"/>
      <c r="XBG42" s="1142"/>
      <c r="XBH42" s="1142"/>
      <c r="XBI42" s="1142"/>
      <c r="XBJ42" s="1142"/>
      <c r="XBK42" s="1142"/>
      <c r="XBL42" s="1142"/>
      <c r="XBM42" s="1167"/>
      <c r="XBN42" s="1167"/>
      <c r="XBO42" s="1167"/>
      <c r="XBP42" s="1167"/>
      <c r="XBQ42" s="1167"/>
      <c r="XBR42" s="1167"/>
      <c r="XBS42" s="1167"/>
      <c r="XBT42" s="1167"/>
      <c r="XBU42" s="1167"/>
      <c r="XBV42" s="1142"/>
      <c r="XBW42" s="1142"/>
      <c r="XBX42" s="1142"/>
      <c r="XBY42" s="1142"/>
      <c r="XBZ42" s="1142"/>
      <c r="XCA42" s="1142"/>
      <c r="XCB42" s="1142"/>
      <c r="XCC42" s="1142"/>
      <c r="XCD42" s="1142"/>
      <c r="XCE42" s="1142"/>
      <c r="XCF42" s="1142"/>
      <c r="XCG42" s="1142"/>
      <c r="XCH42" s="1142"/>
      <c r="XCI42" s="1142"/>
      <c r="XCJ42" s="1142"/>
      <c r="XCK42" s="1142"/>
      <c r="XCL42" s="1142"/>
      <c r="XCM42" s="1142"/>
      <c r="XCN42" s="1142"/>
      <c r="XCO42" s="1142"/>
      <c r="XCP42" s="1142"/>
      <c r="XCQ42" s="1142"/>
      <c r="XCR42" s="1142"/>
      <c r="XCS42" s="1167"/>
      <c r="XCT42" s="1167"/>
      <c r="XCU42" s="1167"/>
      <c r="XCV42" s="1167"/>
      <c r="XCW42" s="1167"/>
      <c r="XCX42" s="1167"/>
      <c r="XCY42" s="1167"/>
      <c r="XCZ42" s="1167"/>
      <c r="XDA42" s="1167"/>
      <c r="XDB42" s="1142"/>
      <c r="XDC42" s="1142"/>
      <c r="XDD42" s="1142"/>
      <c r="XDE42" s="1142"/>
      <c r="XDF42" s="1142"/>
      <c r="XDG42" s="1142"/>
      <c r="XDH42" s="1142"/>
      <c r="XDI42" s="1142"/>
      <c r="XDJ42" s="1142"/>
      <c r="XDK42" s="1142"/>
      <c r="XDL42" s="1142"/>
      <c r="XDM42" s="1142"/>
      <c r="XDN42" s="1142"/>
      <c r="XDO42" s="1142"/>
      <c r="XDP42" s="1142"/>
      <c r="XDQ42" s="1142"/>
      <c r="XDR42" s="1142"/>
      <c r="XDS42" s="1142"/>
      <c r="XDT42" s="1142"/>
      <c r="XDU42" s="1142"/>
      <c r="XDV42" s="1142"/>
      <c r="XDW42" s="1142"/>
      <c r="XDX42" s="1142"/>
      <c r="XDY42" s="1167"/>
      <c r="XDZ42" s="1167"/>
      <c r="XEA42" s="1167"/>
      <c r="XEB42" s="1167"/>
      <c r="XEC42" s="1167"/>
      <c r="XED42" s="1167"/>
      <c r="XEE42" s="1167"/>
      <c r="XEF42" s="1167"/>
      <c r="XEG42" s="1167"/>
      <c r="XEH42" s="1142"/>
      <c r="XEI42" s="1142"/>
      <c r="XEJ42" s="1142"/>
      <c r="XEK42" s="1142"/>
      <c r="XEL42" s="1142"/>
      <c r="XEM42" s="1142"/>
      <c r="XEN42" s="1142"/>
      <c r="XEO42" s="1142"/>
      <c r="XEP42" s="1142"/>
      <c r="XEQ42" s="1142"/>
      <c r="XER42" s="1142"/>
      <c r="XES42" s="1142"/>
      <c r="XET42" s="1142"/>
      <c r="XEU42" s="1142"/>
      <c r="XEV42" s="1142"/>
      <c r="XEW42" s="1142"/>
      <c r="XEX42" s="1142"/>
      <c r="XEY42" s="1142"/>
      <c r="XEZ42" s="1142"/>
      <c r="XFA42" s="1142"/>
      <c r="XFB42" s="1142"/>
      <c r="XFC42" s="1142"/>
      <c r="XFD42" s="1142"/>
    </row>
    <row r="43" spans="1:16384" s="272" customFormat="1" x14ac:dyDescent="0.25">
      <c r="A43" s="1167"/>
      <c r="B43" s="1167"/>
      <c r="C43" s="1167"/>
      <c r="D43" s="1167"/>
      <c r="E43" s="1167"/>
      <c r="F43" s="1167"/>
      <c r="G43" s="1167"/>
      <c r="H43" s="1167"/>
      <c r="I43" s="1167"/>
      <c r="J43" s="1142"/>
      <c r="K43" s="1142"/>
      <c r="L43" s="1142"/>
      <c r="M43" s="1142"/>
      <c r="N43" s="1142"/>
      <c r="O43" s="1142"/>
      <c r="P43" s="1142"/>
      <c r="Q43" s="1142"/>
      <c r="R43" s="1142"/>
      <c r="S43" s="1142"/>
      <c r="T43" s="1142"/>
      <c r="U43" s="1142"/>
      <c r="V43" s="1142"/>
      <c r="W43" s="1142"/>
      <c r="X43" s="1142"/>
      <c r="Y43" s="1142"/>
      <c r="Z43" s="1142"/>
      <c r="AA43" s="1142"/>
      <c r="AB43" s="1142"/>
      <c r="AC43" s="1142"/>
      <c r="AD43" s="1142"/>
      <c r="AE43" s="1142"/>
      <c r="AF43" s="1142"/>
    </row>
    <row r="44" spans="1:16384" s="272" customFormat="1" ht="79.5" customHeight="1" x14ac:dyDescent="0.25">
      <c r="A44" s="1167" t="s">
        <v>2554</v>
      </c>
      <c r="B44" s="1167"/>
      <c r="C44" s="1167"/>
      <c r="D44" s="1167"/>
      <c r="E44" s="1167"/>
      <c r="F44" s="1167"/>
      <c r="G44" s="1167"/>
      <c r="H44" s="1167"/>
      <c r="I44" s="1167"/>
      <c r="J44" s="1142" t="s">
        <v>2555</v>
      </c>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row>
    <row r="46" spans="1:16384" s="272" customFormat="1" x14ac:dyDescent="0.25">
      <c r="A46" s="1167" t="s">
        <v>528</v>
      </c>
      <c r="B46" s="1167"/>
      <c r="C46" s="1167"/>
      <c r="D46" s="1167"/>
      <c r="E46" s="1167"/>
      <c r="F46" s="1167"/>
      <c r="G46" s="1167"/>
      <c r="H46" s="1167"/>
      <c r="I46" s="1167"/>
      <c r="J46" s="1142" t="s">
        <v>2556</v>
      </c>
      <c r="K46" s="1142"/>
      <c r="L46" s="1142"/>
      <c r="M46" s="1142"/>
      <c r="N46" s="1142"/>
      <c r="O46" s="1142"/>
      <c r="P46" s="1142"/>
      <c r="Q46" s="1142"/>
      <c r="R46" s="1142"/>
      <c r="S46" s="1142"/>
      <c r="T46" s="1142"/>
      <c r="U46" s="1142"/>
      <c r="V46" s="1142"/>
      <c r="W46" s="1142"/>
      <c r="X46" s="1142"/>
      <c r="Y46" s="1142"/>
      <c r="Z46" s="1142"/>
      <c r="AA46" s="1142"/>
      <c r="AB46" s="1142"/>
      <c r="AC46" s="1142"/>
      <c r="AD46" s="1142"/>
      <c r="AE46" s="1142"/>
      <c r="AF46" s="1142"/>
    </row>
    <row r="48" spans="1:16384" s="272" customFormat="1" ht="36.75" customHeight="1" x14ac:dyDescent="0.25">
      <c r="A48" s="1167" t="s">
        <v>2557</v>
      </c>
      <c r="B48" s="1167"/>
      <c r="C48" s="1167"/>
      <c r="D48" s="1167"/>
      <c r="E48" s="1167"/>
      <c r="F48" s="1167"/>
      <c r="G48" s="1167"/>
      <c r="H48" s="1167"/>
      <c r="I48" s="1167"/>
      <c r="J48" s="1142" t="s">
        <v>2558</v>
      </c>
      <c r="K48" s="1142"/>
      <c r="L48" s="1142"/>
      <c r="M48" s="1142"/>
      <c r="N48" s="1142"/>
      <c r="O48" s="1142"/>
      <c r="P48" s="1142"/>
      <c r="Q48" s="1142"/>
      <c r="R48" s="1142"/>
      <c r="S48" s="1142"/>
      <c r="T48" s="1142"/>
      <c r="U48" s="1142"/>
      <c r="V48" s="1142"/>
      <c r="W48" s="1142"/>
      <c r="X48" s="1142"/>
      <c r="Y48" s="1142"/>
      <c r="Z48" s="1142"/>
      <c r="AA48" s="1142"/>
      <c r="AB48" s="1142"/>
      <c r="AC48" s="1142"/>
      <c r="AD48" s="1142"/>
      <c r="AE48" s="1142"/>
      <c r="AF48" s="1142"/>
    </row>
    <row r="49" spans="1:16384" s="272" customFormat="1" x14ac:dyDescent="0.25">
      <c r="A49" s="273"/>
    </row>
    <row r="50" spans="1:16384" s="272" customFormat="1" ht="186" customHeight="1" x14ac:dyDescent="0.25">
      <c r="A50" s="1167" t="s">
        <v>3742</v>
      </c>
      <c r="B50" s="1167"/>
      <c r="C50" s="1167"/>
      <c r="D50" s="1167"/>
      <c r="E50" s="1167"/>
      <c r="F50" s="1167"/>
      <c r="G50" s="1167"/>
      <c r="H50" s="1167"/>
      <c r="I50" s="1167"/>
      <c r="J50" s="1142" t="s">
        <v>3743</v>
      </c>
      <c r="K50" s="1142"/>
      <c r="L50" s="1142"/>
      <c r="M50" s="1142"/>
      <c r="N50" s="1142"/>
      <c r="O50" s="1142"/>
      <c r="P50" s="1142"/>
      <c r="Q50" s="1142"/>
      <c r="R50" s="1142"/>
      <c r="S50" s="1142"/>
      <c r="T50" s="1142"/>
      <c r="U50" s="1142"/>
      <c r="V50" s="1142"/>
      <c r="W50" s="1142"/>
      <c r="X50" s="1142"/>
      <c r="Y50" s="1142"/>
      <c r="Z50" s="1142"/>
      <c r="AA50" s="1142"/>
      <c r="AB50" s="1142"/>
      <c r="AC50" s="1142"/>
      <c r="AD50" s="1142"/>
      <c r="AE50" s="1142"/>
      <c r="AF50" s="1142"/>
    </row>
    <row r="52" spans="1:16384" s="272" customFormat="1" ht="83.25" customHeight="1" x14ac:dyDescent="0.25">
      <c r="A52" s="1167" t="s">
        <v>2562</v>
      </c>
      <c r="B52" s="1167"/>
      <c r="C52" s="1167"/>
      <c r="D52" s="1167"/>
      <c r="E52" s="1167"/>
      <c r="F52" s="1167"/>
      <c r="G52" s="1167"/>
      <c r="H52" s="1167"/>
      <c r="I52" s="1167"/>
      <c r="J52" s="1142" t="s">
        <v>2563</v>
      </c>
      <c r="K52" s="1142"/>
      <c r="L52" s="1142"/>
      <c r="M52" s="1142"/>
      <c r="N52" s="1142"/>
      <c r="O52" s="1142"/>
      <c r="P52" s="1142"/>
      <c r="Q52" s="1142"/>
      <c r="R52" s="1142"/>
      <c r="S52" s="1142"/>
      <c r="T52" s="1142"/>
      <c r="U52" s="1142"/>
      <c r="V52" s="1142"/>
      <c r="W52" s="1142"/>
      <c r="X52" s="1142"/>
      <c r="Y52" s="1142"/>
      <c r="Z52" s="1142"/>
      <c r="AA52" s="1142"/>
      <c r="AB52" s="1142"/>
      <c r="AC52" s="1142"/>
      <c r="AD52" s="1142"/>
      <c r="AE52" s="1142"/>
      <c r="AF52" s="1142"/>
      <c r="AG52" s="1167"/>
      <c r="AH52" s="1167"/>
      <c r="AI52" s="1167"/>
      <c r="AJ52" s="1167"/>
      <c r="AK52" s="1167"/>
      <c r="AL52" s="1167"/>
      <c r="AM52" s="1167"/>
      <c r="AN52" s="1167"/>
      <c r="AO52" s="1167"/>
      <c r="AP52" s="1142"/>
      <c r="AQ52" s="1142"/>
      <c r="AR52" s="1142"/>
      <c r="AS52" s="1142"/>
      <c r="AT52" s="1142"/>
      <c r="AU52" s="1142"/>
      <c r="AV52" s="1142"/>
      <c r="AW52" s="1142"/>
      <c r="AX52" s="1142"/>
      <c r="AY52" s="1142"/>
      <c r="AZ52" s="1142"/>
      <c r="BA52" s="1142"/>
      <c r="BB52" s="1142"/>
      <c r="BC52" s="1142"/>
      <c r="BD52" s="1142"/>
      <c r="BE52" s="1142"/>
      <c r="BF52" s="1142"/>
      <c r="BG52" s="1142"/>
      <c r="BH52" s="1142"/>
      <c r="BI52" s="1142"/>
      <c r="BJ52" s="1142"/>
      <c r="BK52" s="1142"/>
      <c r="BL52" s="1142"/>
      <c r="BM52" s="1167"/>
      <c r="BN52" s="1167"/>
      <c r="BO52" s="1167"/>
      <c r="BP52" s="1167"/>
      <c r="BQ52" s="1167"/>
      <c r="BR52" s="1167"/>
      <c r="BS52" s="1167"/>
      <c r="BT52" s="1167"/>
      <c r="BU52" s="1167"/>
      <c r="BV52" s="1142"/>
      <c r="BW52" s="1142"/>
      <c r="BX52" s="1142"/>
      <c r="BY52" s="1142"/>
      <c r="BZ52" s="1142"/>
      <c r="CA52" s="1142"/>
      <c r="CB52" s="1142"/>
      <c r="CC52" s="1142"/>
      <c r="CD52" s="1142"/>
      <c r="CE52" s="1142"/>
      <c r="CF52" s="1142"/>
      <c r="CG52" s="1142"/>
      <c r="CH52" s="1142"/>
      <c r="CI52" s="1142"/>
      <c r="CJ52" s="1142"/>
      <c r="CK52" s="1142"/>
      <c r="CL52" s="1142"/>
      <c r="CM52" s="1142"/>
      <c r="CN52" s="1142"/>
      <c r="CO52" s="1142"/>
      <c r="CP52" s="1142"/>
      <c r="CQ52" s="1142"/>
      <c r="CR52" s="1142"/>
      <c r="CS52" s="1167"/>
      <c r="CT52" s="1167"/>
      <c r="CU52" s="1167"/>
      <c r="CV52" s="1167"/>
      <c r="CW52" s="1167"/>
      <c r="CX52" s="1167"/>
      <c r="CY52" s="1167"/>
      <c r="CZ52" s="1167"/>
      <c r="DA52" s="1167"/>
      <c r="DB52" s="1142"/>
      <c r="DC52" s="1142"/>
      <c r="DD52" s="1142"/>
      <c r="DE52" s="1142"/>
      <c r="DF52" s="1142"/>
      <c r="DG52" s="1142"/>
      <c r="DH52" s="1142"/>
      <c r="DI52" s="1142"/>
      <c r="DJ52" s="1142"/>
      <c r="DK52" s="1142"/>
      <c r="DL52" s="1142"/>
      <c r="DM52" s="1142"/>
      <c r="DN52" s="1142"/>
      <c r="DO52" s="1142"/>
      <c r="DP52" s="1142"/>
      <c r="DQ52" s="1142"/>
      <c r="DR52" s="1142"/>
      <c r="DS52" s="1142"/>
      <c r="DT52" s="1142"/>
      <c r="DU52" s="1142"/>
      <c r="DV52" s="1142"/>
      <c r="DW52" s="1142"/>
      <c r="DX52" s="1142"/>
      <c r="DY52" s="1167"/>
      <c r="DZ52" s="1167"/>
      <c r="EA52" s="1167"/>
      <c r="EB52" s="1167"/>
      <c r="EC52" s="1167"/>
      <c r="ED52" s="1167"/>
      <c r="EE52" s="1167"/>
      <c r="EF52" s="1167"/>
      <c r="EG52" s="1167"/>
      <c r="EH52" s="1142"/>
      <c r="EI52" s="1142"/>
      <c r="EJ52" s="1142"/>
      <c r="EK52" s="1142"/>
      <c r="EL52" s="1142"/>
      <c r="EM52" s="1142"/>
      <c r="EN52" s="1142"/>
      <c r="EO52" s="1142"/>
      <c r="EP52" s="1142"/>
      <c r="EQ52" s="1142"/>
      <c r="ER52" s="1142"/>
      <c r="ES52" s="1142"/>
      <c r="ET52" s="1142"/>
      <c r="EU52" s="1142"/>
      <c r="EV52" s="1142"/>
      <c r="EW52" s="1142"/>
      <c r="EX52" s="1142"/>
      <c r="EY52" s="1142"/>
      <c r="EZ52" s="1142"/>
      <c r="FA52" s="1142"/>
      <c r="FB52" s="1142"/>
      <c r="FC52" s="1142"/>
      <c r="FD52" s="1142"/>
      <c r="FE52" s="1167"/>
      <c r="FF52" s="1167"/>
      <c r="FG52" s="1167"/>
      <c r="FH52" s="1167"/>
      <c r="FI52" s="1167"/>
      <c r="FJ52" s="1167"/>
      <c r="FK52" s="1167"/>
      <c r="FL52" s="1167"/>
      <c r="FM52" s="1167"/>
      <c r="FN52" s="1142"/>
      <c r="FO52" s="1142"/>
      <c r="FP52" s="1142"/>
      <c r="FQ52" s="1142"/>
      <c r="FR52" s="1142"/>
      <c r="FS52" s="1142"/>
      <c r="FT52" s="1142"/>
      <c r="FU52" s="1142"/>
      <c r="FV52" s="1142"/>
      <c r="FW52" s="1142"/>
      <c r="FX52" s="1142"/>
      <c r="FY52" s="1142"/>
      <c r="FZ52" s="1142"/>
      <c r="GA52" s="1142"/>
      <c r="GB52" s="1142"/>
      <c r="GC52" s="1142"/>
      <c r="GD52" s="1142"/>
      <c r="GE52" s="1142"/>
      <c r="GF52" s="1142"/>
      <c r="GG52" s="1142"/>
      <c r="GH52" s="1142"/>
      <c r="GI52" s="1142"/>
      <c r="GJ52" s="1142"/>
      <c r="GK52" s="1167"/>
      <c r="GL52" s="1167"/>
      <c r="GM52" s="1167"/>
      <c r="GN52" s="1167"/>
      <c r="GO52" s="1167"/>
      <c r="GP52" s="1167"/>
      <c r="GQ52" s="1167"/>
      <c r="GR52" s="1167"/>
      <c r="GS52" s="1167"/>
      <c r="GT52" s="1142"/>
      <c r="GU52" s="1142"/>
      <c r="GV52" s="1142"/>
      <c r="GW52" s="1142"/>
      <c r="GX52" s="1142"/>
      <c r="GY52" s="1142"/>
      <c r="GZ52" s="1142"/>
      <c r="HA52" s="1142"/>
      <c r="HB52" s="1142"/>
      <c r="HC52" s="1142"/>
      <c r="HD52" s="1142"/>
      <c r="HE52" s="1142"/>
      <c r="HF52" s="1142"/>
      <c r="HG52" s="1142"/>
      <c r="HH52" s="1142"/>
      <c r="HI52" s="1142"/>
      <c r="HJ52" s="1142"/>
      <c r="HK52" s="1142"/>
      <c r="HL52" s="1142"/>
      <c r="HM52" s="1142"/>
      <c r="HN52" s="1142"/>
      <c r="HO52" s="1142"/>
      <c r="HP52" s="1142"/>
      <c r="HQ52" s="1167"/>
      <c r="HR52" s="1167"/>
      <c r="HS52" s="1167"/>
      <c r="HT52" s="1167"/>
      <c r="HU52" s="1167"/>
      <c r="HV52" s="1167"/>
      <c r="HW52" s="1167"/>
      <c r="HX52" s="1167"/>
      <c r="HY52" s="1167"/>
      <c r="HZ52" s="1142"/>
      <c r="IA52" s="1142"/>
      <c r="IB52" s="1142"/>
      <c r="IC52" s="1142"/>
      <c r="ID52" s="1142"/>
      <c r="IE52" s="1142"/>
      <c r="IF52" s="1142"/>
      <c r="IG52" s="1142"/>
      <c r="IH52" s="1142"/>
      <c r="II52" s="1142"/>
      <c r="IJ52" s="1142"/>
      <c r="IK52" s="1142"/>
      <c r="IL52" s="1142"/>
      <c r="IM52" s="1142"/>
      <c r="IN52" s="1142"/>
      <c r="IO52" s="1142"/>
      <c r="IP52" s="1142"/>
      <c r="IQ52" s="1142"/>
      <c r="IR52" s="1142"/>
      <c r="IS52" s="1142"/>
      <c r="IT52" s="1142"/>
      <c r="IU52" s="1142"/>
      <c r="IV52" s="1142"/>
      <c r="IW52" s="1167"/>
      <c r="IX52" s="1167"/>
      <c r="IY52" s="1167"/>
      <c r="IZ52" s="1167"/>
      <c r="JA52" s="1167"/>
      <c r="JB52" s="1167"/>
      <c r="JC52" s="1167"/>
      <c r="JD52" s="1167"/>
      <c r="JE52" s="1167"/>
      <c r="JF52" s="1142"/>
      <c r="JG52" s="1142"/>
      <c r="JH52" s="1142"/>
      <c r="JI52" s="1142"/>
      <c r="JJ52" s="1142"/>
      <c r="JK52" s="1142"/>
      <c r="JL52" s="1142"/>
      <c r="JM52" s="1142"/>
      <c r="JN52" s="1142"/>
      <c r="JO52" s="1142"/>
      <c r="JP52" s="1142"/>
      <c r="JQ52" s="1142"/>
      <c r="JR52" s="1142"/>
      <c r="JS52" s="1142"/>
      <c r="JT52" s="1142"/>
      <c r="JU52" s="1142"/>
      <c r="JV52" s="1142"/>
      <c r="JW52" s="1142"/>
      <c r="JX52" s="1142"/>
      <c r="JY52" s="1142"/>
      <c r="JZ52" s="1142"/>
      <c r="KA52" s="1142"/>
      <c r="KB52" s="1142"/>
      <c r="KC52" s="1167"/>
      <c r="KD52" s="1167"/>
      <c r="KE52" s="1167"/>
      <c r="KF52" s="1167"/>
      <c r="KG52" s="1167"/>
      <c r="KH52" s="1167"/>
      <c r="KI52" s="1167"/>
      <c r="KJ52" s="1167"/>
      <c r="KK52" s="1167"/>
      <c r="KL52" s="1142"/>
      <c r="KM52" s="1142"/>
      <c r="KN52" s="1142"/>
      <c r="KO52" s="1142"/>
      <c r="KP52" s="1142"/>
      <c r="KQ52" s="1142"/>
      <c r="KR52" s="1142"/>
      <c r="KS52" s="1142"/>
      <c r="KT52" s="1142"/>
      <c r="KU52" s="1142"/>
      <c r="KV52" s="1142"/>
      <c r="KW52" s="1142"/>
      <c r="KX52" s="1142"/>
      <c r="KY52" s="1142"/>
      <c r="KZ52" s="1142"/>
      <c r="LA52" s="1142"/>
      <c r="LB52" s="1142"/>
      <c r="LC52" s="1142"/>
      <c r="LD52" s="1142"/>
      <c r="LE52" s="1142"/>
      <c r="LF52" s="1142"/>
      <c r="LG52" s="1142"/>
      <c r="LH52" s="1142"/>
      <c r="LI52" s="1167"/>
      <c r="LJ52" s="1167"/>
      <c r="LK52" s="1167"/>
      <c r="LL52" s="1167"/>
      <c r="LM52" s="1167"/>
      <c r="LN52" s="1167"/>
      <c r="LO52" s="1167"/>
      <c r="LP52" s="1167"/>
      <c r="LQ52" s="1167"/>
      <c r="LR52" s="1142"/>
      <c r="LS52" s="1142"/>
      <c r="LT52" s="1142"/>
      <c r="LU52" s="1142"/>
      <c r="LV52" s="1142"/>
      <c r="LW52" s="1142"/>
      <c r="LX52" s="1142"/>
      <c r="LY52" s="1142"/>
      <c r="LZ52" s="1142"/>
      <c r="MA52" s="1142"/>
      <c r="MB52" s="1142"/>
      <c r="MC52" s="1142"/>
      <c r="MD52" s="1142"/>
      <c r="ME52" s="1142"/>
      <c r="MF52" s="1142"/>
      <c r="MG52" s="1142"/>
      <c r="MH52" s="1142"/>
      <c r="MI52" s="1142"/>
      <c r="MJ52" s="1142"/>
      <c r="MK52" s="1142"/>
      <c r="ML52" s="1142"/>
      <c r="MM52" s="1142"/>
      <c r="MN52" s="1142"/>
      <c r="MO52" s="1167"/>
      <c r="MP52" s="1167"/>
      <c r="MQ52" s="1167"/>
      <c r="MR52" s="1167"/>
      <c r="MS52" s="1167"/>
      <c r="MT52" s="1167"/>
      <c r="MU52" s="1167"/>
      <c r="MV52" s="1167"/>
      <c r="MW52" s="1167"/>
      <c r="MX52" s="1142"/>
      <c r="MY52" s="1142"/>
      <c r="MZ52" s="1142"/>
      <c r="NA52" s="1142"/>
      <c r="NB52" s="1142"/>
      <c r="NC52" s="1142"/>
      <c r="ND52" s="1142"/>
      <c r="NE52" s="1142"/>
      <c r="NF52" s="1142"/>
      <c r="NG52" s="1142"/>
      <c r="NH52" s="1142"/>
      <c r="NI52" s="1142"/>
      <c r="NJ52" s="1142"/>
      <c r="NK52" s="1142"/>
      <c r="NL52" s="1142"/>
      <c r="NM52" s="1142"/>
      <c r="NN52" s="1142"/>
      <c r="NO52" s="1142"/>
      <c r="NP52" s="1142"/>
      <c r="NQ52" s="1142"/>
      <c r="NR52" s="1142"/>
      <c r="NS52" s="1142"/>
      <c r="NT52" s="1142"/>
      <c r="NU52" s="1167"/>
      <c r="NV52" s="1167"/>
      <c r="NW52" s="1167"/>
      <c r="NX52" s="1167"/>
      <c r="NY52" s="1167"/>
      <c r="NZ52" s="1167"/>
      <c r="OA52" s="1167"/>
      <c r="OB52" s="1167"/>
      <c r="OC52" s="1167"/>
      <c r="OD52" s="1142"/>
      <c r="OE52" s="1142"/>
      <c r="OF52" s="1142"/>
      <c r="OG52" s="1142"/>
      <c r="OH52" s="1142"/>
      <c r="OI52" s="1142"/>
      <c r="OJ52" s="1142"/>
      <c r="OK52" s="1142"/>
      <c r="OL52" s="1142"/>
      <c r="OM52" s="1142"/>
      <c r="ON52" s="1142"/>
      <c r="OO52" s="1142"/>
      <c r="OP52" s="1142"/>
      <c r="OQ52" s="1142"/>
      <c r="OR52" s="1142"/>
      <c r="OS52" s="1142"/>
      <c r="OT52" s="1142"/>
      <c r="OU52" s="1142"/>
      <c r="OV52" s="1142"/>
      <c r="OW52" s="1142"/>
      <c r="OX52" s="1142"/>
      <c r="OY52" s="1142"/>
      <c r="OZ52" s="1142"/>
      <c r="PA52" s="1167"/>
      <c r="PB52" s="1167"/>
      <c r="PC52" s="1167"/>
      <c r="PD52" s="1167"/>
      <c r="PE52" s="1167"/>
      <c r="PF52" s="1167"/>
      <c r="PG52" s="1167"/>
      <c r="PH52" s="1167"/>
      <c r="PI52" s="1167"/>
      <c r="PJ52" s="1142"/>
      <c r="PK52" s="1142"/>
      <c r="PL52" s="1142"/>
      <c r="PM52" s="1142"/>
      <c r="PN52" s="1142"/>
      <c r="PO52" s="1142"/>
      <c r="PP52" s="1142"/>
      <c r="PQ52" s="1142"/>
      <c r="PR52" s="1142"/>
      <c r="PS52" s="1142"/>
      <c r="PT52" s="1142"/>
      <c r="PU52" s="1142"/>
      <c r="PV52" s="1142"/>
      <c r="PW52" s="1142"/>
      <c r="PX52" s="1142"/>
      <c r="PY52" s="1142"/>
      <c r="PZ52" s="1142"/>
      <c r="QA52" s="1142"/>
      <c r="QB52" s="1142"/>
      <c r="QC52" s="1142"/>
      <c r="QD52" s="1142"/>
      <c r="QE52" s="1142"/>
      <c r="QF52" s="1142"/>
      <c r="QG52" s="1167"/>
      <c r="QH52" s="1167"/>
      <c r="QI52" s="1167"/>
      <c r="QJ52" s="1167"/>
      <c r="QK52" s="1167"/>
      <c r="QL52" s="1167"/>
      <c r="QM52" s="1167"/>
      <c r="QN52" s="1167"/>
      <c r="QO52" s="1167"/>
      <c r="QP52" s="1142"/>
      <c r="QQ52" s="1142"/>
      <c r="QR52" s="1142"/>
      <c r="QS52" s="1142"/>
      <c r="QT52" s="1142"/>
      <c r="QU52" s="1142"/>
      <c r="QV52" s="1142"/>
      <c r="QW52" s="1142"/>
      <c r="QX52" s="1142"/>
      <c r="QY52" s="1142"/>
      <c r="QZ52" s="1142"/>
      <c r="RA52" s="1142"/>
      <c r="RB52" s="1142"/>
      <c r="RC52" s="1142"/>
      <c r="RD52" s="1142"/>
      <c r="RE52" s="1142"/>
      <c r="RF52" s="1142"/>
      <c r="RG52" s="1142"/>
      <c r="RH52" s="1142"/>
      <c r="RI52" s="1142"/>
      <c r="RJ52" s="1142"/>
      <c r="RK52" s="1142"/>
      <c r="RL52" s="1142"/>
      <c r="RM52" s="1167"/>
      <c r="RN52" s="1167"/>
      <c r="RO52" s="1167"/>
      <c r="RP52" s="1167"/>
      <c r="RQ52" s="1167"/>
      <c r="RR52" s="1167"/>
      <c r="RS52" s="1167"/>
      <c r="RT52" s="1167"/>
      <c r="RU52" s="1167"/>
      <c r="RV52" s="1142"/>
      <c r="RW52" s="1142"/>
      <c r="RX52" s="1142"/>
      <c r="RY52" s="1142"/>
      <c r="RZ52" s="1142"/>
      <c r="SA52" s="1142"/>
      <c r="SB52" s="1142"/>
      <c r="SC52" s="1142"/>
      <c r="SD52" s="1142"/>
      <c r="SE52" s="1142"/>
      <c r="SF52" s="1142"/>
      <c r="SG52" s="1142"/>
      <c r="SH52" s="1142"/>
      <c r="SI52" s="1142"/>
      <c r="SJ52" s="1142"/>
      <c r="SK52" s="1142"/>
      <c r="SL52" s="1142"/>
      <c r="SM52" s="1142"/>
      <c r="SN52" s="1142"/>
      <c r="SO52" s="1142"/>
      <c r="SP52" s="1142"/>
      <c r="SQ52" s="1142"/>
      <c r="SR52" s="1142"/>
      <c r="SS52" s="1167"/>
      <c r="ST52" s="1167"/>
      <c r="SU52" s="1167"/>
      <c r="SV52" s="1167"/>
      <c r="SW52" s="1167"/>
      <c r="SX52" s="1167"/>
      <c r="SY52" s="1167"/>
      <c r="SZ52" s="1167"/>
      <c r="TA52" s="1167"/>
      <c r="TB52" s="1142"/>
      <c r="TC52" s="1142"/>
      <c r="TD52" s="1142"/>
      <c r="TE52" s="1142"/>
      <c r="TF52" s="1142"/>
      <c r="TG52" s="1142"/>
      <c r="TH52" s="1142"/>
      <c r="TI52" s="1142"/>
      <c r="TJ52" s="1142"/>
      <c r="TK52" s="1142"/>
      <c r="TL52" s="1142"/>
      <c r="TM52" s="1142"/>
      <c r="TN52" s="1142"/>
      <c r="TO52" s="1142"/>
      <c r="TP52" s="1142"/>
      <c r="TQ52" s="1142"/>
      <c r="TR52" s="1142"/>
      <c r="TS52" s="1142"/>
      <c r="TT52" s="1142"/>
      <c r="TU52" s="1142"/>
      <c r="TV52" s="1142"/>
      <c r="TW52" s="1142"/>
      <c r="TX52" s="1142"/>
      <c r="TY52" s="1167"/>
      <c r="TZ52" s="1167"/>
      <c r="UA52" s="1167"/>
      <c r="UB52" s="1167"/>
      <c r="UC52" s="1167"/>
      <c r="UD52" s="1167"/>
      <c r="UE52" s="1167"/>
      <c r="UF52" s="1167"/>
      <c r="UG52" s="1167"/>
      <c r="UH52" s="1142"/>
      <c r="UI52" s="1142"/>
      <c r="UJ52" s="1142"/>
      <c r="UK52" s="1142"/>
      <c r="UL52" s="1142"/>
      <c r="UM52" s="1142"/>
      <c r="UN52" s="1142"/>
      <c r="UO52" s="1142"/>
      <c r="UP52" s="1142"/>
      <c r="UQ52" s="1142"/>
      <c r="UR52" s="1142"/>
      <c r="US52" s="1142"/>
      <c r="UT52" s="1142"/>
      <c r="UU52" s="1142"/>
      <c r="UV52" s="1142"/>
      <c r="UW52" s="1142"/>
      <c r="UX52" s="1142"/>
      <c r="UY52" s="1142"/>
      <c r="UZ52" s="1142"/>
      <c r="VA52" s="1142"/>
      <c r="VB52" s="1142"/>
      <c r="VC52" s="1142"/>
      <c r="VD52" s="1142"/>
      <c r="VE52" s="1167"/>
      <c r="VF52" s="1167"/>
      <c r="VG52" s="1167"/>
      <c r="VH52" s="1167"/>
      <c r="VI52" s="1167"/>
      <c r="VJ52" s="1167"/>
      <c r="VK52" s="1167"/>
      <c r="VL52" s="1167"/>
      <c r="VM52" s="1167"/>
      <c r="VN52" s="1142"/>
      <c r="VO52" s="1142"/>
      <c r="VP52" s="1142"/>
      <c r="VQ52" s="1142"/>
      <c r="VR52" s="1142"/>
      <c r="VS52" s="1142"/>
      <c r="VT52" s="1142"/>
      <c r="VU52" s="1142"/>
      <c r="VV52" s="1142"/>
      <c r="VW52" s="1142"/>
      <c r="VX52" s="1142"/>
      <c r="VY52" s="1142"/>
      <c r="VZ52" s="1142"/>
      <c r="WA52" s="1142"/>
      <c r="WB52" s="1142"/>
      <c r="WC52" s="1142"/>
      <c r="WD52" s="1142"/>
      <c r="WE52" s="1142"/>
      <c r="WF52" s="1142"/>
      <c r="WG52" s="1142"/>
      <c r="WH52" s="1142"/>
      <c r="WI52" s="1142"/>
      <c r="WJ52" s="1142"/>
      <c r="WK52" s="1167"/>
      <c r="WL52" s="1167"/>
      <c r="WM52" s="1167"/>
      <c r="WN52" s="1167"/>
      <c r="WO52" s="1167"/>
      <c r="WP52" s="1167"/>
      <c r="WQ52" s="1167"/>
      <c r="WR52" s="1167"/>
      <c r="WS52" s="1167"/>
      <c r="WT52" s="1142"/>
      <c r="WU52" s="1142"/>
      <c r="WV52" s="1142"/>
      <c r="WW52" s="1142"/>
      <c r="WX52" s="1142"/>
      <c r="WY52" s="1142"/>
      <c r="WZ52" s="1142"/>
      <c r="XA52" s="1142"/>
      <c r="XB52" s="1142"/>
      <c r="XC52" s="1142"/>
      <c r="XD52" s="1142"/>
      <c r="XE52" s="1142"/>
      <c r="XF52" s="1142"/>
      <c r="XG52" s="1142"/>
      <c r="XH52" s="1142"/>
      <c r="XI52" s="1142"/>
      <c r="XJ52" s="1142"/>
      <c r="XK52" s="1142"/>
      <c r="XL52" s="1142"/>
      <c r="XM52" s="1142"/>
      <c r="XN52" s="1142"/>
      <c r="XO52" s="1142"/>
      <c r="XP52" s="1142"/>
      <c r="XQ52" s="1167"/>
      <c r="XR52" s="1167"/>
      <c r="XS52" s="1167"/>
      <c r="XT52" s="1167"/>
      <c r="XU52" s="1167"/>
      <c r="XV52" s="1167"/>
      <c r="XW52" s="1167"/>
      <c r="XX52" s="1167"/>
      <c r="XY52" s="1167"/>
      <c r="XZ52" s="1142"/>
      <c r="YA52" s="1142"/>
      <c r="YB52" s="1142"/>
      <c r="YC52" s="1142"/>
      <c r="YD52" s="1142"/>
      <c r="YE52" s="1142"/>
      <c r="YF52" s="1142"/>
      <c r="YG52" s="1142"/>
      <c r="YH52" s="1142"/>
      <c r="YI52" s="1142"/>
      <c r="YJ52" s="1142"/>
      <c r="YK52" s="1142"/>
      <c r="YL52" s="1142"/>
      <c r="YM52" s="1142"/>
      <c r="YN52" s="1142"/>
      <c r="YO52" s="1142"/>
      <c r="YP52" s="1142"/>
      <c r="YQ52" s="1142"/>
      <c r="YR52" s="1142"/>
      <c r="YS52" s="1142"/>
      <c r="YT52" s="1142"/>
      <c r="YU52" s="1142"/>
      <c r="YV52" s="1142"/>
      <c r="YW52" s="1167"/>
      <c r="YX52" s="1167"/>
      <c r="YY52" s="1167"/>
      <c r="YZ52" s="1167"/>
      <c r="ZA52" s="1167"/>
      <c r="ZB52" s="1167"/>
      <c r="ZC52" s="1167"/>
      <c r="ZD52" s="1167"/>
      <c r="ZE52" s="1167"/>
      <c r="ZF52" s="1142"/>
      <c r="ZG52" s="1142"/>
      <c r="ZH52" s="1142"/>
      <c r="ZI52" s="1142"/>
      <c r="ZJ52" s="1142"/>
      <c r="ZK52" s="1142"/>
      <c r="ZL52" s="1142"/>
      <c r="ZM52" s="1142"/>
      <c r="ZN52" s="1142"/>
      <c r="ZO52" s="1142"/>
      <c r="ZP52" s="1142"/>
      <c r="ZQ52" s="1142"/>
      <c r="ZR52" s="1142"/>
      <c r="ZS52" s="1142"/>
      <c r="ZT52" s="1142"/>
      <c r="ZU52" s="1142"/>
      <c r="ZV52" s="1142"/>
      <c r="ZW52" s="1142"/>
      <c r="ZX52" s="1142"/>
      <c r="ZY52" s="1142"/>
      <c r="ZZ52" s="1142"/>
      <c r="AAA52" s="1142"/>
      <c r="AAB52" s="1142"/>
      <c r="AAC52" s="1167"/>
      <c r="AAD52" s="1167"/>
      <c r="AAE52" s="1167"/>
      <c r="AAF52" s="1167"/>
      <c r="AAG52" s="1167"/>
      <c r="AAH52" s="1167"/>
      <c r="AAI52" s="1167"/>
      <c r="AAJ52" s="1167"/>
      <c r="AAK52" s="1167"/>
      <c r="AAL52" s="1142"/>
      <c r="AAM52" s="1142"/>
      <c r="AAN52" s="1142"/>
      <c r="AAO52" s="1142"/>
      <c r="AAP52" s="1142"/>
      <c r="AAQ52" s="1142"/>
      <c r="AAR52" s="1142"/>
      <c r="AAS52" s="1142"/>
      <c r="AAT52" s="1142"/>
      <c r="AAU52" s="1142"/>
      <c r="AAV52" s="1142"/>
      <c r="AAW52" s="1142"/>
      <c r="AAX52" s="1142"/>
      <c r="AAY52" s="1142"/>
      <c r="AAZ52" s="1142"/>
      <c r="ABA52" s="1142"/>
      <c r="ABB52" s="1142"/>
      <c r="ABC52" s="1142"/>
      <c r="ABD52" s="1142"/>
      <c r="ABE52" s="1142"/>
      <c r="ABF52" s="1142"/>
      <c r="ABG52" s="1142"/>
      <c r="ABH52" s="1142"/>
      <c r="ABI52" s="1167"/>
      <c r="ABJ52" s="1167"/>
      <c r="ABK52" s="1167"/>
      <c r="ABL52" s="1167"/>
      <c r="ABM52" s="1167"/>
      <c r="ABN52" s="1167"/>
      <c r="ABO52" s="1167"/>
      <c r="ABP52" s="1167"/>
      <c r="ABQ52" s="1167"/>
      <c r="ABR52" s="1142"/>
      <c r="ABS52" s="1142"/>
      <c r="ABT52" s="1142"/>
      <c r="ABU52" s="1142"/>
      <c r="ABV52" s="1142"/>
      <c r="ABW52" s="1142"/>
      <c r="ABX52" s="1142"/>
      <c r="ABY52" s="1142"/>
      <c r="ABZ52" s="1142"/>
      <c r="ACA52" s="1142"/>
      <c r="ACB52" s="1142"/>
      <c r="ACC52" s="1142"/>
      <c r="ACD52" s="1142"/>
      <c r="ACE52" s="1142"/>
      <c r="ACF52" s="1142"/>
      <c r="ACG52" s="1142"/>
      <c r="ACH52" s="1142"/>
      <c r="ACI52" s="1142"/>
      <c r="ACJ52" s="1142"/>
      <c r="ACK52" s="1142"/>
      <c r="ACL52" s="1142"/>
      <c r="ACM52" s="1142"/>
      <c r="ACN52" s="1142"/>
      <c r="ACO52" s="1167"/>
      <c r="ACP52" s="1167"/>
      <c r="ACQ52" s="1167"/>
      <c r="ACR52" s="1167"/>
      <c r="ACS52" s="1167"/>
      <c r="ACT52" s="1167"/>
      <c r="ACU52" s="1167"/>
      <c r="ACV52" s="1167"/>
      <c r="ACW52" s="1167"/>
      <c r="ACX52" s="1142"/>
      <c r="ACY52" s="1142"/>
      <c r="ACZ52" s="1142"/>
      <c r="ADA52" s="1142"/>
      <c r="ADB52" s="1142"/>
      <c r="ADC52" s="1142"/>
      <c r="ADD52" s="1142"/>
      <c r="ADE52" s="1142"/>
      <c r="ADF52" s="1142"/>
      <c r="ADG52" s="1142"/>
      <c r="ADH52" s="1142"/>
      <c r="ADI52" s="1142"/>
      <c r="ADJ52" s="1142"/>
      <c r="ADK52" s="1142"/>
      <c r="ADL52" s="1142"/>
      <c r="ADM52" s="1142"/>
      <c r="ADN52" s="1142"/>
      <c r="ADO52" s="1142"/>
      <c r="ADP52" s="1142"/>
      <c r="ADQ52" s="1142"/>
      <c r="ADR52" s="1142"/>
      <c r="ADS52" s="1142"/>
      <c r="ADT52" s="1142"/>
      <c r="ADU52" s="1167"/>
      <c r="ADV52" s="1167"/>
      <c r="ADW52" s="1167"/>
      <c r="ADX52" s="1167"/>
      <c r="ADY52" s="1167"/>
      <c r="ADZ52" s="1167"/>
      <c r="AEA52" s="1167"/>
      <c r="AEB52" s="1167"/>
      <c r="AEC52" s="1167"/>
      <c r="AED52" s="1142"/>
      <c r="AEE52" s="1142"/>
      <c r="AEF52" s="1142"/>
      <c r="AEG52" s="1142"/>
      <c r="AEH52" s="1142"/>
      <c r="AEI52" s="1142"/>
      <c r="AEJ52" s="1142"/>
      <c r="AEK52" s="1142"/>
      <c r="AEL52" s="1142"/>
      <c r="AEM52" s="1142"/>
      <c r="AEN52" s="1142"/>
      <c r="AEO52" s="1142"/>
      <c r="AEP52" s="1142"/>
      <c r="AEQ52" s="1142"/>
      <c r="AER52" s="1142"/>
      <c r="AES52" s="1142"/>
      <c r="AET52" s="1142"/>
      <c r="AEU52" s="1142"/>
      <c r="AEV52" s="1142"/>
      <c r="AEW52" s="1142"/>
      <c r="AEX52" s="1142"/>
      <c r="AEY52" s="1142"/>
      <c r="AEZ52" s="1142"/>
      <c r="AFA52" s="1167"/>
      <c r="AFB52" s="1167"/>
      <c r="AFC52" s="1167"/>
      <c r="AFD52" s="1167"/>
      <c r="AFE52" s="1167"/>
      <c r="AFF52" s="1167"/>
      <c r="AFG52" s="1167"/>
      <c r="AFH52" s="1167"/>
      <c r="AFI52" s="1167"/>
      <c r="AFJ52" s="1142"/>
      <c r="AFK52" s="1142"/>
      <c r="AFL52" s="1142"/>
      <c r="AFM52" s="1142"/>
      <c r="AFN52" s="1142"/>
      <c r="AFO52" s="1142"/>
      <c r="AFP52" s="1142"/>
      <c r="AFQ52" s="1142"/>
      <c r="AFR52" s="1142"/>
      <c r="AFS52" s="1142"/>
      <c r="AFT52" s="1142"/>
      <c r="AFU52" s="1142"/>
      <c r="AFV52" s="1142"/>
      <c r="AFW52" s="1142"/>
      <c r="AFX52" s="1142"/>
      <c r="AFY52" s="1142"/>
      <c r="AFZ52" s="1142"/>
      <c r="AGA52" s="1142"/>
      <c r="AGB52" s="1142"/>
      <c r="AGC52" s="1142"/>
      <c r="AGD52" s="1142"/>
      <c r="AGE52" s="1142"/>
      <c r="AGF52" s="1142"/>
      <c r="AGG52" s="1167"/>
      <c r="AGH52" s="1167"/>
      <c r="AGI52" s="1167"/>
      <c r="AGJ52" s="1167"/>
      <c r="AGK52" s="1167"/>
      <c r="AGL52" s="1167"/>
      <c r="AGM52" s="1167"/>
      <c r="AGN52" s="1167"/>
      <c r="AGO52" s="1167"/>
      <c r="AGP52" s="1142"/>
      <c r="AGQ52" s="1142"/>
      <c r="AGR52" s="1142"/>
      <c r="AGS52" s="1142"/>
      <c r="AGT52" s="1142"/>
      <c r="AGU52" s="1142"/>
      <c r="AGV52" s="1142"/>
      <c r="AGW52" s="1142"/>
      <c r="AGX52" s="1142"/>
      <c r="AGY52" s="1142"/>
      <c r="AGZ52" s="1142"/>
      <c r="AHA52" s="1142"/>
      <c r="AHB52" s="1142"/>
      <c r="AHC52" s="1142"/>
      <c r="AHD52" s="1142"/>
      <c r="AHE52" s="1142"/>
      <c r="AHF52" s="1142"/>
      <c r="AHG52" s="1142"/>
      <c r="AHH52" s="1142"/>
      <c r="AHI52" s="1142"/>
      <c r="AHJ52" s="1142"/>
      <c r="AHK52" s="1142"/>
      <c r="AHL52" s="1142"/>
      <c r="AHM52" s="1167"/>
      <c r="AHN52" s="1167"/>
      <c r="AHO52" s="1167"/>
      <c r="AHP52" s="1167"/>
      <c r="AHQ52" s="1167"/>
      <c r="AHR52" s="1167"/>
      <c r="AHS52" s="1167"/>
      <c r="AHT52" s="1167"/>
      <c r="AHU52" s="1167"/>
      <c r="AHV52" s="1142"/>
      <c r="AHW52" s="1142"/>
      <c r="AHX52" s="1142"/>
      <c r="AHY52" s="1142"/>
      <c r="AHZ52" s="1142"/>
      <c r="AIA52" s="1142"/>
      <c r="AIB52" s="1142"/>
      <c r="AIC52" s="1142"/>
      <c r="AID52" s="1142"/>
      <c r="AIE52" s="1142"/>
      <c r="AIF52" s="1142"/>
      <c r="AIG52" s="1142"/>
      <c r="AIH52" s="1142"/>
      <c r="AII52" s="1142"/>
      <c r="AIJ52" s="1142"/>
      <c r="AIK52" s="1142"/>
      <c r="AIL52" s="1142"/>
      <c r="AIM52" s="1142"/>
      <c r="AIN52" s="1142"/>
      <c r="AIO52" s="1142"/>
      <c r="AIP52" s="1142"/>
      <c r="AIQ52" s="1142"/>
      <c r="AIR52" s="1142"/>
      <c r="AIS52" s="1167"/>
      <c r="AIT52" s="1167"/>
      <c r="AIU52" s="1167"/>
      <c r="AIV52" s="1167"/>
      <c r="AIW52" s="1167"/>
      <c r="AIX52" s="1167"/>
      <c r="AIY52" s="1167"/>
      <c r="AIZ52" s="1167"/>
      <c r="AJA52" s="1167"/>
      <c r="AJB52" s="1142"/>
      <c r="AJC52" s="1142"/>
      <c r="AJD52" s="1142"/>
      <c r="AJE52" s="1142"/>
      <c r="AJF52" s="1142"/>
      <c r="AJG52" s="1142"/>
      <c r="AJH52" s="1142"/>
      <c r="AJI52" s="1142"/>
      <c r="AJJ52" s="1142"/>
      <c r="AJK52" s="1142"/>
      <c r="AJL52" s="1142"/>
      <c r="AJM52" s="1142"/>
      <c r="AJN52" s="1142"/>
      <c r="AJO52" s="1142"/>
      <c r="AJP52" s="1142"/>
      <c r="AJQ52" s="1142"/>
      <c r="AJR52" s="1142"/>
      <c r="AJS52" s="1142"/>
      <c r="AJT52" s="1142"/>
      <c r="AJU52" s="1142"/>
      <c r="AJV52" s="1142"/>
      <c r="AJW52" s="1142"/>
      <c r="AJX52" s="1142"/>
      <c r="AJY52" s="1167"/>
      <c r="AJZ52" s="1167"/>
      <c r="AKA52" s="1167"/>
      <c r="AKB52" s="1167"/>
      <c r="AKC52" s="1167"/>
      <c r="AKD52" s="1167"/>
      <c r="AKE52" s="1167"/>
      <c r="AKF52" s="1167"/>
      <c r="AKG52" s="1167"/>
      <c r="AKH52" s="1142"/>
      <c r="AKI52" s="1142"/>
      <c r="AKJ52" s="1142"/>
      <c r="AKK52" s="1142"/>
      <c r="AKL52" s="1142"/>
      <c r="AKM52" s="1142"/>
      <c r="AKN52" s="1142"/>
      <c r="AKO52" s="1142"/>
      <c r="AKP52" s="1142"/>
      <c r="AKQ52" s="1142"/>
      <c r="AKR52" s="1142"/>
      <c r="AKS52" s="1142"/>
      <c r="AKT52" s="1142"/>
      <c r="AKU52" s="1142"/>
      <c r="AKV52" s="1142"/>
      <c r="AKW52" s="1142"/>
      <c r="AKX52" s="1142"/>
      <c r="AKY52" s="1142"/>
      <c r="AKZ52" s="1142"/>
      <c r="ALA52" s="1142"/>
      <c r="ALB52" s="1142"/>
      <c r="ALC52" s="1142"/>
      <c r="ALD52" s="1142"/>
      <c r="ALE52" s="1167"/>
      <c r="ALF52" s="1167"/>
      <c r="ALG52" s="1167"/>
      <c r="ALH52" s="1167"/>
      <c r="ALI52" s="1167"/>
      <c r="ALJ52" s="1167"/>
      <c r="ALK52" s="1167"/>
      <c r="ALL52" s="1167"/>
      <c r="ALM52" s="1167"/>
      <c r="ALN52" s="1142"/>
      <c r="ALO52" s="1142"/>
      <c r="ALP52" s="1142"/>
      <c r="ALQ52" s="1142"/>
      <c r="ALR52" s="1142"/>
      <c r="ALS52" s="1142"/>
      <c r="ALT52" s="1142"/>
      <c r="ALU52" s="1142"/>
      <c r="ALV52" s="1142"/>
      <c r="ALW52" s="1142"/>
      <c r="ALX52" s="1142"/>
      <c r="ALY52" s="1142"/>
      <c r="ALZ52" s="1142"/>
      <c r="AMA52" s="1142"/>
      <c r="AMB52" s="1142"/>
      <c r="AMC52" s="1142"/>
      <c r="AMD52" s="1142"/>
      <c r="AME52" s="1142"/>
      <c r="AMF52" s="1142"/>
      <c r="AMG52" s="1142"/>
      <c r="AMH52" s="1142"/>
      <c r="AMI52" s="1142"/>
      <c r="AMJ52" s="1142"/>
      <c r="AMK52" s="1167"/>
      <c r="AML52" s="1167"/>
      <c r="AMM52" s="1167"/>
      <c r="AMN52" s="1167"/>
      <c r="AMO52" s="1167"/>
      <c r="AMP52" s="1167"/>
      <c r="AMQ52" s="1167"/>
      <c r="AMR52" s="1167"/>
      <c r="AMS52" s="1167"/>
      <c r="AMT52" s="1142"/>
      <c r="AMU52" s="1142"/>
      <c r="AMV52" s="1142"/>
      <c r="AMW52" s="1142"/>
      <c r="AMX52" s="1142"/>
      <c r="AMY52" s="1142"/>
      <c r="AMZ52" s="1142"/>
      <c r="ANA52" s="1142"/>
      <c r="ANB52" s="1142"/>
      <c r="ANC52" s="1142"/>
      <c r="AND52" s="1142"/>
      <c r="ANE52" s="1142"/>
      <c r="ANF52" s="1142"/>
      <c r="ANG52" s="1142"/>
      <c r="ANH52" s="1142"/>
      <c r="ANI52" s="1142"/>
      <c r="ANJ52" s="1142"/>
      <c r="ANK52" s="1142"/>
      <c r="ANL52" s="1142"/>
      <c r="ANM52" s="1142"/>
      <c r="ANN52" s="1142"/>
      <c r="ANO52" s="1142"/>
      <c r="ANP52" s="1142"/>
      <c r="ANQ52" s="1167"/>
      <c r="ANR52" s="1167"/>
      <c r="ANS52" s="1167"/>
      <c r="ANT52" s="1167"/>
      <c r="ANU52" s="1167"/>
      <c r="ANV52" s="1167"/>
      <c r="ANW52" s="1167"/>
      <c r="ANX52" s="1167"/>
      <c r="ANY52" s="1167"/>
      <c r="ANZ52" s="1142"/>
      <c r="AOA52" s="1142"/>
      <c r="AOB52" s="1142"/>
      <c r="AOC52" s="1142"/>
      <c r="AOD52" s="1142"/>
      <c r="AOE52" s="1142"/>
      <c r="AOF52" s="1142"/>
      <c r="AOG52" s="1142"/>
      <c r="AOH52" s="1142"/>
      <c r="AOI52" s="1142"/>
      <c r="AOJ52" s="1142"/>
      <c r="AOK52" s="1142"/>
      <c r="AOL52" s="1142"/>
      <c r="AOM52" s="1142"/>
      <c r="AON52" s="1142"/>
      <c r="AOO52" s="1142"/>
      <c r="AOP52" s="1142"/>
      <c r="AOQ52" s="1142"/>
      <c r="AOR52" s="1142"/>
      <c r="AOS52" s="1142"/>
      <c r="AOT52" s="1142"/>
      <c r="AOU52" s="1142"/>
      <c r="AOV52" s="1142"/>
      <c r="AOW52" s="1167"/>
      <c r="AOX52" s="1167"/>
      <c r="AOY52" s="1167"/>
      <c r="AOZ52" s="1167"/>
      <c r="APA52" s="1167"/>
      <c r="APB52" s="1167"/>
      <c r="APC52" s="1167"/>
      <c r="APD52" s="1167"/>
      <c r="APE52" s="1167"/>
      <c r="APF52" s="1142"/>
      <c r="APG52" s="1142"/>
      <c r="APH52" s="1142"/>
      <c r="API52" s="1142"/>
      <c r="APJ52" s="1142"/>
      <c r="APK52" s="1142"/>
      <c r="APL52" s="1142"/>
      <c r="APM52" s="1142"/>
      <c r="APN52" s="1142"/>
      <c r="APO52" s="1142"/>
      <c r="APP52" s="1142"/>
      <c r="APQ52" s="1142"/>
      <c r="APR52" s="1142"/>
      <c r="APS52" s="1142"/>
      <c r="APT52" s="1142"/>
      <c r="APU52" s="1142"/>
      <c r="APV52" s="1142"/>
      <c r="APW52" s="1142"/>
      <c r="APX52" s="1142"/>
      <c r="APY52" s="1142"/>
      <c r="APZ52" s="1142"/>
      <c r="AQA52" s="1142"/>
      <c r="AQB52" s="1142"/>
      <c r="AQC52" s="1167"/>
      <c r="AQD52" s="1167"/>
      <c r="AQE52" s="1167"/>
      <c r="AQF52" s="1167"/>
      <c r="AQG52" s="1167"/>
      <c r="AQH52" s="1167"/>
      <c r="AQI52" s="1167"/>
      <c r="AQJ52" s="1167"/>
      <c r="AQK52" s="1167"/>
      <c r="AQL52" s="1142"/>
      <c r="AQM52" s="1142"/>
      <c r="AQN52" s="1142"/>
      <c r="AQO52" s="1142"/>
      <c r="AQP52" s="1142"/>
      <c r="AQQ52" s="1142"/>
      <c r="AQR52" s="1142"/>
      <c r="AQS52" s="1142"/>
      <c r="AQT52" s="1142"/>
      <c r="AQU52" s="1142"/>
      <c r="AQV52" s="1142"/>
      <c r="AQW52" s="1142"/>
      <c r="AQX52" s="1142"/>
      <c r="AQY52" s="1142"/>
      <c r="AQZ52" s="1142"/>
      <c r="ARA52" s="1142"/>
      <c r="ARB52" s="1142"/>
      <c r="ARC52" s="1142"/>
      <c r="ARD52" s="1142"/>
      <c r="ARE52" s="1142"/>
      <c r="ARF52" s="1142"/>
      <c r="ARG52" s="1142"/>
      <c r="ARH52" s="1142"/>
      <c r="ARI52" s="1167"/>
      <c r="ARJ52" s="1167"/>
      <c r="ARK52" s="1167"/>
      <c r="ARL52" s="1167"/>
      <c r="ARM52" s="1167"/>
      <c r="ARN52" s="1167"/>
      <c r="ARO52" s="1167"/>
      <c r="ARP52" s="1167"/>
      <c r="ARQ52" s="1167"/>
      <c r="ARR52" s="1142"/>
      <c r="ARS52" s="1142"/>
      <c r="ART52" s="1142"/>
      <c r="ARU52" s="1142"/>
      <c r="ARV52" s="1142"/>
      <c r="ARW52" s="1142"/>
      <c r="ARX52" s="1142"/>
      <c r="ARY52" s="1142"/>
      <c r="ARZ52" s="1142"/>
      <c r="ASA52" s="1142"/>
      <c r="ASB52" s="1142"/>
      <c r="ASC52" s="1142"/>
      <c r="ASD52" s="1142"/>
      <c r="ASE52" s="1142"/>
      <c r="ASF52" s="1142"/>
      <c r="ASG52" s="1142"/>
      <c r="ASH52" s="1142"/>
      <c r="ASI52" s="1142"/>
      <c r="ASJ52" s="1142"/>
      <c r="ASK52" s="1142"/>
      <c r="ASL52" s="1142"/>
      <c r="ASM52" s="1142"/>
      <c r="ASN52" s="1142"/>
      <c r="ASO52" s="1167"/>
      <c r="ASP52" s="1167"/>
      <c r="ASQ52" s="1167"/>
      <c r="ASR52" s="1167"/>
      <c r="ASS52" s="1167"/>
      <c r="AST52" s="1167"/>
      <c r="ASU52" s="1167"/>
      <c r="ASV52" s="1167"/>
      <c r="ASW52" s="1167"/>
      <c r="ASX52" s="1142"/>
      <c r="ASY52" s="1142"/>
      <c r="ASZ52" s="1142"/>
      <c r="ATA52" s="1142"/>
      <c r="ATB52" s="1142"/>
      <c r="ATC52" s="1142"/>
      <c r="ATD52" s="1142"/>
      <c r="ATE52" s="1142"/>
      <c r="ATF52" s="1142"/>
      <c r="ATG52" s="1142"/>
      <c r="ATH52" s="1142"/>
      <c r="ATI52" s="1142"/>
      <c r="ATJ52" s="1142"/>
      <c r="ATK52" s="1142"/>
      <c r="ATL52" s="1142"/>
      <c r="ATM52" s="1142"/>
      <c r="ATN52" s="1142"/>
      <c r="ATO52" s="1142"/>
      <c r="ATP52" s="1142"/>
      <c r="ATQ52" s="1142"/>
      <c r="ATR52" s="1142"/>
      <c r="ATS52" s="1142"/>
      <c r="ATT52" s="1142"/>
      <c r="ATU52" s="1167"/>
      <c r="ATV52" s="1167"/>
      <c r="ATW52" s="1167"/>
      <c r="ATX52" s="1167"/>
      <c r="ATY52" s="1167"/>
      <c r="ATZ52" s="1167"/>
      <c r="AUA52" s="1167"/>
      <c r="AUB52" s="1167"/>
      <c r="AUC52" s="1167"/>
      <c r="AUD52" s="1142"/>
      <c r="AUE52" s="1142"/>
      <c r="AUF52" s="1142"/>
      <c r="AUG52" s="1142"/>
      <c r="AUH52" s="1142"/>
      <c r="AUI52" s="1142"/>
      <c r="AUJ52" s="1142"/>
      <c r="AUK52" s="1142"/>
      <c r="AUL52" s="1142"/>
      <c r="AUM52" s="1142"/>
      <c r="AUN52" s="1142"/>
      <c r="AUO52" s="1142"/>
      <c r="AUP52" s="1142"/>
      <c r="AUQ52" s="1142"/>
      <c r="AUR52" s="1142"/>
      <c r="AUS52" s="1142"/>
      <c r="AUT52" s="1142"/>
      <c r="AUU52" s="1142"/>
      <c r="AUV52" s="1142"/>
      <c r="AUW52" s="1142"/>
      <c r="AUX52" s="1142"/>
      <c r="AUY52" s="1142"/>
      <c r="AUZ52" s="1142"/>
      <c r="AVA52" s="1167"/>
      <c r="AVB52" s="1167"/>
      <c r="AVC52" s="1167"/>
      <c r="AVD52" s="1167"/>
      <c r="AVE52" s="1167"/>
      <c r="AVF52" s="1167"/>
      <c r="AVG52" s="1167"/>
      <c r="AVH52" s="1167"/>
      <c r="AVI52" s="1167"/>
      <c r="AVJ52" s="1142"/>
      <c r="AVK52" s="1142"/>
      <c r="AVL52" s="1142"/>
      <c r="AVM52" s="1142"/>
      <c r="AVN52" s="1142"/>
      <c r="AVO52" s="1142"/>
      <c r="AVP52" s="1142"/>
      <c r="AVQ52" s="1142"/>
      <c r="AVR52" s="1142"/>
      <c r="AVS52" s="1142"/>
      <c r="AVT52" s="1142"/>
      <c r="AVU52" s="1142"/>
      <c r="AVV52" s="1142"/>
      <c r="AVW52" s="1142"/>
      <c r="AVX52" s="1142"/>
      <c r="AVY52" s="1142"/>
      <c r="AVZ52" s="1142"/>
      <c r="AWA52" s="1142"/>
      <c r="AWB52" s="1142"/>
      <c r="AWC52" s="1142"/>
      <c r="AWD52" s="1142"/>
      <c r="AWE52" s="1142"/>
      <c r="AWF52" s="1142"/>
      <c r="AWG52" s="1167"/>
      <c r="AWH52" s="1167"/>
      <c r="AWI52" s="1167"/>
      <c r="AWJ52" s="1167"/>
      <c r="AWK52" s="1167"/>
      <c r="AWL52" s="1167"/>
      <c r="AWM52" s="1167"/>
      <c r="AWN52" s="1167"/>
      <c r="AWO52" s="1167"/>
      <c r="AWP52" s="1142"/>
      <c r="AWQ52" s="1142"/>
      <c r="AWR52" s="1142"/>
      <c r="AWS52" s="1142"/>
      <c r="AWT52" s="1142"/>
      <c r="AWU52" s="1142"/>
      <c r="AWV52" s="1142"/>
      <c r="AWW52" s="1142"/>
      <c r="AWX52" s="1142"/>
      <c r="AWY52" s="1142"/>
      <c r="AWZ52" s="1142"/>
      <c r="AXA52" s="1142"/>
      <c r="AXB52" s="1142"/>
      <c r="AXC52" s="1142"/>
      <c r="AXD52" s="1142"/>
      <c r="AXE52" s="1142"/>
      <c r="AXF52" s="1142"/>
      <c r="AXG52" s="1142"/>
      <c r="AXH52" s="1142"/>
      <c r="AXI52" s="1142"/>
      <c r="AXJ52" s="1142"/>
      <c r="AXK52" s="1142"/>
      <c r="AXL52" s="1142"/>
      <c r="AXM52" s="1167"/>
      <c r="AXN52" s="1167"/>
      <c r="AXO52" s="1167"/>
      <c r="AXP52" s="1167"/>
      <c r="AXQ52" s="1167"/>
      <c r="AXR52" s="1167"/>
      <c r="AXS52" s="1167"/>
      <c r="AXT52" s="1167"/>
      <c r="AXU52" s="1167"/>
      <c r="AXV52" s="1142"/>
      <c r="AXW52" s="1142"/>
      <c r="AXX52" s="1142"/>
      <c r="AXY52" s="1142"/>
      <c r="AXZ52" s="1142"/>
      <c r="AYA52" s="1142"/>
      <c r="AYB52" s="1142"/>
      <c r="AYC52" s="1142"/>
      <c r="AYD52" s="1142"/>
      <c r="AYE52" s="1142"/>
      <c r="AYF52" s="1142"/>
      <c r="AYG52" s="1142"/>
      <c r="AYH52" s="1142"/>
      <c r="AYI52" s="1142"/>
      <c r="AYJ52" s="1142"/>
      <c r="AYK52" s="1142"/>
      <c r="AYL52" s="1142"/>
      <c r="AYM52" s="1142"/>
      <c r="AYN52" s="1142"/>
      <c r="AYO52" s="1142"/>
      <c r="AYP52" s="1142"/>
      <c r="AYQ52" s="1142"/>
      <c r="AYR52" s="1142"/>
      <c r="AYS52" s="1167"/>
      <c r="AYT52" s="1167"/>
      <c r="AYU52" s="1167"/>
      <c r="AYV52" s="1167"/>
      <c r="AYW52" s="1167"/>
      <c r="AYX52" s="1167"/>
      <c r="AYY52" s="1167"/>
      <c r="AYZ52" s="1167"/>
      <c r="AZA52" s="1167"/>
      <c r="AZB52" s="1142"/>
      <c r="AZC52" s="1142"/>
      <c r="AZD52" s="1142"/>
      <c r="AZE52" s="1142"/>
      <c r="AZF52" s="1142"/>
      <c r="AZG52" s="1142"/>
      <c r="AZH52" s="1142"/>
      <c r="AZI52" s="1142"/>
      <c r="AZJ52" s="1142"/>
      <c r="AZK52" s="1142"/>
      <c r="AZL52" s="1142"/>
      <c r="AZM52" s="1142"/>
      <c r="AZN52" s="1142"/>
      <c r="AZO52" s="1142"/>
      <c r="AZP52" s="1142"/>
      <c r="AZQ52" s="1142"/>
      <c r="AZR52" s="1142"/>
      <c r="AZS52" s="1142"/>
      <c r="AZT52" s="1142"/>
      <c r="AZU52" s="1142"/>
      <c r="AZV52" s="1142"/>
      <c r="AZW52" s="1142"/>
      <c r="AZX52" s="1142"/>
      <c r="AZY52" s="1167"/>
      <c r="AZZ52" s="1167"/>
      <c r="BAA52" s="1167"/>
      <c r="BAB52" s="1167"/>
      <c r="BAC52" s="1167"/>
      <c r="BAD52" s="1167"/>
      <c r="BAE52" s="1167"/>
      <c r="BAF52" s="1167"/>
      <c r="BAG52" s="1167"/>
      <c r="BAH52" s="1142"/>
      <c r="BAI52" s="1142"/>
      <c r="BAJ52" s="1142"/>
      <c r="BAK52" s="1142"/>
      <c r="BAL52" s="1142"/>
      <c r="BAM52" s="1142"/>
      <c r="BAN52" s="1142"/>
      <c r="BAO52" s="1142"/>
      <c r="BAP52" s="1142"/>
      <c r="BAQ52" s="1142"/>
      <c r="BAR52" s="1142"/>
      <c r="BAS52" s="1142"/>
      <c r="BAT52" s="1142"/>
      <c r="BAU52" s="1142"/>
      <c r="BAV52" s="1142"/>
      <c r="BAW52" s="1142"/>
      <c r="BAX52" s="1142"/>
      <c r="BAY52" s="1142"/>
      <c r="BAZ52" s="1142"/>
      <c r="BBA52" s="1142"/>
      <c r="BBB52" s="1142"/>
      <c r="BBC52" s="1142"/>
      <c r="BBD52" s="1142"/>
      <c r="BBE52" s="1167"/>
      <c r="BBF52" s="1167"/>
      <c r="BBG52" s="1167"/>
      <c r="BBH52" s="1167"/>
      <c r="BBI52" s="1167"/>
      <c r="BBJ52" s="1167"/>
      <c r="BBK52" s="1167"/>
      <c r="BBL52" s="1167"/>
      <c r="BBM52" s="1167"/>
      <c r="BBN52" s="1142"/>
      <c r="BBO52" s="1142"/>
      <c r="BBP52" s="1142"/>
      <c r="BBQ52" s="1142"/>
      <c r="BBR52" s="1142"/>
      <c r="BBS52" s="1142"/>
      <c r="BBT52" s="1142"/>
      <c r="BBU52" s="1142"/>
      <c r="BBV52" s="1142"/>
      <c r="BBW52" s="1142"/>
      <c r="BBX52" s="1142"/>
      <c r="BBY52" s="1142"/>
      <c r="BBZ52" s="1142"/>
      <c r="BCA52" s="1142"/>
      <c r="BCB52" s="1142"/>
      <c r="BCC52" s="1142"/>
      <c r="BCD52" s="1142"/>
      <c r="BCE52" s="1142"/>
      <c r="BCF52" s="1142"/>
      <c r="BCG52" s="1142"/>
      <c r="BCH52" s="1142"/>
      <c r="BCI52" s="1142"/>
      <c r="BCJ52" s="1142"/>
      <c r="BCK52" s="1167"/>
      <c r="BCL52" s="1167"/>
      <c r="BCM52" s="1167"/>
      <c r="BCN52" s="1167"/>
      <c r="BCO52" s="1167"/>
      <c r="BCP52" s="1167"/>
      <c r="BCQ52" s="1167"/>
      <c r="BCR52" s="1167"/>
      <c r="BCS52" s="1167"/>
      <c r="BCT52" s="1142"/>
      <c r="BCU52" s="1142"/>
      <c r="BCV52" s="1142"/>
      <c r="BCW52" s="1142"/>
      <c r="BCX52" s="1142"/>
      <c r="BCY52" s="1142"/>
      <c r="BCZ52" s="1142"/>
      <c r="BDA52" s="1142"/>
      <c r="BDB52" s="1142"/>
      <c r="BDC52" s="1142"/>
      <c r="BDD52" s="1142"/>
      <c r="BDE52" s="1142"/>
      <c r="BDF52" s="1142"/>
      <c r="BDG52" s="1142"/>
      <c r="BDH52" s="1142"/>
      <c r="BDI52" s="1142"/>
      <c r="BDJ52" s="1142"/>
      <c r="BDK52" s="1142"/>
      <c r="BDL52" s="1142"/>
      <c r="BDM52" s="1142"/>
      <c r="BDN52" s="1142"/>
      <c r="BDO52" s="1142"/>
      <c r="BDP52" s="1142"/>
      <c r="BDQ52" s="1167"/>
      <c r="BDR52" s="1167"/>
      <c r="BDS52" s="1167"/>
      <c r="BDT52" s="1167"/>
      <c r="BDU52" s="1167"/>
      <c r="BDV52" s="1167"/>
      <c r="BDW52" s="1167"/>
      <c r="BDX52" s="1167"/>
      <c r="BDY52" s="1167"/>
      <c r="BDZ52" s="1142"/>
      <c r="BEA52" s="1142"/>
      <c r="BEB52" s="1142"/>
      <c r="BEC52" s="1142"/>
      <c r="BED52" s="1142"/>
      <c r="BEE52" s="1142"/>
      <c r="BEF52" s="1142"/>
      <c r="BEG52" s="1142"/>
      <c r="BEH52" s="1142"/>
      <c r="BEI52" s="1142"/>
      <c r="BEJ52" s="1142"/>
      <c r="BEK52" s="1142"/>
      <c r="BEL52" s="1142"/>
      <c r="BEM52" s="1142"/>
      <c r="BEN52" s="1142"/>
      <c r="BEO52" s="1142"/>
      <c r="BEP52" s="1142"/>
      <c r="BEQ52" s="1142"/>
      <c r="BER52" s="1142"/>
      <c r="BES52" s="1142"/>
      <c r="BET52" s="1142"/>
      <c r="BEU52" s="1142"/>
      <c r="BEV52" s="1142"/>
      <c r="BEW52" s="1167"/>
      <c r="BEX52" s="1167"/>
      <c r="BEY52" s="1167"/>
      <c r="BEZ52" s="1167"/>
      <c r="BFA52" s="1167"/>
      <c r="BFB52" s="1167"/>
      <c r="BFC52" s="1167"/>
      <c r="BFD52" s="1167"/>
      <c r="BFE52" s="1167"/>
      <c r="BFF52" s="1142"/>
      <c r="BFG52" s="1142"/>
      <c r="BFH52" s="1142"/>
      <c r="BFI52" s="1142"/>
      <c r="BFJ52" s="1142"/>
      <c r="BFK52" s="1142"/>
      <c r="BFL52" s="1142"/>
      <c r="BFM52" s="1142"/>
      <c r="BFN52" s="1142"/>
      <c r="BFO52" s="1142"/>
      <c r="BFP52" s="1142"/>
      <c r="BFQ52" s="1142"/>
      <c r="BFR52" s="1142"/>
      <c r="BFS52" s="1142"/>
      <c r="BFT52" s="1142"/>
      <c r="BFU52" s="1142"/>
      <c r="BFV52" s="1142"/>
      <c r="BFW52" s="1142"/>
      <c r="BFX52" s="1142"/>
      <c r="BFY52" s="1142"/>
      <c r="BFZ52" s="1142"/>
      <c r="BGA52" s="1142"/>
      <c r="BGB52" s="1142"/>
      <c r="BGC52" s="1167"/>
      <c r="BGD52" s="1167"/>
      <c r="BGE52" s="1167"/>
      <c r="BGF52" s="1167"/>
      <c r="BGG52" s="1167"/>
      <c r="BGH52" s="1167"/>
      <c r="BGI52" s="1167"/>
      <c r="BGJ52" s="1167"/>
      <c r="BGK52" s="1167"/>
      <c r="BGL52" s="1142"/>
      <c r="BGM52" s="1142"/>
      <c r="BGN52" s="1142"/>
      <c r="BGO52" s="1142"/>
      <c r="BGP52" s="1142"/>
      <c r="BGQ52" s="1142"/>
      <c r="BGR52" s="1142"/>
      <c r="BGS52" s="1142"/>
      <c r="BGT52" s="1142"/>
      <c r="BGU52" s="1142"/>
      <c r="BGV52" s="1142"/>
      <c r="BGW52" s="1142"/>
      <c r="BGX52" s="1142"/>
      <c r="BGY52" s="1142"/>
      <c r="BGZ52" s="1142"/>
      <c r="BHA52" s="1142"/>
      <c r="BHB52" s="1142"/>
      <c r="BHC52" s="1142"/>
      <c r="BHD52" s="1142"/>
      <c r="BHE52" s="1142"/>
      <c r="BHF52" s="1142"/>
      <c r="BHG52" s="1142"/>
      <c r="BHH52" s="1142"/>
      <c r="BHI52" s="1167"/>
      <c r="BHJ52" s="1167"/>
      <c r="BHK52" s="1167"/>
      <c r="BHL52" s="1167"/>
      <c r="BHM52" s="1167"/>
      <c r="BHN52" s="1167"/>
      <c r="BHO52" s="1167"/>
      <c r="BHP52" s="1167"/>
      <c r="BHQ52" s="1167"/>
      <c r="BHR52" s="1142"/>
      <c r="BHS52" s="1142"/>
      <c r="BHT52" s="1142"/>
      <c r="BHU52" s="1142"/>
      <c r="BHV52" s="1142"/>
      <c r="BHW52" s="1142"/>
      <c r="BHX52" s="1142"/>
      <c r="BHY52" s="1142"/>
      <c r="BHZ52" s="1142"/>
      <c r="BIA52" s="1142"/>
      <c r="BIB52" s="1142"/>
      <c r="BIC52" s="1142"/>
      <c r="BID52" s="1142"/>
      <c r="BIE52" s="1142"/>
      <c r="BIF52" s="1142"/>
      <c r="BIG52" s="1142"/>
      <c r="BIH52" s="1142"/>
      <c r="BII52" s="1142"/>
      <c r="BIJ52" s="1142"/>
      <c r="BIK52" s="1142"/>
      <c r="BIL52" s="1142"/>
      <c r="BIM52" s="1142"/>
      <c r="BIN52" s="1142"/>
      <c r="BIO52" s="1167"/>
      <c r="BIP52" s="1167"/>
      <c r="BIQ52" s="1167"/>
      <c r="BIR52" s="1167"/>
      <c r="BIS52" s="1167"/>
      <c r="BIT52" s="1167"/>
      <c r="BIU52" s="1167"/>
      <c r="BIV52" s="1167"/>
      <c r="BIW52" s="1167"/>
      <c r="BIX52" s="1142"/>
      <c r="BIY52" s="1142"/>
      <c r="BIZ52" s="1142"/>
      <c r="BJA52" s="1142"/>
      <c r="BJB52" s="1142"/>
      <c r="BJC52" s="1142"/>
      <c r="BJD52" s="1142"/>
      <c r="BJE52" s="1142"/>
      <c r="BJF52" s="1142"/>
      <c r="BJG52" s="1142"/>
      <c r="BJH52" s="1142"/>
      <c r="BJI52" s="1142"/>
      <c r="BJJ52" s="1142"/>
      <c r="BJK52" s="1142"/>
      <c r="BJL52" s="1142"/>
      <c r="BJM52" s="1142"/>
      <c r="BJN52" s="1142"/>
      <c r="BJO52" s="1142"/>
      <c r="BJP52" s="1142"/>
      <c r="BJQ52" s="1142"/>
      <c r="BJR52" s="1142"/>
      <c r="BJS52" s="1142"/>
      <c r="BJT52" s="1142"/>
      <c r="BJU52" s="1167"/>
      <c r="BJV52" s="1167"/>
      <c r="BJW52" s="1167"/>
      <c r="BJX52" s="1167"/>
      <c r="BJY52" s="1167"/>
      <c r="BJZ52" s="1167"/>
      <c r="BKA52" s="1167"/>
      <c r="BKB52" s="1167"/>
      <c r="BKC52" s="1167"/>
      <c r="BKD52" s="1142"/>
      <c r="BKE52" s="1142"/>
      <c r="BKF52" s="1142"/>
      <c r="BKG52" s="1142"/>
      <c r="BKH52" s="1142"/>
      <c r="BKI52" s="1142"/>
      <c r="BKJ52" s="1142"/>
      <c r="BKK52" s="1142"/>
      <c r="BKL52" s="1142"/>
      <c r="BKM52" s="1142"/>
      <c r="BKN52" s="1142"/>
      <c r="BKO52" s="1142"/>
      <c r="BKP52" s="1142"/>
      <c r="BKQ52" s="1142"/>
      <c r="BKR52" s="1142"/>
      <c r="BKS52" s="1142"/>
      <c r="BKT52" s="1142"/>
      <c r="BKU52" s="1142"/>
      <c r="BKV52" s="1142"/>
      <c r="BKW52" s="1142"/>
      <c r="BKX52" s="1142"/>
      <c r="BKY52" s="1142"/>
      <c r="BKZ52" s="1142"/>
      <c r="BLA52" s="1167"/>
      <c r="BLB52" s="1167"/>
      <c r="BLC52" s="1167"/>
      <c r="BLD52" s="1167"/>
      <c r="BLE52" s="1167"/>
      <c r="BLF52" s="1167"/>
      <c r="BLG52" s="1167"/>
      <c r="BLH52" s="1167"/>
      <c r="BLI52" s="1167"/>
      <c r="BLJ52" s="1142"/>
      <c r="BLK52" s="1142"/>
      <c r="BLL52" s="1142"/>
      <c r="BLM52" s="1142"/>
      <c r="BLN52" s="1142"/>
      <c r="BLO52" s="1142"/>
      <c r="BLP52" s="1142"/>
      <c r="BLQ52" s="1142"/>
      <c r="BLR52" s="1142"/>
      <c r="BLS52" s="1142"/>
      <c r="BLT52" s="1142"/>
      <c r="BLU52" s="1142"/>
      <c r="BLV52" s="1142"/>
      <c r="BLW52" s="1142"/>
      <c r="BLX52" s="1142"/>
      <c r="BLY52" s="1142"/>
      <c r="BLZ52" s="1142"/>
      <c r="BMA52" s="1142"/>
      <c r="BMB52" s="1142"/>
      <c r="BMC52" s="1142"/>
      <c r="BMD52" s="1142"/>
      <c r="BME52" s="1142"/>
      <c r="BMF52" s="1142"/>
      <c r="BMG52" s="1167"/>
      <c r="BMH52" s="1167"/>
      <c r="BMI52" s="1167"/>
      <c r="BMJ52" s="1167"/>
      <c r="BMK52" s="1167"/>
      <c r="BML52" s="1167"/>
      <c r="BMM52" s="1167"/>
      <c r="BMN52" s="1167"/>
      <c r="BMO52" s="1167"/>
      <c r="BMP52" s="1142"/>
      <c r="BMQ52" s="1142"/>
      <c r="BMR52" s="1142"/>
      <c r="BMS52" s="1142"/>
      <c r="BMT52" s="1142"/>
      <c r="BMU52" s="1142"/>
      <c r="BMV52" s="1142"/>
      <c r="BMW52" s="1142"/>
      <c r="BMX52" s="1142"/>
      <c r="BMY52" s="1142"/>
      <c r="BMZ52" s="1142"/>
      <c r="BNA52" s="1142"/>
      <c r="BNB52" s="1142"/>
      <c r="BNC52" s="1142"/>
      <c r="BND52" s="1142"/>
      <c r="BNE52" s="1142"/>
      <c r="BNF52" s="1142"/>
      <c r="BNG52" s="1142"/>
      <c r="BNH52" s="1142"/>
      <c r="BNI52" s="1142"/>
      <c r="BNJ52" s="1142"/>
      <c r="BNK52" s="1142"/>
      <c r="BNL52" s="1142"/>
      <c r="BNM52" s="1167"/>
      <c r="BNN52" s="1167"/>
      <c r="BNO52" s="1167"/>
      <c r="BNP52" s="1167"/>
      <c r="BNQ52" s="1167"/>
      <c r="BNR52" s="1167"/>
      <c r="BNS52" s="1167"/>
      <c r="BNT52" s="1167"/>
      <c r="BNU52" s="1167"/>
      <c r="BNV52" s="1142"/>
      <c r="BNW52" s="1142"/>
      <c r="BNX52" s="1142"/>
      <c r="BNY52" s="1142"/>
      <c r="BNZ52" s="1142"/>
      <c r="BOA52" s="1142"/>
      <c r="BOB52" s="1142"/>
      <c r="BOC52" s="1142"/>
      <c r="BOD52" s="1142"/>
      <c r="BOE52" s="1142"/>
      <c r="BOF52" s="1142"/>
      <c r="BOG52" s="1142"/>
      <c r="BOH52" s="1142"/>
      <c r="BOI52" s="1142"/>
      <c r="BOJ52" s="1142"/>
      <c r="BOK52" s="1142"/>
      <c r="BOL52" s="1142"/>
      <c r="BOM52" s="1142"/>
      <c r="BON52" s="1142"/>
      <c r="BOO52" s="1142"/>
      <c r="BOP52" s="1142"/>
      <c r="BOQ52" s="1142"/>
      <c r="BOR52" s="1142"/>
      <c r="BOS52" s="1167"/>
      <c r="BOT52" s="1167"/>
      <c r="BOU52" s="1167"/>
      <c r="BOV52" s="1167"/>
      <c r="BOW52" s="1167"/>
      <c r="BOX52" s="1167"/>
      <c r="BOY52" s="1167"/>
      <c r="BOZ52" s="1167"/>
      <c r="BPA52" s="1167"/>
      <c r="BPB52" s="1142"/>
      <c r="BPC52" s="1142"/>
      <c r="BPD52" s="1142"/>
      <c r="BPE52" s="1142"/>
      <c r="BPF52" s="1142"/>
      <c r="BPG52" s="1142"/>
      <c r="BPH52" s="1142"/>
      <c r="BPI52" s="1142"/>
      <c r="BPJ52" s="1142"/>
      <c r="BPK52" s="1142"/>
      <c r="BPL52" s="1142"/>
      <c r="BPM52" s="1142"/>
      <c r="BPN52" s="1142"/>
      <c r="BPO52" s="1142"/>
      <c r="BPP52" s="1142"/>
      <c r="BPQ52" s="1142"/>
      <c r="BPR52" s="1142"/>
      <c r="BPS52" s="1142"/>
      <c r="BPT52" s="1142"/>
      <c r="BPU52" s="1142"/>
      <c r="BPV52" s="1142"/>
      <c r="BPW52" s="1142"/>
      <c r="BPX52" s="1142"/>
      <c r="BPY52" s="1167"/>
      <c r="BPZ52" s="1167"/>
      <c r="BQA52" s="1167"/>
      <c r="BQB52" s="1167"/>
      <c r="BQC52" s="1167"/>
      <c r="BQD52" s="1167"/>
      <c r="BQE52" s="1167"/>
      <c r="BQF52" s="1167"/>
      <c r="BQG52" s="1167"/>
      <c r="BQH52" s="1142"/>
      <c r="BQI52" s="1142"/>
      <c r="BQJ52" s="1142"/>
      <c r="BQK52" s="1142"/>
      <c r="BQL52" s="1142"/>
      <c r="BQM52" s="1142"/>
      <c r="BQN52" s="1142"/>
      <c r="BQO52" s="1142"/>
      <c r="BQP52" s="1142"/>
      <c r="BQQ52" s="1142"/>
      <c r="BQR52" s="1142"/>
      <c r="BQS52" s="1142"/>
      <c r="BQT52" s="1142"/>
      <c r="BQU52" s="1142"/>
      <c r="BQV52" s="1142"/>
      <c r="BQW52" s="1142"/>
      <c r="BQX52" s="1142"/>
      <c r="BQY52" s="1142"/>
      <c r="BQZ52" s="1142"/>
      <c r="BRA52" s="1142"/>
      <c r="BRB52" s="1142"/>
      <c r="BRC52" s="1142"/>
      <c r="BRD52" s="1142"/>
      <c r="BRE52" s="1167"/>
      <c r="BRF52" s="1167"/>
      <c r="BRG52" s="1167"/>
      <c r="BRH52" s="1167"/>
      <c r="BRI52" s="1167"/>
      <c r="BRJ52" s="1167"/>
      <c r="BRK52" s="1167"/>
      <c r="BRL52" s="1167"/>
      <c r="BRM52" s="1167"/>
      <c r="BRN52" s="1142"/>
      <c r="BRO52" s="1142"/>
      <c r="BRP52" s="1142"/>
      <c r="BRQ52" s="1142"/>
      <c r="BRR52" s="1142"/>
      <c r="BRS52" s="1142"/>
      <c r="BRT52" s="1142"/>
      <c r="BRU52" s="1142"/>
      <c r="BRV52" s="1142"/>
      <c r="BRW52" s="1142"/>
      <c r="BRX52" s="1142"/>
      <c r="BRY52" s="1142"/>
      <c r="BRZ52" s="1142"/>
      <c r="BSA52" s="1142"/>
      <c r="BSB52" s="1142"/>
      <c r="BSC52" s="1142"/>
      <c r="BSD52" s="1142"/>
      <c r="BSE52" s="1142"/>
      <c r="BSF52" s="1142"/>
      <c r="BSG52" s="1142"/>
      <c r="BSH52" s="1142"/>
      <c r="BSI52" s="1142"/>
      <c r="BSJ52" s="1142"/>
      <c r="BSK52" s="1167"/>
      <c r="BSL52" s="1167"/>
      <c r="BSM52" s="1167"/>
      <c r="BSN52" s="1167"/>
      <c r="BSO52" s="1167"/>
      <c r="BSP52" s="1167"/>
      <c r="BSQ52" s="1167"/>
      <c r="BSR52" s="1167"/>
      <c r="BSS52" s="1167"/>
      <c r="BST52" s="1142"/>
      <c r="BSU52" s="1142"/>
      <c r="BSV52" s="1142"/>
      <c r="BSW52" s="1142"/>
      <c r="BSX52" s="1142"/>
      <c r="BSY52" s="1142"/>
      <c r="BSZ52" s="1142"/>
      <c r="BTA52" s="1142"/>
      <c r="BTB52" s="1142"/>
      <c r="BTC52" s="1142"/>
      <c r="BTD52" s="1142"/>
      <c r="BTE52" s="1142"/>
      <c r="BTF52" s="1142"/>
      <c r="BTG52" s="1142"/>
      <c r="BTH52" s="1142"/>
      <c r="BTI52" s="1142"/>
      <c r="BTJ52" s="1142"/>
      <c r="BTK52" s="1142"/>
      <c r="BTL52" s="1142"/>
      <c r="BTM52" s="1142"/>
      <c r="BTN52" s="1142"/>
      <c r="BTO52" s="1142"/>
      <c r="BTP52" s="1142"/>
      <c r="BTQ52" s="1167"/>
      <c r="BTR52" s="1167"/>
      <c r="BTS52" s="1167"/>
      <c r="BTT52" s="1167"/>
      <c r="BTU52" s="1167"/>
      <c r="BTV52" s="1167"/>
      <c r="BTW52" s="1167"/>
      <c r="BTX52" s="1167"/>
      <c r="BTY52" s="1167"/>
      <c r="BTZ52" s="1142"/>
      <c r="BUA52" s="1142"/>
      <c r="BUB52" s="1142"/>
      <c r="BUC52" s="1142"/>
      <c r="BUD52" s="1142"/>
      <c r="BUE52" s="1142"/>
      <c r="BUF52" s="1142"/>
      <c r="BUG52" s="1142"/>
      <c r="BUH52" s="1142"/>
      <c r="BUI52" s="1142"/>
      <c r="BUJ52" s="1142"/>
      <c r="BUK52" s="1142"/>
      <c r="BUL52" s="1142"/>
      <c r="BUM52" s="1142"/>
      <c r="BUN52" s="1142"/>
      <c r="BUO52" s="1142"/>
      <c r="BUP52" s="1142"/>
      <c r="BUQ52" s="1142"/>
      <c r="BUR52" s="1142"/>
      <c r="BUS52" s="1142"/>
      <c r="BUT52" s="1142"/>
      <c r="BUU52" s="1142"/>
      <c r="BUV52" s="1142"/>
      <c r="BUW52" s="1167"/>
      <c r="BUX52" s="1167"/>
      <c r="BUY52" s="1167"/>
      <c r="BUZ52" s="1167"/>
      <c r="BVA52" s="1167"/>
      <c r="BVB52" s="1167"/>
      <c r="BVC52" s="1167"/>
      <c r="BVD52" s="1167"/>
      <c r="BVE52" s="1167"/>
      <c r="BVF52" s="1142"/>
      <c r="BVG52" s="1142"/>
      <c r="BVH52" s="1142"/>
      <c r="BVI52" s="1142"/>
      <c r="BVJ52" s="1142"/>
      <c r="BVK52" s="1142"/>
      <c r="BVL52" s="1142"/>
      <c r="BVM52" s="1142"/>
      <c r="BVN52" s="1142"/>
      <c r="BVO52" s="1142"/>
      <c r="BVP52" s="1142"/>
      <c r="BVQ52" s="1142"/>
      <c r="BVR52" s="1142"/>
      <c r="BVS52" s="1142"/>
      <c r="BVT52" s="1142"/>
      <c r="BVU52" s="1142"/>
      <c r="BVV52" s="1142"/>
      <c r="BVW52" s="1142"/>
      <c r="BVX52" s="1142"/>
      <c r="BVY52" s="1142"/>
      <c r="BVZ52" s="1142"/>
      <c r="BWA52" s="1142"/>
      <c r="BWB52" s="1142"/>
      <c r="BWC52" s="1167"/>
      <c r="BWD52" s="1167"/>
      <c r="BWE52" s="1167"/>
      <c r="BWF52" s="1167"/>
      <c r="BWG52" s="1167"/>
      <c r="BWH52" s="1167"/>
      <c r="BWI52" s="1167"/>
      <c r="BWJ52" s="1167"/>
      <c r="BWK52" s="1167"/>
      <c r="BWL52" s="1142"/>
      <c r="BWM52" s="1142"/>
      <c r="BWN52" s="1142"/>
      <c r="BWO52" s="1142"/>
      <c r="BWP52" s="1142"/>
      <c r="BWQ52" s="1142"/>
      <c r="BWR52" s="1142"/>
      <c r="BWS52" s="1142"/>
      <c r="BWT52" s="1142"/>
      <c r="BWU52" s="1142"/>
      <c r="BWV52" s="1142"/>
      <c r="BWW52" s="1142"/>
      <c r="BWX52" s="1142"/>
      <c r="BWY52" s="1142"/>
      <c r="BWZ52" s="1142"/>
      <c r="BXA52" s="1142"/>
      <c r="BXB52" s="1142"/>
      <c r="BXC52" s="1142"/>
      <c r="BXD52" s="1142"/>
      <c r="BXE52" s="1142"/>
      <c r="BXF52" s="1142"/>
      <c r="BXG52" s="1142"/>
      <c r="BXH52" s="1142"/>
      <c r="BXI52" s="1167"/>
      <c r="BXJ52" s="1167"/>
      <c r="BXK52" s="1167"/>
      <c r="BXL52" s="1167"/>
      <c r="BXM52" s="1167"/>
      <c r="BXN52" s="1167"/>
      <c r="BXO52" s="1167"/>
      <c r="BXP52" s="1167"/>
      <c r="BXQ52" s="1167"/>
      <c r="BXR52" s="1142"/>
      <c r="BXS52" s="1142"/>
      <c r="BXT52" s="1142"/>
      <c r="BXU52" s="1142"/>
      <c r="BXV52" s="1142"/>
      <c r="BXW52" s="1142"/>
      <c r="BXX52" s="1142"/>
      <c r="BXY52" s="1142"/>
      <c r="BXZ52" s="1142"/>
      <c r="BYA52" s="1142"/>
      <c r="BYB52" s="1142"/>
      <c r="BYC52" s="1142"/>
      <c r="BYD52" s="1142"/>
      <c r="BYE52" s="1142"/>
      <c r="BYF52" s="1142"/>
      <c r="BYG52" s="1142"/>
      <c r="BYH52" s="1142"/>
      <c r="BYI52" s="1142"/>
      <c r="BYJ52" s="1142"/>
      <c r="BYK52" s="1142"/>
      <c r="BYL52" s="1142"/>
      <c r="BYM52" s="1142"/>
      <c r="BYN52" s="1142"/>
      <c r="BYO52" s="1167"/>
      <c r="BYP52" s="1167"/>
      <c r="BYQ52" s="1167"/>
      <c r="BYR52" s="1167"/>
      <c r="BYS52" s="1167"/>
      <c r="BYT52" s="1167"/>
      <c r="BYU52" s="1167"/>
      <c r="BYV52" s="1167"/>
      <c r="BYW52" s="1167"/>
      <c r="BYX52" s="1142"/>
      <c r="BYY52" s="1142"/>
      <c r="BYZ52" s="1142"/>
      <c r="BZA52" s="1142"/>
      <c r="BZB52" s="1142"/>
      <c r="BZC52" s="1142"/>
      <c r="BZD52" s="1142"/>
      <c r="BZE52" s="1142"/>
      <c r="BZF52" s="1142"/>
      <c r="BZG52" s="1142"/>
      <c r="BZH52" s="1142"/>
      <c r="BZI52" s="1142"/>
      <c r="BZJ52" s="1142"/>
      <c r="BZK52" s="1142"/>
      <c r="BZL52" s="1142"/>
      <c r="BZM52" s="1142"/>
      <c r="BZN52" s="1142"/>
      <c r="BZO52" s="1142"/>
      <c r="BZP52" s="1142"/>
      <c r="BZQ52" s="1142"/>
      <c r="BZR52" s="1142"/>
      <c r="BZS52" s="1142"/>
      <c r="BZT52" s="1142"/>
      <c r="BZU52" s="1167"/>
      <c r="BZV52" s="1167"/>
      <c r="BZW52" s="1167"/>
      <c r="BZX52" s="1167"/>
      <c r="BZY52" s="1167"/>
      <c r="BZZ52" s="1167"/>
      <c r="CAA52" s="1167"/>
      <c r="CAB52" s="1167"/>
      <c r="CAC52" s="1167"/>
      <c r="CAD52" s="1142"/>
      <c r="CAE52" s="1142"/>
      <c r="CAF52" s="1142"/>
      <c r="CAG52" s="1142"/>
      <c r="CAH52" s="1142"/>
      <c r="CAI52" s="1142"/>
      <c r="CAJ52" s="1142"/>
      <c r="CAK52" s="1142"/>
      <c r="CAL52" s="1142"/>
      <c r="CAM52" s="1142"/>
      <c r="CAN52" s="1142"/>
      <c r="CAO52" s="1142"/>
      <c r="CAP52" s="1142"/>
      <c r="CAQ52" s="1142"/>
      <c r="CAR52" s="1142"/>
      <c r="CAS52" s="1142"/>
      <c r="CAT52" s="1142"/>
      <c r="CAU52" s="1142"/>
      <c r="CAV52" s="1142"/>
      <c r="CAW52" s="1142"/>
      <c r="CAX52" s="1142"/>
      <c r="CAY52" s="1142"/>
      <c r="CAZ52" s="1142"/>
      <c r="CBA52" s="1167"/>
      <c r="CBB52" s="1167"/>
      <c r="CBC52" s="1167"/>
      <c r="CBD52" s="1167"/>
      <c r="CBE52" s="1167"/>
      <c r="CBF52" s="1167"/>
      <c r="CBG52" s="1167"/>
      <c r="CBH52" s="1167"/>
      <c r="CBI52" s="1167"/>
      <c r="CBJ52" s="1142"/>
      <c r="CBK52" s="1142"/>
      <c r="CBL52" s="1142"/>
      <c r="CBM52" s="1142"/>
      <c r="CBN52" s="1142"/>
      <c r="CBO52" s="1142"/>
      <c r="CBP52" s="1142"/>
      <c r="CBQ52" s="1142"/>
      <c r="CBR52" s="1142"/>
      <c r="CBS52" s="1142"/>
      <c r="CBT52" s="1142"/>
      <c r="CBU52" s="1142"/>
      <c r="CBV52" s="1142"/>
      <c r="CBW52" s="1142"/>
      <c r="CBX52" s="1142"/>
      <c r="CBY52" s="1142"/>
      <c r="CBZ52" s="1142"/>
      <c r="CCA52" s="1142"/>
      <c r="CCB52" s="1142"/>
      <c r="CCC52" s="1142"/>
      <c r="CCD52" s="1142"/>
      <c r="CCE52" s="1142"/>
      <c r="CCF52" s="1142"/>
      <c r="CCG52" s="1167"/>
      <c r="CCH52" s="1167"/>
      <c r="CCI52" s="1167"/>
      <c r="CCJ52" s="1167"/>
      <c r="CCK52" s="1167"/>
      <c r="CCL52" s="1167"/>
      <c r="CCM52" s="1167"/>
      <c r="CCN52" s="1167"/>
      <c r="CCO52" s="1167"/>
      <c r="CCP52" s="1142"/>
      <c r="CCQ52" s="1142"/>
      <c r="CCR52" s="1142"/>
      <c r="CCS52" s="1142"/>
      <c r="CCT52" s="1142"/>
      <c r="CCU52" s="1142"/>
      <c r="CCV52" s="1142"/>
      <c r="CCW52" s="1142"/>
      <c r="CCX52" s="1142"/>
      <c r="CCY52" s="1142"/>
      <c r="CCZ52" s="1142"/>
      <c r="CDA52" s="1142"/>
      <c r="CDB52" s="1142"/>
      <c r="CDC52" s="1142"/>
      <c r="CDD52" s="1142"/>
      <c r="CDE52" s="1142"/>
      <c r="CDF52" s="1142"/>
      <c r="CDG52" s="1142"/>
      <c r="CDH52" s="1142"/>
      <c r="CDI52" s="1142"/>
      <c r="CDJ52" s="1142"/>
      <c r="CDK52" s="1142"/>
      <c r="CDL52" s="1142"/>
      <c r="CDM52" s="1167"/>
      <c r="CDN52" s="1167"/>
      <c r="CDO52" s="1167"/>
      <c r="CDP52" s="1167"/>
      <c r="CDQ52" s="1167"/>
      <c r="CDR52" s="1167"/>
      <c r="CDS52" s="1167"/>
      <c r="CDT52" s="1167"/>
      <c r="CDU52" s="1167"/>
      <c r="CDV52" s="1142"/>
      <c r="CDW52" s="1142"/>
      <c r="CDX52" s="1142"/>
      <c r="CDY52" s="1142"/>
      <c r="CDZ52" s="1142"/>
      <c r="CEA52" s="1142"/>
      <c r="CEB52" s="1142"/>
      <c r="CEC52" s="1142"/>
      <c r="CED52" s="1142"/>
      <c r="CEE52" s="1142"/>
      <c r="CEF52" s="1142"/>
      <c r="CEG52" s="1142"/>
      <c r="CEH52" s="1142"/>
      <c r="CEI52" s="1142"/>
      <c r="CEJ52" s="1142"/>
      <c r="CEK52" s="1142"/>
      <c r="CEL52" s="1142"/>
      <c r="CEM52" s="1142"/>
      <c r="CEN52" s="1142"/>
      <c r="CEO52" s="1142"/>
      <c r="CEP52" s="1142"/>
      <c r="CEQ52" s="1142"/>
      <c r="CER52" s="1142"/>
      <c r="CES52" s="1167"/>
      <c r="CET52" s="1167"/>
      <c r="CEU52" s="1167"/>
      <c r="CEV52" s="1167"/>
      <c r="CEW52" s="1167"/>
      <c r="CEX52" s="1167"/>
      <c r="CEY52" s="1167"/>
      <c r="CEZ52" s="1167"/>
      <c r="CFA52" s="1167"/>
      <c r="CFB52" s="1142"/>
      <c r="CFC52" s="1142"/>
      <c r="CFD52" s="1142"/>
      <c r="CFE52" s="1142"/>
      <c r="CFF52" s="1142"/>
      <c r="CFG52" s="1142"/>
      <c r="CFH52" s="1142"/>
      <c r="CFI52" s="1142"/>
      <c r="CFJ52" s="1142"/>
      <c r="CFK52" s="1142"/>
      <c r="CFL52" s="1142"/>
      <c r="CFM52" s="1142"/>
      <c r="CFN52" s="1142"/>
      <c r="CFO52" s="1142"/>
      <c r="CFP52" s="1142"/>
      <c r="CFQ52" s="1142"/>
      <c r="CFR52" s="1142"/>
      <c r="CFS52" s="1142"/>
      <c r="CFT52" s="1142"/>
      <c r="CFU52" s="1142"/>
      <c r="CFV52" s="1142"/>
      <c r="CFW52" s="1142"/>
      <c r="CFX52" s="1142"/>
      <c r="CFY52" s="1167"/>
      <c r="CFZ52" s="1167"/>
      <c r="CGA52" s="1167"/>
      <c r="CGB52" s="1167"/>
      <c r="CGC52" s="1167"/>
      <c r="CGD52" s="1167"/>
      <c r="CGE52" s="1167"/>
      <c r="CGF52" s="1167"/>
      <c r="CGG52" s="1167"/>
      <c r="CGH52" s="1142"/>
      <c r="CGI52" s="1142"/>
      <c r="CGJ52" s="1142"/>
      <c r="CGK52" s="1142"/>
      <c r="CGL52" s="1142"/>
      <c r="CGM52" s="1142"/>
      <c r="CGN52" s="1142"/>
      <c r="CGO52" s="1142"/>
      <c r="CGP52" s="1142"/>
      <c r="CGQ52" s="1142"/>
      <c r="CGR52" s="1142"/>
      <c r="CGS52" s="1142"/>
      <c r="CGT52" s="1142"/>
      <c r="CGU52" s="1142"/>
      <c r="CGV52" s="1142"/>
      <c r="CGW52" s="1142"/>
      <c r="CGX52" s="1142"/>
      <c r="CGY52" s="1142"/>
      <c r="CGZ52" s="1142"/>
      <c r="CHA52" s="1142"/>
      <c r="CHB52" s="1142"/>
      <c r="CHC52" s="1142"/>
      <c r="CHD52" s="1142"/>
      <c r="CHE52" s="1167"/>
      <c r="CHF52" s="1167"/>
      <c r="CHG52" s="1167"/>
      <c r="CHH52" s="1167"/>
      <c r="CHI52" s="1167"/>
      <c r="CHJ52" s="1167"/>
      <c r="CHK52" s="1167"/>
      <c r="CHL52" s="1167"/>
      <c r="CHM52" s="1167"/>
      <c r="CHN52" s="1142"/>
      <c r="CHO52" s="1142"/>
      <c r="CHP52" s="1142"/>
      <c r="CHQ52" s="1142"/>
      <c r="CHR52" s="1142"/>
      <c r="CHS52" s="1142"/>
      <c r="CHT52" s="1142"/>
      <c r="CHU52" s="1142"/>
      <c r="CHV52" s="1142"/>
      <c r="CHW52" s="1142"/>
      <c r="CHX52" s="1142"/>
      <c r="CHY52" s="1142"/>
      <c r="CHZ52" s="1142"/>
      <c r="CIA52" s="1142"/>
      <c r="CIB52" s="1142"/>
      <c r="CIC52" s="1142"/>
      <c r="CID52" s="1142"/>
      <c r="CIE52" s="1142"/>
      <c r="CIF52" s="1142"/>
      <c r="CIG52" s="1142"/>
      <c r="CIH52" s="1142"/>
      <c r="CII52" s="1142"/>
      <c r="CIJ52" s="1142"/>
      <c r="CIK52" s="1167"/>
      <c r="CIL52" s="1167"/>
      <c r="CIM52" s="1167"/>
      <c r="CIN52" s="1167"/>
      <c r="CIO52" s="1167"/>
      <c r="CIP52" s="1167"/>
      <c r="CIQ52" s="1167"/>
      <c r="CIR52" s="1167"/>
      <c r="CIS52" s="1167"/>
      <c r="CIT52" s="1142"/>
      <c r="CIU52" s="1142"/>
      <c r="CIV52" s="1142"/>
      <c r="CIW52" s="1142"/>
      <c r="CIX52" s="1142"/>
      <c r="CIY52" s="1142"/>
      <c r="CIZ52" s="1142"/>
      <c r="CJA52" s="1142"/>
      <c r="CJB52" s="1142"/>
      <c r="CJC52" s="1142"/>
      <c r="CJD52" s="1142"/>
      <c r="CJE52" s="1142"/>
      <c r="CJF52" s="1142"/>
      <c r="CJG52" s="1142"/>
      <c r="CJH52" s="1142"/>
      <c r="CJI52" s="1142"/>
      <c r="CJJ52" s="1142"/>
      <c r="CJK52" s="1142"/>
      <c r="CJL52" s="1142"/>
      <c r="CJM52" s="1142"/>
      <c r="CJN52" s="1142"/>
      <c r="CJO52" s="1142"/>
      <c r="CJP52" s="1142"/>
      <c r="CJQ52" s="1167"/>
      <c r="CJR52" s="1167"/>
      <c r="CJS52" s="1167"/>
      <c r="CJT52" s="1167"/>
      <c r="CJU52" s="1167"/>
      <c r="CJV52" s="1167"/>
      <c r="CJW52" s="1167"/>
      <c r="CJX52" s="1167"/>
      <c r="CJY52" s="1167"/>
      <c r="CJZ52" s="1142"/>
      <c r="CKA52" s="1142"/>
      <c r="CKB52" s="1142"/>
      <c r="CKC52" s="1142"/>
      <c r="CKD52" s="1142"/>
      <c r="CKE52" s="1142"/>
      <c r="CKF52" s="1142"/>
      <c r="CKG52" s="1142"/>
      <c r="CKH52" s="1142"/>
      <c r="CKI52" s="1142"/>
      <c r="CKJ52" s="1142"/>
      <c r="CKK52" s="1142"/>
      <c r="CKL52" s="1142"/>
      <c r="CKM52" s="1142"/>
      <c r="CKN52" s="1142"/>
      <c r="CKO52" s="1142"/>
      <c r="CKP52" s="1142"/>
      <c r="CKQ52" s="1142"/>
      <c r="CKR52" s="1142"/>
      <c r="CKS52" s="1142"/>
      <c r="CKT52" s="1142"/>
      <c r="CKU52" s="1142"/>
      <c r="CKV52" s="1142"/>
      <c r="CKW52" s="1167"/>
      <c r="CKX52" s="1167"/>
      <c r="CKY52" s="1167"/>
      <c r="CKZ52" s="1167"/>
      <c r="CLA52" s="1167"/>
      <c r="CLB52" s="1167"/>
      <c r="CLC52" s="1167"/>
      <c r="CLD52" s="1167"/>
      <c r="CLE52" s="1167"/>
      <c r="CLF52" s="1142"/>
      <c r="CLG52" s="1142"/>
      <c r="CLH52" s="1142"/>
      <c r="CLI52" s="1142"/>
      <c r="CLJ52" s="1142"/>
      <c r="CLK52" s="1142"/>
      <c r="CLL52" s="1142"/>
      <c r="CLM52" s="1142"/>
      <c r="CLN52" s="1142"/>
      <c r="CLO52" s="1142"/>
      <c r="CLP52" s="1142"/>
      <c r="CLQ52" s="1142"/>
      <c r="CLR52" s="1142"/>
      <c r="CLS52" s="1142"/>
      <c r="CLT52" s="1142"/>
      <c r="CLU52" s="1142"/>
      <c r="CLV52" s="1142"/>
      <c r="CLW52" s="1142"/>
      <c r="CLX52" s="1142"/>
      <c r="CLY52" s="1142"/>
      <c r="CLZ52" s="1142"/>
      <c r="CMA52" s="1142"/>
      <c r="CMB52" s="1142"/>
      <c r="CMC52" s="1167"/>
      <c r="CMD52" s="1167"/>
      <c r="CME52" s="1167"/>
      <c r="CMF52" s="1167"/>
      <c r="CMG52" s="1167"/>
      <c r="CMH52" s="1167"/>
      <c r="CMI52" s="1167"/>
      <c r="CMJ52" s="1167"/>
      <c r="CMK52" s="1167"/>
      <c r="CML52" s="1142"/>
      <c r="CMM52" s="1142"/>
      <c r="CMN52" s="1142"/>
      <c r="CMO52" s="1142"/>
      <c r="CMP52" s="1142"/>
      <c r="CMQ52" s="1142"/>
      <c r="CMR52" s="1142"/>
      <c r="CMS52" s="1142"/>
      <c r="CMT52" s="1142"/>
      <c r="CMU52" s="1142"/>
      <c r="CMV52" s="1142"/>
      <c r="CMW52" s="1142"/>
      <c r="CMX52" s="1142"/>
      <c r="CMY52" s="1142"/>
      <c r="CMZ52" s="1142"/>
      <c r="CNA52" s="1142"/>
      <c r="CNB52" s="1142"/>
      <c r="CNC52" s="1142"/>
      <c r="CND52" s="1142"/>
      <c r="CNE52" s="1142"/>
      <c r="CNF52" s="1142"/>
      <c r="CNG52" s="1142"/>
      <c r="CNH52" s="1142"/>
      <c r="CNI52" s="1167"/>
      <c r="CNJ52" s="1167"/>
      <c r="CNK52" s="1167"/>
      <c r="CNL52" s="1167"/>
      <c r="CNM52" s="1167"/>
      <c r="CNN52" s="1167"/>
      <c r="CNO52" s="1167"/>
      <c r="CNP52" s="1167"/>
      <c r="CNQ52" s="1167"/>
      <c r="CNR52" s="1142"/>
      <c r="CNS52" s="1142"/>
      <c r="CNT52" s="1142"/>
      <c r="CNU52" s="1142"/>
      <c r="CNV52" s="1142"/>
      <c r="CNW52" s="1142"/>
      <c r="CNX52" s="1142"/>
      <c r="CNY52" s="1142"/>
      <c r="CNZ52" s="1142"/>
      <c r="COA52" s="1142"/>
      <c r="COB52" s="1142"/>
      <c r="COC52" s="1142"/>
      <c r="COD52" s="1142"/>
      <c r="COE52" s="1142"/>
      <c r="COF52" s="1142"/>
      <c r="COG52" s="1142"/>
      <c r="COH52" s="1142"/>
      <c r="COI52" s="1142"/>
      <c r="COJ52" s="1142"/>
      <c r="COK52" s="1142"/>
      <c r="COL52" s="1142"/>
      <c r="COM52" s="1142"/>
      <c r="CON52" s="1142"/>
      <c r="COO52" s="1167"/>
      <c r="COP52" s="1167"/>
      <c r="COQ52" s="1167"/>
      <c r="COR52" s="1167"/>
      <c r="COS52" s="1167"/>
      <c r="COT52" s="1167"/>
      <c r="COU52" s="1167"/>
      <c r="COV52" s="1167"/>
      <c r="COW52" s="1167"/>
      <c r="COX52" s="1142"/>
      <c r="COY52" s="1142"/>
      <c r="COZ52" s="1142"/>
      <c r="CPA52" s="1142"/>
      <c r="CPB52" s="1142"/>
      <c r="CPC52" s="1142"/>
      <c r="CPD52" s="1142"/>
      <c r="CPE52" s="1142"/>
      <c r="CPF52" s="1142"/>
      <c r="CPG52" s="1142"/>
      <c r="CPH52" s="1142"/>
      <c r="CPI52" s="1142"/>
      <c r="CPJ52" s="1142"/>
      <c r="CPK52" s="1142"/>
      <c r="CPL52" s="1142"/>
      <c r="CPM52" s="1142"/>
      <c r="CPN52" s="1142"/>
      <c r="CPO52" s="1142"/>
      <c r="CPP52" s="1142"/>
      <c r="CPQ52" s="1142"/>
      <c r="CPR52" s="1142"/>
      <c r="CPS52" s="1142"/>
      <c r="CPT52" s="1142"/>
      <c r="CPU52" s="1167"/>
      <c r="CPV52" s="1167"/>
      <c r="CPW52" s="1167"/>
      <c r="CPX52" s="1167"/>
      <c r="CPY52" s="1167"/>
      <c r="CPZ52" s="1167"/>
      <c r="CQA52" s="1167"/>
      <c r="CQB52" s="1167"/>
      <c r="CQC52" s="1167"/>
      <c r="CQD52" s="1142"/>
      <c r="CQE52" s="1142"/>
      <c r="CQF52" s="1142"/>
      <c r="CQG52" s="1142"/>
      <c r="CQH52" s="1142"/>
      <c r="CQI52" s="1142"/>
      <c r="CQJ52" s="1142"/>
      <c r="CQK52" s="1142"/>
      <c r="CQL52" s="1142"/>
      <c r="CQM52" s="1142"/>
      <c r="CQN52" s="1142"/>
      <c r="CQO52" s="1142"/>
      <c r="CQP52" s="1142"/>
      <c r="CQQ52" s="1142"/>
      <c r="CQR52" s="1142"/>
      <c r="CQS52" s="1142"/>
      <c r="CQT52" s="1142"/>
      <c r="CQU52" s="1142"/>
      <c r="CQV52" s="1142"/>
      <c r="CQW52" s="1142"/>
      <c r="CQX52" s="1142"/>
      <c r="CQY52" s="1142"/>
      <c r="CQZ52" s="1142"/>
      <c r="CRA52" s="1167"/>
      <c r="CRB52" s="1167"/>
      <c r="CRC52" s="1167"/>
      <c r="CRD52" s="1167"/>
      <c r="CRE52" s="1167"/>
      <c r="CRF52" s="1167"/>
      <c r="CRG52" s="1167"/>
      <c r="CRH52" s="1167"/>
      <c r="CRI52" s="1167"/>
      <c r="CRJ52" s="1142"/>
      <c r="CRK52" s="1142"/>
      <c r="CRL52" s="1142"/>
      <c r="CRM52" s="1142"/>
      <c r="CRN52" s="1142"/>
      <c r="CRO52" s="1142"/>
      <c r="CRP52" s="1142"/>
      <c r="CRQ52" s="1142"/>
      <c r="CRR52" s="1142"/>
      <c r="CRS52" s="1142"/>
      <c r="CRT52" s="1142"/>
      <c r="CRU52" s="1142"/>
      <c r="CRV52" s="1142"/>
      <c r="CRW52" s="1142"/>
      <c r="CRX52" s="1142"/>
      <c r="CRY52" s="1142"/>
      <c r="CRZ52" s="1142"/>
      <c r="CSA52" s="1142"/>
      <c r="CSB52" s="1142"/>
      <c r="CSC52" s="1142"/>
      <c r="CSD52" s="1142"/>
      <c r="CSE52" s="1142"/>
      <c r="CSF52" s="1142"/>
      <c r="CSG52" s="1167"/>
      <c r="CSH52" s="1167"/>
      <c r="CSI52" s="1167"/>
      <c r="CSJ52" s="1167"/>
      <c r="CSK52" s="1167"/>
      <c r="CSL52" s="1167"/>
      <c r="CSM52" s="1167"/>
      <c r="CSN52" s="1167"/>
      <c r="CSO52" s="1167"/>
      <c r="CSP52" s="1142"/>
      <c r="CSQ52" s="1142"/>
      <c r="CSR52" s="1142"/>
      <c r="CSS52" s="1142"/>
      <c r="CST52" s="1142"/>
      <c r="CSU52" s="1142"/>
      <c r="CSV52" s="1142"/>
      <c r="CSW52" s="1142"/>
      <c r="CSX52" s="1142"/>
      <c r="CSY52" s="1142"/>
      <c r="CSZ52" s="1142"/>
      <c r="CTA52" s="1142"/>
      <c r="CTB52" s="1142"/>
      <c r="CTC52" s="1142"/>
      <c r="CTD52" s="1142"/>
      <c r="CTE52" s="1142"/>
      <c r="CTF52" s="1142"/>
      <c r="CTG52" s="1142"/>
      <c r="CTH52" s="1142"/>
      <c r="CTI52" s="1142"/>
      <c r="CTJ52" s="1142"/>
      <c r="CTK52" s="1142"/>
      <c r="CTL52" s="1142"/>
      <c r="CTM52" s="1167"/>
      <c r="CTN52" s="1167"/>
      <c r="CTO52" s="1167"/>
      <c r="CTP52" s="1167"/>
      <c r="CTQ52" s="1167"/>
      <c r="CTR52" s="1167"/>
      <c r="CTS52" s="1167"/>
      <c r="CTT52" s="1167"/>
      <c r="CTU52" s="1167"/>
      <c r="CTV52" s="1142"/>
      <c r="CTW52" s="1142"/>
      <c r="CTX52" s="1142"/>
      <c r="CTY52" s="1142"/>
      <c r="CTZ52" s="1142"/>
      <c r="CUA52" s="1142"/>
      <c r="CUB52" s="1142"/>
      <c r="CUC52" s="1142"/>
      <c r="CUD52" s="1142"/>
      <c r="CUE52" s="1142"/>
      <c r="CUF52" s="1142"/>
      <c r="CUG52" s="1142"/>
      <c r="CUH52" s="1142"/>
      <c r="CUI52" s="1142"/>
      <c r="CUJ52" s="1142"/>
      <c r="CUK52" s="1142"/>
      <c r="CUL52" s="1142"/>
      <c r="CUM52" s="1142"/>
      <c r="CUN52" s="1142"/>
      <c r="CUO52" s="1142"/>
      <c r="CUP52" s="1142"/>
      <c r="CUQ52" s="1142"/>
      <c r="CUR52" s="1142"/>
      <c r="CUS52" s="1167"/>
      <c r="CUT52" s="1167"/>
      <c r="CUU52" s="1167"/>
      <c r="CUV52" s="1167"/>
      <c r="CUW52" s="1167"/>
      <c r="CUX52" s="1167"/>
      <c r="CUY52" s="1167"/>
      <c r="CUZ52" s="1167"/>
      <c r="CVA52" s="1167"/>
      <c r="CVB52" s="1142"/>
      <c r="CVC52" s="1142"/>
      <c r="CVD52" s="1142"/>
      <c r="CVE52" s="1142"/>
      <c r="CVF52" s="1142"/>
      <c r="CVG52" s="1142"/>
      <c r="CVH52" s="1142"/>
      <c r="CVI52" s="1142"/>
      <c r="CVJ52" s="1142"/>
      <c r="CVK52" s="1142"/>
      <c r="CVL52" s="1142"/>
      <c r="CVM52" s="1142"/>
      <c r="CVN52" s="1142"/>
      <c r="CVO52" s="1142"/>
      <c r="CVP52" s="1142"/>
      <c r="CVQ52" s="1142"/>
      <c r="CVR52" s="1142"/>
      <c r="CVS52" s="1142"/>
      <c r="CVT52" s="1142"/>
      <c r="CVU52" s="1142"/>
      <c r="CVV52" s="1142"/>
      <c r="CVW52" s="1142"/>
      <c r="CVX52" s="1142"/>
      <c r="CVY52" s="1167"/>
      <c r="CVZ52" s="1167"/>
      <c r="CWA52" s="1167"/>
      <c r="CWB52" s="1167"/>
      <c r="CWC52" s="1167"/>
      <c r="CWD52" s="1167"/>
      <c r="CWE52" s="1167"/>
      <c r="CWF52" s="1167"/>
      <c r="CWG52" s="1167"/>
      <c r="CWH52" s="1142"/>
      <c r="CWI52" s="1142"/>
      <c r="CWJ52" s="1142"/>
      <c r="CWK52" s="1142"/>
      <c r="CWL52" s="1142"/>
      <c r="CWM52" s="1142"/>
      <c r="CWN52" s="1142"/>
      <c r="CWO52" s="1142"/>
      <c r="CWP52" s="1142"/>
      <c r="CWQ52" s="1142"/>
      <c r="CWR52" s="1142"/>
      <c r="CWS52" s="1142"/>
      <c r="CWT52" s="1142"/>
      <c r="CWU52" s="1142"/>
      <c r="CWV52" s="1142"/>
      <c r="CWW52" s="1142"/>
      <c r="CWX52" s="1142"/>
      <c r="CWY52" s="1142"/>
      <c r="CWZ52" s="1142"/>
      <c r="CXA52" s="1142"/>
      <c r="CXB52" s="1142"/>
      <c r="CXC52" s="1142"/>
      <c r="CXD52" s="1142"/>
      <c r="CXE52" s="1167"/>
      <c r="CXF52" s="1167"/>
      <c r="CXG52" s="1167"/>
      <c r="CXH52" s="1167"/>
      <c r="CXI52" s="1167"/>
      <c r="CXJ52" s="1167"/>
      <c r="CXK52" s="1167"/>
      <c r="CXL52" s="1167"/>
      <c r="CXM52" s="1167"/>
      <c r="CXN52" s="1142"/>
      <c r="CXO52" s="1142"/>
      <c r="CXP52" s="1142"/>
      <c r="CXQ52" s="1142"/>
      <c r="CXR52" s="1142"/>
      <c r="CXS52" s="1142"/>
      <c r="CXT52" s="1142"/>
      <c r="CXU52" s="1142"/>
      <c r="CXV52" s="1142"/>
      <c r="CXW52" s="1142"/>
      <c r="CXX52" s="1142"/>
      <c r="CXY52" s="1142"/>
      <c r="CXZ52" s="1142"/>
      <c r="CYA52" s="1142"/>
      <c r="CYB52" s="1142"/>
      <c r="CYC52" s="1142"/>
      <c r="CYD52" s="1142"/>
      <c r="CYE52" s="1142"/>
      <c r="CYF52" s="1142"/>
      <c r="CYG52" s="1142"/>
      <c r="CYH52" s="1142"/>
      <c r="CYI52" s="1142"/>
      <c r="CYJ52" s="1142"/>
      <c r="CYK52" s="1167"/>
      <c r="CYL52" s="1167"/>
      <c r="CYM52" s="1167"/>
      <c r="CYN52" s="1167"/>
      <c r="CYO52" s="1167"/>
      <c r="CYP52" s="1167"/>
      <c r="CYQ52" s="1167"/>
      <c r="CYR52" s="1167"/>
      <c r="CYS52" s="1167"/>
      <c r="CYT52" s="1142"/>
      <c r="CYU52" s="1142"/>
      <c r="CYV52" s="1142"/>
      <c r="CYW52" s="1142"/>
      <c r="CYX52" s="1142"/>
      <c r="CYY52" s="1142"/>
      <c r="CYZ52" s="1142"/>
      <c r="CZA52" s="1142"/>
      <c r="CZB52" s="1142"/>
      <c r="CZC52" s="1142"/>
      <c r="CZD52" s="1142"/>
      <c r="CZE52" s="1142"/>
      <c r="CZF52" s="1142"/>
      <c r="CZG52" s="1142"/>
      <c r="CZH52" s="1142"/>
      <c r="CZI52" s="1142"/>
      <c r="CZJ52" s="1142"/>
      <c r="CZK52" s="1142"/>
      <c r="CZL52" s="1142"/>
      <c r="CZM52" s="1142"/>
      <c r="CZN52" s="1142"/>
      <c r="CZO52" s="1142"/>
      <c r="CZP52" s="1142"/>
      <c r="CZQ52" s="1167"/>
      <c r="CZR52" s="1167"/>
      <c r="CZS52" s="1167"/>
      <c r="CZT52" s="1167"/>
      <c r="CZU52" s="1167"/>
      <c r="CZV52" s="1167"/>
      <c r="CZW52" s="1167"/>
      <c r="CZX52" s="1167"/>
      <c r="CZY52" s="1167"/>
      <c r="CZZ52" s="1142"/>
      <c r="DAA52" s="1142"/>
      <c r="DAB52" s="1142"/>
      <c r="DAC52" s="1142"/>
      <c r="DAD52" s="1142"/>
      <c r="DAE52" s="1142"/>
      <c r="DAF52" s="1142"/>
      <c r="DAG52" s="1142"/>
      <c r="DAH52" s="1142"/>
      <c r="DAI52" s="1142"/>
      <c r="DAJ52" s="1142"/>
      <c r="DAK52" s="1142"/>
      <c r="DAL52" s="1142"/>
      <c r="DAM52" s="1142"/>
      <c r="DAN52" s="1142"/>
      <c r="DAO52" s="1142"/>
      <c r="DAP52" s="1142"/>
      <c r="DAQ52" s="1142"/>
      <c r="DAR52" s="1142"/>
      <c r="DAS52" s="1142"/>
      <c r="DAT52" s="1142"/>
      <c r="DAU52" s="1142"/>
      <c r="DAV52" s="1142"/>
      <c r="DAW52" s="1167"/>
      <c r="DAX52" s="1167"/>
      <c r="DAY52" s="1167"/>
      <c r="DAZ52" s="1167"/>
      <c r="DBA52" s="1167"/>
      <c r="DBB52" s="1167"/>
      <c r="DBC52" s="1167"/>
      <c r="DBD52" s="1167"/>
      <c r="DBE52" s="1167"/>
      <c r="DBF52" s="1142"/>
      <c r="DBG52" s="1142"/>
      <c r="DBH52" s="1142"/>
      <c r="DBI52" s="1142"/>
      <c r="DBJ52" s="1142"/>
      <c r="DBK52" s="1142"/>
      <c r="DBL52" s="1142"/>
      <c r="DBM52" s="1142"/>
      <c r="DBN52" s="1142"/>
      <c r="DBO52" s="1142"/>
      <c r="DBP52" s="1142"/>
      <c r="DBQ52" s="1142"/>
      <c r="DBR52" s="1142"/>
      <c r="DBS52" s="1142"/>
      <c r="DBT52" s="1142"/>
      <c r="DBU52" s="1142"/>
      <c r="DBV52" s="1142"/>
      <c r="DBW52" s="1142"/>
      <c r="DBX52" s="1142"/>
      <c r="DBY52" s="1142"/>
      <c r="DBZ52" s="1142"/>
      <c r="DCA52" s="1142"/>
      <c r="DCB52" s="1142"/>
      <c r="DCC52" s="1167"/>
      <c r="DCD52" s="1167"/>
      <c r="DCE52" s="1167"/>
      <c r="DCF52" s="1167"/>
      <c r="DCG52" s="1167"/>
      <c r="DCH52" s="1167"/>
      <c r="DCI52" s="1167"/>
      <c r="DCJ52" s="1167"/>
      <c r="DCK52" s="1167"/>
      <c r="DCL52" s="1142"/>
      <c r="DCM52" s="1142"/>
      <c r="DCN52" s="1142"/>
      <c r="DCO52" s="1142"/>
      <c r="DCP52" s="1142"/>
      <c r="DCQ52" s="1142"/>
      <c r="DCR52" s="1142"/>
      <c r="DCS52" s="1142"/>
      <c r="DCT52" s="1142"/>
      <c r="DCU52" s="1142"/>
      <c r="DCV52" s="1142"/>
      <c r="DCW52" s="1142"/>
      <c r="DCX52" s="1142"/>
      <c r="DCY52" s="1142"/>
      <c r="DCZ52" s="1142"/>
      <c r="DDA52" s="1142"/>
      <c r="DDB52" s="1142"/>
      <c r="DDC52" s="1142"/>
      <c r="DDD52" s="1142"/>
      <c r="DDE52" s="1142"/>
      <c r="DDF52" s="1142"/>
      <c r="DDG52" s="1142"/>
      <c r="DDH52" s="1142"/>
      <c r="DDI52" s="1167"/>
      <c r="DDJ52" s="1167"/>
      <c r="DDK52" s="1167"/>
      <c r="DDL52" s="1167"/>
      <c r="DDM52" s="1167"/>
      <c r="DDN52" s="1167"/>
      <c r="DDO52" s="1167"/>
      <c r="DDP52" s="1167"/>
      <c r="DDQ52" s="1167"/>
      <c r="DDR52" s="1142"/>
      <c r="DDS52" s="1142"/>
      <c r="DDT52" s="1142"/>
      <c r="DDU52" s="1142"/>
      <c r="DDV52" s="1142"/>
      <c r="DDW52" s="1142"/>
      <c r="DDX52" s="1142"/>
      <c r="DDY52" s="1142"/>
      <c r="DDZ52" s="1142"/>
      <c r="DEA52" s="1142"/>
      <c r="DEB52" s="1142"/>
      <c r="DEC52" s="1142"/>
      <c r="DED52" s="1142"/>
      <c r="DEE52" s="1142"/>
      <c r="DEF52" s="1142"/>
      <c r="DEG52" s="1142"/>
      <c r="DEH52" s="1142"/>
      <c r="DEI52" s="1142"/>
      <c r="DEJ52" s="1142"/>
      <c r="DEK52" s="1142"/>
      <c r="DEL52" s="1142"/>
      <c r="DEM52" s="1142"/>
      <c r="DEN52" s="1142"/>
      <c r="DEO52" s="1167"/>
      <c r="DEP52" s="1167"/>
      <c r="DEQ52" s="1167"/>
      <c r="DER52" s="1167"/>
      <c r="DES52" s="1167"/>
      <c r="DET52" s="1167"/>
      <c r="DEU52" s="1167"/>
      <c r="DEV52" s="1167"/>
      <c r="DEW52" s="1167"/>
      <c r="DEX52" s="1142"/>
      <c r="DEY52" s="1142"/>
      <c r="DEZ52" s="1142"/>
      <c r="DFA52" s="1142"/>
      <c r="DFB52" s="1142"/>
      <c r="DFC52" s="1142"/>
      <c r="DFD52" s="1142"/>
      <c r="DFE52" s="1142"/>
      <c r="DFF52" s="1142"/>
      <c r="DFG52" s="1142"/>
      <c r="DFH52" s="1142"/>
      <c r="DFI52" s="1142"/>
      <c r="DFJ52" s="1142"/>
      <c r="DFK52" s="1142"/>
      <c r="DFL52" s="1142"/>
      <c r="DFM52" s="1142"/>
      <c r="DFN52" s="1142"/>
      <c r="DFO52" s="1142"/>
      <c r="DFP52" s="1142"/>
      <c r="DFQ52" s="1142"/>
      <c r="DFR52" s="1142"/>
      <c r="DFS52" s="1142"/>
      <c r="DFT52" s="1142"/>
      <c r="DFU52" s="1167"/>
      <c r="DFV52" s="1167"/>
      <c r="DFW52" s="1167"/>
      <c r="DFX52" s="1167"/>
      <c r="DFY52" s="1167"/>
      <c r="DFZ52" s="1167"/>
      <c r="DGA52" s="1167"/>
      <c r="DGB52" s="1167"/>
      <c r="DGC52" s="1167"/>
      <c r="DGD52" s="1142"/>
      <c r="DGE52" s="1142"/>
      <c r="DGF52" s="1142"/>
      <c r="DGG52" s="1142"/>
      <c r="DGH52" s="1142"/>
      <c r="DGI52" s="1142"/>
      <c r="DGJ52" s="1142"/>
      <c r="DGK52" s="1142"/>
      <c r="DGL52" s="1142"/>
      <c r="DGM52" s="1142"/>
      <c r="DGN52" s="1142"/>
      <c r="DGO52" s="1142"/>
      <c r="DGP52" s="1142"/>
      <c r="DGQ52" s="1142"/>
      <c r="DGR52" s="1142"/>
      <c r="DGS52" s="1142"/>
      <c r="DGT52" s="1142"/>
      <c r="DGU52" s="1142"/>
      <c r="DGV52" s="1142"/>
      <c r="DGW52" s="1142"/>
      <c r="DGX52" s="1142"/>
      <c r="DGY52" s="1142"/>
      <c r="DGZ52" s="1142"/>
      <c r="DHA52" s="1167"/>
      <c r="DHB52" s="1167"/>
      <c r="DHC52" s="1167"/>
      <c r="DHD52" s="1167"/>
      <c r="DHE52" s="1167"/>
      <c r="DHF52" s="1167"/>
      <c r="DHG52" s="1167"/>
      <c r="DHH52" s="1167"/>
      <c r="DHI52" s="1167"/>
      <c r="DHJ52" s="1142"/>
      <c r="DHK52" s="1142"/>
      <c r="DHL52" s="1142"/>
      <c r="DHM52" s="1142"/>
      <c r="DHN52" s="1142"/>
      <c r="DHO52" s="1142"/>
      <c r="DHP52" s="1142"/>
      <c r="DHQ52" s="1142"/>
      <c r="DHR52" s="1142"/>
      <c r="DHS52" s="1142"/>
      <c r="DHT52" s="1142"/>
      <c r="DHU52" s="1142"/>
      <c r="DHV52" s="1142"/>
      <c r="DHW52" s="1142"/>
      <c r="DHX52" s="1142"/>
      <c r="DHY52" s="1142"/>
      <c r="DHZ52" s="1142"/>
      <c r="DIA52" s="1142"/>
      <c r="DIB52" s="1142"/>
      <c r="DIC52" s="1142"/>
      <c r="DID52" s="1142"/>
      <c r="DIE52" s="1142"/>
      <c r="DIF52" s="1142"/>
      <c r="DIG52" s="1167"/>
      <c r="DIH52" s="1167"/>
      <c r="DII52" s="1167"/>
      <c r="DIJ52" s="1167"/>
      <c r="DIK52" s="1167"/>
      <c r="DIL52" s="1167"/>
      <c r="DIM52" s="1167"/>
      <c r="DIN52" s="1167"/>
      <c r="DIO52" s="1167"/>
      <c r="DIP52" s="1142"/>
      <c r="DIQ52" s="1142"/>
      <c r="DIR52" s="1142"/>
      <c r="DIS52" s="1142"/>
      <c r="DIT52" s="1142"/>
      <c r="DIU52" s="1142"/>
      <c r="DIV52" s="1142"/>
      <c r="DIW52" s="1142"/>
      <c r="DIX52" s="1142"/>
      <c r="DIY52" s="1142"/>
      <c r="DIZ52" s="1142"/>
      <c r="DJA52" s="1142"/>
      <c r="DJB52" s="1142"/>
      <c r="DJC52" s="1142"/>
      <c r="DJD52" s="1142"/>
      <c r="DJE52" s="1142"/>
      <c r="DJF52" s="1142"/>
      <c r="DJG52" s="1142"/>
      <c r="DJH52" s="1142"/>
      <c r="DJI52" s="1142"/>
      <c r="DJJ52" s="1142"/>
      <c r="DJK52" s="1142"/>
      <c r="DJL52" s="1142"/>
      <c r="DJM52" s="1167"/>
      <c r="DJN52" s="1167"/>
      <c r="DJO52" s="1167"/>
      <c r="DJP52" s="1167"/>
      <c r="DJQ52" s="1167"/>
      <c r="DJR52" s="1167"/>
      <c r="DJS52" s="1167"/>
      <c r="DJT52" s="1167"/>
      <c r="DJU52" s="1167"/>
      <c r="DJV52" s="1142"/>
      <c r="DJW52" s="1142"/>
      <c r="DJX52" s="1142"/>
      <c r="DJY52" s="1142"/>
      <c r="DJZ52" s="1142"/>
      <c r="DKA52" s="1142"/>
      <c r="DKB52" s="1142"/>
      <c r="DKC52" s="1142"/>
      <c r="DKD52" s="1142"/>
      <c r="DKE52" s="1142"/>
      <c r="DKF52" s="1142"/>
      <c r="DKG52" s="1142"/>
      <c r="DKH52" s="1142"/>
      <c r="DKI52" s="1142"/>
      <c r="DKJ52" s="1142"/>
      <c r="DKK52" s="1142"/>
      <c r="DKL52" s="1142"/>
      <c r="DKM52" s="1142"/>
      <c r="DKN52" s="1142"/>
      <c r="DKO52" s="1142"/>
      <c r="DKP52" s="1142"/>
      <c r="DKQ52" s="1142"/>
      <c r="DKR52" s="1142"/>
      <c r="DKS52" s="1167"/>
      <c r="DKT52" s="1167"/>
      <c r="DKU52" s="1167"/>
      <c r="DKV52" s="1167"/>
      <c r="DKW52" s="1167"/>
      <c r="DKX52" s="1167"/>
      <c r="DKY52" s="1167"/>
      <c r="DKZ52" s="1167"/>
      <c r="DLA52" s="1167"/>
      <c r="DLB52" s="1142"/>
      <c r="DLC52" s="1142"/>
      <c r="DLD52" s="1142"/>
      <c r="DLE52" s="1142"/>
      <c r="DLF52" s="1142"/>
      <c r="DLG52" s="1142"/>
      <c r="DLH52" s="1142"/>
      <c r="DLI52" s="1142"/>
      <c r="DLJ52" s="1142"/>
      <c r="DLK52" s="1142"/>
      <c r="DLL52" s="1142"/>
      <c r="DLM52" s="1142"/>
      <c r="DLN52" s="1142"/>
      <c r="DLO52" s="1142"/>
      <c r="DLP52" s="1142"/>
      <c r="DLQ52" s="1142"/>
      <c r="DLR52" s="1142"/>
      <c r="DLS52" s="1142"/>
      <c r="DLT52" s="1142"/>
      <c r="DLU52" s="1142"/>
      <c r="DLV52" s="1142"/>
      <c r="DLW52" s="1142"/>
      <c r="DLX52" s="1142"/>
      <c r="DLY52" s="1167"/>
      <c r="DLZ52" s="1167"/>
      <c r="DMA52" s="1167"/>
      <c r="DMB52" s="1167"/>
      <c r="DMC52" s="1167"/>
      <c r="DMD52" s="1167"/>
      <c r="DME52" s="1167"/>
      <c r="DMF52" s="1167"/>
      <c r="DMG52" s="1167"/>
      <c r="DMH52" s="1142"/>
      <c r="DMI52" s="1142"/>
      <c r="DMJ52" s="1142"/>
      <c r="DMK52" s="1142"/>
      <c r="DML52" s="1142"/>
      <c r="DMM52" s="1142"/>
      <c r="DMN52" s="1142"/>
      <c r="DMO52" s="1142"/>
      <c r="DMP52" s="1142"/>
      <c r="DMQ52" s="1142"/>
      <c r="DMR52" s="1142"/>
      <c r="DMS52" s="1142"/>
      <c r="DMT52" s="1142"/>
      <c r="DMU52" s="1142"/>
      <c r="DMV52" s="1142"/>
      <c r="DMW52" s="1142"/>
      <c r="DMX52" s="1142"/>
      <c r="DMY52" s="1142"/>
      <c r="DMZ52" s="1142"/>
      <c r="DNA52" s="1142"/>
      <c r="DNB52" s="1142"/>
      <c r="DNC52" s="1142"/>
      <c r="DND52" s="1142"/>
      <c r="DNE52" s="1167"/>
      <c r="DNF52" s="1167"/>
      <c r="DNG52" s="1167"/>
      <c r="DNH52" s="1167"/>
      <c r="DNI52" s="1167"/>
      <c r="DNJ52" s="1167"/>
      <c r="DNK52" s="1167"/>
      <c r="DNL52" s="1167"/>
      <c r="DNM52" s="1167"/>
      <c r="DNN52" s="1142"/>
      <c r="DNO52" s="1142"/>
      <c r="DNP52" s="1142"/>
      <c r="DNQ52" s="1142"/>
      <c r="DNR52" s="1142"/>
      <c r="DNS52" s="1142"/>
      <c r="DNT52" s="1142"/>
      <c r="DNU52" s="1142"/>
      <c r="DNV52" s="1142"/>
      <c r="DNW52" s="1142"/>
      <c r="DNX52" s="1142"/>
      <c r="DNY52" s="1142"/>
      <c r="DNZ52" s="1142"/>
      <c r="DOA52" s="1142"/>
      <c r="DOB52" s="1142"/>
      <c r="DOC52" s="1142"/>
      <c r="DOD52" s="1142"/>
      <c r="DOE52" s="1142"/>
      <c r="DOF52" s="1142"/>
      <c r="DOG52" s="1142"/>
      <c r="DOH52" s="1142"/>
      <c r="DOI52" s="1142"/>
      <c r="DOJ52" s="1142"/>
      <c r="DOK52" s="1167"/>
      <c r="DOL52" s="1167"/>
      <c r="DOM52" s="1167"/>
      <c r="DON52" s="1167"/>
      <c r="DOO52" s="1167"/>
      <c r="DOP52" s="1167"/>
      <c r="DOQ52" s="1167"/>
      <c r="DOR52" s="1167"/>
      <c r="DOS52" s="1167"/>
      <c r="DOT52" s="1142"/>
      <c r="DOU52" s="1142"/>
      <c r="DOV52" s="1142"/>
      <c r="DOW52" s="1142"/>
      <c r="DOX52" s="1142"/>
      <c r="DOY52" s="1142"/>
      <c r="DOZ52" s="1142"/>
      <c r="DPA52" s="1142"/>
      <c r="DPB52" s="1142"/>
      <c r="DPC52" s="1142"/>
      <c r="DPD52" s="1142"/>
      <c r="DPE52" s="1142"/>
      <c r="DPF52" s="1142"/>
      <c r="DPG52" s="1142"/>
      <c r="DPH52" s="1142"/>
      <c r="DPI52" s="1142"/>
      <c r="DPJ52" s="1142"/>
      <c r="DPK52" s="1142"/>
      <c r="DPL52" s="1142"/>
      <c r="DPM52" s="1142"/>
      <c r="DPN52" s="1142"/>
      <c r="DPO52" s="1142"/>
      <c r="DPP52" s="1142"/>
      <c r="DPQ52" s="1167"/>
      <c r="DPR52" s="1167"/>
      <c r="DPS52" s="1167"/>
      <c r="DPT52" s="1167"/>
      <c r="DPU52" s="1167"/>
      <c r="DPV52" s="1167"/>
      <c r="DPW52" s="1167"/>
      <c r="DPX52" s="1167"/>
      <c r="DPY52" s="1167"/>
      <c r="DPZ52" s="1142"/>
      <c r="DQA52" s="1142"/>
      <c r="DQB52" s="1142"/>
      <c r="DQC52" s="1142"/>
      <c r="DQD52" s="1142"/>
      <c r="DQE52" s="1142"/>
      <c r="DQF52" s="1142"/>
      <c r="DQG52" s="1142"/>
      <c r="DQH52" s="1142"/>
      <c r="DQI52" s="1142"/>
      <c r="DQJ52" s="1142"/>
      <c r="DQK52" s="1142"/>
      <c r="DQL52" s="1142"/>
      <c r="DQM52" s="1142"/>
      <c r="DQN52" s="1142"/>
      <c r="DQO52" s="1142"/>
      <c r="DQP52" s="1142"/>
      <c r="DQQ52" s="1142"/>
      <c r="DQR52" s="1142"/>
      <c r="DQS52" s="1142"/>
      <c r="DQT52" s="1142"/>
      <c r="DQU52" s="1142"/>
      <c r="DQV52" s="1142"/>
      <c r="DQW52" s="1167"/>
      <c r="DQX52" s="1167"/>
      <c r="DQY52" s="1167"/>
      <c r="DQZ52" s="1167"/>
      <c r="DRA52" s="1167"/>
      <c r="DRB52" s="1167"/>
      <c r="DRC52" s="1167"/>
      <c r="DRD52" s="1167"/>
      <c r="DRE52" s="1167"/>
      <c r="DRF52" s="1142"/>
      <c r="DRG52" s="1142"/>
      <c r="DRH52" s="1142"/>
      <c r="DRI52" s="1142"/>
      <c r="DRJ52" s="1142"/>
      <c r="DRK52" s="1142"/>
      <c r="DRL52" s="1142"/>
      <c r="DRM52" s="1142"/>
      <c r="DRN52" s="1142"/>
      <c r="DRO52" s="1142"/>
      <c r="DRP52" s="1142"/>
      <c r="DRQ52" s="1142"/>
      <c r="DRR52" s="1142"/>
      <c r="DRS52" s="1142"/>
      <c r="DRT52" s="1142"/>
      <c r="DRU52" s="1142"/>
      <c r="DRV52" s="1142"/>
      <c r="DRW52" s="1142"/>
      <c r="DRX52" s="1142"/>
      <c r="DRY52" s="1142"/>
      <c r="DRZ52" s="1142"/>
      <c r="DSA52" s="1142"/>
      <c r="DSB52" s="1142"/>
      <c r="DSC52" s="1167"/>
      <c r="DSD52" s="1167"/>
      <c r="DSE52" s="1167"/>
      <c r="DSF52" s="1167"/>
      <c r="DSG52" s="1167"/>
      <c r="DSH52" s="1167"/>
      <c r="DSI52" s="1167"/>
      <c r="DSJ52" s="1167"/>
      <c r="DSK52" s="1167"/>
      <c r="DSL52" s="1142"/>
      <c r="DSM52" s="1142"/>
      <c r="DSN52" s="1142"/>
      <c r="DSO52" s="1142"/>
      <c r="DSP52" s="1142"/>
      <c r="DSQ52" s="1142"/>
      <c r="DSR52" s="1142"/>
      <c r="DSS52" s="1142"/>
      <c r="DST52" s="1142"/>
      <c r="DSU52" s="1142"/>
      <c r="DSV52" s="1142"/>
      <c r="DSW52" s="1142"/>
      <c r="DSX52" s="1142"/>
      <c r="DSY52" s="1142"/>
      <c r="DSZ52" s="1142"/>
      <c r="DTA52" s="1142"/>
      <c r="DTB52" s="1142"/>
      <c r="DTC52" s="1142"/>
      <c r="DTD52" s="1142"/>
      <c r="DTE52" s="1142"/>
      <c r="DTF52" s="1142"/>
      <c r="DTG52" s="1142"/>
      <c r="DTH52" s="1142"/>
      <c r="DTI52" s="1167"/>
      <c r="DTJ52" s="1167"/>
      <c r="DTK52" s="1167"/>
      <c r="DTL52" s="1167"/>
      <c r="DTM52" s="1167"/>
      <c r="DTN52" s="1167"/>
      <c r="DTO52" s="1167"/>
      <c r="DTP52" s="1167"/>
      <c r="DTQ52" s="1167"/>
      <c r="DTR52" s="1142"/>
      <c r="DTS52" s="1142"/>
      <c r="DTT52" s="1142"/>
      <c r="DTU52" s="1142"/>
      <c r="DTV52" s="1142"/>
      <c r="DTW52" s="1142"/>
      <c r="DTX52" s="1142"/>
      <c r="DTY52" s="1142"/>
      <c r="DTZ52" s="1142"/>
      <c r="DUA52" s="1142"/>
      <c r="DUB52" s="1142"/>
      <c r="DUC52" s="1142"/>
      <c r="DUD52" s="1142"/>
      <c r="DUE52" s="1142"/>
      <c r="DUF52" s="1142"/>
      <c r="DUG52" s="1142"/>
      <c r="DUH52" s="1142"/>
      <c r="DUI52" s="1142"/>
      <c r="DUJ52" s="1142"/>
      <c r="DUK52" s="1142"/>
      <c r="DUL52" s="1142"/>
      <c r="DUM52" s="1142"/>
      <c r="DUN52" s="1142"/>
      <c r="DUO52" s="1167"/>
      <c r="DUP52" s="1167"/>
      <c r="DUQ52" s="1167"/>
      <c r="DUR52" s="1167"/>
      <c r="DUS52" s="1167"/>
      <c r="DUT52" s="1167"/>
      <c r="DUU52" s="1167"/>
      <c r="DUV52" s="1167"/>
      <c r="DUW52" s="1167"/>
      <c r="DUX52" s="1142"/>
      <c r="DUY52" s="1142"/>
      <c r="DUZ52" s="1142"/>
      <c r="DVA52" s="1142"/>
      <c r="DVB52" s="1142"/>
      <c r="DVC52" s="1142"/>
      <c r="DVD52" s="1142"/>
      <c r="DVE52" s="1142"/>
      <c r="DVF52" s="1142"/>
      <c r="DVG52" s="1142"/>
      <c r="DVH52" s="1142"/>
      <c r="DVI52" s="1142"/>
      <c r="DVJ52" s="1142"/>
      <c r="DVK52" s="1142"/>
      <c r="DVL52" s="1142"/>
      <c r="DVM52" s="1142"/>
      <c r="DVN52" s="1142"/>
      <c r="DVO52" s="1142"/>
      <c r="DVP52" s="1142"/>
      <c r="DVQ52" s="1142"/>
      <c r="DVR52" s="1142"/>
      <c r="DVS52" s="1142"/>
      <c r="DVT52" s="1142"/>
      <c r="DVU52" s="1167"/>
      <c r="DVV52" s="1167"/>
      <c r="DVW52" s="1167"/>
      <c r="DVX52" s="1167"/>
      <c r="DVY52" s="1167"/>
      <c r="DVZ52" s="1167"/>
      <c r="DWA52" s="1167"/>
      <c r="DWB52" s="1167"/>
      <c r="DWC52" s="1167"/>
      <c r="DWD52" s="1142"/>
      <c r="DWE52" s="1142"/>
      <c r="DWF52" s="1142"/>
      <c r="DWG52" s="1142"/>
      <c r="DWH52" s="1142"/>
      <c r="DWI52" s="1142"/>
      <c r="DWJ52" s="1142"/>
      <c r="DWK52" s="1142"/>
      <c r="DWL52" s="1142"/>
      <c r="DWM52" s="1142"/>
      <c r="DWN52" s="1142"/>
      <c r="DWO52" s="1142"/>
      <c r="DWP52" s="1142"/>
      <c r="DWQ52" s="1142"/>
      <c r="DWR52" s="1142"/>
      <c r="DWS52" s="1142"/>
      <c r="DWT52" s="1142"/>
      <c r="DWU52" s="1142"/>
      <c r="DWV52" s="1142"/>
      <c r="DWW52" s="1142"/>
      <c r="DWX52" s="1142"/>
      <c r="DWY52" s="1142"/>
      <c r="DWZ52" s="1142"/>
      <c r="DXA52" s="1167"/>
      <c r="DXB52" s="1167"/>
      <c r="DXC52" s="1167"/>
      <c r="DXD52" s="1167"/>
      <c r="DXE52" s="1167"/>
      <c r="DXF52" s="1167"/>
      <c r="DXG52" s="1167"/>
      <c r="DXH52" s="1167"/>
      <c r="DXI52" s="1167"/>
      <c r="DXJ52" s="1142"/>
      <c r="DXK52" s="1142"/>
      <c r="DXL52" s="1142"/>
      <c r="DXM52" s="1142"/>
      <c r="DXN52" s="1142"/>
      <c r="DXO52" s="1142"/>
      <c r="DXP52" s="1142"/>
      <c r="DXQ52" s="1142"/>
      <c r="DXR52" s="1142"/>
      <c r="DXS52" s="1142"/>
      <c r="DXT52" s="1142"/>
      <c r="DXU52" s="1142"/>
      <c r="DXV52" s="1142"/>
      <c r="DXW52" s="1142"/>
      <c r="DXX52" s="1142"/>
      <c r="DXY52" s="1142"/>
      <c r="DXZ52" s="1142"/>
      <c r="DYA52" s="1142"/>
      <c r="DYB52" s="1142"/>
      <c r="DYC52" s="1142"/>
      <c r="DYD52" s="1142"/>
      <c r="DYE52" s="1142"/>
      <c r="DYF52" s="1142"/>
      <c r="DYG52" s="1167"/>
      <c r="DYH52" s="1167"/>
      <c r="DYI52" s="1167"/>
      <c r="DYJ52" s="1167"/>
      <c r="DYK52" s="1167"/>
      <c r="DYL52" s="1167"/>
      <c r="DYM52" s="1167"/>
      <c r="DYN52" s="1167"/>
      <c r="DYO52" s="1167"/>
      <c r="DYP52" s="1142"/>
      <c r="DYQ52" s="1142"/>
      <c r="DYR52" s="1142"/>
      <c r="DYS52" s="1142"/>
      <c r="DYT52" s="1142"/>
      <c r="DYU52" s="1142"/>
      <c r="DYV52" s="1142"/>
      <c r="DYW52" s="1142"/>
      <c r="DYX52" s="1142"/>
      <c r="DYY52" s="1142"/>
      <c r="DYZ52" s="1142"/>
      <c r="DZA52" s="1142"/>
      <c r="DZB52" s="1142"/>
      <c r="DZC52" s="1142"/>
      <c r="DZD52" s="1142"/>
      <c r="DZE52" s="1142"/>
      <c r="DZF52" s="1142"/>
      <c r="DZG52" s="1142"/>
      <c r="DZH52" s="1142"/>
      <c r="DZI52" s="1142"/>
      <c r="DZJ52" s="1142"/>
      <c r="DZK52" s="1142"/>
      <c r="DZL52" s="1142"/>
      <c r="DZM52" s="1167"/>
      <c r="DZN52" s="1167"/>
      <c r="DZO52" s="1167"/>
      <c r="DZP52" s="1167"/>
      <c r="DZQ52" s="1167"/>
      <c r="DZR52" s="1167"/>
      <c r="DZS52" s="1167"/>
      <c r="DZT52" s="1167"/>
      <c r="DZU52" s="1167"/>
      <c r="DZV52" s="1142"/>
      <c r="DZW52" s="1142"/>
      <c r="DZX52" s="1142"/>
      <c r="DZY52" s="1142"/>
      <c r="DZZ52" s="1142"/>
      <c r="EAA52" s="1142"/>
      <c r="EAB52" s="1142"/>
      <c r="EAC52" s="1142"/>
      <c r="EAD52" s="1142"/>
      <c r="EAE52" s="1142"/>
      <c r="EAF52" s="1142"/>
      <c r="EAG52" s="1142"/>
      <c r="EAH52" s="1142"/>
      <c r="EAI52" s="1142"/>
      <c r="EAJ52" s="1142"/>
      <c r="EAK52" s="1142"/>
      <c r="EAL52" s="1142"/>
      <c r="EAM52" s="1142"/>
      <c r="EAN52" s="1142"/>
      <c r="EAO52" s="1142"/>
      <c r="EAP52" s="1142"/>
      <c r="EAQ52" s="1142"/>
      <c r="EAR52" s="1142"/>
      <c r="EAS52" s="1167"/>
      <c r="EAT52" s="1167"/>
      <c r="EAU52" s="1167"/>
      <c r="EAV52" s="1167"/>
      <c r="EAW52" s="1167"/>
      <c r="EAX52" s="1167"/>
      <c r="EAY52" s="1167"/>
      <c r="EAZ52" s="1167"/>
      <c r="EBA52" s="1167"/>
      <c r="EBB52" s="1142"/>
      <c r="EBC52" s="1142"/>
      <c r="EBD52" s="1142"/>
      <c r="EBE52" s="1142"/>
      <c r="EBF52" s="1142"/>
      <c r="EBG52" s="1142"/>
      <c r="EBH52" s="1142"/>
      <c r="EBI52" s="1142"/>
      <c r="EBJ52" s="1142"/>
      <c r="EBK52" s="1142"/>
      <c r="EBL52" s="1142"/>
      <c r="EBM52" s="1142"/>
      <c r="EBN52" s="1142"/>
      <c r="EBO52" s="1142"/>
      <c r="EBP52" s="1142"/>
      <c r="EBQ52" s="1142"/>
      <c r="EBR52" s="1142"/>
      <c r="EBS52" s="1142"/>
      <c r="EBT52" s="1142"/>
      <c r="EBU52" s="1142"/>
      <c r="EBV52" s="1142"/>
      <c r="EBW52" s="1142"/>
      <c r="EBX52" s="1142"/>
      <c r="EBY52" s="1167"/>
      <c r="EBZ52" s="1167"/>
      <c r="ECA52" s="1167"/>
      <c r="ECB52" s="1167"/>
      <c r="ECC52" s="1167"/>
      <c r="ECD52" s="1167"/>
      <c r="ECE52" s="1167"/>
      <c r="ECF52" s="1167"/>
      <c r="ECG52" s="1167"/>
      <c r="ECH52" s="1142"/>
      <c r="ECI52" s="1142"/>
      <c r="ECJ52" s="1142"/>
      <c r="ECK52" s="1142"/>
      <c r="ECL52" s="1142"/>
      <c r="ECM52" s="1142"/>
      <c r="ECN52" s="1142"/>
      <c r="ECO52" s="1142"/>
      <c r="ECP52" s="1142"/>
      <c r="ECQ52" s="1142"/>
      <c r="ECR52" s="1142"/>
      <c r="ECS52" s="1142"/>
      <c r="ECT52" s="1142"/>
      <c r="ECU52" s="1142"/>
      <c r="ECV52" s="1142"/>
      <c r="ECW52" s="1142"/>
      <c r="ECX52" s="1142"/>
      <c r="ECY52" s="1142"/>
      <c r="ECZ52" s="1142"/>
      <c r="EDA52" s="1142"/>
      <c r="EDB52" s="1142"/>
      <c r="EDC52" s="1142"/>
      <c r="EDD52" s="1142"/>
      <c r="EDE52" s="1167"/>
      <c r="EDF52" s="1167"/>
      <c r="EDG52" s="1167"/>
      <c r="EDH52" s="1167"/>
      <c r="EDI52" s="1167"/>
      <c r="EDJ52" s="1167"/>
      <c r="EDK52" s="1167"/>
      <c r="EDL52" s="1167"/>
      <c r="EDM52" s="1167"/>
      <c r="EDN52" s="1142"/>
      <c r="EDO52" s="1142"/>
      <c r="EDP52" s="1142"/>
      <c r="EDQ52" s="1142"/>
      <c r="EDR52" s="1142"/>
      <c r="EDS52" s="1142"/>
      <c r="EDT52" s="1142"/>
      <c r="EDU52" s="1142"/>
      <c r="EDV52" s="1142"/>
      <c r="EDW52" s="1142"/>
      <c r="EDX52" s="1142"/>
      <c r="EDY52" s="1142"/>
      <c r="EDZ52" s="1142"/>
      <c r="EEA52" s="1142"/>
      <c r="EEB52" s="1142"/>
      <c r="EEC52" s="1142"/>
      <c r="EED52" s="1142"/>
      <c r="EEE52" s="1142"/>
      <c r="EEF52" s="1142"/>
      <c r="EEG52" s="1142"/>
      <c r="EEH52" s="1142"/>
      <c r="EEI52" s="1142"/>
      <c r="EEJ52" s="1142"/>
      <c r="EEK52" s="1167"/>
      <c r="EEL52" s="1167"/>
      <c r="EEM52" s="1167"/>
      <c r="EEN52" s="1167"/>
      <c r="EEO52" s="1167"/>
      <c r="EEP52" s="1167"/>
      <c r="EEQ52" s="1167"/>
      <c r="EER52" s="1167"/>
      <c r="EES52" s="1167"/>
      <c r="EET52" s="1142"/>
      <c r="EEU52" s="1142"/>
      <c r="EEV52" s="1142"/>
      <c r="EEW52" s="1142"/>
      <c r="EEX52" s="1142"/>
      <c r="EEY52" s="1142"/>
      <c r="EEZ52" s="1142"/>
      <c r="EFA52" s="1142"/>
      <c r="EFB52" s="1142"/>
      <c r="EFC52" s="1142"/>
      <c r="EFD52" s="1142"/>
      <c r="EFE52" s="1142"/>
      <c r="EFF52" s="1142"/>
      <c r="EFG52" s="1142"/>
      <c r="EFH52" s="1142"/>
      <c r="EFI52" s="1142"/>
      <c r="EFJ52" s="1142"/>
      <c r="EFK52" s="1142"/>
      <c r="EFL52" s="1142"/>
      <c r="EFM52" s="1142"/>
      <c r="EFN52" s="1142"/>
      <c r="EFO52" s="1142"/>
      <c r="EFP52" s="1142"/>
      <c r="EFQ52" s="1167"/>
      <c r="EFR52" s="1167"/>
      <c r="EFS52" s="1167"/>
      <c r="EFT52" s="1167"/>
      <c r="EFU52" s="1167"/>
      <c r="EFV52" s="1167"/>
      <c r="EFW52" s="1167"/>
      <c r="EFX52" s="1167"/>
      <c r="EFY52" s="1167"/>
      <c r="EFZ52" s="1142"/>
      <c r="EGA52" s="1142"/>
      <c r="EGB52" s="1142"/>
      <c r="EGC52" s="1142"/>
      <c r="EGD52" s="1142"/>
      <c r="EGE52" s="1142"/>
      <c r="EGF52" s="1142"/>
      <c r="EGG52" s="1142"/>
      <c r="EGH52" s="1142"/>
      <c r="EGI52" s="1142"/>
      <c r="EGJ52" s="1142"/>
      <c r="EGK52" s="1142"/>
      <c r="EGL52" s="1142"/>
      <c r="EGM52" s="1142"/>
      <c r="EGN52" s="1142"/>
      <c r="EGO52" s="1142"/>
      <c r="EGP52" s="1142"/>
      <c r="EGQ52" s="1142"/>
      <c r="EGR52" s="1142"/>
      <c r="EGS52" s="1142"/>
      <c r="EGT52" s="1142"/>
      <c r="EGU52" s="1142"/>
      <c r="EGV52" s="1142"/>
      <c r="EGW52" s="1167"/>
      <c r="EGX52" s="1167"/>
      <c r="EGY52" s="1167"/>
      <c r="EGZ52" s="1167"/>
      <c r="EHA52" s="1167"/>
      <c r="EHB52" s="1167"/>
      <c r="EHC52" s="1167"/>
      <c r="EHD52" s="1167"/>
      <c r="EHE52" s="1167"/>
      <c r="EHF52" s="1142"/>
      <c r="EHG52" s="1142"/>
      <c r="EHH52" s="1142"/>
      <c r="EHI52" s="1142"/>
      <c r="EHJ52" s="1142"/>
      <c r="EHK52" s="1142"/>
      <c r="EHL52" s="1142"/>
      <c r="EHM52" s="1142"/>
      <c r="EHN52" s="1142"/>
      <c r="EHO52" s="1142"/>
      <c r="EHP52" s="1142"/>
      <c r="EHQ52" s="1142"/>
      <c r="EHR52" s="1142"/>
      <c r="EHS52" s="1142"/>
      <c r="EHT52" s="1142"/>
      <c r="EHU52" s="1142"/>
      <c r="EHV52" s="1142"/>
      <c r="EHW52" s="1142"/>
      <c r="EHX52" s="1142"/>
      <c r="EHY52" s="1142"/>
      <c r="EHZ52" s="1142"/>
      <c r="EIA52" s="1142"/>
      <c r="EIB52" s="1142"/>
      <c r="EIC52" s="1167"/>
      <c r="EID52" s="1167"/>
      <c r="EIE52" s="1167"/>
      <c r="EIF52" s="1167"/>
      <c r="EIG52" s="1167"/>
      <c r="EIH52" s="1167"/>
      <c r="EII52" s="1167"/>
      <c r="EIJ52" s="1167"/>
      <c r="EIK52" s="1167"/>
      <c r="EIL52" s="1142"/>
      <c r="EIM52" s="1142"/>
      <c r="EIN52" s="1142"/>
      <c r="EIO52" s="1142"/>
      <c r="EIP52" s="1142"/>
      <c r="EIQ52" s="1142"/>
      <c r="EIR52" s="1142"/>
      <c r="EIS52" s="1142"/>
      <c r="EIT52" s="1142"/>
      <c r="EIU52" s="1142"/>
      <c r="EIV52" s="1142"/>
      <c r="EIW52" s="1142"/>
      <c r="EIX52" s="1142"/>
      <c r="EIY52" s="1142"/>
      <c r="EIZ52" s="1142"/>
      <c r="EJA52" s="1142"/>
      <c r="EJB52" s="1142"/>
      <c r="EJC52" s="1142"/>
      <c r="EJD52" s="1142"/>
      <c r="EJE52" s="1142"/>
      <c r="EJF52" s="1142"/>
      <c r="EJG52" s="1142"/>
      <c r="EJH52" s="1142"/>
      <c r="EJI52" s="1167"/>
      <c r="EJJ52" s="1167"/>
      <c r="EJK52" s="1167"/>
      <c r="EJL52" s="1167"/>
      <c r="EJM52" s="1167"/>
      <c r="EJN52" s="1167"/>
      <c r="EJO52" s="1167"/>
      <c r="EJP52" s="1167"/>
      <c r="EJQ52" s="1167"/>
      <c r="EJR52" s="1142"/>
      <c r="EJS52" s="1142"/>
      <c r="EJT52" s="1142"/>
      <c r="EJU52" s="1142"/>
      <c r="EJV52" s="1142"/>
      <c r="EJW52" s="1142"/>
      <c r="EJX52" s="1142"/>
      <c r="EJY52" s="1142"/>
      <c r="EJZ52" s="1142"/>
      <c r="EKA52" s="1142"/>
      <c r="EKB52" s="1142"/>
      <c r="EKC52" s="1142"/>
      <c r="EKD52" s="1142"/>
      <c r="EKE52" s="1142"/>
      <c r="EKF52" s="1142"/>
      <c r="EKG52" s="1142"/>
      <c r="EKH52" s="1142"/>
      <c r="EKI52" s="1142"/>
      <c r="EKJ52" s="1142"/>
      <c r="EKK52" s="1142"/>
      <c r="EKL52" s="1142"/>
      <c r="EKM52" s="1142"/>
      <c r="EKN52" s="1142"/>
      <c r="EKO52" s="1167"/>
      <c r="EKP52" s="1167"/>
      <c r="EKQ52" s="1167"/>
      <c r="EKR52" s="1167"/>
      <c r="EKS52" s="1167"/>
      <c r="EKT52" s="1167"/>
      <c r="EKU52" s="1167"/>
      <c r="EKV52" s="1167"/>
      <c r="EKW52" s="1167"/>
      <c r="EKX52" s="1142"/>
      <c r="EKY52" s="1142"/>
      <c r="EKZ52" s="1142"/>
      <c r="ELA52" s="1142"/>
      <c r="ELB52" s="1142"/>
      <c r="ELC52" s="1142"/>
      <c r="ELD52" s="1142"/>
      <c r="ELE52" s="1142"/>
      <c r="ELF52" s="1142"/>
      <c r="ELG52" s="1142"/>
      <c r="ELH52" s="1142"/>
      <c r="ELI52" s="1142"/>
      <c r="ELJ52" s="1142"/>
      <c r="ELK52" s="1142"/>
      <c r="ELL52" s="1142"/>
      <c r="ELM52" s="1142"/>
      <c r="ELN52" s="1142"/>
      <c r="ELO52" s="1142"/>
      <c r="ELP52" s="1142"/>
      <c r="ELQ52" s="1142"/>
      <c r="ELR52" s="1142"/>
      <c r="ELS52" s="1142"/>
      <c r="ELT52" s="1142"/>
      <c r="ELU52" s="1167"/>
      <c r="ELV52" s="1167"/>
      <c r="ELW52" s="1167"/>
      <c r="ELX52" s="1167"/>
      <c r="ELY52" s="1167"/>
      <c r="ELZ52" s="1167"/>
      <c r="EMA52" s="1167"/>
      <c r="EMB52" s="1167"/>
      <c r="EMC52" s="1167"/>
      <c r="EMD52" s="1142"/>
      <c r="EME52" s="1142"/>
      <c r="EMF52" s="1142"/>
      <c r="EMG52" s="1142"/>
      <c r="EMH52" s="1142"/>
      <c r="EMI52" s="1142"/>
      <c r="EMJ52" s="1142"/>
      <c r="EMK52" s="1142"/>
      <c r="EML52" s="1142"/>
      <c r="EMM52" s="1142"/>
      <c r="EMN52" s="1142"/>
      <c r="EMO52" s="1142"/>
      <c r="EMP52" s="1142"/>
      <c r="EMQ52" s="1142"/>
      <c r="EMR52" s="1142"/>
      <c r="EMS52" s="1142"/>
      <c r="EMT52" s="1142"/>
      <c r="EMU52" s="1142"/>
      <c r="EMV52" s="1142"/>
      <c r="EMW52" s="1142"/>
      <c r="EMX52" s="1142"/>
      <c r="EMY52" s="1142"/>
      <c r="EMZ52" s="1142"/>
      <c r="ENA52" s="1167"/>
      <c r="ENB52" s="1167"/>
      <c r="ENC52" s="1167"/>
      <c r="END52" s="1167"/>
      <c r="ENE52" s="1167"/>
      <c r="ENF52" s="1167"/>
      <c r="ENG52" s="1167"/>
      <c r="ENH52" s="1167"/>
      <c r="ENI52" s="1167"/>
      <c r="ENJ52" s="1142"/>
      <c r="ENK52" s="1142"/>
      <c r="ENL52" s="1142"/>
      <c r="ENM52" s="1142"/>
      <c r="ENN52" s="1142"/>
      <c r="ENO52" s="1142"/>
      <c r="ENP52" s="1142"/>
      <c r="ENQ52" s="1142"/>
      <c r="ENR52" s="1142"/>
      <c r="ENS52" s="1142"/>
      <c r="ENT52" s="1142"/>
      <c r="ENU52" s="1142"/>
      <c r="ENV52" s="1142"/>
      <c r="ENW52" s="1142"/>
      <c r="ENX52" s="1142"/>
      <c r="ENY52" s="1142"/>
      <c r="ENZ52" s="1142"/>
      <c r="EOA52" s="1142"/>
      <c r="EOB52" s="1142"/>
      <c r="EOC52" s="1142"/>
      <c r="EOD52" s="1142"/>
      <c r="EOE52" s="1142"/>
      <c r="EOF52" s="1142"/>
      <c r="EOG52" s="1167"/>
      <c r="EOH52" s="1167"/>
      <c r="EOI52" s="1167"/>
      <c r="EOJ52" s="1167"/>
      <c r="EOK52" s="1167"/>
      <c r="EOL52" s="1167"/>
      <c r="EOM52" s="1167"/>
      <c r="EON52" s="1167"/>
      <c r="EOO52" s="1167"/>
      <c r="EOP52" s="1142"/>
      <c r="EOQ52" s="1142"/>
      <c r="EOR52" s="1142"/>
      <c r="EOS52" s="1142"/>
      <c r="EOT52" s="1142"/>
      <c r="EOU52" s="1142"/>
      <c r="EOV52" s="1142"/>
      <c r="EOW52" s="1142"/>
      <c r="EOX52" s="1142"/>
      <c r="EOY52" s="1142"/>
      <c r="EOZ52" s="1142"/>
      <c r="EPA52" s="1142"/>
      <c r="EPB52" s="1142"/>
      <c r="EPC52" s="1142"/>
      <c r="EPD52" s="1142"/>
      <c r="EPE52" s="1142"/>
      <c r="EPF52" s="1142"/>
      <c r="EPG52" s="1142"/>
      <c r="EPH52" s="1142"/>
      <c r="EPI52" s="1142"/>
      <c r="EPJ52" s="1142"/>
      <c r="EPK52" s="1142"/>
      <c r="EPL52" s="1142"/>
      <c r="EPM52" s="1167"/>
      <c r="EPN52" s="1167"/>
      <c r="EPO52" s="1167"/>
      <c r="EPP52" s="1167"/>
      <c r="EPQ52" s="1167"/>
      <c r="EPR52" s="1167"/>
      <c r="EPS52" s="1167"/>
      <c r="EPT52" s="1167"/>
      <c r="EPU52" s="1167"/>
      <c r="EPV52" s="1142"/>
      <c r="EPW52" s="1142"/>
      <c r="EPX52" s="1142"/>
      <c r="EPY52" s="1142"/>
      <c r="EPZ52" s="1142"/>
      <c r="EQA52" s="1142"/>
      <c r="EQB52" s="1142"/>
      <c r="EQC52" s="1142"/>
      <c r="EQD52" s="1142"/>
      <c r="EQE52" s="1142"/>
      <c r="EQF52" s="1142"/>
      <c r="EQG52" s="1142"/>
      <c r="EQH52" s="1142"/>
      <c r="EQI52" s="1142"/>
      <c r="EQJ52" s="1142"/>
      <c r="EQK52" s="1142"/>
      <c r="EQL52" s="1142"/>
      <c r="EQM52" s="1142"/>
      <c r="EQN52" s="1142"/>
      <c r="EQO52" s="1142"/>
      <c r="EQP52" s="1142"/>
      <c r="EQQ52" s="1142"/>
      <c r="EQR52" s="1142"/>
      <c r="EQS52" s="1167"/>
      <c r="EQT52" s="1167"/>
      <c r="EQU52" s="1167"/>
      <c r="EQV52" s="1167"/>
      <c r="EQW52" s="1167"/>
      <c r="EQX52" s="1167"/>
      <c r="EQY52" s="1167"/>
      <c r="EQZ52" s="1167"/>
      <c r="ERA52" s="1167"/>
      <c r="ERB52" s="1142"/>
      <c r="ERC52" s="1142"/>
      <c r="ERD52" s="1142"/>
      <c r="ERE52" s="1142"/>
      <c r="ERF52" s="1142"/>
      <c r="ERG52" s="1142"/>
      <c r="ERH52" s="1142"/>
      <c r="ERI52" s="1142"/>
      <c r="ERJ52" s="1142"/>
      <c r="ERK52" s="1142"/>
      <c r="ERL52" s="1142"/>
      <c r="ERM52" s="1142"/>
      <c r="ERN52" s="1142"/>
      <c r="ERO52" s="1142"/>
      <c r="ERP52" s="1142"/>
      <c r="ERQ52" s="1142"/>
      <c r="ERR52" s="1142"/>
      <c r="ERS52" s="1142"/>
      <c r="ERT52" s="1142"/>
      <c r="ERU52" s="1142"/>
      <c r="ERV52" s="1142"/>
      <c r="ERW52" s="1142"/>
      <c r="ERX52" s="1142"/>
      <c r="ERY52" s="1167"/>
      <c r="ERZ52" s="1167"/>
      <c r="ESA52" s="1167"/>
      <c r="ESB52" s="1167"/>
      <c r="ESC52" s="1167"/>
      <c r="ESD52" s="1167"/>
      <c r="ESE52" s="1167"/>
      <c r="ESF52" s="1167"/>
      <c r="ESG52" s="1167"/>
      <c r="ESH52" s="1142"/>
      <c r="ESI52" s="1142"/>
      <c r="ESJ52" s="1142"/>
      <c r="ESK52" s="1142"/>
      <c r="ESL52" s="1142"/>
      <c r="ESM52" s="1142"/>
      <c r="ESN52" s="1142"/>
      <c r="ESO52" s="1142"/>
      <c r="ESP52" s="1142"/>
      <c r="ESQ52" s="1142"/>
      <c r="ESR52" s="1142"/>
      <c r="ESS52" s="1142"/>
      <c r="EST52" s="1142"/>
      <c r="ESU52" s="1142"/>
      <c r="ESV52" s="1142"/>
      <c r="ESW52" s="1142"/>
      <c r="ESX52" s="1142"/>
      <c r="ESY52" s="1142"/>
      <c r="ESZ52" s="1142"/>
      <c r="ETA52" s="1142"/>
      <c r="ETB52" s="1142"/>
      <c r="ETC52" s="1142"/>
      <c r="ETD52" s="1142"/>
      <c r="ETE52" s="1167"/>
      <c r="ETF52" s="1167"/>
      <c r="ETG52" s="1167"/>
      <c r="ETH52" s="1167"/>
      <c r="ETI52" s="1167"/>
      <c r="ETJ52" s="1167"/>
      <c r="ETK52" s="1167"/>
      <c r="ETL52" s="1167"/>
      <c r="ETM52" s="1167"/>
      <c r="ETN52" s="1142"/>
      <c r="ETO52" s="1142"/>
      <c r="ETP52" s="1142"/>
      <c r="ETQ52" s="1142"/>
      <c r="ETR52" s="1142"/>
      <c r="ETS52" s="1142"/>
      <c r="ETT52" s="1142"/>
      <c r="ETU52" s="1142"/>
      <c r="ETV52" s="1142"/>
      <c r="ETW52" s="1142"/>
      <c r="ETX52" s="1142"/>
      <c r="ETY52" s="1142"/>
      <c r="ETZ52" s="1142"/>
      <c r="EUA52" s="1142"/>
      <c r="EUB52" s="1142"/>
      <c r="EUC52" s="1142"/>
      <c r="EUD52" s="1142"/>
      <c r="EUE52" s="1142"/>
      <c r="EUF52" s="1142"/>
      <c r="EUG52" s="1142"/>
      <c r="EUH52" s="1142"/>
      <c r="EUI52" s="1142"/>
      <c r="EUJ52" s="1142"/>
      <c r="EUK52" s="1167"/>
      <c r="EUL52" s="1167"/>
      <c r="EUM52" s="1167"/>
      <c r="EUN52" s="1167"/>
      <c r="EUO52" s="1167"/>
      <c r="EUP52" s="1167"/>
      <c r="EUQ52" s="1167"/>
      <c r="EUR52" s="1167"/>
      <c r="EUS52" s="1167"/>
      <c r="EUT52" s="1142"/>
      <c r="EUU52" s="1142"/>
      <c r="EUV52" s="1142"/>
      <c r="EUW52" s="1142"/>
      <c r="EUX52" s="1142"/>
      <c r="EUY52" s="1142"/>
      <c r="EUZ52" s="1142"/>
      <c r="EVA52" s="1142"/>
      <c r="EVB52" s="1142"/>
      <c r="EVC52" s="1142"/>
      <c r="EVD52" s="1142"/>
      <c r="EVE52" s="1142"/>
      <c r="EVF52" s="1142"/>
      <c r="EVG52" s="1142"/>
      <c r="EVH52" s="1142"/>
      <c r="EVI52" s="1142"/>
      <c r="EVJ52" s="1142"/>
      <c r="EVK52" s="1142"/>
      <c r="EVL52" s="1142"/>
      <c r="EVM52" s="1142"/>
      <c r="EVN52" s="1142"/>
      <c r="EVO52" s="1142"/>
      <c r="EVP52" s="1142"/>
      <c r="EVQ52" s="1167"/>
      <c r="EVR52" s="1167"/>
      <c r="EVS52" s="1167"/>
      <c r="EVT52" s="1167"/>
      <c r="EVU52" s="1167"/>
      <c r="EVV52" s="1167"/>
      <c r="EVW52" s="1167"/>
      <c r="EVX52" s="1167"/>
      <c r="EVY52" s="1167"/>
      <c r="EVZ52" s="1142"/>
      <c r="EWA52" s="1142"/>
      <c r="EWB52" s="1142"/>
      <c r="EWC52" s="1142"/>
      <c r="EWD52" s="1142"/>
      <c r="EWE52" s="1142"/>
      <c r="EWF52" s="1142"/>
      <c r="EWG52" s="1142"/>
      <c r="EWH52" s="1142"/>
      <c r="EWI52" s="1142"/>
      <c r="EWJ52" s="1142"/>
      <c r="EWK52" s="1142"/>
      <c r="EWL52" s="1142"/>
      <c r="EWM52" s="1142"/>
      <c r="EWN52" s="1142"/>
      <c r="EWO52" s="1142"/>
      <c r="EWP52" s="1142"/>
      <c r="EWQ52" s="1142"/>
      <c r="EWR52" s="1142"/>
      <c r="EWS52" s="1142"/>
      <c r="EWT52" s="1142"/>
      <c r="EWU52" s="1142"/>
      <c r="EWV52" s="1142"/>
      <c r="EWW52" s="1167"/>
      <c r="EWX52" s="1167"/>
      <c r="EWY52" s="1167"/>
      <c r="EWZ52" s="1167"/>
      <c r="EXA52" s="1167"/>
      <c r="EXB52" s="1167"/>
      <c r="EXC52" s="1167"/>
      <c r="EXD52" s="1167"/>
      <c r="EXE52" s="1167"/>
      <c r="EXF52" s="1142"/>
      <c r="EXG52" s="1142"/>
      <c r="EXH52" s="1142"/>
      <c r="EXI52" s="1142"/>
      <c r="EXJ52" s="1142"/>
      <c r="EXK52" s="1142"/>
      <c r="EXL52" s="1142"/>
      <c r="EXM52" s="1142"/>
      <c r="EXN52" s="1142"/>
      <c r="EXO52" s="1142"/>
      <c r="EXP52" s="1142"/>
      <c r="EXQ52" s="1142"/>
      <c r="EXR52" s="1142"/>
      <c r="EXS52" s="1142"/>
      <c r="EXT52" s="1142"/>
      <c r="EXU52" s="1142"/>
      <c r="EXV52" s="1142"/>
      <c r="EXW52" s="1142"/>
      <c r="EXX52" s="1142"/>
      <c r="EXY52" s="1142"/>
      <c r="EXZ52" s="1142"/>
      <c r="EYA52" s="1142"/>
      <c r="EYB52" s="1142"/>
      <c r="EYC52" s="1167"/>
      <c r="EYD52" s="1167"/>
      <c r="EYE52" s="1167"/>
      <c r="EYF52" s="1167"/>
      <c r="EYG52" s="1167"/>
      <c r="EYH52" s="1167"/>
      <c r="EYI52" s="1167"/>
      <c r="EYJ52" s="1167"/>
      <c r="EYK52" s="1167"/>
      <c r="EYL52" s="1142"/>
      <c r="EYM52" s="1142"/>
      <c r="EYN52" s="1142"/>
      <c r="EYO52" s="1142"/>
      <c r="EYP52" s="1142"/>
      <c r="EYQ52" s="1142"/>
      <c r="EYR52" s="1142"/>
      <c r="EYS52" s="1142"/>
      <c r="EYT52" s="1142"/>
      <c r="EYU52" s="1142"/>
      <c r="EYV52" s="1142"/>
      <c r="EYW52" s="1142"/>
      <c r="EYX52" s="1142"/>
      <c r="EYY52" s="1142"/>
      <c r="EYZ52" s="1142"/>
      <c r="EZA52" s="1142"/>
      <c r="EZB52" s="1142"/>
      <c r="EZC52" s="1142"/>
      <c r="EZD52" s="1142"/>
      <c r="EZE52" s="1142"/>
      <c r="EZF52" s="1142"/>
      <c r="EZG52" s="1142"/>
      <c r="EZH52" s="1142"/>
      <c r="EZI52" s="1167"/>
      <c r="EZJ52" s="1167"/>
      <c r="EZK52" s="1167"/>
      <c r="EZL52" s="1167"/>
      <c r="EZM52" s="1167"/>
      <c r="EZN52" s="1167"/>
      <c r="EZO52" s="1167"/>
      <c r="EZP52" s="1167"/>
      <c r="EZQ52" s="1167"/>
      <c r="EZR52" s="1142"/>
      <c r="EZS52" s="1142"/>
      <c r="EZT52" s="1142"/>
      <c r="EZU52" s="1142"/>
      <c r="EZV52" s="1142"/>
      <c r="EZW52" s="1142"/>
      <c r="EZX52" s="1142"/>
      <c r="EZY52" s="1142"/>
      <c r="EZZ52" s="1142"/>
      <c r="FAA52" s="1142"/>
      <c r="FAB52" s="1142"/>
      <c r="FAC52" s="1142"/>
      <c r="FAD52" s="1142"/>
      <c r="FAE52" s="1142"/>
      <c r="FAF52" s="1142"/>
      <c r="FAG52" s="1142"/>
      <c r="FAH52" s="1142"/>
      <c r="FAI52" s="1142"/>
      <c r="FAJ52" s="1142"/>
      <c r="FAK52" s="1142"/>
      <c r="FAL52" s="1142"/>
      <c r="FAM52" s="1142"/>
      <c r="FAN52" s="1142"/>
      <c r="FAO52" s="1167"/>
      <c r="FAP52" s="1167"/>
      <c r="FAQ52" s="1167"/>
      <c r="FAR52" s="1167"/>
      <c r="FAS52" s="1167"/>
      <c r="FAT52" s="1167"/>
      <c r="FAU52" s="1167"/>
      <c r="FAV52" s="1167"/>
      <c r="FAW52" s="1167"/>
      <c r="FAX52" s="1142"/>
      <c r="FAY52" s="1142"/>
      <c r="FAZ52" s="1142"/>
      <c r="FBA52" s="1142"/>
      <c r="FBB52" s="1142"/>
      <c r="FBC52" s="1142"/>
      <c r="FBD52" s="1142"/>
      <c r="FBE52" s="1142"/>
      <c r="FBF52" s="1142"/>
      <c r="FBG52" s="1142"/>
      <c r="FBH52" s="1142"/>
      <c r="FBI52" s="1142"/>
      <c r="FBJ52" s="1142"/>
      <c r="FBK52" s="1142"/>
      <c r="FBL52" s="1142"/>
      <c r="FBM52" s="1142"/>
      <c r="FBN52" s="1142"/>
      <c r="FBO52" s="1142"/>
      <c r="FBP52" s="1142"/>
      <c r="FBQ52" s="1142"/>
      <c r="FBR52" s="1142"/>
      <c r="FBS52" s="1142"/>
      <c r="FBT52" s="1142"/>
      <c r="FBU52" s="1167"/>
      <c r="FBV52" s="1167"/>
      <c r="FBW52" s="1167"/>
      <c r="FBX52" s="1167"/>
      <c r="FBY52" s="1167"/>
      <c r="FBZ52" s="1167"/>
      <c r="FCA52" s="1167"/>
      <c r="FCB52" s="1167"/>
      <c r="FCC52" s="1167"/>
      <c r="FCD52" s="1142"/>
      <c r="FCE52" s="1142"/>
      <c r="FCF52" s="1142"/>
      <c r="FCG52" s="1142"/>
      <c r="FCH52" s="1142"/>
      <c r="FCI52" s="1142"/>
      <c r="FCJ52" s="1142"/>
      <c r="FCK52" s="1142"/>
      <c r="FCL52" s="1142"/>
      <c r="FCM52" s="1142"/>
      <c r="FCN52" s="1142"/>
      <c r="FCO52" s="1142"/>
      <c r="FCP52" s="1142"/>
      <c r="FCQ52" s="1142"/>
      <c r="FCR52" s="1142"/>
      <c r="FCS52" s="1142"/>
      <c r="FCT52" s="1142"/>
      <c r="FCU52" s="1142"/>
      <c r="FCV52" s="1142"/>
      <c r="FCW52" s="1142"/>
      <c r="FCX52" s="1142"/>
      <c r="FCY52" s="1142"/>
      <c r="FCZ52" s="1142"/>
      <c r="FDA52" s="1167"/>
      <c r="FDB52" s="1167"/>
      <c r="FDC52" s="1167"/>
      <c r="FDD52" s="1167"/>
      <c r="FDE52" s="1167"/>
      <c r="FDF52" s="1167"/>
      <c r="FDG52" s="1167"/>
      <c r="FDH52" s="1167"/>
      <c r="FDI52" s="1167"/>
      <c r="FDJ52" s="1142"/>
      <c r="FDK52" s="1142"/>
      <c r="FDL52" s="1142"/>
      <c r="FDM52" s="1142"/>
      <c r="FDN52" s="1142"/>
      <c r="FDO52" s="1142"/>
      <c r="FDP52" s="1142"/>
      <c r="FDQ52" s="1142"/>
      <c r="FDR52" s="1142"/>
      <c r="FDS52" s="1142"/>
      <c r="FDT52" s="1142"/>
      <c r="FDU52" s="1142"/>
      <c r="FDV52" s="1142"/>
      <c r="FDW52" s="1142"/>
      <c r="FDX52" s="1142"/>
      <c r="FDY52" s="1142"/>
      <c r="FDZ52" s="1142"/>
      <c r="FEA52" s="1142"/>
      <c r="FEB52" s="1142"/>
      <c r="FEC52" s="1142"/>
      <c r="FED52" s="1142"/>
      <c r="FEE52" s="1142"/>
      <c r="FEF52" s="1142"/>
      <c r="FEG52" s="1167"/>
      <c r="FEH52" s="1167"/>
      <c r="FEI52" s="1167"/>
      <c r="FEJ52" s="1167"/>
      <c r="FEK52" s="1167"/>
      <c r="FEL52" s="1167"/>
      <c r="FEM52" s="1167"/>
      <c r="FEN52" s="1167"/>
      <c r="FEO52" s="1167"/>
      <c r="FEP52" s="1142"/>
      <c r="FEQ52" s="1142"/>
      <c r="FER52" s="1142"/>
      <c r="FES52" s="1142"/>
      <c r="FET52" s="1142"/>
      <c r="FEU52" s="1142"/>
      <c r="FEV52" s="1142"/>
      <c r="FEW52" s="1142"/>
      <c r="FEX52" s="1142"/>
      <c r="FEY52" s="1142"/>
      <c r="FEZ52" s="1142"/>
      <c r="FFA52" s="1142"/>
      <c r="FFB52" s="1142"/>
      <c r="FFC52" s="1142"/>
      <c r="FFD52" s="1142"/>
      <c r="FFE52" s="1142"/>
      <c r="FFF52" s="1142"/>
      <c r="FFG52" s="1142"/>
      <c r="FFH52" s="1142"/>
      <c r="FFI52" s="1142"/>
      <c r="FFJ52" s="1142"/>
      <c r="FFK52" s="1142"/>
      <c r="FFL52" s="1142"/>
      <c r="FFM52" s="1167"/>
      <c r="FFN52" s="1167"/>
      <c r="FFO52" s="1167"/>
      <c r="FFP52" s="1167"/>
      <c r="FFQ52" s="1167"/>
      <c r="FFR52" s="1167"/>
      <c r="FFS52" s="1167"/>
      <c r="FFT52" s="1167"/>
      <c r="FFU52" s="1167"/>
      <c r="FFV52" s="1142"/>
      <c r="FFW52" s="1142"/>
      <c r="FFX52" s="1142"/>
      <c r="FFY52" s="1142"/>
      <c r="FFZ52" s="1142"/>
      <c r="FGA52" s="1142"/>
      <c r="FGB52" s="1142"/>
      <c r="FGC52" s="1142"/>
      <c r="FGD52" s="1142"/>
      <c r="FGE52" s="1142"/>
      <c r="FGF52" s="1142"/>
      <c r="FGG52" s="1142"/>
      <c r="FGH52" s="1142"/>
      <c r="FGI52" s="1142"/>
      <c r="FGJ52" s="1142"/>
      <c r="FGK52" s="1142"/>
      <c r="FGL52" s="1142"/>
      <c r="FGM52" s="1142"/>
      <c r="FGN52" s="1142"/>
      <c r="FGO52" s="1142"/>
      <c r="FGP52" s="1142"/>
      <c r="FGQ52" s="1142"/>
      <c r="FGR52" s="1142"/>
      <c r="FGS52" s="1167"/>
      <c r="FGT52" s="1167"/>
      <c r="FGU52" s="1167"/>
      <c r="FGV52" s="1167"/>
      <c r="FGW52" s="1167"/>
      <c r="FGX52" s="1167"/>
      <c r="FGY52" s="1167"/>
      <c r="FGZ52" s="1167"/>
      <c r="FHA52" s="1167"/>
      <c r="FHB52" s="1142"/>
      <c r="FHC52" s="1142"/>
      <c r="FHD52" s="1142"/>
      <c r="FHE52" s="1142"/>
      <c r="FHF52" s="1142"/>
      <c r="FHG52" s="1142"/>
      <c r="FHH52" s="1142"/>
      <c r="FHI52" s="1142"/>
      <c r="FHJ52" s="1142"/>
      <c r="FHK52" s="1142"/>
      <c r="FHL52" s="1142"/>
      <c r="FHM52" s="1142"/>
      <c r="FHN52" s="1142"/>
      <c r="FHO52" s="1142"/>
      <c r="FHP52" s="1142"/>
      <c r="FHQ52" s="1142"/>
      <c r="FHR52" s="1142"/>
      <c r="FHS52" s="1142"/>
      <c r="FHT52" s="1142"/>
      <c r="FHU52" s="1142"/>
      <c r="FHV52" s="1142"/>
      <c r="FHW52" s="1142"/>
      <c r="FHX52" s="1142"/>
      <c r="FHY52" s="1167"/>
      <c r="FHZ52" s="1167"/>
      <c r="FIA52" s="1167"/>
      <c r="FIB52" s="1167"/>
      <c r="FIC52" s="1167"/>
      <c r="FID52" s="1167"/>
      <c r="FIE52" s="1167"/>
      <c r="FIF52" s="1167"/>
      <c r="FIG52" s="1167"/>
      <c r="FIH52" s="1142"/>
      <c r="FII52" s="1142"/>
      <c r="FIJ52" s="1142"/>
      <c r="FIK52" s="1142"/>
      <c r="FIL52" s="1142"/>
      <c r="FIM52" s="1142"/>
      <c r="FIN52" s="1142"/>
      <c r="FIO52" s="1142"/>
      <c r="FIP52" s="1142"/>
      <c r="FIQ52" s="1142"/>
      <c r="FIR52" s="1142"/>
      <c r="FIS52" s="1142"/>
      <c r="FIT52" s="1142"/>
      <c r="FIU52" s="1142"/>
      <c r="FIV52" s="1142"/>
      <c r="FIW52" s="1142"/>
      <c r="FIX52" s="1142"/>
      <c r="FIY52" s="1142"/>
      <c r="FIZ52" s="1142"/>
      <c r="FJA52" s="1142"/>
      <c r="FJB52" s="1142"/>
      <c r="FJC52" s="1142"/>
      <c r="FJD52" s="1142"/>
      <c r="FJE52" s="1167"/>
      <c r="FJF52" s="1167"/>
      <c r="FJG52" s="1167"/>
      <c r="FJH52" s="1167"/>
      <c r="FJI52" s="1167"/>
      <c r="FJJ52" s="1167"/>
      <c r="FJK52" s="1167"/>
      <c r="FJL52" s="1167"/>
      <c r="FJM52" s="1167"/>
      <c r="FJN52" s="1142"/>
      <c r="FJO52" s="1142"/>
      <c r="FJP52" s="1142"/>
      <c r="FJQ52" s="1142"/>
      <c r="FJR52" s="1142"/>
      <c r="FJS52" s="1142"/>
      <c r="FJT52" s="1142"/>
      <c r="FJU52" s="1142"/>
      <c r="FJV52" s="1142"/>
      <c r="FJW52" s="1142"/>
      <c r="FJX52" s="1142"/>
      <c r="FJY52" s="1142"/>
      <c r="FJZ52" s="1142"/>
      <c r="FKA52" s="1142"/>
      <c r="FKB52" s="1142"/>
      <c r="FKC52" s="1142"/>
      <c r="FKD52" s="1142"/>
      <c r="FKE52" s="1142"/>
      <c r="FKF52" s="1142"/>
      <c r="FKG52" s="1142"/>
      <c r="FKH52" s="1142"/>
      <c r="FKI52" s="1142"/>
      <c r="FKJ52" s="1142"/>
      <c r="FKK52" s="1167"/>
      <c r="FKL52" s="1167"/>
      <c r="FKM52" s="1167"/>
      <c r="FKN52" s="1167"/>
      <c r="FKO52" s="1167"/>
      <c r="FKP52" s="1167"/>
      <c r="FKQ52" s="1167"/>
      <c r="FKR52" s="1167"/>
      <c r="FKS52" s="1167"/>
      <c r="FKT52" s="1142"/>
      <c r="FKU52" s="1142"/>
      <c r="FKV52" s="1142"/>
      <c r="FKW52" s="1142"/>
      <c r="FKX52" s="1142"/>
      <c r="FKY52" s="1142"/>
      <c r="FKZ52" s="1142"/>
      <c r="FLA52" s="1142"/>
      <c r="FLB52" s="1142"/>
      <c r="FLC52" s="1142"/>
      <c r="FLD52" s="1142"/>
      <c r="FLE52" s="1142"/>
      <c r="FLF52" s="1142"/>
      <c r="FLG52" s="1142"/>
      <c r="FLH52" s="1142"/>
      <c r="FLI52" s="1142"/>
      <c r="FLJ52" s="1142"/>
      <c r="FLK52" s="1142"/>
      <c r="FLL52" s="1142"/>
      <c r="FLM52" s="1142"/>
      <c r="FLN52" s="1142"/>
      <c r="FLO52" s="1142"/>
      <c r="FLP52" s="1142"/>
      <c r="FLQ52" s="1167"/>
      <c r="FLR52" s="1167"/>
      <c r="FLS52" s="1167"/>
      <c r="FLT52" s="1167"/>
      <c r="FLU52" s="1167"/>
      <c r="FLV52" s="1167"/>
      <c r="FLW52" s="1167"/>
      <c r="FLX52" s="1167"/>
      <c r="FLY52" s="1167"/>
      <c r="FLZ52" s="1142"/>
      <c r="FMA52" s="1142"/>
      <c r="FMB52" s="1142"/>
      <c r="FMC52" s="1142"/>
      <c r="FMD52" s="1142"/>
      <c r="FME52" s="1142"/>
      <c r="FMF52" s="1142"/>
      <c r="FMG52" s="1142"/>
      <c r="FMH52" s="1142"/>
      <c r="FMI52" s="1142"/>
      <c r="FMJ52" s="1142"/>
      <c r="FMK52" s="1142"/>
      <c r="FML52" s="1142"/>
      <c r="FMM52" s="1142"/>
      <c r="FMN52" s="1142"/>
      <c r="FMO52" s="1142"/>
      <c r="FMP52" s="1142"/>
      <c r="FMQ52" s="1142"/>
      <c r="FMR52" s="1142"/>
      <c r="FMS52" s="1142"/>
      <c r="FMT52" s="1142"/>
      <c r="FMU52" s="1142"/>
      <c r="FMV52" s="1142"/>
      <c r="FMW52" s="1167"/>
      <c r="FMX52" s="1167"/>
      <c r="FMY52" s="1167"/>
      <c r="FMZ52" s="1167"/>
      <c r="FNA52" s="1167"/>
      <c r="FNB52" s="1167"/>
      <c r="FNC52" s="1167"/>
      <c r="FND52" s="1167"/>
      <c r="FNE52" s="1167"/>
      <c r="FNF52" s="1142"/>
      <c r="FNG52" s="1142"/>
      <c r="FNH52" s="1142"/>
      <c r="FNI52" s="1142"/>
      <c r="FNJ52" s="1142"/>
      <c r="FNK52" s="1142"/>
      <c r="FNL52" s="1142"/>
      <c r="FNM52" s="1142"/>
      <c r="FNN52" s="1142"/>
      <c r="FNO52" s="1142"/>
      <c r="FNP52" s="1142"/>
      <c r="FNQ52" s="1142"/>
      <c r="FNR52" s="1142"/>
      <c r="FNS52" s="1142"/>
      <c r="FNT52" s="1142"/>
      <c r="FNU52" s="1142"/>
      <c r="FNV52" s="1142"/>
      <c r="FNW52" s="1142"/>
      <c r="FNX52" s="1142"/>
      <c r="FNY52" s="1142"/>
      <c r="FNZ52" s="1142"/>
      <c r="FOA52" s="1142"/>
      <c r="FOB52" s="1142"/>
      <c r="FOC52" s="1167"/>
      <c r="FOD52" s="1167"/>
      <c r="FOE52" s="1167"/>
      <c r="FOF52" s="1167"/>
      <c r="FOG52" s="1167"/>
      <c r="FOH52" s="1167"/>
      <c r="FOI52" s="1167"/>
      <c r="FOJ52" s="1167"/>
      <c r="FOK52" s="1167"/>
      <c r="FOL52" s="1142"/>
      <c r="FOM52" s="1142"/>
      <c r="FON52" s="1142"/>
      <c r="FOO52" s="1142"/>
      <c r="FOP52" s="1142"/>
      <c r="FOQ52" s="1142"/>
      <c r="FOR52" s="1142"/>
      <c r="FOS52" s="1142"/>
      <c r="FOT52" s="1142"/>
      <c r="FOU52" s="1142"/>
      <c r="FOV52" s="1142"/>
      <c r="FOW52" s="1142"/>
      <c r="FOX52" s="1142"/>
      <c r="FOY52" s="1142"/>
      <c r="FOZ52" s="1142"/>
      <c r="FPA52" s="1142"/>
      <c r="FPB52" s="1142"/>
      <c r="FPC52" s="1142"/>
      <c r="FPD52" s="1142"/>
      <c r="FPE52" s="1142"/>
      <c r="FPF52" s="1142"/>
      <c r="FPG52" s="1142"/>
      <c r="FPH52" s="1142"/>
      <c r="FPI52" s="1167"/>
      <c r="FPJ52" s="1167"/>
      <c r="FPK52" s="1167"/>
      <c r="FPL52" s="1167"/>
      <c r="FPM52" s="1167"/>
      <c r="FPN52" s="1167"/>
      <c r="FPO52" s="1167"/>
      <c r="FPP52" s="1167"/>
      <c r="FPQ52" s="1167"/>
      <c r="FPR52" s="1142"/>
      <c r="FPS52" s="1142"/>
      <c r="FPT52" s="1142"/>
      <c r="FPU52" s="1142"/>
      <c r="FPV52" s="1142"/>
      <c r="FPW52" s="1142"/>
      <c r="FPX52" s="1142"/>
      <c r="FPY52" s="1142"/>
      <c r="FPZ52" s="1142"/>
      <c r="FQA52" s="1142"/>
      <c r="FQB52" s="1142"/>
      <c r="FQC52" s="1142"/>
      <c r="FQD52" s="1142"/>
      <c r="FQE52" s="1142"/>
      <c r="FQF52" s="1142"/>
      <c r="FQG52" s="1142"/>
      <c r="FQH52" s="1142"/>
      <c r="FQI52" s="1142"/>
      <c r="FQJ52" s="1142"/>
      <c r="FQK52" s="1142"/>
      <c r="FQL52" s="1142"/>
      <c r="FQM52" s="1142"/>
      <c r="FQN52" s="1142"/>
      <c r="FQO52" s="1167"/>
      <c r="FQP52" s="1167"/>
      <c r="FQQ52" s="1167"/>
      <c r="FQR52" s="1167"/>
      <c r="FQS52" s="1167"/>
      <c r="FQT52" s="1167"/>
      <c r="FQU52" s="1167"/>
      <c r="FQV52" s="1167"/>
      <c r="FQW52" s="1167"/>
      <c r="FQX52" s="1142"/>
      <c r="FQY52" s="1142"/>
      <c r="FQZ52" s="1142"/>
      <c r="FRA52" s="1142"/>
      <c r="FRB52" s="1142"/>
      <c r="FRC52" s="1142"/>
      <c r="FRD52" s="1142"/>
      <c r="FRE52" s="1142"/>
      <c r="FRF52" s="1142"/>
      <c r="FRG52" s="1142"/>
      <c r="FRH52" s="1142"/>
      <c r="FRI52" s="1142"/>
      <c r="FRJ52" s="1142"/>
      <c r="FRK52" s="1142"/>
      <c r="FRL52" s="1142"/>
      <c r="FRM52" s="1142"/>
      <c r="FRN52" s="1142"/>
      <c r="FRO52" s="1142"/>
      <c r="FRP52" s="1142"/>
      <c r="FRQ52" s="1142"/>
      <c r="FRR52" s="1142"/>
      <c r="FRS52" s="1142"/>
      <c r="FRT52" s="1142"/>
      <c r="FRU52" s="1167"/>
      <c r="FRV52" s="1167"/>
      <c r="FRW52" s="1167"/>
      <c r="FRX52" s="1167"/>
      <c r="FRY52" s="1167"/>
      <c r="FRZ52" s="1167"/>
      <c r="FSA52" s="1167"/>
      <c r="FSB52" s="1167"/>
      <c r="FSC52" s="1167"/>
      <c r="FSD52" s="1142"/>
      <c r="FSE52" s="1142"/>
      <c r="FSF52" s="1142"/>
      <c r="FSG52" s="1142"/>
      <c r="FSH52" s="1142"/>
      <c r="FSI52" s="1142"/>
      <c r="FSJ52" s="1142"/>
      <c r="FSK52" s="1142"/>
      <c r="FSL52" s="1142"/>
      <c r="FSM52" s="1142"/>
      <c r="FSN52" s="1142"/>
      <c r="FSO52" s="1142"/>
      <c r="FSP52" s="1142"/>
      <c r="FSQ52" s="1142"/>
      <c r="FSR52" s="1142"/>
      <c r="FSS52" s="1142"/>
      <c r="FST52" s="1142"/>
      <c r="FSU52" s="1142"/>
      <c r="FSV52" s="1142"/>
      <c r="FSW52" s="1142"/>
      <c r="FSX52" s="1142"/>
      <c r="FSY52" s="1142"/>
      <c r="FSZ52" s="1142"/>
      <c r="FTA52" s="1167"/>
      <c r="FTB52" s="1167"/>
      <c r="FTC52" s="1167"/>
      <c r="FTD52" s="1167"/>
      <c r="FTE52" s="1167"/>
      <c r="FTF52" s="1167"/>
      <c r="FTG52" s="1167"/>
      <c r="FTH52" s="1167"/>
      <c r="FTI52" s="1167"/>
      <c r="FTJ52" s="1142"/>
      <c r="FTK52" s="1142"/>
      <c r="FTL52" s="1142"/>
      <c r="FTM52" s="1142"/>
      <c r="FTN52" s="1142"/>
      <c r="FTO52" s="1142"/>
      <c r="FTP52" s="1142"/>
      <c r="FTQ52" s="1142"/>
      <c r="FTR52" s="1142"/>
      <c r="FTS52" s="1142"/>
      <c r="FTT52" s="1142"/>
      <c r="FTU52" s="1142"/>
      <c r="FTV52" s="1142"/>
      <c r="FTW52" s="1142"/>
      <c r="FTX52" s="1142"/>
      <c r="FTY52" s="1142"/>
      <c r="FTZ52" s="1142"/>
      <c r="FUA52" s="1142"/>
      <c r="FUB52" s="1142"/>
      <c r="FUC52" s="1142"/>
      <c r="FUD52" s="1142"/>
      <c r="FUE52" s="1142"/>
      <c r="FUF52" s="1142"/>
      <c r="FUG52" s="1167"/>
      <c r="FUH52" s="1167"/>
      <c r="FUI52" s="1167"/>
      <c r="FUJ52" s="1167"/>
      <c r="FUK52" s="1167"/>
      <c r="FUL52" s="1167"/>
      <c r="FUM52" s="1167"/>
      <c r="FUN52" s="1167"/>
      <c r="FUO52" s="1167"/>
      <c r="FUP52" s="1142"/>
      <c r="FUQ52" s="1142"/>
      <c r="FUR52" s="1142"/>
      <c r="FUS52" s="1142"/>
      <c r="FUT52" s="1142"/>
      <c r="FUU52" s="1142"/>
      <c r="FUV52" s="1142"/>
      <c r="FUW52" s="1142"/>
      <c r="FUX52" s="1142"/>
      <c r="FUY52" s="1142"/>
      <c r="FUZ52" s="1142"/>
      <c r="FVA52" s="1142"/>
      <c r="FVB52" s="1142"/>
      <c r="FVC52" s="1142"/>
      <c r="FVD52" s="1142"/>
      <c r="FVE52" s="1142"/>
      <c r="FVF52" s="1142"/>
      <c r="FVG52" s="1142"/>
      <c r="FVH52" s="1142"/>
      <c r="FVI52" s="1142"/>
      <c r="FVJ52" s="1142"/>
      <c r="FVK52" s="1142"/>
      <c r="FVL52" s="1142"/>
      <c r="FVM52" s="1167"/>
      <c r="FVN52" s="1167"/>
      <c r="FVO52" s="1167"/>
      <c r="FVP52" s="1167"/>
      <c r="FVQ52" s="1167"/>
      <c r="FVR52" s="1167"/>
      <c r="FVS52" s="1167"/>
      <c r="FVT52" s="1167"/>
      <c r="FVU52" s="1167"/>
      <c r="FVV52" s="1142"/>
      <c r="FVW52" s="1142"/>
      <c r="FVX52" s="1142"/>
      <c r="FVY52" s="1142"/>
      <c r="FVZ52" s="1142"/>
      <c r="FWA52" s="1142"/>
      <c r="FWB52" s="1142"/>
      <c r="FWC52" s="1142"/>
      <c r="FWD52" s="1142"/>
      <c r="FWE52" s="1142"/>
      <c r="FWF52" s="1142"/>
      <c r="FWG52" s="1142"/>
      <c r="FWH52" s="1142"/>
      <c r="FWI52" s="1142"/>
      <c r="FWJ52" s="1142"/>
      <c r="FWK52" s="1142"/>
      <c r="FWL52" s="1142"/>
      <c r="FWM52" s="1142"/>
      <c r="FWN52" s="1142"/>
      <c r="FWO52" s="1142"/>
      <c r="FWP52" s="1142"/>
      <c r="FWQ52" s="1142"/>
      <c r="FWR52" s="1142"/>
      <c r="FWS52" s="1167"/>
      <c r="FWT52" s="1167"/>
      <c r="FWU52" s="1167"/>
      <c r="FWV52" s="1167"/>
      <c r="FWW52" s="1167"/>
      <c r="FWX52" s="1167"/>
      <c r="FWY52" s="1167"/>
      <c r="FWZ52" s="1167"/>
      <c r="FXA52" s="1167"/>
      <c r="FXB52" s="1142"/>
      <c r="FXC52" s="1142"/>
      <c r="FXD52" s="1142"/>
      <c r="FXE52" s="1142"/>
      <c r="FXF52" s="1142"/>
      <c r="FXG52" s="1142"/>
      <c r="FXH52" s="1142"/>
      <c r="FXI52" s="1142"/>
      <c r="FXJ52" s="1142"/>
      <c r="FXK52" s="1142"/>
      <c r="FXL52" s="1142"/>
      <c r="FXM52" s="1142"/>
      <c r="FXN52" s="1142"/>
      <c r="FXO52" s="1142"/>
      <c r="FXP52" s="1142"/>
      <c r="FXQ52" s="1142"/>
      <c r="FXR52" s="1142"/>
      <c r="FXS52" s="1142"/>
      <c r="FXT52" s="1142"/>
      <c r="FXU52" s="1142"/>
      <c r="FXV52" s="1142"/>
      <c r="FXW52" s="1142"/>
      <c r="FXX52" s="1142"/>
      <c r="FXY52" s="1167"/>
      <c r="FXZ52" s="1167"/>
      <c r="FYA52" s="1167"/>
      <c r="FYB52" s="1167"/>
      <c r="FYC52" s="1167"/>
      <c r="FYD52" s="1167"/>
      <c r="FYE52" s="1167"/>
      <c r="FYF52" s="1167"/>
      <c r="FYG52" s="1167"/>
      <c r="FYH52" s="1142"/>
      <c r="FYI52" s="1142"/>
      <c r="FYJ52" s="1142"/>
      <c r="FYK52" s="1142"/>
      <c r="FYL52" s="1142"/>
      <c r="FYM52" s="1142"/>
      <c r="FYN52" s="1142"/>
      <c r="FYO52" s="1142"/>
      <c r="FYP52" s="1142"/>
      <c r="FYQ52" s="1142"/>
      <c r="FYR52" s="1142"/>
      <c r="FYS52" s="1142"/>
      <c r="FYT52" s="1142"/>
      <c r="FYU52" s="1142"/>
      <c r="FYV52" s="1142"/>
      <c r="FYW52" s="1142"/>
      <c r="FYX52" s="1142"/>
      <c r="FYY52" s="1142"/>
      <c r="FYZ52" s="1142"/>
      <c r="FZA52" s="1142"/>
      <c r="FZB52" s="1142"/>
      <c r="FZC52" s="1142"/>
      <c r="FZD52" s="1142"/>
      <c r="FZE52" s="1167"/>
      <c r="FZF52" s="1167"/>
      <c r="FZG52" s="1167"/>
      <c r="FZH52" s="1167"/>
      <c r="FZI52" s="1167"/>
      <c r="FZJ52" s="1167"/>
      <c r="FZK52" s="1167"/>
      <c r="FZL52" s="1167"/>
      <c r="FZM52" s="1167"/>
      <c r="FZN52" s="1142"/>
      <c r="FZO52" s="1142"/>
      <c r="FZP52" s="1142"/>
      <c r="FZQ52" s="1142"/>
      <c r="FZR52" s="1142"/>
      <c r="FZS52" s="1142"/>
      <c r="FZT52" s="1142"/>
      <c r="FZU52" s="1142"/>
      <c r="FZV52" s="1142"/>
      <c r="FZW52" s="1142"/>
      <c r="FZX52" s="1142"/>
      <c r="FZY52" s="1142"/>
      <c r="FZZ52" s="1142"/>
      <c r="GAA52" s="1142"/>
      <c r="GAB52" s="1142"/>
      <c r="GAC52" s="1142"/>
      <c r="GAD52" s="1142"/>
      <c r="GAE52" s="1142"/>
      <c r="GAF52" s="1142"/>
      <c r="GAG52" s="1142"/>
      <c r="GAH52" s="1142"/>
      <c r="GAI52" s="1142"/>
      <c r="GAJ52" s="1142"/>
      <c r="GAK52" s="1167"/>
      <c r="GAL52" s="1167"/>
      <c r="GAM52" s="1167"/>
      <c r="GAN52" s="1167"/>
      <c r="GAO52" s="1167"/>
      <c r="GAP52" s="1167"/>
      <c r="GAQ52" s="1167"/>
      <c r="GAR52" s="1167"/>
      <c r="GAS52" s="1167"/>
      <c r="GAT52" s="1142"/>
      <c r="GAU52" s="1142"/>
      <c r="GAV52" s="1142"/>
      <c r="GAW52" s="1142"/>
      <c r="GAX52" s="1142"/>
      <c r="GAY52" s="1142"/>
      <c r="GAZ52" s="1142"/>
      <c r="GBA52" s="1142"/>
      <c r="GBB52" s="1142"/>
      <c r="GBC52" s="1142"/>
      <c r="GBD52" s="1142"/>
      <c r="GBE52" s="1142"/>
      <c r="GBF52" s="1142"/>
      <c r="GBG52" s="1142"/>
      <c r="GBH52" s="1142"/>
      <c r="GBI52" s="1142"/>
      <c r="GBJ52" s="1142"/>
      <c r="GBK52" s="1142"/>
      <c r="GBL52" s="1142"/>
      <c r="GBM52" s="1142"/>
      <c r="GBN52" s="1142"/>
      <c r="GBO52" s="1142"/>
      <c r="GBP52" s="1142"/>
      <c r="GBQ52" s="1167"/>
      <c r="GBR52" s="1167"/>
      <c r="GBS52" s="1167"/>
      <c r="GBT52" s="1167"/>
      <c r="GBU52" s="1167"/>
      <c r="GBV52" s="1167"/>
      <c r="GBW52" s="1167"/>
      <c r="GBX52" s="1167"/>
      <c r="GBY52" s="1167"/>
      <c r="GBZ52" s="1142"/>
      <c r="GCA52" s="1142"/>
      <c r="GCB52" s="1142"/>
      <c r="GCC52" s="1142"/>
      <c r="GCD52" s="1142"/>
      <c r="GCE52" s="1142"/>
      <c r="GCF52" s="1142"/>
      <c r="GCG52" s="1142"/>
      <c r="GCH52" s="1142"/>
      <c r="GCI52" s="1142"/>
      <c r="GCJ52" s="1142"/>
      <c r="GCK52" s="1142"/>
      <c r="GCL52" s="1142"/>
      <c r="GCM52" s="1142"/>
      <c r="GCN52" s="1142"/>
      <c r="GCO52" s="1142"/>
      <c r="GCP52" s="1142"/>
      <c r="GCQ52" s="1142"/>
      <c r="GCR52" s="1142"/>
      <c r="GCS52" s="1142"/>
      <c r="GCT52" s="1142"/>
      <c r="GCU52" s="1142"/>
      <c r="GCV52" s="1142"/>
      <c r="GCW52" s="1167"/>
      <c r="GCX52" s="1167"/>
      <c r="GCY52" s="1167"/>
      <c r="GCZ52" s="1167"/>
      <c r="GDA52" s="1167"/>
      <c r="GDB52" s="1167"/>
      <c r="GDC52" s="1167"/>
      <c r="GDD52" s="1167"/>
      <c r="GDE52" s="1167"/>
      <c r="GDF52" s="1142"/>
      <c r="GDG52" s="1142"/>
      <c r="GDH52" s="1142"/>
      <c r="GDI52" s="1142"/>
      <c r="GDJ52" s="1142"/>
      <c r="GDK52" s="1142"/>
      <c r="GDL52" s="1142"/>
      <c r="GDM52" s="1142"/>
      <c r="GDN52" s="1142"/>
      <c r="GDO52" s="1142"/>
      <c r="GDP52" s="1142"/>
      <c r="GDQ52" s="1142"/>
      <c r="GDR52" s="1142"/>
      <c r="GDS52" s="1142"/>
      <c r="GDT52" s="1142"/>
      <c r="GDU52" s="1142"/>
      <c r="GDV52" s="1142"/>
      <c r="GDW52" s="1142"/>
      <c r="GDX52" s="1142"/>
      <c r="GDY52" s="1142"/>
      <c r="GDZ52" s="1142"/>
      <c r="GEA52" s="1142"/>
      <c r="GEB52" s="1142"/>
      <c r="GEC52" s="1167"/>
      <c r="GED52" s="1167"/>
      <c r="GEE52" s="1167"/>
      <c r="GEF52" s="1167"/>
      <c r="GEG52" s="1167"/>
      <c r="GEH52" s="1167"/>
      <c r="GEI52" s="1167"/>
      <c r="GEJ52" s="1167"/>
      <c r="GEK52" s="1167"/>
      <c r="GEL52" s="1142"/>
      <c r="GEM52" s="1142"/>
      <c r="GEN52" s="1142"/>
      <c r="GEO52" s="1142"/>
      <c r="GEP52" s="1142"/>
      <c r="GEQ52" s="1142"/>
      <c r="GER52" s="1142"/>
      <c r="GES52" s="1142"/>
      <c r="GET52" s="1142"/>
      <c r="GEU52" s="1142"/>
      <c r="GEV52" s="1142"/>
      <c r="GEW52" s="1142"/>
      <c r="GEX52" s="1142"/>
      <c r="GEY52" s="1142"/>
      <c r="GEZ52" s="1142"/>
      <c r="GFA52" s="1142"/>
      <c r="GFB52" s="1142"/>
      <c r="GFC52" s="1142"/>
      <c r="GFD52" s="1142"/>
      <c r="GFE52" s="1142"/>
      <c r="GFF52" s="1142"/>
      <c r="GFG52" s="1142"/>
      <c r="GFH52" s="1142"/>
      <c r="GFI52" s="1167"/>
      <c r="GFJ52" s="1167"/>
      <c r="GFK52" s="1167"/>
      <c r="GFL52" s="1167"/>
      <c r="GFM52" s="1167"/>
      <c r="GFN52" s="1167"/>
      <c r="GFO52" s="1167"/>
      <c r="GFP52" s="1167"/>
      <c r="GFQ52" s="1167"/>
      <c r="GFR52" s="1142"/>
      <c r="GFS52" s="1142"/>
      <c r="GFT52" s="1142"/>
      <c r="GFU52" s="1142"/>
      <c r="GFV52" s="1142"/>
      <c r="GFW52" s="1142"/>
      <c r="GFX52" s="1142"/>
      <c r="GFY52" s="1142"/>
      <c r="GFZ52" s="1142"/>
      <c r="GGA52" s="1142"/>
      <c r="GGB52" s="1142"/>
      <c r="GGC52" s="1142"/>
      <c r="GGD52" s="1142"/>
      <c r="GGE52" s="1142"/>
      <c r="GGF52" s="1142"/>
      <c r="GGG52" s="1142"/>
      <c r="GGH52" s="1142"/>
      <c r="GGI52" s="1142"/>
      <c r="GGJ52" s="1142"/>
      <c r="GGK52" s="1142"/>
      <c r="GGL52" s="1142"/>
      <c r="GGM52" s="1142"/>
      <c r="GGN52" s="1142"/>
      <c r="GGO52" s="1167"/>
      <c r="GGP52" s="1167"/>
      <c r="GGQ52" s="1167"/>
      <c r="GGR52" s="1167"/>
      <c r="GGS52" s="1167"/>
      <c r="GGT52" s="1167"/>
      <c r="GGU52" s="1167"/>
      <c r="GGV52" s="1167"/>
      <c r="GGW52" s="1167"/>
      <c r="GGX52" s="1142"/>
      <c r="GGY52" s="1142"/>
      <c r="GGZ52" s="1142"/>
      <c r="GHA52" s="1142"/>
      <c r="GHB52" s="1142"/>
      <c r="GHC52" s="1142"/>
      <c r="GHD52" s="1142"/>
      <c r="GHE52" s="1142"/>
      <c r="GHF52" s="1142"/>
      <c r="GHG52" s="1142"/>
      <c r="GHH52" s="1142"/>
      <c r="GHI52" s="1142"/>
      <c r="GHJ52" s="1142"/>
      <c r="GHK52" s="1142"/>
      <c r="GHL52" s="1142"/>
      <c r="GHM52" s="1142"/>
      <c r="GHN52" s="1142"/>
      <c r="GHO52" s="1142"/>
      <c r="GHP52" s="1142"/>
      <c r="GHQ52" s="1142"/>
      <c r="GHR52" s="1142"/>
      <c r="GHS52" s="1142"/>
      <c r="GHT52" s="1142"/>
      <c r="GHU52" s="1167"/>
      <c r="GHV52" s="1167"/>
      <c r="GHW52" s="1167"/>
      <c r="GHX52" s="1167"/>
      <c r="GHY52" s="1167"/>
      <c r="GHZ52" s="1167"/>
      <c r="GIA52" s="1167"/>
      <c r="GIB52" s="1167"/>
      <c r="GIC52" s="1167"/>
      <c r="GID52" s="1142"/>
      <c r="GIE52" s="1142"/>
      <c r="GIF52" s="1142"/>
      <c r="GIG52" s="1142"/>
      <c r="GIH52" s="1142"/>
      <c r="GII52" s="1142"/>
      <c r="GIJ52" s="1142"/>
      <c r="GIK52" s="1142"/>
      <c r="GIL52" s="1142"/>
      <c r="GIM52" s="1142"/>
      <c r="GIN52" s="1142"/>
      <c r="GIO52" s="1142"/>
      <c r="GIP52" s="1142"/>
      <c r="GIQ52" s="1142"/>
      <c r="GIR52" s="1142"/>
      <c r="GIS52" s="1142"/>
      <c r="GIT52" s="1142"/>
      <c r="GIU52" s="1142"/>
      <c r="GIV52" s="1142"/>
      <c r="GIW52" s="1142"/>
      <c r="GIX52" s="1142"/>
      <c r="GIY52" s="1142"/>
      <c r="GIZ52" s="1142"/>
      <c r="GJA52" s="1167"/>
      <c r="GJB52" s="1167"/>
      <c r="GJC52" s="1167"/>
      <c r="GJD52" s="1167"/>
      <c r="GJE52" s="1167"/>
      <c r="GJF52" s="1167"/>
      <c r="GJG52" s="1167"/>
      <c r="GJH52" s="1167"/>
      <c r="GJI52" s="1167"/>
      <c r="GJJ52" s="1142"/>
      <c r="GJK52" s="1142"/>
      <c r="GJL52" s="1142"/>
      <c r="GJM52" s="1142"/>
      <c r="GJN52" s="1142"/>
      <c r="GJO52" s="1142"/>
      <c r="GJP52" s="1142"/>
      <c r="GJQ52" s="1142"/>
      <c r="GJR52" s="1142"/>
      <c r="GJS52" s="1142"/>
      <c r="GJT52" s="1142"/>
      <c r="GJU52" s="1142"/>
      <c r="GJV52" s="1142"/>
      <c r="GJW52" s="1142"/>
      <c r="GJX52" s="1142"/>
      <c r="GJY52" s="1142"/>
      <c r="GJZ52" s="1142"/>
      <c r="GKA52" s="1142"/>
      <c r="GKB52" s="1142"/>
      <c r="GKC52" s="1142"/>
      <c r="GKD52" s="1142"/>
      <c r="GKE52" s="1142"/>
      <c r="GKF52" s="1142"/>
      <c r="GKG52" s="1167"/>
      <c r="GKH52" s="1167"/>
      <c r="GKI52" s="1167"/>
      <c r="GKJ52" s="1167"/>
      <c r="GKK52" s="1167"/>
      <c r="GKL52" s="1167"/>
      <c r="GKM52" s="1167"/>
      <c r="GKN52" s="1167"/>
      <c r="GKO52" s="1167"/>
      <c r="GKP52" s="1142"/>
      <c r="GKQ52" s="1142"/>
      <c r="GKR52" s="1142"/>
      <c r="GKS52" s="1142"/>
      <c r="GKT52" s="1142"/>
      <c r="GKU52" s="1142"/>
      <c r="GKV52" s="1142"/>
      <c r="GKW52" s="1142"/>
      <c r="GKX52" s="1142"/>
      <c r="GKY52" s="1142"/>
      <c r="GKZ52" s="1142"/>
      <c r="GLA52" s="1142"/>
      <c r="GLB52" s="1142"/>
      <c r="GLC52" s="1142"/>
      <c r="GLD52" s="1142"/>
      <c r="GLE52" s="1142"/>
      <c r="GLF52" s="1142"/>
      <c r="GLG52" s="1142"/>
      <c r="GLH52" s="1142"/>
      <c r="GLI52" s="1142"/>
      <c r="GLJ52" s="1142"/>
      <c r="GLK52" s="1142"/>
      <c r="GLL52" s="1142"/>
      <c r="GLM52" s="1167"/>
      <c r="GLN52" s="1167"/>
      <c r="GLO52" s="1167"/>
      <c r="GLP52" s="1167"/>
      <c r="GLQ52" s="1167"/>
      <c r="GLR52" s="1167"/>
      <c r="GLS52" s="1167"/>
      <c r="GLT52" s="1167"/>
      <c r="GLU52" s="1167"/>
      <c r="GLV52" s="1142"/>
      <c r="GLW52" s="1142"/>
      <c r="GLX52" s="1142"/>
      <c r="GLY52" s="1142"/>
      <c r="GLZ52" s="1142"/>
      <c r="GMA52" s="1142"/>
      <c r="GMB52" s="1142"/>
      <c r="GMC52" s="1142"/>
      <c r="GMD52" s="1142"/>
      <c r="GME52" s="1142"/>
      <c r="GMF52" s="1142"/>
      <c r="GMG52" s="1142"/>
      <c r="GMH52" s="1142"/>
      <c r="GMI52" s="1142"/>
      <c r="GMJ52" s="1142"/>
      <c r="GMK52" s="1142"/>
      <c r="GML52" s="1142"/>
      <c r="GMM52" s="1142"/>
      <c r="GMN52" s="1142"/>
      <c r="GMO52" s="1142"/>
      <c r="GMP52" s="1142"/>
      <c r="GMQ52" s="1142"/>
      <c r="GMR52" s="1142"/>
      <c r="GMS52" s="1167"/>
      <c r="GMT52" s="1167"/>
      <c r="GMU52" s="1167"/>
      <c r="GMV52" s="1167"/>
      <c r="GMW52" s="1167"/>
      <c r="GMX52" s="1167"/>
      <c r="GMY52" s="1167"/>
      <c r="GMZ52" s="1167"/>
      <c r="GNA52" s="1167"/>
      <c r="GNB52" s="1142"/>
      <c r="GNC52" s="1142"/>
      <c r="GND52" s="1142"/>
      <c r="GNE52" s="1142"/>
      <c r="GNF52" s="1142"/>
      <c r="GNG52" s="1142"/>
      <c r="GNH52" s="1142"/>
      <c r="GNI52" s="1142"/>
      <c r="GNJ52" s="1142"/>
      <c r="GNK52" s="1142"/>
      <c r="GNL52" s="1142"/>
      <c r="GNM52" s="1142"/>
      <c r="GNN52" s="1142"/>
      <c r="GNO52" s="1142"/>
      <c r="GNP52" s="1142"/>
      <c r="GNQ52" s="1142"/>
      <c r="GNR52" s="1142"/>
      <c r="GNS52" s="1142"/>
      <c r="GNT52" s="1142"/>
      <c r="GNU52" s="1142"/>
      <c r="GNV52" s="1142"/>
      <c r="GNW52" s="1142"/>
      <c r="GNX52" s="1142"/>
      <c r="GNY52" s="1167"/>
      <c r="GNZ52" s="1167"/>
      <c r="GOA52" s="1167"/>
      <c r="GOB52" s="1167"/>
      <c r="GOC52" s="1167"/>
      <c r="GOD52" s="1167"/>
      <c r="GOE52" s="1167"/>
      <c r="GOF52" s="1167"/>
      <c r="GOG52" s="1167"/>
      <c r="GOH52" s="1142"/>
      <c r="GOI52" s="1142"/>
      <c r="GOJ52" s="1142"/>
      <c r="GOK52" s="1142"/>
      <c r="GOL52" s="1142"/>
      <c r="GOM52" s="1142"/>
      <c r="GON52" s="1142"/>
      <c r="GOO52" s="1142"/>
      <c r="GOP52" s="1142"/>
      <c r="GOQ52" s="1142"/>
      <c r="GOR52" s="1142"/>
      <c r="GOS52" s="1142"/>
      <c r="GOT52" s="1142"/>
      <c r="GOU52" s="1142"/>
      <c r="GOV52" s="1142"/>
      <c r="GOW52" s="1142"/>
      <c r="GOX52" s="1142"/>
      <c r="GOY52" s="1142"/>
      <c r="GOZ52" s="1142"/>
      <c r="GPA52" s="1142"/>
      <c r="GPB52" s="1142"/>
      <c r="GPC52" s="1142"/>
      <c r="GPD52" s="1142"/>
      <c r="GPE52" s="1167"/>
      <c r="GPF52" s="1167"/>
      <c r="GPG52" s="1167"/>
      <c r="GPH52" s="1167"/>
      <c r="GPI52" s="1167"/>
      <c r="GPJ52" s="1167"/>
      <c r="GPK52" s="1167"/>
      <c r="GPL52" s="1167"/>
      <c r="GPM52" s="1167"/>
      <c r="GPN52" s="1142"/>
      <c r="GPO52" s="1142"/>
      <c r="GPP52" s="1142"/>
      <c r="GPQ52" s="1142"/>
      <c r="GPR52" s="1142"/>
      <c r="GPS52" s="1142"/>
      <c r="GPT52" s="1142"/>
      <c r="GPU52" s="1142"/>
      <c r="GPV52" s="1142"/>
      <c r="GPW52" s="1142"/>
      <c r="GPX52" s="1142"/>
      <c r="GPY52" s="1142"/>
      <c r="GPZ52" s="1142"/>
      <c r="GQA52" s="1142"/>
      <c r="GQB52" s="1142"/>
      <c r="GQC52" s="1142"/>
      <c r="GQD52" s="1142"/>
      <c r="GQE52" s="1142"/>
      <c r="GQF52" s="1142"/>
      <c r="GQG52" s="1142"/>
      <c r="GQH52" s="1142"/>
      <c r="GQI52" s="1142"/>
      <c r="GQJ52" s="1142"/>
      <c r="GQK52" s="1167"/>
      <c r="GQL52" s="1167"/>
      <c r="GQM52" s="1167"/>
      <c r="GQN52" s="1167"/>
      <c r="GQO52" s="1167"/>
      <c r="GQP52" s="1167"/>
      <c r="GQQ52" s="1167"/>
      <c r="GQR52" s="1167"/>
      <c r="GQS52" s="1167"/>
      <c r="GQT52" s="1142"/>
      <c r="GQU52" s="1142"/>
      <c r="GQV52" s="1142"/>
      <c r="GQW52" s="1142"/>
      <c r="GQX52" s="1142"/>
      <c r="GQY52" s="1142"/>
      <c r="GQZ52" s="1142"/>
      <c r="GRA52" s="1142"/>
      <c r="GRB52" s="1142"/>
      <c r="GRC52" s="1142"/>
      <c r="GRD52" s="1142"/>
      <c r="GRE52" s="1142"/>
      <c r="GRF52" s="1142"/>
      <c r="GRG52" s="1142"/>
      <c r="GRH52" s="1142"/>
      <c r="GRI52" s="1142"/>
      <c r="GRJ52" s="1142"/>
      <c r="GRK52" s="1142"/>
      <c r="GRL52" s="1142"/>
      <c r="GRM52" s="1142"/>
      <c r="GRN52" s="1142"/>
      <c r="GRO52" s="1142"/>
      <c r="GRP52" s="1142"/>
      <c r="GRQ52" s="1167"/>
      <c r="GRR52" s="1167"/>
      <c r="GRS52" s="1167"/>
      <c r="GRT52" s="1167"/>
      <c r="GRU52" s="1167"/>
      <c r="GRV52" s="1167"/>
      <c r="GRW52" s="1167"/>
      <c r="GRX52" s="1167"/>
      <c r="GRY52" s="1167"/>
      <c r="GRZ52" s="1142"/>
      <c r="GSA52" s="1142"/>
      <c r="GSB52" s="1142"/>
      <c r="GSC52" s="1142"/>
      <c r="GSD52" s="1142"/>
      <c r="GSE52" s="1142"/>
      <c r="GSF52" s="1142"/>
      <c r="GSG52" s="1142"/>
      <c r="GSH52" s="1142"/>
      <c r="GSI52" s="1142"/>
      <c r="GSJ52" s="1142"/>
      <c r="GSK52" s="1142"/>
      <c r="GSL52" s="1142"/>
      <c r="GSM52" s="1142"/>
      <c r="GSN52" s="1142"/>
      <c r="GSO52" s="1142"/>
      <c r="GSP52" s="1142"/>
      <c r="GSQ52" s="1142"/>
      <c r="GSR52" s="1142"/>
      <c r="GSS52" s="1142"/>
      <c r="GST52" s="1142"/>
      <c r="GSU52" s="1142"/>
      <c r="GSV52" s="1142"/>
      <c r="GSW52" s="1167"/>
      <c r="GSX52" s="1167"/>
      <c r="GSY52" s="1167"/>
      <c r="GSZ52" s="1167"/>
      <c r="GTA52" s="1167"/>
      <c r="GTB52" s="1167"/>
      <c r="GTC52" s="1167"/>
      <c r="GTD52" s="1167"/>
      <c r="GTE52" s="1167"/>
      <c r="GTF52" s="1142"/>
      <c r="GTG52" s="1142"/>
      <c r="GTH52" s="1142"/>
      <c r="GTI52" s="1142"/>
      <c r="GTJ52" s="1142"/>
      <c r="GTK52" s="1142"/>
      <c r="GTL52" s="1142"/>
      <c r="GTM52" s="1142"/>
      <c r="GTN52" s="1142"/>
      <c r="GTO52" s="1142"/>
      <c r="GTP52" s="1142"/>
      <c r="GTQ52" s="1142"/>
      <c r="GTR52" s="1142"/>
      <c r="GTS52" s="1142"/>
      <c r="GTT52" s="1142"/>
      <c r="GTU52" s="1142"/>
      <c r="GTV52" s="1142"/>
      <c r="GTW52" s="1142"/>
      <c r="GTX52" s="1142"/>
      <c r="GTY52" s="1142"/>
      <c r="GTZ52" s="1142"/>
      <c r="GUA52" s="1142"/>
      <c r="GUB52" s="1142"/>
      <c r="GUC52" s="1167"/>
      <c r="GUD52" s="1167"/>
      <c r="GUE52" s="1167"/>
      <c r="GUF52" s="1167"/>
      <c r="GUG52" s="1167"/>
      <c r="GUH52" s="1167"/>
      <c r="GUI52" s="1167"/>
      <c r="GUJ52" s="1167"/>
      <c r="GUK52" s="1167"/>
      <c r="GUL52" s="1142"/>
      <c r="GUM52" s="1142"/>
      <c r="GUN52" s="1142"/>
      <c r="GUO52" s="1142"/>
      <c r="GUP52" s="1142"/>
      <c r="GUQ52" s="1142"/>
      <c r="GUR52" s="1142"/>
      <c r="GUS52" s="1142"/>
      <c r="GUT52" s="1142"/>
      <c r="GUU52" s="1142"/>
      <c r="GUV52" s="1142"/>
      <c r="GUW52" s="1142"/>
      <c r="GUX52" s="1142"/>
      <c r="GUY52" s="1142"/>
      <c r="GUZ52" s="1142"/>
      <c r="GVA52" s="1142"/>
      <c r="GVB52" s="1142"/>
      <c r="GVC52" s="1142"/>
      <c r="GVD52" s="1142"/>
      <c r="GVE52" s="1142"/>
      <c r="GVF52" s="1142"/>
      <c r="GVG52" s="1142"/>
      <c r="GVH52" s="1142"/>
      <c r="GVI52" s="1167"/>
      <c r="GVJ52" s="1167"/>
      <c r="GVK52" s="1167"/>
      <c r="GVL52" s="1167"/>
      <c r="GVM52" s="1167"/>
      <c r="GVN52" s="1167"/>
      <c r="GVO52" s="1167"/>
      <c r="GVP52" s="1167"/>
      <c r="GVQ52" s="1167"/>
      <c r="GVR52" s="1142"/>
      <c r="GVS52" s="1142"/>
      <c r="GVT52" s="1142"/>
      <c r="GVU52" s="1142"/>
      <c r="GVV52" s="1142"/>
      <c r="GVW52" s="1142"/>
      <c r="GVX52" s="1142"/>
      <c r="GVY52" s="1142"/>
      <c r="GVZ52" s="1142"/>
      <c r="GWA52" s="1142"/>
      <c r="GWB52" s="1142"/>
      <c r="GWC52" s="1142"/>
      <c r="GWD52" s="1142"/>
      <c r="GWE52" s="1142"/>
      <c r="GWF52" s="1142"/>
      <c r="GWG52" s="1142"/>
      <c r="GWH52" s="1142"/>
      <c r="GWI52" s="1142"/>
      <c r="GWJ52" s="1142"/>
      <c r="GWK52" s="1142"/>
      <c r="GWL52" s="1142"/>
      <c r="GWM52" s="1142"/>
      <c r="GWN52" s="1142"/>
      <c r="GWO52" s="1167"/>
      <c r="GWP52" s="1167"/>
      <c r="GWQ52" s="1167"/>
      <c r="GWR52" s="1167"/>
      <c r="GWS52" s="1167"/>
      <c r="GWT52" s="1167"/>
      <c r="GWU52" s="1167"/>
      <c r="GWV52" s="1167"/>
      <c r="GWW52" s="1167"/>
      <c r="GWX52" s="1142"/>
      <c r="GWY52" s="1142"/>
      <c r="GWZ52" s="1142"/>
      <c r="GXA52" s="1142"/>
      <c r="GXB52" s="1142"/>
      <c r="GXC52" s="1142"/>
      <c r="GXD52" s="1142"/>
      <c r="GXE52" s="1142"/>
      <c r="GXF52" s="1142"/>
      <c r="GXG52" s="1142"/>
      <c r="GXH52" s="1142"/>
      <c r="GXI52" s="1142"/>
      <c r="GXJ52" s="1142"/>
      <c r="GXK52" s="1142"/>
      <c r="GXL52" s="1142"/>
      <c r="GXM52" s="1142"/>
      <c r="GXN52" s="1142"/>
      <c r="GXO52" s="1142"/>
      <c r="GXP52" s="1142"/>
      <c r="GXQ52" s="1142"/>
      <c r="GXR52" s="1142"/>
      <c r="GXS52" s="1142"/>
      <c r="GXT52" s="1142"/>
      <c r="GXU52" s="1167"/>
      <c r="GXV52" s="1167"/>
      <c r="GXW52" s="1167"/>
      <c r="GXX52" s="1167"/>
      <c r="GXY52" s="1167"/>
      <c r="GXZ52" s="1167"/>
      <c r="GYA52" s="1167"/>
      <c r="GYB52" s="1167"/>
      <c r="GYC52" s="1167"/>
      <c r="GYD52" s="1142"/>
      <c r="GYE52" s="1142"/>
      <c r="GYF52" s="1142"/>
      <c r="GYG52" s="1142"/>
      <c r="GYH52" s="1142"/>
      <c r="GYI52" s="1142"/>
      <c r="GYJ52" s="1142"/>
      <c r="GYK52" s="1142"/>
      <c r="GYL52" s="1142"/>
      <c r="GYM52" s="1142"/>
      <c r="GYN52" s="1142"/>
      <c r="GYO52" s="1142"/>
      <c r="GYP52" s="1142"/>
      <c r="GYQ52" s="1142"/>
      <c r="GYR52" s="1142"/>
      <c r="GYS52" s="1142"/>
      <c r="GYT52" s="1142"/>
      <c r="GYU52" s="1142"/>
      <c r="GYV52" s="1142"/>
      <c r="GYW52" s="1142"/>
      <c r="GYX52" s="1142"/>
      <c r="GYY52" s="1142"/>
      <c r="GYZ52" s="1142"/>
      <c r="GZA52" s="1167"/>
      <c r="GZB52" s="1167"/>
      <c r="GZC52" s="1167"/>
      <c r="GZD52" s="1167"/>
      <c r="GZE52" s="1167"/>
      <c r="GZF52" s="1167"/>
      <c r="GZG52" s="1167"/>
      <c r="GZH52" s="1167"/>
      <c r="GZI52" s="1167"/>
      <c r="GZJ52" s="1142"/>
      <c r="GZK52" s="1142"/>
      <c r="GZL52" s="1142"/>
      <c r="GZM52" s="1142"/>
      <c r="GZN52" s="1142"/>
      <c r="GZO52" s="1142"/>
      <c r="GZP52" s="1142"/>
      <c r="GZQ52" s="1142"/>
      <c r="GZR52" s="1142"/>
      <c r="GZS52" s="1142"/>
      <c r="GZT52" s="1142"/>
      <c r="GZU52" s="1142"/>
      <c r="GZV52" s="1142"/>
      <c r="GZW52" s="1142"/>
      <c r="GZX52" s="1142"/>
      <c r="GZY52" s="1142"/>
      <c r="GZZ52" s="1142"/>
      <c r="HAA52" s="1142"/>
      <c r="HAB52" s="1142"/>
      <c r="HAC52" s="1142"/>
      <c r="HAD52" s="1142"/>
      <c r="HAE52" s="1142"/>
      <c r="HAF52" s="1142"/>
      <c r="HAG52" s="1167"/>
      <c r="HAH52" s="1167"/>
      <c r="HAI52" s="1167"/>
      <c r="HAJ52" s="1167"/>
      <c r="HAK52" s="1167"/>
      <c r="HAL52" s="1167"/>
      <c r="HAM52" s="1167"/>
      <c r="HAN52" s="1167"/>
      <c r="HAO52" s="1167"/>
      <c r="HAP52" s="1142"/>
      <c r="HAQ52" s="1142"/>
      <c r="HAR52" s="1142"/>
      <c r="HAS52" s="1142"/>
      <c r="HAT52" s="1142"/>
      <c r="HAU52" s="1142"/>
      <c r="HAV52" s="1142"/>
      <c r="HAW52" s="1142"/>
      <c r="HAX52" s="1142"/>
      <c r="HAY52" s="1142"/>
      <c r="HAZ52" s="1142"/>
      <c r="HBA52" s="1142"/>
      <c r="HBB52" s="1142"/>
      <c r="HBC52" s="1142"/>
      <c r="HBD52" s="1142"/>
      <c r="HBE52" s="1142"/>
      <c r="HBF52" s="1142"/>
      <c r="HBG52" s="1142"/>
      <c r="HBH52" s="1142"/>
      <c r="HBI52" s="1142"/>
      <c r="HBJ52" s="1142"/>
      <c r="HBK52" s="1142"/>
      <c r="HBL52" s="1142"/>
      <c r="HBM52" s="1167"/>
      <c r="HBN52" s="1167"/>
      <c r="HBO52" s="1167"/>
      <c r="HBP52" s="1167"/>
      <c r="HBQ52" s="1167"/>
      <c r="HBR52" s="1167"/>
      <c r="HBS52" s="1167"/>
      <c r="HBT52" s="1167"/>
      <c r="HBU52" s="1167"/>
      <c r="HBV52" s="1142"/>
      <c r="HBW52" s="1142"/>
      <c r="HBX52" s="1142"/>
      <c r="HBY52" s="1142"/>
      <c r="HBZ52" s="1142"/>
      <c r="HCA52" s="1142"/>
      <c r="HCB52" s="1142"/>
      <c r="HCC52" s="1142"/>
      <c r="HCD52" s="1142"/>
      <c r="HCE52" s="1142"/>
      <c r="HCF52" s="1142"/>
      <c r="HCG52" s="1142"/>
      <c r="HCH52" s="1142"/>
      <c r="HCI52" s="1142"/>
      <c r="HCJ52" s="1142"/>
      <c r="HCK52" s="1142"/>
      <c r="HCL52" s="1142"/>
      <c r="HCM52" s="1142"/>
      <c r="HCN52" s="1142"/>
      <c r="HCO52" s="1142"/>
      <c r="HCP52" s="1142"/>
      <c r="HCQ52" s="1142"/>
      <c r="HCR52" s="1142"/>
      <c r="HCS52" s="1167"/>
      <c r="HCT52" s="1167"/>
      <c r="HCU52" s="1167"/>
      <c r="HCV52" s="1167"/>
      <c r="HCW52" s="1167"/>
      <c r="HCX52" s="1167"/>
      <c r="HCY52" s="1167"/>
      <c r="HCZ52" s="1167"/>
      <c r="HDA52" s="1167"/>
      <c r="HDB52" s="1142"/>
      <c r="HDC52" s="1142"/>
      <c r="HDD52" s="1142"/>
      <c r="HDE52" s="1142"/>
      <c r="HDF52" s="1142"/>
      <c r="HDG52" s="1142"/>
      <c r="HDH52" s="1142"/>
      <c r="HDI52" s="1142"/>
      <c r="HDJ52" s="1142"/>
      <c r="HDK52" s="1142"/>
      <c r="HDL52" s="1142"/>
      <c r="HDM52" s="1142"/>
      <c r="HDN52" s="1142"/>
      <c r="HDO52" s="1142"/>
      <c r="HDP52" s="1142"/>
      <c r="HDQ52" s="1142"/>
      <c r="HDR52" s="1142"/>
      <c r="HDS52" s="1142"/>
      <c r="HDT52" s="1142"/>
      <c r="HDU52" s="1142"/>
      <c r="HDV52" s="1142"/>
      <c r="HDW52" s="1142"/>
      <c r="HDX52" s="1142"/>
      <c r="HDY52" s="1167"/>
      <c r="HDZ52" s="1167"/>
      <c r="HEA52" s="1167"/>
      <c r="HEB52" s="1167"/>
      <c r="HEC52" s="1167"/>
      <c r="HED52" s="1167"/>
      <c r="HEE52" s="1167"/>
      <c r="HEF52" s="1167"/>
      <c r="HEG52" s="1167"/>
      <c r="HEH52" s="1142"/>
      <c r="HEI52" s="1142"/>
      <c r="HEJ52" s="1142"/>
      <c r="HEK52" s="1142"/>
      <c r="HEL52" s="1142"/>
      <c r="HEM52" s="1142"/>
      <c r="HEN52" s="1142"/>
      <c r="HEO52" s="1142"/>
      <c r="HEP52" s="1142"/>
      <c r="HEQ52" s="1142"/>
      <c r="HER52" s="1142"/>
      <c r="HES52" s="1142"/>
      <c r="HET52" s="1142"/>
      <c r="HEU52" s="1142"/>
      <c r="HEV52" s="1142"/>
      <c r="HEW52" s="1142"/>
      <c r="HEX52" s="1142"/>
      <c r="HEY52" s="1142"/>
      <c r="HEZ52" s="1142"/>
      <c r="HFA52" s="1142"/>
      <c r="HFB52" s="1142"/>
      <c r="HFC52" s="1142"/>
      <c r="HFD52" s="1142"/>
      <c r="HFE52" s="1167"/>
      <c r="HFF52" s="1167"/>
      <c r="HFG52" s="1167"/>
      <c r="HFH52" s="1167"/>
      <c r="HFI52" s="1167"/>
      <c r="HFJ52" s="1167"/>
      <c r="HFK52" s="1167"/>
      <c r="HFL52" s="1167"/>
      <c r="HFM52" s="1167"/>
      <c r="HFN52" s="1142"/>
      <c r="HFO52" s="1142"/>
      <c r="HFP52" s="1142"/>
      <c r="HFQ52" s="1142"/>
      <c r="HFR52" s="1142"/>
      <c r="HFS52" s="1142"/>
      <c r="HFT52" s="1142"/>
      <c r="HFU52" s="1142"/>
      <c r="HFV52" s="1142"/>
      <c r="HFW52" s="1142"/>
      <c r="HFX52" s="1142"/>
      <c r="HFY52" s="1142"/>
      <c r="HFZ52" s="1142"/>
      <c r="HGA52" s="1142"/>
      <c r="HGB52" s="1142"/>
      <c r="HGC52" s="1142"/>
      <c r="HGD52" s="1142"/>
      <c r="HGE52" s="1142"/>
      <c r="HGF52" s="1142"/>
      <c r="HGG52" s="1142"/>
      <c r="HGH52" s="1142"/>
      <c r="HGI52" s="1142"/>
      <c r="HGJ52" s="1142"/>
      <c r="HGK52" s="1167"/>
      <c r="HGL52" s="1167"/>
      <c r="HGM52" s="1167"/>
      <c r="HGN52" s="1167"/>
      <c r="HGO52" s="1167"/>
      <c r="HGP52" s="1167"/>
      <c r="HGQ52" s="1167"/>
      <c r="HGR52" s="1167"/>
      <c r="HGS52" s="1167"/>
      <c r="HGT52" s="1142"/>
      <c r="HGU52" s="1142"/>
      <c r="HGV52" s="1142"/>
      <c r="HGW52" s="1142"/>
      <c r="HGX52" s="1142"/>
      <c r="HGY52" s="1142"/>
      <c r="HGZ52" s="1142"/>
      <c r="HHA52" s="1142"/>
      <c r="HHB52" s="1142"/>
      <c r="HHC52" s="1142"/>
      <c r="HHD52" s="1142"/>
      <c r="HHE52" s="1142"/>
      <c r="HHF52" s="1142"/>
      <c r="HHG52" s="1142"/>
      <c r="HHH52" s="1142"/>
      <c r="HHI52" s="1142"/>
      <c r="HHJ52" s="1142"/>
      <c r="HHK52" s="1142"/>
      <c r="HHL52" s="1142"/>
      <c r="HHM52" s="1142"/>
      <c r="HHN52" s="1142"/>
      <c r="HHO52" s="1142"/>
      <c r="HHP52" s="1142"/>
      <c r="HHQ52" s="1167"/>
      <c r="HHR52" s="1167"/>
      <c r="HHS52" s="1167"/>
      <c r="HHT52" s="1167"/>
      <c r="HHU52" s="1167"/>
      <c r="HHV52" s="1167"/>
      <c r="HHW52" s="1167"/>
      <c r="HHX52" s="1167"/>
      <c r="HHY52" s="1167"/>
      <c r="HHZ52" s="1142"/>
      <c r="HIA52" s="1142"/>
      <c r="HIB52" s="1142"/>
      <c r="HIC52" s="1142"/>
      <c r="HID52" s="1142"/>
      <c r="HIE52" s="1142"/>
      <c r="HIF52" s="1142"/>
      <c r="HIG52" s="1142"/>
      <c r="HIH52" s="1142"/>
      <c r="HII52" s="1142"/>
      <c r="HIJ52" s="1142"/>
      <c r="HIK52" s="1142"/>
      <c r="HIL52" s="1142"/>
      <c r="HIM52" s="1142"/>
      <c r="HIN52" s="1142"/>
      <c r="HIO52" s="1142"/>
      <c r="HIP52" s="1142"/>
      <c r="HIQ52" s="1142"/>
      <c r="HIR52" s="1142"/>
      <c r="HIS52" s="1142"/>
      <c r="HIT52" s="1142"/>
      <c r="HIU52" s="1142"/>
      <c r="HIV52" s="1142"/>
      <c r="HIW52" s="1167"/>
      <c r="HIX52" s="1167"/>
      <c r="HIY52" s="1167"/>
      <c r="HIZ52" s="1167"/>
      <c r="HJA52" s="1167"/>
      <c r="HJB52" s="1167"/>
      <c r="HJC52" s="1167"/>
      <c r="HJD52" s="1167"/>
      <c r="HJE52" s="1167"/>
      <c r="HJF52" s="1142"/>
      <c r="HJG52" s="1142"/>
      <c r="HJH52" s="1142"/>
      <c r="HJI52" s="1142"/>
      <c r="HJJ52" s="1142"/>
      <c r="HJK52" s="1142"/>
      <c r="HJL52" s="1142"/>
      <c r="HJM52" s="1142"/>
      <c r="HJN52" s="1142"/>
      <c r="HJO52" s="1142"/>
      <c r="HJP52" s="1142"/>
      <c r="HJQ52" s="1142"/>
      <c r="HJR52" s="1142"/>
      <c r="HJS52" s="1142"/>
      <c r="HJT52" s="1142"/>
      <c r="HJU52" s="1142"/>
      <c r="HJV52" s="1142"/>
      <c r="HJW52" s="1142"/>
      <c r="HJX52" s="1142"/>
      <c r="HJY52" s="1142"/>
      <c r="HJZ52" s="1142"/>
      <c r="HKA52" s="1142"/>
      <c r="HKB52" s="1142"/>
      <c r="HKC52" s="1167"/>
      <c r="HKD52" s="1167"/>
      <c r="HKE52" s="1167"/>
      <c r="HKF52" s="1167"/>
      <c r="HKG52" s="1167"/>
      <c r="HKH52" s="1167"/>
      <c r="HKI52" s="1167"/>
      <c r="HKJ52" s="1167"/>
      <c r="HKK52" s="1167"/>
      <c r="HKL52" s="1142"/>
      <c r="HKM52" s="1142"/>
      <c r="HKN52" s="1142"/>
      <c r="HKO52" s="1142"/>
      <c r="HKP52" s="1142"/>
      <c r="HKQ52" s="1142"/>
      <c r="HKR52" s="1142"/>
      <c r="HKS52" s="1142"/>
      <c r="HKT52" s="1142"/>
      <c r="HKU52" s="1142"/>
      <c r="HKV52" s="1142"/>
      <c r="HKW52" s="1142"/>
      <c r="HKX52" s="1142"/>
      <c r="HKY52" s="1142"/>
      <c r="HKZ52" s="1142"/>
      <c r="HLA52" s="1142"/>
      <c r="HLB52" s="1142"/>
      <c r="HLC52" s="1142"/>
      <c r="HLD52" s="1142"/>
      <c r="HLE52" s="1142"/>
      <c r="HLF52" s="1142"/>
      <c r="HLG52" s="1142"/>
      <c r="HLH52" s="1142"/>
      <c r="HLI52" s="1167"/>
      <c r="HLJ52" s="1167"/>
      <c r="HLK52" s="1167"/>
      <c r="HLL52" s="1167"/>
      <c r="HLM52" s="1167"/>
      <c r="HLN52" s="1167"/>
      <c r="HLO52" s="1167"/>
      <c r="HLP52" s="1167"/>
      <c r="HLQ52" s="1167"/>
      <c r="HLR52" s="1142"/>
      <c r="HLS52" s="1142"/>
      <c r="HLT52" s="1142"/>
      <c r="HLU52" s="1142"/>
      <c r="HLV52" s="1142"/>
      <c r="HLW52" s="1142"/>
      <c r="HLX52" s="1142"/>
      <c r="HLY52" s="1142"/>
      <c r="HLZ52" s="1142"/>
      <c r="HMA52" s="1142"/>
      <c r="HMB52" s="1142"/>
      <c r="HMC52" s="1142"/>
      <c r="HMD52" s="1142"/>
      <c r="HME52" s="1142"/>
      <c r="HMF52" s="1142"/>
      <c r="HMG52" s="1142"/>
      <c r="HMH52" s="1142"/>
      <c r="HMI52" s="1142"/>
      <c r="HMJ52" s="1142"/>
      <c r="HMK52" s="1142"/>
      <c r="HML52" s="1142"/>
      <c r="HMM52" s="1142"/>
      <c r="HMN52" s="1142"/>
      <c r="HMO52" s="1167"/>
      <c r="HMP52" s="1167"/>
      <c r="HMQ52" s="1167"/>
      <c r="HMR52" s="1167"/>
      <c r="HMS52" s="1167"/>
      <c r="HMT52" s="1167"/>
      <c r="HMU52" s="1167"/>
      <c r="HMV52" s="1167"/>
      <c r="HMW52" s="1167"/>
      <c r="HMX52" s="1142"/>
      <c r="HMY52" s="1142"/>
      <c r="HMZ52" s="1142"/>
      <c r="HNA52" s="1142"/>
      <c r="HNB52" s="1142"/>
      <c r="HNC52" s="1142"/>
      <c r="HND52" s="1142"/>
      <c r="HNE52" s="1142"/>
      <c r="HNF52" s="1142"/>
      <c r="HNG52" s="1142"/>
      <c r="HNH52" s="1142"/>
      <c r="HNI52" s="1142"/>
      <c r="HNJ52" s="1142"/>
      <c r="HNK52" s="1142"/>
      <c r="HNL52" s="1142"/>
      <c r="HNM52" s="1142"/>
      <c r="HNN52" s="1142"/>
      <c r="HNO52" s="1142"/>
      <c r="HNP52" s="1142"/>
      <c r="HNQ52" s="1142"/>
      <c r="HNR52" s="1142"/>
      <c r="HNS52" s="1142"/>
      <c r="HNT52" s="1142"/>
      <c r="HNU52" s="1167"/>
      <c r="HNV52" s="1167"/>
      <c r="HNW52" s="1167"/>
      <c r="HNX52" s="1167"/>
      <c r="HNY52" s="1167"/>
      <c r="HNZ52" s="1167"/>
      <c r="HOA52" s="1167"/>
      <c r="HOB52" s="1167"/>
      <c r="HOC52" s="1167"/>
      <c r="HOD52" s="1142"/>
      <c r="HOE52" s="1142"/>
      <c r="HOF52" s="1142"/>
      <c r="HOG52" s="1142"/>
      <c r="HOH52" s="1142"/>
      <c r="HOI52" s="1142"/>
      <c r="HOJ52" s="1142"/>
      <c r="HOK52" s="1142"/>
      <c r="HOL52" s="1142"/>
      <c r="HOM52" s="1142"/>
      <c r="HON52" s="1142"/>
      <c r="HOO52" s="1142"/>
      <c r="HOP52" s="1142"/>
      <c r="HOQ52" s="1142"/>
      <c r="HOR52" s="1142"/>
      <c r="HOS52" s="1142"/>
      <c r="HOT52" s="1142"/>
      <c r="HOU52" s="1142"/>
      <c r="HOV52" s="1142"/>
      <c r="HOW52" s="1142"/>
      <c r="HOX52" s="1142"/>
      <c r="HOY52" s="1142"/>
      <c r="HOZ52" s="1142"/>
      <c r="HPA52" s="1167"/>
      <c r="HPB52" s="1167"/>
      <c r="HPC52" s="1167"/>
      <c r="HPD52" s="1167"/>
      <c r="HPE52" s="1167"/>
      <c r="HPF52" s="1167"/>
      <c r="HPG52" s="1167"/>
      <c r="HPH52" s="1167"/>
      <c r="HPI52" s="1167"/>
      <c r="HPJ52" s="1142"/>
      <c r="HPK52" s="1142"/>
      <c r="HPL52" s="1142"/>
      <c r="HPM52" s="1142"/>
      <c r="HPN52" s="1142"/>
      <c r="HPO52" s="1142"/>
      <c r="HPP52" s="1142"/>
      <c r="HPQ52" s="1142"/>
      <c r="HPR52" s="1142"/>
      <c r="HPS52" s="1142"/>
      <c r="HPT52" s="1142"/>
      <c r="HPU52" s="1142"/>
      <c r="HPV52" s="1142"/>
      <c r="HPW52" s="1142"/>
      <c r="HPX52" s="1142"/>
      <c r="HPY52" s="1142"/>
      <c r="HPZ52" s="1142"/>
      <c r="HQA52" s="1142"/>
      <c r="HQB52" s="1142"/>
      <c r="HQC52" s="1142"/>
      <c r="HQD52" s="1142"/>
      <c r="HQE52" s="1142"/>
      <c r="HQF52" s="1142"/>
      <c r="HQG52" s="1167"/>
      <c r="HQH52" s="1167"/>
      <c r="HQI52" s="1167"/>
      <c r="HQJ52" s="1167"/>
      <c r="HQK52" s="1167"/>
      <c r="HQL52" s="1167"/>
      <c r="HQM52" s="1167"/>
      <c r="HQN52" s="1167"/>
      <c r="HQO52" s="1167"/>
      <c r="HQP52" s="1142"/>
      <c r="HQQ52" s="1142"/>
      <c r="HQR52" s="1142"/>
      <c r="HQS52" s="1142"/>
      <c r="HQT52" s="1142"/>
      <c r="HQU52" s="1142"/>
      <c r="HQV52" s="1142"/>
      <c r="HQW52" s="1142"/>
      <c r="HQX52" s="1142"/>
      <c r="HQY52" s="1142"/>
      <c r="HQZ52" s="1142"/>
      <c r="HRA52" s="1142"/>
      <c r="HRB52" s="1142"/>
      <c r="HRC52" s="1142"/>
      <c r="HRD52" s="1142"/>
      <c r="HRE52" s="1142"/>
      <c r="HRF52" s="1142"/>
      <c r="HRG52" s="1142"/>
      <c r="HRH52" s="1142"/>
      <c r="HRI52" s="1142"/>
      <c r="HRJ52" s="1142"/>
      <c r="HRK52" s="1142"/>
      <c r="HRL52" s="1142"/>
      <c r="HRM52" s="1167"/>
      <c r="HRN52" s="1167"/>
      <c r="HRO52" s="1167"/>
      <c r="HRP52" s="1167"/>
      <c r="HRQ52" s="1167"/>
      <c r="HRR52" s="1167"/>
      <c r="HRS52" s="1167"/>
      <c r="HRT52" s="1167"/>
      <c r="HRU52" s="1167"/>
      <c r="HRV52" s="1142"/>
      <c r="HRW52" s="1142"/>
      <c r="HRX52" s="1142"/>
      <c r="HRY52" s="1142"/>
      <c r="HRZ52" s="1142"/>
      <c r="HSA52" s="1142"/>
      <c r="HSB52" s="1142"/>
      <c r="HSC52" s="1142"/>
      <c r="HSD52" s="1142"/>
      <c r="HSE52" s="1142"/>
      <c r="HSF52" s="1142"/>
      <c r="HSG52" s="1142"/>
      <c r="HSH52" s="1142"/>
      <c r="HSI52" s="1142"/>
      <c r="HSJ52" s="1142"/>
      <c r="HSK52" s="1142"/>
      <c r="HSL52" s="1142"/>
      <c r="HSM52" s="1142"/>
      <c r="HSN52" s="1142"/>
      <c r="HSO52" s="1142"/>
      <c r="HSP52" s="1142"/>
      <c r="HSQ52" s="1142"/>
      <c r="HSR52" s="1142"/>
      <c r="HSS52" s="1167"/>
      <c r="HST52" s="1167"/>
      <c r="HSU52" s="1167"/>
      <c r="HSV52" s="1167"/>
      <c r="HSW52" s="1167"/>
      <c r="HSX52" s="1167"/>
      <c r="HSY52" s="1167"/>
      <c r="HSZ52" s="1167"/>
      <c r="HTA52" s="1167"/>
      <c r="HTB52" s="1142"/>
      <c r="HTC52" s="1142"/>
      <c r="HTD52" s="1142"/>
      <c r="HTE52" s="1142"/>
      <c r="HTF52" s="1142"/>
      <c r="HTG52" s="1142"/>
      <c r="HTH52" s="1142"/>
      <c r="HTI52" s="1142"/>
      <c r="HTJ52" s="1142"/>
      <c r="HTK52" s="1142"/>
      <c r="HTL52" s="1142"/>
      <c r="HTM52" s="1142"/>
      <c r="HTN52" s="1142"/>
      <c r="HTO52" s="1142"/>
      <c r="HTP52" s="1142"/>
      <c r="HTQ52" s="1142"/>
      <c r="HTR52" s="1142"/>
      <c r="HTS52" s="1142"/>
      <c r="HTT52" s="1142"/>
      <c r="HTU52" s="1142"/>
      <c r="HTV52" s="1142"/>
      <c r="HTW52" s="1142"/>
      <c r="HTX52" s="1142"/>
      <c r="HTY52" s="1167"/>
      <c r="HTZ52" s="1167"/>
      <c r="HUA52" s="1167"/>
      <c r="HUB52" s="1167"/>
      <c r="HUC52" s="1167"/>
      <c r="HUD52" s="1167"/>
      <c r="HUE52" s="1167"/>
      <c r="HUF52" s="1167"/>
      <c r="HUG52" s="1167"/>
      <c r="HUH52" s="1142"/>
      <c r="HUI52" s="1142"/>
      <c r="HUJ52" s="1142"/>
      <c r="HUK52" s="1142"/>
      <c r="HUL52" s="1142"/>
      <c r="HUM52" s="1142"/>
      <c r="HUN52" s="1142"/>
      <c r="HUO52" s="1142"/>
      <c r="HUP52" s="1142"/>
      <c r="HUQ52" s="1142"/>
      <c r="HUR52" s="1142"/>
      <c r="HUS52" s="1142"/>
      <c r="HUT52" s="1142"/>
      <c r="HUU52" s="1142"/>
      <c r="HUV52" s="1142"/>
      <c r="HUW52" s="1142"/>
      <c r="HUX52" s="1142"/>
      <c r="HUY52" s="1142"/>
      <c r="HUZ52" s="1142"/>
      <c r="HVA52" s="1142"/>
      <c r="HVB52" s="1142"/>
      <c r="HVC52" s="1142"/>
      <c r="HVD52" s="1142"/>
      <c r="HVE52" s="1167"/>
      <c r="HVF52" s="1167"/>
      <c r="HVG52" s="1167"/>
      <c r="HVH52" s="1167"/>
      <c r="HVI52" s="1167"/>
      <c r="HVJ52" s="1167"/>
      <c r="HVK52" s="1167"/>
      <c r="HVL52" s="1167"/>
      <c r="HVM52" s="1167"/>
      <c r="HVN52" s="1142"/>
      <c r="HVO52" s="1142"/>
      <c r="HVP52" s="1142"/>
      <c r="HVQ52" s="1142"/>
      <c r="HVR52" s="1142"/>
      <c r="HVS52" s="1142"/>
      <c r="HVT52" s="1142"/>
      <c r="HVU52" s="1142"/>
      <c r="HVV52" s="1142"/>
      <c r="HVW52" s="1142"/>
      <c r="HVX52" s="1142"/>
      <c r="HVY52" s="1142"/>
      <c r="HVZ52" s="1142"/>
      <c r="HWA52" s="1142"/>
      <c r="HWB52" s="1142"/>
      <c r="HWC52" s="1142"/>
      <c r="HWD52" s="1142"/>
      <c r="HWE52" s="1142"/>
      <c r="HWF52" s="1142"/>
      <c r="HWG52" s="1142"/>
      <c r="HWH52" s="1142"/>
      <c r="HWI52" s="1142"/>
      <c r="HWJ52" s="1142"/>
      <c r="HWK52" s="1167"/>
      <c r="HWL52" s="1167"/>
      <c r="HWM52" s="1167"/>
      <c r="HWN52" s="1167"/>
      <c r="HWO52" s="1167"/>
      <c r="HWP52" s="1167"/>
      <c r="HWQ52" s="1167"/>
      <c r="HWR52" s="1167"/>
      <c r="HWS52" s="1167"/>
      <c r="HWT52" s="1142"/>
      <c r="HWU52" s="1142"/>
      <c r="HWV52" s="1142"/>
      <c r="HWW52" s="1142"/>
      <c r="HWX52" s="1142"/>
      <c r="HWY52" s="1142"/>
      <c r="HWZ52" s="1142"/>
      <c r="HXA52" s="1142"/>
      <c r="HXB52" s="1142"/>
      <c r="HXC52" s="1142"/>
      <c r="HXD52" s="1142"/>
      <c r="HXE52" s="1142"/>
      <c r="HXF52" s="1142"/>
      <c r="HXG52" s="1142"/>
      <c r="HXH52" s="1142"/>
      <c r="HXI52" s="1142"/>
      <c r="HXJ52" s="1142"/>
      <c r="HXK52" s="1142"/>
      <c r="HXL52" s="1142"/>
      <c r="HXM52" s="1142"/>
      <c r="HXN52" s="1142"/>
      <c r="HXO52" s="1142"/>
      <c r="HXP52" s="1142"/>
      <c r="HXQ52" s="1167"/>
      <c r="HXR52" s="1167"/>
      <c r="HXS52" s="1167"/>
      <c r="HXT52" s="1167"/>
      <c r="HXU52" s="1167"/>
      <c r="HXV52" s="1167"/>
      <c r="HXW52" s="1167"/>
      <c r="HXX52" s="1167"/>
      <c r="HXY52" s="1167"/>
      <c r="HXZ52" s="1142"/>
      <c r="HYA52" s="1142"/>
      <c r="HYB52" s="1142"/>
      <c r="HYC52" s="1142"/>
      <c r="HYD52" s="1142"/>
      <c r="HYE52" s="1142"/>
      <c r="HYF52" s="1142"/>
      <c r="HYG52" s="1142"/>
      <c r="HYH52" s="1142"/>
      <c r="HYI52" s="1142"/>
      <c r="HYJ52" s="1142"/>
      <c r="HYK52" s="1142"/>
      <c r="HYL52" s="1142"/>
      <c r="HYM52" s="1142"/>
      <c r="HYN52" s="1142"/>
      <c r="HYO52" s="1142"/>
      <c r="HYP52" s="1142"/>
      <c r="HYQ52" s="1142"/>
      <c r="HYR52" s="1142"/>
      <c r="HYS52" s="1142"/>
      <c r="HYT52" s="1142"/>
      <c r="HYU52" s="1142"/>
      <c r="HYV52" s="1142"/>
      <c r="HYW52" s="1167"/>
      <c r="HYX52" s="1167"/>
      <c r="HYY52" s="1167"/>
      <c r="HYZ52" s="1167"/>
      <c r="HZA52" s="1167"/>
      <c r="HZB52" s="1167"/>
      <c r="HZC52" s="1167"/>
      <c r="HZD52" s="1167"/>
      <c r="HZE52" s="1167"/>
      <c r="HZF52" s="1142"/>
      <c r="HZG52" s="1142"/>
      <c r="HZH52" s="1142"/>
      <c r="HZI52" s="1142"/>
      <c r="HZJ52" s="1142"/>
      <c r="HZK52" s="1142"/>
      <c r="HZL52" s="1142"/>
      <c r="HZM52" s="1142"/>
      <c r="HZN52" s="1142"/>
      <c r="HZO52" s="1142"/>
      <c r="HZP52" s="1142"/>
      <c r="HZQ52" s="1142"/>
      <c r="HZR52" s="1142"/>
      <c r="HZS52" s="1142"/>
      <c r="HZT52" s="1142"/>
      <c r="HZU52" s="1142"/>
      <c r="HZV52" s="1142"/>
      <c r="HZW52" s="1142"/>
      <c r="HZX52" s="1142"/>
      <c r="HZY52" s="1142"/>
      <c r="HZZ52" s="1142"/>
      <c r="IAA52" s="1142"/>
      <c r="IAB52" s="1142"/>
      <c r="IAC52" s="1167"/>
      <c r="IAD52" s="1167"/>
      <c r="IAE52" s="1167"/>
      <c r="IAF52" s="1167"/>
      <c r="IAG52" s="1167"/>
      <c r="IAH52" s="1167"/>
      <c r="IAI52" s="1167"/>
      <c r="IAJ52" s="1167"/>
      <c r="IAK52" s="1167"/>
      <c r="IAL52" s="1142"/>
      <c r="IAM52" s="1142"/>
      <c r="IAN52" s="1142"/>
      <c r="IAO52" s="1142"/>
      <c r="IAP52" s="1142"/>
      <c r="IAQ52" s="1142"/>
      <c r="IAR52" s="1142"/>
      <c r="IAS52" s="1142"/>
      <c r="IAT52" s="1142"/>
      <c r="IAU52" s="1142"/>
      <c r="IAV52" s="1142"/>
      <c r="IAW52" s="1142"/>
      <c r="IAX52" s="1142"/>
      <c r="IAY52" s="1142"/>
      <c r="IAZ52" s="1142"/>
      <c r="IBA52" s="1142"/>
      <c r="IBB52" s="1142"/>
      <c r="IBC52" s="1142"/>
      <c r="IBD52" s="1142"/>
      <c r="IBE52" s="1142"/>
      <c r="IBF52" s="1142"/>
      <c r="IBG52" s="1142"/>
      <c r="IBH52" s="1142"/>
      <c r="IBI52" s="1167"/>
      <c r="IBJ52" s="1167"/>
      <c r="IBK52" s="1167"/>
      <c r="IBL52" s="1167"/>
      <c r="IBM52" s="1167"/>
      <c r="IBN52" s="1167"/>
      <c r="IBO52" s="1167"/>
      <c r="IBP52" s="1167"/>
      <c r="IBQ52" s="1167"/>
      <c r="IBR52" s="1142"/>
      <c r="IBS52" s="1142"/>
      <c r="IBT52" s="1142"/>
      <c r="IBU52" s="1142"/>
      <c r="IBV52" s="1142"/>
      <c r="IBW52" s="1142"/>
      <c r="IBX52" s="1142"/>
      <c r="IBY52" s="1142"/>
      <c r="IBZ52" s="1142"/>
      <c r="ICA52" s="1142"/>
      <c r="ICB52" s="1142"/>
      <c r="ICC52" s="1142"/>
      <c r="ICD52" s="1142"/>
      <c r="ICE52" s="1142"/>
      <c r="ICF52" s="1142"/>
      <c r="ICG52" s="1142"/>
      <c r="ICH52" s="1142"/>
      <c r="ICI52" s="1142"/>
      <c r="ICJ52" s="1142"/>
      <c r="ICK52" s="1142"/>
      <c r="ICL52" s="1142"/>
      <c r="ICM52" s="1142"/>
      <c r="ICN52" s="1142"/>
      <c r="ICO52" s="1167"/>
      <c r="ICP52" s="1167"/>
      <c r="ICQ52" s="1167"/>
      <c r="ICR52" s="1167"/>
      <c r="ICS52" s="1167"/>
      <c r="ICT52" s="1167"/>
      <c r="ICU52" s="1167"/>
      <c r="ICV52" s="1167"/>
      <c r="ICW52" s="1167"/>
      <c r="ICX52" s="1142"/>
      <c r="ICY52" s="1142"/>
      <c r="ICZ52" s="1142"/>
      <c r="IDA52" s="1142"/>
      <c r="IDB52" s="1142"/>
      <c r="IDC52" s="1142"/>
      <c r="IDD52" s="1142"/>
      <c r="IDE52" s="1142"/>
      <c r="IDF52" s="1142"/>
      <c r="IDG52" s="1142"/>
      <c r="IDH52" s="1142"/>
      <c r="IDI52" s="1142"/>
      <c r="IDJ52" s="1142"/>
      <c r="IDK52" s="1142"/>
      <c r="IDL52" s="1142"/>
      <c r="IDM52" s="1142"/>
      <c r="IDN52" s="1142"/>
      <c r="IDO52" s="1142"/>
      <c r="IDP52" s="1142"/>
      <c r="IDQ52" s="1142"/>
      <c r="IDR52" s="1142"/>
      <c r="IDS52" s="1142"/>
      <c r="IDT52" s="1142"/>
      <c r="IDU52" s="1167"/>
      <c r="IDV52" s="1167"/>
      <c r="IDW52" s="1167"/>
      <c r="IDX52" s="1167"/>
      <c r="IDY52" s="1167"/>
      <c r="IDZ52" s="1167"/>
      <c r="IEA52" s="1167"/>
      <c r="IEB52" s="1167"/>
      <c r="IEC52" s="1167"/>
      <c r="IED52" s="1142"/>
      <c r="IEE52" s="1142"/>
      <c r="IEF52" s="1142"/>
      <c r="IEG52" s="1142"/>
      <c r="IEH52" s="1142"/>
      <c r="IEI52" s="1142"/>
      <c r="IEJ52" s="1142"/>
      <c r="IEK52" s="1142"/>
      <c r="IEL52" s="1142"/>
      <c r="IEM52" s="1142"/>
      <c r="IEN52" s="1142"/>
      <c r="IEO52" s="1142"/>
      <c r="IEP52" s="1142"/>
      <c r="IEQ52" s="1142"/>
      <c r="IER52" s="1142"/>
      <c r="IES52" s="1142"/>
      <c r="IET52" s="1142"/>
      <c r="IEU52" s="1142"/>
      <c r="IEV52" s="1142"/>
      <c r="IEW52" s="1142"/>
      <c r="IEX52" s="1142"/>
      <c r="IEY52" s="1142"/>
      <c r="IEZ52" s="1142"/>
      <c r="IFA52" s="1167"/>
      <c r="IFB52" s="1167"/>
      <c r="IFC52" s="1167"/>
      <c r="IFD52" s="1167"/>
      <c r="IFE52" s="1167"/>
      <c r="IFF52" s="1167"/>
      <c r="IFG52" s="1167"/>
      <c r="IFH52" s="1167"/>
      <c r="IFI52" s="1167"/>
      <c r="IFJ52" s="1142"/>
      <c r="IFK52" s="1142"/>
      <c r="IFL52" s="1142"/>
      <c r="IFM52" s="1142"/>
      <c r="IFN52" s="1142"/>
      <c r="IFO52" s="1142"/>
      <c r="IFP52" s="1142"/>
      <c r="IFQ52" s="1142"/>
      <c r="IFR52" s="1142"/>
      <c r="IFS52" s="1142"/>
      <c r="IFT52" s="1142"/>
      <c r="IFU52" s="1142"/>
      <c r="IFV52" s="1142"/>
      <c r="IFW52" s="1142"/>
      <c r="IFX52" s="1142"/>
      <c r="IFY52" s="1142"/>
      <c r="IFZ52" s="1142"/>
      <c r="IGA52" s="1142"/>
      <c r="IGB52" s="1142"/>
      <c r="IGC52" s="1142"/>
      <c r="IGD52" s="1142"/>
      <c r="IGE52" s="1142"/>
      <c r="IGF52" s="1142"/>
      <c r="IGG52" s="1167"/>
      <c r="IGH52" s="1167"/>
      <c r="IGI52" s="1167"/>
      <c r="IGJ52" s="1167"/>
      <c r="IGK52" s="1167"/>
      <c r="IGL52" s="1167"/>
      <c r="IGM52" s="1167"/>
      <c r="IGN52" s="1167"/>
      <c r="IGO52" s="1167"/>
      <c r="IGP52" s="1142"/>
      <c r="IGQ52" s="1142"/>
      <c r="IGR52" s="1142"/>
      <c r="IGS52" s="1142"/>
      <c r="IGT52" s="1142"/>
      <c r="IGU52" s="1142"/>
      <c r="IGV52" s="1142"/>
      <c r="IGW52" s="1142"/>
      <c r="IGX52" s="1142"/>
      <c r="IGY52" s="1142"/>
      <c r="IGZ52" s="1142"/>
      <c r="IHA52" s="1142"/>
      <c r="IHB52" s="1142"/>
      <c r="IHC52" s="1142"/>
      <c r="IHD52" s="1142"/>
      <c r="IHE52" s="1142"/>
      <c r="IHF52" s="1142"/>
      <c r="IHG52" s="1142"/>
      <c r="IHH52" s="1142"/>
      <c r="IHI52" s="1142"/>
      <c r="IHJ52" s="1142"/>
      <c r="IHK52" s="1142"/>
      <c r="IHL52" s="1142"/>
      <c r="IHM52" s="1167"/>
      <c r="IHN52" s="1167"/>
      <c r="IHO52" s="1167"/>
      <c r="IHP52" s="1167"/>
      <c r="IHQ52" s="1167"/>
      <c r="IHR52" s="1167"/>
      <c r="IHS52" s="1167"/>
      <c r="IHT52" s="1167"/>
      <c r="IHU52" s="1167"/>
      <c r="IHV52" s="1142"/>
      <c r="IHW52" s="1142"/>
      <c r="IHX52" s="1142"/>
      <c r="IHY52" s="1142"/>
      <c r="IHZ52" s="1142"/>
      <c r="IIA52" s="1142"/>
      <c r="IIB52" s="1142"/>
      <c r="IIC52" s="1142"/>
      <c r="IID52" s="1142"/>
      <c r="IIE52" s="1142"/>
      <c r="IIF52" s="1142"/>
      <c r="IIG52" s="1142"/>
      <c r="IIH52" s="1142"/>
      <c r="III52" s="1142"/>
      <c r="IIJ52" s="1142"/>
      <c r="IIK52" s="1142"/>
      <c r="IIL52" s="1142"/>
      <c r="IIM52" s="1142"/>
      <c r="IIN52" s="1142"/>
      <c r="IIO52" s="1142"/>
      <c r="IIP52" s="1142"/>
      <c r="IIQ52" s="1142"/>
      <c r="IIR52" s="1142"/>
      <c r="IIS52" s="1167"/>
      <c r="IIT52" s="1167"/>
      <c r="IIU52" s="1167"/>
      <c r="IIV52" s="1167"/>
      <c r="IIW52" s="1167"/>
      <c r="IIX52" s="1167"/>
      <c r="IIY52" s="1167"/>
      <c r="IIZ52" s="1167"/>
      <c r="IJA52" s="1167"/>
      <c r="IJB52" s="1142"/>
      <c r="IJC52" s="1142"/>
      <c r="IJD52" s="1142"/>
      <c r="IJE52" s="1142"/>
      <c r="IJF52" s="1142"/>
      <c r="IJG52" s="1142"/>
      <c r="IJH52" s="1142"/>
      <c r="IJI52" s="1142"/>
      <c r="IJJ52" s="1142"/>
      <c r="IJK52" s="1142"/>
      <c r="IJL52" s="1142"/>
      <c r="IJM52" s="1142"/>
      <c r="IJN52" s="1142"/>
      <c r="IJO52" s="1142"/>
      <c r="IJP52" s="1142"/>
      <c r="IJQ52" s="1142"/>
      <c r="IJR52" s="1142"/>
      <c r="IJS52" s="1142"/>
      <c r="IJT52" s="1142"/>
      <c r="IJU52" s="1142"/>
      <c r="IJV52" s="1142"/>
      <c r="IJW52" s="1142"/>
      <c r="IJX52" s="1142"/>
      <c r="IJY52" s="1167"/>
      <c r="IJZ52" s="1167"/>
      <c r="IKA52" s="1167"/>
      <c r="IKB52" s="1167"/>
      <c r="IKC52" s="1167"/>
      <c r="IKD52" s="1167"/>
      <c r="IKE52" s="1167"/>
      <c r="IKF52" s="1167"/>
      <c r="IKG52" s="1167"/>
      <c r="IKH52" s="1142"/>
      <c r="IKI52" s="1142"/>
      <c r="IKJ52" s="1142"/>
      <c r="IKK52" s="1142"/>
      <c r="IKL52" s="1142"/>
      <c r="IKM52" s="1142"/>
      <c r="IKN52" s="1142"/>
      <c r="IKO52" s="1142"/>
      <c r="IKP52" s="1142"/>
      <c r="IKQ52" s="1142"/>
      <c r="IKR52" s="1142"/>
      <c r="IKS52" s="1142"/>
      <c r="IKT52" s="1142"/>
      <c r="IKU52" s="1142"/>
      <c r="IKV52" s="1142"/>
      <c r="IKW52" s="1142"/>
      <c r="IKX52" s="1142"/>
      <c r="IKY52" s="1142"/>
      <c r="IKZ52" s="1142"/>
      <c r="ILA52" s="1142"/>
      <c r="ILB52" s="1142"/>
      <c r="ILC52" s="1142"/>
      <c r="ILD52" s="1142"/>
      <c r="ILE52" s="1167"/>
      <c r="ILF52" s="1167"/>
      <c r="ILG52" s="1167"/>
      <c r="ILH52" s="1167"/>
      <c r="ILI52" s="1167"/>
      <c r="ILJ52" s="1167"/>
      <c r="ILK52" s="1167"/>
      <c r="ILL52" s="1167"/>
      <c r="ILM52" s="1167"/>
      <c r="ILN52" s="1142"/>
      <c r="ILO52" s="1142"/>
      <c r="ILP52" s="1142"/>
      <c r="ILQ52" s="1142"/>
      <c r="ILR52" s="1142"/>
      <c r="ILS52" s="1142"/>
      <c r="ILT52" s="1142"/>
      <c r="ILU52" s="1142"/>
      <c r="ILV52" s="1142"/>
      <c r="ILW52" s="1142"/>
      <c r="ILX52" s="1142"/>
      <c r="ILY52" s="1142"/>
      <c r="ILZ52" s="1142"/>
      <c r="IMA52" s="1142"/>
      <c r="IMB52" s="1142"/>
      <c r="IMC52" s="1142"/>
      <c r="IMD52" s="1142"/>
      <c r="IME52" s="1142"/>
      <c r="IMF52" s="1142"/>
      <c r="IMG52" s="1142"/>
      <c r="IMH52" s="1142"/>
      <c r="IMI52" s="1142"/>
      <c r="IMJ52" s="1142"/>
      <c r="IMK52" s="1167"/>
      <c r="IML52" s="1167"/>
      <c r="IMM52" s="1167"/>
      <c r="IMN52" s="1167"/>
      <c r="IMO52" s="1167"/>
      <c r="IMP52" s="1167"/>
      <c r="IMQ52" s="1167"/>
      <c r="IMR52" s="1167"/>
      <c r="IMS52" s="1167"/>
      <c r="IMT52" s="1142"/>
      <c r="IMU52" s="1142"/>
      <c r="IMV52" s="1142"/>
      <c r="IMW52" s="1142"/>
      <c r="IMX52" s="1142"/>
      <c r="IMY52" s="1142"/>
      <c r="IMZ52" s="1142"/>
      <c r="INA52" s="1142"/>
      <c r="INB52" s="1142"/>
      <c r="INC52" s="1142"/>
      <c r="IND52" s="1142"/>
      <c r="INE52" s="1142"/>
      <c r="INF52" s="1142"/>
      <c r="ING52" s="1142"/>
      <c r="INH52" s="1142"/>
      <c r="INI52" s="1142"/>
      <c r="INJ52" s="1142"/>
      <c r="INK52" s="1142"/>
      <c r="INL52" s="1142"/>
      <c r="INM52" s="1142"/>
      <c r="INN52" s="1142"/>
      <c r="INO52" s="1142"/>
      <c r="INP52" s="1142"/>
      <c r="INQ52" s="1167"/>
      <c r="INR52" s="1167"/>
      <c r="INS52" s="1167"/>
      <c r="INT52" s="1167"/>
      <c r="INU52" s="1167"/>
      <c r="INV52" s="1167"/>
      <c r="INW52" s="1167"/>
      <c r="INX52" s="1167"/>
      <c r="INY52" s="1167"/>
      <c r="INZ52" s="1142"/>
      <c r="IOA52" s="1142"/>
      <c r="IOB52" s="1142"/>
      <c r="IOC52" s="1142"/>
      <c r="IOD52" s="1142"/>
      <c r="IOE52" s="1142"/>
      <c r="IOF52" s="1142"/>
      <c r="IOG52" s="1142"/>
      <c r="IOH52" s="1142"/>
      <c r="IOI52" s="1142"/>
      <c r="IOJ52" s="1142"/>
      <c r="IOK52" s="1142"/>
      <c r="IOL52" s="1142"/>
      <c r="IOM52" s="1142"/>
      <c r="ION52" s="1142"/>
      <c r="IOO52" s="1142"/>
      <c r="IOP52" s="1142"/>
      <c r="IOQ52" s="1142"/>
      <c r="IOR52" s="1142"/>
      <c r="IOS52" s="1142"/>
      <c r="IOT52" s="1142"/>
      <c r="IOU52" s="1142"/>
      <c r="IOV52" s="1142"/>
      <c r="IOW52" s="1167"/>
      <c r="IOX52" s="1167"/>
      <c r="IOY52" s="1167"/>
      <c r="IOZ52" s="1167"/>
      <c r="IPA52" s="1167"/>
      <c r="IPB52" s="1167"/>
      <c r="IPC52" s="1167"/>
      <c r="IPD52" s="1167"/>
      <c r="IPE52" s="1167"/>
      <c r="IPF52" s="1142"/>
      <c r="IPG52" s="1142"/>
      <c r="IPH52" s="1142"/>
      <c r="IPI52" s="1142"/>
      <c r="IPJ52" s="1142"/>
      <c r="IPK52" s="1142"/>
      <c r="IPL52" s="1142"/>
      <c r="IPM52" s="1142"/>
      <c r="IPN52" s="1142"/>
      <c r="IPO52" s="1142"/>
      <c r="IPP52" s="1142"/>
      <c r="IPQ52" s="1142"/>
      <c r="IPR52" s="1142"/>
      <c r="IPS52" s="1142"/>
      <c r="IPT52" s="1142"/>
      <c r="IPU52" s="1142"/>
      <c r="IPV52" s="1142"/>
      <c r="IPW52" s="1142"/>
      <c r="IPX52" s="1142"/>
      <c r="IPY52" s="1142"/>
      <c r="IPZ52" s="1142"/>
      <c r="IQA52" s="1142"/>
      <c r="IQB52" s="1142"/>
      <c r="IQC52" s="1167"/>
      <c r="IQD52" s="1167"/>
      <c r="IQE52" s="1167"/>
      <c r="IQF52" s="1167"/>
      <c r="IQG52" s="1167"/>
      <c r="IQH52" s="1167"/>
      <c r="IQI52" s="1167"/>
      <c r="IQJ52" s="1167"/>
      <c r="IQK52" s="1167"/>
      <c r="IQL52" s="1142"/>
      <c r="IQM52" s="1142"/>
      <c r="IQN52" s="1142"/>
      <c r="IQO52" s="1142"/>
      <c r="IQP52" s="1142"/>
      <c r="IQQ52" s="1142"/>
      <c r="IQR52" s="1142"/>
      <c r="IQS52" s="1142"/>
      <c r="IQT52" s="1142"/>
      <c r="IQU52" s="1142"/>
      <c r="IQV52" s="1142"/>
      <c r="IQW52" s="1142"/>
      <c r="IQX52" s="1142"/>
      <c r="IQY52" s="1142"/>
      <c r="IQZ52" s="1142"/>
      <c r="IRA52" s="1142"/>
      <c r="IRB52" s="1142"/>
      <c r="IRC52" s="1142"/>
      <c r="IRD52" s="1142"/>
      <c r="IRE52" s="1142"/>
      <c r="IRF52" s="1142"/>
      <c r="IRG52" s="1142"/>
      <c r="IRH52" s="1142"/>
      <c r="IRI52" s="1167"/>
      <c r="IRJ52" s="1167"/>
      <c r="IRK52" s="1167"/>
      <c r="IRL52" s="1167"/>
      <c r="IRM52" s="1167"/>
      <c r="IRN52" s="1167"/>
      <c r="IRO52" s="1167"/>
      <c r="IRP52" s="1167"/>
      <c r="IRQ52" s="1167"/>
      <c r="IRR52" s="1142"/>
      <c r="IRS52" s="1142"/>
      <c r="IRT52" s="1142"/>
      <c r="IRU52" s="1142"/>
      <c r="IRV52" s="1142"/>
      <c r="IRW52" s="1142"/>
      <c r="IRX52" s="1142"/>
      <c r="IRY52" s="1142"/>
      <c r="IRZ52" s="1142"/>
      <c r="ISA52" s="1142"/>
      <c r="ISB52" s="1142"/>
      <c r="ISC52" s="1142"/>
      <c r="ISD52" s="1142"/>
      <c r="ISE52" s="1142"/>
      <c r="ISF52" s="1142"/>
      <c r="ISG52" s="1142"/>
      <c r="ISH52" s="1142"/>
      <c r="ISI52" s="1142"/>
      <c r="ISJ52" s="1142"/>
      <c r="ISK52" s="1142"/>
      <c r="ISL52" s="1142"/>
      <c r="ISM52" s="1142"/>
      <c r="ISN52" s="1142"/>
      <c r="ISO52" s="1167"/>
      <c r="ISP52" s="1167"/>
      <c r="ISQ52" s="1167"/>
      <c r="ISR52" s="1167"/>
      <c r="ISS52" s="1167"/>
      <c r="IST52" s="1167"/>
      <c r="ISU52" s="1167"/>
      <c r="ISV52" s="1167"/>
      <c r="ISW52" s="1167"/>
      <c r="ISX52" s="1142"/>
      <c r="ISY52" s="1142"/>
      <c r="ISZ52" s="1142"/>
      <c r="ITA52" s="1142"/>
      <c r="ITB52" s="1142"/>
      <c r="ITC52" s="1142"/>
      <c r="ITD52" s="1142"/>
      <c r="ITE52" s="1142"/>
      <c r="ITF52" s="1142"/>
      <c r="ITG52" s="1142"/>
      <c r="ITH52" s="1142"/>
      <c r="ITI52" s="1142"/>
      <c r="ITJ52" s="1142"/>
      <c r="ITK52" s="1142"/>
      <c r="ITL52" s="1142"/>
      <c r="ITM52" s="1142"/>
      <c r="ITN52" s="1142"/>
      <c r="ITO52" s="1142"/>
      <c r="ITP52" s="1142"/>
      <c r="ITQ52" s="1142"/>
      <c r="ITR52" s="1142"/>
      <c r="ITS52" s="1142"/>
      <c r="ITT52" s="1142"/>
      <c r="ITU52" s="1167"/>
      <c r="ITV52" s="1167"/>
      <c r="ITW52" s="1167"/>
      <c r="ITX52" s="1167"/>
      <c r="ITY52" s="1167"/>
      <c r="ITZ52" s="1167"/>
      <c r="IUA52" s="1167"/>
      <c r="IUB52" s="1167"/>
      <c r="IUC52" s="1167"/>
      <c r="IUD52" s="1142"/>
      <c r="IUE52" s="1142"/>
      <c r="IUF52" s="1142"/>
      <c r="IUG52" s="1142"/>
      <c r="IUH52" s="1142"/>
      <c r="IUI52" s="1142"/>
      <c r="IUJ52" s="1142"/>
      <c r="IUK52" s="1142"/>
      <c r="IUL52" s="1142"/>
      <c r="IUM52" s="1142"/>
      <c r="IUN52" s="1142"/>
      <c r="IUO52" s="1142"/>
      <c r="IUP52" s="1142"/>
      <c r="IUQ52" s="1142"/>
      <c r="IUR52" s="1142"/>
      <c r="IUS52" s="1142"/>
      <c r="IUT52" s="1142"/>
      <c r="IUU52" s="1142"/>
      <c r="IUV52" s="1142"/>
      <c r="IUW52" s="1142"/>
      <c r="IUX52" s="1142"/>
      <c r="IUY52" s="1142"/>
      <c r="IUZ52" s="1142"/>
      <c r="IVA52" s="1167"/>
      <c r="IVB52" s="1167"/>
      <c r="IVC52" s="1167"/>
      <c r="IVD52" s="1167"/>
      <c r="IVE52" s="1167"/>
      <c r="IVF52" s="1167"/>
      <c r="IVG52" s="1167"/>
      <c r="IVH52" s="1167"/>
      <c r="IVI52" s="1167"/>
      <c r="IVJ52" s="1142"/>
      <c r="IVK52" s="1142"/>
      <c r="IVL52" s="1142"/>
      <c r="IVM52" s="1142"/>
      <c r="IVN52" s="1142"/>
      <c r="IVO52" s="1142"/>
      <c r="IVP52" s="1142"/>
      <c r="IVQ52" s="1142"/>
      <c r="IVR52" s="1142"/>
      <c r="IVS52" s="1142"/>
      <c r="IVT52" s="1142"/>
      <c r="IVU52" s="1142"/>
      <c r="IVV52" s="1142"/>
      <c r="IVW52" s="1142"/>
      <c r="IVX52" s="1142"/>
      <c r="IVY52" s="1142"/>
      <c r="IVZ52" s="1142"/>
      <c r="IWA52" s="1142"/>
      <c r="IWB52" s="1142"/>
      <c r="IWC52" s="1142"/>
      <c r="IWD52" s="1142"/>
      <c r="IWE52" s="1142"/>
      <c r="IWF52" s="1142"/>
      <c r="IWG52" s="1167"/>
      <c r="IWH52" s="1167"/>
      <c r="IWI52" s="1167"/>
      <c r="IWJ52" s="1167"/>
      <c r="IWK52" s="1167"/>
      <c r="IWL52" s="1167"/>
      <c r="IWM52" s="1167"/>
      <c r="IWN52" s="1167"/>
      <c r="IWO52" s="1167"/>
      <c r="IWP52" s="1142"/>
      <c r="IWQ52" s="1142"/>
      <c r="IWR52" s="1142"/>
      <c r="IWS52" s="1142"/>
      <c r="IWT52" s="1142"/>
      <c r="IWU52" s="1142"/>
      <c r="IWV52" s="1142"/>
      <c r="IWW52" s="1142"/>
      <c r="IWX52" s="1142"/>
      <c r="IWY52" s="1142"/>
      <c r="IWZ52" s="1142"/>
      <c r="IXA52" s="1142"/>
      <c r="IXB52" s="1142"/>
      <c r="IXC52" s="1142"/>
      <c r="IXD52" s="1142"/>
      <c r="IXE52" s="1142"/>
      <c r="IXF52" s="1142"/>
      <c r="IXG52" s="1142"/>
      <c r="IXH52" s="1142"/>
      <c r="IXI52" s="1142"/>
      <c r="IXJ52" s="1142"/>
      <c r="IXK52" s="1142"/>
      <c r="IXL52" s="1142"/>
      <c r="IXM52" s="1167"/>
      <c r="IXN52" s="1167"/>
      <c r="IXO52" s="1167"/>
      <c r="IXP52" s="1167"/>
      <c r="IXQ52" s="1167"/>
      <c r="IXR52" s="1167"/>
      <c r="IXS52" s="1167"/>
      <c r="IXT52" s="1167"/>
      <c r="IXU52" s="1167"/>
      <c r="IXV52" s="1142"/>
      <c r="IXW52" s="1142"/>
      <c r="IXX52" s="1142"/>
      <c r="IXY52" s="1142"/>
      <c r="IXZ52" s="1142"/>
      <c r="IYA52" s="1142"/>
      <c r="IYB52" s="1142"/>
      <c r="IYC52" s="1142"/>
      <c r="IYD52" s="1142"/>
      <c r="IYE52" s="1142"/>
      <c r="IYF52" s="1142"/>
      <c r="IYG52" s="1142"/>
      <c r="IYH52" s="1142"/>
      <c r="IYI52" s="1142"/>
      <c r="IYJ52" s="1142"/>
      <c r="IYK52" s="1142"/>
      <c r="IYL52" s="1142"/>
      <c r="IYM52" s="1142"/>
      <c r="IYN52" s="1142"/>
      <c r="IYO52" s="1142"/>
      <c r="IYP52" s="1142"/>
      <c r="IYQ52" s="1142"/>
      <c r="IYR52" s="1142"/>
      <c r="IYS52" s="1167"/>
      <c r="IYT52" s="1167"/>
      <c r="IYU52" s="1167"/>
      <c r="IYV52" s="1167"/>
      <c r="IYW52" s="1167"/>
      <c r="IYX52" s="1167"/>
      <c r="IYY52" s="1167"/>
      <c r="IYZ52" s="1167"/>
      <c r="IZA52" s="1167"/>
      <c r="IZB52" s="1142"/>
      <c r="IZC52" s="1142"/>
      <c r="IZD52" s="1142"/>
      <c r="IZE52" s="1142"/>
      <c r="IZF52" s="1142"/>
      <c r="IZG52" s="1142"/>
      <c r="IZH52" s="1142"/>
      <c r="IZI52" s="1142"/>
      <c r="IZJ52" s="1142"/>
      <c r="IZK52" s="1142"/>
      <c r="IZL52" s="1142"/>
      <c r="IZM52" s="1142"/>
      <c r="IZN52" s="1142"/>
      <c r="IZO52" s="1142"/>
      <c r="IZP52" s="1142"/>
      <c r="IZQ52" s="1142"/>
      <c r="IZR52" s="1142"/>
      <c r="IZS52" s="1142"/>
      <c r="IZT52" s="1142"/>
      <c r="IZU52" s="1142"/>
      <c r="IZV52" s="1142"/>
      <c r="IZW52" s="1142"/>
      <c r="IZX52" s="1142"/>
      <c r="IZY52" s="1167"/>
      <c r="IZZ52" s="1167"/>
      <c r="JAA52" s="1167"/>
      <c r="JAB52" s="1167"/>
      <c r="JAC52" s="1167"/>
      <c r="JAD52" s="1167"/>
      <c r="JAE52" s="1167"/>
      <c r="JAF52" s="1167"/>
      <c r="JAG52" s="1167"/>
      <c r="JAH52" s="1142"/>
      <c r="JAI52" s="1142"/>
      <c r="JAJ52" s="1142"/>
      <c r="JAK52" s="1142"/>
      <c r="JAL52" s="1142"/>
      <c r="JAM52" s="1142"/>
      <c r="JAN52" s="1142"/>
      <c r="JAO52" s="1142"/>
      <c r="JAP52" s="1142"/>
      <c r="JAQ52" s="1142"/>
      <c r="JAR52" s="1142"/>
      <c r="JAS52" s="1142"/>
      <c r="JAT52" s="1142"/>
      <c r="JAU52" s="1142"/>
      <c r="JAV52" s="1142"/>
      <c r="JAW52" s="1142"/>
      <c r="JAX52" s="1142"/>
      <c r="JAY52" s="1142"/>
      <c r="JAZ52" s="1142"/>
      <c r="JBA52" s="1142"/>
      <c r="JBB52" s="1142"/>
      <c r="JBC52" s="1142"/>
      <c r="JBD52" s="1142"/>
      <c r="JBE52" s="1167"/>
      <c r="JBF52" s="1167"/>
      <c r="JBG52" s="1167"/>
      <c r="JBH52" s="1167"/>
      <c r="JBI52" s="1167"/>
      <c r="JBJ52" s="1167"/>
      <c r="JBK52" s="1167"/>
      <c r="JBL52" s="1167"/>
      <c r="JBM52" s="1167"/>
      <c r="JBN52" s="1142"/>
      <c r="JBO52" s="1142"/>
      <c r="JBP52" s="1142"/>
      <c r="JBQ52" s="1142"/>
      <c r="JBR52" s="1142"/>
      <c r="JBS52" s="1142"/>
      <c r="JBT52" s="1142"/>
      <c r="JBU52" s="1142"/>
      <c r="JBV52" s="1142"/>
      <c r="JBW52" s="1142"/>
      <c r="JBX52" s="1142"/>
      <c r="JBY52" s="1142"/>
      <c r="JBZ52" s="1142"/>
      <c r="JCA52" s="1142"/>
      <c r="JCB52" s="1142"/>
      <c r="JCC52" s="1142"/>
      <c r="JCD52" s="1142"/>
      <c r="JCE52" s="1142"/>
      <c r="JCF52" s="1142"/>
      <c r="JCG52" s="1142"/>
      <c r="JCH52" s="1142"/>
      <c r="JCI52" s="1142"/>
      <c r="JCJ52" s="1142"/>
      <c r="JCK52" s="1167"/>
      <c r="JCL52" s="1167"/>
      <c r="JCM52" s="1167"/>
      <c r="JCN52" s="1167"/>
      <c r="JCO52" s="1167"/>
      <c r="JCP52" s="1167"/>
      <c r="JCQ52" s="1167"/>
      <c r="JCR52" s="1167"/>
      <c r="JCS52" s="1167"/>
      <c r="JCT52" s="1142"/>
      <c r="JCU52" s="1142"/>
      <c r="JCV52" s="1142"/>
      <c r="JCW52" s="1142"/>
      <c r="JCX52" s="1142"/>
      <c r="JCY52" s="1142"/>
      <c r="JCZ52" s="1142"/>
      <c r="JDA52" s="1142"/>
      <c r="JDB52" s="1142"/>
      <c r="JDC52" s="1142"/>
      <c r="JDD52" s="1142"/>
      <c r="JDE52" s="1142"/>
      <c r="JDF52" s="1142"/>
      <c r="JDG52" s="1142"/>
      <c r="JDH52" s="1142"/>
      <c r="JDI52" s="1142"/>
      <c r="JDJ52" s="1142"/>
      <c r="JDK52" s="1142"/>
      <c r="JDL52" s="1142"/>
      <c r="JDM52" s="1142"/>
      <c r="JDN52" s="1142"/>
      <c r="JDO52" s="1142"/>
      <c r="JDP52" s="1142"/>
      <c r="JDQ52" s="1167"/>
      <c r="JDR52" s="1167"/>
      <c r="JDS52" s="1167"/>
      <c r="JDT52" s="1167"/>
      <c r="JDU52" s="1167"/>
      <c r="JDV52" s="1167"/>
      <c r="JDW52" s="1167"/>
      <c r="JDX52" s="1167"/>
      <c r="JDY52" s="1167"/>
      <c r="JDZ52" s="1142"/>
      <c r="JEA52" s="1142"/>
      <c r="JEB52" s="1142"/>
      <c r="JEC52" s="1142"/>
      <c r="JED52" s="1142"/>
      <c r="JEE52" s="1142"/>
      <c r="JEF52" s="1142"/>
      <c r="JEG52" s="1142"/>
      <c r="JEH52" s="1142"/>
      <c r="JEI52" s="1142"/>
      <c r="JEJ52" s="1142"/>
      <c r="JEK52" s="1142"/>
      <c r="JEL52" s="1142"/>
      <c r="JEM52" s="1142"/>
      <c r="JEN52" s="1142"/>
      <c r="JEO52" s="1142"/>
      <c r="JEP52" s="1142"/>
      <c r="JEQ52" s="1142"/>
      <c r="JER52" s="1142"/>
      <c r="JES52" s="1142"/>
      <c r="JET52" s="1142"/>
      <c r="JEU52" s="1142"/>
      <c r="JEV52" s="1142"/>
      <c r="JEW52" s="1167"/>
      <c r="JEX52" s="1167"/>
      <c r="JEY52" s="1167"/>
      <c r="JEZ52" s="1167"/>
      <c r="JFA52" s="1167"/>
      <c r="JFB52" s="1167"/>
      <c r="JFC52" s="1167"/>
      <c r="JFD52" s="1167"/>
      <c r="JFE52" s="1167"/>
      <c r="JFF52" s="1142"/>
      <c r="JFG52" s="1142"/>
      <c r="JFH52" s="1142"/>
      <c r="JFI52" s="1142"/>
      <c r="JFJ52" s="1142"/>
      <c r="JFK52" s="1142"/>
      <c r="JFL52" s="1142"/>
      <c r="JFM52" s="1142"/>
      <c r="JFN52" s="1142"/>
      <c r="JFO52" s="1142"/>
      <c r="JFP52" s="1142"/>
      <c r="JFQ52" s="1142"/>
      <c r="JFR52" s="1142"/>
      <c r="JFS52" s="1142"/>
      <c r="JFT52" s="1142"/>
      <c r="JFU52" s="1142"/>
      <c r="JFV52" s="1142"/>
      <c r="JFW52" s="1142"/>
      <c r="JFX52" s="1142"/>
      <c r="JFY52" s="1142"/>
      <c r="JFZ52" s="1142"/>
      <c r="JGA52" s="1142"/>
      <c r="JGB52" s="1142"/>
      <c r="JGC52" s="1167"/>
      <c r="JGD52" s="1167"/>
      <c r="JGE52" s="1167"/>
      <c r="JGF52" s="1167"/>
      <c r="JGG52" s="1167"/>
      <c r="JGH52" s="1167"/>
      <c r="JGI52" s="1167"/>
      <c r="JGJ52" s="1167"/>
      <c r="JGK52" s="1167"/>
      <c r="JGL52" s="1142"/>
      <c r="JGM52" s="1142"/>
      <c r="JGN52" s="1142"/>
      <c r="JGO52" s="1142"/>
      <c r="JGP52" s="1142"/>
      <c r="JGQ52" s="1142"/>
      <c r="JGR52" s="1142"/>
      <c r="JGS52" s="1142"/>
      <c r="JGT52" s="1142"/>
      <c r="JGU52" s="1142"/>
      <c r="JGV52" s="1142"/>
      <c r="JGW52" s="1142"/>
      <c r="JGX52" s="1142"/>
      <c r="JGY52" s="1142"/>
      <c r="JGZ52" s="1142"/>
      <c r="JHA52" s="1142"/>
      <c r="JHB52" s="1142"/>
      <c r="JHC52" s="1142"/>
      <c r="JHD52" s="1142"/>
      <c r="JHE52" s="1142"/>
      <c r="JHF52" s="1142"/>
      <c r="JHG52" s="1142"/>
      <c r="JHH52" s="1142"/>
      <c r="JHI52" s="1167"/>
      <c r="JHJ52" s="1167"/>
      <c r="JHK52" s="1167"/>
      <c r="JHL52" s="1167"/>
      <c r="JHM52" s="1167"/>
      <c r="JHN52" s="1167"/>
      <c r="JHO52" s="1167"/>
      <c r="JHP52" s="1167"/>
      <c r="JHQ52" s="1167"/>
      <c r="JHR52" s="1142"/>
      <c r="JHS52" s="1142"/>
      <c r="JHT52" s="1142"/>
      <c r="JHU52" s="1142"/>
      <c r="JHV52" s="1142"/>
      <c r="JHW52" s="1142"/>
      <c r="JHX52" s="1142"/>
      <c r="JHY52" s="1142"/>
      <c r="JHZ52" s="1142"/>
      <c r="JIA52" s="1142"/>
      <c r="JIB52" s="1142"/>
      <c r="JIC52" s="1142"/>
      <c r="JID52" s="1142"/>
      <c r="JIE52" s="1142"/>
      <c r="JIF52" s="1142"/>
      <c r="JIG52" s="1142"/>
      <c r="JIH52" s="1142"/>
      <c r="JII52" s="1142"/>
      <c r="JIJ52" s="1142"/>
      <c r="JIK52" s="1142"/>
      <c r="JIL52" s="1142"/>
      <c r="JIM52" s="1142"/>
      <c r="JIN52" s="1142"/>
      <c r="JIO52" s="1167"/>
      <c r="JIP52" s="1167"/>
      <c r="JIQ52" s="1167"/>
      <c r="JIR52" s="1167"/>
      <c r="JIS52" s="1167"/>
      <c r="JIT52" s="1167"/>
      <c r="JIU52" s="1167"/>
      <c r="JIV52" s="1167"/>
      <c r="JIW52" s="1167"/>
      <c r="JIX52" s="1142"/>
      <c r="JIY52" s="1142"/>
      <c r="JIZ52" s="1142"/>
      <c r="JJA52" s="1142"/>
      <c r="JJB52" s="1142"/>
      <c r="JJC52" s="1142"/>
      <c r="JJD52" s="1142"/>
      <c r="JJE52" s="1142"/>
      <c r="JJF52" s="1142"/>
      <c r="JJG52" s="1142"/>
      <c r="JJH52" s="1142"/>
      <c r="JJI52" s="1142"/>
      <c r="JJJ52" s="1142"/>
      <c r="JJK52" s="1142"/>
      <c r="JJL52" s="1142"/>
      <c r="JJM52" s="1142"/>
      <c r="JJN52" s="1142"/>
      <c r="JJO52" s="1142"/>
      <c r="JJP52" s="1142"/>
      <c r="JJQ52" s="1142"/>
      <c r="JJR52" s="1142"/>
      <c r="JJS52" s="1142"/>
      <c r="JJT52" s="1142"/>
      <c r="JJU52" s="1167"/>
      <c r="JJV52" s="1167"/>
      <c r="JJW52" s="1167"/>
      <c r="JJX52" s="1167"/>
      <c r="JJY52" s="1167"/>
      <c r="JJZ52" s="1167"/>
      <c r="JKA52" s="1167"/>
      <c r="JKB52" s="1167"/>
      <c r="JKC52" s="1167"/>
      <c r="JKD52" s="1142"/>
      <c r="JKE52" s="1142"/>
      <c r="JKF52" s="1142"/>
      <c r="JKG52" s="1142"/>
      <c r="JKH52" s="1142"/>
      <c r="JKI52" s="1142"/>
      <c r="JKJ52" s="1142"/>
      <c r="JKK52" s="1142"/>
      <c r="JKL52" s="1142"/>
      <c r="JKM52" s="1142"/>
      <c r="JKN52" s="1142"/>
      <c r="JKO52" s="1142"/>
      <c r="JKP52" s="1142"/>
      <c r="JKQ52" s="1142"/>
      <c r="JKR52" s="1142"/>
      <c r="JKS52" s="1142"/>
      <c r="JKT52" s="1142"/>
      <c r="JKU52" s="1142"/>
      <c r="JKV52" s="1142"/>
      <c r="JKW52" s="1142"/>
      <c r="JKX52" s="1142"/>
      <c r="JKY52" s="1142"/>
      <c r="JKZ52" s="1142"/>
      <c r="JLA52" s="1167"/>
      <c r="JLB52" s="1167"/>
      <c r="JLC52" s="1167"/>
      <c r="JLD52" s="1167"/>
      <c r="JLE52" s="1167"/>
      <c r="JLF52" s="1167"/>
      <c r="JLG52" s="1167"/>
      <c r="JLH52" s="1167"/>
      <c r="JLI52" s="1167"/>
      <c r="JLJ52" s="1142"/>
      <c r="JLK52" s="1142"/>
      <c r="JLL52" s="1142"/>
      <c r="JLM52" s="1142"/>
      <c r="JLN52" s="1142"/>
      <c r="JLO52" s="1142"/>
      <c r="JLP52" s="1142"/>
      <c r="JLQ52" s="1142"/>
      <c r="JLR52" s="1142"/>
      <c r="JLS52" s="1142"/>
      <c r="JLT52" s="1142"/>
      <c r="JLU52" s="1142"/>
      <c r="JLV52" s="1142"/>
      <c r="JLW52" s="1142"/>
      <c r="JLX52" s="1142"/>
      <c r="JLY52" s="1142"/>
      <c r="JLZ52" s="1142"/>
      <c r="JMA52" s="1142"/>
      <c r="JMB52" s="1142"/>
      <c r="JMC52" s="1142"/>
      <c r="JMD52" s="1142"/>
      <c r="JME52" s="1142"/>
      <c r="JMF52" s="1142"/>
      <c r="JMG52" s="1167"/>
      <c r="JMH52" s="1167"/>
      <c r="JMI52" s="1167"/>
      <c r="JMJ52" s="1167"/>
      <c r="JMK52" s="1167"/>
      <c r="JML52" s="1167"/>
      <c r="JMM52" s="1167"/>
      <c r="JMN52" s="1167"/>
      <c r="JMO52" s="1167"/>
      <c r="JMP52" s="1142"/>
      <c r="JMQ52" s="1142"/>
      <c r="JMR52" s="1142"/>
      <c r="JMS52" s="1142"/>
      <c r="JMT52" s="1142"/>
      <c r="JMU52" s="1142"/>
      <c r="JMV52" s="1142"/>
      <c r="JMW52" s="1142"/>
      <c r="JMX52" s="1142"/>
      <c r="JMY52" s="1142"/>
      <c r="JMZ52" s="1142"/>
      <c r="JNA52" s="1142"/>
      <c r="JNB52" s="1142"/>
      <c r="JNC52" s="1142"/>
      <c r="JND52" s="1142"/>
      <c r="JNE52" s="1142"/>
      <c r="JNF52" s="1142"/>
      <c r="JNG52" s="1142"/>
      <c r="JNH52" s="1142"/>
      <c r="JNI52" s="1142"/>
      <c r="JNJ52" s="1142"/>
      <c r="JNK52" s="1142"/>
      <c r="JNL52" s="1142"/>
      <c r="JNM52" s="1167"/>
      <c r="JNN52" s="1167"/>
      <c r="JNO52" s="1167"/>
      <c r="JNP52" s="1167"/>
      <c r="JNQ52" s="1167"/>
      <c r="JNR52" s="1167"/>
      <c r="JNS52" s="1167"/>
      <c r="JNT52" s="1167"/>
      <c r="JNU52" s="1167"/>
      <c r="JNV52" s="1142"/>
      <c r="JNW52" s="1142"/>
      <c r="JNX52" s="1142"/>
      <c r="JNY52" s="1142"/>
      <c r="JNZ52" s="1142"/>
      <c r="JOA52" s="1142"/>
      <c r="JOB52" s="1142"/>
      <c r="JOC52" s="1142"/>
      <c r="JOD52" s="1142"/>
      <c r="JOE52" s="1142"/>
      <c r="JOF52" s="1142"/>
      <c r="JOG52" s="1142"/>
      <c r="JOH52" s="1142"/>
      <c r="JOI52" s="1142"/>
      <c r="JOJ52" s="1142"/>
      <c r="JOK52" s="1142"/>
      <c r="JOL52" s="1142"/>
      <c r="JOM52" s="1142"/>
      <c r="JON52" s="1142"/>
      <c r="JOO52" s="1142"/>
      <c r="JOP52" s="1142"/>
      <c r="JOQ52" s="1142"/>
      <c r="JOR52" s="1142"/>
      <c r="JOS52" s="1167"/>
      <c r="JOT52" s="1167"/>
      <c r="JOU52" s="1167"/>
      <c r="JOV52" s="1167"/>
      <c r="JOW52" s="1167"/>
      <c r="JOX52" s="1167"/>
      <c r="JOY52" s="1167"/>
      <c r="JOZ52" s="1167"/>
      <c r="JPA52" s="1167"/>
      <c r="JPB52" s="1142"/>
      <c r="JPC52" s="1142"/>
      <c r="JPD52" s="1142"/>
      <c r="JPE52" s="1142"/>
      <c r="JPF52" s="1142"/>
      <c r="JPG52" s="1142"/>
      <c r="JPH52" s="1142"/>
      <c r="JPI52" s="1142"/>
      <c r="JPJ52" s="1142"/>
      <c r="JPK52" s="1142"/>
      <c r="JPL52" s="1142"/>
      <c r="JPM52" s="1142"/>
      <c r="JPN52" s="1142"/>
      <c r="JPO52" s="1142"/>
      <c r="JPP52" s="1142"/>
      <c r="JPQ52" s="1142"/>
      <c r="JPR52" s="1142"/>
      <c r="JPS52" s="1142"/>
      <c r="JPT52" s="1142"/>
      <c r="JPU52" s="1142"/>
      <c r="JPV52" s="1142"/>
      <c r="JPW52" s="1142"/>
      <c r="JPX52" s="1142"/>
      <c r="JPY52" s="1167"/>
      <c r="JPZ52" s="1167"/>
      <c r="JQA52" s="1167"/>
      <c r="JQB52" s="1167"/>
      <c r="JQC52" s="1167"/>
      <c r="JQD52" s="1167"/>
      <c r="JQE52" s="1167"/>
      <c r="JQF52" s="1167"/>
      <c r="JQG52" s="1167"/>
      <c r="JQH52" s="1142"/>
      <c r="JQI52" s="1142"/>
      <c r="JQJ52" s="1142"/>
      <c r="JQK52" s="1142"/>
      <c r="JQL52" s="1142"/>
      <c r="JQM52" s="1142"/>
      <c r="JQN52" s="1142"/>
      <c r="JQO52" s="1142"/>
      <c r="JQP52" s="1142"/>
      <c r="JQQ52" s="1142"/>
      <c r="JQR52" s="1142"/>
      <c r="JQS52" s="1142"/>
      <c r="JQT52" s="1142"/>
      <c r="JQU52" s="1142"/>
      <c r="JQV52" s="1142"/>
      <c r="JQW52" s="1142"/>
      <c r="JQX52" s="1142"/>
      <c r="JQY52" s="1142"/>
      <c r="JQZ52" s="1142"/>
      <c r="JRA52" s="1142"/>
      <c r="JRB52" s="1142"/>
      <c r="JRC52" s="1142"/>
      <c r="JRD52" s="1142"/>
      <c r="JRE52" s="1167"/>
      <c r="JRF52" s="1167"/>
      <c r="JRG52" s="1167"/>
      <c r="JRH52" s="1167"/>
      <c r="JRI52" s="1167"/>
      <c r="JRJ52" s="1167"/>
      <c r="JRK52" s="1167"/>
      <c r="JRL52" s="1167"/>
      <c r="JRM52" s="1167"/>
      <c r="JRN52" s="1142"/>
      <c r="JRO52" s="1142"/>
      <c r="JRP52" s="1142"/>
      <c r="JRQ52" s="1142"/>
      <c r="JRR52" s="1142"/>
      <c r="JRS52" s="1142"/>
      <c r="JRT52" s="1142"/>
      <c r="JRU52" s="1142"/>
      <c r="JRV52" s="1142"/>
      <c r="JRW52" s="1142"/>
      <c r="JRX52" s="1142"/>
      <c r="JRY52" s="1142"/>
      <c r="JRZ52" s="1142"/>
      <c r="JSA52" s="1142"/>
      <c r="JSB52" s="1142"/>
      <c r="JSC52" s="1142"/>
      <c r="JSD52" s="1142"/>
      <c r="JSE52" s="1142"/>
      <c r="JSF52" s="1142"/>
      <c r="JSG52" s="1142"/>
      <c r="JSH52" s="1142"/>
      <c r="JSI52" s="1142"/>
      <c r="JSJ52" s="1142"/>
      <c r="JSK52" s="1167"/>
      <c r="JSL52" s="1167"/>
      <c r="JSM52" s="1167"/>
      <c r="JSN52" s="1167"/>
      <c r="JSO52" s="1167"/>
      <c r="JSP52" s="1167"/>
      <c r="JSQ52" s="1167"/>
      <c r="JSR52" s="1167"/>
      <c r="JSS52" s="1167"/>
      <c r="JST52" s="1142"/>
      <c r="JSU52" s="1142"/>
      <c r="JSV52" s="1142"/>
      <c r="JSW52" s="1142"/>
      <c r="JSX52" s="1142"/>
      <c r="JSY52" s="1142"/>
      <c r="JSZ52" s="1142"/>
      <c r="JTA52" s="1142"/>
      <c r="JTB52" s="1142"/>
      <c r="JTC52" s="1142"/>
      <c r="JTD52" s="1142"/>
      <c r="JTE52" s="1142"/>
      <c r="JTF52" s="1142"/>
      <c r="JTG52" s="1142"/>
      <c r="JTH52" s="1142"/>
      <c r="JTI52" s="1142"/>
      <c r="JTJ52" s="1142"/>
      <c r="JTK52" s="1142"/>
      <c r="JTL52" s="1142"/>
      <c r="JTM52" s="1142"/>
      <c r="JTN52" s="1142"/>
      <c r="JTO52" s="1142"/>
      <c r="JTP52" s="1142"/>
      <c r="JTQ52" s="1167"/>
      <c r="JTR52" s="1167"/>
      <c r="JTS52" s="1167"/>
      <c r="JTT52" s="1167"/>
      <c r="JTU52" s="1167"/>
      <c r="JTV52" s="1167"/>
      <c r="JTW52" s="1167"/>
      <c r="JTX52" s="1167"/>
      <c r="JTY52" s="1167"/>
      <c r="JTZ52" s="1142"/>
      <c r="JUA52" s="1142"/>
      <c r="JUB52" s="1142"/>
      <c r="JUC52" s="1142"/>
      <c r="JUD52" s="1142"/>
      <c r="JUE52" s="1142"/>
      <c r="JUF52" s="1142"/>
      <c r="JUG52" s="1142"/>
      <c r="JUH52" s="1142"/>
      <c r="JUI52" s="1142"/>
      <c r="JUJ52" s="1142"/>
      <c r="JUK52" s="1142"/>
      <c r="JUL52" s="1142"/>
      <c r="JUM52" s="1142"/>
      <c r="JUN52" s="1142"/>
      <c r="JUO52" s="1142"/>
      <c r="JUP52" s="1142"/>
      <c r="JUQ52" s="1142"/>
      <c r="JUR52" s="1142"/>
      <c r="JUS52" s="1142"/>
      <c r="JUT52" s="1142"/>
      <c r="JUU52" s="1142"/>
      <c r="JUV52" s="1142"/>
      <c r="JUW52" s="1167"/>
      <c r="JUX52" s="1167"/>
      <c r="JUY52" s="1167"/>
      <c r="JUZ52" s="1167"/>
      <c r="JVA52" s="1167"/>
      <c r="JVB52" s="1167"/>
      <c r="JVC52" s="1167"/>
      <c r="JVD52" s="1167"/>
      <c r="JVE52" s="1167"/>
      <c r="JVF52" s="1142"/>
      <c r="JVG52" s="1142"/>
      <c r="JVH52" s="1142"/>
      <c r="JVI52" s="1142"/>
      <c r="JVJ52" s="1142"/>
      <c r="JVK52" s="1142"/>
      <c r="JVL52" s="1142"/>
      <c r="JVM52" s="1142"/>
      <c r="JVN52" s="1142"/>
      <c r="JVO52" s="1142"/>
      <c r="JVP52" s="1142"/>
      <c r="JVQ52" s="1142"/>
      <c r="JVR52" s="1142"/>
      <c r="JVS52" s="1142"/>
      <c r="JVT52" s="1142"/>
      <c r="JVU52" s="1142"/>
      <c r="JVV52" s="1142"/>
      <c r="JVW52" s="1142"/>
      <c r="JVX52" s="1142"/>
      <c r="JVY52" s="1142"/>
      <c r="JVZ52" s="1142"/>
      <c r="JWA52" s="1142"/>
      <c r="JWB52" s="1142"/>
      <c r="JWC52" s="1167"/>
      <c r="JWD52" s="1167"/>
      <c r="JWE52" s="1167"/>
      <c r="JWF52" s="1167"/>
      <c r="JWG52" s="1167"/>
      <c r="JWH52" s="1167"/>
      <c r="JWI52" s="1167"/>
      <c r="JWJ52" s="1167"/>
      <c r="JWK52" s="1167"/>
      <c r="JWL52" s="1142"/>
      <c r="JWM52" s="1142"/>
      <c r="JWN52" s="1142"/>
      <c r="JWO52" s="1142"/>
      <c r="JWP52" s="1142"/>
      <c r="JWQ52" s="1142"/>
      <c r="JWR52" s="1142"/>
      <c r="JWS52" s="1142"/>
      <c r="JWT52" s="1142"/>
      <c r="JWU52" s="1142"/>
      <c r="JWV52" s="1142"/>
      <c r="JWW52" s="1142"/>
      <c r="JWX52" s="1142"/>
      <c r="JWY52" s="1142"/>
      <c r="JWZ52" s="1142"/>
      <c r="JXA52" s="1142"/>
      <c r="JXB52" s="1142"/>
      <c r="JXC52" s="1142"/>
      <c r="JXD52" s="1142"/>
      <c r="JXE52" s="1142"/>
      <c r="JXF52" s="1142"/>
      <c r="JXG52" s="1142"/>
      <c r="JXH52" s="1142"/>
      <c r="JXI52" s="1167"/>
      <c r="JXJ52" s="1167"/>
      <c r="JXK52" s="1167"/>
      <c r="JXL52" s="1167"/>
      <c r="JXM52" s="1167"/>
      <c r="JXN52" s="1167"/>
      <c r="JXO52" s="1167"/>
      <c r="JXP52" s="1167"/>
      <c r="JXQ52" s="1167"/>
      <c r="JXR52" s="1142"/>
      <c r="JXS52" s="1142"/>
      <c r="JXT52" s="1142"/>
      <c r="JXU52" s="1142"/>
      <c r="JXV52" s="1142"/>
      <c r="JXW52" s="1142"/>
      <c r="JXX52" s="1142"/>
      <c r="JXY52" s="1142"/>
      <c r="JXZ52" s="1142"/>
      <c r="JYA52" s="1142"/>
      <c r="JYB52" s="1142"/>
      <c r="JYC52" s="1142"/>
      <c r="JYD52" s="1142"/>
      <c r="JYE52" s="1142"/>
      <c r="JYF52" s="1142"/>
      <c r="JYG52" s="1142"/>
      <c r="JYH52" s="1142"/>
      <c r="JYI52" s="1142"/>
      <c r="JYJ52" s="1142"/>
      <c r="JYK52" s="1142"/>
      <c r="JYL52" s="1142"/>
      <c r="JYM52" s="1142"/>
      <c r="JYN52" s="1142"/>
      <c r="JYO52" s="1167"/>
      <c r="JYP52" s="1167"/>
      <c r="JYQ52" s="1167"/>
      <c r="JYR52" s="1167"/>
      <c r="JYS52" s="1167"/>
      <c r="JYT52" s="1167"/>
      <c r="JYU52" s="1167"/>
      <c r="JYV52" s="1167"/>
      <c r="JYW52" s="1167"/>
      <c r="JYX52" s="1142"/>
      <c r="JYY52" s="1142"/>
      <c r="JYZ52" s="1142"/>
      <c r="JZA52" s="1142"/>
      <c r="JZB52" s="1142"/>
      <c r="JZC52" s="1142"/>
      <c r="JZD52" s="1142"/>
      <c r="JZE52" s="1142"/>
      <c r="JZF52" s="1142"/>
      <c r="JZG52" s="1142"/>
      <c r="JZH52" s="1142"/>
      <c r="JZI52" s="1142"/>
      <c r="JZJ52" s="1142"/>
      <c r="JZK52" s="1142"/>
      <c r="JZL52" s="1142"/>
      <c r="JZM52" s="1142"/>
      <c r="JZN52" s="1142"/>
      <c r="JZO52" s="1142"/>
      <c r="JZP52" s="1142"/>
      <c r="JZQ52" s="1142"/>
      <c r="JZR52" s="1142"/>
      <c r="JZS52" s="1142"/>
      <c r="JZT52" s="1142"/>
      <c r="JZU52" s="1167"/>
      <c r="JZV52" s="1167"/>
      <c r="JZW52" s="1167"/>
      <c r="JZX52" s="1167"/>
      <c r="JZY52" s="1167"/>
      <c r="JZZ52" s="1167"/>
      <c r="KAA52" s="1167"/>
      <c r="KAB52" s="1167"/>
      <c r="KAC52" s="1167"/>
      <c r="KAD52" s="1142"/>
      <c r="KAE52" s="1142"/>
      <c r="KAF52" s="1142"/>
      <c r="KAG52" s="1142"/>
      <c r="KAH52" s="1142"/>
      <c r="KAI52" s="1142"/>
      <c r="KAJ52" s="1142"/>
      <c r="KAK52" s="1142"/>
      <c r="KAL52" s="1142"/>
      <c r="KAM52" s="1142"/>
      <c r="KAN52" s="1142"/>
      <c r="KAO52" s="1142"/>
      <c r="KAP52" s="1142"/>
      <c r="KAQ52" s="1142"/>
      <c r="KAR52" s="1142"/>
      <c r="KAS52" s="1142"/>
      <c r="KAT52" s="1142"/>
      <c r="KAU52" s="1142"/>
      <c r="KAV52" s="1142"/>
      <c r="KAW52" s="1142"/>
      <c r="KAX52" s="1142"/>
      <c r="KAY52" s="1142"/>
      <c r="KAZ52" s="1142"/>
      <c r="KBA52" s="1167"/>
      <c r="KBB52" s="1167"/>
      <c r="KBC52" s="1167"/>
      <c r="KBD52" s="1167"/>
      <c r="KBE52" s="1167"/>
      <c r="KBF52" s="1167"/>
      <c r="KBG52" s="1167"/>
      <c r="KBH52" s="1167"/>
      <c r="KBI52" s="1167"/>
      <c r="KBJ52" s="1142"/>
      <c r="KBK52" s="1142"/>
      <c r="KBL52" s="1142"/>
      <c r="KBM52" s="1142"/>
      <c r="KBN52" s="1142"/>
      <c r="KBO52" s="1142"/>
      <c r="KBP52" s="1142"/>
      <c r="KBQ52" s="1142"/>
      <c r="KBR52" s="1142"/>
      <c r="KBS52" s="1142"/>
      <c r="KBT52" s="1142"/>
      <c r="KBU52" s="1142"/>
      <c r="KBV52" s="1142"/>
      <c r="KBW52" s="1142"/>
      <c r="KBX52" s="1142"/>
      <c r="KBY52" s="1142"/>
      <c r="KBZ52" s="1142"/>
      <c r="KCA52" s="1142"/>
      <c r="KCB52" s="1142"/>
      <c r="KCC52" s="1142"/>
      <c r="KCD52" s="1142"/>
      <c r="KCE52" s="1142"/>
      <c r="KCF52" s="1142"/>
      <c r="KCG52" s="1167"/>
      <c r="KCH52" s="1167"/>
      <c r="KCI52" s="1167"/>
      <c r="KCJ52" s="1167"/>
      <c r="KCK52" s="1167"/>
      <c r="KCL52" s="1167"/>
      <c r="KCM52" s="1167"/>
      <c r="KCN52" s="1167"/>
      <c r="KCO52" s="1167"/>
      <c r="KCP52" s="1142"/>
      <c r="KCQ52" s="1142"/>
      <c r="KCR52" s="1142"/>
      <c r="KCS52" s="1142"/>
      <c r="KCT52" s="1142"/>
      <c r="KCU52" s="1142"/>
      <c r="KCV52" s="1142"/>
      <c r="KCW52" s="1142"/>
      <c r="KCX52" s="1142"/>
      <c r="KCY52" s="1142"/>
      <c r="KCZ52" s="1142"/>
      <c r="KDA52" s="1142"/>
      <c r="KDB52" s="1142"/>
      <c r="KDC52" s="1142"/>
      <c r="KDD52" s="1142"/>
      <c r="KDE52" s="1142"/>
      <c r="KDF52" s="1142"/>
      <c r="KDG52" s="1142"/>
      <c r="KDH52" s="1142"/>
      <c r="KDI52" s="1142"/>
      <c r="KDJ52" s="1142"/>
      <c r="KDK52" s="1142"/>
      <c r="KDL52" s="1142"/>
      <c r="KDM52" s="1167"/>
      <c r="KDN52" s="1167"/>
      <c r="KDO52" s="1167"/>
      <c r="KDP52" s="1167"/>
      <c r="KDQ52" s="1167"/>
      <c r="KDR52" s="1167"/>
      <c r="KDS52" s="1167"/>
      <c r="KDT52" s="1167"/>
      <c r="KDU52" s="1167"/>
      <c r="KDV52" s="1142"/>
      <c r="KDW52" s="1142"/>
      <c r="KDX52" s="1142"/>
      <c r="KDY52" s="1142"/>
      <c r="KDZ52" s="1142"/>
      <c r="KEA52" s="1142"/>
      <c r="KEB52" s="1142"/>
      <c r="KEC52" s="1142"/>
      <c r="KED52" s="1142"/>
      <c r="KEE52" s="1142"/>
      <c r="KEF52" s="1142"/>
      <c r="KEG52" s="1142"/>
      <c r="KEH52" s="1142"/>
      <c r="KEI52" s="1142"/>
      <c r="KEJ52" s="1142"/>
      <c r="KEK52" s="1142"/>
      <c r="KEL52" s="1142"/>
      <c r="KEM52" s="1142"/>
      <c r="KEN52" s="1142"/>
      <c r="KEO52" s="1142"/>
      <c r="KEP52" s="1142"/>
      <c r="KEQ52" s="1142"/>
      <c r="KER52" s="1142"/>
      <c r="KES52" s="1167"/>
      <c r="KET52" s="1167"/>
      <c r="KEU52" s="1167"/>
      <c r="KEV52" s="1167"/>
      <c r="KEW52" s="1167"/>
      <c r="KEX52" s="1167"/>
      <c r="KEY52" s="1167"/>
      <c r="KEZ52" s="1167"/>
      <c r="KFA52" s="1167"/>
      <c r="KFB52" s="1142"/>
      <c r="KFC52" s="1142"/>
      <c r="KFD52" s="1142"/>
      <c r="KFE52" s="1142"/>
      <c r="KFF52" s="1142"/>
      <c r="KFG52" s="1142"/>
      <c r="KFH52" s="1142"/>
      <c r="KFI52" s="1142"/>
      <c r="KFJ52" s="1142"/>
      <c r="KFK52" s="1142"/>
      <c r="KFL52" s="1142"/>
      <c r="KFM52" s="1142"/>
      <c r="KFN52" s="1142"/>
      <c r="KFO52" s="1142"/>
      <c r="KFP52" s="1142"/>
      <c r="KFQ52" s="1142"/>
      <c r="KFR52" s="1142"/>
      <c r="KFS52" s="1142"/>
      <c r="KFT52" s="1142"/>
      <c r="KFU52" s="1142"/>
      <c r="KFV52" s="1142"/>
      <c r="KFW52" s="1142"/>
      <c r="KFX52" s="1142"/>
      <c r="KFY52" s="1167"/>
      <c r="KFZ52" s="1167"/>
      <c r="KGA52" s="1167"/>
      <c r="KGB52" s="1167"/>
      <c r="KGC52" s="1167"/>
      <c r="KGD52" s="1167"/>
      <c r="KGE52" s="1167"/>
      <c r="KGF52" s="1167"/>
      <c r="KGG52" s="1167"/>
      <c r="KGH52" s="1142"/>
      <c r="KGI52" s="1142"/>
      <c r="KGJ52" s="1142"/>
      <c r="KGK52" s="1142"/>
      <c r="KGL52" s="1142"/>
      <c r="KGM52" s="1142"/>
      <c r="KGN52" s="1142"/>
      <c r="KGO52" s="1142"/>
      <c r="KGP52" s="1142"/>
      <c r="KGQ52" s="1142"/>
      <c r="KGR52" s="1142"/>
      <c r="KGS52" s="1142"/>
      <c r="KGT52" s="1142"/>
      <c r="KGU52" s="1142"/>
      <c r="KGV52" s="1142"/>
      <c r="KGW52" s="1142"/>
      <c r="KGX52" s="1142"/>
      <c r="KGY52" s="1142"/>
      <c r="KGZ52" s="1142"/>
      <c r="KHA52" s="1142"/>
      <c r="KHB52" s="1142"/>
      <c r="KHC52" s="1142"/>
      <c r="KHD52" s="1142"/>
      <c r="KHE52" s="1167"/>
      <c r="KHF52" s="1167"/>
      <c r="KHG52" s="1167"/>
      <c r="KHH52" s="1167"/>
      <c r="KHI52" s="1167"/>
      <c r="KHJ52" s="1167"/>
      <c r="KHK52" s="1167"/>
      <c r="KHL52" s="1167"/>
      <c r="KHM52" s="1167"/>
      <c r="KHN52" s="1142"/>
      <c r="KHO52" s="1142"/>
      <c r="KHP52" s="1142"/>
      <c r="KHQ52" s="1142"/>
      <c r="KHR52" s="1142"/>
      <c r="KHS52" s="1142"/>
      <c r="KHT52" s="1142"/>
      <c r="KHU52" s="1142"/>
      <c r="KHV52" s="1142"/>
      <c r="KHW52" s="1142"/>
      <c r="KHX52" s="1142"/>
      <c r="KHY52" s="1142"/>
      <c r="KHZ52" s="1142"/>
      <c r="KIA52" s="1142"/>
      <c r="KIB52" s="1142"/>
      <c r="KIC52" s="1142"/>
      <c r="KID52" s="1142"/>
      <c r="KIE52" s="1142"/>
      <c r="KIF52" s="1142"/>
      <c r="KIG52" s="1142"/>
      <c r="KIH52" s="1142"/>
      <c r="KII52" s="1142"/>
      <c r="KIJ52" s="1142"/>
      <c r="KIK52" s="1167"/>
      <c r="KIL52" s="1167"/>
      <c r="KIM52" s="1167"/>
      <c r="KIN52" s="1167"/>
      <c r="KIO52" s="1167"/>
      <c r="KIP52" s="1167"/>
      <c r="KIQ52" s="1167"/>
      <c r="KIR52" s="1167"/>
      <c r="KIS52" s="1167"/>
      <c r="KIT52" s="1142"/>
      <c r="KIU52" s="1142"/>
      <c r="KIV52" s="1142"/>
      <c r="KIW52" s="1142"/>
      <c r="KIX52" s="1142"/>
      <c r="KIY52" s="1142"/>
      <c r="KIZ52" s="1142"/>
      <c r="KJA52" s="1142"/>
      <c r="KJB52" s="1142"/>
      <c r="KJC52" s="1142"/>
      <c r="KJD52" s="1142"/>
      <c r="KJE52" s="1142"/>
      <c r="KJF52" s="1142"/>
      <c r="KJG52" s="1142"/>
      <c r="KJH52" s="1142"/>
      <c r="KJI52" s="1142"/>
      <c r="KJJ52" s="1142"/>
      <c r="KJK52" s="1142"/>
      <c r="KJL52" s="1142"/>
      <c r="KJM52" s="1142"/>
      <c r="KJN52" s="1142"/>
      <c r="KJO52" s="1142"/>
      <c r="KJP52" s="1142"/>
      <c r="KJQ52" s="1167"/>
      <c r="KJR52" s="1167"/>
      <c r="KJS52" s="1167"/>
      <c r="KJT52" s="1167"/>
      <c r="KJU52" s="1167"/>
      <c r="KJV52" s="1167"/>
      <c r="KJW52" s="1167"/>
      <c r="KJX52" s="1167"/>
      <c r="KJY52" s="1167"/>
      <c r="KJZ52" s="1142"/>
      <c r="KKA52" s="1142"/>
      <c r="KKB52" s="1142"/>
      <c r="KKC52" s="1142"/>
      <c r="KKD52" s="1142"/>
      <c r="KKE52" s="1142"/>
      <c r="KKF52" s="1142"/>
      <c r="KKG52" s="1142"/>
      <c r="KKH52" s="1142"/>
      <c r="KKI52" s="1142"/>
      <c r="KKJ52" s="1142"/>
      <c r="KKK52" s="1142"/>
      <c r="KKL52" s="1142"/>
      <c r="KKM52" s="1142"/>
      <c r="KKN52" s="1142"/>
      <c r="KKO52" s="1142"/>
      <c r="KKP52" s="1142"/>
      <c r="KKQ52" s="1142"/>
      <c r="KKR52" s="1142"/>
      <c r="KKS52" s="1142"/>
      <c r="KKT52" s="1142"/>
      <c r="KKU52" s="1142"/>
      <c r="KKV52" s="1142"/>
      <c r="KKW52" s="1167"/>
      <c r="KKX52" s="1167"/>
      <c r="KKY52" s="1167"/>
      <c r="KKZ52" s="1167"/>
      <c r="KLA52" s="1167"/>
      <c r="KLB52" s="1167"/>
      <c r="KLC52" s="1167"/>
      <c r="KLD52" s="1167"/>
      <c r="KLE52" s="1167"/>
      <c r="KLF52" s="1142"/>
      <c r="KLG52" s="1142"/>
      <c r="KLH52" s="1142"/>
      <c r="KLI52" s="1142"/>
      <c r="KLJ52" s="1142"/>
      <c r="KLK52" s="1142"/>
      <c r="KLL52" s="1142"/>
      <c r="KLM52" s="1142"/>
      <c r="KLN52" s="1142"/>
      <c r="KLO52" s="1142"/>
      <c r="KLP52" s="1142"/>
      <c r="KLQ52" s="1142"/>
      <c r="KLR52" s="1142"/>
      <c r="KLS52" s="1142"/>
      <c r="KLT52" s="1142"/>
      <c r="KLU52" s="1142"/>
      <c r="KLV52" s="1142"/>
      <c r="KLW52" s="1142"/>
      <c r="KLX52" s="1142"/>
      <c r="KLY52" s="1142"/>
      <c r="KLZ52" s="1142"/>
      <c r="KMA52" s="1142"/>
      <c r="KMB52" s="1142"/>
      <c r="KMC52" s="1167"/>
      <c r="KMD52" s="1167"/>
      <c r="KME52" s="1167"/>
      <c r="KMF52" s="1167"/>
      <c r="KMG52" s="1167"/>
      <c r="KMH52" s="1167"/>
      <c r="KMI52" s="1167"/>
      <c r="KMJ52" s="1167"/>
      <c r="KMK52" s="1167"/>
      <c r="KML52" s="1142"/>
      <c r="KMM52" s="1142"/>
      <c r="KMN52" s="1142"/>
      <c r="KMO52" s="1142"/>
      <c r="KMP52" s="1142"/>
      <c r="KMQ52" s="1142"/>
      <c r="KMR52" s="1142"/>
      <c r="KMS52" s="1142"/>
      <c r="KMT52" s="1142"/>
      <c r="KMU52" s="1142"/>
      <c r="KMV52" s="1142"/>
      <c r="KMW52" s="1142"/>
      <c r="KMX52" s="1142"/>
      <c r="KMY52" s="1142"/>
      <c r="KMZ52" s="1142"/>
      <c r="KNA52" s="1142"/>
      <c r="KNB52" s="1142"/>
      <c r="KNC52" s="1142"/>
      <c r="KND52" s="1142"/>
      <c r="KNE52" s="1142"/>
      <c r="KNF52" s="1142"/>
      <c r="KNG52" s="1142"/>
      <c r="KNH52" s="1142"/>
      <c r="KNI52" s="1167"/>
      <c r="KNJ52" s="1167"/>
      <c r="KNK52" s="1167"/>
      <c r="KNL52" s="1167"/>
      <c r="KNM52" s="1167"/>
      <c r="KNN52" s="1167"/>
      <c r="KNO52" s="1167"/>
      <c r="KNP52" s="1167"/>
      <c r="KNQ52" s="1167"/>
      <c r="KNR52" s="1142"/>
      <c r="KNS52" s="1142"/>
      <c r="KNT52" s="1142"/>
      <c r="KNU52" s="1142"/>
      <c r="KNV52" s="1142"/>
      <c r="KNW52" s="1142"/>
      <c r="KNX52" s="1142"/>
      <c r="KNY52" s="1142"/>
      <c r="KNZ52" s="1142"/>
      <c r="KOA52" s="1142"/>
      <c r="KOB52" s="1142"/>
      <c r="KOC52" s="1142"/>
      <c r="KOD52" s="1142"/>
      <c r="KOE52" s="1142"/>
      <c r="KOF52" s="1142"/>
      <c r="KOG52" s="1142"/>
      <c r="KOH52" s="1142"/>
      <c r="KOI52" s="1142"/>
      <c r="KOJ52" s="1142"/>
      <c r="KOK52" s="1142"/>
      <c r="KOL52" s="1142"/>
      <c r="KOM52" s="1142"/>
      <c r="KON52" s="1142"/>
      <c r="KOO52" s="1167"/>
      <c r="KOP52" s="1167"/>
      <c r="KOQ52" s="1167"/>
      <c r="KOR52" s="1167"/>
      <c r="KOS52" s="1167"/>
      <c r="KOT52" s="1167"/>
      <c r="KOU52" s="1167"/>
      <c r="KOV52" s="1167"/>
      <c r="KOW52" s="1167"/>
      <c r="KOX52" s="1142"/>
      <c r="KOY52" s="1142"/>
      <c r="KOZ52" s="1142"/>
      <c r="KPA52" s="1142"/>
      <c r="KPB52" s="1142"/>
      <c r="KPC52" s="1142"/>
      <c r="KPD52" s="1142"/>
      <c r="KPE52" s="1142"/>
      <c r="KPF52" s="1142"/>
      <c r="KPG52" s="1142"/>
      <c r="KPH52" s="1142"/>
      <c r="KPI52" s="1142"/>
      <c r="KPJ52" s="1142"/>
      <c r="KPK52" s="1142"/>
      <c r="KPL52" s="1142"/>
      <c r="KPM52" s="1142"/>
      <c r="KPN52" s="1142"/>
      <c r="KPO52" s="1142"/>
      <c r="KPP52" s="1142"/>
      <c r="KPQ52" s="1142"/>
      <c r="KPR52" s="1142"/>
      <c r="KPS52" s="1142"/>
      <c r="KPT52" s="1142"/>
      <c r="KPU52" s="1167"/>
      <c r="KPV52" s="1167"/>
      <c r="KPW52" s="1167"/>
      <c r="KPX52" s="1167"/>
      <c r="KPY52" s="1167"/>
      <c r="KPZ52" s="1167"/>
      <c r="KQA52" s="1167"/>
      <c r="KQB52" s="1167"/>
      <c r="KQC52" s="1167"/>
      <c r="KQD52" s="1142"/>
      <c r="KQE52" s="1142"/>
      <c r="KQF52" s="1142"/>
      <c r="KQG52" s="1142"/>
      <c r="KQH52" s="1142"/>
      <c r="KQI52" s="1142"/>
      <c r="KQJ52" s="1142"/>
      <c r="KQK52" s="1142"/>
      <c r="KQL52" s="1142"/>
      <c r="KQM52" s="1142"/>
      <c r="KQN52" s="1142"/>
      <c r="KQO52" s="1142"/>
      <c r="KQP52" s="1142"/>
      <c r="KQQ52" s="1142"/>
      <c r="KQR52" s="1142"/>
      <c r="KQS52" s="1142"/>
      <c r="KQT52" s="1142"/>
      <c r="KQU52" s="1142"/>
      <c r="KQV52" s="1142"/>
      <c r="KQW52" s="1142"/>
      <c r="KQX52" s="1142"/>
      <c r="KQY52" s="1142"/>
      <c r="KQZ52" s="1142"/>
      <c r="KRA52" s="1167"/>
      <c r="KRB52" s="1167"/>
      <c r="KRC52" s="1167"/>
      <c r="KRD52" s="1167"/>
      <c r="KRE52" s="1167"/>
      <c r="KRF52" s="1167"/>
      <c r="KRG52" s="1167"/>
      <c r="KRH52" s="1167"/>
      <c r="KRI52" s="1167"/>
      <c r="KRJ52" s="1142"/>
      <c r="KRK52" s="1142"/>
      <c r="KRL52" s="1142"/>
      <c r="KRM52" s="1142"/>
      <c r="KRN52" s="1142"/>
      <c r="KRO52" s="1142"/>
      <c r="KRP52" s="1142"/>
      <c r="KRQ52" s="1142"/>
      <c r="KRR52" s="1142"/>
      <c r="KRS52" s="1142"/>
      <c r="KRT52" s="1142"/>
      <c r="KRU52" s="1142"/>
      <c r="KRV52" s="1142"/>
      <c r="KRW52" s="1142"/>
      <c r="KRX52" s="1142"/>
      <c r="KRY52" s="1142"/>
      <c r="KRZ52" s="1142"/>
      <c r="KSA52" s="1142"/>
      <c r="KSB52" s="1142"/>
      <c r="KSC52" s="1142"/>
      <c r="KSD52" s="1142"/>
      <c r="KSE52" s="1142"/>
      <c r="KSF52" s="1142"/>
      <c r="KSG52" s="1167"/>
      <c r="KSH52" s="1167"/>
      <c r="KSI52" s="1167"/>
      <c r="KSJ52" s="1167"/>
      <c r="KSK52" s="1167"/>
      <c r="KSL52" s="1167"/>
      <c r="KSM52" s="1167"/>
      <c r="KSN52" s="1167"/>
      <c r="KSO52" s="1167"/>
      <c r="KSP52" s="1142"/>
      <c r="KSQ52" s="1142"/>
      <c r="KSR52" s="1142"/>
      <c r="KSS52" s="1142"/>
      <c r="KST52" s="1142"/>
      <c r="KSU52" s="1142"/>
      <c r="KSV52" s="1142"/>
      <c r="KSW52" s="1142"/>
      <c r="KSX52" s="1142"/>
      <c r="KSY52" s="1142"/>
      <c r="KSZ52" s="1142"/>
      <c r="KTA52" s="1142"/>
      <c r="KTB52" s="1142"/>
      <c r="KTC52" s="1142"/>
      <c r="KTD52" s="1142"/>
      <c r="KTE52" s="1142"/>
      <c r="KTF52" s="1142"/>
      <c r="KTG52" s="1142"/>
      <c r="KTH52" s="1142"/>
      <c r="KTI52" s="1142"/>
      <c r="KTJ52" s="1142"/>
      <c r="KTK52" s="1142"/>
      <c r="KTL52" s="1142"/>
      <c r="KTM52" s="1167"/>
      <c r="KTN52" s="1167"/>
      <c r="KTO52" s="1167"/>
      <c r="KTP52" s="1167"/>
      <c r="KTQ52" s="1167"/>
      <c r="KTR52" s="1167"/>
      <c r="KTS52" s="1167"/>
      <c r="KTT52" s="1167"/>
      <c r="KTU52" s="1167"/>
      <c r="KTV52" s="1142"/>
      <c r="KTW52" s="1142"/>
      <c r="KTX52" s="1142"/>
      <c r="KTY52" s="1142"/>
      <c r="KTZ52" s="1142"/>
      <c r="KUA52" s="1142"/>
      <c r="KUB52" s="1142"/>
      <c r="KUC52" s="1142"/>
      <c r="KUD52" s="1142"/>
      <c r="KUE52" s="1142"/>
      <c r="KUF52" s="1142"/>
      <c r="KUG52" s="1142"/>
      <c r="KUH52" s="1142"/>
      <c r="KUI52" s="1142"/>
      <c r="KUJ52" s="1142"/>
      <c r="KUK52" s="1142"/>
      <c r="KUL52" s="1142"/>
      <c r="KUM52" s="1142"/>
      <c r="KUN52" s="1142"/>
      <c r="KUO52" s="1142"/>
      <c r="KUP52" s="1142"/>
      <c r="KUQ52" s="1142"/>
      <c r="KUR52" s="1142"/>
      <c r="KUS52" s="1167"/>
      <c r="KUT52" s="1167"/>
      <c r="KUU52" s="1167"/>
      <c r="KUV52" s="1167"/>
      <c r="KUW52" s="1167"/>
      <c r="KUX52" s="1167"/>
      <c r="KUY52" s="1167"/>
      <c r="KUZ52" s="1167"/>
      <c r="KVA52" s="1167"/>
      <c r="KVB52" s="1142"/>
      <c r="KVC52" s="1142"/>
      <c r="KVD52" s="1142"/>
      <c r="KVE52" s="1142"/>
      <c r="KVF52" s="1142"/>
      <c r="KVG52" s="1142"/>
      <c r="KVH52" s="1142"/>
      <c r="KVI52" s="1142"/>
      <c r="KVJ52" s="1142"/>
      <c r="KVK52" s="1142"/>
      <c r="KVL52" s="1142"/>
      <c r="KVM52" s="1142"/>
      <c r="KVN52" s="1142"/>
      <c r="KVO52" s="1142"/>
      <c r="KVP52" s="1142"/>
      <c r="KVQ52" s="1142"/>
      <c r="KVR52" s="1142"/>
      <c r="KVS52" s="1142"/>
      <c r="KVT52" s="1142"/>
      <c r="KVU52" s="1142"/>
      <c r="KVV52" s="1142"/>
      <c r="KVW52" s="1142"/>
      <c r="KVX52" s="1142"/>
      <c r="KVY52" s="1167"/>
      <c r="KVZ52" s="1167"/>
      <c r="KWA52" s="1167"/>
      <c r="KWB52" s="1167"/>
      <c r="KWC52" s="1167"/>
      <c r="KWD52" s="1167"/>
      <c r="KWE52" s="1167"/>
      <c r="KWF52" s="1167"/>
      <c r="KWG52" s="1167"/>
      <c r="KWH52" s="1142"/>
      <c r="KWI52" s="1142"/>
      <c r="KWJ52" s="1142"/>
      <c r="KWK52" s="1142"/>
      <c r="KWL52" s="1142"/>
      <c r="KWM52" s="1142"/>
      <c r="KWN52" s="1142"/>
      <c r="KWO52" s="1142"/>
      <c r="KWP52" s="1142"/>
      <c r="KWQ52" s="1142"/>
      <c r="KWR52" s="1142"/>
      <c r="KWS52" s="1142"/>
      <c r="KWT52" s="1142"/>
      <c r="KWU52" s="1142"/>
      <c r="KWV52" s="1142"/>
      <c r="KWW52" s="1142"/>
      <c r="KWX52" s="1142"/>
      <c r="KWY52" s="1142"/>
      <c r="KWZ52" s="1142"/>
      <c r="KXA52" s="1142"/>
      <c r="KXB52" s="1142"/>
      <c r="KXC52" s="1142"/>
      <c r="KXD52" s="1142"/>
      <c r="KXE52" s="1167"/>
      <c r="KXF52" s="1167"/>
      <c r="KXG52" s="1167"/>
      <c r="KXH52" s="1167"/>
      <c r="KXI52" s="1167"/>
      <c r="KXJ52" s="1167"/>
      <c r="KXK52" s="1167"/>
      <c r="KXL52" s="1167"/>
      <c r="KXM52" s="1167"/>
      <c r="KXN52" s="1142"/>
      <c r="KXO52" s="1142"/>
      <c r="KXP52" s="1142"/>
      <c r="KXQ52" s="1142"/>
      <c r="KXR52" s="1142"/>
      <c r="KXS52" s="1142"/>
      <c r="KXT52" s="1142"/>
      <c r="KXU52" s="1142"/>
      <c r="KXV52" s="1142"/>
      <c r="KXW52" s="1142"/>
      <c r="KXX52" s="1142"/>
      <c r="KXY52" s="1142"/>
      <c r="KXZ52" s="1142"/>
      <c r="KYA52" s="1142"/>
      <c r="KYB52" s="1142"/>
      <c r="KYC52" s="1142"/>
      <c r="KYD52" s="1142"/>
      <c r="KYE52" s="1142"/>
      <c r="KYF52" s="1142"/>
      <c r="KYG52" s="1142"/>
      <c r="KYH52" s="1142"/>
      <c r="KYI52" s="1142"/>
      <c r="KYJ52" s="1142"/>
      <c r="KYK52" s="1167"/>
      <c r="KYL52" s="1167"/>
      <c r="KYM52" s="1167"/>
      <c r="KYN52" s="1167"/>
      <c r="KYO52" s="1167"/>
      <c r="KYP52" s="1167"/>
      <c r="KYQ52" s="1167"/>
      <c r="KYR52" s="1167"/>
      <c r="KYS52" s="1167"/>
      <c r="KYT52" s="1142"/>
      <c r="KYU52" s="1142"/>
      <c r="KYV52" s="1142"/>
      <c r="KYW52" s="1142"/>
      <c r="KYX52" s="1142"/>
      <c r="KYY52" s="1142"/>
      <c r="KYZ52" s="1142"/>
      <c r="KZA52" s="1142"/>
      <c r="KZB52" s="1142"/>
      <c r="KZC52" s="1142"/>
      <c r="KZD52" s="1142"/>
      <c r="KZE52" s="1142"/>
      <c r="KZF52" s="1142"/>
      <c r="KZG52" s="1142"/>
      <c r="KZH52" s="1142"/>
      <c r="KZI52" s="1142"/>
      <c r="KZJ52" s="1142"/>
      <c r="KZK52" s="1142"/>
      <c r="KZL52" s="1142"/>
      <c r="KZM52" s="1142"/>
      <c r="KZN52" s="1142"/>
      <c r="KZO52" s="1142"/>
      <c r="KZP52" s="1142"/>
      <c r="KZQ52" s="1167"/>
      <c r="KZR52" s="1167"/>
      <c r="KZS52" s="1167"/>
      <c r="KZT52" s="1167"/>
      <c r="KZU52" s="1167"/>
      <c r="KZV52" s="1167"/>
      <c r="KZW52" s="1167"/>
      <c r="KZX52" s="1167"/>
      <c r="KZY52" s="1167"/>
      <c r="KZZ52" s="1142"/>
      <c r="LAA52" s="1142"/>
      <c r="LAB52" s="1142"/>
      <c r="LAC52" s="1142"/>
      <c r="LAD52" s="1142"/>
      <c r="LAE52" s="1142"/>
      <c r="LAF52" s="1142"/>
      <c r="LAG52" s="1142"/>
      <c r="LAH52" s="1142"/>
      <c r="LAI52" s="1142"/>
      <c r="LAJ52" s="1142"/>
      <c r="LAK52" s="1142"/>
      <c r="LAL52" s="1142"/>
      <c r="LAM52" s="1142"/>
      <c r="LAN52" s="1142"/>
      <c r="LAO52" s="1142"/>
      <c r="LAP52" s="1142"/>
      <c r="LAQ52" s="1142"/>
      <c r="LAR52" s="1142"/>
      <c r="LAS52" s="1142"/>
      <c r="LAT52" s="1142"/>
      <c r="LAU52" s="1142"/>
      <c r="LAV52" s="1142"/>
      <c r="LAW52" s="1167"/>
      <c r="LAX52" s="1167"/>
      <c r="LAY52" s="1167"/>
      <c r="LAZ52" s="1167"/>
      <c r="LBA52" s="1167"/>
      <c r="LBB52" s="1167"/>
      <c r="LBC52" s="1167"/>
      <c r="LBD52" s="1167"/>
      <c r="LBE52" s="1167"/>
      <c r="LBF52" s="1142"/>
      <c r="LBG52" s="1142"/>
      <c r="LBH52" s="1142"/>
      <c r="LBI52" s="1142"/>
      <c r="LBJ52" s="1142"/>
      <c r="LBK52" s="1142"/>
      <c r="LBL52" s="1142"/>
      <c r="LBM52" s="1142"/>
      <c r="LBN52" s="1142"/>
      <c r="LBO52" s="1142"/>
      <c r="LBP52" s="1142"/>
      <c r="LBQ52" s="1142"/>
      <c r="LBR52" s="1142"/>
      <c r="LBS52" s="1142"/>
      <c r="LBT52" s="1142"/>
      <c r="LBU52" s="1142"/>
      <c r="LBV52" s="1142"/>
      <c r="LBW52" s="1142"/>
      <c r="LBX52" s="1142"/>
      <c r="LBY52" s="1142"/>
      <c r="LBZ52" s="1142"/>
      <c r="LCA52" s="1142"/>
      <c r="LCB52" s="1142"/>
      <c r="LCC52" s="1167"/>
      <c r="LCD52" s="1167"/>
      <c r="LCE52" s="1167"/>
      <c r="LCF52" s="1167"/>
      <c r="LCG52" s="1167"/>
      <c r="LCH52" s="1167"/>
      <c r="LCI52" s="1167"/>
      <c r="LCJ52" s="1167"/>
      <c r="LCK52" s="1167"/>
      <c r="LCL52" s="1142"/>
      <c r="LCM52" s="1142"/>
      <c r="LCN52" s="1142"/>
      <c r="LCO52" s="1142"/>
      <c r="LCP52" s="1142"/>
      <c r="LCQ52" s="1142"/>
      <c r="LCR52" s="1142"/>
      <c r="LCS52" s="1142"/>
      <c r="LCT52" s="1142"/>
      <c r="LCU52" s="1142"/>
      <c r="LCV52" s="1142"/>
      <c r="LCW52" s="1142"/>
      <c r="LCX52" s="1142"/>
      <c r="LCY52" s="1142"/>
      <c r="LCZ52" s="1142"/>
      <c r="LDA52" s="1142"/>
      <c r="LDB52" s="1142"/>
      <c r="LDC52" s="1142"/>
      <c r="LDD52" s="1142"/>
      <c r="LDE52" s="1142"/>
      <c r="LDF52" s="1142"/>
      <c r="LDG52" s="1142"/>
      <c r="LDH52" s="1142"/>
      <c r="LDI52" s="1167"/>
      <c r="LDJ52" s="1167"/>
      <c r="LDK52" s="1167"/>
      <c r="LDL52" s="1167"/>
      <c r="LDM52" s="1167"/>
      <c r="LDN52" s="1167"/>
      <c r="LDO52" s="1167"/>
      <c r="LDP52" s="1167"/>
      <c r="LDQ52" s="1167"/>
      <c r="LDR52" s="1142"/>
      <c r="LDS52" s="1142"/>
      <c r="LDT52" s="1142"/>
      <c r="LDU52" s="1142"/>
      <c r="LDV52" s="1142"/>
      <c r="LDW52" s="1142"/>
      <c r="LDX52" s="1142"/>
      <c r="LDY52" s="1142"/>
      <c r="LDZ52" s="1142"/>
      <c r="LEA52" s="1142"/>
      <c r="LEB52" s="1142"/>
      <c r="LEC52" s="1142"/>
      <c r="LED52" s="1142"/>
      <c r="LEE52" s="1142"/>
      <c r="LEF52" s="1142"/>
      <c r="LEG52" s="1142"/>
      <c r="LEH52" s="1142"/>
      <c r="LEI52" s="1142"/>
      <c r="LEJ52" s="1142"/>
      <c r="LEK52" s="1142"/>
      <c r="LEL52" s="1142"/>
      <c r="LEM52" s="1142"/>
      <c r="LEN52" s="1142"/>
      <c r="LEO52" s="1167"/>
      <c r="LEP52" s="1167"/>
      <c r="LEQ52" s="1167"/>
      <c r="LER52" s="1167"/>
      <c r="LES52" s="1167"/>
      <c r="LET52" s="1167"/>
      <c r="LEU52" s="1167"/>
      <c r="LEV52" s="1167"/>
      <c r="LEW52" s="1167"/>
      <c r="LEX52" s="1142"/>
      <c r="LEY52" s="1142"/>
      <c r="LEZ52" s="1142"/>
      <c r="LFA52" s="1142"/>
      <c r="LFB52" s="1142"/>
      <c r="LFC52" s="1142"/>
      <c r="LFD52" s="1142"/>
      <c r="LFE52" s="1142"/>
      <c r="LFF52" s="1142"/>
      <c r="LFG52" s="1142"/>
      <c r="LFH52" s="1142"/>
      <c r="LFI52" s="1142"/>
      <c r="LFJ52" s="1142"/>
      <c r="LFK52" s="1142"/>
      <c r="LFL52" s="1142"/>
      <c r="LFM52" s="1142"/>
      <c r="LFN52" s="1142"/>
      <c r="LFO52" s="1142"/>
      <c r="LFP52" s="1142"/>
      <c r="LFQ52" s="1142"/>
      <c r="LFR52" s="1142"/>
      <c r="LFS52" s="1142"/>
      <c r="LFT52" s="1142"/>
      <c r="LFU52" s="1167"/>
      <c r="LFV52" s="1167"/>
      <c r="LFW52" s="1167"/>
      <c r="LFX52" s="1167"/>
      <c r="LFY52" s="1167"/>
      <c r="LFZ52" s="1167"/>
      <c r="LGA52" s="1167"/>
      <c r="LGB52" s="1167"/>
      <c r="LGC52" s="1167"/>
      <c r="LGD52" s="1142"/>
      <c r="LGE52" s="1142"/>
      <c r="LGF52" s="1142"/>
      <c r="LGG52" s="1142"/>
      <c r="LGH52" s="1142"/>
      <c r="LGI52" s="1142"/>
      <c r="LGJ52" s="1142"/>
      <c r="LGK52" s="1142"/>
      <c r="LGL52" s="1142"/>
      <c r="LGM52" s="1142"/>
      <c r="LGN52" s="1142"/>
      <c r="LGO52" s="1142"/>
      <c r="LGP52" s="1142"/>
      <c r="LGQ52" s="1142"/>
      <c r="LGR52" s="1142"/>
      <c r="LGS52" s="1142"/>
      <c r="LGT52" s="1142"/>
      <c r="LGU52" s="1142"/>
      <c r="LGV52" s="1142"/>
      <c r="LGW52" s="1142"/>
      <c r="LGX52" s="1142"/>
      <c r="LGY52" s="1142"/>
      <c r="LGZ52" s="1142"/>
      <c r="LHA52" s="1167"/>
      <c r="LHB52" s="1167"/>
      <c r="LHC52" s="1167"/>
      <c r="LHD52" s="1167"/>
      <c r="LHE52" s="1167"/>
      <c r="LHF52" s="1167"/>
      <c r="LHG52" s="1167"/>
      <c r="LHH52" s="1167"/>
      <c r="LHI52" s="1167"/>
      <c r="LHJ52" s="1142"/>
      <c r="LHK52" s="1142"/>
      <c r="LHL52" s="1142"/>
      <c r="LHM52" s="1142"/>
      <c r="LHN52" s="1142"/>
      <c r="LHO52" s="1142"/>
      <c r="LHP52" s="1142"/>
      <c r="LHQ52" s="1142"/>
      <c r="LHR52" s="1142"/>
      <c r="LHS52" s="1142"/>
      <c r="LHT52" s="1142"/>
      <c r="LHU52" s="1142"/>
      <c r="LHV52" s="1142"/>
      <c r="LHW52" s="1142"/>
      <c r="LHX52" s="1142"/>
      <c r="LHY52" s="1142"/>
      <c r="LHZ52" s="1142"/>
      <c r="LIA52" s="1142"/>
      <c r="LIB52" s="1142"/>
      <c r="LIC52" s="1142"/>
      <c r="LID52" s="1142"/>
      <c r="LIE52" s="1142"/>
      <c r="LIF52" s="1142"/>
      <c r="LIG52" s="1167"/>
      <c r="LIH52" s="1167"/>
      <c r="LII52" s="1167"/>
      <c r="LIJ52" s="1167"/>
      <c r="LIK52" s="1167"/>
      <c r="LIL52" s="1167"/>
      <c r="LIM52" s="1167"/>
      <c r="LIN52" s="1167"/>
      <c r="LIO52" s="1167"/>
      <c r="LIP52" s="1142"/>
      <c r="LIQ52" s="1142"/>
      <c r="LIR52" s="1142"/>
      <c r="LIS52" s="1142"/>
      <c r="LIT52" s="1142"/>
      <c r="LIU52" s="1142"/>
      <c r="LIV52" s="1142"/>
      <c r="LIW52" s="1142"/>
      <c r="LIX52" s="1142"/>
      <c r="LIY52" s="1142"/>
      <c r="LIZ52" s="1142"/>
      <c r="LJA52" s="1142"/>
      <c r="LJB52" s="1142"/>
      <c r="LJC52" s="1142"/>
      <c r="LJD52" s="1142"/>
      <c r="LJE52" s="1142"/>
      <c r="LJF52" s="1142"/>
      <c r="LJG52" s="1142"/>
      <c r="LJH52" s="1142"/>
      <c r="LJI52" s="1142"/>
      <c r="LJJ52" s="1142"/>
      <c r="LJK52" s="1142"/>
      <c r="LJL52" s="1142"/>
      <c r="LJM52" s="1167"/>
      <c r="LJN52" s="1167"/>
      <c r="LJO52" s="1167"/>
      <c r="LJP52" s="1167"/>
      <c r="LJQ52" s="1167"/>
      <c r="LJR52" s="1167"/>
      <c r="LJS52" s="1167"/>
      <c r="LJT52" s="1167"/>
      <c r="LJU52" s="1167"/>
      <c r="LJV52" s="1142"/>
      <c r="LJW52" s="1142"/>
      <c r="LJX52" s="1142"/>
      <c r="LJY52" s="1142"/>
      <c r="LJZ52" s="1142"/>
      <c r="LKA52" s="1142"/>
      <c r="LKB52" s="1142"/>
      <c r="LKC52" s="1142"/>
      <c r="LKD52" s="1142"/>
      <c r="LKE52" s="1142"/>
      <c r="LKF52" s="1142"/>
      <c r="LKG52" s="1142"/>
      <c r="LKH52" s="1142"/>
      <c r="LKI52" s="1142"/>
      <c r="LKJ52" s="1142"/>
      <c r="LKK52" s="1142"/>
      <c r="LKL52" s="1142"/>
      <c r="LKM52" s="1142"/>
      <c r="LKN52" s="1142"/>
      <c r="LKO52" s="1142"/>
      <c r="LKP52" s="1142"/>
      <c r="LKQ52" s="1142"/>
      <c r="LKR52" s="1142"/>
      <c r="LKS52" s="1167"/>
      <c r="LKT52" s="1167"/>
      <c r="LKU52" s="1167"/>
      <c r="LKV52" s="1167"/>
      <c r="LKW52" s="1167"/>
      <c r="LKX52" s="1167"/>
      <c r="LKY52" s="1167"/>
      <c r="LKZ52" s="1167"/>
      <c r="LLA52" s="1167"/>
      <c r="LLB52" s="1142"/>
      <c r="LLC52" s="1142"/>
      <c r="LLD52" s="1142"/>
      <c r="LLE52" s="1142"/>
      <c r="LLF52" s="1142"/>
      <c r="LLG52" s="1142"/>
      <c r="LLH52" s="1142"/>
      <c r="LLI52" s="1142"/>
      <c r="LLJ52" s="1142"/>
      <c r="LLK52" s="1142"/>
      <c r="LLL52" s="1142"/>
      <c r="LLM52" s="1142"/>
      <c r="LLN52" s="1142"/>
      <c r="LLO52" s="1142"/>
      <c r="LLP52" s="1142"/>
      <c r="LLQ52" s="1142"/>
      <c r="LLR52" s="1142"/>
      <c r="LLS52" s="1142"/>
      <c r="LLT52" s="1142"/>
      <c r="LLU52" s="1142"/>
      <c r="LLV52" s="1142"/>
      <c r="LLW52" s="1142"/>
      <c r="LLX52" s="1142"/>
      <c r="LLY52" s="1167"/>
      <c r="LLZ52" s="1167"/>
      <c r="LMA52" s="1167"/>
      <c r="LMB52" s="1167"/>
      <c r="LMC52" s="1167"/>
      <c r="LMD52" s="1167"/>
      <c r="LME52" s="1167"/>
      <c r="LMF52" s="1167"/>
      <c r="LMG52" s="1167"/>
      <c r="LMH52" s="1142"/>
      <c r="LMI52" s="1142"/>
      <c r="LMJ52" s="1142"/>
      <c r="LMK52" s="1142"/>
      <c r="LML52" s="1142"/>
      <c r="LMM52" s="1142"/>
      <c r="LMN52" s="1142"/>
      <c r="LMO52" s="1142"/>
      <c r="LMP52" s="1142"/>
      <c r="LMQ52" s="1142"/>
      <c r="LMR52" s="1142"/>
      <c r="LMS52" s="1142"/>
      <c r="LMT52" s="1142"/>
      <c r="LMU52" s="1142"/>
      <c r="LMV52" s="1142"/>
      <c r="LMW52" s="1142"/>
      <c r="LMX52" s="1142"/>
      <c r="LMY52" s="1142"/>
      <c r="LMZ52" s="1142"/>
      <c r="LNA52" s="1142"/>
      <c r="LNB52" s="1142"/>
      <c r="LNC52" s="1142"/>
      <c r="LND52" s="1142"/>
      <c r="LNE52" s="1167"/>
      <c r="LNF52" s="1167"/>
      <c r="LNG52" s="1167"/>
      <c r="LNH52" s="1167"/>
      <c r="LNI52" s="1167"/>
      <c r="LNJ52" s="1167"/>
      <c r="LNK52" s="1167"/>
      <c r="LNL52" s="1167"/>
      <c r="LNM52" s="1167"/>
      <c r="LNN52" s="1142"/>
      <c r="LNO52" s="1142"/>
      <c r="LNP52" s="1142"/>
      <c r="LNQ52" s="1142"/>
      <c r="LNR52" s="1142"/>
      <c r="LNS52" s="1142"/>
      <c r="LNT52" s="1142"/>
      <c r="LNU52" s="1142"/>
      <c r="LNV52" s="1142"/>
      <c r="LNW52" s="1142"/>
      <c r="LNX52" s="1142"/>
      <c r="LNY52" s="1142"/>
      <c r="LNZ52" s="1142"/>
      <c r="LOA52" s="1142"/>
      <c r="LOB52" s="1142"/>
      <c r="LOC52" s="1142"/>
      <c r="LOD52" s="1142"/>
      <c r="LOE52" s="1142"/>
      <c r="LOF52" s="1142"/>
      <c r="LOG52" s="1142"/>
      <c r="LOH52" s="1142"/>
      <c r="LOI52" s="1142"/>
      <c r="LOJ52" s="1142"/>
      <c r="LOK52" s="1167"/>
      <c r="LOL52" s="1167"/>
      <c r="LOM52" s="1167"/>
      <c r="LON52" s="1167"/>
      <c r="LOO52" s="1167"/>
      <c r="LOP52" s="1167"/>
      <c r="LOQ52" s="1167"/>
      <c r="LOR52" s="1167"/>
      <c r="LOS52" s="1167"/>
      <c r="LOT52" s="1142"/>
      <c r="LOU52" s="1142"/>
      <c r="LOV52" s="1142"/>
      <c r="LOW52" s="1142"/>
      <c r="LOX52" s="1142"/>
      <c r="LOY52" s="1142"/>
      <c r="LOZ52" s="1142"/>
      <c r="LPA52" s="1142"/>
      <c r="LPB52" s="1142"/>
      <c r="LPC52" s="1142"/>
      <c r="LPD52" s="1142"/>
      <c r="LPE52" s="1142"/>
      <c r="LPF52" s="1142"/>
      <c r="LPG52" s="1142"/>
      <c r="LPH52" s="1142"/>
      <c r="LPI52" s="1142"/>
      <c r="LPJ52" s="1142"/>
      <c r="LPK52" s="1142"/>
      <c r="LPL52" s="1142"/>
      <c r="LPM52" s="1142"/>
      <c r="LPN52" s="1142"/>
      <c r="LPO52" s="1142"/>
      <c r="LPP52" s="1142"/>
      <c r="LPQ52" s="1167"/>
      <c r="LPR52" s="1167"/>
      <c r="LPS52" s="1167"/>
      <c r="LPT52" s="1167"/>
      <c r="LPU52" s="1167"/>
      <c r="LPV52" s="1167"/>
      <c r="LPW52" s="1167"/>
      <c r="LPX52" s="1167"/>
      <c r="LPY52" s="1167"/>
      <c r="LPZ52" s="1142"/>
      <c r="LQA52" s="1142"/>
      <c r="LQB52" s="1142"/>
      <c r="LQC52" s="1142"/>
      <c r="LQD52" s="1142"/>
      <c r="LQE52" s="1142"/>
      <c r="LQF52" s="1142"/>
      <c r="LQG52" s="1142"/>
      <c r="LQH52" s="1142"/>
      <c r="LQI52" s="1142"/>
      <c r="LQJ52" s="1142"/>
      <c r="LQK52" s="1142"/>
      <c r="LQL52" s="1142"/>
      <c r="LQM52" s="1142"/>
      <c r="LQN52" s="1142"/>
      <c r="LQO52" s="1142"/>
      <c r="LQP52" s="1142"/>
      <c r="LQQ52" s="1142"/>
      <c r="LQR52" s="1142"/>
      <c r="LQS52" s="1142"/>
      <c r="LQT52" s="1142"/>
      <c r="LQU52" s="1142"/>
      <c r="LQV52" s="1142"/>
      <c r="LQW52" s="1167"/>
      <c r="LQX52" s="1167"/>
      <c r="LQY52" s="1167"/>
      <c r="LQZ52" s="1167"/>
      <c r="LRA52" s="1167"/>
      <c r="LRB52" s="1167"/>
      <c r="LRC52" s="1167"/>
      <c r="LRD52" s="1167"/>
      <c r="LRE52" s="1167"/>
      <c r="LRF52" s="1142"/>
      <c r="LRG52" s="1142"/>
      <c r="LRH52" s="1142"/>
      <c r="LRI52" s="1142"/>
      <c r="LRJ52" s="1142"/>
      <c r="LRK52" s="1142"/>
      <c r="LRL52" s="1142"/>
      <c r="LRM52" s="1142"/>
      <c r="LRN52" s="1142"/>
      <c r="LRO52" s="1142"/>
      <c r="LRP52" s="1142"/>
      <c r="LRQ52" s="1142"/>
      <c r="LRR52" s="1142"/>
      <c r="LRS52" s="1142"/>
      <c r="LRT52" s="1142"/>
      <c r="LRU52" s="1142"/>
      <c r="LRV52" s="1142"/>
      <c r="LRW52" s="1142"/>
      <c r="LRX52" s="1142"/>
      <c r="LRY52" s="1142"/>
      <c r="LRZ52" s="1142"/>
      <c r="LSA52" s="1142"/>
      <c r="LSB52" s="1142"/>
      <c r="LSC52" s="1167"/>
      <c r="LSD52" s="1167"/>
      <c r="LSE52" s="1167"/>
      <c r="LSF52" s="1167"/>
      <c r="LSG52" s="1167"/>
      <c r="LSH52" s="1167"/>
      <c r="LSI52" s="1167"/>
      <c r="LSJ52" s="1167"/>
      <c r="LSK52" s="1167"/>
      <c r="LSL52" s="1142"/>
      <c r="LSM52" s="1142"/>
      <c r="LSN52" s="1142"/>
      <c r="LSO52" s="1142"/>
      <c r="LSP52" s="1142"/>
      <c r="LSQ52" s="1142"/>
      <c r="LSR52" s="1142"/>
      <c r="LSS52" s="1142"/>
      <c r="LST52" s="1142"/>
      <c r="LSU52" s="1142"/>
      <c r="LSV52" s="1142"/>
      <c r="LSW52" s="1142"/>
      <c r="LSX52" s="1142"/>
      <c r="LSY52" s="1142"/>
      <c r="LSZ52" s="1142"/>
      <c r="LTA52" s="1142"/>
      <c r="LTB52" s="1142"/>
      <c r="LTC52" s="1142"/>
      <c r="LTD52" s="1142"/>
      <c r="LTE52" s="1142"/>
      <c r="LTF52" s="1142"/>
      <c r="LTG52" s="1142"/>
      <c r="LTH52" s="1142"/>
      <c r="LTI52" s="1167"/>
      <c r="LTJ52" s="1167"/>
      <c r="LTK52" s="1167"/>
      <c r="LTL52" s="1167"/>
      <c r="LTM52" s="1167"/>
      <c r="LTN52" s="1167"/>
      <c r="LTO52" s="1167"/>
      <c r="LTP52" s="1167"/>
      <c r="LTQ52" s="1167"/>
      <c r="LTR52" s="1142"/>
      <c r="LTS52" s="1142"/>
      <c r="LTT52" s="1142"/>
      <c r="LTU52" s="1142"/>
      <c r="LTV52" s="1142"/>
      <c r="LTW52" s="1142"/>
      <c r="LTX52" s="1142"/>
      <c r="LTY52" s="1142"/>
      <c r="LTZ52" s="1142"/>
      <c r="LUA52" s="1142"/>
      <c r="LUB52" s="1142"/>
      <c r="LUC52" s="1142"/>
      <c r="LUD52" s="1142"/>
      <c r="LUE52" s="1142"/>
      <c r="LUF52" s="1142"/>
      <c r="LUG52" s="1142"/>
      <c r="LUH52" s="1142"/>
      <c r="LUI52" s="1142"/>
      <c r="LUJ52" s="1142"/>
      <c r="LUK52" s="1142"/>
      <c r="LUL52" s="1142"/>
      <c r="LUM52" s="1142"/>
      <c r="LUN52" s="1142"/>
      <c r="LUO52" s="1167"/>
      <c r="LUP52" s="1167"/>
      <c r="LUQ52" s="1167"/>
      <c r="LUR52" s="1167"/>
      <c r="LUS52" s="1167"/>
      <c r="LUT52" s="1167"/>
      <c r="LUU52" s="1167"/>
      <c r="LUV52" s="1167"/>
      <c r="LUW52" s="1167"/>
      <c r="LUX52" s="1142"/>
      <c r="LUY52" s="1142"/>
      <c r="LUZ52" s="1142"/>
      <c r="LVA52" s="1142"/>
      <c r="LVB52" s="1142"/>
      <c r="LVC52" s="1142"/>
      <c r="LVD52" s="1142"/>
      <c r="LVE52" s="1142"/>
      <c r="LVF52" s="1142"/>
      <c r="LVG52" s="1142"/>
      <c r="LVH52" s="1142"/>
      <c r="LVI52" s="1142"/>
      <c r="LVJ52" s="1142"/>
      <c r="LVK52" s="1142"/>
      <c r="LVL52" s="1142"/>
      <c r="LVM52" s="1142"/>
      <c r="LVN52" s="1142"/>
      <c r="LVO52" s="1142"/>
      <c r="LVP52" s="1142"/>
      <c r="LVQ52" s="1142"/>
      <c r="LVR52" s="1142"/>
      <c r="LVS52" s="1142"/>
      <c r="LVT52" s="1142"/>
      <c r="LVU52" s="1167"/>
      <c r="LVV52" s="1167"/>
      <c r="LVW52" s="1167"/>
      <c r="LVX52" s="1167"/>
      <c r="LVY52" s="1167"/>
      <c r="LVZ52" s="1167"/>
      <c r="LWA52" s="1167"/>
      <c r="LWB52" s="1167"/>
      <c r="LWC52" s="1167"/>
      <c r="LWD52" s="1142"/>
      <c r="LWE52" s="1142"/>
      <c r="LWF52" s="1142"/>
      <c r="LWG52" s="1142"/>
      <c r="LWH52" s="1142"/>
      <c r="LWI52" s="1142"/>
      <c r="LWJ52" s="1142"/>
      <c r="LWK52" s="1142"/>
      <c r="LWL52" s="1142"/>
      <c r="LWM52" s="1142"/>
      <c r="LWN52" s="1142"/>
      <c r="LWO52" s="1142"/>
      <c r="LWP52" s="1142"/>
      <c r="LWQ52" s="1142"/>
      <c r="LWR52" s="1142"/>
      <c r="LWS52" s="1142"/>
      <c r="LWT52" s="1142"/>
      <c r="LWU52" s="1142"/>
      <c r="LWV52" s="1142"/>
      <c r="LWW52" s="1142"/>
      <c r="LWX52" s="1142"/>
      <c r="LWY52" s="1142"/>
      <c r="LWZ52" s="1142"/>
      <c r="LXA52" s="1167"/>
      <c r="LXB52" s="1167"/>
      <c r="LXC52" s="1167"/>
      <c r="LXD52" s="1167"/>
      <c r="LXE52" s="1167"/>
      <c r="LXF52" s="1167"/>
      <c r="LXG52" s="1167"/>
      <c r="LXH52" s="1167"/>
      <c r="LXI52" s="1167"/>
      <c r="LXJ52" s="1142"/>
      <c r="LXK52" s="1142"/>
      <c r="LXL52" s="1142"/>
      <c r="LXM52" s="1142"/>
      <c r="LXN52" s="1142"/>
      <c r="LXO52" s="1142"/>
      <c r="LXP52" s="1142"/>
      <c r="LXQ52" s="1142"/>
      <c r="LXR52" s="1142"/>
      <c r="LXS52" s="1142"/>
      <c r="LXT52" s="1142"/>
      <c r="LXU52" s="1142"/>
      <c r="LXV52" s="1142"/>
      <c r="LXW52" s="1142"/>
      <c r="LXX52" s="1142"/>
      <c r="LXY52" s="1142"/>
      <c r="LXZ52" s="1142"/>
      <c r="LYA52" s="1142"/>
      <c r="LYB52" s="1142"/>
      <c r="LYC52" s="1142"/>
      <c r="LYD52" s="1142"/>
      <c r="LYE52" s="1142"/>
      <c r="LYF52" s="1142"/>
      <c r="LYG52" s="1167"/>
      <c r="LYH52" s="1167"/>
      <c r="LYI52" s="1167"/>
      <c r="LYJ52" s="1167"/>
      <c r="LYK52" s="1167"/>
      <c r="LYL52" s="1167"/>
      <c r="LYM52" s="1167"/>
      <c r="LYN52" s="1167"/>
      <c r="LYO52" s="1167"/>
      <c r="LYP52" s="1142"/>
      <c r="LYQ52" s="1142"/>
      <c r="LYR52" s="1142"/>
      <c r="LYS52" s="1142"/>
      <c r="LYT52" s="1142"/>
      <c r="LYU52" s="1142"/>
      <c r="LYV52" s="1142"/>
      <c r="LYW52" s="1142"/>
      <c r="LYX52" s="1142"/>
      <c r="LYY52" s="1142"/>
      <c r="LYZ52" s="1142"/>
      <c r="LZA52" s="1142"/>
      <c r="LZB52" s="1142"/>
      <c r="LZC52" s="1142"/>
      <c r="LZD52" s="1142"/>
      <c r="LZE52" s="1142"/>
      <c r="LZF52" s="1142"/>
      <c r="LZG52" s="1142"/>
      <c r="LZH52" s="1142"/>
      <c r="LZI52" s="1142"/>
      <c r="LZJ52" s="1142"/>
      <c r="LZK52" s="1142"/>
      <c r="LZL52" s="1142"/>
      <c r="LZM52" s="1167"/>
      <c r="LZN52" s="1167"/>
      <c r="LZO52" s="1167"/>
      <c r="LZP52" s="1167"/>
      <c r="LZQ52" s="1167"/>
      <c r="LZR52" s="1167"/>
      <c r="LZS52" s="1167"/>
      <c r="LZT52" s="1167"/>
      <c r="LZU52" s="1167"/>
      <c r="LZV52" s="1142"/>
      <c r="LZW52" s="1142"/>
      <c r="LZX52" s="1142"/>
      <c r="LZY52" s="1142"/>
      <c r="LZZ52" s="1142"/>
      <c r="MAA52" s="1142"/>
      <c r="MAB52" s="1142"/>
      <c r="MAC52" s="1142"/>
      <c r="MAD52" s="1142"/>
      <c r="MAE52" s="1142"/>
      <c r="MAF52" s="1142"/>
      <c r="MAG52" s="1142"/>
      <c r="MAH52" s="1142"/>
      <c r="MAI52" s="1142"/>
      <c r="MAJ52" s="1142"/>
      <c r="MAK52" s="1142"/>
      <c r="MAL52" s="1142"/>
      <c r="MAM52" s="1142"/>
      <c r="MAN52" s="1142"/>
      <c r="MAO52" s="1142"/>
      <c r="MAP52" s="1142"/>
      <c r="MAQ52" s="1142"/>
      <c r="MAR52" s="1142"/>
      <c r="MAS52" s="1167"/>
      <c r="MAT52" s="1167"/>
      <c r="MAU52" s="1167"/>
      <c r="MAV52" s="1167"/>
      <c r="MAW52" s="1167"/>
      <c r="MAX52" s="1167"/>
      <c r="MAY52" s="1167"/>
      <c r="MAZ52" s="1167"/>
      <c r="MBA52" s="1167"/>
      <c r="MBB52" s="1142"/>
      <c r="MBC52" s="1142"/>
      <c r="MBD52" s="1142"/>
      <c r="MBE52" s="1142"/>
      <c r="MBF52" s="1142"/>
      <c r="MBG52" s="1142"/>
      <c r="MBH52" s="1142"/>
      <c r="MBI52" s="1142"/>
      <c r="MBJ52" s="1142"/>
      <c r="MBK52" s="1142"/>
      <c r="MBL52" s="1142"/>
      <c r="MBM52" s="1142"/>
      <c r="MBN52" s="1142"/>
      <c r="MBO52" s="1142"/>
      <c r="MBP52" s="1142"/>
      <c r="MBQ52" s="1142"/>
      <c r="MBR52" s="1142"/>
      <c r="MBS52" s="1142"/>
      <c r="MBT52" s="1142"/>
      <c r="MBU52" s="1142"/>
      <c r="MBV52" s="1142"/>
      <c r="MBW52" s="1142"/>
      <c r="MBX52" s="1142"/>
      <c r="MBY52" s="1167"/>
      <c r="MBZ52" s="1167"/>
      <c r="MCA52" s="1167"/>
      <c r="MCB52" s="1167"/>
      <c r="MCC52" s="1167"/>
      <c r="MCD52" s="1167"/>
      <c r="MCE52" s="1167"/>
      <c r="MCF52" s="1167"/>
      <c r="MCG52" s="1167"/>
      <c r="MCH52" s="1142"/>
      <c r="MCI52" s="1142"/>
      <c r="MCJ52" s="1142"/>
      <c r="MCK52" s="1142"/>
      <c r="MCL52" s="1142"/>
      <c r="MCM52" s="1142"/>
      <c r="MCN52" s="1142"/>
      <c r="MCO52" s="1142"/>
      <c r="MCP52" s="1142"/>
      <c r="MCQ52" s="1142"/>
      <c r="MCR52" s="1142"/>
      <c r="MCS52" s="1142"/>
      <c r="MCT52" s="1142"/>
      <c r="MCU52" s="1142"/>
      <c r="MCV52" s="1142"/>
      <c r="MCW52" s="1142"/>
      <c r="MCX52" s="1142"/>
      <c r="MCY52" s="1142"/>
      <c r="MCZ52" s="1142"/>
      <c r="MDA52" s="1142"/>
      <c r="MDB52" s="1142"/>
      <c r="MDC52" s="1142"/>
      <c r="MDD52" s="1142"/>
      <c r="MDE52" s="1167"/>
      <c r="MDF52" s="1167"/>
      <c r="MDG52" s="1167"/>
      <c r="MDH52" s="1167"/>
      <c r="MDI52" s="1167"/>
      <c r="MDJ52" s="1167"/>
      <c r="MDK52" s="1167"/>
      <c r="MDL52" s="1167"/>
      <c r="MDM52" s="1167"/>
      <c r="MDN52" s="1142"/>
      <c r="MDO52" s="1142"/>
      <c r="MDP52" s="1142"/>
      <c r="MDQ52" s="1142"/>
      <c r="MDR52" s="1142"/>
      <c r="MDS52" s="1142"/>
      <c r="MDT52" s="1142"/>
      <c r="MDU52" s="1142"/>
      <c r="MDV52" s="1142"/>
      <c r="MDW52" s="1142"/>
      <c r="MDX52" s="1142"/>
      <c r="MDY52" s="1142"/>
      <c r="MDZ52" s="1142"/>
      <c r="MEA52" s="1142"/>
      <c r="MEB52" s="1142"/>
      <c r="MEC52" s="1142"/>
      <c r="MED52" s="1142"/>
      <c r="MEE52" s="1142"/>
      <c r="MEF52" s="1142"/>
      <c r="MEG52" s="1142"/>
      <c r="MEH52" s="1142"/>
      <c r="MEI52" s="1142"/>
      <c r="MEJ52" s="1142"/>
      <c r="MEK52" s="1167"/>
      <c r="MEL52" s="1167"/>
      <c r="MEM52" s="1167"/>
      <c r="MEN52" s="1167"/>
      <c r="MEO52" s="1167"/>
      <c r="MEP52" s="1167"/>
      <c r="MEQ52" s="1167"/>
      <c r="MER52" s="1167"/>
      <c r="MES52" s="1167"/>
      <c r="MET52" s="1142"/>
      <c r="MEU52" s="1142"/>
      <c r="MEV52" s="1142"/>
      <c r="MEW52" s="1142"/>
      <c r="MEX52" s="1142"/>
      <c r="MEY52" s="1142"/>
      <c r="MEZ52" s="1142"/>
      <c r="MFA52" s="1142"/>
      <c r="MFB52" s="1142"/>
      <c r="MFC52" s="1142"/>
      <c r="MFD52" s="1142"/>
      <c r="MFE52" s="1142"/>
      <c r="MFF52" s="1142"/>
      <c r="MFG52" s="1142"/>
      <c r="MFH52" s="1142"/>
      <c r="MFI52" s="1142"/>
      <c r="MFJ52" s="1142"/>
      <c r="MFK52" s="1142"/>
      <c r="MFL52" s="1142"/>
      <c r="MFM52" s="1142"/>
      <c r="MFN52" s="1142"/>
      <c r="MFO52" s="1142"/>
      <c r="MFP52" s="1142"/>
      <c r="MFQ52" s="1167"/>
      <c r="MFR52" s="1167"/>
      <c r="MFS52" s="1167"/>
      <c r="MFT52" s="1167"/>
      <c r="MFU52" s="1167"/>
      <c r="MFV52" s="1167"/>
      <c r="MFW52" s="1167"/>
      <c r="MFX52" s="1167"/>
      <c r="MFY52" s="1167"/>
      <c r="MFZ52" s="1142"/>
      <c r="MGA52" s="1142"/>
      <c r="MGB52" s="1142"/>
      <c r="MGC52" s="1142"/>
      <c r="MGD52" s="1142"/>
      <c r="MGE52" s="1142"/>
      <c r="MGF52" s="1142"/>
      <c r="MGG52" s="1142"/>
      <c r="MGH52" s="1142"/>
      <c r="MGI52" s="1142"/>
      <c r="MGJ52" s="1142"/>
      <c r="MGK52" s="1142"/>
      <c r="MGL52" s="1142"/>
      <c r="MGM52" s="1142"/>
      <c r="MGN52" s="1142"/>
      <c r="MGO52" s="1142"/>
      <c r="MGP52" s="1142"/>
      <c r="MGQ52" s="1142"/>
      <c r="MGR52" s="1142"/>
      <c r="MGS52" s="1142"/>
      <c r="MGT52" s="1142"/>
      <c r="MGU52" s="1142"/>
      <c r="MGV52" s="1142"/>
      <c r="MGW52" s="1167"/>
      <c r="MGX52" s="1167"/>
      <c r="MGY52" s="1167"/>
      <c r="MGZ52" s="1167"/>
      <c r="MHA52" s="1167"/>
      <c r="MHB52" s="1167"/>
      <c r="MHC52" s="1167"/>
      <c r="MHD52" s="1167"/>
      <c r="MHE52" s="1167"/>
      <c r="MHF52" s="1142"/>
      <c r="MHG52" s="1142"/>
      <c r="MHH52" s="1142"/>
      <c r="MHI52" s="1142"/>
      <c r="MHJ52" s="1142"/>
      <c r="MHK52" s="1142"/>
      <c r="MHL52" s="1142"/>
      <c r="MHM52" s="1142"/>
      <c r="MHN52" s="1142"/>
      <c r="MHO52" s="1142"/>
      <c r="MHP52" s="1142"/>
      <c r="MHQ52" s="1142"/>
      <c r="MHR52" s="1142"/>
      <c r="MHS52" s="1142"/>
      <c r="MHT52" s="1142"/>
      <c r="MHU52" s="1142"/>
      <c r="MHV52" s="1142"/>
      <c r="MHW52" s="1142"/>
      <c r="MHX52" s="1142"/>
      <c r="MHY52" s="1142"/>
      <c r="MHZ52" s="1142"/>
      <c r="MIA52" s="1142"/>
      <c r="MIB52" s="1142"/>
      <c r="MIC52" s="1167"/>
      <c r="MID52" s="1167"/>
      <c r="MIE52" s="1167"/>
      <c r="MIF52" s="1167"/>
      <c r="MIG52" s="1167"/>
      <c r="MIH52" s="1167"/>
      <c r="MII52" s="1167"/>
      <c r="MIJ52" s="1167"/>
      <c r="MIK52" s="1167"/>
      <c r="MIL52" s="1142"/>
      <c r="MIM52" s="1142"/>
      <c r="MIN52" s="1142"/>
      <c r="MIO52" s="1142"/>
      <c r="MIP52" s="1142"/>
      <c r="MIQ52" s="1142"/>
      <c r="MIR52" s="1142"/>
      <c r="MIS52" s="1142"/>
      <c r="MIT52" s="1142"/>
      <c r="MIU52" s="1142"/>
      <c r="MIV52" s="1142"/>
      <c r="MIW52" s="1142"/>
      <c r="MIX52" s="1142"/>
      <c r="MIY52" s="1142"/>
      <c r="MIZ52" s="1142"/>
      <c r="MJA52" s="1142"/>
      <c r="MJB52" s="1142"/>
      <c r="MJC52" s="1142"/>
      <c r="MJD52" s="1142"/>
      <c r="MJE52" s="1142"/>
      <c r="MJF52" s="1142"/>
      <c r="MJG52" s="1142"/>
      <c r="MJH52" s="1142"/>
      <c r="MJI52" s="1167"/>
      <c r="MJJ52" s="1167"/>
      <c r="MJK52" s="1167"/>
      <c r="MJL52" s="1167"/>
      <c r="MJM52" s="1167"/>
      <c r="MJN52" s="1167"/>
      <c r="MJO52" s="1167"/>
      <c r="MJP52" s="1167"/>
      <c r="MJQ52" s="1167"/>
      <c r="MJR52" s="1142"/>
      <c r="MJS52" s="1142"/>
      <c r="MJT52" s="1142"/>
      <c r="MJU52" s="1142"/>
      <c r="MJV52" s="1142"/>
      <c r="MJW52" s="1142"/>
      <c r="MJX52" s="1142"/>
      <c r="MJY52" s="1142"/>
      <c r="MJZ52" s="1142"/>
      <c r="MKA52" s="1142"/>
      <c r="MKB52" s="1142"/>
      <c r="MKC52" s="1142"/>
      <c r="MKD52" s="1142"/>
      <c r="MKE52" s="1142"/>
      <c r="MKF52" s="1142"/>
      <c r="MKG52" s="1142"/>
      <c r="MKH52" s="1142"/>
      <c r="MKI52" s="1142"/>
      <c r="MKJ52" s="1142"/>
      <c r="MKK52" s="1142"/>
      <c r="MKL52" s="1142"/>
      <c r="MKM52" s="1142"/>
      <c r="MKN52" s="1142"/>
      <c r="MKO52" s="1167"/>
      <c r="MKP52" s="1167"/>
      <c r="MKQ52" s="1167"/>
      <c r="MKR52" s="1167"/>
      <c r="MKS52" s="1167"/>
      <c r="MKT52" s="1167"/>
      <c r="MKU52" s="1167"/>
      <c r="MKV52" s="1167"/>
      <c r="MKW52" s="1167"/>
      <c r="MKX52" s="1142"/>
      <c r="MKY52" s="1142"/>
      <c r="MKZ52" s="1142"/>
      <c r="MLA52" s="1142"/>
      <c r="MLB52" s="1142"/>
      <c r="MLC52" s="1142"/>
      <c r="MLD52" s="1142"/>
      <c r="MLE52" s="1142"/>
      <c r="MLF52" s="1142"/>
      <c r="MLG52" s="1142"/>
      <c r="MLH52" s="1142"/>
      <c r="MLI52" s="1142"/>
      <c r="MLJ52" s="1142"/>
      <c r="MLK52" s="1142"/>
      <c r="MLL52" s="1142"/>
      <c r="MLM52" s="1142"/>
      <c r="MLN52" s="1142"/>
      <c r="MLO52" s="1142"/>
      <c r="MLP52" s="1142"/>
      <c r="MLQ52" s="1142"/>
      <c r="MLR52" s="1142"/>
      <c r="MLS52" s="1142"/>
      <c r="MLT52" s="1142"/>
      <c r="MLU52" s="1167"/>
      <c r="MLV52" s="1167"/>
      <c r="MLW52" s="1167"/>
      <c r="MLX52" s="1167"/>
      <c r="MLY52" s="1167"/>
      <c r="MLZ52" s="1167"/>
      <c r="MMA52" s="1167"/>
      <c r="MMB52" s="1167"/>
      <c r="MMC52" s="1167"/>
      <c r="MMD52" s="1142"/>
      <c r="MME52" s="1142"/>
      <c r="MMF52" s="1142"/>
      <c r="MMG52" s="1142"/>
      <c r="MMH52" s="1142"/>
      <c r="MMI52" s="1142"/>
      <c r="MMJ52" s="1142"/>
      <c r="MMK52" s="1142"/>
      <c r="MML52" s="1142"/>
      <c r="MMM52" s="1142"/>
      <c r="MMN52" s="1142"/>
      <c r="MMO52" s="1142"/>
      <c r="MMP52" s="1142"/>
      <c r="MMQ52" s="1142"/>
      <c r="MMR52" s="1142"/>
      <c r="MMS52" s="1142"/>
      <c r="MMT52" s="1142"/>
      <c r="MMU52" s="1142"/>
      <c r="MMV52" s="1142"/>
      <c r="MMW52" s="1142"/>
      <c r="MMX52" s="1142"/>
      <c r="MMY52" s="1142"/>
      <c r="MMZ52" s="1142"/>
      <c r="MNA52" s="1167"/>
      <c r="MNB52" s="1167"/>
      <c r="MNC52" s="1167"/>
      <c r="MND52" s="1167"/>
      <c r="MNE52" s="1167"/>
      <c r="MNF52" s="1167"/>
      <c r="MNG52" s="1167"/>
      <c r="MNH52" s="1167"/>
      <c r="MNI52" s="1167"/>
      <c r="MNJ52" s="1142"/>
      <c r="MNK52" s="1142"/>
      <c r="MNL52" s="1142"/>
      <c r="MNM52" s="1142"/>
      <c r="MNN52" s="1142"/>
      <c r="MNO52" s="1142"/>
      <c r="MNP52" s="1142"/>
      <c r="MNQ52" s="1142"/>
      <c r="MNR52" s="1142"/>
      <c r="MNS52" s="1142"/>
      <c r="MNT52" s="1142"/>
      <c r="MNU52" s="1142"/>
      <c r="MNV52" s="1142"/>
      <c r="MNW52" s="1142"/>
      <c r="MNX52" s="1142"/>
      <c r="MNY52" s="1142"/>
      <c r="MNZ52" s="1142"/>
      <c r="MOA52" s="1142"/>
      <c r="MOB52" s="1142"/>
      <c r="MOC52" s="1142"/>
      <c r="MOD52" s="1142"/>
      <c r="MOE52" s="1142"/>
      <c r="MOF52" s="1142"/>
      <c r="MOG52" s="1167"/>
      <c r="MOH52" s="1167"/>
      <c r="MOI52" s="1167"/>
      <c r="MOJ52" s="1167"/>
      <c r="MOK52" s="1167"/>
      <c r="MOL52" s="1167"/>
      <c r="MOM52" s="1167"/>
      <c r="MON52" s="1167"/>
      <c r="MOO52" s="1167"/>
      <c r="MOP52" s="1142"/>
      <c r="MOQ52" s="1142"/>
      <c r="MOR52" s="1142"/>
      <c r="MOS52" s="1142"/>
      <c r="MOT52" s="1142"/>
      <c r="MOU52" s="1142"/>
      <c r="MOV52" s="1142"/>
      <c r="MOW52" s="1142"/>
      <c r="MOX52" s="1142"/>
      <c r="MOY52" s="1142"/>
      <c r="MOZ52" s="1142"/>
      <c r="MPA52" s="1142"/>
      <c r="MPB52" s="1142"/>
      <c r="MPC52" s="1142"/>
      <c r="MPD52" s="1142"/>
      <c r="MPE52" s="1142"/>
      <c r="MPF52" s="1142"/>
      <c r="MPG52" s="1142"/>
      <c r="MPH52" s="1142"/>
      <c r="MPI52" s="1142"/>
      <c r="MPJ52" s="1142"/>
      <c r="MPK52" s="1142"/>
      <c r="MPL52" s="1142"/>
      <c r="MPM52" s="1167"/>
      <c r="MPN52" s="1167"/>
      <c r="MPO52" s="1167"/>
      <c r="MPP52" s="1167"/>
      <c r="MPQ52" s="1167"/>
      <c r="MPR52" s="1167"/>
      <c r="MPS52" s="1167"/>
      <c r="MPT52" s="1167"/>
      <c r="MPU52" s="1167"/>
      <c r="MPV52" s="1142"/>
      <c r="MPW52" s="1142"/>
      <c r="MPX52" s="1142"/>
      <c r="MPY52" s="1142"/>
      <c r="MPZ52" s="1142"/>
      <c r="MQA52" s="1142"/>
      <c r="MQB52" s="1142"/>
      <c r="MQC52" s="1142"/>
      <c r="MQD52" s="1142"/>
      <c r="MQE52" s="1142"/>
      <c r="MQF52" s="1142"/>
      <c r="MQG52" s="1142"/>
      <c r="MQH52" s="1142"/>
      <c r="MQI52" s="1142"/>
      <c r="MQJ52" s="1142"/>
      <c r="MQK52" s="1142"/>
      <c r="MQL52" s="1142"/>
      <c r="MQM52" s="1142"/>
      <c r="MQN52" s="1142"/>
      <c r="MQO52" s="1142"/>
      <c r="MQP52" s="1142"/>
      <c r="MQQ52" s="1142"/>
      <c r="MQR52" s="1142"/>
      <c r="MQS52" s="1167"/>
      <c r="MQT52" s="1167"/>
      <c r="MQU52" s="1167"/>
      <c r="MQV52" s="1167"/>
      <c r="MQW52" s="1167"/>
      <c r="MQX52" s="1167"/>
      <c r="MQY52" s="1167"/>
      <c r="MQZ52" s="1167"/>
      <c r="MRA52" s="1167"/>
      <c r="MRB52" s="1142"/>
      <c r="MRC52" s="1142"/>
      <c r="MRD52" s="1142"/>
      <c r="MRE52" s="1142"/>
      <c r="MRF52" s="1142"/>
      <c r="MRG52" s="1142"/>
      <c r="MRH52" s="1142"/>
      <c r="MRI52" s="1142"/>
      <c r="MRJ52" s="1142"/>
      <c r="MRK52" s="1142"/>
      <c r="MRL52" s="1142"/>
      <c r="MRM52" s="1142"/>
      <c r="MRN52" s="1142"/>
      <c r="MRO52" s="1142"/>
      <c r="MRP52" s="1142"/>
      <c r="MRQ52" s="1142"/>
      <c r="MRR52" s="1142"/>
      <c r="MRS52" s="1142"/>
      <c r="MRT52" s="1142"/>
      <c r="MRU52" s="1142"/>
      <c r="MRV52" s="1142"/>
      <c r="MRW52" s="1142"/>
      <c r="MRX52" s="1142"/>
      <c r="MRY52" s="1167"/>
      <c r="MRZ52" s="1167"/>
      <c r="MSA52" s="1167"/>
      <c r="MSB52" s="1167"/>
      <c r="MSC52" s="1167"/>
      <c r="MSD52" s="1167"/>
      <c r="MSE52" s="1167"/>
      <c r="MSF52" s="1167"/>
      <c r="MSG52" s="1167"/>
      <c r="MSH52" s="1142"/>
      <c r="MSI52" s="1142"/>
      <c r="MSJ52" s="1142"/>
      <c r="MSK52" s="1142"/>
      <c r="MSL52" s="1142"/>
      <c r="MSM52" s="1142"/>
      <c r="MSN52" s="1142"/>
      <c r="MSO52" s="1142"/>
      <c r="MSP52" s="1142"/>
      <c r="MSQ52" s="1142"/>
      <c r="MSR52" s="1142"/>
      <c r="MSS52" s="1142"/>
      <c r="MST52" s="1142"/>
      <c r="MSU52" s="1142"/>
      <c r="MSV52" s="1142"/>
      <c r="MSW52" s="1142"/>
      <c r="MSX52" s="1142"/>
      <c r="MSY52" s="1142"/>
      <c r="MSZ52" s="1142"/>
      <c r="MTA52" s="1142"/>
      <c r="MTB52" s="1142"/>
      <c r="MTC52" s="1142"/>
      <c r="MTD52" s="1142"/>
      <c r="MTE52" s="1167"/>
      <c r="MTF52" s="1167"/>
      <c r="MTG52" s="1167"/>
      <c r="MTH52" s="1167"/>
      <c r="MTI52" s="1167"/>
      <c r="MTJ52" s="1167"/>
      <c r="MTK52" s="1167"/>
      <c r="MTL52" s="1167"/>
      <c r="MTM52" s="1167"/>
      <c r="MTN52" s="1142"/>
      <c r="MTO52" s="1142"/>
      <c r="MTP52" s="1142"/>
      <c r="MTQ52" s="1142"/>
      <c r="MTR52" s="1142"/>
      <c r="MTS52" s="1142"/>
      <c r="MTT52" s="1142"/>
      <c r="MTU52" s="1142"/>
      <c r="MTV52" s="1142"/>
      <c r="MTW52" s="1142"/>
      <c r="MTX52" s="1142"/>
      <c r="MTY52" s="1142"/>
      <c r="MTZ52" s="1142"/>
      <c r="MUA52" s="1142"/>
      <c r="MUB52" s="1142"/>
      <c r="MUC52" s="1142"/>
      <c r="MUD52" s="1142"/>
      <c r="MUE52" s="1142"/>
      <c r="MUF52" s="1142"/>
      <c r="MUG52" s="1142"/>
      <c r="MUH52" s="1142"/>
      <c r="MUI52" s="1142"/>
      <c r="MUJ52" s="1142"/>
      <c r="MUK52" s="1167"/>
      <c r="MUL52" s="1167"/>
      <c r="MUM52" s="1167"/>
      <c r="MUN52" s="1167"/>
      <c r="MUO52" s="1167"/>
      <c r="MUP52" s="1167"/>
      <c r="MUQ52" s="1167"/>
      <c r="MUR52" s="1167"/>
      <c r="MUS52" s="1167"/>
      <c r="MUT52" s="1142"/>
      <c r="MUU52" s="1142"/>
      <c r="MUV52" s="1142"/>
      <c r="MUW52" s="1142"/>
      <c r="MUX52" s="1142"/>
      <c r="MUY52" s="1142"/>
      <c r="MUZ52" s="1142"/>
      <c r="MVA52" s="1142"/>
      <c r="MVB52" s="1142"/>
      <c r="MVC52" s="1142"/>
      <c r="MVD52" s="1142"/>
      <c r="MVE52" s="1142"/>
      <c r="MVF52" s="1142"/>
      <c r="MVG52" s="1142"/>
      <c r="MVH52" s="1142"/>
      <c r="MVI52" s="1142"/>
      <c r="MVJ52" s="1142"/>
      <c r="MVK52" s="1142"/>
      <c r="MVL52" s="1142"/>
      <c r="MVM52" s="1142"/>
      <c r="MVN52" s="1142"/>
      <c r="MVO52" s="1142"/>
      <c r="MVP52" s="1142"/>
      <c r="MVQ52" s="1167"/>
      <c r="MVR52" s="1167"/>
      <c r="MVS52" s="1167"/>
      <c r="MVT52" s="1167"/>
      <c r="MVU52" s="1167"/>
      <c r="MVV52" s="1167"/>
      <c r="MVW52" s="1167"/>
      <c r="MVX52" s="1167"/>
      <c r="MVY52" s="1167"/>
      <c r="MVZ52" s="1142"/>
      <c r="MWA52" s="1142"/>
      <c r="MWB52" s="1142"/>
      <c r="MWC52" s="1142"/>
      <c r="MWD52" s="1142"/>
      <c r="MWE52" s="1142"/>
      <c r="MWF52" s="1142"/>
      <c r="MWG52" s="1142"/>
      <c r="MWH52" s="1142"/>
      <c r="MWI52" s="1142"/>
      <c r="MWJ52" s="1142"/>
      <c r="MWK52" s="1142"/>
      <c r="MWL52" s="1142"/>
      <c r="MWM52" s="1142"/>
      <c r="MWN52" s="1142"/>
      <c r="MWO52" s="1142"/>
      <c r="MWP52" s="1142"/>
      <c r="MWQ52" s="1142"/>
      <c r="MWR52" s="1142"/>
      <c r="MWS52" s="1142"/>
      <c r="MWT52" s="1142"/>
      <c r="MWU52" s="1142"/>
      <c r="MWV52" s="1142"/>
      <c r="MWW52" s="1167"/>
      <c r="MWX52" s="1167"/>
      <c r="MWY52" s="1167"/>
      <c r="MWZ52" s="1167"/>
      <c r="MXA52" s="1167"/>
      <c r="MXB52" s="1167"/>
      <c r="MXC52" s="1167"/>
      <c r="MXD52" s="1167"/>
      <c r="MXE52" s="1167"/>
      <c r="MXF52" s="1142"/>
      <c r="MXG52" s="1142"/>
      <c r="MXH52" s="1142"/>
      <c r="MXI52" s="1142"/>
      <c r="MXJ52" s="1142"/>
      <c r="MXK52" s="1142"/>
      <c r="MXL52" s="1142"/>
      <c r="MXM52" s="1142"/>
      <c r="MXN52" s="1142"/>
      <c r="MXO52" s="1142"/>
      <c r="MXP52" s="1142"/>
      <c r="MXQ52" s="1142"/>
      <c r="MXR52" s="1142"/>
      <c r="MXS52" s="1142"/>
      <c r="MXT52" s="1142"/>
      <c r="MXU52" s="1142"/>
      <c r="MXV52" s="1142"/>
      <c r="MXW52" s="1142"/>
      <c r="MXX52" s="1142"/>
      <c r="MXY52" s="1142"/>
      <c r="MXZ52" s="1142"/>
      <c r="MYA52" s="1142"/>
      <c r="MYB52" s="1142"/>
      <c r="MYC52" s="1167"/>
      <c r="MYD52" s="1167"/>
      <c r="MYE52" s="1167"/>
      <c r="MYF52" s="1167"/>
      <c r="MYG52" s="1167"/>
      <c r="MYH52" s="1167"/>
      <c r="MYI52" s="1167"/>
      <c r="MYJ52" s="1167"/>
      <c r="MYK52" s="1167"/>
      <c r="MYL52" s="1142"/>
      <c r="MYM52" s="1142"/>
      <c r="MYN52" s="1142"/>
      <c r="MYO52" s="1142"/>
      <c r="MYP52" s="1142"/>
      <c r="MYQ52" s="1142"/>
      <c r="MYR52" s="1142"/>
      <c r="MYS52" s="1142"/>
      <c r="MYT52" s="1142"/>
      <c r="MYU52" s="1142"/>
      <c r="MYV52" s="1142"/>
      <c r="MYW52" s="1142"/>
      <c r="MYX52" s="1142"/>
      <c r="MYY52" s="1142"/>
      <c r="MYZ52" s="1142"/>
      <c r="MZA52" s="1142"/>
      <c r="MZB52" s="1142"/>
      <c r="MZC52" s="1142"/>
      <c r="MZD52" s="1142"/>
      <c r="MZE52" s="1142"/>
      <c r="MZF52" s="1142"/>
      <c r="MZG52" s="1142"/>
      <c r="MZH52" s="1142"/>
      <c r="MZI52" s="1167"/>
      <c r="MZJ52" s="1167"/>
      <c r="MZK52" s="1167"/>
      <c r="MZL52" s="1167"/>
      <c r="MZM52" s="1167"/>
      <c r="MZN52" s="1167"/>
      <c r="MZO52" s="1167"/>
      <c r="MZP52" s="1167"/>
      <c r="MZQ52" s="1167"/>
      <c r="MZR52" s="1142"/>
      <c r="MZS52" s="1142"/>
      <c r="MZT52" s="1142"/>
      <c r="MZU52" s="1142"/>
      <c r="MZV52" s="1142"/>
      <c r="MZW52" s="1142"/>
      <c r="MZX52" s="1142"/>
      <c r="MZY52" s="1142"/>
      <c r="MZZ52" s="1142"/>
      <c r="NAA52" s="1142"/>
      <c r="NAB52" s="1142"/>
      <c r="NAC52" s="1142"/>
      <c r="NAD52" s="1142"/>
      <c r="NAE52" s="1142"/>
      <c r="NAF52" s="1142"/>
      <c r="NAG52" s="1142"/>
      <c r="NAH52" s="1142"/>
      <c r="NAI52" s="1142"/>
      <c r="NAJ52" s="1142"/>
      <c r="NAK52" s="1142"/>
      <c r="NAL52" s="1142"/>
      <c r="NAM52" s="1142"/>
      <c r="NAN52" s="1142"/>
      <c r="NAO52" s="1167"/>
      <c r="NAP52" s="1167"/>
      <c r="NAQ52" s="1167"/>
      <c r="NAR52" s="1167"/>
      <c r="NAS52" s="1167"/>
      <c r="NAT52" s="1167"/>
      <c r="NAU52" s="1167"/>
      <c r="NAV52" s="1167"/>
      <c r="NAW52" s="1167"/>
      <c r="NAX52" s="1142"/>
      <c r="NAY52" s="1142"/>
      <c r="NAZ52" s="1142"/>
      <c r="NBA52" s="1142"/>
      <c r="NBB52" s="1142"/>
      <c r="NBC52" s="1142"/>
      <c r="NBD52" s="1142"/>
      <c r="NBE52" s="1142"/>
      <c r="NBF52" s="1142"/>
      <c r="NBG52" s="1142"/>
      <c r="NBH52" s="1142"/>
      <c r="NBI52" s="1142"/>
      <c r="NBJ52" s="1142"/>
      <c r="NBK52" s="1142"/>
      <c r="NBL52" s="1142"/>
      <c r="NBM52" s="1142"/>
      <c r="NBN52" s="1142"/>
      <c r="NBO52" s="1142"/>
      <c r="NBP52" s="1142"/>
      <c r="NBQ52" s="1142"/>
      <c r="NBR52" s="1142"/>
      <c r="NBS52" s="1142"/>
      <c r="NBT52" s="1142"/>
      <c r="NBU52" s="1167"/>
      <c r="NBV52" s="1167"/>
      <c r="NBW52" s="1167"/>
      <c r="NBX52" s="1167"/>
      <c r="NBY52" s="1167"/>
      <c r="NBZ52" s="1167"/>
      <c r="NCA52" s="1167"/>
      <c r="NCB52" s="1167"/>
      <c r="NCC52" s="1167"/>
      <c r="NCD52" s="1142"/>
      <c r="NCE52" s="1142"/>
      <c r="NCF52" s="1142"/>
      <c r="NCG52" s="1142"/>
      <c r="NCH52" s="1142"/>
      <c r="NCI52" s="1142"/>
      <c r="NCJ52" s="1142"/>
      <c r="NCK52" s="1142"/>
      <c r="NCL52" s="1142"/>
      <c r="NCM52" s="1142"/>
      <c r="NCN52" s="1142"/>
      <c r="NCO52" s="1142"/>
      <c r="NCP52" s="1142"/>
      <c r="NCQ52" s="1142"/>
      <c r="NCR52" s="1142"/>
      <c r="NCS52" s="1142"/>
      <c r="NCT52" s="1142"/>
      <c r="NCU52" s="1142"/>
      <c r="NCV52" s="1142"/>
      <c r="NCW52" s="1142"/>
      <c r="NCX52" s="1142"/>
      <c r="NCY52" s="1142"/>
      <c r="NCZ52" s="1142"/>
      <c r="NDA52" s="1167"/>
      <c r="NDB52" s="1167"/>
      <c r="NDC52" s="1167"/>
      <c r="NDD52" s="1167"/>
      <c r="NDE52" s="1167"/>
      <c r="NDF52" s="1167"/>
      <c r="NDG52" s="1167"/>
      <c r="NDH52" s="1167"/>
      <c r="NDI52" s="1167"/>
      <c r="NDJ52" s="1142"/>
      <c r="NDK52" s="1142"/>
      <c r="NDL52" s="1142"/>
      <c r="NDM52" s="1142"/>
      <c r="NDN52" s="1142"/>
      <c r="NDO52" s="1142"/>
      <c r="NDP52" s="1142"/>
      <c r="NDQ52" s="1142"/>
      <c r="NDR52" s="1142"/>
      <c r="NDS52" s="1142"/>
      <c r="NDT52" s="1142"/>
      <c r="NDU52" s="1142"/>
      <c r="NDV52" s="1142"/>
      <c r="NDW52" s="1142"/>
      <c r="NDX52" s="1142"/>
      <c r="NDY52" s="1142"/>
      <c r="NDZ52" s="1142"/>
      <c r="NEA52" s="1142"/>
      <c r="NEB52" s="1142"/>
      <c r="NEC52" s="1142"/>
      <c r="NED52" s="1142"/>
      <c r="NEE52" s="1142"/>
      <c r="NEF52" s="1142"/>
      <c r="NEG52" s="1167"/>
      <c r="NEH52" s="1167"/>
      <c r="NEI52" s="1167"/>
      <c r="NEJ52" s="1167"/>
      <c r="NEK52" s="1167"/>
      <c r="NEL52" s="1167"/>
      <c r="NEM52" s="1167"/>
      <c r="NEN52" s="1167"/>
      <c r="NEO52" s="1167"/>
      <c r="NEP52" s="1142"/>
      <c r="NEQ52" s="1142"/>
      <c r="NER52" s="1142"/>
      <c r="NES52" s="1142"/>
      <c r="NET52" s="1142"/>
      <c r="NEU52" s="1142"/>
      <c r="NEV52" s="1142"/>
      <c r="NEW52" s="1142"/>
      <c r="NEX52" s="1142"/>
      <c r="NEY52" s="1142"/>
      <c r="NEZ52" s="1142"/>
      <c r="NFA52" s="1142"/>
      <c r="NFB52" s="1142"/>
      <c r="NFC52" s="1142"/>
      <c r="NFD52" s="1142"/>
      <c r="NFE52" s="1142"/>
      <c r="NFF52" s="1142"/>
      <c r="NFG52" s="1142"/>
      <c r="NFH52" s="1142"/>
      <c r="NFI52" s="1142"/>
      <c r="NFJ52" s="1142"/>
      <c r="NFK52" s="1142"/>
      <c r="NFL52" s="1142"/>
      <c r="NFM52" s="1167"/>
      <c r="NFN52" s="1167"/>
      <c r="NFO52" s="1167"/>
      <c r="NFP52" s="1167"/>
      <c r="NFQ52" s="1167"/>
      <c r="NFR52" s="1167"/>
      <c r="NFS52" s="1167"/>
      <c r="NFT52" s="1167"/>
      <c r="NFU52" s="1167"/>
      <c r="NFV52" s="1142"/>
      <c r="NFW52" s="1142"/>
      <c r="NFX52" s="1142"/>
      <c r="NFY52" s="1142"/>
      <c r="NFZ52" s="1142"/>
      <c r="NGA52" s="1142"/>
      <c r="NGB52" s="1142"/>
      <c r="NGC52" s="1142"/>
      <c r="NGD52" s="1142"/>
      <c r="NGE52" s="1142"/>
      <c r="NGF52" s="1142"/>
      <c r="NGG52" s="1142"/>
      <c r="NGH52" s="1142"/>
      <c r="NGI52" s="1142"/>
      <c r="NGJ52" s="1142"/>
      <c r="NGK52" s="1142"/>
      <c r="NGL52" s="1142"/>
      <c r="NGM52" s="1142"/>
      <c r="NGN52" s="1142"/>
      <c r="NGO52" s="1142"/>
      <c r="NGP52" s="1142"/>
      <c r="NGQ52" s="1142"/>
      <c r="NGR52" s="1142"/>
      <c r="NGS52" s="1167"/>
      <c r="NGT52" s="1167"/>
      <c r="NGU52" s="1167"/>
      <c r="NGV52" s="1167"/>
      <c r="NGW52" s="1167"/>
      <c r="NGX52" s="1167"/>
      <c r="NGY52" s="1167"/>
      <c r="NGZ52" s="1167"/>
      <c r="NHA52" s="1167"/>
      <c r="NHB52" s="1142"/>
      <c r="NHC52" s="1142"/>
      <c r="NHD52" s="1142"/>
      <c r="NHE52" s="1142"/>
      <c r="NHF52" s="1142"/>
      <c r="NHG52" s="1142"/>
      <c r="NHH52" s="1142"/>
      <c r="NHI52" s="1142"/>
      <c r="NHJ52" s="1142"/>
      <c r="NHK52" s="1142"/>
      <c r="NHL52" s="1142"/>
      <c r="NHM52" s="1142"/>
      <c r="NHN52" s="1142"/>
      <c r="NHO52" s="1142"/>
      <c r="NHP52" s="1142"/>
      <c r="NHQ52" s="1142"/>
      <c r="NHR52" s="1142"/>
      <c r="NHS52" s="1142"/>
      <c r="NHT52" s="1142"/>
      <c r="NHU52" s="1142"/>
      <c r="NHV52" s="1142"/>
      <c r="NHW52" s="1142"/>
      <c r="NHX52" s="1142"/>
      <c r="NHY52" s="1167"/>
      <c r="NHZ52" s="1167"/>
      <c r="NIA52" s="1167"/>
      <c r="NIB52" s="1167"/>
      <c r="NIC52" s="1167"/>
      <c r="NID52" s="1167"/>
      <c r="NIE52" s="1167"/>
      <c r="NIF52" s="1167"/>
      <c r="NIG52" s="1167"/>
      <c r="NIH52" s="1142"/>
      <c r="NII52" s="1142"/>
      <c r="NIJ52" s="1142"/>
      <c r="NIK52" s="1142"/>
      <c r="NIL52" s="1142"/>
      <c r="NIM52" s="1142"/>
      <c r="NIN52" s="1142"/>
      <c r="NIO52" s="1142"/>
      <c r="NIP52" s="1142"/>
      <c r="NIQ52" s="1142"/>
      <c r="NIR52" s="1142"/>
      <c r="NIS52" s="1142"/>
      <c r="NIT52" s="1142"/>
      <c r="NIU52" s="1142"/>
      <c r="NIV52" s="1142"/>
      <c r="NIW52" s="1142"/>
      <c r="NIX52" s="1142"/>
      <c r="NIY52" s="1142"/>
      <c r="NIZ52" s="1142"/>
      <c r="NJA52" s="1142"/>
      <c r="NJB52" s="1142"/>
      <c r="NJC52" s="1142"/>
      <c r="NJD52" s="1142"/>
      <c r="NJE52" s="1167"/>
      <c r="NJF52" s="1167"/>
      <c r="NJG52" s="1167"/>
      <c r="NJH52" s="1167"/>
      <c r="NJI52" s="1167"/>
      <c r="NJJ52" s="1167"/>
      <c r="NJK52" s="1167"/>
      <c r="NJL52" s="1167"/>
      <c r="NJM52" s="1167"/>
      <c r="NJN52" s="1142"/>
      <c r="NJO52" s="1142"/>
      <c r="NJP52" s="1142"/>
      <c r="NJQ52" s="1142"/>
      <c r="NJR52" s="1142"/>
      <c r="NJS52" s="1142"/>
      <c r="NJT52" s="1142"/>
      <c r="NJU52" s="1142"/>
      <c r="NJV52" s="1142"/>
      <c r="NJW52" s="1142"/>
      <c r="NJX52" s="1142"/>
      <c r="NJY52" s="1142"/>
      <c r="NJZ52" s="1142"/>
      <c r="NKA52" s="1142"/>
      <c r="NKB52" s="1142"/>
      <c r="NKC52" s="1142"/>
      <c r="NKD52" s="1142"/>
      <c r="NKE52" s="1142"/>
      <c r="NKF52" s="1142"/>
      <c r="NKG52" s="1142"/>
      <c r="NKH52" s="1142"/>
      <c r="NKI52" s="1142"/>
      <c r="NKJ52" s="1142"/>
      <c r="NKK52" s="1167"/>
      <c r="NKL52" s="1167"/>
      <c r="NKM52" s="1167"/>
      <c r="NKN52" s="1167"/>
      <c r="NKO52" s="1167"/>
      <c r="NKP52" s="1167"/>
      <c r="NKQ52" s="1167"/>
      <c r="NKR52" s="1167"/>
      <c r="NKS52" s="1167"/>
      <c r="NKT52" s="1142"/>
      <c r="NKU52" s="1142"/>
      <c r="NKV52" s="1142"/>
      <c r="NKW52" s="1142"/>
      <c r="NKX52" s="1142"/>
      <c r="NKY52" s="1142"/>
      <c r="NKZ52" s="1142"/>
      <c r="NLA52" s="1142"/>
      <c r="NLB52" s="1142"/>
      <c r="NLC52" s="1142"/>
      <c r="NLD52" s="1142"/>
      <c r="NLE52" s="1142"/>
      <c r="NLF52" s="1142"/>
      <c r="NLG52" s="1142"/>
      <c r="NLH52" s="1142"/>
      <c r="NLI52" s="1142"/>
      <c r="NLJ52" s="1142"/>
      <c r="NLK52" s="1142"/>
      <c r="NLL52" s="1142"/>
      <c r="NLM52" s="1142"/>
      <c r="NLN52" s="1142"/>
      <c r="NLO52" s="1142"/>
      <c r="NLP52" s="1142"/>
      <c r="NLQ52" s="1167"/>
      <c r="NLR52" s="1167"/>
      <c r="NLS52" s="1167"/>
      <c r="NLT52" s="1167"/>
      <c r="NLU52" s="1167"/>
      <c r="NLV52" s="1167"/>
      <c r="NLW52" s="1167"/>
      <c r="NLX52" s="1167"/>
      <c r="NLY52" s="1167"/>
      <c r="NLZ52" s="1142"/>
      <c r="NMA52" s="1142"/>
      <c r="NMB52" s="1142"/>
      <c r="NMC52" s="1142"/>
      <c r="NMD52" s="1142"/>
      <c r="NME52" s="1142"/>
      <c r="NMF52" s="1142"/>
      <c r="NMG52" s="1142"/>
      <c r="NMH52" s="1142"/>
      <c r="NMI52" s="1142"/>
      <c r="NMJ52" s="1142"/>
      <c r="NMK52" s="1142"/>
      <c r="NML52" s="1142"/>
      <c r="NMM52" s="1142"/>
      <c r="NMN52" s="1142"/>
      <c r="NMO52" s="1142"/>
      <c r="NMP52" s="1142"/>
      <c r="NMQ52" s="1142"/>
      <c r="NMR52" s="1142"/>
      <c r="NMS52" s="1142"/>
      <c r="NMT52" s="1142"/>
      <c r="NMU52" s="1142"/>
      <c r="NMV52" s="1142"/>
      <c r="NMW52" s="1167"/>
      <c r="NMX52" s="1167"/>
      <c r="NMY52" s="1167"/>
      <c r="NMZ52" s="1167"/>
      <c r="NNA52" s="1167"/>
      <c r="NNB52" s="1167"/>
      <c r="NNC52" s="1167"/>
      <c r="NND52" s="1167"/>
      <c r="NNE52" s="1167"/>
      <c r="NNF52" s="1142"/>
      <c r="NNG52" s="1142"/>
      <c r="NNH52" s="1142"/>
      <c r="NNI52" s="1142"/>
      <c r="NNJ52" s="1142"/>
      <c r="NNK52" s="1142"/>
      <c r="NNL52" s="1142"/>
      <c r="NNM52" s="1142"/>
      <c r="NNN52" s="1142"/>
      <c r="NNO52" s="1142"/>
      <c r="NNP52" s="1142"/>
      <c r="NNQ52" s="1142"/>
      <c r="NNR52" s="1142"/>
      <c r="NNS52" s="1142"/>
      <c r="NNT52" s="1142"/>
      <c r="NNU52" s="1142"/>
      <c r="NNV52" s="1142"/>
      <c r="NNW52" s="1142"/>
      <c r="NNX52" s="1142"/>
      <c r="NNY52" s="1142"/>
      <c r="NNZ52" s="1142"/>
      <c r="NOA52" s="1142"/>
      <c r="NOB52" s="1142"/>
      <c r="NOC52" s="1167"/>
      <c r="NOD52" s="1167"/>
      <c r="NOE52" s="1167"/>
      <c r="NOF52" s="1167"/>
      <c r="NOG52" s="1167"/>
      <c r="NOH52" s="1167"/>
      <c r="NOI52" s="1167"/>
      <c r="NOJ52" s="1167"/>
      <c r="NOK52" s="1167"/>
      <c r="NOL52" s="1142"/>
      <c r="NOM52" s="1142"/>
      <c r="NON52" s="1142"/>
      <c r="NOO52" s="1142"/>
      <c r="NOP52" s="1142"/>
      <c r="NOQ52" s="1142"/>
      <c r="NOR52" s="1142"/>
      <c r="NOS52" s="1142"/>
      <c r="NOT52" s="1142"/>
      <c r="NOU52" s="1142"/>
      <c r="NOV52" s="1142"/>
      <c r="NOW52" s="1142"/>
      <c r="NOX52" s="1142"/>
      <c r="NOY52" s="1142"/>
      <c r="NOZ52" s="1142"/>
      <c r="NPA52" s="1142"/>
      <c r="NPB52" s="1142"/>
      <c r="NPC52" s="1142"/>
      <c r="NPD52" s="1142"/>
      <c r="NPE52" s="1142"/>
      <c r="NPF52" s="1142"/>
      <c r="NPG52" s="1142"/>
      <c r="NPH52" s="1142"/>
      <c r="NPI52" s="1167"/>
      <c r="NPJ52" s="1167"/>
      <c r="NPK52" s="1167"/>
      <c r="NPL52" s="1167"/>
      <c r="NPM52" s="1167"/>
      <c r="NPN52" s="1167"/>
      <c r="NPO52" s="1167"/>
      <c r="NPP52" s="1167"/>
      <c r="NPQ52" s="1167"/>
      <c r="NPR52" s="1142"/>
      <c r="NPS52" s="1142"/>
      <c r="NPT52" s="1142"/>
      <c r="NPU52" s="1142"/>
      <c r="NPV52" s="1142"/>
      <c r="NPW52" s="1142"/>
      <c r="NPX52" s="1142"/>
      <c r="NPY52" s="1142"/>
      <c r="NPZ52" s="1142"/>
      <c r="NQA52" s="1142"/>
      <c r="NQB52" s="1142"/>
      <c r="NQC52" s="1142"/>
      <c r="NQD52" s="1142"/>
      <c r="NQE52" s="1142"/>
      <c r="NQF52" s="1142"/>
      <c r="NQG52" s="1142"/>
      <c r="NQH52" s="1142"/>
      <c r="NQI52" s="1142"/>
      <c r="NQJ52" s="1142"/>
      <c r="NQK52" s="1142"/>
      <c r="NQL52" s="1142"/>
      <c r="NQM52" s="1142"/>
      <c r="NQN52" s="1142"/>
      <c r="NQO52" s="1167"/>
      <c r="NQP52" s="1167"/>
      <c r="NQQ52" s="1167"/>
      <c r="NQR52" s="1167"/>
      <c r="NQS52" s="1167"/>
      <c r="NQT52" s="1167"/>
      <c r="NQU52" s="1167"/>
      <c r="NQV52" s="1167"/>
      <c r="NQW52" s="1167"/>
      <c r="NQX52" s="1142"/>
      <c r="NQY52" s="1142"/>
      <c r="NQZ52" s="1142"/>
      <c r="NRA52" s="1142"/>
      <c r="NRB52" s="1142"/>
      <c r="NRC52" s="1142"/>
      <c r="NRD52" s="1142"/>
      <c r="NRE52" s="1142"/>
      <c r="NRF52" s="1142"/>
      <c r="NRG52" s="1142"/>
      <c r="NRH52" s="1142"/>
      <c r="NRI52" s="1142"/>
      <c r="NRJ52" s="1142"/>
      <c r="NRK52" s="1142"/>
      <c r="NRL52" s="1142"/>
      <c r="NRM52" s="1142"/>
      <c r="NRN52" s="1142"/>
      <c r="NRO52" s="1142"/>
      <c r="NRP52" s="1142"/>
      <c r="NRQ52" s="1142"/>
      <c r="NRR52" s="1142"/>
      <c r="NRS52" s="1142"/>
      <c r="NRT52" s="1142"/>
      <c r="NRU52" s="1167"/>
      <c r="NRV52" s="1167"/>
      <c r="NRW52" s="1167"/>
      <c r="NRX52" s="1167"/>
      <c r="NRY52" s="1167"/>
      <c r="NRZ52" s="1167"/>
      <c r="NSA52" s="1167"/>
      <c r="NSB52" s="1167"/>
      <c r="NSC52" s="1167"/>
      <c r="NSD52" s="1142"/>
      <c r="NSE52" s="1142"/>
      <c r="NSF52" s="1142"/>
      <c r="NSG52" s="1142"/>
      <c r="NSH52" s="1142"/>
      <c r="NSI52" s="1142"/>
      <c r="NSJ52" s="1142"/>
      <c r="NSK52" s="1142"/>
      <c r="NSL52" s="1142"/>
      <c r="NSM52" s="1142"/>
      <c r="NSN52" s="1142"/>
      <c r="NSO52" s="1142"/>
      <c r="NSP52" s="1142"/>
      <c r="NSQ52" s="1142"/>
      <c r="NSR52" s="1142"/>
      <c r="NSS52" s="1142"/>
      <c r="NST52" s="1142"/>
      <c r="NSU52" s="1142"/>
      <c r="NSV52" s="1142"/>
      <c r="NSW52" s="1142"/>
      <c r="NSX52" s="1142"/>
      <c r="NSY52" s="1142"/>
      <c r="NSZ52" s="1142"/>
      <c r="NTA52" s="1167"/>
      <c r="NTB52" s="1167"/>
      <c r="NTC52" s="1167"/>
      <c r="NTD52" s="1167"/>
      <c r="NTE52" s="1167"/>
      <c r="NTF52" s="1167"/>
      <c r="NTG52" s="1167"/>
      <c r="NTH52" s="1167"/>
      <c r="NTI52" s="1167"/>
      <c r="NTJ52" s="1142"/>
      <c r="NTK52" s="1142"/>
      <c r="NTL52" s="1142"/>
      <c r="NTM52" s="1142"/>
      <c r="NTN52" s="1142"/>
      <c r="NTO52" s="1142"/>
      <c r="NTP52" s="1142"/>
      <c r="NTQ52" s="1142"/>
      <c r="NTR52" s="1142"/>
      <c r="NTS52" s="1142"/>
      <c r="NTT52" s="1142"/>
      <c r="NTU52" s="1142"/>
      <c r="NTV52" s="1142"/>
      <c r="NTW52" s="1142"/>
      <c r="NTX52" s="1142"/>
      <c r="NTY52" s="1142"/>
      <c r="NTZ52" s="1142"/>
      <c r="NUA52" s="1142"/>
      <c r="NUB52" s="1142"/>
      <c r="NUC52" s="1142"/>
      <c r="NUD52" s="1142"/>
      <c r="NUE52" s="1142"/>
      <c r="NUF52" s="1142"/>
      <c r="NUG52" s="1167"/>
      <c r="NUH52" s="1167"/>
      <c r="NUI52" s="1167"/>
      <c r="NUJ52" s="1167"/>
      <c r="NUK52" s="1167"/>
      <c r="NUL52" s="1167"/>
      <c r="NUM52" s="1167"/>
      <c r="NUN52" s="1167"/>
      <c r="NUO52" s="1167"/>
      <c r="NUP52" s="1142"/>
      <c r="NUQ52" s="1142"/>
      <c r="NUR52" s="1142"/>
      <c r="NUS52" s="1142"/>
      <c r="NUT52" s="1142"/>
      <c r="NUU52" s="1142"/>
      <c r="NUV52" s="1142"/>
      <c r="NUW52" s="1142"/>
      <c r="NUX52" s="1142"/>
      <c r="NUY52" s="1142"/>
      <c r="NUZ52" s="1142"/>
      <c r="NVA52" s="1142"/>
      <c r="NVB52" s="1142"/>
      <c r="NVC52" s="1142"/>
      <c r="NVD52" s="1142"/>
      <c r="NVE52" s="1142"/>
      <c r="NVF52" s="1142"/>
      <c r="NVG52" s="1142"/>
      <c r="NVH52" s="1142"/>
      <c r="NVI52" s="1142"/>
      <c r="NVJ52" s="1142"/>
      <c r="NVK52" s="1142"/>
      <c r="NVL52" s="1142"/>
      <c r="NVM52" s="1167"/>
      <c r="NVN52" s="1167"/>
      <c r="NVO52" s="1167"/>
      <c r="NVP52" s="1167"/>
      <c r="NVQ52" s="1167"/>
      <c r="NVR52" s="1167"/>
      <c r="NVS52" s="1167"/>
      <c r="NVT52" s="1167"/>
      <c r="NVU52" s="1167"/>
      <c r="NVV52" s="1142"/>
      <c r="NVW52" s="1142"/>
      <c r="NVX52" s="1142"/>
      <c r="NVY52" s="1142"/>
      <c r="NVZ52" s="1142"/>
      <c r="NWA52" s="1142"/>
      <c r="NWB52" s="1142"/>
      <c r="NWC52" s="1142"/>
      <c r="NWD52" s="1142"/>
      <c r="NWE52" s="1142"/>
      <c r="NWF52" s="1142"/>
      <c r="NWG52" s="1142"/>
      <c r="NWH52" s="1142"/>
      <c r="NWI52" s="1142"/>
      <c r="NWJ52" s="1142"/>
      <c r="NWK52" s="1142"/>
      <c r="NWL52" s="1142"/>
      <c r="NWM52" s="1142"/>
      <c r="NWN52" s="1142"/>
      <c r="NWO52" s="1142"/>
      <c r="NWP52" s="1142"/>
      <c r="NWQ52" s="1142"/>
      <c r="NWR52" s="1142"/>
      <c r="NWS52" s="1167"/>
      <c r="NWT52" s="1167"/>
      <c r="NWU52" s="1167"/>
      <c r="NWV52" s="1167"/>
      <c r="NWW52" s="1167"/>
      <c r="NWX52" s="1167"/>
      <c r="NWY52" s="1167"/>
      <c r="NWZ52" s="1167"/>
      <c r="NXA52" s="1167"/>
      <c r="NXB52" s="1142"/>
      <c r="NXC52" s="1142"/>
      <c r="NXD52" s="1142"/>
      <c r="NXE52" s="1142"/>
      <c r="NXF52" s="1142"/>
      <c r="NXG52" s="1142"/>
      <c r="NXH52" s="1142"/>
      <c r="NXI52" s="1142"/>
      <c r="NXJ52" s="1142"/>
      <c r="NXK52" s="1142"/>
      <c r="NXL52" s="1142"/>
      <c r="NXM52" s="1142"/>
      <c r="NXN52" s="1142"/>
      <c r="NXO52" s="1142"/>
      <c r="NXP52" s="1142"/>
      <c r="NXQ52" s="1142"/>
      <c r="NXR52" s="1142"/>
      <c r="NXS52" s="1142"/>
      <c r="NXT52" s="1142"/>
      <c r="NXU52" s="1142"/>
      <c r="NXV52" s="1142"/>
      <c r="NXW52" s="1142"/>
      <c r="NXX52" s="1142"/>
      <c r="NXY52" s="1167"/>
      <c r="NXZ52" s="1167"/>
      <c r="NYA52" s="1167"/>
      <c r="NYB52" s="1167"/>
      <c r="NYC52" s="1167"/>
      <c r="NYD52" s="1167"/>
      <c r="NYE52" s="1167"/>
      <c r="NYF52" s="1167"/>
      <c r="NYG52" s="1167"/>
      <c r="NYH52" s="1142"/>
      <c r="NYI52" s="1142"/>
      <c r="NYJ52" s="1142"/>
      <c r="NYK52" s="1142"/>
      <c r="NYL52" s="1142"/>
      <c r="NYM52" s="1142"/>
      <c r="NYN52" s="1142"/>
      <c r="NYO52" s="1142"/>
      <c r="NYP52" s="1142"/>
      <c r="NYQ52" s="1142"/>
      <c r="NYR52" s="1142"/>
      <c r="NYS52" s="1142"/>
      <c r="NYT52" s="1142"/>
      <c r="NYU52" s="1142"/>
      <c r="NYV52" s="1142"/>
      <c r="NYW52" s="1142"/>
      <c r="NYX52" s="1142"/>
      <c r="NYY52" s="1142"/>
      <c r="NYZ52" s="1142"/>
      <c r="NZA52" s="1142"/>
      <c r="NZB52" s="1142"/>
      <c r="NZC52" s="1142"/>
      <c r="NZD52" s="1142"/>
      <c r="NZE52" s="1167"/>
      <c r="NZF52" s="1167"/>
      <c r="NZG52" s="1167"/>
      <c r="NZH52" s="1167"/>
      <c r="NZI52" s="1167"/>
      <c r="NZJ52" s="1167"/>
      <c r="NZK52" s="1167"/>
      <c r="NZL52" s="1167"/>
      <c r="NZM52" s="1167"/>
      <c r="NZN52" s="1142"/>
      <c r="NZO52" s="1142"/>
      <c r="NZP52" s="1142"/>
      <c r="NZQ52" s="1142"/>
      <c r="NZR52" s="1142"/>
      <c r="NZS52" s="1142"/>
      <c r="NZT52" s="1142"/>
      <c r="NZU52" s="1142"/>
      <c r="NZV52" s="1142"/>
      <c r="NZW52" s="1142"/>
      <c r="NZX52" s="1142"/>
      <c r="NZY52" s="1142"/>
      <c r="NZZ52" s="1142"/>
      <c r="OAA52" s="1142"/>
      <c r="OAB52" s="1142"/>
      <c r="OAC52" s="1142"/>
      <c r="OAD52" s="1142"/>
      <c r="OAE52" s="1142"/>
      <c r="OAF52" s="1142"/>
      <c r="OAG52" s="1142"/>
      <c r="OAH52" s="1142"/>
      <c r="OAI52" s="1142"/>
      <c r="OAJ52" s="1142"/>
      <c r="OAK52" s="1167"/>
      <c r="OAL52" s="1167"/>
      <c r="OAM52" s="1167"/>
      <c r="OAN52" s="1167"/>
      <c r="OAO52" s="1167"/>
      <c r="OAP52" s="1167"/>
      <c r="OAQ52" s="1167"/>
      <c r="OAR52" s="1167"/>
      <c r="OAS52" s="1167"/>
      <c r="OAT52" s="1142"/>
      <c r="OAU52" s="1142"/>
      <c r="OAV52" s="1142"/>
      <c r="OAW52" s="1142"/>
      <c r="OAX52" s="1142"/>
      <c r="OAY52" s="1142"/>
      <c r="OAZ52" s="1142"/>
      <c r="OBA52" s="1142"/>
      <c r="OBB52" s="1142"/>
      <c r="OBC52" s="1142"/>
      <c r="OBD52" s="1142"/>
      <c r="OBE52" s="1142"/>
      <c r="OBF52" s="1142"/>
      <c r="OBG52" s="1142"/>
      <c r="OBH52" s="1142"/>
      <c r="OBI52" s="1142"/>
      <c r="OBJ52" s="1142"/>
      <c r="OBK52" s="1142"/>
      <c r="OBL52" s="1142"/>
      <c r="OBM52" s="1142"/>
      <c r="OBN52" s="1142"/>
      <c r="OBO52" s="1142"/>
      <c r="OBP52" s="1142"/>
      <c r="OBQ52" s="1167"/>
      <c r="OBR52" s="1167"/>
      <c r="OBS52" s="1167"/>
      <c r="OBT52" s="1167"/>
      <c r="OBU52" s="1167"/>
      <c r="OBV52" s="1167"/>
      <c r="OBW52" s="1167"/>
      <c r="OBX52" s="1167"/>
      <c r="OBY52" s="1167"/>
      <c r="OBZ52" s="1142"/>
      <c r="OCA52" s="1142"/>
      <c r="OCB52" s="1142"/>
      <c r="OCC52" s="1142"/>
      <c r="OCD52" s="1142"/>
      <c r="OCE52" s="1142"/>
      <c r="OCF52" s="1142"/>
      <c r="OCG52" s="1142"/>
      <c r="OCH52" s="1142"/>
      <c r="OCI52" s="1142"/>
      <c r="OCJ52" s="1142"/>
      <c r="OCK52" s="1142"/>
      <c r="OCL52" s="1142"/>
      <c r="OCM52" s="1142"/>
      <c r="OCN52" s="1142"/>
      <c r="OCO52" s="1142"/>
      <c r="OCP52" s="1142"/>
      <c r="OCQ52" s="1142"/>
      <c r="OCR52" s="1142"/>
      <c r="OCS52" s="1142"/>
      <c r="OCT52" s="1142"/>
      <c r="OCU52" s="1142"/>
      <c r="OCV52" s="1142"/>
      <c r="OCW52" s="1167"/>
      <c r="OCX52" s="1167"/>
      <c r="OCY52" s="1167"/>
      <c r="OCZ52" s="1167"/>
      <c r="ODA52" s="1167"/>
      <c r="ODB52" s="1167"/>
      <c r="ODC52" s="1167"/>
      <c r="ODD52" s="1167"/>
      <c r="ODE52" s="1167"/>
      <c r="ODF52" s="1142"/>
      <c r="ODG52" s="1142"/>
      <c r="ODH52" s="1142"/>
      <c r="ODI52" s="1142"/>
      <c r="ODJ52" s="1142"/>
      <c r="ODK52" s="1142"/>
      <c r="ODL52" s="1142"/>
      <c r="ODM52" s="1142"/>
      <c r="ODN52" s="1142"/>
      <c r="ODO52" s="1142"/>
      <c r="ODP52" s="1142"/>
      <c r="ODQ52" s="1142"/>
      <c r="ODR52" s="1142"/>
      <c r="ODS52" s="1142"/>
      <c r="ODT52" s="1142"/>
      <c r="ODU52" s="1142"/>
      <c r="ODV52" s="1142"/>
      <c r="ODW52" s="1142"/>
      <c r="ODX52" s="1142"/>
      <c r="ODY52" s="1142"/>
      <c r="ODZ52" s="1142"/>
      <c r="OEA52" s="1142"/>
      <c r="OEB52" s="1142"/>
      <c r="OEC52" s="1167"/>
      <c r="OED52" s="1167"/>
      <c r="OEE52" s="1167"/>
      <c r="OEF52" s="1167"/>
      <c r="OEG52" s="1167"/>
      <c r="OEH52" s="1167"/>
      <c r="OEI52" s="1167"/>
      <c r="OEJ52" s="1167"/>
      <c r="OEK52" s="1167"/>
      <c r="OEL52" s="1142"/>
      <c r="OEM52" s="1142"/>
      <c r="OEN52" s="1142"/>
      <c r="OEO52" s="1142"/>
      <c r="OEP52" s="1142"/>
      <c r="OEQ52" s="1142"/>
      <c r="OER52" s="1142"/>
      <c r="OES52" s="1142"/>
      <c r="OET52" s="1142"/>
      <c r="OEU52" s="1142"/>
      <c r="OEV52" s="1142"/>
      <c r="OEW52" s="1142"/>
      <c r="OEX52" s="1142"/>
      <c r="OEY52" s="1142"/>
      <c r="OEZ52" s="1142"/>
      <c r="OFA52" s="1142"/>
      <c r="OFB52" s="1142"/>
      <c r="OFC52" s="1142"/>
      <c r="OFD52" s="1142"/>
      <c r="OFE52" s="1142"/>
      <c r="OFF52" s="1142"/>
      <c r="OFG52" s="1142"/>
      <c r="OFH52" s="1142"/>
      <c r="OFI52" s="1167"/>
      <c r="OFJ52" s="1167"/>
      <c r="OFK52" s="1167"/>
      <c r="OFL52" s="1167"/>
      <c r="OFM52" s="1167"/>
      <c r="OFN52" s="1167"/>
      <c r="OFO52" s="1167"/>
      <c r="OFP52" s="1167"/>
      <c r="OFQ52" s="1167"/>
      <c r="OFR52" s="1142"/>
      <c r="OFS52" s="1142"/>
      <c r="OFT52" s="1142"/>
      <c r="OFU52" s="1142"/>
      <c r="OFV52" s="1142"/>
      <c r="OFW52" s="1142"/>
      <c r="OFX52" s="1142"/>
      <c r="OFY52" s="1142"/>
      <c r="OFZ52" s="1142"/>
      <c r="OGA52" s="1142"/>
      <c r="OGB52" s="1142"/>
      <c r="OGC52" s="1142"/>
      <c r="OGD52" s="1142"/>
      <c r="OGE52" s="1142"/>
      <c r="OGF52" s="1142"/>
      <c r="OGG52" s="1142"/>
      <c r="OGH52" s="1142"/>
      <c r="OGI52" s="1142"/>
      <c r="OGJ52" s="1142"/>
      <c r="OGK52" s="1142"/>
      <c r="OGL52" s="1142"/>
      <c r="OGM52" s="1142"/>
      <c r="OGN52" s="1142"/>
      <c r="OGO52" s="1167"/>
      <c r="OGP52" s="1167"/>
      <c r="OGQ52" s="1167"/>
      <c r="OGR52" s="1167"/>
      <c r="OGS52" s="1167"/>
      <c r="OGT52" s="1167"/>
      <c r="OGU52" s="1167"/>
      <c r="OGV52" s="1167"/>
      <c r="OGW52" s="1167"/>
      <c r="OGX52" s="1142"/>
      <c r="OGY52" s="1142"/>
      <c r="OGZ52" s="1142"/>
      <c r="OHA52" s="1142"/>
      <c r="OHB52" s="1142"/>
      <c r="OHC52" s="1142"/>
      <c r="OHD52" s="1142"/>
      <c r="OHE52" s="1142"/>
      <c r="OHF52" s="1142"/>
      <c r="OHG52" s="1142"/>
      <c r="OHH52" s="1142"/>
      <c r="OHI52" s="1142"/>
      <c r="OHJ52" s="1142"/>
      <c r="OHK52" s="1142"/>
      <c r="OHL52" s="1142"/>
      <c r="OHM52" s="1142"/>
      <c r="OHN52" s="1142"/>
      <c r="OHO52" s="1142"/>
      <c r="OHP52" s="1142"/>
      <c r="OHQ52" s="1142"/>
      <c r="OHR52" s="1142"/>
      <c r="OHS52" s="1142"/>
      <c r="OHT52" s="1142"/>
      <c r="OHU52" s="1167"/>
      <c r="OHV52" s="1167"/>
      <c r="OHW52" s="1167"/>
      <c r="OHX52" s="1167"/>
      <c r="OHY52" s="1167"/>
      <c r="OHZ52" s="1167"/>
      <c r="OIA52" s="1167"/>
      <c r="OIB52" s="1167"/>
      <c r="OIC52" s="1167"/>
      <c r="OID52" s="1142"/>
      <c r="OIE52" s="1142"/>
      <c r="OIF52" s="1142"/>
      <c r="OIG52" s="1142"/>
      <c r="OIH52" s="1142"/>
      <c r="OII52" s="1142"/>
      <c r="OIJ52" s="1142"/>
      <c r="OIK52" s="1142"/>
      <c r="OIL52" s="1142"/>
      <c r="OIM52" s="1142"/>
      <c r="OIN52" s="1142"/>
      <c r="OIO52" s="1142"/>
      <c r="OIP52" s="1142"/>
      <c r="OIQ52" s="1142"/>
      <c r="OIR52" s="1142"/>
      <c r="OIS52" s="1142"/>
      <c r="OIT52" s="1142"/>
      <c r="OIU52" s="1142"/>
      <c r="OIV52" s="1142"/>
      <c r="OIW52" s="1142"/>
      <c r="OIX52" s="1142"/>
      <c r="OIY52" s="1142"/>
      <c r="OIZ52" s="1142"/>
      <c r="OJA52" s="1167"/>
      <c r="OJB52" s="1167"/>
      <c r="OJC52" s="1167"/>
      <c r="OJD52" s="1167"/>
      <c r="OJE52" s="1167"/>
      <c r="OJF52" s="1167"/>
      <c r="OJG52" s="1167"/>
      <c r="OJH52" s="1167"/>
      <c r="OJI52" s="1167"/>
      <c r="OJJ52" s="1142"/>
      <c r="OJK52" s="1142"/>
      <c r="OJL52" s="1142"/>
      <c r="OJM52" s="1142"/>
      <c r="OJN52" s="1142"/>
      <c r="OJO52" s="1142"/>
      <c r="OJP52" s="1142"/>
      <c r="OJQ52" s="1142"/>
      <c r="OJR52" s="1142"/>
      <c r="OJS52" s="1142"/>
      <c r="OJT52" s="1142"/>
      <c r="OJU52" s="1142"/>
      <c r="OJV52" s="1142"/>
      <c r="OJW52" s="1142"/>
      <c r="OJX52" s="1142"/>
      <c r="OJY52" s="1142"/>
      <c r="OJZ52" s="1142"/>
      <c r="OKA52" s="1142"/>
      <c r="OKB52" s="1142"/>
      <c r="OKC52" s="1142"/>
      <c r="OKD52" s="1142"/>
      <c r="OKE52" s="1142"/>
      <c r="OKF52" s="1142"/>
      <c r="OKG52" s="1167"/>
      <c r="OKH52" s="1167"/>
      <c r="OKI52" s="1167"/>
      <c r="OKJ52" s="1167"/>
      <c r="OKK52" s="1167"/>
      <c r="OKL52" s="1167"/>
      <c r="OKM52" s="1167"/>
      <c r="OKN52" s="1167"/>
      <c r="OKO52" s="1167"/>
      <c r="OKP52" s="1142"/>
      <c r="OKQ52" s="1142"/>
      <c r="OKR52" s="1142"/>
      <c r="OKS52" s="1142"/>
      <c r="OKT52" s="1142"/>
      <c r="OKU52" s="1142"/>
      <c r="OKV52" s="1142"/>
      <c r="OKW52" s="1142"/>
      <c r="OKX52" s="1142"/>
      <c r="OKY52" s="1142"/>
      <c r="OKZ52" s="1142"/>
      <c r="OLA52" s="1142"/>
      <c r="OLB52" s="1142"/>
      <c r="OLC52" s="1142"/>
      <c r="OLD52" s="1142"/>
      <c r="OLE52" s="1142"/>
      <c r="OLF52" s="1142"/>
      <c r="OLG52" s="1142"/>
      <c r="OLH52" s="1142"/>
      <c r="OLI52" s="1142"/>
      <c r="OLJ52" s="1142"/>
      <c r="OLK52" s="1142"/>
      <c r="OLL52" s="1142"/>
      <c r="OLM52" s="1167"/>
      <c r="OLN52" s="1167"/>
      <c r="OLO52" s="1167"/>
      <c r="OLP52" s="1167"/>
      <c r="OLQ52" s="1167"/>
      <c r="OLR52" s="1167"/>
      <c r="OLS52" s="1167"/>
      <c r="OLT52" s="1167"/>
      <c r="OLU52" s="1167"/>
      <c r="OLV52" s="1142"/>
      <c r="OLW52" s="1142"/>
      <c r="OLX52" s="1142"/>
      <c r="OLY52" s="1142"/>
      <c r="OLZ52" s="1142"/>
      <c r="OMA52" s="1142"/>
      <c r="OMB52" s="1142"/>
      <c r="OMC52" s="1142"/>
      <c r="OMD52" s="1142"/>
      <c r="OME52" s="1142"/>
      <c r="OMF52" s="1142"/>
      <c r="OMG52" s="1142"/>
      <c r="OMH52" s="1142"/>
      <c r="OMI52" s="1142"/>
      <c r="OMJ52" s="1142"/>
      <c r="OMK52" s="1142"/>
      <c r="OML52" s="1142"/>
      <c r="OMM52" s="1142"/>
      <c r="OMN52" s="1142"/>
      <c r="OMO52" s="1142"/>
      <c r="OMP52" s="1142"/>
      <c r="OMQ52" s="1142"/>
      <c r="OMR52" s="1142"/>
      <c r="OMS52" s="1167"/>
      <c r="OMT52" s="1167"/>
      <c r="OMU52" s="1167"/>
      <c r="OMV52" s="1167"/>
      <c r="OMW52" s="1167"/>
      <c r="OMX52" s="1167"/>
      <c r="OMY52" s="1167"/>
      <c r="OMZ52" s="1167"/>
      <c r="ONA52" s="1167"/>
      <c r="ONB52" s="1142"/>
      <c r="ONC52" s="1142"/>
      <c r="OND52" s="1142"/>
      <c r="ONE52" s="1142"/>
      <c r="ONF52" s="1142"/>
      <c r="ONG52" s="1142"/>
      <c r="ONH52" s="1142"/>
      <c r="ONI52" s="1142"/>
      <c r="ONJ52" s="1142"/>
      <c r="ONK52" s="1142"/>
      <c r="ONL52" s="1142"/>
      <c r="ONM52" s="1142"/>
      <c r="ONN52" s="1142"/>
      <c r="ONO52" s="1142"/>
      <c r="ONP52" s="1142"/>
      <c r="ONQ52" s="1142"/>
      <c r="ONR52" s="1142"/>
      <c r="ONS52" s="1142"/>
      <c r="ONT52" s="1142"/>
      <c r="ONU52" s="1142"/>
      <c r="ONV52" s="1142"/>
      <c r="ONW52" s="1142"/>
      <c r="ONX52" s="1142"/>
      <c r="ONY52" s="1167"/>
      <c r="ONZ52" s="1167"/>
      <c r="OOA52" s="1167"/>
      <c r="OOB52" s="1167"/>
      <c r="OOC52" s="1167"/>
      <c r="OOD52" s="1167"/>
      <c r="OOE52" s="1167"/>
      <c r="OOF52" s="1167"/>
      <c r="OOG52" s="1167"/>
      <c r="OOH52" s="1142"/>
      <c r="OOI52" s="1142"/>
      <c r="OOJ52" s="1142"/>
      <c r="OOK52" s="1142"/>
      <c r="OOL52" s="1142"/>
      <c r="OOM52" s="1142"/>
      <c r="OON52" s="1142"/>
      <c r="OOO52" s="1142"/>
      <c r="OOP52" s="1142"/>
      <c r="OOQ52" s="1142"/>
      <c r="OOR52" s="1142"/>
      <c r="OOS52" s="1142"/>
      <c r="OOT52" s="1142"/>
      <c r="OOU52" s="1142"/>
      <c r="OOV52" s="1142"/>
      <c r="OOW52" s="1142"/>
      <c r="OOX52" s="1142"/>
      <c r="OOY52" s="1142"/>
      <c r="OOZ52" s="1142"/>
      <c r="OPA52" s="1142"/>
      <c r="OPB52" s="1142"/>
      <c r="OPC52" s="1142"/>
      <c r="OPD52" s="1142"/>
      <c r="OPE52" s="1167"/>
      <c r="OPF52" s="1167"/>
      <c r="OPG52" s="1167"/>
      <c r="OPH52" s="1167"/>
      <c r="OPI52" s="1167"/>
      <c r="OPJ52" s="1167"/>
      <c r="OPK52" s="1167"/>
      <c r="OPL52" s="1167"/>
      <c r="OPM52" s="1167"/>
      <c r="OPN52" s="1142"/>
      <c r="OPO52" s="1142"/>
      <c r="OPP52" s="1142"/>
      <c r="OPQ52" s="1142"/>
      <c r="OPR52" s="1142"/>
      <c r="OPS52" s="1142"/>
      <c r="OPT52" s="1142"/>
      <c r="OPU52" s="1142"/>
      <c r="OPV52" s="1142"/>
      <c r="OPW52" s="1142"/>
      <c r="OPX52" s="1142"/>
      <c r="OPY52" s="1142"/>
      <c r="OPZ52" s="1142"/>
      <c r="OQA52" s="1142"/>
      <c r="OQB52" s="1142"/>
      <c r="OQC52" s="1142"/>
      <c r="OQD52" s="1142"/>
      <c r="OQE52" s="1142"/>
      <c r="OQF52" s="1142"/>
      <c r="OQG52" s="1142"/>
      <c r="OQH52" s="1142"/>
      <c r="OQI52" s="1142"/>
      <c r="OQJ52" s="1142"/>
      <c r="OQK52" s="1167"/>
      <c r="OQL52" s="1167"/>
      <c r="OQM52" s="1167"/>
      <c r="OQN52" s="1167"/>
      <c r="OQO52" s="1167"/>
      <c r="OQP52" s="1167"/>
      <c r="OQQ52" s="1167"/>
      <c r="OQR52" s="1167"/>
      <c r="OQS52" s="1167"/>
      <c r="OQT52" s="1142"/>
      <c r="OQU52" s="1142"/>
      <c r="OQV52" s="1142"/>
      <c r="OQW52" s="1142"/>
      <c r="OQX52" s="1142"/>
      <c r="OQY52" s="1142"/>
      <c r="OQZ52" s="1142"/>
      <c r="ORA52" s="1142"/>
      <c r="ORB52" s="1142"/>
      <c r="ORC52" s="1142"/>
      <c r="ORD52" s="1142"/>
      <c r="ORE52" s="1142"/>
      <c r="ORF52" s="1142"/>
      <c r="ORG52" s="1142"/>
      <c r="ORH52" s="1142"/>
      <c r="ORI52" s="1142"/>
      <c r="ORJ52" s="1142"/>
      <c r="ORK52" s="1142"/>
      <c r="ORL52" s="1142"/>
      <c r="ORM52" s="1142"/>
      <c r="ORN52" s="1142"/>
      <c r="ORO52" s="1142"/>
      <c r="ORP52" s="1142"/>
      <c r="ORQ52" s="1167"/>
      <c r="ORR52" s="1167"/>
      <c r="ORS52" s="1167"/>
      <c r="ORT52" s="1167"/>
      <c r="ORU52" s="1167"/>
      <c r="ORV52" s="1167"/>
      <c r="ORW52" s="1167"/>
      <c r="ORX52" s="1167"/>
      <c r="ORY52" s="1167"/>
      <c r="ORZ52" s="1142"/>
      <c r="OSA52" s="1142"/>
      <c r="OSB52" s="1142"/>
      <c r="OSC52" s="1142"/>
      <c r="OSD52" s="1142"/>
      <c r="OSE52" s="1142"/>
      <c r="OSF52" s="1142"/>
      <c r="OSG52" s="1142"/>
      <c r="OSH52" s="1142"/>
      <c r="OSI52" s="1142"/>
      <c r="OSJ52" s="1142"/>
      <c r="OSK52" s="1142"/>
      <c r="OSL52" s="1142"/>
      <c r="OSM52" s="1142"/>
      <c r="OSN52" s="1142"/>
      <c r="OSO52" s="1142"/>
      <c r="OSP52" s="1142"/>
      <c r="OSQ52" s="1142"/>
      <c r="OSR52" s="1142"/>
      <c r="OSS52" s="1142"/>
      <c r="OST52" s="1142"/>
      <c r="OSU52" s="1142"/>
      <c r="OSV52" s="1142"/>
      <c r="OSW52" s="1167"/>
      <c r="OSX52" s="1167"/>
      <c r="OSY52" s="1167"/>
      <c r="OSZ52" s="1167"/>
      <c r="OTA52" s="1167"/>
      <c r="OTB52" s="1167"/>
      <c r="OTC52" s="1167"/>
      <c r="OTD52" s="1167"/>
      <c r="OTE52" s="1167"/>
      <c r="OTF52" s="1142"/>
      <c r="OTG52" s="1142"/>
      <c r="OTH52" s="1142"/>
      <c r="OTI52" s="1142"/>
      <c r="OTJ52" s="1142"/>
      <c r="OTK52" s="1142"/>
      <c r="OTL52" s="1142"/>
      <c r="OTM52" s="1142"/>
      <c r="OTN52" s="1142"/>
      <c r="OTO52" s="1142"/>
      <c r="OTP52" s="1142"/>
      <c r="OTQ52" s="1142"/>
      <c r="OTR52" s="1142"/>
      <c r="OTS52" s="1142"/>
      <c r="OTT52" s="1142"/>
      <c r="OTU52" s="1142"/>
      <c r="OTV52" s="1142"/>
      <c r="OTW52" s="1142"/>
      <c r="OTX52" s="1142"/>
      <c r="OTY52" s="1142"/>
      <c r="OTZ52" s="1142"/>
      <c r="OUA52" s="1142"/>
      <c r="OUB52" s="1142"/>
      <c r="OUC52" s="1167"/>
      <c r="OUD52" s="1167"/>
      <c r="OUE52" s="1167"/>
      <c r="OUF52" s="1167"/>
      <c r="OUG52" s="1167"/>
      <c r="OUH52" s="1167"/>
      <c r="OUI52" s="1167"/>
      <c r="OUJ52" s="1167"/>
      <c r="OUK52" s="1167"/>
      <c r="OUL52" s="1142"/>
      <c r="OUM52" s="1142"/>
      <c r="OUN52" s="1142"/>
      <c r="OUO52" s="1142"/>
      <c r="OUP52" s="1142"/>
      <c r="OUQ52" s="1142"/>
      <c r="OUR52" s="1142"/>
      <c r="OUS52" s="1142"/>
      <c r="OUT52" s="1142"/>
      <c r="OUU52" s="1142"/>
      <c r="OUV52" s="1142"/>
      <c r="OUW52" s="1142"/>
      <c r="OUX52" s="1142"/>
      <c r="OUY52" s="1142"/>
      <c r="OUZ52" s="1142"/>
      <c r="OVA52" s="1142"/>
      <c r="OVB52" s="1142"/>
      <c r="OVC52" s="1142"/>
      <c r="OVD52" s="1142"/>
      <c r="OVE52" s="1142"/>
      <c r="OVF52" s="1142"/>
      <c r="OVG52" s="1142"/>
      <c r="OVH52" s="1142"/>
      <c r="OVI52" s="1167"/>
      <c r="OVJ52" s="1167"/>
      <c r="OVK52" s="1167"/>
      <c r="OVL52" s="1167"/>
      <c r="OVM52" s="1167"/>
      <c r="OVN52" s="1167"/>
      <c r="OVO52" s="1167"/>
      <c r="OVP52" s="1167"/>
      <c r="OVQ52" s="1167"/>
      <c r="OVR52" s="1142"/>
      <c r="OVS52" s="1142"/>
      <c r="OVT52" s="1142"/>
      <c r="OVU52" s="1142"/>
      <c r="OVV52" s="1142"/>
      <c r="OVW52" s="1142"/>
      <c r="OVX52" s="1142"/>
      <c r="OVY52" s="1142"/>
      <c r="OVZ52" s="1142"/>
      <c r="OWA52" s="1142"/>
      <c r="OWB52" s="1142"/>
      <c r="OWC52" s="1142"/>
      <c r="OWD52" s="1142"/>
      <c r="OWE52" s="1142"/>
      <c r="OWF52" s="1142"/>
      <c r="OWG52" s="1142"/>
      <c r="OWH52" s="1142"/>
      <c r="OWI52" s="1142"/>
      <c r="OWJ52" s="1142"/>
      <c r="OWK52" s="1142"/>
      <c r="OWL52" s="1142"/>
      <c r="OWM52" s="1142"/>
      <c r="OWN52" s="1142"/>
      <c r="OWO52" s="1167"/>
      <c r="OWP52" s="1167"/>
      <c r="OWQ52" s="1167"/>
      <c r="OWR52" s="1167"/>
      <c r="OWS52" s="1167"/>
      <c r="OWT52" s="1167"/>
      <c r="OWU52" s="1167"/>
      <c r="OWV52" s="1167"/>
      <c r="OWW52" s="1167"/>
      <c r="OWX52" s="1142"/>
      <c r="OWY52" s="1142"/>
      <c r="OWZ52" s="1142"/>
      <c r="OXA52" s="1142"/>
      <c r="OXB52" s="1142"/>
      <c r="OXC52" s="1142"/>
      <c r="OXD52" s="1142"/>
      <c r="OXE52" s="1142"/>
      <c r="OXF52" s="1142"/>
      <c r="OXG52" s="1142"/>
      <c r="OXH52" s="1142"/>
      <c r="OXI52" s="1142"/>
      <c r="OXJ52" s="1142"/>
      <c r="OXK52" s="1142"/>
      <c r="OXL52" s="1142"/>
      <c r="OXM52" s="1142"/>
      <c r="OXN52" s="1142"/>
      <c r="OXO52" s="1142"/>
      <c r="OXP52" s="1142"/>
      <c r="OXQ52" s="1142"/>
      <c r="OXR52" s="1142"/>
      <c r="OXS52" s="1142"/>
      <c r="OXT52" s="1142"/>
      <c r="OXU52" s="1167"/>
      <c r="OXV52" s="1167"/>
      <c r="OXW52" s="1167"/>
      <c r="OXX52" s="1167"/>
      <c r="OXY52" s="1167"/>
      <c r="OXZ52" s="1167"/>
      <c r="OYA52" s="1167"/>
      <c r="OYB52" s="1167"/>
      <c r="OYC52" s="1167"/>
      <c r="OYD52" s="1142"/>
      <c r="OYE52" s="1142"/>
      <c r="OYF52" s="1142"/>
      <c r="OYG52" s="1142"/>
      <c r="OYH52" s="1142"/>
      <c r="OYI52" s="1142"/>
      <c r="OYJ52" s="1142"/>
      <c r="OYK52" s="1142"/>
      <c r="OYL52" s="1142"/>
      <c r="OYM52" s="1142"/>
      <c r="OYN52" s="1142"/>
      <c r="OYO52" s="1142"/>
      <c r="OYP52" s="1142"/>
      <c r="OYQ52" s="1142"/>
      <c r="OYR52" s="1142"/>
      <c r="OYS52" s="1142"/>
      <c r="OYT52" s="1142"/>
      <c r="OYU52" s="1142"/>
      <c r="OYV52" s="1142"/>
      <c r="OYW52" s="1142"/>
      <c r="OYX52" s="1142"/>
      <c r="OYY52" s="1142"/>
      <c r="OYZ52" s="1142"/>
      <c r="OZA52" s="1167"/>
      <c r="OZB52" s="1167"/>
      <c r="OZC52" s="1167"/>
      <c r="OZD52" s="1167"/>
      <c r="OZE52" s="1167"/>
      <c r="OZF52" s="1167"/>
      <c r="OZG52" s="1167"/>
      <c r="OZH52" s="1167"/>
      <c r="OZI52" s="1167"/>
      <c r="OZJ52" s="1142"/>
      <c r="OZK52" s="1142"/>
      <c r="OZL52" s="1142"/>
      <c r="OZM52" s="1142"/>
      <c r="OZN52" s="1142"/>
      <c r="OZO52" s="1142"/>
      <c r="OZP52" s="1142"/>
      <c r="OZQ52" s="1142"/>
      <c r="OZR52" s="1142"/>
      <c r="OZS52" s="1142"/>
      <c r="OZT52" s="1142"/>
      <c r="OZU52" s="1142"/>
      <c r="OZV52" s="1142"/>
      <c r="OZW52" s="1142"/>
      <c r="OZX52" s="1142"/>
      <c r="OZY52" s="1142"/>
      <c r="OZZ52" s="1142"/>
      <c r="PAA52" s="1142"/>
      <c r="PAB52" s="1142"/>
      <c r="PAC52" s="1142"/>
      <c r="PAD52" s="1142"/>
      <c r="PAE52" s="1142"/>
      <c r="PAF52" s="1142"/>
      <c r="PAG52" s="1167"/>
      <c r="PAH52" s="1167"/>
      <c r="PAI52" s="1167"/>
      <c r="PAJ52" s="1167"/>
      <c r="PAK52" s="1167"/>
      <c r="PAL52" s="1167"/>
      <c r="PAM52" s="1167"/>
      <c r="PAN52" s="1167"/>
      <c r="PAO52" s="1167"/>
      <c r="PAP52" s="1142"/>
      <c r="PAQ52" s="1142"/>
      <c r="PAR52" s="1142"/>
      <c r="PAS52" s="1142"/>
      <c r="PAT52" s="1142"/>
      <c r="PAU52" s="1142"/>
      <c r="PAV52" s="1142"/>
      <c r="PAW52" s="1142"/>
      <c r="PAX52" s="1142"/>
      <c r="PAY52" s="1142"/>
      <c r="PAZ52" s="1142"/>
      <c r="PBA52" s="1142"/>
      <c r="PBB52" s="1142"/>
      <c r="PBC52" s="1142"/>
      <c r="PBD52" s="1142"/>
      <c r="PBE52" s="1142"/>
      <c r="PBF52" s="1142"/>
      <c r="PBG52" s="1142"/>
      <c r="PBH52" s="1142"/>
      <c r="PBI52" s="1142"/>
      <c r="PBJ52" s="1142"/>
      <c r="PBK52" s="1142"/>
      <c r="PBL52" s="1142"/>
      <c r="PBM52" s="1167"/>
      <c r="PBN52" s="1167"/>
      <c r="PBO52" s="1167"/>
      <c r="PBP52" s="1167"/>
      <c r="PBQ52" s="1167"/>
      <c r="PBR52" s="1167"/>
      <c r="PBS52" s="1167"/>
      <c r="PBT52" s="1167"/>
      <c r="PBU52" s="1167"/>
      <c r="PBV52" s="1142"/>
      <c r="PBW52" s="1142"/>
      <c r="PBX52" s="1142"/>
      <c r="PBY52" s="1142"/>
      <c r="PBZ52" s="1142"/>
      <c r="PCA52" s="1142"/>
      <c r="PCB52" s="1142"/>
      <c r="PCC52" s="1142"/>
      <c r="PCD52" s="1142"/>
      <c r="PCE52" s="1142"/>
      <c r="PCF52" s="1142"/>
      <c r="PCG52" s="1142"/>
      <c r="PCH52" s="1142"/>
      <c r="PCI52" s="1142"/>
      <c r="PCJ52" s="1142"/>
      <c r="PCK52" s="1142"/>
      <c r="PCL52" s="1142"/>
      <c r="PCM52" s="1142"/>
      <c r="PCN52" s="1142"/>
      <c r="PCO52" s="1142"/>
      <c r="PCP52" s="1142"/>
      <c r="PCQ52" s="1142"/>
      <c r="PCR52" s="1142"/>
      <c r="PCS52" s="1167"/>
      <c r="PCT52" s="1167"/>
      <c r="PCU52" s="1167"/>
      <c r="PCV52" s="1167"/>
      <c r="PCW52" s="1167"/>
      <c r="PCX52" s="1167"/>
      <c r="PCY52" s="1167"/>
      <c r="PCZ52" s="1167"/>
      <c r="PDA52" s="1167"/>
      <c r="PDB52" s="1142"/>
      <c r="PDC52" s="1142"/>
      <c r="PDD52" s="1142"/>
      <c r="PDE52" s="1142"/>
      <c r="PDF52" s="1142"/>
      <c r="PDG52" s="1142"/>
      <c r="PDH52" s="1142"/>
      <c r="PDI52" s="1142"/>
      <c r="PDJ52" s="1142"/>
      <c r="PDK52" s="1142"/>
      <c r="PDL52" s="1142"/>
      <c r="PDM52" s="1142"/>
      <c r="PDN52" s="1142"/>
      <c r="PDO52" s="1142"/>
      <c r="PDP52" s="1142"/>
      <c r="PDQ52" s="1142"/>
      <c r="PDR52" s="1142"/>
      <c r="PDS52" s="1142"/>
      <c r="PDT52" s="1142"/>
      <c r="PDU52" s="1142"/>
      <c r="PDV52" s="1142"/>
      <c r="PDW52" s="1142"/>
      <c r="PDX52" s="1142"/>
      <c r="PDY52" s="1167"/>
      <c r="PDZ52" s="1167"/>
      <c r="PEA52" s="1167"/>
      <c r="PEB52" s="1167"/>
      <c r="PEC52" s="1167"/>
      <c r="PED52" s="1167"/>
      <c r="PEE52" s="1167"/>
      <c r="PEF52" s="1167"/>
      <c r="PEG52" s="1167"/>
      <c r="PEH52" s="1142"/>
      <c r="PEI52" s="1142"/>
      <c r="PEJ52" s="1142"/>
      <c r="PEK52" s="1142"/>
      <c r="PEL52" s="1142"/>
      <c r="PEM52" s="1142"/>
      <c r="PEN52" s="1142"/>
      <c r="PEO52" s="1142"/>
      <c r="PEP52" s="1142"/>
      <c r="PEQ52" s="1142"/>
      <c r="PER52" s="1142"/>
      <c r="PES52" s="1142"/>
      <c r="PET52" s="1142"/>
      <c r="PEU52" s="1142"/>
      <c r="PEV52" s="1142"/>
      <c r="PEW52" s="1142"/>
      <c r="PEX52" s="1142"/>
      <c r="PEY52" s="1142"/>
      <c r="PEZ52" s="1142"/>
      <c r="PFA52" s="1142"/>
      <c r="PFB52" s="1142"/>
      <c r="PFC52" s="1142"/>
      <c r="PFD52" s="1142"/>
      <c r="PFE52" s="1167"/>
      <c r="PFF52" s="1167"/>
      <c r="PFG52" s="1167"/>
      <c r="PFH52" s="1167"/>
      <c r="PFI52" s="1167"/>
      <c r="PFJ52" s="1167"/>
      <c r="PFK52" s="1167"/>
      <c r="PFL52" s="1167"/>
      <c r="PFM52" s="1167"/>
      <c r="PFN52" s="1142"/>
      <c r="PFO52" s="1142"/>
      <c r="PFP52" s="1142"/>
      <c r="PFQ52" s="1142"/>
      <c r="PFR52" s="1142"/>
      <c r="PFS52" s="1142"/>
      <c r="PFT52" s="1142"/>
      <c r="PFU52" s="1142"/>
      <c r="PFV52" s="1142"/>
      <c r="PFW52" s="1142"/>
      <c r="PFX52" s="1142"/>
      <c r="PFY52" s="1142"/>
      <c r="PFZ52" s="1142"/>
      <c r="PGA52" s="1142"/>
      <c r="PGB52" s="1142"/>
      <c r="PGC52" s="1142"/>
      <c r="PGD52" s="1142"/>
      <c r="PGE52" s="1142"/>
      <c r="PGF52" s="1142"/>
      <c r="PGG52" s="1142"/>
      <c r="PGH52" s="1142"/>
      <c r="PGI52" s="1142"/>
      <c r="PGJ52" s="1142"/>
      <c r="PGK52" s="1167"/>
      <c r="PGL52" s="1167"/>
      <c r="PGM52" s="1167"/>
      <c r="PGN52" s="1167"/>
      <c r="PGO52" s="1167"/>
      <c r="PGP52" s="1167"/>
      <c r="PGQ52" s="1167"/>
      <c r="PGR52" s="1167"/>
      <c r="PGS52" s="1167"/>
      <c r="PGT52" s="1142"/>
      <c r="PGU52" s="1142"/>
      <c r="PGV52" s="1142"/>
      <c r="PGW52" s="1142"/>
      <c r="PGX52" s="1142"/>
      <c r="PGY52" s="1142"/>
      <c r="PGZ52" s="1142"/>
      <c r="PHA52" s="1142"/>
      <c r="PHB52" s="1142"/>
      <c r="PHC52" s="1142"/>
      <c r="PHD52" s="1142"/>
      <c r="PHE52" s="1142"/>
      <c r="PHF52" s="1142"/>
      <c r="PHG52" s="1142"/>
      <c r="PHH52" s="1142"/>
      <c r="PHI52" s="1142"/>
      <c r="PHJ52" s="1142"/>
      <c r="PHK52" s="1142"/>
      <c r="PHL52" s="1142"/>
      <c r="PHM52" s="1142"/>
      <c r="PHN52" s="1142"/>
      <c r="PHO52" s="1142"/>
      <c r="PHP52" s="1142"/>
      <c r="PHQ52" s="1167"/>
      <c r="PHR52" s="1167"/>
      <c r="PHS52" s="1167"/>
      <c r="PHT52" s="1167"/>
      <c r="PHU52" s="1167"/>
      <c r="PHV52" s="1167"/>
      <c r="PHW52" s="1167"/>
      <c r="PHX52" s="1167"/>
      <c r="PHY52" s="1167"/>
      <c r="PHZ52" s="1142"/>
      <c r="PIA52" s="1142"/>
      <c r="PIB52" s="1142"/>
      <c r="PIC52" s="1142"/>
      <c r="PID52" s="1142"/>
      <c r="PIE52" s="1142"/>
      <c r="PIF52" s="1142"/>
      <c r="PIG52" s="1142"/>
      <c r="PIH52" s="1142"/>
      <c r="PII52" s="1142"/>
      <c r="PIJ52" s="1142"/>
      <c r="PIK52" s="1142"/>
      <c r="PIL52" s="1142"/>
      <c r="PIM52" s="1142"/>
      <c r="PIN52" s="1142"/>
      <c r="PIO52" s="1142"/>
      <c r="PIP52" s="1142"/>
      <c r="PIQ52" s="1142"/>
      <c r="PIR52" s="1142"/>
      <c r="PIS52" s="1142"/>
      <c r="PIT52" s="1142"/>
      <c r="PIU52" s="1142"/>
      <c r="PIV52" s="1142"/>
      <c r="PIW52" s="1167"/>
      <c r="PIX52" s="1167"/>
      <c r="PIY52" s="1167"/>
      <c r="PIZ52" s="1167"/>
      <c r="PJA52" s="1167"/>
      <c r="PJB52" s="1167"/>
      <c r="PJC52" s="1167"/>
      <c r="PJD52" s="1167"/>
      <c r="PJE52" s="1167"/>
      <c r="PJF52" s="1142"/>
      <c r="PJG52" s="1142"/>
      <c r="PJH52" s="1142"/>
      <c r="PJI52" s="1142"/>
      <c r="PJJ52" s="1142"/>
      <c r="PJK52" s="1142"/>
      <c r="PJL52" s="1142"/>
      <c r="PJM52" s="1142"/>
      <c r="PJN52" s="1142"/>
      <c r="PJO52" s="1142"/>
      <c r="PJP52" s="1142"/>
      <c r="PJQ52" s="1142"/>
      <c r="PJR52" s="1142"/>
      <c r="PJS52" s="1142"/>
      <c r="PJT52" s="1142"/>
      <c r="PJU52" s="1142"/>
      <c r="PJV52" s="1142"/>
      <c r="PJW52" s="1142"/>
      <c r="PJX52" s="1142"/>
      <c r="PJY52" s="1142"/>
      <c r="PJZ52" s="1142"/>
      <c r="PKA52" s="1142"/>
      <c r="PKB52" s="1142"/>
      <c r="PKC52" s="1167"/>
      <c r="PKD52" s="1167"/>
      <c r="PKE52" s="1167"/>
      <c r="PKF52" s="1167"/>
      <c r="PKG52" s="1167"/>
      <c r="PKH52" s="1167"/>
      <c r="PKI52" s="1167"/>
      <c r="PKJ52" s="1167"/>
      <c r="PKK52" s="1167"/>
      <c r="PKL52" s="1142"/>
      <c r="PKM52" s="1142"/>
      <c r="PKN52" s="1142"/>
      <c r="PKO52" s="1142"/>
      <c r="PKP52" s="1142"/>
      <c r="PKQ52" s="1142"/>
      <c r="PKR52" s="1142"/>
      <c r="PKS52" s="1142"/>
      <c r="PKT52" s="1142"/>
      <c r="PKU52" s="1142"/>
      <c r="PKV52" s="1142"/>
      <c r="PKW52" s="1142"/>
      <c r="PKX52" s="1142"/>
      <c r="PKY52" s="1142"/>
      <c r="PKZ52" s="1142"/>
      <c r="PLA52" s="1142"/>
      <c r="PLB52" s="1142"/>
      <c r="PLC52" s="1142"/>
      <c r="PLD52" s="1142"/>
      <c r="PLE52" s="1142"/>
      <c r="PLF52" s="1142"/>
      <c r="PLG52" s="1142"/>
      <c r="PLH52" s="1142"/>
      <c r="PLI52" s="1167"/>
      <c r="PLJ52" s="1167"/>
      <c r="PLK52" s="1167"/>
      <c r="PLL52" s="1167"/>
      <c r="PLM52" s="1167"/>
      <c r="PLN52" s="1167"/>
      <c r="PLO52" s="1167"/>
      <c r="PLP52" s="1167"/>
      <c r="PLQ52" s="1167"/>
      <c r="PLR52" s="1142"/>
      <c r="PLS52" s="1142"/>
      <c r="PLT52" s="1142"/>
      <c r="PLU52" s="1142"/>
      <c r="PLV52" s="1142"/>
      <c r="PLW52" s="1142"/>
      <c r="PLX52" s="1142"/>
      <c r="PLY52" s="1142"/>
      <c r="PLZ52" s="1142"/>
      <c r="PMA52" s="1142"/>
      <c r="PMB52" s="1142"/>
      <c r="PMC52" s="1142"/>
      <c r="PMD52" s="1142"/>
      <c r="PME52" s="1142"/>
      <c r="PMF52" s="1142"/>
      <c r="PMG52" s="1142"/>
      <c r="PMH52" s="1142"/>
      <c r="PMI52" s="1142"/>
      <c r="PMJ52" s="1142"/>
      <c r="PMK52" s="1142"/>
      <c r="PML52" s="1142"/>
      <c r="PMM52" s="1142"/>
      <c r="PMN52" s="1142"/>
      <c r="PMO52" s="1167"/>
      <c r="PMP52" s="1167"/>
      <c r="PMQ52" s="1167"/>
      <c r="PMR52" s="1167"/>
      <c r="PMS52" s="1167"/>
      <c r="PMT52" s="1167"/>
      <c r="PMU52" s="1167"/>
      <c r="PMV52" s="1167"/>
      <c r="PMW52" s="1167"/>
      <c r="PMX52" s="1142"/>
      <c r="PMY52" s="1142"/>
      <c r="PMZ52" s="1142"/>
      <c r="PNA52" s="1142"/>
      <c r="PNB52" s="1142"/>
      <c r="PNC52" s="1142"/>
      <c r="PND52" s="1142"/>
      <c r="PNE52" s="1142"/>
      <c r="PNF52" s="1142"/>
      <c r="PNG52" s="1142"/>
      <c r="PNH52" s="1142"/>
      <c r="PNI52" s="1142"/>
      <c r="PNJ52" s="1142"/>
      <c r="PNK52" s="1142"/>
      <c r="PNL52" s="1142"/>
      <c r="PNM52" s="1142"/>
      <c r="PNN52" s="1142"/>
      <c r="PNO52" s="1142"/>
      <c r="PNP52" s="1142"/>
      <c r="PNQ52" s="1142"/>
      <c r="PNR52" s="1142"/>
      <c r="PNS52" s="1142"/>
      <c r="PNT52" s="1142"/>
      <c r="PNU52" s="1167"/>
      <c r="PNV52" s="1167"/>
      <c r="PNW52" s="1167"/>
      <c r="PNX52" s="1167"/>
      <c r="PNY52" s="1167"/>
      <c r="PNZ52" s="1167"/>
      <c r="POA52" s="1167"/>
      <c r="POB52" s="1167"/>
      <c r="POC52" s="1167"/>
      <c r="POD52" s="1142"/>
      <c r="POE52" s="1142"/>
      <c r="POF52" s="1142"/>
      <c r="POG52" s="1142"/>
      <c r="POH52" s="1142"/>
      <c r="POI52" s="1142"/>
      <c r="POJ52" s="1142"/>
      <c r="POK52" s="1142"/>
      <c r="POL52" s="1142"/>
      <c r="POM52" s="1142"/>
      <c r="PON52" s="1142"/>
      <c r="POO52" s="1142"/>
      <c r="POP52" s="1142"/>
      <c r="POQ52" s="1142"/>
      <c r="POR52" s="1142"/>
      <c r="POS52" s="1142"/>
      <c r="POT52" s="1142"/>
      <c r="POU52" s="1142"/>
      <c r="POV52" s="1142"/>
      <c r="POW52" s="1142"/>
      <c r="POX52" s="1142"/>
      <c r="POY52" s="1142"/>
      <c r="POZ52" s="1142"/>
      <c r="PPA52" s="1167"/>
      <c r="PPB52" s="1167"/>
      <c r="PPC52" s="1167"/>
      <c r="PPD52" s="1167"/>
      <c r="PPE52" s="1167"/>
      <c r="PPF52" s="1167"/>
      <c r="PPG52" s="1167"/>
      <c r="PPH52" s="1167"/>
      <c r="PPI52" s="1167"/>
      <c r="PPJ52" s="1142"/>
      <c r="PPK52" s="1142"/>
      <c r="PPL52" s="1142"/>
      <c r="PPM52" s="1142"/>
      <c r="PPN52" s="1142"/>
      <c r="PPO52" s="1142"/>
      <c r="PPP52" s="1142"/>
      <c r="PPQ52" s="1142"/>
      <c r="PPR52" s="1142"/>
      <c r="PPS52" s="1142"/>
      <c r="PPT52" s="1142"/>
      <c r="PPU52" s="1142"/>
      <c r="PPV52" s="1142"/>
      <c r="PPW52" s="1142"/>
      <c r="PPX52" s="1142"/>
      <c r="PPY52" s="1142"/>
      <c r="PPZ52" s="1142"/>
      <c r="PQA52" s="1142"/>
      <c r="PQB52" s="1142"/>
      <c r="PQC52" s="1142"/>
      <c r="PQD52" s="1142"/>
      <c r="PQE52" s="1142"/>
      <c r="PQF52" s="1142"/>
      <c r="PQG52" s="1167"/>
      <c r="PQH52" s="1167"/>
      <c r="PQI52" s="1167"/>
      <c r="PQJ52" s="1167"/>
      <c r="PQK52" s="1167"/>
      <c r="PQL52" s="1167"/>
      <c r="PQM52" s="1167"/>
      <c r="PQN52" s="1167"/>
      <c r="PQO52" s="1167"/>
      <c r="PQP52" s="1142"/>
      <c r="PQQ52" s="1142"/>
      <c r="PQR52" s="1142"/>
      <c r="PQS52" s="1142"/>
      <c r="PQT52" s="1142"/>
      <c r="PQU52" s="1142"/>
      <c r="PQV52" s="1142"/>
      <c r="PQW52" s="1142"/>
      <c r="PQX52" s="1142"/>
      <c r="PQY52" s="1142"/>
      <c r="PQZ52" s="1142"/>
      <c r="PRA52" s="1142"/>
      <c r="PRB52" s="1142"/>
      <c r="PRC52" s="1142"/>
      <c r="PRD52" s="1142"/>
      <c r="PRE52" s="1142"/>
      <c r="PRF52" s="1142"/>
      <c r="PRG52" s="1142"/>
      <c r="PRH52" s="1142"/>
      <c r="PRI52" s="1142"/>
      <c r="PRJ52" s="1142"/>
      <c r="PRK52" s="1142"/>
      <c r="PRL52" s="1142"/>
      <c r="PRM52" s="1167"/>
      <c r="PRN52" s="1167"/>
      <c r="PRO52" s="1167"/>
      <c r="PRP52" s="1167"/>
      <c r="PRQ52" s="1167"/>
      <c r="PRR52" s="1167"/>
      <c r="PRS52" s="1167"/>
      <c r="PRT52" s="1167"/>
      <c r="PRU52" s="1167"/>
      <c r="PRV52" s="1142"/>
      <c r="PRW52" s="1142"/>
      <c r="PRX52" s="1142"/>
      <c r="PRY52" s="1142"/>
      <c r="PRZ52" s="1142"/>
      <c r="PSA52" s="1142"/>
      <c r="PSB52" s="1142"/>
      <c r="PSC52" s="1142"/>
      <c r="PSD52" s="1142"/>
      <c r="PSE52" s="1142"/>
      <c r="PSF52" s="1142"/>
      <c r="PSG52" s="1142"/>
      <c r="PSH52" s="1142"/>
      <c r="PSI52" s="1142"/>
      <c r="PSJ52" s="1142"/>
      <c r="PSK52" s="1142"/>
      <c r="PSL52" s="1142"/>
      <c r="PSM52" s="1142"/>
      <c r="PSN52" s="1142"/>
      <c r="PSO52" s="1142"/>
      <c r="PSP52" s="1142"/>
      <c r="PSQ52" s="1142"/>
      <c r="PSR52" s="1142"/>
      <c r="PSS52" s="1167"/>
      <c r="PST52" s="1167"/>
      <c r="PSU52" s="1167"/>
      <c r="PSV52" s="1167"/>
      <c r="PSW52" s="1167"/>
      <c r="PSX52" s="1167"/>
      <c r="PSY52" s="1167"/>
      <c r="PSZ52" s="1167"/>
      <c r="PTA52" s="1167"/>
      <c r="PTB52" s="1142"/>
      <c r="PTC52" s="1142"/>
      <c r="PTD52" s="1142"/>
      <c r="PTE52" s="1142"/>
      <c r="PTF52" s="1142"/>
      <c r="PTG52" s="1142"/>
      <c r="PTH52" s="1142"/>
      <c r="PTI52" s="1142"/>
      <c r="PTJ52" s="1142"/>
      <c r="PTK52" s="1142"/>
      <c r="PTL52" s="1142"/>
      <c r="PTM52" s="1142"/>
      <c r="PTN52" s="1142"/>
      <c r="PTO52" s="1142"/>
      <c r="PTP52" s="1142"/>
      <c r="PTQ52" s="1142"/>
      <c r="PTR52" s="1142"/>
      <c r="PTS52" s="1142"/>
      <c r="PTT52" s="1142"/>
      <c r="PTU52" s="1142"/>
      <c r="PTV52" s="1142"/>
      <c r="PTW52" s="1142"/>
      <c r="PTX52" s="1142"/>
      <c r="PTY52" s="1167"/>
      <c r="PTZ52" s="1167"/>
      <c r="PUA52" s="1167"/>
      <c r="PUB52" s="1167"/>
      <c r="PUC52" s="1167"/>
      <c r="PUD52" s="1167"/>
      <c r="PUE52" s="1167"/>
      <c r="PUF52" s="1167"/>
      <c r="PUG52" s="1167"/>
      <c r="PUH52" s="1142"/>
      <c r="PUI52" s="1142"/>
      <c r="PUJ52" s="1142"/>
      <c r="PUK52" s="1142"/>
      <c r="PUL52" s="1142"/>
      <c r="PUM52" s="1142"/>
      <c r="PUN52" s="1142"/>
      <c r="PUO52" s="1142"/>
      <c r="PUP52" s="1142"/>
      <c r="PUQ52" s="1142"/>
      <c r="PUR52" s="1142"/>
      <c r="PUS52" s="1142"/>
      <c r="PUT52" s="1142"/>
      <c r="PUU52" s="1142"/>
      <c r="PUV52" s="1142"/>
      <c r="PUW52" s="1142"/>
      <c r="PUX52" s="1142"/>
      <c r="PUY52" s="1142"/>
      <c r="PUZ52" s="1142"/>
      <c r="PVA52" s="1142"/>
      <c r="PVB52" s="1142"/>
      <c r="PVC52" s="1142"/>
      <c r="PVD52" s="1142"/>
      <c r="PVE52" s="1167"/>
      <c r="PVF52" s="1167"/>
      <c r="PVG52" s="1167"/>
      <c r="PVH52" s="1167"/>
      <c r="PVI52" s="1167"/>
      <c r="PVJ52" s="1167"/>
      <c r="PVK52" s="1167"/>
      <c r="PVL52" s="1167"/>
      <c r="PVM52" s="1167"/>
      <c r="PVN52" s="1142"/>
      <c r="PVO52" s="1142"/>
      <c r="PVP52" s="1142"/>
      <c r="PVQ52" s="1142"/>
      <c r="PVR52" s="1142"/>
      <c r="PVS52" s="1142"/>
      <c r="PVT52" s="1142"/>
      <c r="PVU52" s="1142"/>
      <c r="PVV52" s="1142"/>
      <c r="PVW52" s="1142"/>
      <c r="PVX52" s="1142"/>
      <c r="PVY52" s="1142"/>
      <c r="PVZ52" s="1142"/>
      <c r="PWA52" s="1142"/>
      <c r="PWB52" s="1142"/>
      <c r="PWC52" s="1142"/>
      <c r="PWD52" s="1142"/>
      <c r="PWE52" s="1142"/>
      <c r="PWF52" s="1142"/>
      <c r="PWG52" s="1142"/>
      <c r="PWH52" s="1142"/>
      <c r="PWI52" s="1142"/>
      <c r="PWJ52" s="1142"/>
      <c r="PWK52" s="1167"/>
      <c r="PWL52" s="1167"/>
      <c r="PWM52" s="1167"/>
      <c r="PWN52" s="1167"/>
      <c r="PWO52" s="1167"/>
      <c r="PWP52" s="1167"/>
      <c r="PWQ52" s="1167"/>
      <c r="PWR52" s="1167"/>
      <c r="PWS52" s="1167"/>
      <c r="PWT52" s="1142"/>
      <c r="PWU52" s="1142"/>
      <c r="PWV52" s="1142"/>
      <c r="PWW52" s="1142"/>
      <c r="PWX52" s="1142"/>
      <c r="PWY52" s="1142"/>
      <c r="PWZ52" s="1142"/>
      <c r="PXA52" s="1142"/>
      <c r="PXB52" s="1142"/>
      <c r="PXC52" s="1142"/>
      <c r="PXD52" s="1142"/>
      <c r="PXE52" s="1142"/>
      <c r="PXF52" s="1142"/>
      <c r="PXG52" s="1142"/>
      <c r="PXH52" s="1142"/>
      <c r="PXI52" s="1142"/>
      <c r="PXJ52" s="1142"/>
      <c r="PXK52" s="1142"/>
      <c r="PXL52" s="1142"/>
      <c r="PXM52" s="1142"/>
      <c r="PXN52" s="1142"/>
      <c r="PXO52" s="1142"/>
      <c r="PXP52" s="1142"/>
      <c r="PXQ52" s="1167"/>
      <c r="PXR52" s="1167"/>
      <c r="PXS52" s="1167"/>
      <c r="PXT52" s="1167"/>
      <c r="PXU52" s="1167"/>
      <c r="PXV52" s="1167"/>
      <c r="PXW52" s="1167"/>
      <c r="PXX52" s="1167"/>
      <c r="PXY52" s="1167"/>
      <c r="PXZ52" s="1142"/>
      <c r="PYA52" s="1142"/>
      <c r="PYB52" s="1142"/>
      <c r="PYC52" s="1142"/>
      <c r="PYD52" s="1142"/>
      <c r="PYE52" s="1142"/>
      <c r="PYF52" s="1142"/>
      <c r="PYG52" s="1142"/>
      <c r="PYH52" s="1142"/>
      <c r="PYI52" s="1142"/>
      <c r="PYJ52" s="1142"/>
      <c r="PYK52" s="1142"/>
      <c r="PYL52" s="1142"/>
      <c r="PYM52" s="1142"/>
      <c r="PYN52" s="1142"/>
      <c r="PYO52" s="1142"/>
      <c r="PYP52" s="1142"/>
      <c r="PYQ52" s="1142"/>
      <c r="PYR52" s="1142"/>
      <c r="PYS52" s="1142"/>
      <c r="PYT52" s="1142"/>
      <c r="PYU52" s="1142"/>
      <c r="PYV52" s="1142"/>
      <c r="PYW52" s="1167"/>
      <c r="PYX52" s="1167"/>
      <c r="PYY52" s="1167"/>
      <c r="PYZ52" s="1167"/>
      <c r="PZA52" s="1167"/>
      <c r="PZB52" s="1167"/>
      <c r="PZC52" s="1167"/>
      <c r="PZD52" s="1167"/>
      <c r="PZE52" s="1167"/>
      <c r="PZF52" s="1142"/>
      <c r="PZG52" s="1142"/>
      <c r="PZH52" s="1142"/>
      <c r="PZI52" s="1142"/>
      <c r="PZJ52" s="1142"/>
      <c r="PZK52" s="1142"/>
      <c r="PZL52" s="1142"/>
      <c r="PZM52" s="1142"/>
      <c r="PZN52" s="1142"/>
      <c r="PZO52" s="1142"/>
      <c r="PZP52" s="1142"/>
      <c r="PZQ52" s="1142"/>
      <c r="PZR52" s="1142"/>
      <c r="PZS52" s="1142"/>
      <c r="PZT52" s="1142"/>
      <c r="PZU52" s="1142"/>
      <c r="PZV52" s="1142"/>
      <c r="PZW52" s="1142"/>
      <c r="PZX52" s="1142"/>
      <c r="PZY52" s="1142"/>
      <c r="PZZ52" s="1142"/>
      <c r="QAA52" s="1142"/>
      <c r="QAB52" s="1142"/>
      <c r="QAC52" s="1167"/>
      <c r="QAD52" s="1167"/>
      <c r="QAE52" s="1167"/>
      <c r="QAF52" s="1167"/>
      <c r="QAG52" s="1167"/>
      <c r="QAH52" s="1167"/>
      <c r="QAI52" s="1167"/>
      <c r="QAJ52" s="1167"/>
      <c r="QAK52" s="1167"/>
      <c r="QAL52" s="1142"/>
      <c r="QAM52" s="1142"/>
      <c r="QAN52" s="1142"/>
      <c r="QAO52" s="1142"/>
      <c r="QAP52" s="1142"/>
      <c r="QAQ52" s="1142"/>
      <c r="QAR52" s="1142"/>
      <c r="QAS52" s="1142"/>
      <c r="QAT52" s="1142"/>
      <c r="QAU52" s="1142"/>
      <c r="QAV52" s="1142"/>
      <c r="QAW52" s="1142"/>
      <c r="QAX52" s="1142"/>
      <c r="QAY52" s="1142"/>
      <c r="QAZ52" s="1142"/>
      <c r="QBA52" s="1142"/>
      <c r="QBB52" s="1142"/>
      <c r="QBC52" s="1142"/>
      <c r="QBD52" s="1142"/>
      <c r="QBE52" s="1142"/>
      <c r="QBF52" s="1142"/>
      <c r="QBG52" s="1142"/>
      <c r="QBH52" s="1142"/>
      <c r="QBI52" s="1167"/>
      <c r="QBJ52" s="1167"/>
      <c r="QBK52" s="1167"/>
      <c r="QBL52" s="1167"/>
      <c r="QBM52" s="1167"/>
      <c r="QBN52" s="1167"/>
      <c r="QBO52" s="1167"/>
      <c r="QBP52" s="1167"/>
      <c r="QBQ52" s="1167"/>
      <c r="QBR52" s="1142"/>
      <c r="QBS52" s="1142"/>
      <c r="QBT52" s="1142"/>
      <c r="QBU52" s="1142"/>
      <c r="QBV52" s="1142"/>
      <c r="QBW52" s="1142"/>
      <c r="QBX52" s="1142"/>
      <c r="QBY52" s="1142"/>
      <c r="QBZ52" s="1142"/>
      <c r="QCA52" s="1142"/>
      <c r="QCB52" s="1142"/>
      <c r="QCC52" s="1142"/>
      <c r="QCD52" s="1142"/>
      <c r="QCE52" s="1142"/>
      <c r="QCF52" s="1142"/>
      <c r="QCG52" s="1142"/>
      <c r="QCH52" s="1142"/>
      <c r="QCI52" s="1142"/>
      <c r="QCJ52" s="1142"/>
      <c r="QCK52" s="1142"/>
      <c r="QCL52" s="1142"/>
      <c r="QCM52" s="1142"/>
      <c r="QCN52" s="1142"/>
      <c r="QCO52" s="1167"/>
      <c r="QCP52" s="1167"/>
      <c r="QCQ52" s="1167"/>
      <c r="QCR52" s="1167"/>
      <c r="QCS52" s="1167"/>
      <c r="QCT52" s="1167"/>
      <c r="QCU52" s="1167"/>
      <c r="QCV52" s="1167"/>
      <c r="QCW52" s="1167"/>
      <c r="QCX52" s="1142"/>
      <c r="QCY52" s="1142"/>
      <c r="QCZ52" s="1142"/>
      <c r="QDA52" s="1142"/>
      <c r="QDB52" s="1142"/>
      <c r="QDC52" s="1142"/>
      <c r="QDD52" s="1142"/>
      <c r="QDE52" s="1142"/>
      <c r="QDF52" s="1142"/>
      <c r="QDG52" s="1142"/>
      <c r="QDH52" s="1142"/>
      <c r="QDI52" s="1142"/>
      <c r="QDJ52" s="1142"/>
      <c r="QDK52" s="1142"/>
      <c r="QDL52" s="1142"/>
      <c r="QDM52" s="1142"/>
      <c r="QDN52" s="1142"/>
      <c r="QDO52" s="1142"/>
      <c r="QDP52" s="1142"/>
      <c r="QDQ52" s="1142"/>
      <c r="QDR52" s="1142"/>
      <c r="QDS52" s="1142"/>
      <c r="QDT52" s="1142"/>
      <c r="QDU52" s="1167"/>
      <c r="QDV52" s="1167"/>
      <c r="QDW52" s="1167"/>
      <c r="QDX52" s="1167"/>
      <c r="QDY52" s="1167"/>
      <c r="QDZ52" s="1167"/>
      <c r="QEA52" s="1167"/>
      <c r="QEB52" s="1167"/>
      <c r="QEC52" s="1167"/>
      <c r="QED52" s="1142"/>
      <c r="QEE52" s="1142"/>
      <c r="QEF52" s="1142"/>
      <c r="QEG52" s="1142"/>
      <c r="QEH52" s="1142"/>
      <c r="QEI52" s="1142"/>
      <c r="QEJ52" s="1142"/>
      <c r="QEK52" s="1142"/>
      <c r="QEL52" s="1142"/>
      <c r="QEM52" s="1142"/>
      <c r="QEN52" s="1142"/>
      <c r="QEO52" s="1142"/>
      <c r="QEP52" s="1142"/>
      <c r="QEQ52" s="1142"/>
      <c r="QER52" s="1142"/>
      <c r="QES52" s="1142"/>
      <c r="QET52" s="1142"/>
      <c r="QEU52" s="1142"/>
      <c r="QEV52" s="1142"/>
      <c r="QEW52" s="1142"/>
      <c r="QEX52" s="1142"/>
      <c r="QEY52" s="1142"/>
      <c r="QEZ52" s="1142"/>
      <c r="QFA52" s="1167"/>
      <c r="QFB52" s="1167"/>
      <c r="QFC52" s="1167"/>
      <c r="QFD52" s="1167"/>
      <c r="QFE52" s="1167"/>
      <c r="QFF52" s="1167"/>
      <c r="QFG52" s="1167"/>
      <c r="QFH52" s="1167"/>
      <c r="QFI52" s="1167"/>
      <c r="QFJ52" s="1142"/>
      <c r="QFK52" s="1142"/>
      <c r="QFL52" s="1142"/>
      <c r="QFM52" s="1142"/>
      <c r="QFN52" s="1142"/>
      <c r="QFO52" s="1142"/>
      <c r="QFP52" s="1142"/>
      <c r="QFQ52" s="1142"/>
      <c r="QFR52" s="1142"/>
      <c r="QFS52" s="1142"/>
      <c r="QFT52" s="1142"/>
      <c r="QFU52" s="1142"/>
      <c r="QFV52" s="1142"/>
      <c r="QFW52" s="1142"/>
      <c r="QFX52" s="1142"/>
      <c r="QFY52" s="1142"/>
      <c r="QFZ52" s="1142"/>
      <c r="QGA52" s="1142"/>
      <c r="QGB52" s="1142"/>
      <c r="QGC52" s="1142"/>
      <c r="QGD52" s="1142"/>
      <c r="QGE52" s="1142"/>
      <c r="QGF52" s="1142"/>
      <c r="QGG52" s="1167"/>
      <c r="QGH52" s="1167"/>
      <c r="QGI52" s="1167"/>
      <c r="QGJ52" s="1167"/>
      <c r="QGK52" s="1167"/>
      <c r="QGL52" s="1167"/>
      <c r="QGM52" s="1167"/>
      <c r="QGN52" s="1167"/>
      <c r="QGO52" s="1167"/>
      <c r="QGP52" s="1142"/>
      <c r="QGQ52" s="1142"/>
      <c r="QGR52" s="1142"/>
      <c r="QGS52" s="1142"/>
      <c r="QGT52" s="1142"/>
      <c r="QGU52" s="1142"/>
      <c r="QGV52" s="1142"/>
      <c r="QGW52" s="1142"/>
      <c r="QGX52" s="1142"/>
      <c r="QGY52" s="1142"/>
      <c r="QGZ52" s="1142"/>
      <c r="QHA52" s="1142"/>
      <c r="QHB52" s="1142"/>
      <c r="QHC52" s="1142"/>
      <c r="QHD52" s="1142"/>
      <c r="QHE52" s="1142"/>
      <c r="QHF52" s="1142"/>
      <c r="QHG52" s="1142"/>
      <c r="QHH52" s="1142"/>
      <c r="QHI52" s="1142"/>
      <c r="QHJ52" s="1142"/>
      <c r="QHK52" s="1142"/>
      <c r="QHL52" s="1142"/>
      <c r="QHM52" s="1167"/>
      <c r="QHN52" s="1167"/>
      <c r="QHO52" s="1167"/>
      <c r="QHP52" s="1167"/>
      <c r="QHQ52" s="1167"/>
      <c r="QHR52" s="1167"/>
      <c r="QHS52" s="1167"/>
      <c r="QHT52" s="1167"/>
      <c r="QHU52" s="1167"/>
      <c r="QHV52" s="1142"/>
      <c r="QHW52" s="1142"/>
      <c r="QHX52" s="1142"/>
      <c r="QHY52" s="1142"/>
      <c r="QHZ52" s="1142"/>
      <c r="QIA52" s="1142"/>
      <c r="QIB52" s="1142"/>
      <c r="QIC52" s="1142"/>
      <c r="QID52" s="1142"/>
      <c r="QIE52" s="1142"/>
      <c r="QIF52" s="1142"/>
      <c r="QIG52" s="1142"/>
      <c r="QIH52" s="1142"/>
      <c r="QII52" s="1142"/>
      <c r="QIJ52" s="1142"/>
      <c r="QIK52" s="1142"/>
      <c r="QIL52" s="1142"/>
      <c r="QIM52" s="1142"/>
      <c r="QIN52" s="1142"/>
      <c r="QIO52" s="1142"/>
      <c r="QIP52" s="1142"/>
      <c r="QIQ52" s="1142"/>
      <c r="QIR52" s="1142"/>
      <c r="QIS52" s="1167"/>
      <c r="QIT52" s="1167"/>
      <c r="QIU52" s="1167"/>
      <c r="QIV52" s="1167"/>
      <c r="QIW52" s="1167"/>
      <c r="QIX52" s="1167"/>
      <c r="QIY52" s="1167"/>
      <c r="QIZ52" s="1167"/>
      <c r="QJA52" s="1167"/>
      <c r="QJB52" s="1142"/>
      <c r="QJC52" s="1142"/>
      <c r="QJD52" s="1142"/>
      <c r="QJE52" s="1142"/>
      <c r="QJF52" s="1142"/>
      <c r="QJG52" s="1142"/>
      <c r="QJH52" s="1142"/>
      <c r="QJI52" s="1142"/>
      <c r="QJJ52" s="1142"/>
      <c r="QJK52" s="1142"/>
      <c r="QJL52" s="1142"/>
      <c r="QJM52" s="1142"/>
      <c r="QJN52" s="1142"/>
      <c r="QJO52" s="1142"/>
      <c r="QJP52" s="1142"/>
      <c r="QJQ52" s="1142"/>
      <c r="QJR52" s="1142"/>
      <c r="QJS52" s="1142"/>
      <c r="QJT52" s="1142"/>
      <c r="QJU52" s="1142"/>
      <c r="QJV52" s="1142"/>
      <c r="QJW52" s="1142"/>
      <c r="QJX52" s="1142"/>
      <c r="QJY52" s="1167"/>
      <c r="QJZ52" s="1167"/>
      <c r="QKA52" s="1167"/>
      <c r="QKB52" s="1167"/>
      <c r="QKC52" s="1167"/>
      <c r="QKD52" s="1167"/>
      <c r="QKE52" s="1167"/>
      <c r="QKF52" s="1167"/>
      <c r="QKG52" s="1167"/>
      <c r="QKH52" s="1142"/>
      <c r="QKI52" s="1142"/>
      <c r="QKJ52" s="1142"/>
      <c r="QKK52" s="1142"/>
      <c r="QKL52" s="1142"/>
      <c r="QKM52" s="1142"/>
      <c r="QKN52" s="1142"/>
      <c r="QKO52" s="1142"/>
      <c r="QKP52" s="1142"/>
      <c r="QKQ52" s="1142"/>
      <c r="QKR52" s="1142"/>
      <c r="QKS52" s="1142"/>
      <c r="QKT52" s="1142"/>
      <c r="QKU52" s="1142"/>
      <c r="QKV52" s="1142"/>
      <c r="QKW52" s="1142"/>
      <c r="QKX52" s="1142"/>
      <c r="QKY52" s="1142"/>
      <c r="QKZ52" s="1142"/>
      <c r="QLA52" s="1142"/>
      <c r="QLB52" s="1142"/>
      <c r="QLC52" s="1142"/>
      <c r="QLD52" s="1142"/>
      <c r="QLE52" s="1167"/>
      <c r="QLF52" s="1167"/>
      <c r="QLG52" s="1167"/>
      <c r="QLH52" s="1167"/>
      <c r="QLI52" s="1167"/>
      <c r="QLJ52" s="1167"/>
      <c r="QLK52" s="1167"/>
      <c r="QLL52" s="1167"/>
      <c r="QLM52" s="1167"/>
      <c r="QLN52" s="1142"/>
      <c r="QLO52" s="1142"/>
      <c r="QLP52" s="1142"/>
      <c r="QLQ52" s="1142"/>
      <c r="QLR52" s="1142"/>
      <c r="QLS52" s="1142"/>
      <c r="QLT52" s="1142"/>
      <c r="QLU52" s="1142"/>
      <c r="QLV52" s="1142"/>
      <c r="QLW52" s="1142"/>
      <c r="QLX52" s="1142"/>
      <c r="QLY52" s="1142"/>
      <c r="QLZ52" s="1142"/>
      <c r="QMA52" s="1142"/>
      <c r="QMB52" s="1142"/>
      <c r="QMC52" s="1142"/>
      <c r="QMD52" s="1142"/>
      <c r="QME52" s="1142"/>
      <c r="QMF52" s="1142"/>
      <c r="QMG52" s="1142"/>
      <c r="QMH52" s="1142"/>
      <c r="QMI52" s="1142"/>
      <c r="QMJ52" s="1142"/>
      <c r="QMK52" s="1167"/>
      <c r="QML52" s="1167"/>
      <c r="QMM52" s="1167"/>
      <c r="QMN52" s="1167"/>
      <c r="QMO52" s="1167"/>
      <c r="QMP52" s="1167"/>
      <c r="QMQ52" s="1167"/>
      <c r="QMR52" s="1167"/>
      <c r="QMS52" s="1167"/>
      <c r="QMT52" s="1142"/>
      <c r="QMU52" s="1142"/>
      <c r="QMV52" s="1142"/>
      <c r="QMW52" s="1142"/>
      <c r="QMX52" s="1142"/>
      <c r="QMY52" s="1142"/>
      <c r="QMZ52" s="1142"/>
      <c r="QNA52" s="1142"/>
      <c r="QNB52" s="1142"/>
      <c r="QNC52" s="1142"/>
      <c r="QND52" s="1142"/>
      <c r="QNE52" s="1142"/>
      <c r="QNF52" s="1142"/>
      <c r="QNG52" s="1142"/>
      <c r="QNH52" s="1142"/>
      <c r="QNI52" s="1142"/>
      <c r="QNJ52" s="1142"/>
      <c r="QNK52" s="1142"/>
      <c r="QNL52" s="1142"/>
      <c r="QNM52" s="1142"/>
      <c r="QNN52" s="1142"/>
      <c r="QNO52" s="1142"/>
      <c r="QNP52" s="1142"/>
      <c r="QNQ52" s="1167"/>
      <c r="QNR52" s="1167"/>
      <c r="QNS52" s="1167"/>
      <c r="QNT52" s="1167"/>
      <c r="QNU52" s="1167"/>
      <c r="QNV52" s="1167"/>
      <c r="QNW52" s="1167"/>
      <c r="QNX52" s="1167"/>
      <c r="QNY52" s="1167"/>
      <c r="QNZ52" s="1142"/>
      <c r="QOA52" s="1142"/>
      <c r="QOB52" s="1142"/>
      <c r="QOC52" s="1142"/>
      <c r="QOD52" s="1142"/>
      <c r="QOE52" s="1142"/>
      <c r="QOF52" s="1142"/>
      <c r="QOG52" s="1142"/>
      <c r="QOH52" s="1142"/>
      <c r="QOI52" s="1142"/>
      <c r="QOJ52" s="1142"/>
      <c r="QOK52" s="1142"/>
      <c r="QOL52" s="1142"/>
      <c r="QOM52" s="1142"/>
      <c r="QON52" s="1142"/>
      <c r="QOO52" s="1142"/>
      <c r="QOP52" s="1142"/>
      <c r="QOQ52" s="1142"/>
      <c r="QOR52" s="1142"/>
      <c r="QOS52" s="1142"/>
      <c r="QOT52" s="1142"/>
      <c r="QOU52" s="1142"/>
      <c r="QOV52" s="1142"/>
      <c r="QOW52" s="1167"/>
      <c r="QOX52" s="1167"/>
      <c r="QOY52" s="1167"/>
      <c r="QOZ52" s="1167"/>
      <c r="QPA52" s="1167"/>
      <c r="QPB52" s="1167"/>
      <c r="QPC52" s="1167"/>
      <c r="QPD52" s="1167"/>
      <c r="QPE52" s="1167"/>
      <c r="QPF52" s="1142"/>
      <c r="QPG52" s="1142"/>
      <c r="QPH52" s="1142"/>
      <c r="QPI52" s="1142"/>
      <c r="QPJ52" s="1142"/>
      <c r="QPK52" s="1142"/>
      <c r="QPL52" s="1142"/>
      <c r="QPM52" s="1142"/>
      <c r="QPN52" s="1142"/>
      <c r="QPO52" s="1142"/>
      <c r="QPP52" s="1142"/>
      <c r="QPQ52" s="1142"/>
      <c r="QPR52" s="1142"/>
      <c r="QPS52" s="1142"/>
      <c r="QPT52" s="1142"/>
      <c r="QPU52" s="1142"/>
      <c r="QPV52" s="1142"/>
      <c r="QPW52" s="1142"/>
      <c r="QPX52" s="1142"/>
      <c r="QPY52" s="1142"/>
      <c r="QPZ52" s="1142"/>
      <c r="QQA52" s="1142"/>
      <c r="QQB52" s="1142"/>
      <c r="QQC52" s="1167"/>
      <c r="QQD52" s="1167"/>
      <c r="QQE52" s="1167"/>
      <c r="QQF52" s="1167"/>
      <c r="QQG52" s="1167"/>
      <c r="QQH52" s="1167"/>
      <c r="QQI52" s="1167"/>
      <c r="QQJ52" s="1167"/>
      <c r="QQK52" s="1167"/>
      <c r="QQL52" s="1142"/>
      <c r="QQM52" s="1142"/>
      <c r="QQN52" s="1142"/>
      <c r="QQO52" s="1142"/>
      <c r="QQP52" s="1142"/>
      <c r="QQQ52" s="1142"/>
      <c r="QQR52" s="1142"/>
      <c r="QQS52" s="1142"/>
      <c r="QQT52" s="1142"/>
      <c r="QQU52" s="1142"/>
      <c r="QQV52" s="1142"/>
      <c r="QQW52" s="1142"/>
      <c r="QQX52" s="1142"/>
      <c r="QQY52" s="1142"/>
      <c r="QQZ52" s="1142"/>
      <c r="QRA52" s="1142"/>
      <c r="QRB52" s="1142"/>
      <c r="QRC52" s="1142"/>
      <c r="QRD52" s="1142"/>
      <c r="QRE52" s="1142"/>
      <c r="QRF52" s="1142"/>
      <c r="QRG52" s="1142"/>
      <c r="QRH52" s="1142"/>
      <c r="QRI52" s="1167"/>
      <c r="QRJ52" s="1167"/>
      <c r="QRK52" s="1167"/>
      <c r="QRL52" s="1167"/>
      <c r="QRM52" s="1167"/>
      <c r="QRN52" s="1167"/>
      <c r="QRO52" s="1167"/>
      <c r="QRP52" s="1167"/>
      <c r="QRQ52" s="1167"/>
      <c r="QRR52" s="1142"/>
      <c r="QRS52" s="1142"/>
      <c r="QRT52" s="1142"/>
      <c r="QRU52" s="1142"/>
      <c r="QRV52" s="1142"/>
      <c r="QRW52" s="1142"/>
      <c r="QRX52" s="1142"/>
      <c r="QRY52" s="1142"/>
      <c r="QRZ52" s="1142"/>
      <c r="QSA52" s="1142"/>
      <c r="QSB52" s="1142"/>
      <c r="QSC52" s="1142"/>
      <c r="QSD52" s="1142"/>
      <c r="QSE52" s="1142"/>
      <c r="QSF52" s="1142"/>
      <c r="QSG52" s="1142"/>
      <c r="QSH52" s="1142"/>
      <c r="QSI52" s="1142"/>
      <c r="QSJ52" s="1142"/>
      <c r="QSK52" s="1142"/>
      <c r="QSL52" s="1142"/>
      <c r="QSM52" s="1142"/>
      <c r="QSN52" s="1142"/>
      <c r="QSO52" s="1167"/>
      <c r="QSP52" s="1167"/>
      <c r="QSQ52" s="1167"/>
      <c r="QSR52" s="1167"/>
      <c r="QSS52" s="1167"/>
      <c r="QST52" s="1167"/>
      <c r="QSU52" s="1167"/>
      <c r="QSV52" s="1167"/>
      <c r="QSW52" s="1167"/>
      <c r="QSX52" s="1142"/>
      <c r="QSY52" s="1142"/>
      <c r="QSZ52" s="1142"/>
      <c r="QTA52" s="1142"/>
      <c r="QTB52" s="1142"/>
      <c r="QTC52" s="1142"/>
      <c r="QTD52" s="1142"/>
      <c r="QTE52" s="1142"/>
      <c r="QTF52" s="1142"/>
      <c r="QTG52" s="1142"/>
      <c r="QTH52" s="1142"/>
      <c r="QTI52" s="1142"/>
      <c r="QTJ52" s="1142"/>
      <c r="QTK52" s="1142"/>
      <c r="QTL52" s="1142"/>
      <c r="QTM52" s="1142"/>
      <c r="QTN52" s="1142"/>
      <c r="QTO52" s="1142"/>
      <c r="QTP52" s="1142"/>
      <c r="QTQ52" s="1142"/>
      <c r="QTR52" s="1142"/>
      <c r="QTS52" s="1142"/>
      <c r="QTT52" s="1142"/>
      <c r="QTU52" s="1167"/>
      <c r="QTV52" s="1167"/>
      <c r="QTW52" s="1167"/>
      <c r="QTX52" s="1167"/>
      <c r="QTY52" s="1167"/>
      <c r="QTZ52" s="1167"/>
      <c r="QUA52" s="1167"/>
      <c r="QUB52" s="1167"/>
      <c r="QUC52" s="1167"/>
      <c r="QUD52" s="1142"/>
      <c r="QUE52" s="1142"/>
      <c r="QUF52" s="1142"/>
      <c r="QUG52" s="1142"/>
      <c r="QUH52" s="1142"/>
      <c r="QUI52" s="1142"/>
      <c r="QUJ52" s="1142"/>
      <c r="QUK52" s="1142"/>
      <c r="QUL52" s="1142"/>
      <c r="QUM52" s="1142"/>
      <c r="QUN52" s="1142"/>
      <c r="QUO52" s="1142"/>
      <c r="QUP52" s="1142"/>
      <c r="QUQ52" s="1142"/>
      <c r="QUR52" s="1142"/>
      <c r="QUS52" s="1142"/>
      <c r="QUT52" s="1142"/>
      <c r="QUU52" s="1142"/>
      <c r="QUV52" s="1142"/>
      <c r="QUW52" s="1142"/>
      <c r="QUX52" s="1142"/>
      <c r="QUY52" s="1142"/>
      <c r="QUZ52" s="1142"/>
      <c r="QVA52" s="1167"/>
      <c r="QVB52" s="1167"/>
      <c r="QVC52" s="1167"/>
      <c r="QVD52" s="1167"/>
      <c r="QVE52" s="1167"/>
      <c r="QVF52" s="1167"/>
      <c r="QVG52" s="1167"/>
      <c r="QVH52" s="1167"/>
      <c r="QVI52" s="1167"/>
      <c r="QVJ52" s="1142"/>
      <c r="QVK52" s="1142"/>
      <c r="QVL52" s="1142"/>
      <c r="QVM52" s="1142"/>
      <c r="QVN52" s="1142"/>
      <c r="QVO52" s="1142"/>
      <c r="QVP52" s="1142"/>
      <c r="QVQ52" s="1142"/>
      <c r="QVR52" s="1142"/>
      <c r="QVS52" s="1142"/>
      <c r="QVT52" s="1142"/>
      <c r="QVU52" s="1142"/>
      <c r="QVV52" s="1142"/>
      <c r="QVW52" s="1142"/>
      <c r="QVX52" s="1142"/>
      <c r="QVY52" s="1142"/>
      <c r="QVZ52" s="1142"/>
      <c r="QWA52" s="1142"/>
      <c r="QWB52" s="1142"/>
      <c r="QWC52" s="1142"/>
      <c r="QWD52" s="1142"/>
      <c r="QWE52" s="1142"/>
      <c r="QWF52" s="1142"/>
      <c r="QWG52" s="1167"/>
      <c r="QWH52" s="1167"/>
      <c r="QWI52" s="1167"/>
      <c r="QWJ52" s="1167"/>
      <c r="QWK52" s="1167"/>
      <c r="QWL52" s="1167"/>
      <c r="QWM52" s="1167"/>
      <c r="QWN52" s="1167"/>
      <c r="QWO52" s="1167"/>
      <c r="QWP52" s="1142"/>
      <c r="QWQ52" s="1142"/>
      <c r="QWR52" s="1142"/>
      <c r="QWS52" s="1142"/>
      <c r="QWT52" s="1142"/>
      <c r="QWU52" s="1142"/>
      <c r="QWV52" s="1142"/>
      <c r="QWW52" s="1142"/>
      <c r="QWX52" s="1142"/>
      <c r="QWY52" s="1142"/>
      <c r="QWZ52" s="1142"/>
      <c r="QXA52" s="1142"/>
      <c r="QXB52" s="1142"/>
      <c r="QXC52" s="1142"/>
      <c r="QXD52" s="1142"/>
      <c r="QXE52" s="1142"/>
      <c r="QXF52" s="1142"/>
      <c r="QXG52" s="1142"/>
      <c r="QXH52" s="1142"/>
      <c r="QXI52" s="1142"/>
      <c r="QXJ52" s="1142"/>
      <c r="QXK52" s="1142"/>
      <c r="QXL52" s="1142"/>
      <c r="QXM52" s="1167"/>
      <c r="QXN52" s="1167"/>
      <c r="QXO52" s="1167"/>
      <c r="QXP52" s="1167"/>
      <c r="QXQ52" s="1167"/>
      <c r="QXR52" s="1167"/>
      <c r="QXS52" s="1167"/>
      <c r="QXT52" s="1167"/>
      <c r="QXU52" s="1167"/>
      <c r="QXV52" s="1142"/>
      <c r="QXW52" s="1142"/>
      <c r="QXX52" s="1142"/>
      <c r="QXY52" s="1142"/>
      <c r="QXZ52" s="1142"/>
      <c r="QYA52" s="1142"/>
      <c r="QYB52" s="1142"/>
      <c r="QYC52" s="1142"/>
      <c r="QYD52" s="1142"/>
      <c r="QYE52" s="1142"/>
      <c r="QYF52" s="1142"/>
      <c r="QYG52" s="1142"/>
      <c r="QYH52" s="1142"/>
      <c r="QYI52" s="1142"/>
      <c r="QYJ52" s="1142"/>
      <c r="QYK52" s="1142"/>
      <c r="QYL52" s="1142"/>
      <c r="QYM52" s="1142"/>
      <c r="QYN52" s="1142"/>
      <c r="QYO52" s="1142"/>
      <c r="QYP52" s="1142"/>
      <c r="QYQ52" s="1142"/>
      <c r="QYR52" s="1142"/>
      <c r="QYS52" s="1167"/>
      <c r="QYT52" s="1167"/>
      <c r="QYU52" s="1167"/>
      <c r="QYV52" s="1167"/>
      <c r="QYW52" s="1167"/>
      <c r="QYX52" s="1167"/>
      <c r="QYY52" s="1167"/>
      <c r="QYZ52" s="1167"/>
      <c r="QZA52" s="1167"/>
      <c r="QZB52" s="1142"/>
      <c r="QZC52" s="1142"/>
      <c r="QZD52" s="1142"/>
      <c r="QZE52" s="1142"/>
      <c r="QZF52" s="1142"/>
      <c r="QZG52" s="1142"/>
      <c r="QZH52" s="1142"/>
      <c r="QZI52" s="1142"/>
      <c r="QZJ52" s="1142"/>
      <c r="QZK52" s="1142"/>
      <c r="QZL52" s="1142"/>
      <c r="QZM52" s="1142"/>
      <c r="QZN52" s="1142"/>
      <c r="QZO52" s="1142"/>
      <c r="QZP52" s="1142"/>
      <c r="QZQ52" s="1142"/>
      <c r="QZR52" s="1142"/>
      <c r="QZS52" s="1142"/>
      <c r="QZT52" s="1142"/>
      <c r="QZU52" s="1142"/>
      <c r="QZV52" s="1142"/>
      <c r="QZW52" s="1142"/>
      <c r="QZX52" s="1142"/>
      <c r="QZY52" s="1167"/>
      <c r="QZZ52" s="1167"/>
      <c r="RAA52" s="1167"/>
      <c r="RAB52" s="1167"/>
      <c r="RAC52" s="1167"/>
      <c r="RAD52" s="1167"/>
      <c r="RAE52" s="1167"/>
      <c r="RAF52" s="1167"/>
      <c r="RAG52" s="1167"/>
      <c r="RAH52" s="1142"/>
      <c r="RAI52" s="1142"/>
      <c r="RAJ52" s="1142"/>
      <c r="RAK52" s="1142"/>
      <c r="RAL52" s="1142"/>
      <c r="RAM52" s="1142"/>
      <c r="RAN52" s="1142"/>
      <c r="RAO52" s="1142"/>
      <c r="RAP52" s="1142"/>
      <c r="RAQ52" s="1142"/>
      <c r="RAR52" s="1142"/>
      <c r="RAS52" s="1142"/>
      <c r="RAT52" s="1142"/>
      <c r="RAU52" s="1142"/>
      <c r="RAV52" s="1142"/>
      <c r="RAW52" s="1142"/>
      <c r="RAX52" s="1142"/>
      <c r="RAY52" s="1142"/>
      <c r="RAZ52" s="1142"/>
      <c r="RBA52" s="1142"/>
      <c r="RBB52" s="1142"/>
      <c r="RBC52" s="1142"/>
      <c r="RBD52" s="1142"/>
      <c r="RBE52" s="1167"/>
      <c r="RBF52" s="1167"/>
      <c r="RBG52" s="1167"/>
      <c r="RBH52" s="1167"/>
      <c r="RBI52" s="1167"/>
      <c r="RBJ52" s="1167"/>
      <c r="RBK52" s="1167"/>
      <c r="RBL52" s="1167"/>
      <c r="RBM52" s="1167"/>
      <c r="RBN52" s="1142"/>
      <c r="RBO52" s="1142"/>
      <c r="RBP52" s="1142"/>
      <c r="RBQ52" s="1142"/>
      <c r="RBR52" s="1142"/>
      <c r="RBS52" s="1142"/>
      <c r="RBT52" s="1142"/>
      <c r="RBU52" s="1142"/>
      <c r="RBV52" s="1142"/>
      <c r="RBW52" s="1142"/>
      <c r="RBX52" s="1142"/>
      <c r="RBY52" s="1142"/>
      <c r="RBZ52" s="1142"/>
      <c r="RCA52" s="1142"/>
      <c r="RCB52" s="1142"/>
      <c r="RCC52" s="1142"/>
      <c r="RCD52" s="1142"/>
      <c r="RCE52" s="1142"/>
      <c r="RCF52" s="1142"/>
      <c r="RCG52" s="1142"/>
      <c r="RCH52" s="1142"/>
      <c r="RCI52" s="1142"/>
      <c r="RCJ52" s="1142"/>
      <c r="RCK52" s="1167"/>
      <c r="RCL52" s="1167"/>
      <c r="RCM52" s="1167"/>
      <c r="RCN52" s="1167"/>
      <c r="RCO52" s="1167"/>
      <c r="RCP52" s="1167"/>
      <c r="RCQ52" s="1167"/>
      <c r="RCR52" s="1167"/>
      <c r="RCS52" s="1167"/>
      <c r="RCT52" s="1142"/>
      <c r="RCU52" s="1142"/>
      <c r="RCV52" s="1142"/>
      <c r="RCW52" s="1142"/>
      <c r="RCX52" s="1142"/>
      <c r="RCY52" s="1142"/>
      <c r="RCZ52" s="1142"/>
      <c r="RDA52" s="1142"/>
      <c r="RDB52" s="1142"/>
      <c r="RDC52" s="1142"/>
      <c r="RDD52" s="1142"/>
      <c r="RDE52" s="1142"/>
      <c r="RDF52" s="1142"/>
      <c r="RDG52" s="1142"/>
      <c r="RDH52" s="1142"/>
      <c r="RDI52" s="1142"/>
      <c r="RDJ52" s="1142"/>
      <c r="RDK52" s="1142"/>
      <c r="RDL52" s="1142"/>
      <c r="RDM52" s="1142"/>
      <c r="RDN52" s="1142"/>
      <c r="RDO52" s="1142"/>
      <c r="RDP52" s="1142"/>
      <c r="RDQ52" s="1167"/>
      <c r="RDR52" s="1167"/>
      <c r="RDS52" s="1167"/>
      <c r="RDT52" s="1167"/>
      <c r="RDU52" s="1167"/>
      <c r="RDV52" s="1167"/>
      <c r="RDW52" s="1167"/>
      <c r="RDX52" s="1167"/>
      <c r="RDY52" s="1167"/>
      <c r="RDZ52" s="1142"/>
      <c r="REA52" s="1142"/>
      <c r="REB52" s="1142"/>
      <c r="REC52" s="1142"/>
      <c r="RED52" s="1142"/>
      <c r="REE52" s="1142"/>
      <c r="REF52" s="1142"/>
      <c r="REG52" s="1142"/>
      <c r="REH52" s="1142"/>
      <c r="REI52" s="1142"/>
      <c r="REJ52" s="1142"/>
      <c r="REK52" s="1142"/>
      <c r="REL52" s="1142"/>
      <c r="REM52" s="1142"/>
      <c r="REN52" s="1142"/>
      <c r="REO52" s="1142"/>
      <c r="REP52" s="1142"/>
      <c r="REQ52" s="1142"/>
      <c r="RER52" s="1142"/>
      <c r="RES52" s="1142"/>
      <c r="RET52" s="1142"/>
      <c r="REU52" s="1142"/>
      <c r="REV52" s="1142"/>
      <c r="REW52" s="1167"/>
      <c r="REX52" s="1167"/>
      <c r="REY52" s="1167"/>
      <c r="REZ52" s="1167"/>
      <c r="RFA52" s="1167"/>
      <c r="RFB52" s="1167"/>
      <c r="RFC52" s="1167"/>
      <c r="RFD52" s="1167"/>
      <c r="RFE52" s="1167"/>
      <c r="RFF52" s="1142"/>
      <c r="RFG52" s="1142"/>
      <c r="RFH52" s="1142"/>
      <c r="RFI52" s="1142"/>
      <c r="RFJ52" s="1142"/>
      <c r="RFK52" s="1142"/>
      <c r="RFL52" s="1142"/>
      <c r="RFM52" s="1142"/>
      <c r="RFN52" s="1142"/>
      <c r="RFO52" s="1142"/>
      <c r="RFP52" s="1142"/>
      <c r="RFQ52" s="1142"/>
      <c r="RFR52" s="1142"/>
      <c r="RFS52" s="1142"/>
      <c r="RFT52" s="1142"/>
      <c r="RFU52" s="1142"/>
      <c r="RFV52" s="1142"/>
      <c r="RFW52" s="1142"/>
      <c r="RFX52" s="1142"/>
      <c r="RFY52" s="1142"/>
      <c r="RFZ52" s="1142"/>
      <c r="RGA52" s="1142"/>
      <c r="RGB52" s="1142"/>
      <c r="RGC52" s="1167"/>
      <c r="RGD52" s="1167"/>
      <c r="RGE52" s="1167"/>
      <c r="RGF52" s="1167"/>
      <c r="RGG52" s="1167"/>
      <c r="RGH52" s="1167"/>
      <c r="RGI52" s="1167"/>
      <c r="RGJ52" s="1167"/>
      <c r="RGK52" s="1167"/>
      <c r="RGL52" s="1142"/>
      <c r="RGM52" s="1142"/>
      <c r="RGN52" s="1142"/>
      <c r="RGO52" s="1142"/>
      <c r="RGP52" s="1142"/>
      <c r="RGQ52" s="1142"/>
      <c r="RGR52" s="1142"/>
      <c r="RGS52" s="1142"/>
      <c r="RGT52" s="1142"/>
      <c r="RGU52" s="1142"/>
      <c r="RGV52" s="1142"/>
      <c r="RGW52" s="1142"/>
      <c r="RGX52" s="1142"/>
      <c r="RGY52" s="1142"/>
      <c r="RGZ52" s="1142"/>
      <c r="RHA52" s="1142"/>
      <c r="RHB52" s="1142"/>
      <c r="RHC52" s="1142"/>
      <c r="RHD52" s="1142"/>
      <c r="RHE52" s="1142"/>
      <c r="RHF52" s="1142"/>
      <c r="RHG52" s="1142"/>
      <c r="RHH52" s="1142"/>
      <c r="RHI52" s="1167"/>
      <c r="RHJ52" s="1167"/>
      <c r="RHK52" s="1167"/>
      <c r="RHL52" s="1167"/>
      <c r="RHM52" s="1167"/>
      <c r="RHN52" s="1167"/>
      <c r="RHO52" s="1167"/>
      <c r="RHP52" s="1167"/>
      <c r="RHQ52" s="1167"/>
      <c r="RHR52" s="1142"/>
      <c r="RHS52" s="1142"/>
      <c r="RHT52" s="1142"/>
      <c r="RHU52" s="1142"/>
      <c r="RHV52" s="1142"/>
      <c r="RHW52" s="1142"/>
      <c r="RHX52" s="1142"/>
      <c r="RHY52" s="1142"/>
      <c r="RHZ52" s="1142"/>
      <c r="RIA52" s="1142"/>
      <c r="RIB52" s="1142"/>
      <c r="RIC52" s="1142"/>
      <c r="RID52" s="1142"/>
      <c r="RIE52" s="1142"/>
      <c r="RIF52" s="1142"/>
      <c r="RIG52" s="1142"/>
      <c r="RIH52" s="1142"/>
      <c r="RII52" s="1142"/>
      <c r="RIJ52" s="1142"/>
      <c r="RIK52" s="1142"/>
      <c r="RIL52" s="1142"/>
      <c r="RIM52" s="1142"/>
      <c r="RIN52" s="1142"/>
      <c r="RIO52" s="1167"/>
      <c r="RIP52" s="1167"/>
      <c r="RIQ52" s="1167"/>
      <c r="RIR52" s="1167"/>
      <c r="RIS52" s="1167"/>
      <c r="RIT52" s="1167"/>
      <c r="RIU52" s="1167"/>
      <c r="RIV52" s="1167"/>
      <c r="RIW52" s="1167"/>
      <c r="RIX52" s="1142"/>
      <c r="RIY52" s="1142"/>
      <c r="RIZ52" s="1142"/>
      <c r="RJA52" s="1142"/>
      <c r="RJB52" s="1142"/>
      <c r="RJC52" s="1142"/>
      <c r="RJD52" s="1142"/>
      <c r="RJE52" s="1142"/>
      <c r="RJF52" s="1142"/>
      <c r="RJG52" s="1142"/>
      <c r="RJH52" s="1142"/>
      <c r="RJI52" s="1142"/>
      <c r="RJJ52" s="1142"/>
      <c r="RJK52" s="1142"/>
      <c r="RJL52" s="1142"/>
      <c r="RJM52" s="1142"/>
      <c r="RJN52" s="1142"/>
      <c r="RJO52" s="1142"/>
      <c r="RJP52" s="1142"/>
      <c r="RJQ52" s="1142"/>
      <c r="RJR52" s="1142"/>
      <c r="RJS52" s="1142"/>
      <c r="RJT52" s="1142"/>
      <c r="RJU52" s="1167"/>
      <c r="RJV52" s="1167"/>
      <c r="RJW52" s="1167"/>
      <c r="RJX52" s="1167"/>
      <c r="RJY52" s="1167"/>
      <c r="RJZ52" s="1167"/>
      <c r="RKA52" s="1167"/>
      <c r="RKB52" s="1167"/>
      <c r="RKC52" s="1167"/>
      <c r="RKD52" s="1142"/>
      <c r="RKE52" s="1142"/>
      <c r="RKF52" s="1142"/>
      <c r="RKG52" s="1142"/>
      <c r="RKH52" s="1142"/>
      <c r="RKI52" s="1142"/>
      <c r="RKJ52" s="1142"/>
      <c r="RKK52" s="1142"/>
      <c r="RKL52" s="1142"/>
      <c r="RKM52" s="1142"/>
      <c r="RKN52" s="1142"/>
      <c r="RKO52" s="1142"/>
      <c r="RKP52" s="1142"/>
      <c r="RKQ52" s="1142"/>
      <c r="RKR52" s="1142"/>
      <c r="RKS52" s="1142"/>
      <c r="RKT52" s="1142"/>
      <c r="RKU52" s="1142"/>
      <c r="RKV52" s="1142"/>
      <c r="RKW52" s="1142"/>
      <c r="RKX52" s="1142"/>
      <c r="RKY52" s="1142"/>
      <c r="RKZ52" s="1142"/>
      <c r="RLA52" s="1167"/>
      <c r="RLB52" s="1167"/>
      <c r="RLC52" s="1167"/>
      <c r="RLD52" s="1167"/>
      <c r="RLE52" s="1167"/>
      <c r="RLF52" s="1167"/>
      <c r="RLG52" s="1167"/>
      <c r="RLH52" s="1167"/>
      <c r="RLI52" s="1167"/>
      <c r="RLJ52" s="1142"/>
      <c r="RLK52" s="1142"/>
      <c r="RLL52" s="1142"/>
      <c r="RLM52" s="1142"/>
      <c r="RLN52" s="1142"/>
      <c r="RLO52" s="1142"/>
      <c r="RLP52" s="1142"/>
      <c r="RLQ52" s="1142"/>
      <c r="RLR52" s="1142"/>
      <c r="RLS52" s="1142"/>
      <c r="RLT52" s="1142"/>
      <c r="RLU52" s="1142"/>
      <c r="RLV52" s="1142"/>
      <c r="RLW52" s="1142"/>
      <c r="RLX52" s="1142"/>
      <c r="RLY52" s="1142"/>
      <c r="RLZ52" s="1142"/>
      <c r="RMA52" s="1142"/>
      <c r="RMB52" s="1142"/>
      <c r="RMC52" s="1142"/>
      <c r="RMD52" s="1142"/>
      <c r="RME52" s="1142"/>
      <c r="RMF52" s="1142"/>
      <c r="RMG52" s="1167"/>
      <c r="RMH52" s="1167"/>
      <c r="RMI52" s="1167"/>
      <c r="RMJ52" s="1167"/>
      <c r="RMK52" s="1167"/>
      <c r="RML52" s="1167"/>
      <c r="RMM52" s="1167"/>
      <c r="RMN52" s="1167"/>
      <c r="RMO52" s="1167"/>
      <c r="RMP52" s="1142"/>
      <c r="RMQ52" s="1142"/>
      <c r="RMR52" s="1142"/>
      <c r="RMS52" s="1142"/>
      <c r="RMT52" s="1142"/>
      <c r="RMU52" s="1142"/>
      <c r="RMV52" s="1142"/>
      <c r="RMW52" s="1142"/>
      <c r="RMX52" s="1142"/>
      <c r="RMY52" s="1142"/>
      <c r="RMZ52" s="1142"/>
      <c r="RNA52" s="1142"/>
      <c r="RNB52" s="1142"/>
      <c r="RNC52" s="1142"/>
      <c r="RND52" s="1142"/>
      <c r="RNE52" s="1142"/>
      <c r="RNF52" s="1142"/>
      <c r="RNG52" s="1142"/>
      <c r="RNH52" s="1142"/>
      <c r="RNI52" s="1142"/>
      <c r="RNJ52" s="1142"/>
      <c r="RNK52" s="1142"/>
      <c r="RNL52" s="1142"/>
      <c r="RNM52" s="1167"/>
      <c r="RNN52" s="1167"/>
      <c r="RNO52" s="1167"/>
      <c r="RNP52" s="1167"/>
      <c r="RNQ52" s="1167"/>
      <c r="RNR52" s="1167"/>
      <c r="RNS52" s="1167"/>
      <c r="RNT52" s="1167"/>
      <c r="RNU52" s="1167"/>
      <c r="RNV52" s="1142"/>
      <c r="RNW52" s="1142"/>
      <c r="RNX52" s="1142"/>
      <c r="RNY52" s="1142"/>
      <c r="RNZ52" s="1142"/>
      <c r="ROA52" s="1142"/>
      <c r="ROB52" s="1142"/>
      <c r="ROC52" s="1142"/>
      <c r="ROD52" s="1142"/>
      <c r="ROE52" s="1142"/>
      <c r="ROF52" s="1142"/>
      <c r="ROG52" s="1142"/>
      <c r="ROH52" s="1142"/>
      <c r="ROI52" s="1142"/>
      <c r="ROJ52" s="1142"/>
      <c r="ROK52" s="1142"/>
      <c r="ROL52" s="1142"/>
      <c r="ROM52" s="1142"/>
      <c r="RON52" s="1142"/>
      <c r="ROO52" s="1142"/>
      <c r="ROP52" s="1142"/>
      <c r="ROQ52" s="1142"/>
      <c r="ROR52" s="1142"/>
      <c r="ROS52" s="1167"/>
      <c r="ROT52" s="1167"/>
      <c r="ROU52" s="1167"/>
      <c r="ROV52" s="1167"/>
      <c r="ROW52" s="1167"/>
      <c r="ROX52" s="1167"/>
      <c r="ROY52" s="1167"/>
      <c r="ROZ52" s="1167"/>
      <c r="RPA52" s="1167"/>
      <c r="RPB52" s="1142"/>
      <c r="RPC52" s="1142"/>
      <c r="RPD52" s="1142"/>
      <c r="RPE52" s="1142"/>
      <c r="RPF52" s="1142"/>
      <c r="RPG52" s="1142"/>
      <c r="RPH52" s="1142"/>
      <c r="RPI52" s="1142"/>
      <c r="RPJ52" s="1142"/>
      <c r="RPK52" s="1142"/>
      <c r="RPL52" s="1142"/>
      <c r="RPM52" s="1142"/>
      <c r="RPN52" s="1142"/>
      <c r="RPO52" s="1142"/>
      <c r="RPP52" s="1142"/>
      <c r="RPQ52" s="1142"/>
      <c r="RPR52" s="1142"/>
      <c r="RPS52" s="1142"/>
      <c r="RPT52" s="1142"/>
      <c r="RPU52" s="1142"/>
      <c r="RPV52" s="1142"/>
      <c r="RPW52" s="1142"/>
      <c r="RPX52" s="1142"/>
      <c r="RPY52" s="1167"/>
      <c r="RPZ52" s="1167"/>
      <c r="RQA52" s="1167"/>
      <c r="RQB52" s="1167"/>
      <c r="RQC52" s="1167"/>
      <c r="RQD52" s="1167"/>
      <c r="RQE52" s="1167"/>
      <c r="RQF52" s="1167"/>
      <c r="RQG52" s="1167"/>
      <c r="RQH52" s="1142"/>
      <c r="RQI52" s="1142"/>
      <c r="RQJ52" s="1142"/>
      <c r="RQK52" s="1142"/>
      <c r="RQL52" s="1142"/>
      <c r="RQM52" s="1142"/>
      <c r="RQN52" s="1142"/>
      <c r="RQO52" s="1142"/>
      <c r="RQP52" s="1142"/>
      <c r="RQQ52" s="1142"/>
      <c r="RQR52" s="1142"/>
      <c r="RQS52" s="1142"/>
      <c r="RQT52" s="1142"/>
      <c r="RQU52" s="1142"/>
      <c r="RQV52" s="1142"/>
      <c r="RQW52" s="1142"/>
      <c r="RQX52" s="1142"/>
      <c r="RQY52" s="1142"/>
      <c r="RQZ52" s="1142"/>
      <c r="RRA52" s="1142"/>
      <c r="RRB52" s="1142"/>
      <c r="RRC52" s="1142"/>
      <c r="RRD52" s="1142"/>
      <c r="RRE52" s="1167"/>
      <c r="RRF52" s="1167"/>
      <c r="RRG52" s="1167"/>
      <c r="RRH52" s="1167"/>
      <c r="RRI52" s="1167"/>
      <c r="RRJ52" s="1167"/>
      <c r="RRK52" s="1167"/>
      <c r="RRL52" s="1167"/>
      <c r="RRM52" s="1167"/>
      <c r="RRN52" s="1142"/>
      <c r="RRO52" s="1142"/>
      <c r="RRP52" s="1142"/>
      <c r="RRQ52" s="1142"/>
      <c r="RRR52" s="1142"/>
      <c r="RRS52" s="1142"/>
      <c r="RRT52" s="1142"/>
      <c r="RRU52" s="1142"/>
      <c r="RRV52" s="1142"/>
      <c r="RRW52" s="1142"/>
      <c r="RRX52" s="1142"/>
      <c r="RRY52" s="1142"/>
      <c r="RRZ52" s="1142"/>
      <c r="RSA52" s="1142"/>
      <c r="RSB52" s="1142"/>
      <c r="RSC52" s="1142"/>
      <c r="RSD52" s="1142"/>
      <c r="RSE52" s="1142"/>
      <c r="RSF52" s="1142"/>
      <c r="RSG52" s="1142"/>
      <c r="RSH52" s="1142"/>
      <c r="RSI52" s="1142"/>
      <c r="RSJ52" s="1142"/>
      <c r="RSK52" s="1167"/>
      <c r="RSL52" s="1167"/>
      <c r="RSM52" s="1167"/>
      <c r="RSN52" s="1167"/>
      <c r="RSO52" s="1167"/>
      <c r="RSP52" s="1167"/>
      <c r="RSQ52" s="1167"/>
      <c r="RSR52" s="1167"/>
      <c r="RSS52" s="1167"/>
      <c r="RST52" s="1142"/>
      <c r="RSU52" s="1142"/>
      <c r="RSV52" s="1142"/>
      <c r="RSW52" s="1142"/>
      <c r="RSX52" s="1142"/>
      <c r="RSY52" s="1142"/>
      <c r="RSZ52" s="1142"/>
      <c r="RTA52" s="1142"/>
      <c r="RTB52" s="1142"/>
      <c r="RTC52" s="1142"/>
      <c r="RTD52" s="1142"/>
      <c r="RTE52" s="1142"/>
      <c r="RTF52" s="1142"/>
      <c r="RTG52" s="1142"/>
      <c r="RTH52" s="1142"/>
      <c r="RTI52" s="1142"/>
      <c r="RTJ52" s="1142"/>
      <c r="RTK52" s="1142"/>
      <c r="RTL52" s="1142"/>
      <c r="RTM52" s="1142"/>
      <c r="RTN52" s="1142"/>
      <c r="RTO52" s="1142"/>
      <c r="RTP52" s="1142"/>
      <c r="RTQ52" s="1167"/>
      <c r="RTR52" s="1167"/>
      <c r="RTS52" s="1167"/>
      <c r="RTT52" s="1167"/>
      <c r="RTU52" s="1167"/>
      <c r="RTV52" s="1167"/>
      <c r="RTW52" s="1167"/>
      <c r="RTX52" s="1167"/>
      <c r="RTY52" s="1167"/>
      <c r="RTZ52" s="1142"/>
      <c r="RUA52" s="1142"/>
      <c r="RUB52" s="1142"/>
      <c r="RUC52" s="1142"/>
      <c r="RUD52" s="1142"/>
      <c r="RUE52" s="1142"/>
      <c r="RUF52" s="1142"/>
      <c r="RUG52" s="1142"/>
      <c r="RUH52" s="1142"/>
      <c r="RUI52" s="1142"/>
      <c r="RUJ52" s="1142"/>
      <c r="RUK52" s="1142"/>
      <c r="RUL52" s="1142"/>
      <c r="RUM52" s="1142"/>
      <c r="RUN52" s="1142"/>
      <c r="RUO52" s="1142"/>
      <c r="RUP52" s="1142"/>
      <c r="RUQ52" s="1142"/>
      <c r="RUR52" s="1142"/>
      <c r="RUS52" s="1142"/>
      <c r="RUT52" s="1142"/>
      <c r="RUU52" s="1142"/>
      <c r="RUV52" s="1142"/>
      <c r="RUW52" s="1167"/>
      <c r="RUX52" s="1167"/>
      <c r="RUY52" s="1167"/>
      <c r="RUZ52" s="1167"/>
      <c r="RVA52" s="1167"/>
      <c r="RVB52" s="1167"/>
      <c r="RVC52" s="1167"/>
      <c r="RVD52" s="1167"/>
      <c r="RVE52" s="1167"/>
      <c r="RVF52" s="1142"/>
      <c r="RVG52" s="1142"/>
      <c r="RVH52" s="1142"/>
      <c r="RVI52" s="1142"/>
      <c r="RVJ52" s="1142"/>
      <c r="RVK52" s="1142"/>
      <c r="RVL52" s="1142"/>
      <c r="RVM52" s="1142"/>
      <c r="RVN52" s="1142"/>
      <c r="RVO52" s="1142"/>
      <c r="RVP52" s="1142"/>
      <c r="RVQ52" s="1142"/>
      <c r="RVR52" s="1142"/>
      <c r="RVS52" s="1142"/>
      <c r="RVT52" s="1142"/>
      <c r="RVU52" s="1142"/>
      <c r="RVV52" s="1142"/>
      <c r="RVW52" s="1142"/>
      <c r="RVX52" s="1142"/>
      <c r="RVY52" s="1142"/>
      <c r="RVZ52" s="1142"/>
      <c r="RWA52" s="1142"/>
      <c r="RWB52" s="1142"/>
      <c r="RWC52" s="1167"/>
      <c r="RWD52" s="1167"/>
      <c r="RWE52" s="1167"/>
      <c r="RWF52" s="1167"/>
      <c r="RWG52" s="1167"/>
      <c r="RWH52" s="1167"/>
      <c r="RWI52" s="1167"/>
      <c r="RWJ52" s="1167"/>
      <c r="RWK52" s="1167"/>
      <c r="RWL52" s="1142"/>
      <c r="RWM52" s="1142"/>
      <c r="RWN52" s="1142"/>
      <c r="RWO52" s="1142"/>
      <c r="RWP52" s="1142"/>
      <c r="RWQ52" s="1142"/>
      <c r="RWR52" s="1142"/>
      <c r="RWS52" s="1142"/>
      <c r="RWT52" s="1142"/>
      <c r="RWU52" s="1142"/>
      <c r="RWV52" s="1142"/>
      <c r="RWW52" s="1142"/>
      <c r="RWX52" s="1142"/>
      <c r="RWY52" s="1142"/>
      <c r="RWZ52" s="1142"/>
      <c r="RXA52" s="1142"/>
      <c r="RXB52" s="1142"/>
      <c r="RXC52" s="1142"/>
      <c r="RXD52" s="1142"/>
      <c r="RXE52" s="1142"/>
      <c r="RXF52" s="1142"/>
      <c r="RXG52" s="1142"/>
      <c r="RXH52" s="1142"/>
      <c r="RXI52" s="1167"/>
      <c r="RXJ52" s="1167"/>
      <c r="RXK52" s="1167"/>
      <c r="RXL52" s="1167"/>
      <c r="RXM52" s="1167"/>
      <c r="RXN52" s="1167"/>
      <c r="RXO52" s="1167"/>
      <c r="RXP52" s="1167"/>
      <c r="RXQ52" s="1167"/>
      <c r="RXR52" s="1142"/>
      <c r="RXS52" s="1142"/>
      <c r="RXT52" s="1142"/>
      <c r="RXU52" s="1142"/>
      <c r="RXV52" s="1142"/>
      <c r="RXW52" s="1142"/>
      <c r="RXX52" s="1142"/>
      <c r="RXY52" s="1142"/>
      <c r="RXZ52" s="1142"/>
      <c r="RYA52" s="1142"/>
      <c r="RYB52" s="1142"/>
      <c r="RYC52" s="1142"/>
      <c r="RYD52" s="1142"/>
      <c r="RYE52" s="1142"/>
      <c r="RYF52" s="1142"/>
      <c r="RYG52" s="1142"/>
      <c r="RYH52" s="1142"/>
      <c r="RYI52" s="1142"/>
      <c r="RYJ52" s="1142"/>
      <c r="RYK52" s="1142"/>
      <c r="RYL52" s="1142"/>
      <c r="RYM52" s="1142"/>
      <c r="RYN52" s="1142"/>
      <c r="RYO52" s="1167"/>
      <c r="RYP52" s="1167"/>
      <c r="RYQ52" s="1167"/>
      <c r="RYR52" s="1167"/>
      <c r="RYS52" s="1167"/>
      <c r="RYT52" s="1167"/>
      <c r="RYU52" s="1167"/>
      <c r="RYV52" s="1167"/>
      <c r="RYW52" s="1167"/>
      <c r="RYX52" s="1142"/>
      <c r="RYY52" s="1142"/>
      <c r="RYZ52" s="1142"/>
      <c r="RZA52" s="1142"/>
      <c r="RZB52" s="1142"/>
      <c r="RZC52" s="1142"/>
      <c r="RZD52" s="1142"/>
      <c r="RZE52" s="1142"/>
      <c r="RZF52" s="1142"/>
      <c r="RZG52" s="1142"/>
      <c r="RZH52" s="1142"/>
      <c r="RZI52" s="1142"/>
      <c r="RZJ52" s="1142"/>
      <c r="RZK52" s="1142"/>
      <c r="RZL52" s="1142"/>
      <c r="RZM52" s="1142"/>
      <c r="RZN52" s="1142"/>
      <c r="RZO52" s="1142"/>
      <c r="RZP52" s="1142"/>
      <c r="RZQ52" s="1142"/>
      <c r="RZR52" s="1142"/>
      <c r="RZS52" s="1142"/>
      <c r="RZT52" s="1142"/>
      <c r="RZU52" s="1167"/>
      <c r="RZV52" s="1167"/>
      <c r="RZW52" s="1167"/>
      <c r="RZX52" s="1167"/>
      <c r="RZY52" s="1167"/>
      <c r="RZZ52" s="1167"/>
      <c r="SAA52" s="1167"/>
      <c r="SAB52" s="1167"/>
      <c r="SAC52" s="1167"/>
      <c r="SAD52" s="1142"/>
      <c r="SAE52" s="1142"/>
      <c r="SAF52" s="1142"/>
      <c r="SAG52" s="1142"/>
      <c r="SAH52" s="1142"/>
      <c r="SAI52" s="1142"/>
      <c r="SAJ52" s="1142"/>
      <c r="SAK52" s="1142"/>
      <c r="SAL52" s="1142"/>
      <c r="SAM52" s="1142"/>
      <c r="SAN52" s="1142"/>
      <c r="SAO52" s="1142"/>
      <c r="SAP52" s="1142"/>
      <c r="SAQ52" s="1142"/>
      <c r="SAR52" s="1142"/>
      <c r="SAS52" s="1142"/>
      <c r="SAT52" s="1142"/>
      <c r="SAU52" s="1142"/>
      <c r="SAV52" s="1142"/>
      <c r="SAW52" s="1142"/>
      <c r="SAX52" s="1142"/>
      <c r="SAY52" s="1142"/>
      <c r="SAZ52" s="1142"/>
      <c r="SBA52" s="1167"/>
      <c r="SBB52" s="1167"/>
      <c r="SBC52" s="1167"/>
      <c r="SBD52" s="1167"/>
      <c r="SBE52" s="1167"/>
      <c r="SBF52" s="1167"/>
      <c r="SBG52" s="1167"/>
      <c r="SBH52" s="1167"/>
      <c r="SBI52" s="1167"/>
      <c r="SBJ52" s="1142"/>
      <c r="SBK52" s="1142"/>
      <c r="SBL52" s="1142"/>
      <c r="SBM52" s="1142"/>
      <c r="SBN52" s="1142"/>
      <c r="SBO52" s="1142"/>
      <c r="SBP52" s="1142"/>
      <c r="SBQ52" s="1142"/>
      <c r="SBR52" s="1142"/>
      <c r="SBS52" s="1142"/>
      <c r="SBT52" s="1142"/>
      <c r="SBU52" s="1142"/>
      <c r="SBV52" s="1142"/>
      <c r="SBW52" s="1142"/>
      <c r="SBX52" s="1142"/>
      <c r="SBY52" s="1142"/>
      <c r="SBZ52" s="1142"/>
      <c r="SCA52" s="1142"/>
      <c r="SCB52" s="1142"/>
      <c r="SCC52" s="1142"/>
      <c r="SCD52" s="1142"/>
      <c r="SCE52" s="1142"/>
      <c r="SCF52" s="1142"/>
      <c r="SCG52" s="1167"/>
      <c r="SCH52" s="1167"/>
      <c r="SCI52" s="1167"/>
      <c r="SCJ52" s="1167"/>
      <c r="SCK52" s="1167"/>
      <c r="SCL52" s="1167"/>
      <c r="SCM52" s="1167"/>
      <c r="SCN52" s="1167"/>
      <c r="SCO52" s="1167"/>
      <c r="SCP52" s="1142"/>
      <c r="SCQ52" s="1142"/>
      <c r="SCR52" s="1142"/>
      <c r="SCS52" s="1142"/>
      <c r="SCT52" s="1142"/>
      <c r="SCU52" s="1142"/>
      <c r="SCV52" s="1142"/>
      <c r="SCW52" s="1142"/>
      <c r="SCX52" s="1142"/>
      <c r="SCY52" s="1142"/>
      <c r="SCZ52" s="1142"/>
      <c r="SDA52" s="1142"/>
      <c r="SDB52" s="1142"/>
      <c r="SDC52" s="1142"/>
      <c r="SDD52" s="1142"/>
      <c r="SDE52" s="1142"/>
      <c r="SDF52" s="1142"/>
      <c r="SDG52" s="1142"/>
      <c r="SDH52" s="1142"/>
      <c r="SDI52" s="1142"/>
      <c r="SDJ52" s="1142"/>
      <c r="SDK52" s="1142"/>
      <c r="SDL52" s="1142"/>
      <c r="SDM52" s="1167"/>
      <c r="SDN52" s="1167"/>
      <c r="SDO52" s="1167"/>
      <c r="SDP52" s="1167"/>
      <c r="SDQ52" s="1167"/>
      <c r="SDR52" s="1167"/>
      <c r="SDS52" s="1167"/>
      <c r="SDT52" s="1167"/>
      <c r="SDU52" s="1167"/>
      <c r="SDV52" s="1142"/>
      <c r="SDW52" s="1142"/>
      <c r="SDX52" s="1142"/>
      <c r="SDY52" s="1142"/>
      <c r="SDZ52" s="1142"/>
      <c r="SEA52" s="1142"/>
      <c r="SEB52" s="1142"/>
      <c r="SEC52" s="1142"/>
      <c r="SED52" s="1142"/>
      <c r="SEE52" s="1142"/>
      <c r="SEF52" s="1142"/>
      <c r="SEG52" s="1142"/>
      <c r="SEH52" s="1142"/>
      <c r="SEI52" s="1142"/>
      <c r="SEJ52" s="1142"/>
      <c r="SEK52" s="1142"/>
      <c r="SEL52" s="1142"/>
      <c r="SEM52" s="1142"/>
      <c r="SEN52" s="1142"/>
      <c r="SEO52" s="1142"/>
      <c r="SEP52" s="1142"/>
      <c r="SEQ52" s="1142"/>
      <c r="SER52" s="1142"/>
      <c r="SES52" s="1167"/>
      <c r="SET52" s="1167"/>
      <c r="SEU52" s="1167"/>
      <c r="SEV52" s="1167"/>
      <c r="SEW52" s="1167"/>
      <c r="SEX52" s="1167"/>
      <c r="SEY52" s="1167"/>
      <c r="SEZ52" s="1167"/>
      <c r="SFA52" s="1167"/>
      <c r="SFB52" s="1142"/>
      <c r="SFC52" s="1142"/>
      <c r="SFD52" s="1142"/>
      <c r="SFE52" s="1142"/>
      <c r="SFF52" s="1142"/>
      <c r="SFG52" s="1142"/>
      <c r="SFH52" s="1142"/>
      <c r="SFI52" s="1142"/>
      <c r="SFJ52" s="1142"/>
      <c r="SFK52" s="1142"/>
      <c r="SFL52" s="1142"/>
      <c r="SFM52" s="1142"/>
      <c r="SFN52" s="1142"/>
      <c r="SFO52" s="1142"/>
      <c r="SFP52" s="1142"/>
      <c r="SFQ52" s="1142"/>
      <c r="SFR52" s="1142"/>
      <c r="SFS52" s="1142"/>
      <c r="SFT52" s="1142"/>
      <c r="SFU52" s="1142"/>
      <c r="SFV52" s="1142"/>
      <c r="SFW52" s="1142"/>
      <c r="SFX52" s="1142"/>
      <c r="SFY52" s="1167"/>
      <c r="SFZ52" s="1167"/>
      <c r="SGA52" s="1167"/>
      <c r="SGB52" s="1167"/>
      <c r="SGC52" s="1167"/>
      <c r="SGD52" s="1167"/>
      <c r="SGE52" s="1167"/>
      <c r="SGF52" s="1167"/>
      <c r="SGG52" s="1167"/>
      <c r="SGH52" s="1142"/>
      <c r="SGI52" s="1142"/>
      <c r="SGJ52" s="1142"/>
      <c r="SGK52" s="1142"/>
      <c r="SGL52" s="1142"/>
      <c r="SGM52" s="1142"/>
      <c r="SGN52" s="1142"/>
      <c r="SGO52" s="1142"/>
      <c r="SGP52" s="1142"/>
      <c r="SGQ52" s="1142"/>
      <c r="SGR52" s="1142"/>
      <c r="SGS52" s="1142"/>
      <c r="SGT52" s="1142"/>
      <c r="SGU52" s="1142"/>
      <c r="SGV52" s="1142"/>
      <c r="SGW52" s="1142"/>
      <c r="SGX52" s="1142"/>
      <c r="SGY52" s="1142"/>
      <c r="SGZ52" s="1142"/>
      <c r="SHA52" s="1142"/>
      <c r="SHB52" s="1142"/>
      <c r="SHC52" s="1142"/>
      <c r="SHD52" s="1142"/>
      <c r="SHE52" s="1167"/>
      <c r="SHF52" s="1167"/>
      <c r="SHG52" s="1167"/>
      <c r="SHH52" s="1167"/>
      <c r="SHI52" s="1167"/>
      <c r="SHJ52" s="1167"/>
      <c r="SHK52" s="1167"/>
      <c r="SHL52" s="1167"/>
      <c r="SHM52" s="1167"/>
      <c r="SHN52" s="1142"/>
      <c r="SHO52" s="1142"/>
      <c r="SHP52" s="1142"/>
      <c r="SHQ52" s="1142"/>
      <c r="SHR52" s="1142"/>
      <c r="SHS52" s="1142"/>
      <c r="SHT52" s="1142"/>
      <c r="SHU52" s="1142"/>
      <c r="SHV52" s="1142"/>
      <c r="SHW52" s="1142"/>
      <c r="SHX52" s="1142"/>
      <c r="SHY52" s="1142"/>
      <c r="SHZ52" s="1142"/>
      <c r="SIA52" s="1142"/>
      <c r="SIB52" s="1142"/>
      <c r="SIC52" s="1142"/>
      <c r="SID52" s="1142"/>
      <c r="SIE52" s="1142"/>
      <c r="SIF52" s="1142"/>
      <c r="SIG52" s="1142"/>
      <c r="SIH52" s="1142"/>
      <c r="SII52" s="1142"/>
      <c r="SIJ52" s="1142"/>
      <c r="SIK52" s="1167"/>
      <c r="SIL52" s="1167"/>
      <c r="SIM52" s="1167"/>
      <c r="SIN52" s="1167"/>
      <c r="SIO52" s="1167"/>
      <c r="SIP52" s="1167"/>
      <c r="SIQ52" s="1167"/>
      <c r="SIR52" s="1167"/>
      <c r="SIS52" s="1167"/>
      <c r="SIT52" s="1142"/>
      <c r="SIU52" s="1142"/>
      <c r="SIV52" s="1142"/>
      <c r="SIW52" s="1142"/>
      <c r="SIX52" s="1142"/>
      <c r="SIY52" s="1142"/>
      <c r="SIZ52" s="1142"/>
      <c r="SJA52" s="1142"/>
      <c r="SJB52" s="1142"/>
      <c r="SJC52" s="1142"/>
      <c r="SJD52" s="1142"/>
      <c r="SJE52" s="1142"/>
      <c r="SJF52" s="1142"/>
      <c r="SJG52" s="1142"/>
      <c r="SJH52" s="1142"/>
      <c r="SJI52" s="1142"/>
      <c r="SJJ52" s="1142"/>
      <c r="SJK52" s="1142"/>
      <c r="SJL52" s="1142"/>
      <c r="SJM52" s="1142"/>
      <c r="SJN52" s="1142"/>
      <c r="SJO52" s="1142"/>
      <c r="SJP52" s="1142"/>
      <c r="SJQ52" s="1167"/>
      <c r="SJR52" s="1167"/>
      <c r="SJS52" s="1167"/>
      <c r="SJT52" s="1167"/>
      <c r="SJU52" s="1167"/>
      <c r="SJV52" s="1167"/>
      <c r="SJW52" s="1167"/>
      <c r="SJX52" s="1167"/>
      <c r="SJY52" s="1167"/>
      <c r="SJZ52" s="1142"/>
      <c r="SKA52" s="1142"/>
      <c r="SKB52" s="1142"/>
      <c r="SKC52" s="1142"/>
      <c r="SKD52" s="1142"/>
      <c r="SKE52" s="1142"/>
      <c r="SKF52" s="1142"/>
      <c r="SKG52" s="1142"/>
      <c r="SKH52" s="1142"/>
      <c r="SKI52" s="1142"/>
      <c r="SKJ52" s="1142"/>
      <c r="SKK52" s="1142"/>
      <c r="SKL52" s="1142"/>
      <c r="SKM52" s="1142"/>
      <c r="SKN52" s="1142"/>
      <c r="SKO52" s="1142"/>
      <c r="SKP52" s="1142"/>
      <c r="SKQ52" s="1142"/>
      <c r="SKR52" s="1142"/>
      <c r="SKS52" s="1142"/>
      <c r="SKT52" s="1142"/>
      <c r="SKU52" s="1142"/>
      <c r="SKV52" s="1142"/>
      <c r="SKW52" s="1167"/>
      <c r="SKX52" s="1167"/>
      <c r="SKY52" s="1167"/>
      <c r="SKZ52" s="1167"/>
      <c r="SLA52" s="1167"/>
      <c r="SLB52" s="1167"/>
      <c r="SLC52" s="1167"/>
      <c r="SLD52" s="1167"/>
      <c r="SLE52" s="1167"/>
      <c r="SLF52" s="1142"/>
      <c r="SLG52" s="1142"/>
      <c r="SLH52" s="1142"/>
      <c r="SLI52" s="1142"/>
      <c r="SLJ52" s="1142"/>
      <c r="SLK52" s="1142"/>
      <c r="SLL52" s="1142"/>
      <c r="SLM52" s="1142"/>
      <c r="SLN52" s="1142"/>
      <c r="SLO52" s="1142"/>
      <c r="SLP52" s="1142"/>
      <c r="SLQ52" s="1142"/>
      <c r="SLR52" s="1142"/>
      <c r="SLS52" s="1142"/>
      <c r="SLT52" s="1142"/>
      <c r="SLU52" s="1142"/>
      <c r="SLV52" s="1142"/>
      <c r="SLW52" s="1142"/>
      <c r="SLX52" s="1142"/>
      <c r="SLY52" s="1142"/>
      <c r="SLZ52" s="1142"/>
      <c r="SMA52" s="1142"/>
      <c r="SMB52" s="1142"/>
      <c r="SMC52" s="1167"/>
      <c r="SMD52" s="1167"/>
      <c r="SME52" s="1167"/>
      <c r="SMF52" s="1167"/>
      <c r="SMG52" s="1167"/>
      <c r="SMH52" s="1167"/>
      <c r="SMI52" s="1167"/>
      <c r="SMJ52" s="1167"/>
      <c r="SMK52" s="1167"/>
      <c r="SML52" s="1142"/>
      <c r="SMM52" s="1142"/>
      <c r="SMN52" s="1142"/>
      <c r="SMO52" s="1142"/>
      <c r="SMP52" s="1142"/>
      <c r="SMQ52" s="1142"/>
      <c r="SMR52" s="1142"/>
      <c r="SMS52" s="1142"/>
      <c r="SMT52" s="1142"/>
      <c r="SMU52" s="1142"/>
      <c r="SMV52" s="1142"/>
      <c r="SMW52" s="1142"/>
      <c r="SMX52" s="1142"/>
      <c r="SMY52" s="1142"/>
      <c r="SMZ52" s="1142"/>
      <c r="SNA52" s="1142"/>
      <c r="SNB52" s="1142"/>
      <c r="SNC52" s="1142"/>
      <c r="SND52" s="1142"/>
      <c r="SNE52" s="1142"/>
      <c r="SNF52" s="1142"/>
      <c r="SNG52" s="1142"/>
      <c r="SNH52" s="1142"/>
      <c r="SNI52" s="1167"/>
      <c r="SNJ52" s="1167"/>
      <c r="SNK52" s="1167"/>
      <c r="SNL52" s="1167"/>
      <c r="SNM52" s="1167"/>
      <c r="SNN52" s="1167"/>
      <c r="SNO52" s="1167"/>
      <c r="SNP52" s="1167"/>
      <c r="SNQ52" s="1167"/>
      <c r="SNR52" s="1142"/>
      <c r="SNS52" s="1142"/>
      <c r="SNT52" s="1142"/>
      <c r="SNU52" s="1142"/>
      <c r="SNV52" s="1142"/>
      <c r="SNW52" s="1142"/>
      <c r="SNX52" s="1142"/>
      <c r="SNY52" s="1142"/>
      <c r="SNZ52" s="1142"/>
      <c r="SOA52" s="1142"/>
      <c r="SOB52" s="1142"/>
      <c r="SOC52" s="1142"/>
      <c r="SOD52" s="1142"/>
      <c r="SOE52" s="1142"/>
      <c r="SOF52" s="1142"/>
      <c r="SOG52" s="1142"/>
      <c r="SOH52" s="1142"/>
      <c r="SOI52" s="1142"/>
      <c r="SOJ52" s="1142"/>
      <c r="SOK52" s="1142"/>
      <c r="SOL52" s="1142"/>
      <c r="SOM52" s="1142"/>
      <c r="SON52" s="1142"/>
      <c r="SOO52" s="1167"/>
      <c r="SOP52" s="1167"/>
      <c r="SOQ52" s="1167"/>
      <c r="SOR52" s="1167"/>
      <c r="SOS52" s="1167"/>
      <c r="SOT52" s="1167"/>
      <c r="SOU52" s="1167"/>
      <c r="SOV52" s="1167"/>
      <c r="SOW52" s="1167"/>
      <c r="SOX52" s="1142"/>
      <c r="SOY52" s="1142"/>
      <c r="SOZ52" s="1142"/>
      <c r="SPA52" s="1142"/>
      <c r="SPB52" s="1142"/>
      <c r="SPC52" s="1142"/>
      <c r="SPD52" s="1142"/>
      <c r="SPE52" s="1142"/>
      <c r="SPF52" s="1142"/>
      <c r="SPG52" s="1142"/>
      <c r="SPH52" s="1142"/>
      <c r="SPI52" s="1142"/>
      <c r="SPJ52" s="1142"/>
      <c r="SPK52" s="1142"/>
      <c r="SPL52" s="1142"/>
      <c r="SPM52" s="1142"/>
      <c r="SPN52" s="1142"/>
      <c r="SPO52" s="1142"/>
      <c r="SPP52" s="1142"/>
      <c r="SPQ52" s="1142"/>
      <c r="SPR52" s="1142"/>
      <c r="SPS52" s="1142"/>
      <c r="SPT52" s="1142"/>
      <c r="SPU52" s="1167"/>
      <c r="SPV52" s="1167"/>
      <c r="SPW52" s="1167"/>
      <c r="SPX52" s="1167"/>
      <c r="SPY52" s="1167"/>
      <c r="SPZ52" s="1167"/>
      <c r="SQA52" s="1167"/>
      <c r="SQB52" s="1167"/>
      <c r="SQC52" s="1167"/>
      <c r="SQD52" s="1142"/>
      <c r="SQE52" s="1142"/>
      <c r="SQF52" s="1142"/>
      <c r="SQG52" s="1142"/>
      <c r="SQH52" s="1142"/>
      <c r="SQI52" s="1142"/>
      <c r="SQJ52" s="1142"/>
      <c r="SQK52" s="1142"/>
      <c r="SQL52" s="1142"/>
      <c r="SQM52" s="1142"/>
      <c r="SQN52" s="1142"/>
      <c r="SQO52" s="1142"/>
      <c r="SQP52" s="1142"/>
      <c r="SQQ52" s="1142"/>
      <c r="SQR52" s="1142"/>
      <c r="SQS52" s="1142"/>
      <c r="SQT52" s="1142"/>
      <c r="SQU52" s="1142"/>
      <c r="SQV52" s="1142"/>
      <c r="SQW52" s="1142"/>
      <c r="SQX52" s="1142"/>
      <c r="SQY52" s="1142"/>
      <c r="SQZ52" s="1142"/>
      <c r="SRA52" s="1167"/>
      <c r="SRB52" s="1167"/>
      <c r="SRC52" s="1167"/>
      <c r="SRD52" s="1167"/>
      <c r="SRE52" s="1167"/>
      <c r="SRF52" s="1167"/>
      <c r="SRG52" s="1167"/>
      <c r="SRH52" s="1167"/>
      <c r="SRI52" s="1167"/>
      <c r="SRJ52" s="1142"/>
      <c r="SRK52" s="1142"/>
      <c r="SRL52" s="1142"/>
      <c r="SRM52" s="1142"/>
      <c r="SRN52" s="1142"/>
      <c r="SRO52" s="1142"/>
      <c r="SRP52" s="1142"/>
      <c r="SRQ52" s="1142"/>
      <c r="SRR52" s="1142"/>
      <c r="SRS52" s="1142"/>
      <c r="SRT52" s="1142"/>
      <c r="SRU52" s="1142"/>
      <c r="SRV52" s="1142"/>
      <c r="SRW52" s="1142"/>
      <c r="SRX52" s="1142"/>
      <c r="SRY52" s="1142"/>
      <c r="SRZ52" s="1142"/>
      <c r="SSA52" s="1142"/>
      <c r="SSB52" s="1142"/>
      <c r="SSC52" s="1142"/>
      <c r="SSD52" s="1142"/>
      <c r="SSE52" s="1142"/>
      <c r="SSF52" s="1142"/>
      <c r="SSG52" s="1167"/>
      <c r="SSH52" s="1167"/>
      <c r="SSI52" s="1167"/>
      <c r="SSJ52" s="1167"/>
      <c r="SSK52" s="1167"/>
      <c r="SSL52" s="1167"/>
      <c r="SSM52" s="1167"/>
      <c r="SSN52" s="1167"/>
      <c r="SSO52" s="1167"/>
      <c r="SSP52" s="1142"/>
      <c r="SSQ52" s="1142"/>
      <c r="SSR52" s="1142"/>
      <c r="SSS52" s="1142"/>
      <c r="SST52" s="1142"/>
      <c r="SSU52" s="1142"/>
      <c r="SSV52" s="1142"/>
      <c r="SSW52" s="1142"/>
      <c r="SSX52" s="1142"/>
      <c r="SSY52" s="1142"/>
      <c r="SSZ52" s="1142"/>
      <c r="STA52" s="1142"/>
      <c r="STB52" s="1142"/>
      <c r="STC52" s="1142"/>
      <c r="STD52" s="1142"/>
      <c r="STE52" s="1142"/>
      <c r="STF52" s="1142"/>
      <c r="STG52" s="1142"/>
      <c r="STH52" s="1142"/>
      <c r="STI52" s="1142"/>
      <c r="STJ52" s="1142"/>
      <c r="STK52" s="1142"/>
      <c r="STL52" s="1142"/>
      <c r="STM52" s="1167"/>
      <c r="STN52" s="1167"/>
      <c r="STO52" s="1167"/>
      <c r="STP52" s="1167"/>
      <c r="STQ52" s="1167"/>
      <c r="STR52" s="1167"/>
      <c r="STS52" s="1167"/>
      <c r="STT52" s="1167"/>
      <c r="STU52" s="1167"/>
      <c r="STV52" s="1142"/>
      <c r="STW52" s="1142"/>
      <c r="STX52" s="1142"/>
      <c r="STY52" s="1142"/>
      <c r="STZ52" s="1142"/>
      <c r="SUA52" s="1142"/>
      <c r="SUB52" s="1142"/>
      <c r="SUC52" s="1142"/>
      <c r="SUD52" s="1142"/>
      <c r="SUE52" s="1142"/>
      <c r="SUF52" s="1142"/>
      <c r="SUG52" s="1142"/>
      <c r="SUH52" s="1142"/>
      <c r="SUI52" s="1142"/>
      <c r="SUJ52" s="1142"/>
      <c r="SUK52" s="1142"/>
      <c r="SUL52" s="1142"/>
      <c r="SUM52" s="1142"/>
      <c r="SUN52" s="1142"/>
      <c r="SUO52" s="1142"/>
      <c r="SUP52" s="1142"/>
      <c r="SUQ52" s="1142"/>
      <c r="SUR52" s="1142"/>
      <c r="SUS52" s="1167"/>
      <c r="SUT52" s="1167"/>
      <c r="SUU52" s="1167"/>
      <c r="SUV52" s="1167"/>
      <c r="SUW52" s="1167"/>
      <c r="SUX52" s="1167"/>
      <c r="SUY52" s="1167"/>
      <c r="SUZ52" s="1167"/>
      <c r="SVA52" s="1167"/>
      <c r="SVB52" s="1142"/>
      <c r="SVC52" s="1142"/>
      <c r="SVD52" s="1142"/>
      <c r="SVE52" s="1142"/>
      <c r="SVF52" s="1142"/>
      <c r="SVG52" s="1142"/>
      <c r="SVH52" s="1142"/>
      <c r="SVI52" s="1142"/>
      <c r="SVJ52" s="1142"/>
      <c r="SVK52" s="1142"/>
      <c r="SVL52" s="1142"/>
      <c r="SVM52" s="1142"/>
      <c r="SVN52" s="1142"/>
      <c r="SVO52" s="1142"/>
      <c r="SVP52" s="1142"/>
      <c r="SVQ52" s="1142"/>
      <c r="SVR52" s="1142"/>
      <c r="SVS52" s="1142"/>
      <c r="SVT52" s="1142"/>
      <c r="SVU52" s="1142"/>
      <c r="SVV52" s="1142"/>
      <c r="SVW52" s="1142"/>
      <c r="SVX52" s="1142"/>
      <c r="SVY52" s="1167"/>
      <c r="SVZ52" s="1167"/>
      <c r="SWA52" s="1167"/>
      <c r="SWB52" s="1167"/>
      <c r="SWC52" s="1167"/>
      <c r="SWD52" s="1167"/>
      <c r="SWE52" s="1167"/>
      <c r="SWF52" s="1167"/>
      <c r="SWG52" s="1167"/>
      <c r="SWH52" s="1142"/>
      <c r="SWI52" s="1142"/>
      <c r="SWJ52" s="1142"/>
      <c r="SWK52" s="1142"/>
      <c r="SWL52" s="1142"/>
      <c r="SWM52" s="1142"/>
      <c r="SWN52" s="1142"/>
      <c r="SWO52" s="1142"/>
      <c r="SWP52" s="1142"/>
      <c r="SWQ52" s="1142"/>
      <c r="SWR52" s="1142"/>
      <c r="SWS52" s="1142"/>
      <c r="SWT52" s="1142"/>
      <c r="SWU52" s="1142"/>
      <c r="SWV52" s="1142"/>
      <c r="SWW52" s="1142"/>
      <c r="SWX52" s="1142"/>
      <c r="SWY52" s="1142"/>
      <c r="SWZ52" s="1142"/>
      <c r="SXA52" s="1142"/>
      <c r="SXB52" s="1142"/>
      <c r="SXC52" s="1142"/>
      <c r="SXD52" s="1142"/>
      <c r="SXE52" s="1167"/>
      <c r="SXF52" s="1167"/>
      <c r="SXG52" s="1167"/>
      <c r="SXH52" s="1167"/>
      <c r="SXI52" s="1167"/>
      <c r="SXJ52" s="1167"/>
      <c r="SXK52" s="1167"/>
      <c r="SXL52" s="1167"/>
      <c r="SXM52" s="1167"/>
      <c r="SXN52" s="1142"/>
      <c r="SXO52" s="1142"/>
      <c r="SXP52" s="1142"/>
      <c r="SXQ52" s="1142"/>
      <c r="SXR52" s="1142"/>
      <c r="SXS52" s="1142"/>
      <c r="SXT52" s="1142"/>
      <c r="SXU52" s="1142"/>
      <c r="SXV52" s="1142"/>
      <c r="SXW52" s="1142"/>
      <c r="SXX52" s="1142"/>
      <c r="SXY52" s="1142"/>
      <c r="SXZ52" s="1142"/>
      <c r="SYA52" s="1142"/>
      <c r="SYB52" s="1142"/>
      <c r="SYC52" s="1142"/>
      <c r="SYD52" s="1142"/>
      <c r="SYE52" s="1142"/>
      <c r="SYF52" s="1142"/>
      <c r="SYG52" s="1142"/>
      <c r="SYH52" s="1142"/>
      <c r="SYI52" s="1142"/>
      <c r="SYJ52" s="1142"/>
      <c r="SYK52" s="1167"/>
      <c r="SYL52" s="1167"/>
      <c r="SYM52" s="1167"/>
      <c r="SYN52" s="1167"/>
      <c r="SYO52" s="1167"/>
      <c r="SYP52" s="1167"/>
      <c r="SYQ52" s="1167"/>
      <c r="SYR52" s="1167"/>
      <c r="SYS52" s="1167"/>
      <c r="SYT52" s="1142"/>
      <c r="SYU52" s="1142"/>
      <c r="SYV52" s="1142"/>
      <c r="SYW52" s="1142"/>
      <c r="SYX52" s="1142"/>
      <c r="SYY52" s="1142"/>
      <c r="SYZ52" s="1142"/>
      <c r="SZA52" s="1142"/>
      <c r="SZB52" s="1142"/>
      <c r="SZC52" s="1142"/>
      <c r="SZD52" s="1142"/>
      <c r="SZE52" s="1142"/>
      <c r="SZF52" s="1142"/>
      <c r="SZG52" s="1142"/>
      <c r="SZH52" s="1142"/>
      <c r="SZI52" s="1142"/>
      <c r="SZJ52" s="1142"/>
      <c r="SZK52" s="1142"/>
      <c r="SZL52" s="1142"/>
      <c r="SZM52" s="1142"/>
      <c r="SZN52" s="1142"/>
      <c r="SZO52" s="1142"/>
      <c r="SZP52" s="1142"/>
      <c r="SZQ52" s="1167"/>
      <c r="SZR52" s="1167"/>
      <c r="SZS52" s="1167"/>
      <c r="SZT52" s="1167"/>
      <c r="SZU52" s="1167"/>
      <c r="SZV52" s="1167"/>
      <c r="SZW52" s="1167"/>
      <c r="SZX52" s="1167"/>
      <c r="SZY52" s="1167"/>
      <c r="SZZ52" s="1142"/>
      <c r="TAA52" s="1142"/>
      <c r="TAB52" s="1142"/>
      <c r="TAC52" s="1142"/>
      <c r="TAD52" s="1142"/>
      <c r="TAE52" s="1142"/>
      <c r="TAF52" s="1142"/>
      <c r="TAG52" s="1142"/>
      <c r="TAH52" s="1142"/>
      <c r="TAI52" s="1142"/>
      <c r="TAJ52" s="1142"/>
      <c r="TAK52" s="1142"/>
      <c r="TAL52" s="1142"/>
      <c r="TAM52" s="1142"/>
      <c r="TAN52" s="1142"/>
      <c r="TAO52" s="1142"/>
      <c r="TAP52" s="1142"/>
      <c r="TAQ52" s="1142"/>
      <c r="TAR52" s="1142"/>
      <c r="TAS52" s="1142"/>
      <c r="TAT52" s="1142"/>
      <c r="TAU52" s="1142"/>
      <c r="TAV52" s="1142"/>
      <c r="TAW52" s="1167"/>
      <c r="TAX52" s="1167"/>
      <c r="TAY52" s="1167"/>
      <c r="TAZ52" s="1167"/>
      <c r="TBA52" s="1167"/>
      <c r="TBB52" s="1167"/>
      <c r="TBC52" s="1167"/>
      <c r="TBD52" s="1167"/>
      <c r="TBE52" s="1167"/>
      <c r="TBF52" s="1142"/>
      <c r="TBG52" s="1142"/>
      <c r="TBH52" s="1142"/>
      <c r="TBI52" s="1142"/>
      <c r="TBJ52" s="1142"/>
      <c r="TBK52" s="1142"/>
      <c r="TBL52" s="1142"/>
      <c r="TBM52" s="1142"/>
      <c r="TBN52" s="1142"/>
      <c r="TBO52" s="1142"/>
      <c r="TBP52" s="1142"/>
      <c r="TBQ52" s="1142"/>
      <c r="TBR52" s="1142"/>
      <c r="TBS52" s="1142"/>
      <c r="TBT52" s="1142"/>
      <c r="TBU52" s="1142"/>
      <c r="TBV52" s="1142"/>
      <c r="TBW52" s="1142"/>
      <c r="TBX52" s="1142"/>
      <c r="TBY52" s="1142"/>
      <c r="TBZ52" s="1142"/>
      <c r="TCA52" s="1142"/>
      <c r="TCB52" s="1142"/>
      <c r="TCC52" s="1167"/>
      <c r="TCD52" s="1167"/>
      <c r="TCE52" s="1167"/>
      <c r="TCF52" s="1167"/>
      <c r="TCG52" s="1167"/>
      <c r="TCH52" s="1167"/>
      <c r="TCI52" s="1167"/>
      <c r="TCJ52" s="1167"/>
      <c r="TCK52" s="1167"/>
      <c r="TCL52" s="1142"/>
      <c r="TCM52" s="1142"/>
      <c r="TCN52" s="1142"/>
      <c r="TCO52" s="1142"/>
      <c r="TCP52" s="1142"/>
      <c r="TCQ52" s="1142"/>
      <c r="TCR52" s="1142"/>
      <c r="TCS52" s="1142"/>
      <c r="TCT52" s="1142"/>
      <c r="TCU52" s="1142"/>
      <c r="TCV52" s="1142"/>
      <c r="TCW52" s="1142"/>
      <c r="TCX52" s="1142"/>
      <c r="TCY52" s="1142"/>
      <c r="TCZ52" s="1142"/>
      <c r="TDA52" s="1142"/>
      <c r="TDB52" s="1142"/>
      <c r="TDC52" s="1142"/>
      <c r="TDD52" s="1142"/>
      <c r="TDE52" s="1142"/>
      <c r="TDF52" s="1142"/>
      <c r="TDG52" s="1142"/>
      <c r="TDH52" s="1142"/>
      <c r="TDI52" s="1167"/>
      <c r="TDJ52" s="1167"/>
      <c r="TDK52" s="1167"/>
      <c r="TDL52" s="1167"/>
      <c r="TDM52" s="1167"/>
      <c r="TDN52" s="1167"/>
      <c r="TDO52" s="1167"/>
      <c r="TDP52" s="1167"/>
      <c r="TDQ52" s="1167"/>
      <c r="TDR52" s="1142"/>
      <c r="TDS52" s="1142"/>
      <c r="TDT52" s="1142"/>
      <c r="TDU52" s="1142"/>
      <c r="TDV52" s="1142"/>
      <c r="TDW52" s="1142"/>
      <c r="TDX52" s="1142"/>
      <c r="TDY52" s="1142"/>
      <c r="TDZ52" s="1142"/>
      <c r="TEA52" s="1142"/>
      <c r="TEB52" s="1142"/>
      <c r="TEC52" s="1142"/>
      <c r="TED52" s="1142"/>
      <c r="TEE52" s="1142"/>
      <c r="TEF52" s="1142"/>
      <c r="TEG52" s="1142"/>
      <c r="TEH52" s="1142"/>
      <c r="TEI52" s="1142"/>
      <c r="TEJ52" s="1142"/>
      <c r="TEK52" s="1142"/>
      <c r="TEL52" s="1142"/>
      <c r="TEM52" s="1142"/>
      <c r="TEN52" s="1142"/>
      <c r="TEO52" s="1167"/>
      <c r="TEP52" s="1167"/>
      <c r="TEQ52" s="1167"/>
      <c r="TER52" s="1167"/>
      <c r="TES52" s="1167"/>
      <c r="TET52" s="1167"/>
      <c r="TEU52" s="1167"/>
      <c r="TEV52" s="1167"/>
      <c r="TEW52" s="1167"/>
      <c r="TEX52" s="1142"/>
      <c r="TEY52" s="1142"/>
      <c r="TEZ52" s="1142"/>
      <c r="TFA52" s="1142"/>
      <c r="TFB52" s="1142"/>
      <c r="TFC52" s="1142"/>
      <c r="TFD52" s="1142"/>
      <c r="TFE52" s="1142"/>
      <c r="TFF52" s="1142"/>
      <c r="TFG52" s="1142"/>
      <c r="TFH52" s="1142"/>
      <c r="TFI52" s="1142"/>
      <c r="TFJ52" s="1142"/>
      <c r="TFK52" s="1142"/>
      <c r="TFL52" s="1142"/>
      <c r="TFM52" s="1142"/>
      <c r="TFN52" s="1142"/>
      <c r="TFO52" s="1142"/>
      <c r="TFP52" s="1142"/>
      <c r="TFQ52" s="1142"/>
      <c r="TFR52" s="1142"/>
      <c r="TFS52" s="1142"/>
      <c r="TFT52" s="1142"/>
      <c r="TFU52" s="1167"/>
      <c r="TFV52" s="1167"/>
      <c r="TFW52" s="1167"/>
      <c r="TFX52" s="1167"/>
      <c r="TFY52" s="1167"/>
      <c r="TFZ52" s="1167"/>
      <c r="TGA52" s="1167"/>
      <c r="TGB52" s="1167"/>
      <c r="TGC52" s="1167"/>
      <c r="TGD52" s="1142"/>
      <c r="TGE52" s="1142"/>
      <c r="TGF52" s="1142"/>
      <c r="TGG52" s="1142"/>
      <c r="TGH52" s="1142"/>
      <c r="TGI52" s="1142"/>
      <c r="TGJ52" s="1142"/>
      <c r="TGK52" s="1142"/>
      <c r="TGL52" s="1142"/>
      <c r="TGM52" s="1142"/>
      <c r="TGN52" s="1142"/>
      <c r="TGO52" s="1142"/>
      <c r="TGP52" s="1142"/>
      <c r="TGQ52" s="1142"/>
      <c r="TGR52" s="1142"/>
      <c r="TGS52" s="1142"/>
      <c r="TGT52" s="1142"/>
      <c r="TGU52" s="1142"/>
      <c r="TGV52" s="1142"/>
      <c r="TGW52" s="1142"/>
      <c r="TGX52" s="1142"/>
      <c r="TGY52" s="1142"/>
      <c r="TGZ52" s="1142"/>
      <c r="THA52" s="1167"/>
      <c r="THB52" s="1167"/>
      <c r="THC52" s="1167"/>
      <c r="THD52" s="1167"/>
      <c r="THE52" s="1167"/>
      <c r="THF52" s="1167"/>
      <c r="THG52" s="1167"/>
      <c r="THH52" s="1167"/>
      <c r="THI52" s="1167"/>
      <c r="THJ52" s="1142"/>
      <c r="THK52" s="1142"/>
      <c r="THL52" s="1142"/>
      <c r="THM52" s="1142"/>
      <c r="THN52" s="1142"/>
      <c r="THO52" s="1142"/>
      <c r="THP52" s="1142"/>
      <c r="THQ52" s="1142"/>
      <c r="THR52" s="1142"/>
      <c r="THS52" s="1142"/>
      <c r="THT52" s="1142"/>
      <c r="THU52" s="1142"/>
      <c r="THV52" s="1142"/>
      <c r="THW52" s="1142"/>
      <c r="THX52" s="1142"/>
      <c r="THY52" s="1142"/>
      <c r="THZ52" s="1142"/>
      <c r="TIA52" s="1142"/>
      <c r="TIB52" s="1142"/>
      <c r="TIC52" s="1142"/>
      <c r="TID52" s="1142"/>
      <c r="TIE52" s="1142"/>
      <c r="TIF52" s="1142"/>
      <c r="TIG52" s="1167"/>
      <c r="TIH52" s="1167"/>
      <c r="TII52" s="1167"/>
      <c r="TIJ52" s="1167"/>
      <c r="TIK52" s="1167"/>
      <c r="TIL52" s="1167"/>
      <c r="TIM52" s="1167"/>
      <c r="TIN52" s="1167"/>
      <c r="TIO52" s="1167"/>
      <c r="TIP52" s="1142"/>
      <c r="TIQ52" s="1142"/>
      <c r="TIR52" s="1142"/>
      <c r="TIS52" s="1142"/>
      <c r="TIT52" s="1142"/>
      <c r="TIU52" s="1142"/>
      <c r="TIV52" s="1142"/>
      <c r="TIW52" s="1142"/>
      <c r="TIX52" s="1142"/>
      <c r="TIY52" s="1142"/>
      <c r="TIZ52" s="1142"/>
      <c r="TJA52" s="1142"/>
      <c r="TJB52" s="1142"/>
      <c r="TJC52" s="1142"/>
      <c r="TJD52" s="1142"/>
      <c r="TJE52" s="1142"/>
      <c r="TJF52" s="1142"/>
      <c r="TJG52" s="1142"/>
      <c r="TJH52" s="1142"/>
      <c r="TJI52" s="1142"/>
      <c r="TJJ52" s="1142"/>
      <c r="TJK52" s="1142"/>
      <c r="TJL52" s="1142"/>
      <c r="TJM52" s="1167"/>
      <c r="TJN52" s="1167"/>
      <c r="TJO52" s="1167"/>
      <c r="TJP52" s="1167"/>
      <c r="TJQ52" s="1167"/>
      <c r="TJR52" s="1167"/>
      <c r="TJS52" s="1167"/>
      <c r="TJT52" s="1167"/>
      <c r="TJU52" s="1167"/>
      <c r="TJV52" s="1142"/>
      <c r="TJW52" s="1142"/>
      <c r="TJX52" s="1142"/>
      <c r="TJY52" s="1142"/>
      <c r="TJZ52" s="1142"/>
      <c r="TKA52" s="1142"/>
      <c r="TKB52" s="1142"/>
      <c r="TKC52" s="1142"/>
      <c r="TKD52" s="1142"/>
      <c r="TKE52" s="1142"/>
      <c r="TKF52" s="1142"/>
      <c r="TKG52" s="1142"/>
      <c r="TKH52" s="1142"/>
      <c r="TKI52" s="1142"/>
      <c r="TKJ52" s="1142"/>
      <c r="TKK52" s="1142"/>
      <c r="TKL52" s="1142"/>
      <c r="TKM52" s="1142"/>
      <c r="TKN52" s="1142"/>
      <c r="TKO52" s="1142"/>
      <c r="TKP52" s="1142"/>
      <c r="TKQ52" s="1142"/>
      <c r="TKR52" s="1142"/>
      <c r="TKS52" s="1167"/>
      <c r="TKT52" s="1167"/>
      <c r="TKU52" s="1167"/>
      <c r="TKV52" s="1167"/>
      <c r="TKW52" s="1167"/>
      <c r="TKX52" s="1167"/>
      <c r="TKY52" s="1167"/>
      <c r="TKZ52" s="1167"/>
      <c r="TLA52" s="1167"/>
      <c r="TLB52" s="1142"/>
      <c r="TLC52" s="1142"/>
      <c r="TLD52" s="1142"/>
      <c r="TLE52" s="1142"/>
      <c r="TLF52" s="1142"/>
      <c r="TLG52" s="1142"/>
      <c r="TLH52" s="1142"/>
      <c r="TLI52" s="1142"/>
      <c r="TLJ52" s="1142"/>
      <c r="TLK52" s="1142"/>
      <c r="TLL52" s="1142"/>
      <c r="TLM52" s="1142"/>
      <c r="TLN52" s="1142"/>
      <c r="TLO52" s="1142"/>
      <c r="TLP52" s="1142"/>
      <c r="TLQ52" s="1142"/>
      <c r="TLR52" s="1142"/>
      <c r="TLS52" s="1142"/>
      <c r="TLT52" s="1142"/>
      <c r="TLU52" s="1142"/>
      <c r="TLV52" s="1142"/>
      <c r="TLW52" s="1142"/>
      <c r="TLX52" s="1142"/>
      <c r="TLY52" s="1167"/>
      <c r="TLZ52" s="1167"/>
      <c r="TMA52" s="1167"/>
      <c r="TMB52" s="1167"/>
      <c r="TMC52" s="1167"/>
      <c r="TMD52" s="1167"/>
      <c r="TME52" s="1167"/>
      <c r="TMF52" s="1167"/>
      <c r="TMG52" s="1167"/>
      <c r="TMH52" s="1142"/>
      <c r="TMI52" s="1142"/>
      <c r="TMJ52" s="1142"/>
      <c r="TMK52" s="1142"/>
      <c r="TML52" s="1142"/>
      <c r="TMM52" s="1142"/>
      <c r="TMN52" s="1142"/>
      <c r="TMO52" s="1142"/>
      <c r="TMP52" s="1142"/>
      <c r="TMQ52" s="1142"/>
      <c r="TMR52" s="1142"/>
      <c r="TMS52" s="1142"/>
      <c r="TMT52" s="1142"/>
      <c r="TMU52" s="1142"/>
      <c r="TMV52" s="1142"/>
      <c r="TMW52" s="1142"/>
      <c r="TMX52" s="1142"/>
      <c r="TMY52" s="1142"/>
      <c r="TMZ52" s="1142"/>
      <c r="TNA52" s="1142"/>
      <c r="TNB52" s="1142"/>
      <c r="TNC52" s="1142"/>
      <c r="TND52" s="1142"/>
      <c r="TNE52" s="1167"/>
      <c r="TNF52" s="1167"/>
      <c r="TNG52" s="1167"/>
      <c r="TNH52" s="1167"/>
      <c r="TNI52" s="1167"/>
      <c r="TNJ52" s="1167"/>
      <c r="TNK52" s="1167"/>
      <c r="TNL52" s="1167"/>
      <c r="TNM52" s="1167"/>
      <c r="TNN52" s="1142"/>
      <c r="TNO52" s="1142"/>
      <c r="TNP52" s="1142"/>
      <c r="TNQ52" s="1142"/>
      <c r="TNR52" s="1142"/>
      <c r="TNS52" s="1142"/>
      <c r="TNT52" s="1142"/>
      <c r="TNU52" s="1142"/>
      <c r="TNV52" s="1142"/>
      <c r="TNW52" s="1142"/>
      <c r="TNX52" s="1142"/>
      <c r="TNY52" s="1142"/>
      <c r="TNZ52" s="1142"/>
      <c r="TOA52" s="1142"/>
      <c r="TOB52" s="1142"/>
      <c r="TOC52" s="1142"/>
      <c r="TOD52" s="1142"/>
      <c r="TOE52" s="1142"/>
      <c r="TOF52" s="1142"/>
      <c r="TOG52" s="1142"/>
      <c r="TOH52" s="1142"/>
      <c r="TOI52" s="1142"/>
      <c r="TOJ52" s="1142"/>
      <c r="TOK52" s="1167"/>
      <c r="TOL52" s="1167"/>
      <c r="TOM52" s="1167"/>
      <c r="TON52" s="1167"/>
      <c r="TOO52" s="1167"/>
      <c r="TOP52" s="1167"/>
      <c r="TOQ52" s="1167"/>
      <c r="TOR52" s="1167"/>
      <c r="TOS52" s="1167"/>
      <c r="TOT52" s="1142"/>
      <c r="TOU52" s="1142"/>
      <c r="TOV52" s="1142"/>
      <c r="TOW52" s="1142"/>
      <c r="TOX52" s="1142"/>
      <c r="TOY52" s="1142"/>
      <c r="TOZ52" s="1142"/>
      <c r="TPA52" s="1142"/>
      <c r="TPB52" s="1142"/>
      <c r="TPC52" s="1142"/>
      <c r="TPD52" s="1142"/>
      <c r="TPE52" s="1142"/>
      <c r="TPF52" s="1142"/>
      <c r="TPG52" s="1142"/>
      <c r="TPH52" s="1142"/>
      <c r="TPI52" s="1142"/>
      <c r="TPJ52" s="1142"/>
      <c r="TPK52" s="1142"/>
      <c r="TPL52" s="1142"/>
      <c r="TPM52" s="1142"/>
      <c r="TPN52" s="1142"/>
      <c r="TPO52" s="1142"/>
      <c r="TPP52" s="1142"/>
      <c r="TPQ52" s="1167"/>
      <c r="TPR52" s="1167"/>
      <c r="TPS52" s="1167"/>
      <c r="TPT52" s="1167"/>
      <c r="TPU52" s="1167"/>
      <c r="TPV52" s="1167"/>
      <c r="TPW52" s="1167"/>
      <c r="TPX52" s="1167"/>
      <c r="TPY52" s="1167"/>
      <c r="TPZ52" s="1142"/>
      <c r="TQA52" s="1142"/>
      <c r="TQB52" s="1142"/>
      <c r="TQC52" s="1142"/>
      <c r="TQD52" s="1142"/>
      <c r="TQE52" s="1142"/>
      <c r="TQF52" s="1142"/>
      <c r="TQG52" s="1142"/>
      <c r="TQH52" s="1142"/>
      <c r="TQI52" s="1142"/>
      <c r="TQJ52" s="1142"/>
      <c r="TQK52" s="1142"/>
      <c r="TQL52" s="1142"/>
      <c r="TQM52" s="1142"/>
      <c r="TQN52" s="1142"/>
      <c r="TQO52" s="1142"/>
      <c r="TQP52" s="1142"/>
      <c r="TQQ52" s="1142"/>
      <c r="TQR52" s="1142"/>
      <c r="TQS52" s="1142"/>
      <c r="TQT52" s="1142"/>
      <c r="TQU52" s="1142"/>
      <c r="TQV52" s="1142"/>
      <c r="TQW52" s="1167"/>
      <c r="TQX52" s="1167"/>
      <c r="TQY52" s="1167"/>
      <c r="TQZ52" s="1167"/>
      <c r="TRA52" s="1167"/>
      <c r="TRB52" s="1167"/>
      <c r="TRC52" s="1167"/>
      <c r="TRD52" s="1167"/>
      <c r="TRE52" s="1167"/>
      <c r="TRF52" s="1142"/>
      <c r="TRG52" s="1142"/>
      <c r="TRH52" s="1142"/>
      <c r="TRI52" s="1142"/>
      <c r="TRJ52" s="1142"/>
      <c r="TRK52" s="1142"/>
      <c r="TRL52" s="1142"/>
      <c r="TRM52" s="1142"/>
      <c r="TRN52" s="1142"/>
      <c r="TRO52" s="1142"/>
      <c r="TRP52" s="1142"/>
      <c r="TRQ52" s="1142"/>
      <c r="TRR52" s="1142"/>
      <c r="TRS52" s="1142"/>
      <c r="TRT52" s="1142"/>
      <c r="TRU52" s="1142"/>
      <c r="TRV52" s="1142"/>
      <c r="TRW52" s="1142"/>
      <c r="TRX52" s="1142"/>
      <c r="TRY52" s="1142"/>
      <c r="TRZ52" s="1142"/>
      <c r="TSA52" s="1142"/>
      <c r="TSB52" s="1142"/>
      <c r="TSC52" s="1167"/>
      <c r="TSD52" s="1167"/>
      <c r="TSE52" s="1167"/>
      <c r="TSF52" s="1167"/>
      <c r="TSG52" s="1167"/>
      <c r="TSH52" s="1167"/>
      <c r="TSI52" s="1167"/>
      <c r="TSJ52" s="1167"/>
      <c r="TSK52" s="1167"/>
      <c r="TSL52" s="1142"/>
      <c r="TSM52" s="1142"/>
      <c r="TSN52" s="1142"/>
      <c r="TSO52" s="1142"/>
      <c r="TSP52" s="1142"/>
      <c r="TSQ52" s="1142"/>
      <c r="TSR52" s="1142"/>
      <c r="TSS52" s="1142"/>
      <c r="TST52" s="1142"/>
      <c r="TSU52" s="1142"/>
      <c r="TSV52" s="1142"/>
      <c r="TSW52" s="1142"/>
      <c r="TSX52" s="1142"/>
      <c r="TSY52" s="1142"/>
      <c r="TSZ52" s="1142"/>
      <c r="TTA52" s="1142"/>
      <c r="TTB52" s="1142"/>
      <c r="TTC52" s="1142"/>
      <c r="TTD52" s="1142"/>
      <c r="TTE52" s="1142"/>
      <c r="TTF52" s="1142"/>
      <c r="TTG52" s="1142"/>
      <c r="TTH52" s="1142"/>
      <c r="TTI52" s="1167"/>
      <c r="TTJ52" s="1167"/>
      <c r="TTK52" s="1167"/>
      <c r="TTL52" s="1167"/>
      <c r="TTM52" s="1167"/>
      <c r="TTN52" s="1167"/>
      <c r="TTO52" s="1167"/>
      <c r="TTP52" s="1167"/>
      <c r="TTQ52" s="1167"/>
      <c r="TTR52" s="1142"/>
      <c r="TTS52" s="1142"/>
      <c r="TTT52" s="1142"/>
      <c r="TTU52" s="1142"/>
      <c r="TTV52" s="1142"/>
      <c r="TTW52" s="1142"/>
      <c r="TTX52" s="1142"/>
      <c r="TTY52" s="1142"/>
      <c r="TTZ52" s="1142"/>
      <c r="TUA52" s="1142"/>
      <c r="TUB52" s="1142"/>
      <c r="TUC52" s="1142"/>
      <c r="TUD52" s="1142"/>
      <c r="TUE52" s="1142"/>
      <c r="TUF52" s="1142"/>
      <c r="TUG52" s="1142"/>
      <c r="TUH52" s="1142"/>
      <c r="TUI52" s="1142"/>
      <c r="TUJ52" s="1142"/>
      <c r="TUK52" s="1142"/>
      <c r="TUL52" s="1142"/>
      <c r="TUM52" s="1142"/>
      <c r="TUN52" s="1142"/>
      <c r="TUO52" s="1167"/>
      <c r="TUP52" s="1167"/>
      <c r="TUQ52" s="1167"/>
      <c r="TUR52" s="1167"/>
      <c r="TUS52" s="1167"/>
      <c r="TUT52" s="1167"/>
      <c r="TUU52" s="1167"/>
      <c r="TUV52" s="1167"/>
      <c r="TUW52" s="1167"/>
      <c r="TUX52" s="1142"/>
      <c r="TUY52" s="1142"/>
      <c r="TUZ52" s="1142"/>
      <c r="TVA52" s="1142"/>
      <c r="TVB52" s="1142"/>
      <c r="TVC52" s="1142"/>
      <c r="TVD52" s="1142"/>
      <c r="TVE52" s="1142"/>
      <c r="TVF52" s="1142"/>
      <c r="TVG52" s="1142"/>
      <c r="TVH52" s="1142"/>
      <c r="TVI52" s="1142"/>
      <c r="TVJ52" s="1142"/>
      <c r="TVK52" s="1142"/>
      <c r="TVL52" s="1142"/>
      <c r="TVM52" s="1142"/>
      <c r="TVN52" s="1142"/>
      <c r="TVO52" s="1142"/>
      <c r="TVP52" s="1142"/>
      <c r="TVQ52" s="1142"/>
      <c r="TVR52" s="1142"/>
      <c r="TVS52" s="1142"/>
      <c r="TVT52" s="1142"/>
      <c r="TVU52" s="1167"/>
      <c r="TVV52" s="1167"/>
      <c r="TVW52" s="1167"/>
      <c r="TVX52" s="1167"/>
      <c r="TVY52" s="1167"/>
      <c r="TVZ52" s="1167"/>
      <c r="TWA52" s="1167"/>
      <c r="TWB52" s="1167"/>
      <c r="TWC52" s="1167"/>
      <c r="TWD52" s="1142"/>
      <c r="TWE52" s="1142"/>
      <c r="TWF52" s="1142"/>
      <c r="TWG52" s="1142"/>
      <c r="TWH52" s="1142"/>
      <c r="TWI52" s="1142"/>
      <c r="TWJ52" s="1142"/>
      <c r="TWK52" s="1142"/>
      <c r="TWL52" s="1142"/>
      <c r="TWM52" s="1142"/>
      <c r="TWN52" s="1142"/>
      <c r="TWO52" s="1142"/>
      <c r="TWP52" s="1142"/>
      <c r="TWQ52" s="1142"/>
      <c r="TWR52" s="1142"/>
      <c r="TWS52" s="1142"/>
      <c r="TWT52" s="1142"/>
      <c r="TWU52" s="1142"/>
      <c r="TWV52" s="1142"/>
      <c r="TWW52" s="1142"/>
      <c r="TWX52" s="1142"/>
      <c r="TWY52" s="1142"/>
      <c r="TWZ52" s="1142"/>
      <c r="TXA52" s="1167"/>
      <c r="TXB52" s="1167"/>
      <c r="TXC52" s="1167"/>
      <c r="TXD52" s="1167"/>
      <c r="TXE52" s="1167"/>
      <c r="TXF52" s="1167"/>
      <c r="TXG52" s="1167"/>
      <c r="TXH52" s="1167"/>
      <c r="TXI52" s="1167"/>
      <c r="TXJ52" s="1142"/>
      <c r="TXK52" s="1142"/>
      <c r="TXL52" s="1142"/>
      <c r="TXM52" s="1142"/>
      <c r="TXN52" s="1142"/>
      <c r="TXO52" s="1142"/>
      <c r="TXP52" s="1142"/>
      <c r="TXQ52" s="1142"/>
      <c r="TXR52" s="1142"/>
      <c r="TXS52" s="1142"/>
      <c r="TXT52" s="1142"/>
      <c r="TXU52" s="1142"/>
      <c r="TXV52" s="1142"/>
      <c r="TXW52" s="1142"/>
      <c r="TXX52" s="1142"/>
      <c r="TXY52" s="1142"/>
      <c r="TXZ52" s="1142"/>
      <c r="TYA52" s="1142"/>
      <c r="TYB52" s="1142"/>
      <c r="TYC52" s="1142"/>
      <c r="TYD52" s="1142"/>
      <c r="TYE52" s="1142"/>
      <c r="TYF52" s="1142"/>
      <c r="TYG52" s="1167"/>
      <c r="TYH52" s="1167"/>
      <c r="TYI52" s="1167"/>
      <c r="TYJ52" s="1167"/>
      <c r="TYK52" s="1167"/>
      <c r="TYL52" s="1167"/>
      <c r="TYM52" s="1167"/>
      <c r="TYN52" s="1167"/>
      <c r="TYO52" s="1167"/>
      <c r="TYP52" s="1142"/>
      <c r="TYQ52" s="1142"/>
      <c r="TYR52" s="1142"/>
      <c r="TYS52" s="1142"/>
      <c r="TYT52" s="1142"/>
      <c r="TYU52" s="1142"/>
      <c r="TYV52" s="1142"/>
      <c r="TYW52" s="1142"/>
      <c r="TYX52" s="1142"/>
      <c r="TYY52" s="1142"/>
      <c r="TYZ52" s="1142"/>
      <c r="TZA52" s="1142"/>
      <c r="TZB52" s="1142"/>
      <c r="TZC52" s="1142"/>
      <c r="TZD52" s="1142"/>
      <c r="TZE52" s="1142"/>
      <c r="TZF52" s="1142"/>
      <c r="TZG52" s="1142"/>
      <c r="TZH52" s="1142"/>
      <c r="TZI52" s="1142"/>
      <c r="TZJ52" s="1142"/>
      <c r="TZK52" s="1142"/>
      <c r="TZL52" s="1142"/>
      <c r="TZM52" s="1167"/>
      <c r="TZN52" s="1167"/>
      <c r="TZO52" s="1167"/>
      <c r="TZP52" s="1167"/>
      <c r="TZQ52" s="1167"/>
      <c r="TZR52" s="1167"/>
      <c r="TZS52" s="1167"/>
      <c r="TZT52" s="1167"/>
      <c r="TZU52" s="1167"/>
      <c r="TZV52" s="1142"/>
      <c r="TZW52" s="1142"/>
      <c r="TZX52" s="1142"/>
      <c r="TZY52" s="1142"/>
      <c r="TZZ52" s="1142"/>
      <c r="UAA52" s="1142"/>
      <c r="UAB52" s="1142"/>
      <c r="UAC52" s="1142"/>
      <c r="UAD52" s="1142"/>
      <c r="UAE52" s="1142"/>
      <c r="UAF52" s="1142"/>
      <c r="UAG52" s="1142"/>
      <c r="UAH52" s="1142"/>
      <c r="UAI52" s="1142"/>
      <c r="UAJ52" s="1142"/>
      <c r="UAK52" s="1142"/>
      <c r="UAL52" s="1142"/>
      <c r="UAM52" s="1142"/>
      <c r="UAN52" s="1142"/>
      <c r="UAO52" s="1142"/>
      <c r="UAP52" s="1142"/>
      <c r="UAQ52" s="1142"/>
      <c r="UAR52" s="1142"/>
      <c r="UAS52" s="1167"/>
      <c r="UAT52" s="1167"/>
      <c r="UAU52" s="1167"/>
      <c r="UAV52" s="1167"/>
      <c r="UAW52" s="1167"/>
      <c r="UAX52" s="1167"/>
      <c r="UAY52" s="1167"/>
      <c r="UAZ52" s="1167"/>
      <c r="UBA52" s="1167"/>
      <c r="UBB52" s="1142"/>
      <c r="UBC52" s="1142"/>
      <c r="UBD52" s="1142"/>
      <c r="UBE52" s="1142"/>
      <c r="UBF52" s="1142"/>
      <c r="UBG52" s="1142"/>
      <c r="UBH52" s="1142"/>
      <c r="UBI52" s="1142"/>
      <c r="UBJ52" s="1142"/>
      <c r="UBK52" s="1142"/>
      <c r="UBL52" s="1142"/>
      <c r="UBM52" s="1142"/>
      <c r="UBN52" s="1142"/>
      <c r="UBO52" s="1142"/>
      <c r="UBP52" s="1142"/>
      <c r="UBQ52" s="1142"/>
      <c r="UBR52" s="1142"/>
      <c r="UBS52" s="1142"/>
      <c r="UBT52" s="1142"/>
      <c r="UBU52" s="1142"/>
      <c r="UBV52" s="1142"/>
      <c r="UBW52" s="1142"/>
      <c r="UBX52" s="1142"/>
      <c r="UBY52" s="1167"/>
      <c r="UBZ52" s="1167"/>
      <c r="UCA52" s="1167"/>
      <c r="UCB52" s="1167"/>
      <c r="UCC52" s="1167"/>
      <c r="UCD52" s="1167"/>
      <c r="UCE52" s="1167"/>
      <c r="UCF52" s="1167"/>
      <c r="UCG52" s="1167"/>
      <c r="UCH52" s="1142"/>
      <c r="UCI52" s="1142"/>
      <c r="UCJ52" s="1142"/>
      <c r="UCK52" s="1142"/>
      <c r="UCL52" s="1142"/>
      <c r="UCM52" s="1142"/>
      <c r="UCN52" s="1142"/>
      <c r="UCO52" s="1142"/>
      <c r="UCP52" s="1142"/>
      <c r="UCQ52" s="1142"/>
      <c r="UCR52" s="1142"/>
      <c r="UCS52" s="1142"/>
      <c r="UCT52" s="1142"/>
      <c r="UCU52" s="1142"/>
      <c r="UCV52" s="1142"/>
      <c r="UCW52" s="1142"/>
      <c r="UCX52" s="1142"/>
      <c r="UCY52" s="1142"/>
      <c r="UCZ52" s="1142"/>
      <c r="UDA52" s="1142"/>
      <c r="UDB52" s="1142"/>
      <c r="UDC52" s="1142"/>
      <c r="UDD52" s="1142"/>
      <c r="UDE52" s="1167"/>
      <c r="UDF52" s="1167"/>
      <c r="UDG52" s="1167"/>
      <c r="UDH52" s="1167"/>
      <c r="UDI52" s="1167"/>
      <c r="UDJ52" s="1167"/>
      <c r="UDK52" s="1167"/>
      <c r="UDL52" s="1167"/>
      <c r="UDM52" s="1167"/>
      <c r="UDN52" s="1142"/>
      <c r="UDO52" s="1142"/>
      <c r="UDP52" s="1142"/>
      <c r="UDQ52" s="1142"/>
      <c r="UDR52" s="1142"/>
      <c r="UDS52" s="1142"/>
      <c r="UDT52" s="1142"/>
      <c r="UDU52" s="1142"/>
      <c r="UDV52" s="1142"/>
      <c r="UDW52" s="1142"/>
      <c r="UDX52" s="1142"/>
      <c r="UDY52" s="1142"/>
      <c r="UDZ52" s="1142"/>
      <c r="UEA52" s="1142"/>
      <c r="UEB52" s="1142"/>
      <c r="UEC52" s="1142"/>
      <c r="UED52" s="1142"/>
      <c r="UEE52" s="1142"/>
      <c r="UEF52" s="1142"/>
      <c r="UEG52" s="1142"/>
      <c r="UEH52" s="1142"/>
      <c r="UEI52" s="1142"/>
      <c r="UEJ52" s="1142"/>
      <c r="UEK52" s="1167"/>
      <c r="UEL52" s="1167"/>
      <c r="UEM52" s="1167"/>
      <c r="UEN52" s="1167"/>
      <c r="UEO52" s="1167"/>
      <c r="UEP52" s="1167"/>
      <c r="UEQ52" s="1167"/>
      <c r="UER52" s="1167"/>
      <c r="UES52" s="1167"/>
      <c r="UET52" s="1142"/>
      <c r="UEU52" s="1142"/>
      <c r="UEV52" s="1142"/>
      <c r="UEW52" s="1142"/>
      <c r="UEX52" s="1142"/>
      <c r="UEY52" s="1142"/>
      <c r="UEZ52" s="1142"/>
      <c r="UFA52" s="1142"/>
      <c r="UFB52" s="1142"/>
      <c r="UFC52" s="1142"/>
      <c r="UFD52" s="1142"/>
      <c r="UFE52" s="1142"/>
      <c r="UFF52" s="1142"/>
      <c r="UFG52" s="1142"/>
      <c r="UFH52" s="1142"/>
      <c r="UFI52" s="1142"/>
      <c r="UFJ52" s="1142"/>
      <c r="UFK52" s="1142"/>
      <c r="UFL52" s="1142"/>
      <c r="UFM52" s="1142"/>
      <c r="UFN52" s="1142"/>
      <c r="UFO52" s="1142"/>
      <c r="UFP52" s="1142"/>
      <c r="UFQ52" s="1167"/>
      <c r="UFR52" s="1167"/>
      <c r="UFS52" s="1167"/>
      <c r="UFT52" s="1167"/>
      <c r="UFU52" s="1167"/>
      <c r="UFV52" s="1167"/>
      <c r="UFW52" s="1167"/>
      <c r="UFX52" s="1167"/>
      <c r="UFY52" s="1167"/>
      <c r="UFZ52" s="1142"/>
      <c r="UGA52" s="1142"/>
      <c r="UGB52" s="1142"/>
      <c r="UGC52" s="1142"/>
      <c r="UGD52" s="1142"/>
      <c r="UGE52" s="1142"/>
      <c r="UGF52" s="1142"/>
      <c r="UGG52" s="1142"/>
      <c r="UGH52" s="1142"/>
      <c r="UGI52" s="1142"/>
      <c r="UGJ52" s="1142"/>
      <c r="UGK52" s="1142"/>
      <c r="UGL52" s="1142"/>
      <c r="UGM52" s="1142"/>
      <c r="UGN52" s="1142"/>
      <c r="UGO52" s="1142"/>
      <c r="UGP52" s="1142"/>
      <c r="UGQ52" s="1142"/>
      <c r="UGR52" s="1142"/>
      <c r="UGS52" s="1142"/>
      <c r="UGT52" s="1142"/>
      <c r="UGU52" s="1142"/>
      <c r="UGV52" s="1142"/>
      <c r="UGW52" s="1167"/>
      <c r="UGX52" s="1167"/>
      <c r="UGY52" s="1167"/>
      <c r="UGZ52" s="1167"/>
      <c r="UHA52" s="1167"/>
      <c r="UHB52" s="1167"/>
      <c r="UHC52" s="1167"/>
      <c r="UHD52" s="1167"/>
      <c r="UHE52" s="1167"/>
      <c r="UHF52" s="1142"/>
      <c r="UHG52" s="1142"/>
      <c r="UHH52" s="1142"/>
      <c r="UHI52" s="1142"/>
      <c r="UHJ52" s="1142"/>
      <c r="UHK52" s="1142"/>
      <c r="UHL52" s="1142"/>
      <c r="UHM52" s="1142"/>
      <c r="UHN52" s="1142"/>
      <c r="UHO52" s="1142"/>
      <c r="UHP52" s="1142"/>
      <c r="UHQ52" s="1142"/>
      <c r="UHR52" s="1142"/>
      <c r="UHS52" s="1142"/>
      <c r="UHT52" s="1142"/>
      <c r="UHU52" s="1142"/>
      <c r="UHV52" s="1142"/>
      <c r="UHW52" s="1142"/>
      <c r="UHX52" s="1142"/>
      <c r="UHY52" s="1142"/>
      <c r="UHZ52" s="1142"/>
      <c r="UIA52" s="1142"/>
      <c r="UIB52" s="1142"/>
      <c r="UIC52" s="1167"/>
      <c r="UID52" s="1167"/>
      <c r="UIE52" s="1167"/>
      <c r="UIF52" s="1167"/>
      <c r="UIG52" s="1167"/>
      <c r="UIH52" s="1167"/>
      <c r="UII52" s="1167"/>
      <c r="UIJ52" s="1167"/>
      <c r="UIK52" s="1167"/>
      <c r="UIL52" s="1142"/>
      <c r="UIM52" s="1142"/>
      <c r="UIN52" s="1142"/>
      <c r="UIO52" s="1142"/>
      <c r="UIP52" s="1142"/>
      <c r="UIQ52" s="1142"/>
      <c r="UIR52" s="1142"/>
      <c r="UIS52" s="1142"/>
      <c r="UIT52" s="1142"/>
      <c r="UIU52" s="1142"/>
      <c r="UIV52" s="1142"/>
      <c r="UIW52" s="1142"/>
      <c r="UIX52" s="1142"/>
      <c r="UIY52" s="1142"/>
      <c r="UIZ52" s="1142"/>
      <c r="UJA52" s="1142"/>
      <c r="UJB52" s="1142"/>
      <c r="UJC52" s="1142"/>
      <c r="UJD52" s="1142"/>
      <c r="UJE52" s="1142"/>
      <c r="UJF52" s="1142"/>
      <c r="UJG52" s="1142"/>
      <c r="UJH52" s="1142"/>
      <c r="UJI52" s="1167"/>
      <c r="UJJ52" s="1167"/>
      <c r="UJK52" s="1167"/>
      <c r="UJL52" s="1167"/>
      <c r="UJM52" s="1167"/>
      <c r="UJN52" s="1167"/>
      <c r="UJO52" s="1167"/>
      <c r="UJP52" s="1167"/>
      <c r="UJQ52" s="1167"/>
      <c r="UJR52" s="1142"/>
      <c r="UJS52" s="1142"/>
      <c r="UJT52" s="1142"/>
      <c r="UJU52" s="1142"/>
      <c r="UJV52" s="1142"/>
      <c r="UJW52" s="1142"/>
      <c r="UJX52" s="1142"/>
      <c r="UJY52" s="1142"/>
      <c r="UJZ52" s="1142"/>
      <c r="UKA52" s="1142"/>
      <c r="UKB52" s="1142"/>
      <c r="UKC52" s="1142"/>
      <c r="UKD52" s="1142"/>
      <c r="UKE52" s="1142"/>
      <c r="UKF52" s="1142"/>
      <c r="UKG52" s="1142"/>
      <c r="UKH52" s="1142"/>
      <c r="UKI52" s="1142"/>
      <c r="UKJ52" s="1142"/>
      <c r="UKK52" s="1142"/>
      <c r="UKL52" s="1142"/>
      <c r="UKM52" s="1142"/>
      <c r="UKN52" s="1142"/>
      <c r="UKO52" s="1167"/>
      <c r="UKP52" s="1167"/>
      <c r="UKQ52" s="1167"/>
      <c r="UKR52" s="1167"/>
      <c r="UKS52" s="1167"/>
      <c r="UKT52" s="1167"/>
      <c r="UKU52" s="1167"/>
      <c r="UKV52" s="1167"/>
      <c r="UKW52" s="1167"/>
      <c r="UKX52" s="1142"/>
      <c r="UKY52" s="1142"/>
      <c r="UKZ52" s="1142"/>
      <c r="ULA52" s="1142"/>
      <c r="ULB52" s="1142"/>
      <c r="ULC52" s="1142"/>
      <c r="ULD52" s="1142"/>
      <c r="ULE52" s="1142"/>
      <c r="ULF52" s="1142"/>
      <c r="ULG52" s="1142"/>
      <c r="ULH52" s="1142"/>
      <c r="ULI52" s="1142"/>
      <c r="ULJ52" s="1142"/>
      <c r="ULK52" s="1142"/>
      <c r="ULL52" s="1142"/>
      <c r="ULM52" s="1142"/>
      <c r="ULN52" s="1142"/>
      <c r="ULO52" s="1142"/>
      <c r="ULP52" s="1142"/>
      <c r="ULQ52" s="1142"/>
      <c r="ULR52" s="1142"/>
      <c r="ULS52" s="1142"/>
      <c r="ULT52" s="1142"/>
      <c r="ULU52" s="1167"/>
      <c r="ULV52" s="1167"/>
      <c r="ULW52" s="1167"/>
      <c r="ULX52" s="1167"/>
      <c r="ULY52" s="1167"/>
      <c r="ULZ52" s="1167"/>
      <c r="UMA52" s="1167"/>
      <c r="UMB52" s="1167"/>
      <c r="UMC52" s="1167"/>
      <c r="UMD52" s="1142"/>
      <c r="UME52" s="1142"/>
      <c r="UMF52" s="1142"/>
      <c r="UMG52" s="1142"/>
      <c r="UMH52" s="1142"/>
      <c r="UMI52" s="1142"/>
      <c r="UMJ52" s="1142"/>
      <c r="UMK52" s="1142"/>
      <c r="UML52" s="1142"/>
      <c r="UMM52" s="1142"/>
      <c r="UMN52" s="1142"/>
      <c r="UMO52" s="1142"/>
      <c r="UMP52" s="1142"/>
      <c r="UMQ52" s="1142"/>
      <c r="UMR52" s="1142"/>
      <c r="UMS52" s="1142"/>
      <c r="UMT52" s="1142"/>
      <c r="UMU52" s="1142"/>
      <c r="UMV52" s="1142"/>
      <c r="UMW52" s="1142"/>
      <c r="UMX52" s="1142"/>
      <c r="UMY52" s="1142"/>
      <c r="UMZ52" s="1142"/>
      <c r="UNA52" s="1167"/>
      <c r="UNB52" s="1167"/>
      <c r="UNC52" s="1167"/>
      <c r="UND52" s="1167"/>
      <c r="UNE52" s="1167"/>
      <c r="UNF52" s="1167"/>
      <c r="UNG52" s="1167"/>
      <c r="UNH52" s="1167"/>
      <c r="UNI52" s="1167"/>
      <c r="UNJ52" s="1142"/>
      <c r="UNK52" s="1142"/>
      <c r="UNL52" s="1142"/>
      <c r="UNM52" s="1142"/>
      <c r="UNN52" s="1142"/>
      <c r="UNO52" s="1142"/>
      <c r="UNP52" s="1142"/>
      <c r="UNQ52" s="1142"/>
      <c r="UNR52" s="1142"/>
      <c r="UNS52" s="1142"/>
      <c r="UNT52" s="1142"/>
      <c r="UNU52" s="1142"/>
      <c r="UNV52" s="1142"/>
      <c r="UNW52" s="1142"/>
      <c r="UNX52" s="1142"/>
      <c r="UNY52" s="1142"/>
      <c r="UNZ52" s="1142"/>
      <c r="UOA52" s="1142"/>
      <c r="UOB52" s="1142"/>
      <c r="UOC52" s="1142"/>
      <c r="UOD52" s="1142"/>
      <c r="UOE52" s="1142"/>
      <c r="UOF52" s="1142"/>
      <c r="UOG52" s="1167"/>
      <c r="UOH52" s="1167"/>
      <c r="UOI52" s="1167"/>
      <c r="UOJ52" s="1167"/>
      <c r="UOK52" s="1167"/>
      <c r="UOL52" s="1167"/>
      <c r="UOM52" s="1167"/>
      <c r="UON52" s="1167"/>
      <c r="UOO52" s="1167"/>
      <c r="UOP52" s="1142"/>
      <c r="UOQ52" s="1142"/>
      <c r="UOR52" s="1142"/>
      <c r="UOS52" s="1142"/>
      <c r="UOT52" s="1142"/>
      <c r="UOU52" s="1142"/>
      <c r="UOV52" s="1142"/>
      <c r="UOW52" s="1142"/>
      <c r="UOX52" s="1142"/>
      <c r="UOY52" s="1142"/>
      <c r="UOZ52" s="1142"/>
      <c r="UPA52" s="1142"/>
      <c r="UPB52" s="1142"/>
      <c r="UPC52" s="1142"/>
      <c r="UPD52" s="1142"/>
      <c r="UPE52" s="1142"/>
      <c r="UPF52" s="1142"/>
      <c r="UPG52" s="1142"/>
      <c r="UPH52" s="1142"/>
      <c r="UPI52" s="1142"/>
      <c r="UPJ52" s="1142"/>
      <c r="UPK52" s="1142"/>
      <c r="UPL52" s="1142"/>
      <c r="UPM52" s="1167"/>
      <c r="UPN52" s="1167"/>
      <c r="UPO52" s="1167"/>
      <c r="UPP52" s="1167"/>
      <c r="UPQ52" s="1167"/>
      <c r="UPR52" s="1167"/>
      <c r="UPS52" s="1167"/>
      <c r="UPT52" s="1167"/>
      <c r="UPU52" s="1167"/>
      <c r="UPV52" s="1142"/>
      <c r="UPW52" s="1142"/>
      <c r="UPX52" s="1142"/>
      <c r="UPY52" s="1142"/>
      <c r="UPZ52" s="1142"/>
      <c r="UQA52" s="1142"/>
      <c r="UQB52" s="1142"/>
      <c r="UQC52" s="1142"/>
      <c r="UQD52" s="1142"/>
      <c r="UQE52" s="1142"/>
      <c r="UQF52" s="1142"/>
      <c r="UQG52" s="1142"/>
      <c r="UQH52" s="1142"/>
      <c r="UQI52" s="1142"/>
      <c r="UQJ52" s="1142"/>
      <c r="UQK52" s="1142"/>
      <c r="UQL52" s="1142"/>
      <c r="UQM52" s="1142"/>
      <c r="UQN52" s="1142"/>
      <c r="UQO52" s="1142"/>
      <c r="UQP52" s="1142"/>
      <c r="UQQ52" s="1142"/>
      <c r="UQR52" s="1142"/>
      <c r="UQS52" s="1167"/>
      <c r="UQT52" s="1167"/>
      <c r="UQU52" s="1167"/>
      <c r="UQV52" s="1167"/>
      <c r="UQW52" s="1167"/>
      <c r="UQX52" s="1167"/>
      <c r="UQY52" s="1167"/>
      <c r="UQZ52" s="1167"/>
      <c r="URA52" s="1167"/>
      <c r="URB52" s="1142"/>
      <c r="URC52" s="1142"/>
      <c r="URD52" s="1142"/>
      <c r="URE52" s="1142"/>
      <c r="URF52" s="1142"/>
      <c r="URG52" s="1142"/>
      <c r="URH52" s="1142"/>
      <c r="URI52" s="1142"/>
      <c r="URJ52" s="1142"/>
      <c r="URK52" s="1142"/>
      <c r="URL52" s="1142"/>
      <c r="URM52" s="1142"/>
      <c r="URN52" s="1142"/>
      <c r="URO52" s="1142"/>
      <c r="URP52" s="1142"/>
      <c r="URQ52" s="1142"/>
      <c r="URR52" s="1142"/>
      <c r="URS52" s="1142"/>
      <c r="URT52" s="1142"/>
      <c r="URU52" s="1142"/>
      <c r="URV52" s="1142"/>
      <c r="URW52" s="1142"/>
      <c r="URX52" s="1142"/>
      <c r="URY52" s="1167"/>
      <c r="URZ52" s="1167"/>
      <c r="USA52" s="1167"/>
      <c r="USB52" s="1167"/>
      <c r="USC52" s="1167"/>
      <c r="USD52" s="1167"/>
      <c r="USE52" s="1167"/>
      <c r="USF52" s="1167"/>
      <c r="USG52" s="1167"/>
      <c r="USH52" s="1142"/>
      <c r="USI52" s="1142"/>
      <c r="USJ52" s="1142"/>
      <c r="USK52" s="1142"/>
      <c r="USL52" s="1142"/>
      <c r="USM52" s="1142"/>
      <c r="USN52" s="1142"/>
      <c r="USO52" s="1142"/>
      <c r="USP52" s="1142"/>
      <c r="USQ52" s="1142"/>
      <c r="USR52" s="1142"/>
      <c r="USS52" s="1142"/>
      <c r="UST52" s="1142"/>
      <c r="USU52" s="1142"/>
      <c r="USV52" s="1142"/>
      <c r="USW52" s="1142"/>
      <c r="USX52" s="1142"/>
      <c r="USY52" s="1142"/>
      <c r="USZ52" s="1142"/>
      <c r="UTA52" s="1142"/>
      <c r="UTB52" s="1142"/>
      <c r="UTC52" s="1142"/>
      <c r="UTD52" s="1142"/>
      <c r="UTE52" s="1167"/>
      <c r="UTF52" s="1167"/>
      <c r="UTG52" s="1167"/>
      <c r="UTH52" s="1167"/>
      <c r="UTI52" s="1167"/>
      <c r="UTJ52" s="1167"/>
      <c r="UTK52" s="1167"/>
      <c r="UTL52" s="1167"/>
      <c r="UTM52" s="1167"/>
      <c r="UTN52" s="1142"/>
      <c r="UTO52" s="1142"/>
      <c r="UTP52" s="1142"/>
      <c r="UTQ52" s="1142"/>
      <c r="UTR52" s="1142"/>
      <c r="UTS52" s="1142"/>
      <c r="UTT52" s="1142"/>
      <c r="UTU52" s="1142"/>
      <c r="UTV52" s="1142"/>
      <c r="UTW52" s="1142"/>
      <c r="UTX52" s="1142"/>
      <c r="UTY52" s="1142"/>
      <c r="UTZ52" s="1142"/>
      <c r="UUA52" s="1142"/>
      <c r="UUB52" s="1142"/>
      <c r="UUC52" s="1142"/>
      <c r="UUD52" s="1142"/>
      <c r="UUE52" s="1142"/>
      <c r="UUF52" s="1142"/>
      <c r="UUG52" s="1142"/>
      <c r="UUH52" s="1142"/>
      <c r="UUI52" s="1142"/>
      <c r="UUJ52" s="1142"/>
      <c r="UUK52" s="1167"/>
      <c r="UUL52" s="1167"/>
      <c r="UUM52" s="1167"/>
      <c r="UUN52" s="1167"/>
      <c r="UUO52" s="1167"/>
      <c r="UUP52" s="1167"/>
      <c r="UUQ52" s="1167"/>
      <c r="UUR52" s="1167"/>
      <c r="UUS52" s="1167"/>
      <c r="UUT52" s="1142"/>
      <c r="UUU52" s="1142"/>
      <c r="UUV52" s="1142"/>
      <c r="UUW52" s="1142"/>
      <c r="UUX52" s="1142"/>
      <c r="UUY52" s="1142"/>
      <c r="UUZ52" s="1142"/>
      <c r="UVA52" s="1142"/>
      <c r="UVB52" s="1142"/>
      <c r="UVC52" s="1142"/>
      <c r="UVD52" s="1142"/>
      <c r="UVE52" s="1142"/>
      <c r="UVF52" s="1142"/>
      <c r="UVG52" s="1142"/>
      <c r="UVH52" s="1142"/>
      <c r="UVI52" s="1142"/>
      <c r="UVJ52" s="1142"/>
      <c r="UVK52" s="1142"/>
      <c r="UVL52" s="1142"/>
      <c r="UVM52" s="1142"/>
      <c r="UVN52" s="1142"/>
      <c r="UVO52" s="1142"/>
      <c r="UVP52" s="1142"/>
      <c r="UVQ52" s="1167"/>
      <c r="UVR52" s="1167"/>
      <c r="UVS52" s="1167"/>
      <c r="UVT52" s="1167"/>
      <c r="UVU52" s="1167"/>
      <c r="UVV52" s="1167"/>
      <c r="UVW52" s="1167"/>
      <c r="UVX52" s="1167"/>
      <c r="UVY52" s="1167"/>
      <c r="UVZ52" s="1142"/>
      <c r="UWA52" s="1142"/>
      <c r="UWB52" s="1142"/>
      <c r="UWC52" s="1142"/>
      <c r="UWD52" s="1142"/>
      <c r="UWE52" s="1142"/>
      <c r="UWF52" s="1142"/>
      <c r="UWG52" s="1142"/>
      <c r="UWH52" s="1142"/>
      <c r="UWI52" s="1142"/>
      <c r="UWJ52" s="1142"/>
      <c r="UWK52" s="1142"/>
      <c r="UWL52" s="1142"/>
      <c r="UWM52" s="1142"/>
      <c r="UWN52" s="1142"/>
      <c r="UWO52" s="1142"/>
      <c r="UWP52" s="1142"/>
      <c r="UWQ52" s="1142"/>
      <c r="UWR52" s="1142"/>
      <c r="UWS52" s="1142"/>
      <c r="UWT52" s="1142"/>
      <c r="UWU52" s="1142"/>
      <c r="UWV52" s="1142"/>
      <c r="UWW52" s="1167"/>
      <c r="UWX52" s="1167"/>
      <c r="UWY52" s="1167"/>
      <c r="UWZ52" s="1167"/>
      <c r="UXA52" s="1167"/>
      <c r="UXB52" s="1167"/>
      <c r="UXC52" s="1167"/>
      <c r="UXD52" s="1167"/>
      <c r="UXE52" s="1167"/>
      <c r="UXF52" s="1142"/>
      <c r="UXG52" s="1142"/>
      <c r="UXH52" s="1142"/>
      <c r="UXI52" s="1142"/>
      <c r="UXJ52" s="1142"/>
      <c r="UXK52" s="1142"/>
      <c r="UXL52" s="1142"/>
      <c r="UXM52" s="1142"/>
      <c r="UXN52" s="1142"/>
      <c r="UXO52" s="1142"/>
      <c r="UXP52" s="1142"/>
      <c r="UXQ52" s="1142"/>
      <c r="UXR52" s="1142"/>
      <c r="UXS52" s="1142"/>
      <c r="UXT52" s="1142"/>
      <c r="UXU52" s="1142"/>
      <c r="UXV52" s="1142"/>
      <c r="UXW52" s="1142"/>
      <c r="UXX52" s="1142"/>
      <c r="UXY52" s="1142"/>
      <c r="UXZ52" s="1142"/>
      <c r="UYA52" s="1142"/>
      <c r="UYB52" s="1142"/>
      <c r="UYC52" s="1167"/>
      <c r="UYD52" s="1167"/>
      <c r="UYE52" s="1167"/>
      <c r="UYF52" s="1167"/>
      <c r="UYG52" s="1167"/>
      <c r="UYH52" s="1167"/>
      <c r="UYI52" s="1167"/>
      <c r="UYJ52" s="1167"/>
      <c r="UYK52" s="1167"/>
      <c r="UYL52" s="1142"/>
      <c r="UYM52" s="1142"/>
      <c r="UYN52" s="1142"/>
      <c r="UYO52" s="1142"/>
      <c r="UYP52" s="1142"/>
      <c r="UYQ52" s="1142"/>
      <c r="UYR52" s="1142"/>
      <c r="UYS52" s="1142"/>
      <c r="UYT52" s="1142"/>
      <c r="UYU52" s="1142"/>
      <c r="UYV52" s="1142"/>
      <c r="UYW52" s="1142"/>
      <c r="UYX52" s="1142"/>
      <c r="UYY52" s="1142"/>
      <c r="UYZ52" s="1142"/>
      <c r="UZA52" s="1142"/>
      <c r="UZB52" s="1142"/>
      <c r="UZC52" s="1142"/>
      <c r="UZD52" s="1142"/>
      <c r="UZE52" s="1142"/>
      <c r="UZF52" s="1142"/>
      <c r="UZG52" s="1142"/>
      <c r="UZH52" s="1142"/>
      <c r="UZI52" s="1167"/>
      <c r="UZJ52" s="1167"/>
      <c r="UZK52" s="1167"/>
      <c r="UZL52" s="1167"/>
      <c r="UZM52" s="1167"/>
      <c r="UZN52" s="1167"/>
      <c r="UZO52" s="1167"/>
      <c r="UZP52" s="1167"/>
      <c r="UZQ52" s="1167"/>
      <c r="UZR52" s="1142"/>
      <c r="UZS52" s="1142"/>
      <c r="UZT52" s="1142"/>
      <c r="UZU52" s="1142"/>
      <c r="UZV52" s="1142"/>
      <c r="UZW52" s="1142"/>
      <c r="UZX52" s="1142"/>
      <c r="UZY52" s="1142"/>
      <c r="UZZ52" s="1142"/>
      <c r="VAA52" s="1142"/>
      <c r="VAB52" s="1142"/>
      <c r="VAC52" s="1142"/>
      <c r="VAD52" s="1142"/>
      <c r="VAE52" s="1142"/>
      <c r="VAF52" s="1142"/>
      <c r="VAG52" s="1142"/>
      <c r="VAH52" s="1142"/>
      <c r="VAI52" s="1142"/>
      <c r="VAJ52" s="1142"/>
      <c r="VAK52" s="1142"/>
      <c r="VAL52" s="1142"/>
      <c r="VAM52" s="1142"/>
      <c r="VAN52" s="1142"/>
      <c r="VAO52" s="1167"/>
      <c r="VAP52" s="1167"/>
      <c r="VAQ52" s="1167"/>
      <c r="VAR52" s="1167"/>
      <c r="VAS52" s="1167"/>
      <c r="VAT52" s="1167"/>
      <c r="VAU52" s="1167"/>
      <c r="VAV52" s="1167"/>
      <c r="VAW52" s="1167"/>
      <c r="VAX52" s="1142"/>
      <c r="VAY52" s="1142"/>
      <c r="VAZ52" s="1142"/>
      <c r="VBA52" s="1142"/>
      <c r="VBB52" s="1142"/>
      <c r="VBC52" s="1142"/>
      <c r="VBD52" s="1142"/>
      <c r="VBE52" s="1142"/>
      <c r="VBF52" s="1142"/>
      <c r="VBG52" s="1142"/>
      <c r="VBH52" s="1142"/>
      <c r="VBI52" s="1142"/>
      <c r="VBJ52" s="1142"/>
      <c r="VBK52" s="1142"/>
      <c r="VBL52" s="1142"/>
      <c r="VBM52" s="1142"/>
      <c r="VBN52" s="1142"/>
      <c r="VBO52" s="1142"/>
      <c r="VBP52" s="1142"/>
      <c r="VBQ52" s="1142"/>
      <c r="VBR52" s="1142"/>
      <c r="VBS52" s="1142"/>
      <c r="VBT52" s="1142"/>
      <c r="VBU52" s="1167"/>
      <c r="VBV52" s="1167"/>
      <c r="VBW52" s="1167"/>
      <c r="VBX52" s="1167"/>
      <c r="VBY52" s="1167"/>
      <c r="VBZ52" s="1167"/>
      <c r="VCA52" s="1167"/>
      <c r="VCB52" s="1167"/>
      <c r="VCC52" s="1167"/>
      <c r="VCD52" s="1142"/>
      <c r="VCE52" s="1142"/>
      <c r="VCF52" s="1142"/>
      <c r="VCG52" s="1142"/>
      <c r="VCH52" s="1142"/>
      <c r="VCI52" s="1142"/>
      <c r="VCJ52" s="1142"/>
      <c r="VCK52" s="1142"/>
      <c r="VCL52" s="1142"/>
      <c r="VCM52" s="1142"/>
      <c r="VCN52" s="1142"/>
      <c r="VCO52" s="1142"/>
      <c r="VCP52" s="1142"/>
      <c r="VCQ52" s="1142"/>
      <c r="VCR52" s="1142"/>
      <c r="VCS52" s="1142"/>
      <c r="VCT52" s="1142"/>
      <c r="VCU52" s="1142"/>
      <c r="VCV52" s="1142"/>
      <c r="VCW52" s="1142"/>
      <c r="VCX52" s="1142"/>
      <c r="VCY52" s="1142"/>
      <c r="VCZ52" s="1142"/>
      <c r="VDA52" s="1167"/>
      <c r="VDB52" s="1167"/>
      <c r="VDC52" s="1167"/>
      <c r="VDD52" s="1167"/>
      <c r="VDE52" s="1167"/>
      <c r="VDF52" s="1167"/>
      <c r="VDG52" s="1167"/>
      <c r="VDH52" s="1167"/>
      <c r="VDI52" s="1167"/>
      <c r="VDJ52" s="1142"/>
      <c r="VDK52" s="1142"/>
      <c r="VDL52" s="1142"/>
      <c r="VDM52" s="1142"/>
      <c r="VDN52" s="1142"/>
      <c r="VDO52" s="1142"/>
      <c r="VDP52" s="1142"/>
      <c r="VDQ52" s="1142"/>
      <c r="VDR52" s="1142"/>
      <c r="VDS52" s="1142"/>
      <c r="VDT52" s="1142"/>
      <c r="VDU52" s="1142"/>
      <c r="VDV52" s="1142"/>
      <c r="VDW52" s="1142"/>
      <c r="VDX52" s="1142"/>
      <c r="VDY52" s="1142"/>
      <c r="VDZ52" s="1142"/>
      <c r="VEA52" s="1142"/>
      <c r="VEB52" s="1142"/>
      <c r="VEC52" s="1142"/>
      <c r="VED52" s="1142"/>
      <c r="VEE52" s="1142"/>
      <c r="VEF52" s="1142"/>
      <c r="VEG52" s="1167"/>
      <c r="VEH52" s="1167"/>
      <c r="VEI52" s="1167"/>
      <c r="VEJ52" s="1167"/>
      <c r="VEK52" s="1167"/>
      <c r="VEL52" s="1167"/>
      <c r="VEM52" s="1167"/>
      <c r="VEN52" s="1167"/>
      <c r="VEO52" s="1167"/>
      <c r="VEP52" s="1142"/>
      <c r="VEQ52" s="1142"/>
      <c r="VER52" s="1142"/>
      <c r="VES52" s="1142"/>
      <c r="VET52" s="1142"/>
      <c r="VEU52" s="1142"/>
      <c r="VEV52" s="1142"/>
      <c r="VEW52" s="1142"/>
      <c r="VEX52" s="1142"/>
      <c r="VEY52" s="1142"/>
      <c r="VEZ52" s="1142"/>
      <c r="VFA52" s="1142"/>
      <c r="VFB52" s="1142"/>
      <c r="VFC52" s="1142"/>
      <c r="VFD52" s="1142"/>
      <c r="VFE52" s="1142"/>
      <c r="VFF52" s="1142"/>
      <c r="VFG52" s="1142"/>
      <c r="VFH52" s="1142"/>
      <c r="VFI52" s="1142"/>
      <c r="VFJ52" s="1142"/>
      <c r="VFK52" s="1142"/>
      <c r="VFL52" s="1142"/>
      <c r="VFM52" s="1167"/>
      <c r="VFN52" s="1167"/>
      <c r="VFO52" s="1167"/>
      <c r="VFP52" s="1167"/>
      <c r="VFQ52" s="1167"/>
      <c r="VFR52" s="1167"/>
      <c r="VFS52" s="1167"/>
      <c r="VFT52" s="1167"/>
      <c r="VFU52" s="1167"/>
      <c r="VFV52" s="1142"/>
      <c r="VFW52" s="1142"/>
      <c r="VFX52" s="1142"/>
      <c r="VFY52" s="1142"/>
      <c r="VFZ52" s="1142"/>
      <c r="VGA52" s="1142"/>
      <c r="VGB52" s="1142"/>
      <c r="VGC52" s="1142"/>
      <c r="VGD52" s="1142"/>
      <c r="VGE52" s="1142"/>
      <c r="VGF52" s="1142"/>
      <c r="VGG52" s="1142"/>
      <c r="VGH52" s="1142"/>
      <c r="VGI52" s="1142"/>
      <c r="VGJ52" s="1142"/>
      <c r="VGK52" s="1142"/>
      <c r="VGL52" s="1142"/>
      <c r="VGM52" s="1142"/>
      <c r="VGN52" s="1142"/>
      <c r="VGO52" s="1142"/>
      <c r="VGP52" s="1142"/>
      <c r="VGQ52" s="1142"/>
      <c r="VGR52" s="1142"/>
      <c r="VGS52" s="1167"/>
      <c r="VGT52" s="1167"/>
      <c r="VGU52" s="1167"/>
      <c r="VGV52" s="1167"/>
      <c r="VGW52" s="1167"/>
      <c r="VGX52" s="1167"/>
      <c r="VGY52" s="1167"/>
      <c r="VGZ52" s="1167"/>
      <c r="VHA52" s="1167"/>
      <c r="VHB52" s="1142"/>
      <c r="VHC52" s="1142"/>
      <c r="VHD52" s="1142"/>
      <c r="VHE52" s="1142"/>
      <c r="VHF52" s="1142"/>
      <c r="VHG52" s="1142"/>
      <c r="VHH52" s="1142"/>
      <c r="VHI52" s="1142"/>
      <c r="VHJ52" s="1142"/>
      <c r="VHK52" s="1142"/>
      <c r="VHL52" s="1142"/>
      <c r="VHM52" s="1142"/>
      <c r="VHN52" s="1142"/>
      <c r="VHO52" s="1142"/>
      <c r="VHP52" s="1142"/>
      <c r="VHQ52" s="1142"/>
      <c r="VHR52" s="1142"/>
      <c r="VHS52" s="1142"/>
      <c r="VHT52" s="1142"/>
      <c r="VHU52" s="1142"/>
      <c r="VHV52" s="1142"/>
      <c r="VHW52" s="1142"/>
      <c r="VHX52" s="1142"/>
      <c r="VHY52" s="1167"/>
      <c r="VHZ52" s="1167"/>
      <c r="VIA52" s="1167"/>
      <c r="VIB52" s="1167"/>
      <c r="VIC52" s="1167"/>
      <c r="VID52" s="1167"/>
      <c r="VIE52" s="1167"/>
      <c r="VIF52" s="1167"/>
      <c r="VIG52" s="1167"/>
      <c r="VIH52" s="1142"/>
      <c r="VII52" s="1142"/>
      <c r="VIJ52" s="1142"/>
      <c r="VIK52" s="1142"/>
      <c r="VIL52" s="1142"/>
      <c r="VIM52" s="1142"/>
      <c r="VIN52" s="1142"/>
      <c r="VIO52" s="1142"/>
      <c r="VIP52" s="1142"/>
      <c r="VIQ52" s="1142"/>
      <c r="VIR52" s="1142"/>
      <c r="VIS52" s="1142"/>
      <c r="VIT52" s="1142"/>
      <c r="VIU52" s="1142"/>
      <c r="VIV52" s="1142"/>
      <c r="VIW52" s="1142"/>
      <c r="VIX52" s="1142"/>
      <c r="VIY52" s="1142"/>
      <c r="VIZ52" s="1142"/>
      <c r="VJA52" s="1142"/>
      <c r="VJB52" s="1142"/>
      <c r="VJC52" s="1142"/>
      <c r="VJD52" s="1142"/>
      <c r="VJE52" s="1167"/>
      <c r="VJF52" s="1167"/>
      <c r="VJG52" s="1167"/>
      <c r="VJH52" s="1167"/>
      <c r="VJI52" s="1167"/>
      <c r="VJJ52" s="1167"/>
      <c r="VJK52" s="1167"/>
      <c r="VJL52" s="1167"/>
      <c r="VJM52" s="1167"/>
      <c r="VJN52" s="1142"/>
      <c r="VJO52" s="1142"/>
      <c r="VJP52" s="1142"/>
      <c r="VJQ52" s="1142"/>
      <c r="VJR52" s="1142"/>
      <c r="VJS52" s="1142"/>
      <c r="VJT52" s="1142"/>
      <c r="VJU52" s="1142"/>
      <c r="VJV52" s="1142"/>
      <c r="VJW52" s="1142"/>
      <c r="VJX52" s="1142"/>
      <c r="VJY52" s="1142"/>
      <c r="VJZ52" s="1142"/>
      <c r="VKA52" s="1142"/>
      <c r="VKB52" s="1142"/>
      <c r="VKC52" s="1142"/>
      <c r="VKD52" s="1142"/>
      <c r="VKE52" s="1142"/>
      <c r="VKF52" s="1142"/>
      <c r="VKG52" s="1142"/>
      <c r="VKH52" s="1142"/>
      <c r="VKI52" s="1142"/>
      <c r="VKJ52" s="1142"/>
      <c r="VKK52" s="1167"/>
      <c r="VKL52" s="1167"/>
      <c r="VKM52" s="1167"/>
      <c r="VKN52" s="1167"/>
      <c r="VKO52" s="1167"/>
      <c r="VKP52" s="1167"/>
      <c r="VKQ52" s="1167"/>
      <c r="VKR52" s="1167"/>
      <c r="VKS52" s="1167"/>
      <c r="VKT52" s="1142"/>
      <c r="VKU52" s="1142"/>
      <c r="VKV52" s="1142"/>
      <c r="VKW52" s="1142"/>
      <c r="VKX52" s="1142"/>
      <c r="VKY52" s="1142"/>
      <c r="VKZ52" s="1142"/>
      <c r="VLA52" s="1142"/>
      <c r="VLB52" s="1142"/>
      <c r="VLC52" s="1142"/>
      <c r="VLD52" s="1142"/>
      <c r="VLE52" s="1142"/>
      <c r="VLF52" s="1142"/>
      <c r="VLG52" s="1142"/>
      <c r="VLH52" s="1142"/>
      <c r="VLI52" s="1142"/>
      <c r="VLJ52" s="1142"/>
      <c r="VLK52" s="1142"/>
      <c r="VLL52" s="1142"/>
      <c r="VLM52" s="1142"/>
      <c r="VLN52" s="1142"/>
      <c r="VLO52" s="1142"/>
      <c r="VLP52" s="1142"/>
      <c r="VLQ52" s="1167"/>
      <c r="VLR52" s="1167"/>
      <c r="VLS52" s="1167"/>
      <c r="VLT52" s="1167"/>
      <c r="VLU52" s="1167"/>
      <c r="VLV52" s="1167"/>
      <c r="VLW52" s="1167"/>
      <c r="VLX52" s="1167"/>
      <c r="VLY52" s="1167"/>
      <c r="VLZ52" s="1142"/>
      <c r="VMA52" s="1142"/>
      <c r="VMB52" s="1142"/>
      <c r="VMC52" s="1142"/>
      <c r="VMD52" s="1142"/>
      <c r="VME52" s="1142"/>
      <c r="VMF52" s="1142"/>
      <c r="VMG52" s="1142"/>
      <c r="VMH52" s="1142"/>
      <c r="VMI52" s="1142"/>
      <c r="VMJ52" s="1142"/>
      <c r="VMK52" s="1142"/>
      <c r="VML52" s="1142"/>
      <c r="VMM52" s="1142"/>
      <c r="VMN52" s="1142"/>
      <c r="VMO52" s="1142"/>
      <c r="VMP52" s="1142"/>
      <c r="VMQ52" s="1142"/>
      <c r="VMR52" s="1142"/>
      <c r="VMS52" s="1142"/>
      <c r="VMT52" s="1142"/>
      <c r="VMU52" s="1142"/>
      <c r="VMV52" s="1142"/>
      <c r="VMW52" s="1167"/>
      <c r="VMX52" s="1167"/>
      <c r="VMY52" s="1167"/>
      <c r="VMZ52" s="1167"/>
      <c r="VNA52" s="1167"/>
      <c r="VNB52" s="1167"/>
      <c r="VNC52" s="1167"/>
      <c r="VND52" s="1167"/>
      <c r="VNE52" s="1167"/>
      <c r="VNF52" s="1142"/>
      <c r="VNG52" s="1142"/>
      <c r="VNH52" s="1142"/>
      <c r="VNI52" s="1142"/>
      <c r="VNJ52" s="1142"/>
      <c r="VNK52" s="1142"/>
      <c r="VNL52" s="1142"/>
      <c r="VNM52" s="1142"/>
      <c r="VNN52" s="1142"/>
      <c r="VNO52" s="1142"/>
      <c r="VNP52" s="1142"/>
      <c r="VNQ52" s="1142"/>
      <c r="VNR52" s="1142"/>
      <c r="VNS52" s="1142"/>
      <c r="VNT52" s="1142"/>
      <c r="VNU52" s="1142"/>
      <c r="VNV52" s="1142"/>
      <c r="VNW52" s="1142"/>
      <c r="VNX52" s="1142"/>
      <c r="VNY52" s="1142"/>
      <c r="VNZ52" s="1142"/>
      <c r="VOA52" s="1142"/>
      <c r="VOB52" s="1142"/>
      <c r="VOC52" s="1167"/>
      <c r="VOD52" s="1167"/>
      <c r="VOE52" s="1167"/>
      <c r="VOF52" s="1167"/>
      <c r="VOG52" s="1167"/>
      <c r="VOH52" s="1167"/>
      <c r="VOI52" s="1167"/>
      <c r="VOJ52" s="1167"/>
      <c r="VOK52" s="1167"/>
      <c r="VOL52" s="1142"/>
      <c r="VOM52" s="1142"/>
      <c r="VON52" s="1142"/>
      <c r="VOO52" s="1142"/>
      <c r="VOP52" s="1142"/>
      <c r="VOQ52" s="1142"/>
      <c r="VOR52" s="1142"/>
      <c r="VOS52" s="1142"/>
      <c r="VOT52" s="1142"/>
      <c r="VOU52" s="1142"/>
      <c r="VOV52" s="1142"/>
      <c r="VOW52" s="1142"/>
      <c r="VOX52" s="1142"/>
      <c r="VOY52" s="1142"/>
      <c r="VOZ52" s="1142"/>
      <c r="VPA52" s="1142"/>
      <c r="VPB52" s="1142"/>
      <c r="VPC52" s="1142"/>
      <c r="VPD52" s="1142"/>
      <c r="VPE52" s="1142"/>
      <c r="VPF52" s="1142"/>
      <c r="VPG52" s="1142"/>
      <c r="VPH52" s="1142"/>
      <c r="VPI52" s="1167"/>
      <c r="VPJ52" s="1167"/>
      <c r="VPK52" s="1167"/>
      <c r="VPL52" s="1167"/>
      <c r="VPM52" s="1167"/>
      <c r="VPN52" s="1167"/>
      <c r="VPO52" s="1167"/>
      <c r="VPP52" s="1167"/>
      <c r="VPQ52" s="1167"/>
      <c r="VPR52" s="1142"/>
      <c r="VPS52" s="1142"/>
      <c r="VPT52" s="1142"/>
      <c r="VPU52" s="1142"/>
      <c r="VPV52" s="1142"/>
      <c r="VPW52" s="1142"/>
      <c r="VPX52" s="1142"/>
      <c r="VPY52" s="1142"/>
      <c r="VPZ52" s="1142"/>
      <c r="VQA52" s="1142"/>
      <c r="VQB52" s="1142"/>
      <c r="VQC52" s="1142"/>
      <c r="VQD52" s="1142"/>
      <c r="VQE52" s="1142"/>
      <c r="VQF52" s="1142"/>
      <c r="VQG52" s="1142"/>
      <c r="VQH52" s="1142"/>
      <c r="VQI52" s="1142"/>
      <c r="VQJ52" s="1142"/>
      <c r="VQK52" s="1142"/>
      <c r="VQL52" s="1142"/>
      <c r="VQM52" s="1142"/>
      <c r="VQN52" s="1142"/>
      <c r="VQO52" s="1167"/>
      <c r="VQP52" s="1167"/>
      <c r="VQQ52" s="1167"/>
      <c r="VQR52" s="1167"/>
      <c r="VQS52" s="1167"/>
      <c r="VQT52" s="1167"/>
      <c r="VQU52" s="1167"/>
      <c r="VQV52" s="1167"/>
      <c r="VQW52" s="1167"/>
      <c r="VQX52" s="1142"/>
      <c r="VQY52" s="1142"/>
      <c r="VQZ52" s="1142"/>
      <c r="VRA52" s="1142"/>
      <c r="VRB52" s="1142"/>
      <c r="VRC52" s="1142"/>
      <c r="VRD52" s="1142"/>
      <c r="VRE52" s="1142"/>
      <c r="VRF52" s="1142"/>
      <c r="VRG52" s="1142"/>
      <c r="VRH52" s="1142"/>
      <c r="VRI52" s="1142"/>
      <c r="VRJ52" s="1142"/>
      <c r="VRK52" s="1142"/>
      <c r="VRL52" s="1142"/>
      <c r="VRM52" s="1142"/>
      <c r="VRN52" s="1142"/>
      <c r="VRO52" s="1142"/>
      <c r="VRP52" s="1142"/>
      <c r="VRQ52" s="1142"/>
      <c r="VRR52" s="1142"/>
      <c r="VRS52" s="1142"/>
      <c r="VRT52" s="1142"/>
      <c r="VRU52" s="1167"/>
      <c r="VRV52" s="1167"/>
      <c r="VRW52" s="1167"/>
      <c r="VRX52" s="1167"/>
      <c r="VRY52" s="1167"/>
      <c r="VRZ52" s="1167"/>
      <c r="VSA52" s="1167"/>
      <c r="VSB52" s="1167"/>
      <c r="VSC52" s="1167"/>
      <c r="VSD52" s="1142"/>
      <c r="VSE52" s="1142"/>
      <c r="VSF52" s="1142"/>
      <c r="VSG52" s="1142"/>
      <c r="VSH52" s="1142"/>
      <c r="VSI52" s="1142"/>
      <c r="VSJ52" s="1142"/>
      <c r="VSK52" s="1142"/>
      <c r="VSL52" s="1142"/>
      <c r="VSM52" s="1142"/>
      <c r="VSN52" s="1142"/>
      <c r="VSO52" s="1142"/>
      <c r="VSP52" s="1142"/>
      <c r="VSQ52" s="1142"/>
      <c r="VSR52" s="1142"/>
      <c r="VSS52" s="1142"/>
      <c r="VST52" s="1142"/>
      <c r="VSU52" s="1142"/>
      <c r="VSV52" s="1142"/>
      <c r="VSW52" s="1142"/>
      <c r="VSX52" s="1142"/>
      <c r="VSY52" s="1142"/>
      <c r="VSZ52" s="1142"/>
      <c r="VTA52" s="1167"/>
      <c r="VTB52" s="1167"/>
      <c r="VTC52" s="1167"/>
      <c r="VTD52" s="1167"/>
      <c r="VTE52" s="1167"/>
      <c r="VTF52" s="1167"/>
      <c r="VTG52" s="1167"/>
      <c r="VTH52" s="1167"/>
      <c r="VTI52" s="1167"/>
      <c r="VTJ52" s="1142"/>
      <c r="VTK52" s="1142"/>
      <c r="VTL52" s="1142"/>
      <c r="VTM52" s="1142"/>
      <c r="VTN52" s="1142"/>
      <c r="VTO52" s="1142"/>
      <c r="VTP52" s="1142"/>
      <c r="VTQ52" s="1142"/>
      <c r="VTR52" s="1142"/>
      <c r="VTS52" s="1142"/>
      <c r="VTT52" s="1142"/>
      <c r="VTU52" s="1142"/>
      <c r="VTV52" s="1142"/>
      <c r="VTW52" s="1142"/>
      <c r="VTX52" s="1142"/>
      <c r="VTY52" s="1142"/>
      <c r="VTZ52" s="1142"/>
      <c r="VUA52" s="1142"/>
      <c r="VUB52" s="1142"/>
      <c r="VUC52" s="1142"/>
      <c r="VUD52" s="1142"/>
      <c r="VUE52" s="1142"/>
      <c r="VUF52" s="1142"/>
      <c r="VUG52" s="1167"/>
      <c r="VUH52" s="1167"/>
      <c r="VUI52" s="1167"/>
      <c r="VUJ52" s="1167"/>
      <c r="VUK52" s="1167"/>
      <c r="VUL52" s="1167"/>
      <c r="VUM52" s="1167"/>
      <c r="VUN52" s="1167"/>
      <c r="VUO52" s="1167"/>
      <c r="VUP52" s="1142"/>
      <c r="VUQ52" s="1142"/>
      <c r="VUR52" s="1142"/>
      <c r="VUS52" s="1142"/>
      <c r="VUT52" s="1142"/>
      <c r="VUU52" s="1142"/>
      <c r="VUV52" s="1142"/>
      <c r="VUW52" s="1142"/>
      <c r="VUX52" s="1142"/>
      <c r="VUY52" s="1142"/>
      <c r="VUZ52" s="1142"/>
      <c r="VVA52" s="1142"/>
      <c r="VVB52" s="1142"/>
      <c r="VVC52" s="1142"/>
      <c r="VVD52" s="1142"/>
      <c r="VVE52" s="1142"/>
      <c r="VVF52" s="1142"/>
      <c r="VVG52" s="1142"/>
      <c r="VVH52" s="1142"/>
      <c r="VVI52" s="1142"/>
      <c r="VVJ52" s="1142"/>
      <c r="VVK52" s="1142"/>
      <c r="VVL52" s="1142"/>
      <c r="VVM52" s="1167"/>
      <c r="VVN52" s="1167"/>
      <c r="VVO52" s="1167"/>
      <c r="VVP52" s="1167"/>
      <c r="VVQ52" s="1167"/>
      <c r="VVR52" s="1167"/>
      <c r="VVS52" s="1167"/>
      <c r="VVT52" s="1167"/>
      <c r="VVU52" s="1167"/>
      <c r="VVV52" s="1142"/>
      <c r="VVW52" s="1142"/>
      <c r="VVX52" s="1142"/>
      <c r="VVY52" s="1142"/>
      <c r="VVZ52" s="1142"/>
      <c r="VWA52" s="1142"/>
      <c r="VWB52" s="1142"/>
      <c r="VWC52" s="1142"/>
      <c r="VWD52" s="1142"/>
      <c r="VWE52" s="1142"/>
      <c r="VWF52" s="1142"/>
      <c r="VWG52" s="1142"/>
      <c r="VWH52" s="1142"/>
      <c r="VWI52" s="1142"/>
      <c r="VWJ52" s="1142"/>
      <c r="VWK52" s="1142"/>
      <c r="VWL52" s="1142"/>
      <c r="VWM52" s="1142"/>
      <c r="VWN52" s="1142"/>
      <c r="VWO52" s="1142"/>
      <c r="VWP52" s="1142"/>
      <c r="VWQ52" s="1142"/>
      <c r="VWR52" s="1142"/>
      <c r="VWS52" s="1167"/>
      <c r="VWT52" s="1167"/>
      <c r="VWU52" s="1167"/>
      <c r="VWV52" s="1167"/>
      <c r="VWW52" s="1167"/>
      <c r="VWX52" s="1167"/>
      <c r="VWY52" s="1167"/>
      <c r="VWZ52" s="1167"/>
      <c r="VXA52" s="1167"/>
      <c r="VXB52" s="1142"/>
      <c r="VXC52" s="1142"/>
      <c r="VXD52" s="1142"/>
      <c r="VXE52" s="1142"/>
      <c r="VXF52" s="1142"/>
      <c r="VXG52" s="1142"/>
      <c r="VXH52" s="1142"/>
      <c r="VXI52" s="1142"/>
      <c r="VXJ52" s="1142"/>
      <c r="VXK52" s="1142"/>
      <c r="VXL52" s="1142"/>
      <c r="VXM52" s="1142"/>
      <c r="VXN52" s="1142"/>
      <c r="VXO52" s="1142"/>
      <c r="VXP52" s="1142"/>
      <c r="VXQ52" s="1142"/>
      <c r="VXR52" s="1142"/>
      <c r="VXS52" s="1142"/>
      <c r="VXT52" s="1142"/>
      <c r="VXU52" s="1142"/>
      <c r="VXV52" s="1142"/>
      <c r="VXW52" s="1142"/>
      <c r="VXX52" s="1142"/>
      <c r="VXY52" s="1167"/>
      <c r="VXZ52" s="1167"/>
      <c r="VYA52" s="1167"/>
      <c r="VYB52" s="1167"/>
      <c r="VYC52" s="1167"/>
      <c r="VYD52" s="1167"/>
      <c r="VYE52" s="1167"/>
      <c r="VYF52" s="1167"/>
      <c r="VYG52" s="1167"/>
      <c r="VYH52" s="1142"/>
      <c r="VYI52" s="1142"/>
      <c r="VYJ52" s="1142"/>
      <c r="VYK52" s="1142"/>
      <c r="VYL52" s="1142"/>
      <c r="VYM52" s="1142"/>
      <c r="VYN52" s="1142"/>
      <c r="VYO52" s="1142"/>
      <c r="VYP52" s="1142"/>
      <c r="VYQ52" s="1142"/>
      <c r="VYR52" s="1142"/>
      <c r="VYS52" s="1142"/>
      <c r="VYT52" s="1142"/>
      <c r="VYU52" s="1142"/>
      <c r="VYV52" s="1142"/>
      <c r="VYW52" s="1142"/>
      <c r="VYX52" s="1142"/>
      <c r="VYY52" s="1142"/>
      <c r="VYZ52" s="1142"/>
      <c r="VZA52" s="1142"/>
      <c r="VZB52" s="1142"/>
      <c r="VZC52" s="1142"/>
      <c r="VZD52" s="1142"/>
      <c r="VZE52" s="1167"/>
      <c r="VZF52" s="1167"/>
      <c r="VZG52" s="1167"/>
      <c r="VZH52" s="1167"/>
      <c r="VZI52" s="1167"/>
      <c r="VZJ52" s="1167"/>
      <c r="VZK52" s="1167"/>
      <c r="VZL52" s="1167"/>
      <c r="VZM52" s="1167"/>
      <c r="VZN52" s="1142"/>
      <c r="VZO52" s="1142"/>
      <c r="VZP52" s="1142"/>
      <c r="VZQ52" s="1142"/>
      <c r="VZR52" s="1142"/>
      <c r="VZS52" s="1142"/>
      <c r="VZT52" s="1142"/>
      <c r="VZU52" s="1142"/>
      <c r="VZV52" s="1142"/>
      <c r="VZW52" s="1142"/>
      <c r="VZX52" s="1142"/>
      <c r="VZY52" s="1142"/>
      <c r="VZZ52" s="1142"/>
      <c r="WAA52" s="1142"/>
      <c r="WAB52" s="1142"/>
      <c r="WAC52" s="1142"/>
      <c r="WAD52" s="1142"/>
      <c r="WAE52" s="1142"/>
      <c r="WAF52" s="1142"/>
      <c r="WAG52" s="1142"/>
      <c r="WAH52" s="1142"/>
      <c r="WAI52" s="1142"/>
      <c r="WAJ52" s="1142"/>
      <c r="WAK52" s="1167"/>
      <c r="WAL52" s="1167"/>
      <c r="WAM52" s="1167"/>
      <c r="WAN52" s="1167"/>
      <c r="WAO52" s="1167"/>
      <c r="WAP52" s="1167"/>
      <c r="WAQ52" s="1167"/>
      <c r="WAR52" s="1167"/>
      <c r="WAS52" s="1167"/>
      <c r="WAT52" s="1142"/>
      <c r="WAU52" s="1142"/>
      <c r="WAV52" s="1142"/>
      <c r="WAW52" s="1142"/>
      <c r="WAX52" s="1142"/>
      <c r="WAY52" s="1142"/>
      <c r="WAZ52" s="1142"/>
      <c r="WBA52" s="1142"/>
      <c r="WBB52" s="1142"/>
      <c r="WBC52" s="1142"/>
      <c r="WBD52" s="1142"/>
      <c r="WBE52" s="1142"/>
      <c r="WBF52" s="1142"/>
      <c r="WBG52" s="1142"/>
      <c r="WBH52" s="1142"/>
      <c r="WBI52" s="1142"/>
      <c r="WBJ52" s="1142"/>
      <c r="WBK52" s="1142"/>
      <c r="WBL52" s="1142"/>
      <c r="WBM52" s="1142"/>
      <c r="WBN52" s="1142"/>
      <c r="WBO52" s="1142"/>
      <c r="WBP52" s="1142"/>
      <c r="WBQ52" s="1167"/>
      <c r="WBR52" s="1167"/>
      <c r="WBS52" s="1167"/>
      <c r="WBT52" s="1167"/>
      <c r="WBU52" s="1167"/>
      <c r="WBV52" s="1167"/>
      <c r="WBW52" s="1167"/>
      <c r="WBX52" s="1167"/>
      <c r="WBY52" s="1167"/>
      <c r="WBZ52" s="1142"/>
      <c r="WCA52" s="1142"/>
      <c r="WCB52" s="1142"/>
      <c r="WCC52" s="1142"/>
      <c r="WCD52" s="1142"/>
      <c r="WCE52" s="1142"/>
      <c r="WCF52" s="1142"/>
      <c r="WCG52" s="1142"/>
      <c r="WCH52" s="1142"/>
      <c r="WCI52" s="1142"/>
      <c r="WCJ52" s="1142"/>
      <c r="WCK52" s="1142"/>
      <c r="WCL52" s="1142"/>
      <c r="WCM52" s="1142"/>
      <c r="WCN52" s="1142"/>
      <c r="WCO52" s="1142"/>
      <c r="WCP52" s="1142"/>
      <c r="WCQ52" s="1142"/>
      <c r="WCR52" s="1142"/>
      <c r="WCS52" s="1142"/>
      <c r="WCT52" s="1142"/>
      <c r="WCU52" s="1142"/>
      <c r="WCV52" s="1142"/>
      <c r="WCW52" s="1167"/>
      <c r="WCX52" s="1167"/>
      <c r="WCY52" s="1167"/>
      <c r="WCZ52" s="1167"/>
      <c r="WDA52" s="1167"/>
      <c r="WDB52" s="1167"/>
      <c r="WDC52" s="1167"/>
      <c r="WDD52" s="1167"/>
      <c r="WDE52" s="1167"/>
      <c r="WDF52" s="1142"/>
      <c r="WDG52" s="1142"/>
      <c r="WDH52" s="1142"/>
      <c r="WDI52" s="1142"/>
      <c r="WDJ52" s="1142"/>
      <c r="WDK52" s="1142"/>
      <c r="WDL52" s="1142"/>
      <c r="WDM52" s="1142"/>
      <c r="WDN52" s="1142"/>
      <c r="WDO52" s="1142"/>
      <c r="WDP52" s="1142"/>
      <c r="WDQ52" s="1142"/>
      <c r="WDR52" s="1142"/>
      <c r="WDS52" s="1142"/>
      <c r="WDT52" s="1142"/>
      <c r="WDU52" s="1142"/>
      <c r="WDV52" s="1142"/>
      <c r="WDW52" s="1142"/>
      <c r="WDX52" s="1142"/>
      <c r="WDY52" s="1142"/>
      <c r="WDZ52" s="1142"/>
      <c r="WEA52" s="1142"/>
      <c r="WEB52" s="1142"/>
      <c r="WEC52" s="1167"/>
      <c r="WED52" s="1167"/>
      <c r="WEE52" s="1167"/>
      <c r="WEF52" s="1167"/>
      <c r="WEG52" s="1167"/>
      <c r="WEH52" s="1167"/>
      <c r="WEI52" s="1167"/>
      <c r="WEJ52" s="1167"/>
      <c r="WEK52" s="1167"/>
      <c r="WEL52" s="1142"/>
      <c r="WEM52" s="1142"/>
      <c r="WEN52" s="1142"/>
      <c r="WEO52" s="1142"/>
      <c r="WEP52" s="1142"/>
      <c r="WEQ52" s="1142"/>
      <c r="WER52" s="1142"/>
      <c r="WES52" s="1142"/>
      <c r="WET52" s="1142"/>
      <c r="WEU52" s="1142"/>
      <c r="WEV52" s="1142"/>
      <c r="WEW52" s="1142"/>
      <c r="WEX52" s="1142"/>
      <c r="WEY52" s="1142"/>
      <c r="WEZ52" s="1142"/>
      <c r="WFA52" s="1142"/>
      <c r="WFB52" s="1142"/>
      <c r="WFC52" s="1142"/>
      <c r="WFD52" s="1142"/>
      <c r="WFE52" s="1142"/>
      <c r="WFF52" s="1142"/>
      <c r="WFG52" s="1142"/>
      <c r="WFH52" s="1142"/>
      <c r="WFI52" s="1167"/>
      <c r="WFJ52" s="1167"/>
      <c r="WFK52" s="1167"/>
      <c r="WFL52" s="1167"/>
      <c r="WFM52" s="1167"/>
      <c r="WFN52" s="1167"/>
      <c r="WFO52" s="1167"/>
      <c r="WFP52" s="1167"/>
      <c r="WFQ52" s="1167"/>
      <c r="WFR52" s="1142"/>
      <c r="WFS52" s="1142"/>
      <c r="WFT52" s="1142"/>
      <c r="WFU52" s="1142"/>
      <c r="WFV52" s="1142"/>
      <c r="WFW52" s="1142"/>
      <c r="WFX52" s="1142"/>
      <c r="WFY52" s="1142"/>
      <c r="WFZ52" s="1142"/>
      <c r="WGA52" s="1142"/>
      <c r="WGB52" s="1142"/>
      <c r="WGC52" s="1142"/>
      <c r="WGD52" s="1142"/>
      <c r="WGE52" s="1142"/>
      <c r="WGF52" s="1142"/>
      <c r="WGG52" s="1142"/>
      <c r="WGH52" s="1142"/>
      <c r="WGI52" s="1142"/>
      <c r="WGJ52" s="1142"/>
      <c r="WGK52" s="1142"/>
      <c r="WGL52" s="1142"/>
      <c r="WGM52" s="1142"/>
      <c r="WGN52" s="1142"/>
      <c r="WGO52" s="1167"/>
      <c r="WGP52" s="1167"/>
      <c r="WGQ52" s="1167"/>
      <c r="WGR52" s="1167"/>
      <c r="WGS52" s="1167"/>
      <c r="WGT52" s="1167"/>
      <c r="WGU52" s="1167"/>
      <c r="WGV52" s="1167"/>
      <c r="WGW52" s="1167"/>
      <c r="WGX52" s="1142"/>
      <c r="WGY52" s="1142"/>
      <c r="WGZ52" s="1142"/>
      <c r="WHA52" s="1142"/>
      <c r="WHB52" s="1142"/>
      <c r="WHC52" s="1142"/>
      <c r="WHD52" s="1142"/>
      <c r="WHE52" s="1142"/>
      <c r="WHF52" s="1142"/>
      <c r="WHG52" s="1142"/>
      <c r="WHH52" s="1142"/>
      <c r="WHI52" s="1142"/>
      <c r="WHJ52" s="1142"/>
      <c r="WHK52" s="1142"/>
      <c r="WHL52" s="1142"/>
      <c r="WHM52" s="1142"/>
      <c r="WHN52" s="1142"/>
      <c r="WHO52" s="1142"/>
      <c r="WHP52" s="1142"/>
      <c r="WHQ52" s="1142"/>
      <c r="WHR52" s="1142"/>
      <c r="WHS52" s="1142"/>
      <c r="WHT52" s="1142"/>
      <c r="WHU52" s="1167"/>
      <c r="WHV52" s="1167"/>
      <c r="WHW52" s="1167"/>
      <c r="WHX52" s="1167"/>
      <c r="WHY52" s="1167"/>
      <c r="WHZ52" s="1167"/>
      <c r="WIA52" s="1167"/>
      <c r="WIB52" s="1167"/>
      <c r="WIC52" s="1167"/>
      <c r="WID52" s="1142"/>
      <c r="WIE52" s="1142"/>
      <c r="WIF52" s="1142"/>
      <c r="WIG52" s="1142"/>
      <c r="WIH52" s="1142"/>
      <c r="WII52" s="1142"/>
      <c r="WIJ52" s="1142"/>
      <c r="WIK52" s="1142"/>
      <c r="WIL52" s="1142"/>
      <c r="WIM52" s="1142"/>
      <c r="WIN52" s="1142"/>
      <c r="WIO52" s="1142"/>
      <c r="WIP52" s="1142"/>
      <c r="WIQ52" s="1142"/>
      <c r="WIR52" s="1142"/>
      <c r="WIS52" s="1142"/>
      <c r="WIT52" s="1142"/>
      <c r="WIU52" s="1142"/>
      <c r="WIV52" s="1142"/>
      <c r="WIW52" s="1142"/>
      <c r="WIX52" s="1142"/>
      <c r="WIY52" s="1142"/>
      <c r="WIZ52" s="1142"/>
      <c r="WJA52" s="1167"/>
      <c r="WJB52" s="1167"/>
      <c r="WJC52" s="1167"/>
      <c r="WJD52" s="1167"/>
      <c r="WJE52" s="1167"/>
      <c r="WJF52" s="1167"/>
      <c r="WJG52" s="1167"/>
      <c r="WJH52" s="1167"/>
      <c r="WJI52" s="1167"/>
      <c r="WJJ52" s="1142"/>
      <c r="WJK52" s="1142"/>
      <c r="WJL52" s="1142"/>
      <c r="WJM52" s="1142"/>
      <c r="WJN52" s="1142"/>
      <c r="WJO52" s="1142"/>
      <c r="WJP52" s="1142"/>
      <c r="WJQ52" s="1142"/>
      <c r="WJR52" s="1142"/>
      <c r="WJS52" s="1142"/>
      <c r="WJT52" s="1142"/>
      <c r="WJU52" s="1142"/>
      <c r="WJV52" s="1142"/>
      <c r="WJW52" s="1142"/>
      <c r="WJX52" s="1142"/>
      <c r="WJY52" s="1142"/>
      <c r="WJZ52" s="1142"/>
      <c r="WKA52" s="1142"/>
      <c r="WKB52" s="1142"/>
      <c r="WKC52" s="1142"/>
      <c r="WKD52" s="1142"/>
      <c r="WKE52" s="1142"/>
      <c r="WKF52" s="1142"/>
      <c r="WKG52" s="1167"/>
      <c r="WKH52" s="1167"/>
      <c r="WKI52" s="1167"/>
      <c r="WKJ52" s="1167"/>
      <c r="WKK52" s="1167"/>
      <c r="WKL52" s="1167"/>
      <c r="WKM52" s="1167"/>
      <c r="WKN52" s="1167"/>
      <c r="WKO52" s="1167"/>
      <c r="WKP52" s="1142"/>
      <c r="WKQ52" s="1142"/>
      <c r="WKR52" s="1142"/>
      <c r="WKS52" s="1142"/>
      <c r="WKT52" s="1142"/>
      <c r="WKU52" s="1142"/>
      <c r="WKV52" s="1142"/>
      <c r="WKW52" s="1142"/>
      <c r="WKX52" s="1142"/>
      <c r="WKY52" s="1142"/>
      <c r="WKZ52" s="1142"/>
      <c r="WLA52" s="1142"/>
      <c r="WLB52" s="1142"/>
      <c r="WLC52" s="1142"/>
      <c r="WLD52" s="1142"/>
      <c r="WLE52" s="1142"/>
      <c r="WLF52" s="1142"/>
      <c r="WLG52" s="1142"/>
      <c r="WLH52" s="1142"/>
      <c r="WLI52" s="1142"/>
      <c r="WLJ52" s="1142"/>
      <c r="WLK52" s="1142"/>
      <c r="WLL52" s="1142"/>
      <c r="WLM52" s="1167"/>
      <c r="WLN52" s="1167"/>
      <c r="WLO52" s="1167"/>
      <c r="WLP52" s="1167"/>
      <c r="WLQ52" s="1167"/>
      <c r="WLR52" s="1167"/>
      <c r="WLS52" s="1167"/>
      <c r="WLT52" s="1167"/>
      <c r="WLU52" s="1167"/>
      <c r="WLV52" s="1142"/>
      <c r="WLW52" s="1142"/>
      <c r="WLX52" s="1142"/>
      <c r="WLY52" s="1142"/>
      <c r="WLZ52" s="1142"/>
      <c r="WMA52" s="1142"/>
      <c r="WMB52" s="1142"/>
      <c r="WMC52" s="1142"/>
      <c r="WMD52" s="1142"/>
      <c r="WME52" s="1142"/>
      <c r="WMF52" s="1142"/>
      <c r="WMG52" s="1142"/>
      <c r="WMH52" s="1142"/>
      <c r="WMI52" s="1142"/>
      <c r="WMJ52" s="1142"/>
      <c r="WMK52" s="1142"/>
      <c r="WML52" s="1142"/>
      <c r="WMM52" s="1142"/>
      <c r="WMN52" s="1142"/>
      <c r="WMO52" s="1142"/>
      <c r="WMP52" s="1142"/>
      <c r="WMQ52" s="1142"/>
      <c r="WMR52" s="1142"/>
      <c r="WMS52" s="1167"/>
      <c r="WMT52" s="1167"/>
      <c r="WMU52" s="1167"/>
      <c r="WMV52" s="1167"/>
      <c r="WMW52" s="1167"/>
      <c r="WMX52" s="1167"/>
      <c r="WMY52" s="1167"/>
      <c r="WMZ52" s="1167"/>
      <c r="WNA52" s="1167"/>
      <c r="WNB52" s="1142"/>
      <c r="WNC52" s="1142"/>
      <c r="WND52" s="1142"/>
      <c r="WNE52" s="1142"/>
      <c r="WNF52" s="1142"/>
      <c r="WNG52" s="1142"/>
      <c r="WNH52" s="1142"/>
      <c r="WNI52" s="1142"/>
      <c r="WNJ52" s="1142"/>
      <c r="WNK52" s="1142"/>
      <c r="WNL52" s="1142"/>
      <c r="WNM52" s="1142"/>
      <c r="WNN52" s="1142"/>
      <c r="WNO52" s="1142"/>
      <c r="WNP52" s="1142"/>
      <c r="WNQ52" s="1142"/>
      <c r="WNR52" s="1142"/>
      <c r="WNS52" s="1142"/>
      <c r="WNT52" s="1142"/>
      <c r="WNU52" s="1142"/>
      <c r="WNV52" s="1142"/>
      <c r="WNW52" s="1142"/>
      <c r="WNX52" s="1142"/>
      <c r="WNY52" s="1167"/>
      <c r="WNZ52" s="1167"/>
      <c r="WOA52" s="1167"/>
      <c r="WOB52" s="1167"/>
      <c r="WOC52" s="1167"/>
      <c r="WOD52" s="1167"/>
      <c r="WOE52" s="1167"/>
      <c r="WOF52" s="1167"/>
      <c r="WOG52" s="1167"/>
      <c r="WOH52" s="1142"/>
      <c r="WOI52" s="1142"/>
      <c r="WOJ52" s="1142"/>
      <c r="WOK52" s="1142"/>
      <c r="WOL52" s="1142"/>
      <c r="WOM52" s="1142"/>
      <c r="WON52" s="1142"/>
      <c r="WOO52" s="1142"/>
      <c r="WOP52" s="1142"/>
      <c r="WOQ52" s="1142"/>
      <c r="WOR52" s="1142"/>
      <c r="WOS52" s="1142"/>
      <c r="WOT52" s="1142"/>
      <c r="WOU52" s="1142"/>
      <c r="WOV52" s="1142"/>
      <c r="WOW52" s="1142"/>
      <c r="WOX52" s="1142"/>
      <c r="WOY52" s="1142"/>
      <c r="WOZ52" s="1142"/>
      <c r="WPA52" s="1142"/>
      <c r="WPB52" s="1142"/>
      <c r="WPC52" s="1142"/>
      <c r="WPD52" s="1142"/>
      <c r="WPE52" s="1167"/>
      <c r="WPF52" s="1167"/>
      <c r="WPG52" s="1167"/>
      <c r="WPH52" s="1167"/>
      <c r="WPI52" s="1167"/>
      <c r="WPJ52" s="1167"/>
      <c r="WPK52" s="1167"/>
      <c r="WPL52" s="1167"/>
      <c r="WPM52" s="1167"/>
      <c r="WPN52" s="1142"/>
      <c r="WPO52" s="1142"/>
      <c r="WPP52" s="1142"/>
      <c r="WPQ52" s="1142"/>
      <c r="WPR52" s="1142"/>
      <c r="WPS52" s="1142"/>
      <c r="WPT52" s="1142"/>
      <c r="WPU52" s="1142"/>
      <c r="WPV52" s="1142"/>
      <c r="WPW52" s="1142"/>
      <c r="WPX52" s="1142"/>
      <c r="WPY52" s="1142"/>
      <c r="WPZ52" s="1142"/>
      <c r="WQA52" s="1142"/>
      <c r="WQB52" s="1142"/>
      <c r="WQC52" s="1142"/>
      <c r="WQD52" s="1142"/>
      <c r="WQE52" s="1142"/>
      <c r="WQF52" s="1142"/>
      <c r="WQG52" s="1142"/>
      <c r="WQH52" s="1142"/>
      <c r="WQI52" s="1142"/>
      <c r="WQJ52" s="1142"/>
      <c r="WQK52" s="1167"/>
      <c r="WQL52" s="1167"/>
      <c r="WQM52" s="1167"/>
      <c r="WQN52" s="1167"/>
      <c r="WQO52" s="1167"/>
      <c r="WQP52" s="1167"/>
      <c r="WQQ52" s="1167"/>
      <c r="WQR52" s="1167"/>
      <c r="WQS52" s="1167"/>
      <c r="WQT52" s="1142"/>
      <c r="WQU52" s="1142"/>
      <c r="WQV52" s="1142"/>
      <c r="WQW52" s="1142"/>
      <c r="WQX52" s="1142"/>
      <c r="WQY52" s="1142"/>
      <c r="WQZ52" s="1142"/>
      <c r="WRA52" s="1142"/>
      <c r="WRB52" s="1142"/>
      <c r="WRC52" s="1142"/>
      <c r="WRD52" s="1142"/>
      <c r="WRE52" s="1142"/>
      <c r="WRF52" s="1142"/>
      <c r="WRG52" s="1142"/>
      <c r="WRH52" s="1142"/>
      <c r="WRI52" s="1142"/>
      <c r="WRJ52" s="1142"/>
      <c r="WRK52" s="1142"/>
      <c r="WRL52" s="1142"/>
      <c r="WRM52" s="1142"/>
      <c r="WRN52" s="1142"/>
      <c r="WRO52" s="1142"/>
      <c r="WRP52" s="1142"/>
      <c r="WRQ52" s="1167"/>
      <c r="WRR52" s="1167"/>
      <c r="WRS52" s="1167"/>
      <c r="WRT52" s="1167"/>
      <c r="WRU52" s="1167"/>
      <c r="WRV52" s="1167"/>
      <c r="WRW52" s="1167"/>
      <c r="WRX52" s="1167"/>
      <c r="WRY52" s="1167"/>
      <c r="WRZ52" s="1142"/>
      <c r="WSA52" s="1142"/>
      <c r="WSB52" s="1142"/>
      <c r="WSC52" s="1142"/>
      <c r="WSD52" s="1142"/>
      <c r="WSE52" s="1142"/>
      <c r="WSF52" s="1142"/>
      <c r="WSG52" s="1142"/>
      <c r="WSH52" s="1142"/>
      <c r="WSI52" s="1142"/>
      <c r="WSJ52" s="1142"/>
      <c r="WSK52" s="1142"/>
      <c r="WSL52" s="1142"/>
      <c r="WSM52" s="1142"/>
      <c r="WSN52" s="1142"/>
      <c r="WSO52" s="1142"/>
      <c r="WSP52" s="1142"/>
      <c r="WSQ52" s="1142"/>
      <c r="WSR52" s="1142"/>
      <c r="WSS52" s="1142"/>
      <c r="WST52" s="1142"/>
      <c r="WSU52" s="1142"/>
      <c r="WSV52" s="1142"/>
      <c r="WSW52" s="1167"/>
      <c r="WSX52" s="1167"/>
      <c r="WSY52" s="1167"/>
      <c r="WSZ52" s="1167"/>
      <c r="WTA52" s="1167"/>
      <c r="WTB52" s="1167"/>
      <c r="WTC52" s="1167"/>
      <c r="WTD52" s="1167"/>
      <c r="WTE52" s="1167"/>
      <c r="WTF52" s="1142"/>
      <c r="WTG52" s="1142"/>
      <c r="WTH52" s="1142"/>
      <c r="WTI52" s="1142"/>
      <c r="WTJ52" s="1142"/>
      <c r="WTK52" s="1142"/>
      <c r="WTL52" s="1142"/>
      <c r="WTM52" s="1142"/>
      <c r="WTN52" s="1142"/>
      <c r="WTO52" s="1142"/>
      <c r="WTP52" s="1142"/>
      <c r="WTQ52" s="1142"/>
      <c r="WTR52" s="1142"/>
      <c r="WTS52" s="1142"/>
      <c r="WTT52" s="1142"/>
      <c r="WTU52" s="1142"/>
      <c r="WTV52" s="1142"/>
      <c r="WTW52" s="1142"/>
      <c r="WTX52" s="1142"/>
      <c r="WTY52" s="1142"/>
      <c r="WTZ52" s="1142"/>
      <c r="WUA52" s="1142"/>
      <c r="WUB52" s="1142"/>
      <c r="WUC52" s="1167"/>
      <c r="WUD52" s="1167"/>
      <c r="WUE52" s="1167"/>
      <c r="WUF52" s="1167"/>
      <c r="WUG52" s="1167"/>
      <c r="WUH52" s="1167"/>
      <c r="WUI52" s="1167"/>
      <c r="WUJ52" s="1167"/>
      <c r="WUK52" s="1167"/>
      <c r="WUL52" s="1142"/>
      <c r="WUM52" s="1142"/>
      <c r="WUN52" s="1142"/>
      <c r="WUO52" s="1142"/>
      <c r="WUP52" s="1142"/>
      <c r="WUQ52" s="1142"/>
      <c r="WUR52" s="1142"/>
      <c r="WUS52" s="1142"/>
      <c r="WUT52" s="1142"/>
      <c r="WUU52" s="1142"/>
      <c r="WUV52" s="1142"/>
      <c r="WUW52" s="1142"/>
      <c r="WUX52" s="1142"/>
      <c r="WUY52" s="1142"/>
      <c r="WUZ52" s="1142"/>
      <c r="WVA52" s="1142"/>
      <c r="WVB52" s="1142"/>
      <c r="WVC52" s="1142"/>
      <c r="WVD52" s="1142"/>
      <c r="WVE52" s="1142"/>
      <c r="WVF52" s="1142"/>
      <c r="WVG52" s="1142"/>
      <c r="WVH52" s="1142"/>
      <c r="WVI52" s="1167"/>
      <c r="WVJ52" s="1167"/>
      <c r="WVK52" s="1167"/>
      <c r="WVL52" s="1167"/>
      <c r="WVM52" s="1167"/>
      <c r="WVN52" s="1167"/>
      <c r="WVO52" s="1167"/>
      <c r="WVP52" s="1167"/>
      <c r="WVQ52" s="1167"/>
      <c r="WVR52" s="1142"/>
      <c r="WVS52" s="1142"/>
      <c r="WVT52" s="1142"/>
      <c r="WVU52" s="1142"/>
      <c r="WVV52" s="1142"/>
      <c r="WVW52" s="1142"/>
      <c r="WVX52" s="1142"/>
      <c r="WVY52" s="1142"/>
      <c r="WVZ52" s="1142"/>
      <c r="WWA52" s="1142"/>
      <c r="WWB52" s="1142"/>
      <c r="WWC52" s="1142"/>
      <c r="WWD52" s="1142"/>
      <c r="WWE52" s="1142"/>
      <c r="WWF52" s="1142"/>
      <c r="WWG52" s="1142"/>
      <c r="WWH52" s="1142"/>
      <c r="WWI52" s="1142"/>
      <c r="WWJ52" s="1142"/>
      <c r="WWK52" s="1142"/>
      <c r="WWL52" s="1142"/>
      <c r="WWM52" s="1142"/>
      <c r="WWN52" s="1142"/>
      <c r="WWO52" s="1167"/>
      <c r="WWP52" s="1167"/>
      <c r="WWQ52" s="1167"/>
      <c r="WWR52" s="1167"/>
      <c r="WWS52" s="1167"/>
      <c r="WWT52" s="1167"/>
      <c r="WWU52" s="1167"/>
      <c r="WWV52" s="1167"/>
      <c r="WWW52" s="1167"/>
      <c r="WWX52" s="1142"/>
      <c r="WWY52" s="1142"/>
      <c r="WWZ52" s="1142"/>
      <c r="WXA52" s="1142"/>
      <c r="WXB52" s="1142"/>
      <c r="WXC52" s="1142"/>
      <c r="WXD52" s="1142"/>
      <c r="WXE52" s="1142"/>
      <c r="WXF52" s="1142"/>
      <c r="WXG52" s="1142"/>
      <c r="WXH52" s="1142"/>
      <c r="WXI52" s="1142"/>
      <c r="WXJ52" s="1142"/>
      <c r="WXK52" s="1142"/>
      <c r="WXL52" s="1142"/>
      <c r="WXM52" s="1142"/>
      <c r="WXN52" s="1142"/>
      <c r="WXO52" s="1142"/>
      <c r="WXP52" s="1142"/>
      <c r="WXQ52" s="1142"/>
      <c r="WXR52" s="1142"/>
      <c r="WXS52" s="1142"/>
      <c r="WXT52" s="1142"/>
      <c r="WXU52" s="1167"/>
      <c r="WXV52" s="1167"/>
      <c r="WXW52" s="1167"/>
      <c r="WXX52" s="1167"/>
      <c r="WXY52" s="1167"/>
      <c r="WXZ52" s="1167"/>
      <c r="WYA52" s="1167"/>
      <c r="WYB52" s="1167"/>
      <c r="WYC52" s="1167"/>
      <c r="WYD52" s="1142"/>
      <c r="WYE52" s="1142"/>
      <c r="WYF52" s="1142"/>
      <c r="WYG52" s="1142"/>
      <c r="WYH52" s="1142"/>
      <c r="WYI52" s="1142"/>
      <c r="WYJ52" s="1142"/>
      <c r="WYK52" s="1142"/>
      <c r="WYL52" s="1142"/>
      <c r="WYM52" s="1142"/>
      <c r="WYN52" s="1142"/>
      <c r="WYO52" s="1142"/>
      <c r="WYP52" s="1142"/>
      <c r="WYQ52" s="1142"/>
      <c r="WYR52" s="1142"/>
      <c r="WYS52" s="1142"/>
      <c r="WYT52" s="1142"/>
      <c r="WYU52" s="1142"/>
      <c r="WYV52" s="1142"/>
      <c r="WYW52" s="1142"/>
      <c r="WYX52" s="1142"/>
      <c r="WYY52" s="1142"/>
      <c r="WYZ52" s="1142"/>
      <c r="WZA52" s="1167"/>
      <c r="WZB52" s="1167"/>
      <c r="WZC52" s="1167"/>
      <c r="WZD52" s="1167"/>
      <c r="WZE52" s="1167"/>
      <c r="WZF52" s="1167"/>
      <c r="WZG52" s="1167"/>
      <c r="WZH52" s="1167"/>
      <c r="WZI52" s="1167"/>
      <c r="WZJ52" s="1142"/>
      <c r="WZK52" s="1142"/>
      <c r="WZL52" s="1142"/>
      <c r="WZM52" s="1142"/>
      <c r="WZN52" s="1142"/>
      <c r="WZO52" s="1142"/>
      <c r="WZP52" s="1142"/>
      <c r="WZQ52" s="1142"/>
      <c r="WZR52" s="1142"/>
      <c r="WZS52" s="1142"/>
      <c r="WZT52" s="1142"/>
      <c r="WZU52" s="1142"/>
      <c r="WZV52" s="1142"/>
      <c r="WZW52" s="1142"/>
      <c r="WZX52" s="1142"/>
      <c r="WZY52" s="1142"/>
      <c r="WZZ52" s="1142"/>
      <c r="XAA52" s="1142"/>
      <c r="XAB52" s="1142"/>
      <c r="XAC52" s="1142"/>
      <c r="XAD52" s="1142"/>
      <c r="XAE52" s="1142"/>
      <c r="XAF52" s="1142"/>
      <c r="XAG52" s="1167"/>
      <c r="XAH52" s="1167"/>
      <c r="XAI52" s="1167"/>
      <c r="XAJ52" s="1167"/>
      <c r="XAK52" s="1167"/>
      <c r="XAL52" s="1167"/>
      <c r="XAM52" s="1167"/>
      <c r="XAN52" s="1167"/>
      <c r="XAO52" s="1167"/>
      <c r="XAP52" s="1142"/>
      <c r="XAQ52" s="1142"/>
      <c r="XAR52" s="1142"/>
      <c r="XAS52" s="1142"/>
      <c r="XAT52" s="1142"/>
      <c r="XAU52" s="1142"/>
      <c r="XAV52" s="1142"/>
      <c r="XAW52" s="1142"/>
      <c r="XAX52" s="1142"/>
      <c r="XAY52" s="1142"/>
      <c r="XAZ52" s="1142"/>
      <c r="XBA52" s="1142"/>
      <c r="XBB52" s="1142"/>
      <c r="XBC52" s="1142"/>
      <c r="XBD52" s="1142"/>
      <c r="XBE52" s="1142"/>
      <c r="XBF52" s="1142"/>
      <c r="XBG52" s="1142"/>
      <c r="XBH52" s="1142"/>
      <c r="XBI52" s="1142"/>
      <c r="XBJ52" s="1142"/>
      <c r="XBK52" s="1142"/>
      <c r="XBL52" s="1142"/>
      <c r="XBM52" s="1167"/>
      <c r="XBN52" s="1167"/>
      <c r="XBO52" s="1167"/>
      <c r="XBP52" s="1167"/>
      <c r="XBQ52" s="1167"/>
      <c r="XBR52" s="1167"/>
      <c r="XBS52" s="1167"/>
      <c r="XBT52" s="1167"/>
      <c r="XBU52" s="1167"/>
      <c r="XBV52" s="1142"/>
      <c r="XBW52" s="1142"/>
      <c r="XBX52" s="1142"/>
      <c r="XBY52" s="1142"/>
      <c r="XBZ52" s="1142"/>
      <c r="XCA52" s="1142"/>
      <c r="XCB52" s="1142"/>
      <c r="XCC52" s="1142"/>
      <c r="XCD52" s="1142"/>
      <c r="XCE52" s="1142"/>
      <c r="XCF52" s="1142"/>
      <c r="XCG52" s="1142"/>
      <c r="XCH52" s="1142"/>
      <c r="XCI52" s="1142"/>
      <c r="XCJ52" s="1142"/>
      <c r="XCK52" s="1142"/>
      <c r="XCL52" s="1142"/>
      <c r="XCM52" s="1142"/>
      <c r="XCN52" s="1142"/>
      <c r="XCO52" s="1142"/>
      <c r="XCP52" s="1142"/>
      <c r="XCQ52" s="1142"/>
      <c r="XCR52" s="1142"/>
      <c r="XCS52" s="1167"/>
      <c r="XCT52" s="1167"/>
      <c r="XCU52" s="1167"/>
      <c r="XCV52" s="1167"/>
      <c r="XCW52" s="1167"/>
      <c r="XCX52" s="1167"/>
      <c r="XCY52" s="1167"/>
      <c r="XCZ52" s="1167"/>
      <c r="XDA52" s="1167"/>
      <c r="XDB52" s="1142"/>
      <c r="XDC52" s="1142"/>
      <c r="XDD52" s="1142"/>
      <c r="XDE52" s="1142"/>
      <c r="XDF52" s="1142"/>
      <c r="XDG52" s="1142"/>
      <c r="XDH52" s="1142"/>
      <c r="XDI52" s="1142"/>
      <c r="XDJ52" s="1142"/>
      <c r="XDK52" s="1142"/>
      <c r="XDL52" s="1142"/>
      <c r="XDM52" s="1142"/>
      <c r="XDN52" s="1142"/>
      <c r="XDO52" s="1142"/>
      <c r="XDP52" s="1142"/>
      <c r="XDQ52" s="1142"/>
      <c r="XDR52" s="1142"/>
      <c r="XDS52" s="1142"/>
      <c r="XDT52" s="1142"/>
      <c r="XDU52" s="1142"/>
      <c r="XDV52" s="1142"/>
      <c r="XDW52" s="1142"/>
      <c r="XDX52" s="1142"/>
      <c r="XDY52" s="1167"/>
      <c r="XDZ52" s="1167"/>
      <c r="XEA52" s="1167"/>
      <c r="XEB52" s="1167"/>
      <c r="XEC52" s="1167"/>
      <c r="XED52" s="1167"/>
      <c r="XEE52" s="1167"/>
      <c r="XEF52" s="1167"/>
      <c r="XEG52" s="1167"/>
      <c r="XEH52" s="1142"/>
      <c r="XEI52" s="1142"/>
      <c r="XEJ52" s="1142"/>
      <c r="XEK52" s="1142"/>
      <c r="XEL52" s="1142"/>
      <c r="XEM52" s="1142"/>
      <c r="XEN52" s="1142"/>
      <c r="XEO52" s="1142"/>
      <c r="XEP52" s="1142"/>
      <c r="XEQ52" s="1142"/>
      <c r="XER52" s="1142"/>
      <c r="XES52" s="1142"/>
      <c r="XET52" s="1142"/>
      <c r="XEU52" s="1142"/>
      <c r="XEV52" s="1142"/>
      <c r="XEW52" s="1142"/>
      <c r="XEX52" s="1142"/>
      <c r="XEY52" s="1142"/>
      <c r="XEZ52" s="1142"/>
      <c r="XFA52" s="1142"/>
      <c r="XFB52" s="1142"/>
      <c r="XFC52" s="1142"/>
      <c r="XFD52" s="1142"/>
    </row>
    <row r="53" spans="1:16384" s="272" customFormat="1" ht="30.75" customHeight="1" x14ac:dyDescent="0.25">
      <c r="A53" s="1169" t="s">
        <v>2549</v>
      </c>
      <c r="B53" s="1169"/>
      <c r="C53" s="1169"/>
      <c r="D53" s="1169"/>
      <c r="E53" s="1169"/>
      <c r="F53" s="1169"/>
      <c r="G53" s="1169"/>
      <c r="H53" s="1169"/>
      <c r="I53" s="1169"/>
      <c r="J53" s="1142" t="s">
        <v>2564</v>
      </c>
      <c r="K53" s="1142"/>
      <c r="L53" s="1142"/>
      <c r="M53" s="1142"/>
      <c r="N53" s="1142"/>
      <c r="O53" s="1142"/>
      <c r="P53" s="1142"/>
      <c r="Q53" s="1142"/>
      <c r="R53" s="1142"/>
      <c r="S53" s="1142"/>
      <c r="T53" s="1142"/>
      <c r="U53" s="1142"/>
      <c r="V53" s="1142"/>
      <c r="W53" s="1142"/>
      <c r="X53" s="1142"/>
      <c r="Y53" s="1142"/>
      <c r="Z53" s="1142"/>
      <c r="AA53" s="1142"/>
      <c r="AB53" s="1142"/>
      <c r="AC53" s="1142"/>
      <c r="AD53" s="1142"/>
      <c r="AE53" s="1142"/>
      <c r="AF53" s="1142"/>
    </row>
    <row r="54" spans="1:16384" s="272" customFormat="1" ht="52.5" customHeight="1" x14ac:dyDescent="0.25">
      <c r="A54" s="1169" t="s">
        <v>2549</v>
      </c>
      <c r="B54" s="1169"/>
      <c r="C54" s="1169"/>
      <c r="D54" s="1169"/>
      <c r="E54" s="1169"/>
      <c r="F54" s="1169"/>
      <c r="G54" s="1169"/>
      <c r="H54" s="1169"/>
      <c r="I54" s="1169"/>
      <c r="J54" s="1142" t="s">
        <v>2565</v>
      </c>
      <c r="K54" s="1142"/>
      <c r="L54" s="1142"/>
      <c r="M54" s="1142"/>
      <c r="N54" s="1142"/>
      <c r="O54" s="1142"/>
      <c r="P54" s="1142"/>
      <c r="Q54" s="1142"/>
      <c r="R54" s="1142"/>
      <c r="S54" s="1142"/>
      <c r="T54" s="1142"/>
      <c r="U54" s="1142"/>
      <c r="V54" s="1142"/>
      <c r="W54" s="1142"/>
      <c r="X54" s="1142"/>
      <c r="Y54" s="1142"/>
      <c r="Z54" s="1142"/>
      <c r="AA54" s="1142"/>
      <c r="AB54" s="1142"/>
      <c r="AC54" s="1142"/>
      <c r="AD54" s="1142"/>
      <c r="AE54" s="1142"/>
      <c r="AF54" s="1142"/>
    </row>
    <row r="56" spans="1:16384" s="272" customFormat="1" ht="33" customHeight="1" x14ac:dyDescent="0.25">
      <c r="A56" s="1167" t="s">
        <v>2559</v>
      </c>
      <c r="B56" s="1167"/>
      <c r="C56" s="1167"/>
      <c r="D56" s="1167"/>
      <c r="E56" s="1167"/>
      <c r="F56" s="1167"/>
      <c r="G56" s="1167"/>
      <c r="H56" s="1167"/>
      <c r="I56" s="1167"/>
      <c r="J56" s="1142" t="s">
        <v>2560</v>
      </c>
      <c r="K56" s="1142"/>
      <c r="L56" s="1142"/>
      <c r="M56" s="1142"/>
      <c r="N56" s="1142"/>
      <c r="O56" s="1142"/>
      <c r="P56" s="1142"/>
      <c r="Q56" s="1142"/>
      <c r="R56" s="1142"/>
      <c r="S56" s="1142"/>
      <c r="T56" s="1142"/>
      <c r="U56" s="1142"/>
      <c r="V56" s="1142"/>
      <c r="W56" s="1142"/>
      <c r="X56" s="1142"/>
      <c r="Y56" s="1142"/>
      <c r="Z56" s="1142"/>
      <c r="AA56" s="1142"/>
      <c r="AB56" s="1142"/>
      <c r="AC56" s="1142"/>
      <c r="AD56" s="1142"/>
      <c r="AE56" s="1142"/>
      <c r="AF56" s="1142"/>
    </row>
    <row r="57" spans="1:16384" s="272" customFormat="1" x14ac:dyDescent="0.25">
      <c r="A57" s="274"/>
      <c r="B57" s="274"/>
      <c r="C57" s="274"/>
      <c r="D57" s="274"/>
      <c r="E57" s="274"/>
      <c r="F57" s="274"/>
      <c r="G57" s="274"/>
      <c r="H57" s="274"/>
      <c r="I57" s="274"/>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row>
    <row r="58" spans="1:16384" s="272" customFormat="1" ht="51.75" customHeight="1" x14ac:dyDescent="0.25">
      <c r="A58" s="1167" t="s">
        <v>2994</v>
      </c>
      <c r="B58" s="1167"/>
      <c r="C58" s="1167"/>
      <c r="D58" s="1167"/>
      <c r="E58" s="1167"/>
      <c r="F58" s="1167"/>
      <c r="G58" s="1167"/>
      <c r="H58" s="1167"/>
      <c r="I58" s="1167"/>
      <c r="J58" s="1142" t="s">
        <v>2995</v>
      </c>
      <c r="K58" s="1142"/>
      <c r="L58" s="1142"/>
      <c r="M58" s="1142"/>
      <c r="N58" s="1142"/>
      <c r="O58" s="1142"/>
      <c r="P58" s="1142"/>
      <c r="Q58" s="1142"/>
      <c r="R58" s="1142"/>
      <c r="S58" s="1142"/>
      <c r="T58" s="1142"/>
      <c r="U58" s="1142"/>
      <c r="V58" s="1142"/>
      <c r="W58" s="1142"/>
      <c r="X58" s="1142"/>
      <c r="Y58" s="1142"/>
      <c r="Z58" s="1142"/>
      <c r="AA58" s="1142"/>
      <c r="AB58" s="1142"/>
      <c r="AC58" s="1142"/>
      <c r="AD58" s="1142"/>
      <c r="AE58" s="1142"/>
      <c r="AF58" s="1142"/>
    </row>
    <row r="60" spans="1:16384" s="272" customFormat="1" ht="36.75" customHeight="1" x14ac:dyDescent="0.25">
      <c r="A60" s="1167" t="s">
        <v>529</v>
      </c>
      <c r="B60" s="1167"/>
      <c r="C60" s="1167"/>
      <c r="D60" s="1167"/>
      <c r="E60" s="1167"/>
      <c r="F60" s="1167"/>
      <c r="G60" s="1167"/>
      <c r="H60" s="1167"/>
      <c r="I60" s="1167"/>
      <c r="J60" s="1142" t="s">
        <v>2561</v>
      </c>
      <c r="K60" s="1142"/>
      <c r="L60" s="1142"/>
      <c r="M60" s="1142"/>
      <c r="N60" s="1142"/>
      <c r="O60" s="1142"/>
      <c r="P60" s="1142"/>
      <c r="Q60" s="1142"/>
      <c r="R60" s="1142"/>
      <c r="S60" s="1142"/>
      <c r="T60" s="1142"/>
      <c r="U60" s="1142"/>
      <c r="V60" s="1142"/>
      <c r="W60" s="1142"/>
      <c r="X60" s="1142"/>
      <c r="Y60" s="1142"/>
      <c r="Z60" s="1142"/>
      <c r="AA60" s="1142"/>
      <c r="AB60" s="1142"/>
      <c r="AC60" s="1142"/>
      <c r="AD60" s="1142"/>
      <c r="AE60" s="1142"/>
      <c r="AF60" s="1142"/>
    </row>
    <row r="62" spans="1:16384" s="272" customFormat="1" ht="54.75" customHeight="1" x14ac:dyDescent="0.25">
      <c r="A62" s="1167" t="s">
        <v>2566</v>
      </c>
      <c r="B62" s="1167"/>
      <c r="C62" s="1167"/>
      <c r="D62" s="1167"/>
      <c r="E62" s="1167"/>
      <c r="F62" s="1167"/>
      <c r="G62" s="1167"/>
      <c r="H62" s="1167"/>
      <c r="I62" s="1167"/>
      <c r="J62" s="1142" t="s">
        <v>2567</v>
      </c>
      <c r="K62" s="1142"/>
      <c r="L62" s="1142"/>
      <c r="M62" s="1142"/>
      <c r="N62" s="1142"/>
      <c r="O62" s="1142"/>
      <c r="P62" s="1142"/>
      <c r="Q62" s="1142"/>
      <c r="R62" s="1142"/>
      <c r="S62" s="1142"/>
      <c r="T62" s="1142"/>
      <c r="U62" s="1142"/>
      <c r="V62" s="1142"/>
      <c r="W62" s="1142"/>
      <c r="X62" s="1142"/>
      <c r="Y62" s="1142"/>
      <c r="Z62" s="1142"/>
      <c r="AA62" s="1142"/>
      <c r="AB62" s="1142"/>
      <c r="AC62" s="1142"/>
      <c r="AD62" s="1142"/>
      <c r="AE62" s="1142"/>
      <c r="AF62" s="1142"/>
    </row>
    <row r="64" spans="1:16384" s="272" customFormat="1" ht="157.5" customHeight="1" x14ac:dyDescent="0.25">
      <c r="A64" s="1167" t="s">
        <v>2569</v>
      </c>
      <c r="B64" s="1167"/>
      <c r="C64" s="1167"/>
      <c r="D64" s="1167"/>
      <c r="E64" s="1167"/>
      <c r="F64" s="1167"/>
      <c r="G64" s="1167"/>
      <c r="H64" s="1167"/>
      <c r="I64" s="1167"/>
      <c r="J64" s="1142" t="s">
        <v>2568</v>
      </c>
      <c r="K64" s="1142"/>
      <c r="L64" s="1142"/>
      <c r="M64" s="1142"/>
      <c r="N64" s="1142"/>
      <c r="O64" s="1142"/>
      <c r="P64" s="1142"/>
      <c r="Q64" s="1142"/>
      <c r="R64" s="1142"/>
      <c r="S64" s="1142"/>
      <c r="T64" s="1142"/>
      <c r="U64" s="1142"/>
      <c r="V64" s="1142"/>
      <c r="W64" s="1142"/>
      <c r="X64" s="1142"/>
      <c r="Y64" s="1142"/>
      <c r="Z64" s="1142"/>
      <c r="AA64" s="1142"/>
      <c r="AB64" s="1142"/>
      <c r="AC64" s="1142"/>
      <c r="AD64" s="1142"/>
      <c r="AE64" s="1142"/>
      <c r="AF64" s="1142"/>
    </row>
    <row r="65" spans="1:32" x14ac:dyDescent="0.25">
      <c r="A65" s="274"/>
      <c r="B65" s="274"/>
      <c r="C65" s="274"/>
      <c r="D65" s="274"/>
      <c r="E65" s="274"/>
      <c r="F65" s="274"/>
      <c r="G65" s="274"/>
      <c r="H65" s="274"/>
      <c r="I65" s="274"/>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0"/>
    </row>
    <row r="66" spans="1:32" ht="93.75" customHeight="1" x14ac:dyDescent="0.25">
      <c r="A66" s="1167" t="s">
        <v>2997</v>
      </c>
      <c r="B66" s="1167"/>
      <c r="C66" s="1167"/>
      <c r="D66" s="1167"/>
      <c r="E66" s="1167"/>
      <c r="F66" s="1167"/>
      <c r="G66" s="1167"/>
      <c r="H66" s="1167"/>
      <c r="I66" s="1167"/>
      <c r="J66" s="1142" t="s">
        <v>2998</v>
      </c>
      <c r="K66" s="1142"/>
      <c r="L66" s="1142"/>
      <c r="M66" s="1142"/>
      <c r="N66" s="1142"/>
      <c r="O66" s="1142"/>
      <c r="P66" s="1142"/>
      <c r="Q66" s="1142"/>
      <c r="R66" s="1142"/>
      <c r="S66" s="1142"/>
      <c r="T66" s="1142"/>
      <c r="U66" s="1142"/>
      <c r="V66" s="1142"/>
      <c r="W66" s="1142"/>
      <c r="X66" s="1142"/>
      <c r="Y66" s="1142"/>
      <c r="Z66" s="1142"/>
      <c r="AA66" s="1142"/>
      <c r="AB66" s="1142"/>
      <c r="AC66" s="1142"/>
      <c r="AD66" s="1142"/>
      <c r="AE66" s="1142"/>
      <c r="AF66" s="1142"/>
    </row>
    <row r="67" spans="1:32" ht="15" customHeight="1" x14ac:dyDescent="0.25">
      <c r="A67" s="274"/>
      <c r="B67" s="274"/>
      <c r="C67" s="274"/>
      <c r="D67" s="274"/>
      <c r="E67" s="274"/>
      <c r="F67" s="274"/>
      <c r="G67" s="274"/>
      <c r="H67" s="274"/>
      <c r="I67" s="274"/>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0"/>
    </row>
    <row r="68" spans="1:32" ht="79.5" customHeight="1" x14ac:dyDescent="0.25">
      <c r="A68" s="1167" t="s">
        <v>2570</v>
      </c>
      <c r="B68" s="1167"/>
      <c r="C68" s="1167"/>
      <c r="D68" s="1167"/>
      <c r="E68" s="1167"/>
      <c r="F68" s="1167"/>
      <c r="G68" s="1167"/>
      <c r="H68" s="1167"/>
      <c r="I68" s="1167"/>
      <c r="J68" s="1142" t="s">
        <v>2571</v>
      </c>
      <c r="K68" s="1142"/>
      <c r="L68" s="1142"/>
      <c r="M68" s="1142"/>
      <c r="N68" s="1142"/>
      <c r="O68" s="1142"/>
      <c r="P68" s="1142"/>
      <c r="Q68" s="1142"/>
      <c r="R68" s="1142"/>
      <c r="S68" s="1142"/>
      <c r="T68" s="1142"/>
      <c r="U68" s="1142"/>
      <c r="V68" s="1142"/>
      <c r="W68" s="1142"/>
      <c r="X68" s="1142"/>
      <c r="Y68" s="1142"/>
      <c r="Z68" s="1142"/>
      <c r="AA68" s="1142"/>
      <c r="AB68" s="1142"/>
      <c r="AC68" s="1142"/>
      <c r="AD68" s="1142"/>
      <c r="AE68" s="1142"/>
      <c r="AF68" s="1142"/>
    </row>
    <row r="69" spans="1:32" ht="68.25" customHeight="1" x14ac:dyDescent="0.25">
      <c r="J69" s="1142" t="s">
        <v>2572</v>
      </c>
      <c r="K69" s="1142"/>
      <c r="L69" s="1142"/>
      <c r="M69" s="1142"/>
      <c r="N69" s="1142"/>
      <c r="O69" s="1142"/>
      <c r="P69" s="1142"/>
      <c r="Q69" s="1142"/>
      <c r="R69" s="1142"/>
      <c r="S69" s="1142"/>
      <c r="T69" s="1142"/>
      <c r="U69" s="1142"/>
      <c r="V69" s="1142"/>
      <c r="W69" s="1142"/>
      <c r="X69" s="1142"/>
      <c r="Y69" s="1142"/>
      <c r="Z69" s="1142"/>
      <c r="AA69" s="1142"/>
      <c r="AB69" s="1142"/>
      <c r="AC69" s="1142"/>
      <c r="AD69" s="1142"/>
      <c r="AE69" s="1142"/>
      <c r="AF69" s="1142"/>
    </row>
    <row r="70" spans="1:32" ht="40.5" customHeight="1" x14ac:dyDescent="0.25">
      <c r="A70" s="1167"/>
      <c r="B70" s="1167"/>
      <c r="C70" s="1167"/>
      <c r="D70" s="1167"/>
      <c r="E70" s="1167"/>
      <c r="F70" s="1167"/>
      <c r="G70" s="1167"/>
      <c r="H70" s="1167"/>
      <c r="I70" s="1167"/>
      <c r="J70" s="1142" t="s">
        <v>2573</v>
      </c>
      <c r="K70" s="1142"/>
      <c r="L70" s="1142"/>
      <c r="M70" s="1142"/>
      <c r="N70" s="1142"/>
      <c r="O70" s="1142"/>
      <c r="P70" s="1142"/>
      <c r="Q70" s="1142"/>
      <c r="R70" s="1142"/>
      <c r="S70" s="1142"/>
      <c r="T70" s="1142"/>
      <c r="U70" s="1142"/>
      <c r="V70" s="1142"/>
      <c r="W70" s="1142"/>
      <c r="X70" s="1142"/>
      <c r="Y70" s="1142"/>
      <c r="Z70" s="1142"/>
      <c r="AA70" s="1142"/>
      <c r="AB70" s="1142"/>
      <c r="AC70" s="1142"/>
      <c r="AD70" s="1142"/>
      <c r="AE70" s="1142"/>
      <c r="AF70" s="1142"/>
    </row>
    <row r="71" spans="1:32" x14ac:dyDescent="0.25">
      <c r="A71" s="274"/>
      <c r="B71" s="274"/>
      <c r="C71" s="274"/>
      <c r="D71" s="274"/>
      <c r="E71" s="274"/>
      <c r="F71" s="274"/>
      <c r="G71" s="274"/>
      <c r="H71" s="274"/>
      <c r="I71" s="274"/>
      <c r="J71" s="270"/>
      <c r="K71" s="270"/>
      <c r="L71" s="270"/>
      <c r="M71" s="270"/>
      <c r="N71" s="270"/>
      <c r="O71" s="270"/>
      <c r="P71" s="270"/>
      <c r="Q71" s="270"/>
      <c r="R71" s="270"/>
      <c r="S71" s="270"/>
      <c r="T71" s="270"/>
      <c r="U71" s="270"/>
      <c r="V71" s="270"/>
      <c r="W71" s="270"/>
      <c r="X71" s="270"/>
      <c r="Y71" s="270"/>
      <c r="Z71" s="270"/>
      <c r="AA71" s="270"/>
      <c r="AB71" s="270"/>
      <c r="AC71" s="270"/>
      <c r="AD71" s="270"/>
      <c r="AE71" s="270"/>
      <c r="AF71" s="270"/>
    </row>
    <row r="72" spans="1:32" ht="64.5" customHeight="1" x14ac:dyDescent="0.25">
      <c r="A72" s="1167" t="s">
        <v>2655</v>
      </c>
      <c r="B72" s="1167"/>
      <c r="C72" s="1167"/>
      <c r="D72" s="1167"/>
      <c r="E72" s="1167"/>
      <c r="F72" s="1167"/>
      <c r="G72" s="1167"/>
      <c r="H72" s="1167"/>
      <c r="I72" s="1167"/>
      <c r="J72" s="1142" t="s">
        <v>2656</v>
      </c>
      <c r="K72" s="1142"/>
      <c r="L72" s="1142"/>
      <c r="M72" s="1142"/>
      <c r="N72" s="1142"/>
      <c r="O72" s="1142"/>
      <c r="P72" s="1142"/>
      <c r="Q72" s="1142"/>
      <c r="R72" s="1142"/>
      <c r="S72" s="1142"/>
      <c r="T72" s="1142"/>
      <c r="U72" s="1142"/>
      <c r="V72" s="1142"/>
      <c r="W72" s="1142"/>
      <c r="X72" s="1142"/>
      <c r="Y72" s="1142"/>
      <c r="Z72" s="1142"/>
      <c r="AA72" s="1142"/>
      <c r="AB72" s="1142"/>
      <c r="AC72" s="1142"/>
      <c r="AD72" s="1142"/>
      <c r="AE72" s="1142"/>
      <c r="AF72" s="1142"/>
    </row>
    <row r="73" spans="1:32" x14ac:dyDescent="0.25">
      <c r="A73" s="274"/>
      <c r="B73" s="274"/>
      <c r="C73" s="274"/>
      <c r="D73" s="274"/>
      <c r="E73" s="274"/>
      <c r="F73" s="274"/>
      <c r="G73" s="274"/>
      <c r="H73" s="274"/>
      <c r="I73" s="274"/>
      <c r="J73" s="270"/>
      <c r="K73" s="270"/>
      <c r="L73" s="270"/>
      <c r="M73" s="270"/>
      <c r="N73" s="270"/>
      <c r="O73" s="270"/>
      <c r="P73" s="270"/>
      <c r="Q73" s="270"/>
      <c r="R73" s="270"/>
      <c r="S73" s="270"/>
      <c r="T73" s="270"/>
      <c r="U73" s="270"/>
      <c r="V73" s="270"/>
      <c r="W73" s="270"/>
      <c r="X73" s="270"/>
      <c r="Y73" s="270"/>
      <c r="Z73" s="270"/>
      <c r="AA73" s="270"/>
      <c r="AB73" s="270"/>
      <c r="AC73" s="270"/>
      <c r="AD73" s="270"/>
      <c r="AE73" s="270"/>
      <c r="AF73" s="270"/>
    </row>
    <row r="74" spans="1:32" ht="68.25" customHeight="1" x14ac:dyDescent="0.25">
      <c r="A74" s="1167" t="s">
        <v>2652</v>
      </c>
      <c r="B74" s="1167"/>
      <c r="C74" s="1167"/>
      <c r="D74" s="1167"/>
      <c r="E74" s="1167"/>
      <c r="F74" s="1167"/>
      <c r="G74" s="1167"/>
      <c r="H74" s="1167"/>
      <c r="I74" s="1167"/>
      <c r="J74" s="1168" t="s">
        <v>2653</v>
      </c>
      <c r="K74" s="1168"/>
      <c r="L74" s="1168"/>
      <c r="M74" s="1168"/>
      <c r="N74" s="1168"/>
      <c r="O74" s="1168"/>
      <c r="P74" s="1168"/>
      <c r="Q74" s="1168"/>
      <c r="R74" s="1168"/>
      <c r="S74" s="1168"/>
      <c r="T74" s="1168"/>
      <c r="U74" s="1168"/>
      <c r="V74" s="1168"/>
      <c r="W74" s="1168"/>
      <c r="X74" s="1168"/>
      <c r="Y74" s="1168"/>
      <c r="Z74" s="1168"/>
      <c r="AA74" s="1168"/>
      <c r="AB74" s="1168"/>
      <c r="AC74" s="1168"/>
      <c r="AD74" s="1168"/>
      <c r="AE74" s="1168"/>
      <c r="AF74" s="1168"/>
    </row>
    <row r="76" spans="1:32" ht="52.5" customHeight="1" x14ac:dyDescent="0.25">
      <c r="A76" s="1167" t="s">
        <v>1396</v>
      </c>
      <c r="B76" s="1167"/>
      <c r="C76" s="1167"/>
      <c r="D76" s="1167"/>
      <c r="E76" s="1167"/>
      <c r="F76" s="1167"/>
      <c r="G76" s="1167"/>
      <c r="H76" s="1167"/>
      <c r="I76" s="1167"/>
      <c r="J76" s="1168" t="s">
        <v>3000</v>
      </c>
      <c r="K76" s="1168"/>
      <c r="L76" s="1168"/>
      <c r="M76" s="1168"/>
      <c r="N76" s="1168"/>
      <c r="O76" s="1168"/>
      <c r="P76" s="1168"/>
      <c r="Q76" s="1168"/>
      <c r="R76" s="1168"/>
      <c r="S76" s="1168"/>
      <c r="T76" s="1168"/>
      <c r="U76" s="1168"/>
      <c r="V76" s="1168"/>
      <c r="W76" s="1168"/>
      <c r="X76" s="1168"/>
      <c r="Y76" s="1168"/>
      <c r="Z76" s="1168"/>
      <c r="AA76" s="1168"/>
      <c r="AB76" s="1168"/>
      <c r="AC76" s="1168"/>
      <c r="AD76" s="1168"/>
      <c r="AE76" s="1168"/>
      <c r="AF76" s="1168"/>
    </row>
    <row r="78" spans="1:32" ht="35.25" customHeight="1" x14ac:dyDescent="0.25">
      <c r="A78" s="1167" t="s">
        <v>2574</v>
      </c>
      <c r="B78" s="1167"/>
      <c r="C78" s="1167"/>
      <c r="D78" s="1167"/>
      <c r="E78" s="1167"/>
      <c r="F78" s="1167"/>
      <c r="G78" s="1167"/>
      <c r="H78" s="1167"/>
      <c r="I78" s="1167"/>
      <c r="J78" s="1142" t="s">
        <v>2575</v>
      </c>
      <c r="K78" s="1142"/>
      <c r="L78" s="1142"/>
      <c r="M78" s="1142"/>
      <c r="N78" s="1142"/>
      <c r="O78" s="1142"/>
      <c r="P78" s="1142"/>
      <c r="Q78" s="1142"/>
      <c r="R78" s="1142"/>
      <c r="S78" s="1142"/>
      <c r="T78" s="1142"/>
      <c r="U78" s="1142"/>
      <c r="V78" s="1142"/>
      <c r="W78" s="1142"/>
      <c r="X78" s="1142"/>
      <c r="Y78" s="1142"/>
      <c r="Z78" s="1142"/>
      <c r="AA78" s="1142"/>
      <c r="AB78" s="1142"/>
      <c r="AC78" s="1142"/>
      <c r="AD78" s="1142"/>
      <c r="AE78" s="1142"/>
      <c r="AF78" s="1142"/>
    </row>
    <row r="80" spans="1:32" ht="33.75" customHeight="1" x14ac:dyDescent="0.25">
      <c r="A80" s="1167" t="s">
        <v>2576</v>
      </c>
      <c r="B80" s="1167"/>
      <c r="C80" s="1167"/>
      <c r="D80" s="1167"/>
      <c r="E80" s="1167"/>
      <c r="F80" s="1167"/>
      <c r="G80" s="1167"/>
      <c r="H80" s="1167"/>
      <c r="I80" s="1167"/>
      <c r="J80" s="1142" t="s">
        <v>2577</v>
      </c>
      <c r="K80" s="1142"/>
      <c r="L80" s="1142"/>
      <c r="M80" s="1142"/>
      <c r="N80" s="1142"/>
      <c r="O80" s="1142"/>
      <c r="P80" s="1142"/>
      <c r="Q80" s="1142"/>
      <c r="R80" s="1142"/>
      <c r="S80" s="1142"/>
      <c r="T80" s="1142"/>
      <c r="U80" s="1142"/>
      <c r="V80" s="1142"/>
      <c r="W80" s="1142"/>
      <c r="X80" s="1142"/>
      <c r="Y80" s="1142"/>
      <c r="Z80" s="1142"/>
      <c r="AA80" s="1142"/>
      <c r="AB80" s="1142"/>
      <c r="AC80" s="1142"/>
      <c r="AD80" s="1142"/>
      <c r="AE80" s="1142"/>
      <c r="AF80" s="1142"/>
    </row>
    <row r="82" spans="1:32" ht="52.5" customHeight="1" x14ac:dyDescent="0.25">
      <c r="A82" s="1167" t="s">
        <v>2578</v>
      </c>
      <c r="B82" s="1167"/>
      <c r="C82" s="1167"/>
      <c r="D82" s="1167"/>
      <c r="E82" s="1167"/>
      <c r="F82" s="1167"/>
      <c r="G82" s="1167"/>
      <c r="H82" s="1167"/>
      <c r="I82" s="1167"/>
      <c r="J82" s="1142" t="s">
        <v>2579</v>
      </c>
      <c r="K82" s="1142"/>
      <c r="L82" s="1142"/>
      <c r="M82" s="1142"/>
      <c r="N82" s="1142"/>
      <c r="O82" s="1142"/>
      <c r="P82" s="1142"/>
      <c r="Q82" s="1142"/>
      <c r="R82" s="1142"/>
      <c r="S82" s="1142"/>
      <c r="T82" s="1142"/>
      <c r="U82" s="1142"/>
      <c r="V82" s="1142"/>
      <c r="W82" s="1142"/>
      <c r="X82" s="1142"/>
      <c r="Y82" s="1142"/>
      <c r="Z82" s="1142"/>
      <c r="AA82" s="1142"/>
      <c r="AB82" s="1142"/>
      <c r="AC82" s="1142"/>
      <c r="AD82" s="1142"/>
      <c r="AE82" s="1142"/>
      <c r="AF82" s="1142"/>
    </row>
    <row r="84" spans="1:32" ht="126.75" customHeight="1" x14ac:dyDescent="0.25">
      <c r="A84" s="1167" t="s">
        <v>2581</v>
      </c>
      <c r="B84" s="1167"/>
      <c r="C84" s="1167"/>
      <c r="D84" s="1167"/>
      <c r="E84" s="1167"/>
      <c r="F84" s="1167"/>
      <c r="G84" s="1167"/>
      <c r="H84" s="1167"/>
      <c r="I84" s="1167"/>
      <c r="J84" s="1142" t="s">
        <v>2580</v>
      </c>
      <c r="K84" s="1142"/>
      <c r="L84" s="1142"/>
      <c r="M84" s="1142"/>
      <c r="N84" s="1142"/>
      <c r="O84" s="1142"/>
      <c r="P84" s="1142"/>
      <c r="Q84" s="1142"/>
      <c r="R84" s="1142"/>
      <c r="S84" s="1142"/>
      <c r="T84" s="1142"/>
      <c r="U84" s="1142"/>
      <c r="V84" s="1142"/>
      <c r="W84" s="1142"/>
      <c r="X84" s="1142"/>
      <c r="Y84" s="1142"/>
      <c r="Z84" s="1142"/>
      <c r="AA84" s="1142"/>
      <c r="AB84" s="1142"/>
      <c r="AC84" s="1142"/>
      <c r="AD84" s="1142"/>
      <c r="AE84" s="1142"/>
      <c r="AF84" s="1142"/>
    </row>
    <row r="86" spans="1:32" ht="80.25" customHeight="1" x14ac:dyDescent="0.25">
      <c r="A86" s="1167" t="s">
        <v>2648</v>
      </c>
      <c r="B86" s="1167"/>
      <c r="C86" s="1167"/>
      <c r="D86" s="1167"/>
      <c r="E86" s="1167"/>
      <c r="F86" s="1167"/>
      <c r="G86" s="1167"/>
      <c r="H86" s="1167"/>
      <c r="I86" s="1167"/>
      <c r="J86" s="1168" t="s">
        <v>2646</v>
      </c>
      <c r="K86" s="1168"/>
      <c r="L86" s="1168"/>
      <c r="M86" s="1168"/>
      <c r="N86" s="1168"/>
      <c r="O86" s="1168"/>
      <c r="P86" s="1168"/>
      <c r="Q86" s="1168"/>
      <c r="R86" s="1168"/>
      <c r="S86" s="1168"/>
      <c r="T86" s="1168"/>
      <c r="U86" s="1168"/>
      <c r="V86" s="1168"/>
      <c r="W86" s="1168"/>
      <c r="X86" s="1168"/>
      <c r="Y86" s="1168"/>
      <c r="Z86" s="1168"/>
      <c r="AA86" s="1168"/>
      <c r="AB86" s="1168"/>
      <c r="AC86" s="1168"/>
      <c r="AD86" s="1168"/>
      <c r="AE86" s="1168"/>
      <c r="AF86" s="1168"/>
    </row>
    <row r="88" spans="1:32" ht="38.25" customHeight="1" x14ac:dyDescent="0.25">
      <c r="A88" s="1167" t="s">
        <v>2647</v>
      </c>
      <c r="B88" s="1167"/>
      <c r="C88" s="1167"/>
      <c r="D88" s="1167"/>
      <c r="E88" s="1167"/>
      <c r="F88" s="1167"/>
      <c r="G88" s="1167"/>
      <c r="H88" s="1167"/>
      <c r="I88" s="1167"/>
      <c r="J88" s="1168" t="s">
        <v>2649</v>
      </c>
      <c r="K88" s="1168"/>
      <c r="L88" s="1168"/>
      <c r="M88" s="1168"/>
      <c r="N88" s="1168"/>
      <c r="O88" s="1168"/>
      <c r="P88" s="1168"/>
      <c r="Q88" s="1168"/>
      <c r="R88" s="1168"/>
      <c r="S88" s="1168"/>
      <c r="T88" s="1168"/>
      <c r="U88" s="1168"/>
      <c r="V88" s="1168"/>
      <c r="W88" s="1168"/>
      <c r="X88" s="1168"/>
      <c r="Y88" s="1168"/>
      <c r="Z88" s="1168"/>
      <c r="AA88" s="1168"/>
      <c r="AB88" s="1168"/>
      <c r="AC88" s="1168"/>
      <c r="AD88" s="1168"/>
      <c r="AE88" s="1168"/>
      <c r="AF88" s="1168"/>
    </row>
    <row r="90" spans="1:32" ht="159" customHeight="1" x14ac:dyDescent="0.25">
      <c r="A90" s="1167" t="s">
        <v>2582</v>
      </c>
      <c r="B90" s="1167"/>
      <c r="C90" s="1167"/>
      <c r="D90" s="1167"/>
      <c r="E90" s="1167"/>
      <c r="F90" s="1167"/>
      <c r="G90" s="1167"/>
      <c r="H90" s="1167"/>
      <c r="I90" s="1167"/>
      <c r="J90" s="1142" t="s">
        <v>3001</v>
      </c>
      <c r="K90" s="1142"/>
      <c r="L90" s="1142"/>
      <c r="M90" s="1142"/>
      <c r="N90" s="1142"/>
      <c r="O90" s="1142"/>
      <c r="P90" s="1142"/>
      <c r="Q90" s="1142"/>
      <c r="R90" s="1142"/>
      <c r="S90" s="1142"/>
      <c r="T90" s="1142"/>
      <c r="U90" s="1142"/>
      <c r="V90" s="1142"/>
      <c r="W90" s="1142"/>
      <c r="X90" s="1142"/>
      <c r="Y90" s="1142"/>
      <c r="Z90" s="1142"/>
      <c r="AA90" s="1142"/>
      <c r="AB90" s="1142"/>
      <c r="AC90" s="1142"/>
      <c r="AD90" s="1142"/>
      <c r="AE90" s="1142"/>
      <c r="AF90" s="1142"/>
    </row>
    <row r="92" spans="1:32" ht="114" customHeight="1" x14ac:dyDescent="0.25">
      <c r="A92" s="1167" t="s">
        <v>2583</v>
      </c>
      <c r="B92" s="1167"/>
      <c r="C92" s="1167"/>
      <c r="D92" s="1167"/>
      <c r="E92" s="1167"/>
      <c r="F92" s="1167"/>
      <c r="G92" s="1167"/>
      <c r="H92" s="1167"/>
      <c r="I92" s="1167"/>
      <c r="J92" s="1142" t="s">
        <v>2584</v>
      </c>
      <c r="K92" s="1142"/>
      <c r="L92" s="1142"/>
      <c r="M92" s="1142"/>
      <c r="N92" s="1142"/>
      <c r="O92" s="1142"/>
      <c r="P92" s="1142"/>
      <c r="Q92" s="1142"/>
      <c r="R92" s="1142"/>
      <c r="S92" s="1142"/>
      <c r="T92" s="1142"/>
      <c r="U92" s="1142"/>
      <c r="V92" s="1142"/>
      <c r="W92" s="1142"/>
      <c r="X92" s="1142"/>
      <c r="Y92" s="1142"/>
      <c r="Z92" s="1142"/>
      <c r="AA92" s="1142"/>
      <c r="AB92" s="1142"/>
      <c r="AC92" s="1142"/>
      <c r="AD92" s="1142"/>
      <c r="AE92" s="1142"/>
      <c r="AF92" s="1142"/>
    </row>
    <row r="94" spans="1:32" ht="217.5" customHeight="1" x14ac:dyDescent="0.25">
      <c r="A94" s="1167" t="s">
        <v>1965</v>
      </c>
      <c r="B94" s="1167"/>
      <c r="C94" s="1167"/>
      <c r="D94" s="1167"/>
      <c r="E94" s="1167"/>
      <c r="F94" s="1167"/>
      <c r="G94" s="1167"/>
      <c r="H94" s="1167"/>
      <c r="I94" s="1167"/>
      <c r="J94" s="1142" t="s">
        <v>2585</v>
      </c>
      <c r="K94" s="1142"/>
      <c r="L94" s="1142"/>
      <c r="M94" s="1142"/>
      <c r="N94" s="1142"/>
      <c r="O94" s="1142"/>
      <c r="P94" s="1142"/>
      <c r="Q94" s="1142"/>
      <c r="R94" s="1142"/>
      <c r="S94" s="1142"/>
      <c r="T94" s="1142"/>
      <c r="U94" s="1142"/>
      <c r="V94" s="1142"/>
      <c r="W94" s="1142"/>
      <c r="X94" s="1142"/>
      <c r="Y94" s="1142"/>
      <c r="Z94" s="1142"/>
      <c r="AA94" s="1142"/>
      <c r="AB94" s="1142"/>
      <c r="AC94" s="1142"/>
      <c r="AD94" s="1142"/>
      <c r="AE94" s="1142"/>
      <c r="AF94" s="1142"/>
    </row>
    <row r="96" spans="1:32" ht="33.75" customHeight="1" x14ac:dyDescent="0.25">
      <c r="A96" s="1167" t="s">
        <v>2586</v>
      </c>
      <c r="B96" s="1167"/>
      <c r="C96" s="1167"/>
      <c r="D96" s="1167"/>
      <c r="E96" s="1167"/>
      <c r="F96" s="1167"/>
      <c r="G96" s="1167"/>
      <c r="H96" s="1167"/>
      <c r="I96" s="1167"/>
      <c r="J96" s="1142" t="s">
        <v>2587</v>
      </c>
      <c r="K96" s="1142"/>
      <c r="L96" s="1142"/>
      <c r="M96" s="1142"/>
      <c r="N96" s="1142"/>
      <c r="O96" s="1142"/>
      <c r="P96" s="1142"/>
      <c r="Q96" s="1142"/>
      <c r="R96" s="1142"/>
      <c r="S96" s="1142"/>
      <c r="T96" s="1142"/>
      <c r="U96" s="1142"/>
      <c r="V96" s="1142"/>
      <c r="W96" s="1142"/>
      <c r="X96" s="1142"/>
      <c r="Y96" s="1142"/>
      <c r="Z96" s="1142"/>
      <c r="AA96" s="1142"/>
      <c r="AB96" s="1142"/>
      <c r="AC96" s="1142"/>
      <c r="AD96" s="1142"/>
      <c r="AE96" s="1142"/>
      <c r="AF96" s="1142"/>
    </row>
    <row r="98" spans="1:16384" s="272" customFormat="1" ht="37.5" customHeight="1" x14ac:dyDescent="0.25">
      <c r="A98" s="1167" t="s">
        <v>2588</v>
      </c>
      <c r="B98" s="1167"/>
      <c r="C98" s="1167"/>
      <c r="D98" s="1167"/>
      <c r="E98" s="1167"/>
      <c r="F98" s="1167"/>
      <c r="G98" s="1167"/>
      <c r="H98" s="1167"/>
      <c r="I98" s="1167"/>
      <c r="J98" s="1142" t="s">
        <v>2589</v>
      </c>
      <c r="K98" s="1142"/>
      <c r="L98" s="1142"/>
      <c r="M98" s="1142"/>
      <c r="N98" s="1142"/>
      <c r="O98" s="1142"/>
      <c r="P98" s="1142"/>
      <c r="Q98" s="1142"/>
      <c r="R98" s="1142"/>
      <c r="S98" s="1142"/>
      <c r="T98" s="1142"/>
      <c r="U98" s="1142"/>
      <c r="V98" s="1142"/>
      <c r="W98" s="1142"/>
      <c r="X98" s="1142"/>
      <c r="Y98" s="1142"/>
      <c r="Z98" s="1142"/>
      <c r="AA98" s="1142"/>
      <c r="AB98" s="1142"/>
      <c r="AC98" s="1142"/>
      <c r="AD98" s="1142"/>
      <c r="AE98" s="1142"/>
      <c r="AF98" s="1142"/>
    </row>
    <row r="100" spans="1:16384" s="272" customFormat="1" ht="69.75" customHeight="1" x14ac:dyDescent="0.25">
      <c r="A100" s="1167" t="s">
        <v>2590</v>
      </c>
      <c r="B100" s="1167"/>
      <c r="C100" s="1167"/>
      <c r="D100" s="1167"/>
      <c r="E100" s="1167"/>
      <c r="F100" s="1167"/>
      <c r="G100" s="1167"/>
      <c r="H100" s="1167"/>
      <c r="I100" s="1167"/>
      <c r="J100" s="1142" t="s">
        <v>2591</v>
      </c>
      <c r="K100" s="1142"/>
      <c r="L100" s="1142"/>
      <c r="M100" s="1142"/>
      <c r="N100" s="1142"/>
      <c r="O100" s="1142"/>
      <c r="P100" s="1142"/>
      <c r="Q100" s="1142"/>
      <c r="R100" s="1142"/>
      <c r="S100" s="1142"/>
      <c r="T100" s="1142"/>
      <c r="U100" s="1142"/>
      <c r="V100" s="1142"/>
      <c r="W100" s="1142"/>
      <c r="X100" s="1142"/>
      <c r="Y100" s="1142"/>
      <c r="Z100" s="1142"/>
      <c r="AA100" s="1142"/>
      <c r="AB100" s="1142"/>
      <c r="AC100" s="1142"/>
      <c r="AD100" s="1142"/>
      <c r="AE100" s="1142"/>
      <c r="AF100" s="1142"/>
    </row>
    <row r="102" spans="1:16384" s="272" customFormat="1" ht="87" customHeight="1" x14ac:dyDescent="0.25">
      <c r="A102" s="1167" t="s">
        <v>2592</v>
      </c>
      <c r="B102" s="1167"/>
      <c r="C102" s="1167"/>
      <c r="D102" s="1167"/>
      <c r="E102" s="1167"/>
      <c r="F102" s="1167"/>
      <c r="G102" s="1167"/>
      <c r="H102" s="1167"/>
      <c r="I102" s="1167"/>
      <c r="J102" s="1142" t="s">
        <v>2593</v>
      </c>
      <c r="K102" s="1142"/>
      <c r="L102" s="1142"/>
      <c r="M102" s="1142"/>
      <c r="N102" s="1142"/>
      <c r="O102" s="1142"/>
      <c r="P102" s="1142"/>
      <c r="Q102" s="1142"/>
      <c r="R102" s="1142"/>
      <c r="S102" s="1142"/>
      <c r="T102" s="1142"/>
      <c r="U102" s="1142"/>
      <c r="V102" s="1142"/>
      <c r="W102" s="1142"/>
      <c r="X102" s="1142"/>
      <c r="Y102" s="1142"/>
      <c r="Z102" s="1142"/>
      <c r="AA102" s="1142"/>
      <c r="AB102" s="1142"/>
      <c r="AC102" s="1142"/>
      <c r="AD102" s="1142"/>
      <c r="AE102" s="1142"/>
      <c r="AF102" s="1142"/>
    </row>
    <row r="104" spans="1:16384" s="272" customFormat="1" ht="67.5" customHeight="1" x14ac:dyDescent="0.25">
      <c r="A104" s="1167" t="s">
        <v>2594</v>
      </c>
      <c r="B104" s="1167"/>
      <c r="C104" s="1167"/>
      <c r="D104" s="1167"/>
      <c r="E104" s="1167"/>
      <c r="F104" s="1167"/>
      <c r="G104" s="1167"/>
      <c r="H104" s="1167"/>
      <c r="I104" s="1167"/>
      <c r="J104" s="1142" t="s">
        <v>2595</v>
      </c>
      <c r="K104" s="1142"/>
      <c r="L104" s="1142"/>
      <c r="M104" s="1142"/>
      <c r="N104" s="1142"/>
      <c r="O104" s="1142"/>
      <c r="P104" s="1142"/>
      <c r="Q104" s="1142"/>
      <c r="R104" s="1142"/>
      <c r="S104" s="1142"/>
      <c r="T104" s="1142"/>
      <c r="U104" s="1142"/>
      <c r="V104" s="1142"/>
      <c r="W104" s="1142"/>
      <c r="X104" s="1142"/>
      <c r="Y104" s="1142"/>
      <c r="Z104" s="1142"/>
      <c r="AA104" s="1142"/>
      <c r="AB104" s="1142"/>
      <c r="AC104" s="1142"/>
      <c r="AD104" s="1142"/>
      <c r="AE104" s="1142"/>
      <c r="AF104" s="1142"/>
    </row>
    <row r="106" spans="1:16384" s="272" customFormat="1" ht="66.75" customHeight="1" x14ac:dyDescent="0.25">
      <c r="A106" s="1167" t="s">
        <v>2596</v>
      </c>
      <c r="B106" s="1167"/>
      <c r="C106" s="1167"/>
      <c r="D106" s="1167"/>
      <c r="E106" s="1167"/>
      <c r="F106" s="1167"/>
      <c r="G106" s="1167"/>
      <c r="H106" s="1167"/>
      <c r="I106" s="1167"/>
      <c r="J106" s="1142" t="s">
        <v>2597</v>
      </c>
      <c r="K106" s="1142"/>
      <c r="L106" s="1142"/>
      <c r="M106" s="1142"/>
      <c r="N106" s="1142"/>
      <c r="O106" s="1142"/>
      <c r="P106" s="1142"/>
      <c r="Q106" s="1142"/>
      <c r="R106" s="1142"/>
      <c r="S106" s="1142"/>
      <c r="T106" s="1142"/>
      <c r="U106" s="1142"/>
      <c r="V106" s="1142"/>
      <c r="W106" s="1142"/>
      <c r="X106" s="1142"/>
      <c r="Y106" s="1142"/>
      <c r="Z106" s="1142"/>
      <c r="AA106" s="1142"/>
      <c r="AB106" s="1142"/>
      <c r="AC106" s="1142"/>
      <c r="AD106" s="1142"/>
      <c r="AE106" s="1142"/>
      <c r="AF106" s="1142"/>
    </row>
    <row r="108" spans="1:16384" s="272" customFormat="1" ht="33" customHeight="1" x14ac:dyDescent="0.25">
      <c r="A108" s="1167" t="s">
        <v>2599</v>
      </c>
      <c r="B108" s="1167"/>
      <c r="C108" s="1167"/>
      <c r="D108" s="1167"/>
      <c r="E108" s="1167"/>
      <c r="F108" s="1167"/>
      <c r="G108" s="1167"/>
      <c r="H108" s="1167"/>
      <c r="I108" s="1167"/>
      <c r="J108" s="1142" t="s">
        <v>2598</v>
      </c>
      <c r="K108" s="1142"/>
      <c r="L108" s="1142"/>
      <c r="M108" s="1142"/>
      <c r="N108" s="1142"/>
      <c r="O108" s="1142"/>
      <c r="P108" s="1142"/>
      <c r="Q108" s="1142"/>
      <c r="R108" s="1142"/>
      <c r="S108" s="1142"/>
      <c r="T108" s="1142"/>
      <c r="U108" s="1142"/>
      <c r="V108" s="1142"/>
      <c r="W108" s="1142"/>
      <c r="X108" s="1142"/>
      <c r="Y108" s="1142"/>
      <c r="Z108" s="1142"/>
      <c r="AA108" s="1142"/>
      <c r="AB108" s="1142"/>
      <c r="AC108" s="1142"/>
      <c r="AD108" s="1142"/>
      <c r="AE108" s="1142"/>
      <c r="AF108" s="1142"/>
    </row>
    <row r="110" spans="1:16384" s="272" customFormat="1" ht="47.25" customHeight="1" x14ac:dyDescent="0.25">
      <c r="A110" s="1167" t="s">
        <v>2600</v>
      </c>
      <c r="B110" s="1167"/>
      <c r="C110" s="1167"/>
      <c r="D110" s="1167"/>
      <c r="E110" s="1167"/>
      <c r="F110" s="1167"/>
      <c r="G110" s="1167"/>
      <c r="H110" s="1167"/>
      <c r="I110" s="1167"/>
      <c r="J110" s="1142" t="s">
        <v>2601</v>
      </c>
      <c r="K110" s="1142"/>
      <c r="L110" s="1142"/>
      <c r="M110" s="1142"/>
      <c r="N110" s="1142"/>
      <c r="O110" s="1142"/>
      <c r="P110" s="1142"/>
      <c r="Q110" s="1142"/>
      <c r="R110" s="1142"/>
      <c r="S110" s="1142"/>
      <c r="T110" s="1142"/>
      <c r="U110" s="1142"/>
      <c r="V110" s="1142"/>
      <c r="W110" s="1142"/>
      <c r="X110" s="1142"/>
      <c r="Y110" s="1142"/>
      <c r="Z110" s="1142"/>
      <c r="AA110" s="1142"/>
      <c r="AB110" s="1142"/>
      <c r="AC110" s="1142"/>
      <c r="AD110" s="1142"/>
      <c r="AE110" s="1142"/>
      <c r="AF110" s="1142"/>
    </row>
    <row r="112" spans="1:16384" s="272" customFormat="1" ht="30.75" customHeight="1" x14ac:dyDescent="0.25">
      <c r="A112" s="1167" t="s">
        <v>2602</v>
      </c>
      <c r="B112" s="1167"/>
      <c r="C112" s="1167"/>
      <c r="D112" s="1167"/>
      <c r="E112" s="1167"/>
      <c r="F112" s="1167"/>
      <c r="G112" s="1167"/>
      <c r="H112" s="1167"/>
      <c r="I112" s="1167"/>
      <c r="J112" s="1142" t="s">
        <v>2603</v>
      </c>
      <c r="K112" s="1142"/>
      <c r="L112" s="1142"/>
      <c r="M112" s="1142"/>
      <c r="N112" s="1142"/>
      <c r="O112" s="1142"/>
      <c r="P112" s="1142"/>
      <c r="Q112" s="1142"/>
      <c r="R112" s="1142"/>
      <c r="S112" s="1142"/>
      <c r="T112" s="1142"/>
      <c r="U112" s="1142"/>
      <c r="V112" s="1142"/>
      <c r="W112" s="1142"/>
      <c r="X112" s="1142"/>
      <c r="Y112" s="1142"/>
      <c r="Z112" s="1142"/>
      <c r="AA112" s="1142"/>
      <c r="AB112" s="1142"/>
      <c r="AC112" s="1142"/>
      <c r="AD112" s="1142"/>
      <c r="AE112" s="1142"/>
      <c r="AF112" s="1142"/>
      <c r="AG112" s="1167"/>
      <c r="AH112" s="1167"/>
      <c r="AI112" s="1167"/>
      <c r="AJ112" s="1167"/>
      <c r="AK112" s="1167"/>
      <c r="AL112" s="1167"/>
      <c r="AM112" s="1167"/>
      <c r="AN112" s="1167"/>
      <c r="AO112" s="1167"/>
      <c r="AP112" s="1142"/>
      <c r="AQ112" s="1142"/>
      <c r="AR112" s="1142"/>
      <c r="AS112" s="1142"/>
      <c r="AT112" s="1142"/>
      <c r="AU112" s="1142"/>
      <c r="AV112" s="1142"/>
      <c r="AW112" s="1142"/>
      <c r="AX112" s="1142"/>
      <c r="AY112" s="1142"/>
      <c r="AZ112" s="1142"/>
      <c r="BA112" s="1142"/>
      <c r="BB112" s="1142"/>
      <c r="BC112" s="1142"/>
      <c r="BD112" s="1142"/>
      <c r="BE112" s="1142"/>
      <c r="BF112" s="1142"/>
      <c r="BG112" s="1142"/>
      <c r="BH112" s="1142"/>
      <c r="BI112" s="1142"/>
      <c r="BJ112" s="1142"/>
      <c r="BK112" s="1142"/>
      <c r="BL112" s="1142"/>
      <c r="BM112" s="1167"/>
      <c r="BN112" s="1167"/>
      <c r="BO112" s="1167"/>
      <c r="BP112" s="1167"/>
      <c r="BQ112" s="1167"/>
      <c r="BR112" s="1167"/>
      <c r="BS112" s="1167"/>
      <c r="BT112" s="1167"/>
      <c r="BU112" s="1167"/>
      <c r="BV112" s="1142"/>
      <c r="BW112" s="1142"/>
      <c r="BX112" s="1142"/>
      <c r="BY112" s="1142"/>
      <c r="BZ112" s="1142"/>
      <c r="CA112" s="1142"/>
      <c r="CB112" s="1142"/>
      <c r="CC112" s="1142"/>
      <c r="CD112" s="1142"/>
      <c r="CE112" s="1142"/>
      <c r="CF112" s="1142"/>
      <c r="CG112" s="1142"/>
      <c r="CH112" s="1142"/>
      <c r="CI112" s="1142"/>
      <c r="CJ112" s="1142"/>
      <c r="CK112" s="1142"/>
      <c r="CL112" s="1142"/>
      <c r="CM112" s="1142"/>
      <c r="CN112" s="1142"/>
      <c r="CO112" s="1142"/>
      <c r="CP112" s="1142"/>
      <c r="CQ112" s="1142"/>
      <c r="CR112" s="1142"/>
      <c r="CS112" s="1167"/>
      <c r="CT112" s="1167"/>
      <c r="CU112" s="1167"/>
      <c r="CV112" s="1167"/>
      <c r="CW112" s="1167"/>
      <c r="CX112" s="1167"/>
      <c r="CY112" s="1167"/>
      <c r="CZ112" s="1167"/>
      <c r="DA112" s="1167"/>
      <c r="DB112" s="1142"/>
      <c r="DC112" s="1142"/>
      <c r="DD112" s="1142"/>
      <c r="DE112" s="1142"/>
      <c r="DF112" s="1142"/>
      <c r="DG112" s="1142"/>
      <c r="DH112" s="1142"/>
      <c r="DI112" s="1142"/>
      <c r="DJ112" s="1142"/>
      <c r="DK112" s="1142"/>
      <c r="DL112" s="1142"/>
      <c r="DM112" s="1142"/>
      <c r="DN112" s="1142"/>
      <c r="DO112" s="1142"/>
      <c r="DP112" s="1142"/>
      <c r="DQ112" s="1142"/>
      <c r="DR112" s="1142"/>
      <c r="DS112" s="1142"/>
      <c r="DT112" s="1142"/>
      <c r="DU112" s="1142"/>
      <c r="DV112" s="1142"/>
      <c r="DW112" s="1142"/>
      <c r="DX112" s="1142"/>
      <c r="DY112" s="1167"/>
      <c r="DZ112" s="1167"/>
      <c r="EA112" s="1167"/>
      <c r="EB112" s="1167"/>
      <c r="EC112" s="1167"/>
      <c r="ED112" s="1167"/>
      <c r="EE112" s="1167"/>
      <c r="EF112" s="1167"/>
      <c r="EG112" s="1167"/>
      <c r="EH112" s="1142"/>
      <c r="EI112" s="1142"/>
      <c r="EJ112" s="1142"/>
      <c r="EK112" s="1142"/>
      <c r="EL112" s="1142"/>
      <c r="EM112" s="1142"/>
      <c r="EN112" s="1142"/>
      <c r="EO112" s="1142"/>
      <c r="EP112" s="1142"/>
      <c r="EQ112" s="1142"/>
      <c r="ER112" s="1142"/>
      <c r="ES112" s="1142"/>
      <c r="ET112" s="1142"/>
      <c r="EU112" s="1142"/>
      <c r="EV112" s="1142"/>
      <c r="EW112" s="1142"/>
      <c r="EX112" s="1142"/>
      <c r="EY112" s="1142"/>
      <c r="EZ112" s="1142"/>
      <c r="FA112" s="1142"/>
      <c r="FB112" s="1142"/>
      <c r="FC112" s="1142"/>
      <c r="FD112" s="1142"/>
      <c r="FE112" s="1167"/>
      <c r="FF112" s="1167"/>
      <c r="FG112" s="1167"/>
      <c r="FH112" s="1167"/>
      <c r="FI112" s="1167"/>
      <c r="FJ112" s="1167"/>
      <c r="FK112" s="1167"/>
      <c r="FL112" s="1167"/>
      <c r="FM112" s="1167"/>
      <c r="FN112" s="1142"/>
      <c r="FO112" s="1142"/>
      <c r="FP112" s="1142"/>
      <c r="FQ112" s="1142"/>
      <c r="FR112" s="1142"/>
      <c r="FS112" s="1142"/>
      <c r="FT112" s="1142"/>
      <c r="FU112" s="1142"/>
      <c r="FV112" s="1142"/>
      <c r="FW112" s="1142"/>
      <c r="FX112" s="1142"/>
      <c r="FY112" s="1142"/>
      <c r="FZ112" s="1142"/>
      <c r="GA112" s="1142"/>
      <c r="GB112" s="1142"/>
      <c r="GC112" s="1142"/>
      <c r="GD112" s="1142"/>
      <c r="GE112" s="1142"/>
      <c r="GF112" s="1142"/>
      <c r="GG112" s="1142"/>
      <c r="GH112" s="1142"/>
      <c r="GI112" s="1142"/>
      <c r="GJ112" s="1142"/>
      <c r="GK112" s="1167"/>
      <c r="GL112" s="1167"/>
      <c r="GM112" s="1167"/>
      <c r="GN112" s="1167"/>
      <c r="GO112" s="1167"/>
      <c r="GP112" s="1167"/>
      <c r="GQ112" s="1167"/>
      <c r="GR112" s="1167"/>
      <c r="GS112" s="1167"/>
      <c r="GT112" s="1142"/>
      <c r="GU112" s="1142"/>
      <c r="GV112" s="1142"/>
      <c r="GW112" s="1142"/>
      <c r="GX112" s="1142"/>
      <c r="GY112" s="1142"/>
      <c r="GZ112" s="1142"/>
      <c r="HA112" s="1142"/>
      <c r="HB112" s="1142"/>
      <c r="HC112" s="1142"/>
      <c r="HD112" s="1142"/>
      <c r="HE112" s="1142"/>
      <c r="HF112" s="1142"/>
      <c r="HG112" s="1142"/>
      <c r="HH112" s="1142"/>
      <c r="HI112" s="1142"/>
      <c r="HJ112" s="1142"/>
      <c r="HK112" s="1142"/>
      <c r="HL112" s="1142"/>
      <c r="HM112" s="1142"/>
      <c r="HN112" s="1142"/>
      <c r="HO112" s="1142"/>
      <c r="HP112" s="1142"/>
      <c r="HQ112" s="1167"/>
      <c r="HR112" s="1167"/>
      <c r="HS112" s="1167"/>
      <c r="HT112" s="1167"/>
      <c r="HU112" s="1167"/>
      <c r="HV112" s="1167"/>
      <c r="HW112" s="1167"/>
      <c r="HX112" s="1167"/>
      <c r="HY112" s="1167"/>
      <c r="HZ112" s="1142"/>
      <c r="IA112" s="1142"/>
      <c r="IB112" s="1142"/>
      <c r="IC112" s="1142"/>
      <c r="ID112" s="1142"/>
      <c r="IE112" s="1142"/>
      <c r="IF112" s="1142"/>
      <c r="IG112" s="1142"/>
      <c r="IH112" s="1142"/>
      <c r="II112" s="1142"/>
      <c r="IJ112" s="1142"/>
      <c r="IK112" s="1142"/>
      <c r="IL112" s="1142"/>
      <c r="IM112" s="1142"/>
      <c r="IN112" s="1142"/>
      <c r="IO112" s="1142"/>
      <c r="IP112" s="1142"/>
      <c r="IQ112" s="1142"/>
      <c r="IR112" s="1142"/>
      <c r="IS112" s="1142"/>
      <c r="IT112" s="1142"/>
      <c r="IU112" s="1142"/>
      <c r="IV112" s="1142"/>
      <c r="IW112" s="1167"/>
      <c r="IX112" s="1167"/>
      <c r="IY112" s="1167"/>
      <c r="IZ112" s="1167"/>
      <c r="JA112" s="1167"/>
      <c r="JB112" s="1167"/>
      <c r="JC112" s="1167"/>
      <c r="JD112" s="1167"/>
      <c r="JE112" s="1167"/>
      <c r="JF112" s="1142"/>
      <c r="JG112" s="1142"/>
      <c r="JH112" s="1142"/>
      <c r="JI112" s="1142"/>
      <c r="JJ112" s="1142"/>
      <c r="JK112" s="1142"/>
      <c r="JL112" s="1142"/>
      <c r="JM112" s="1142"/>
      <c r="JN112" s="1142"/>
      <c r="JO112" s="1142"/>
      <c r="JP112" s="1142"/>
      <c r="JQ112" s="1142"/>
      <c r="JR112" s="1142"/>
      <c r="JS112" s="1142"/>
      <c r="JT112" s="1142"/>
      <c r="JU112" s="1142"/>
      <c r="JV112" s="1142"/>
      <c r="JW112" s="1142"/>
      <c r="JX112" s="1142"/>
      <c r="JY112" s="1142"/>
      <c r="JZ112" s="1142"/>
      <c r="KA112" s="1142"/>
      <c r="KB112" s="1142"/>
      <c r="KC112" s="1167"/>
      <c r="KD112" s="1167"/>
      <c r="KE112" s="1167"/>
      <c r="KF112" s="1167"/>
      <c r="KG112" s="1167"/>
      <c r="KH112" s="1167"/>
      <c r="KI112" s="1167"/>
      <c r="KJ112" s="1167"/>
      <c r="KK112" s="1167"/>
      <c r="KL112" s="1142"/>
      <c r="KM112" s="1142"/>
      <c r="KN112" s="1142"/>
      <c r="KO112" s="1142"/>
      <c r="KP112" s="1142"/>
      <c r="KQ112" s="1142"/>
      <c r="KR112" s="1142"/>
      <c r="KS112" s="1142"/>
      <c r="KT112" s="1142"/>
      <c r="KU112" s="1142"/>
      <c r="KV112" s="1142"/>
      <c r="KW112" s="1142"/>
      <c r="KX112" s="1142"/>
      <c r="KY112" s="1142"/>
      <c r="KZ112" s="1142"/>
      <c r="LA112" s="1142"/>
      <c r="LB112" s="1142"/>
      <c r="LC112" s="1142"/>
      <c r="LD112" s="1142"/>
      <c r="LE112" s="1142"/>
      <c r="LF112" s="1142"/>
      <c r="LG112" s="1142"/>
      <c r="LH112" s="1142"/>
      <c r="LI112" s="1167"/>
      <c r="LJ112" s="1167"/>
      <c r="LK112" s="1167"/>
      <c r="LL112" s="1167"/>
      <c r="LM112" s="1167"/>
      <c r="LN112" s="1167"/>
      <c r="LO112" s="1167"/>
      <c r="LP112" s="1167"/>
      <c r="LQ112" s="1167"/>
      <c r="LR112" s="1142"/>
      <c r="LS112" s="1142"/>
      <c r="LT112" s="1142"/>
      <c r="LU112" s="1142"/>
      <c r="LV112" s="1142"/>
      <c r="LW112" s="1142"/>
      <c r="LX112" s="1142"/>
      <c r="LY112" s="1142"/>
      <c r="LZ112" s="1142"/>
      <c r="MA112" s="1142"/>
      <c r="MB112" s="1142"/>
      <c r="MC112" s="1142"/>
      <c r="MD112" s="1142"/>
      <c r="ME112" s="1142"/>
      <c r="MF112" s="1142"/>
      <c r="MG112" s="1142"/>
      <c r="MH112" s="1142"/>
      <c r="MI112" s="1142"/>
      <c r="MJ112" s="1142"/>
      <c r="MK112" s="1142"/>
      <c r="ML112" s="1142"/>
      <c r="MM112" s="1142"/>
      <c r="MN112" s="1142"/>
      <c r="MO112" s="1167"/>
      <c r="MP112" s="1167"/>
      <c r="MQ112" s="1167"/>
      <c r="MR112" s="1167"/>
      <c r="MS112" s="1167"/>
      <c r="MT112" s="1167"/>
      <c r="MU112" s="1167"/>
      <c r="MV112" s="1167"/>
      <c r="MW112" s="1167"/>
      <c r="MX112" s="1142"/>
      <c r="MY112" s="1142"/>
      <c r="MZ112" s="1142"/>
      <c r="NA112" s="1142"/>
      <c r="NB112" s="1142"/>
      <c r="NC112" s="1142"/>
      <c r="ND112" s="1142"/>
      <c r="NE112" s="1142"/>
      <c r="NF112" s="1142"/>
      <c r="NG112" s="1142"/>
      <c r="NH112" s="1142"/>
      <c r="NI112" s="1142"/>
      <c r="NJ112" s="1142"/>
      <c r="NK112" s="1142"/>
      <c r="NL112" s="1142"/>
      <c r="NM112" s="1142"/>
      <c r="NN112" s="1142"/>
      <c r="NO112" s="1142"/>
      <c r="NP112" s="1142"/>
      <c r="NQ112" s="1142"/>
      <c r="NR112" s="1142"/>
      <c r="NS112" s="1142"/>
      <c r="NT112" s="1142"/>
      <c r="NU112" s="1167"/>
      <c r="NV112" s="1167"/>
      <c r="NW112" s="1167"/>
      <c r="NX112" s="1167"/>
      <c r="NY112" s="1167"/>
      <c r="NZ112" s="1167"/>
      <c r="OA112" s="1167"/>
      <c r="OB112" s="1167"/>
      <c r="OC112" s="1167"/>
      <c r="OD112" s="1142"/>
      <c r="OE112" s="1142"/>
      <c r="OF112" s="1142"/>
      <c r="OG112" s="1142"/>
      <c r="OH112" s="1142"/>
      <c r="OI112" s="1142"/>
      <c r="OJ112" s="1142"/>
      <c r="OK112" s="1142"/>
      <c r="OL112" s="1142"/>
      <c r="OM112" s="1142"/>
      <c r="ON112" s="1142"/>
      <c r="OO112" s="1142"/>
      <c r="OP112" s="1142"/>
      <c r="OQ112" s="1142"/>
      <c r="OR112" s="1142"/>
      <c r="OS112" s="1142"/>
      <c r="OT112" s="1142"/>
      <c r="OU112" s="1142"/>
      <c r="OV112" s="1142"/>
      <c r="OW112" s="1142"/>
      <c r="OX112" s="1142"/>
      <c r="OY112" s="1142"/>
      <c r="OZ112" s="1142"/>
      <c r="PA112" s="1167"/>
      <c r="PB112" s="1167"/>
      <c r="PC112" s="1167"/>
      <c r="PD112" s="1167"/>
      <c r="PE112" s="1167"/>
      <c r="PF112" s="1167"/>
      <c r="PG112" s="1167"/>
      <c r="PH112" s="1167"/>
      <c r="PI112" s="1167"/>
      <c r="PJ112" s="1142"/>
      <c r="PK112" s="1142"/>
      <c r="PL112" s="1142"/>
      <c r="PM112" s="1142"/>
      <c r="PN112" s="1142"/>
      <c r="PO112" s="1142"/>
      <c r="PP112" s="1142"/>
      <c r="PQ112" s="1142"/>
      <c r="PR112" s="1142"/>
      <c r="PS112" s="1142"/>
      <c r="PT112" s="1142"/>
      <c r="PU112" s="1142"/>
      <c r="PV112" s="1142"/>
      <c r="PW112" s="1142"/>
      <c r="PX112" s="1142"/>
      <c r="PY112" s="1142"/>
      <c r="PZ112" s="1142"/>
      <c r="QA112" s="1142"/>
      <c r="QB112" s="1142"/>
      <c r="QC112" s="1142"/>
      <c r="QD112" s="1142"/>
      <c r="QE112" s="1142"/>
      <c r="QF112" s="1142"/>
      <c r="QG112" s="1167"/>
      <c r="QH112" s="1167"/>
      <c r="QI112" s="1167"/>
      <c r="QJ112" s="1167"/>
      <c r="QK112" s="1167"/>
      <c r="QL112" s="1167"/>
      <c r="QM112" s="1167"/>
      <c r="QN112" s="1167"/>
      <c r="QO112" s="1167"/>
      <c r="QP112" s="1142"/>
      <c r="QQ112" s="1142"/>
      <c r="QR112" s="1142"/>
      <c r="QS112" s="1142"/>
      <c r="QT112" s="1142"/>
      <c r="QU112" s="1142"/>
      <c r="QV112" s="1142"/>
      <c r="QW112" s="1142"/>
      <c r="QX112" s="1142"/>
      <c r="QY112" s="1142"/>
      <c r="QZ112" s="1142"/>
      <c r="RA112" s="1142"/>
      <c r="RB112" s="1142"/>
      <c r="RC112" s="1142"/>
      <c r="RD112" s="1142"/>
      <c r="RE112" s="1142"/>
      <c r="RF112" s="1142"/>
      <c r="RG112" s="1142"/>
      <c r="RH112" s="1142"/>
      <c r="RI112" s="1142"/>
      <c r="RJ112" s="1142"/>
      <c r="RK112" s="1142"/>
      <c r="RL112" s="1142"/>
      <c r="RM112" s="1167"/>
      <c r="RN112" s="1167"/>
      <c r="RO112" s="1167"/>
      <c r="RP112" s="1167"/>
      <c r="RQ112" s="1167"/>
      <c r="RR112" s="1167"/>
      <c r="RS112" s="1167"/>
      <c r="RT112" s="1167"/>
      <c r="RU112" s="1167"/>
      <c r="RV112" s="1142"/>
      <c r="RW112" s="1142"/>
      <c r="RX112" s="1142"/>
      <c r="RY112" s="1142"/>
      <c r="RZ112" s="1142"/>
      <c r="SA112" s="1142"/>
      <c r="SB112" s="1142"/>
      <c r="SC112" s="1142"/>
      <c r="SD112" s="1142"/>
      <c r="SE112" s="1142"/>
      <c r="SF112" s="1142"/>
      <c r="SG112" s="1142"/>
      <c r="SH112" s="1142"/>
      <c r="SI112" s="1142"/>
      <c r="SJ112" s="1142"/>
      <c r="SK112" s="1142"/>
      <c r="SL112" s="1142"/>
      <c r="SM112" s="1142"/>
      <c r="SN112" s="1142"/>
      <c r="SO112" s="1142"/>
      <c r="SP112" s="1142"/>
      <c r="SQ112" s="1142"/>
      <c r="SR112" s="1142"/>
      <c r="SS112" s="1167"/>
      <c r="ST112" s="1167"/>
      <c r="SU112" s="1167"/>
      <c r="SV112" s="1167"/>
      <c r="SW112" s="1167"/>
      <c r="SX112" s="1167"/>
      <c r="SY112" s="1167"/>
      <c r="SZ112" s="1167"/>
      <c r="TA112" s="1167"/>
      <c r="TB112" s="1142"/>
      <c r="TC112" s="1142"/>
      <c r="TD112" s="1142"/>
      <c r="TE112" s="1142"/>
      <c r="TF112" s="1142"/>
      <c r="TG112" s="1142"/>
      <c r="TH112" s="1142"/>
      <c r="TI112" s="1142"/>
      <c r="TJ112" s="1142"/>
      <c r="TK112" s="1142"/>
      <c r="TL112" s="1142"/>
      <c r="TM112" s="1142"/>
      <c r="TN112" s="1142"/>
      <c r="TO112" s="1142"/>
      <c r="TP112" s="1142"/>
      <c r="TQ112" s="1142"/>
      <c r="TR112" s="1142"/>
      <c r="TS112" s="1142"/>
      <c r="TT112" s="1142"/>
      <c r="TU112" s="1142"/>
      <c r="TV112" s="1142"/>
      <c r="TW112" s="1142"/>
      <c r="TX112" s="1142"/>
      <c r="TY112" s="1167"/>
      <c r="TZ112" s="1167"/>
      <c r="UA112" s="1167"/>
      <c r="UB112" s="1167"/>
      <c r="UC112" s="1167"/>
      <c r="UD112" s="1167"/>
      <c r="UE112" s="1167"/>
      <c r="UF112" s="1167"/>
      <c r="UG112" s="1167"/>
      <c r="UH112" s="1142"/>
      <c r="UI112" s="1142"/>
      <c r="UJ112" s="1142"/>
      <c r="UK112" s="1142"/>
      <c r="UL112" s="1142"/>
      <c r="UM112" s="1142"/>
      <c r="UN112" s="1142"/>
      <c r="UO112" s="1142"/>
      <c r="UP112" s="1142"/>
      <c r="UQ112" s="1142"/>
      <c r="UR112" s="1142"/>
      <c r="US112" s="1142"/>
      <c r="UT112" s="1142"/>
      <c r="UU112" s="1142"/>
      <c r="UV112" s="1142"/>
      <c r="UW112" s="1142"/>
      <c r="UX112" s="1142"/>
      <c r="UY112" s="1142"/>
      <c r="UZ112" s="1142"/>
      <c r="VA112" s="1142"/>
      <c r="VB112" s="1142"/>
      <c r="VC112" s="1142"/>
      <c r="VD112" s="1142"/>
      <c r="VE112" s="1167"/>
      <c r="VF112" s="1167"/>
      <c r="VG112" s="1167"/>
      <c r="VH112" s="1167"/>
      <c r="VI112" s="1167"/>
      <c r="VJ112" s="1167"/>
      <c r="VK112" s="1167"/>
      <c r="VL112" s="1167"/>
      <c r="VM112" s="1167"/>
      <c r="VN112" s="1142"/>
      <c r="VO112" s="1142"/>
      <c r="VP112" s="1142"/>
      <c r="VQ112" s="1142"/>
      <c r="VR112" s="1142"/>
      <c r="VS112" s="1142"/>
      <c r="VT112" s="1142"/>
      <c r="VU112" s="1142"/>
      <c r="VV112" s="1142"/>
      <c r="VW112" s="1142"/>
      <c r="VX112" s="1142"/>
      <c r="VY112" s="1142"/>
      <c r="VZ112" s="1142"/>
      <c r="WA112" s="1142"/>
      <c r="WB112" s="1142"/>
      <c r="WC112" s="1142"/>
      <c r="WD112" s="1142"/>
      <c r="WE112" s="1142"/>
      <c r="WF112" s="1142"/>
      <c r="WG112" s="1142"/>
      <c r="WH112" s="1142"/>
      <c r="WI112" s="1142"/>
      <c r="WJ112" s="1142"/>
      <c r="WK112" s="1167"/>
      <c r="WL112" s="1167"/>
      <c r="WM112" s="1167"/>
      <c r="WN112" s="1167"/>
      <c r="WO112" s="1167"/>
      <c r="WP112" s="1167"/>
      <c r="WQ112" s="1167"/>
      <c r="WR112" s="1167"/>
      <c r="WS112" s="1167"/>
      <c r="WT112" s="1142"/>
      <c r="WU112" s="1142"/>
      <c r="WV112" s="1142"/>
      <c r="WW112" s="1142"/>
      <c r="WX112" s="1142"/>
      <c r="WY112" s="1142"/>
      <c r="WZ112" s="1142"/>
      <c r="XA112" s="1142"/>
      <c r="XB112" s="1142"/>
      <c r="XC112" s="1142"/>
      <c r="XD112" s="1142"/>
      <c r="XE112" s="1142"/>
      <c r="XF112" s="1142"/>
      <c r="XG112" s="1142"/>
      <c r="XH112" s="1142"/>
      <c r="XI112" s="1142"/>
      <c r="XJ112" s="1142"/>
      <c r="XK112" s="1142"/>
      <c r="XL112" s="1142"/>
      <c r="XM112" s="1142"/>
      <c r="XN112" s="1142"/>
      <c r="XO112" s="1142"/>
      <c r="XP112" s="1142"/>
      <c r="XQ112" s="1167"/>
      <c r="XR112" s="1167"/>
      <c r="XS112" s="1167"/>
      <c r="XT112" s="1167"/>
      <c r="XU112" s="1167"/>
      <c r="XV112" s="1167"/>
      <c r="XW112" s="1167"/>
      <c r="XX112" s="1167"/>
      <c r="XY112" s="1167"/>
      <c r="XZ112" s="1142"/>
      <c r="YA112" s="1142"/>
      <c r="YB112" s="1142"/>
      <c r="YC112" s="1142"/>
      <c r="YD112" s="1142"/>
      <c r="YE112" s="1142"/>
      <c r="YF112" s="1142"/>
      <c r="YG112" s="1142"/>
      <c r="YH112" s="1142"/>
      <c r="YI112" s="1142"/>
      <c r="YJ112" s="1142"/>
      <c r="YK112" s="1142"/>
      <c r="YL112" s="1142"/>
      <c r="YM112" s="1142"/>
      <c r="YN112" s="1142"/>
      <c r="YO112" s="1142"/>
      <c r="YP112" s="1142"/>
      <c r="YQ112" s="1142"/>
      <c r="YR112" s="1142"/>
      <c r="YS112" s="1142"/>
      <c r="YT112" s="1142"/>
      <c r="YU112" s="1142"/>
      <c r="YV112" s="1142"/>
      <c r="YW112" s="1167"/>
      <c r="YX112" s="1167"/>
      <c r="YY112" s="1167"/>
      <c r="YZ112" s="1167"/>
      <c r="ZA112" s="1167"/>
      <c r="ZB112" s="1167"/>
      <c r="ZC112" s="1167"/>
      <c r="ZD112" s="1167"/>
      <c r="ZE112" s="1167"/>
      <c r="ZF112" s="1142"/>
      <c r="ZG112" s="1142"/>
      <c r="ZH112" s="1142"/>
      <c r="ZI112" s="1142"/>
      <c r="ZJ112" s="1142"/>
      <c r="ZK112" s="1142"/>
      <c r="ZL112" s="1142"/>
      <c r="ZM112" s="1142"/>
      <c r="ZN112" s="1142"/>
      <c r="ZO112" s="1142"/>
      <c r="ZP112" s="1142"/>
      <c r="ZQ112" s="1142"/>
      <c r="ZR112" s="1142"/>
      <c r="ZS112" s="1142"/>
      <c r="ZT112" s="1142"/>
      <c r="ZU112" s="1142"/>
      <c r="ZV112" s="1142"/>
      <c r="ZW112" s="1142"/>
      <c r="ZX112" s="1142"/>
      <c r="ZY112" s="1142"/>
      <c r="ZZ112" s="1142"/>
      <c r="AAA112" s="1142"/>
      <c r="AAB112" s="1142"/>
      <c r="AAC112" s="1167"/>
      <c r="AAD112" s="1167"/>
      <c r="AAE112" s="1167"/>
      <c r="AAF112" s="1167"/>
      <c r="AAG112" s="1167"/>
      <c r="AAH112" s="1167"/>
      <c r="AAI112" s="1167"/>
      <c r="AAJ112" s="1167"/>
      <c r="AAK112" s="1167"/>
      <c r="AAL112" s="1142"/>
      <c r="AAM112" s="1142"/>
      <c r="AAN112" s="1142"/>
      <c r="AAO112" s="1142"/>
      <c r="AAP112" s="1142"/>
      <c r="AAQ112" s="1142"/>
      <c r="AAR112" s="1142"/>
      <c r="AAS112" s="1142"/>
      <c r="AAT112" s="1142"/>
      <c r="AAU112" s="1142"/>
      <c r="AAV112" s="1142"/>
      <c r="AAW112" s="1142"/>
      <c r="AAX112" s="1142"/>
      <c r="AAY112" s="1142"/>
      <c r="AAZ112" s="1142"/>
      <c r="ABA112" s="1142"/>
      <c r="ABB112" s="1142"/>
      <c r="ABC112" s="1142"/>
      <c r="ABD112" s="1142"/>
      <c r="ABE112" s="1142"/>
      <c r="ABF112" s="1142"/>
      <c r="ABG112" s="1142"/>
      <c r="ABH112" s="1142"/>
      <c r="ABI112" s="1167"/>
      <c r="ABJ112" s="1167"/>
      <c r="ABK112" s="1167"/>
      <c r="ABL112" s="1167"/>
      <c r="ABM112" s="1167"/>
      <c r="ABN112" s="1167"/>
      <c r="ABO112" s="1167"/>
      <c r="ABP112" s="1167"/>
      <c r="ABQ112" s="1167"/>
      <c r="ABR112" s="1142"/>
      <c r="ABS112" s="1142"/>
      <c r="ABT112" s="1142"/>
      <c r="ABU112" s="1142"/>
      <c r="ABV112" s="1142"/>
      <c r="ABW112" s="1142"/>
      <c r="ABX112" s="1142"/>
      <c r="ABY112" s="1142"/>
      <c r="ABZ112" s="1142"/>
      <c r="ACA112" s="1142"/>
      <c r="ACB112" s="1142"/>
      <c r="ACC112" s="1142"/>
      <c r="ACD112" s="1142"/>
      <c r="ACE112" s="1142"/>
      <c r="ACF112" s="1142"/>
      <c r="ACG112" s="1142"/>
      <c r="ACH112" s="1142"/>
      <c r="ACI112" s="1142"/>
      <c r="ACJ112" s="1142"/>
      <c r="ACK112" s="1142"/>
      <c r="ACL112" s="1142"/>
      <c r="ACM112" s="1142"/>
      <c r="ACN112" s="1142"/>
      <c r="ACO112" s="1167"/>
      <c r="ACP112" s="1167"/>
      <c r="ACQ112" s="1167"/>
      <c r="ACR112" s="1167"/>
      <c r="ACS112" s="1167"/>
      <c r="ACT112" s="1167"/>
      <c r="ACU112" s="1167"/>
      <c r="ACV112" s="1167"/>
      <c r="ACW112" s="1167"/>
      <c r="ACX112" s="1142"/>
      <c r="ACY112" s="1142"/>
      <c r="ACZ112" s="1142"/>
      <c r="ADA112" s="1142"/>
      <c r="ADB112" s="1142"/>
      <c r="ADC112" s="1142"/>
      <c r="ADD112" s="1142"/>
      <c r="ADE112" s="1142"/>
      <c r="ADF112" s="1142"/>
      <c r="ADG112" s="1142"/>
      <c r="ADH112" s="1142"/>
      <c r="ADI112" s="1142"/>
      <c r="ADJ112" s="1142"/>
      <c r="ADK112" s="1142"/>
      <c r="ADL112" s="1142"/>
      <c r="ADM112" s="1142"/>
      <c r="ADN112" s="1142"/>
      <c r="ADO112" s="1142"/>
      <c r="ADP112" s="1142"/>
      <c r="ADQ112" s="1142"/>
      <c r="ADR112" s="1142"/>
      <c r="ADS112" s="1142"/>
      <c r="ADT112" s="1142"/>
      <c r="ADU112" s="1167"/>
      <c r="ADV112" s="1167"/>
      <c r="ADW112" s="1167"/>
      <c r="ADX112" s="1167"/>
      <c r="ADY112" s="1167"/>
      <c r="ADZ112" s="1167"/>
      <c r="AEA112" s="1167"/>
      <c r="AEB112" s="1167"/>
      <c r="AEC112" s="1167"/>
      <c r="AED112" s="1142"/>
      <c r="AEE112" s="1142"/>
      <c r="AEF112" s="1142"/>
      <c r="AEG112" s="1142"/>
      <c r="AEH112" s="1142"/>
      <c r="AEI112" s="1142"/>
      <c r="AEJ112" s="1142"/>
      <c r="AEK112" s="1142"/>
      <c r="AEL112" s="1142"/>
      <c r="AEM112" s="1142"/>
      <c r="AEN112" s="1142"/>
      <c r="AEO112" s="1142"/>
      <c r="AEP112" s="1142"/>
      <c r="AEQ112" s="1142"/>
      <c r="AER112" s="1142"/>
      <c r="AES112" s="1142"/>
      <c r="AET112" s="1142"/>
      <c r="AEU112" s="1142"/>
      <c r="AEV112" s="1142"/>
      <c r="AEW112" s="1142"/>
      <c r="AEX112" s="1142"/>
      <c r="AEY112" s="1142"/>
      <c r="AEZ112" s="1142"/>
      <c r="AFA112" s="1167"/>
      <c r="AFB112" s="1167"/>
      <c r="AFC112" s="1167"/>
      <c r="AFD112" s="1167"/>
      <c r="AFE112" s="1167"/>
      <c r="AFF112" s="1167"/>
      <c r="AFG112" s="1167"/>
      <c r="AFH112" s="1167"/>
      <c r="AFI112" s="1167"/>
      <c r="AFJ112" s="1142"/>
      <c r="AFK112" s="1142"/>
      <c r="AFL112" s="1142"/>
      <c r="AFM112" s="1142"/>
      <c r="AFN112" s="1142"/>
      <c r="AFO112" s="1142"/>
      <c r="AFP112" s="1142"/>
      <c r="AFQ112" s="1142"/>
      <c r="AFR112" s="1142"/>
      <c r="AFS112" s="1142"/>
      <c r="AFT112" s="1142"/>
      <c r="AFU112" s="1142"/>
      <c r="AFV112" s="1142"/>
      <c r="AFW112" s="1142"/>
      <c r="AFX112" s="1142"/>
      <c r="AFY112" s="1142"/>
      <c r="AFZ112" s="1142"/>
      <c r="AGA112" s="1142"/>
      <c r="AGB112" s="1142"/>
      <c r="AGC112" s="1142"/>
      <c r="AGD112" s="1142"/>
      <c r="AGE112" s="1142"/>
      <c r="AGF112" s="1142"/>
      <c r="AGG112" s="1167"/>
      <c r="AGH112" s="1167"/>
      <c r="AGI112" s="1167"/>
      <c r="AGJ112" s="1167"/>
      <c r="AGK112" s="1167"/>
      <c r="AGL112" s="1167"/>
      <c r="AGM112" s="1167"/>
      <c r="AGN112" s="1167"/>
      <c r="AGO112" s="1167"/>
      <c r="AGP112" s="1142"/>
      <c r="AGQ112" s="1142"/>
      <c r="AGR112" s="1142"/>
      <c r="AGS112" s="1142"/>
      <c r="AGT112" s="1142"/>
      <c r="AGU112" s="1142"/>
      <c r="AGV112" s="1142"/>
      <c r="AGW112" s="1142"/>
      <c r="AGX112" s="1142"/>
      <c r="AGY112" s="1142"/>
      <c r="AGZ112" s="1142"/>
      <c r="AHA112" s="1142"/>
      <c r="AHB112" s="1142"/>
      <c r="AHC112" s="1142"/>
      <c r="AHD112" s="1142"/>
      <c r="AHE112" s="1142"/>
      <c r="AHF112" s="1142"/>
      <c r="AHG112" s="1142"/>
      <c r="AHH112" s="1142"/>
      <c r="AHI112" s="1142"/>
      <c r="AHJ112" s="1142"/>
      <c r="AHK112" s="1142"/>
      <c r="AHL112" s="1142"/>
      <c r="AHM112" s="1167"/>
      <c r="AHN112" s="1167"/>
      <c r="AHO112" s="1167"/>
      <c r="AHP112" s="1167"/>
      <c r="AHQ112" s="1167"/>
      <c r="AHR112" s="1167"/>
      <c r="AHS112" s="1167"/>
      <c r="AHT112" s="1167"/>
      <c r="AHU112" s="1167"/>
      <c r="AHV112" s="1142"/>
      <c r="AHW112" s="1142"/>
      <c r="AHX112" s="1142"/>
      <c r="AHY112" s="1142"/>
      <c r="AHZ112" s="1142"/>
      <c r="AIA112" s="1142"/>
      <c r="AIB112" s="1142"/>
      <c r="AIC112" s="1142"/>
      <c r="AID112" s="1142"/>
      <c r="AIE112" s="1142"/>
      <c r="AIF112" s="1142"/>
      <c r="AIG112" s="1142"/>
      <c r="AIH112" s="1142"/>
      <c r="AII112" s="1142"/>
      <c r="AIJ112" s="1142"/>
      <c r="AIK112" s="1142"/>
      <c r="AIL112" s="1142"/>
      <c r="AIM112" s="1142"/>
      <c r="AIN112" s="1142"/>
      <c r="AIO112" s="1142"/>
      <c r="AIP112" s="1142"/>
      <c r="AIQ112" s="1142"/>
      <c r="AIR112" s="1142"/>
      <c r="AIS112" s="1167"/>
      <c r="AIT112" s="1167"/>
      <c r="AIU112" s="1167"/>
      <c r="AIV112" s="1167"/>
      <c r="AIW112" s="1167"/>
      <c r="AIX112" s="1167"/>
      <c r="AIY112" s="1167"/>
      <c r="AIZ112" s="1167"/>
      <c r="AJA112" s="1167"/>
      <c r="AJB112" s="1142"/>
      <c r="AJC112" s="1142"/>
      <c r="AJD112" s="1142"/>
      <c r="AJE112" s="1142"/>
      <c r="AJF112" s="1142"/>
      <c r="AJG112" s="1142"/>
      <c r="AJH112" s="1142"/>
      <c r="AJI112" s="1142"/>
      <c r="AJJ112" s="1142"/>
      <c r="AJK112" s="1142"/>
      <c r="AJL112" s="1142"/>
      <c r="AJM112" s="1142"/>
      <c r="AJN112" s="1142"/>
      <c r="AJO112" s="1142"/>
      <c r="AJP112" s="1142"/>
      <c r="AJQ112" s="1142"/>
      <c r="AJR112" s="1142"/>
      <c r="AJS112" s="1142"/>
      <c r="AJT112" s="1142"/>
      <c r="AJU112" s="1142"/>
      <c r="AJV112" s="1142"/>
      <c r="AJW112" s="1142"/>
      <c r="AJX112" s="1142"/>
      <c r="AJY112" s="1167"/>
      <c r="AJZ112" s="1167"/>
      <c r="AKA112" s="1167"/>
      <c r="AKB112" s="1167"/>
      <c r="AKC112" s="1167"/>
      <c r="AKD112" s="1167"/>
      <c r="AKE112" s="1167"/>
      <c r="AKF112" s="1167"/>
      <c r="AKG112" s="1167"/>
      <c r="AKH112" s="1142"/>
      <c r="AKI112" s="1142"/>
      <c r="AKJ112" s="1142"/>
      <c r="AKK112" s="1142"/>
      <c r="AKL112" s="1142"/>
      <c r="AKM112" s="1142"/>
      <c r="AKN112" s="1142"/>
      <c r="AKO112" s="1142"/>
      <c r="AKP112" s="1142"/>
      <c r="AKQ112" s="1142"/>
      <c r="AKR112" s="1142"/>
      <c r="AKS112" s="1142"/>
      <c r="AKT112" s="1142"/>
      <c r="AKU112" s="1142"/>
      <c r="AKV112" s="1142"/>
      <c r="AKW112" s="1142"/>
      <c r="AKX112" s="1142"/>
      <c r="AKY112" s="1142"/>
      <c r="AKZ112" s="1142"/>
      <c r="ALA112" s="1142"/>
      <c r="ALB112" s="1142"/>
      <c r="ALC112" s="1142"/>
      <c r="ALD112" s="1142"/>
      <c r="ALE112" s="1167"/>
      <c r="ALF112" s="1167"/>
      <c r="ALG112" s="1167"/>
      <c r="ALH112" s="1167"/>
      <c r="ALI112" s="1167"/>
      <c r="ALJ112" s="1167"/>
      <c r="ALK112" s="1167"/>
      <c r="ALL112" s="1167"/>
      <c r="ALM112" s="1167"/>
      <c r="ALN112" s="1142"/>
      <c r="ALO112" s="1142"/>
      <c r="ALP112" s="1142"/>
      <c r="ALQ112" s="1142"/>
      <c r="ALR112" s="1142"/>
      <c r="ALS112" s="1142"/>
      <c r="ALT112" s="1142"/>
      <c r="ALU112" s="1142"/>
      <c r="ALV112" s="1142"/>
      <c r="ALW112" s="1142"/>
      <c r="ALX112" s="1142"/>
      <c r="ALY112" s="1142"/>
      <c r="ALZ112" s="1142"/>
      <c r="AMA112" s="1142"/>
      <c r="AMB112" s="1142"/>
      <c r="AMC112" s="1142"/>
      <c r="AMD112" s="1142"/>
      <c r="AME112" s="1142"/>
      <c r="AMF112" s="1142"/>
      <c r="AMG112" s="1142"/>
      <c r="AMH112" s="1142"/>
      <c r="AMI112" s="1142"/>
      <c r="AMJ112" s="1142"/>
      <c r="AMK112" s="1167"/>
      <c r="AML112" s="1167"/>
      <c r="AMM112" s="1167"/>
      <c r="AMN112" s="1167"/>
      <c r="AMO112" s="1167"/>
      <c r="AMP112" s="1167"/>
      <c r="AMQ112" s="1167"/>
      <c r="AMR112" s="1167"/>
      <c r="AMS112" s="1167"/>
      <c r="AMT112" s="1142"/>
      <c r="AMU112" s="1142"/>
      <c r="AMV112" s="1142"/>
      <c r="AMW112" s="1142"/>
      <c r="AMX112" s="1142"/>
      <c r="AMY112" s="1142"/>
      <c r="AMZ112" s="1142"/>
      <c r="ANA112" s="1142"/>
      <c r="ANB112" s="1142"/>
      <c r="ANC112" s="1142"/>
      <c r="AND112" s="1142"/>
      <c r="ANE112" s="1142"/>
      <c r="ANF112" s="1142"/>
      <c r="ANG112" s="1142"/>
      <c r="ANH112" s="1142"/>
      <c r="ANI112" s="1142"/>
      <c r="ANJ112" s="1142"/>
      <c r="ANK112" s="1142"/>
      <c r="ANL112" s="1142"/>
      <c r="ANM112" s="1142"/>
      <c r="ANN112" s="1142"/>
      <c r="ANO112" s="1142"/>
      <c r="ANP112" s="1142"/>
      <c r="ANQ112" s="1167"/>
      <c r="ANR112" s="1167"/>
      <c r="ANS112" s="1167"/>
      <c r="ANT112" s="1167"/>
      <c r="ANU112" s="1167"/>
      <c r="ANV112" s="1167"/>
      <c r="ANW112" s="1167"/>
      <c r="ANX112" s="1167"/>
      <c r="ANY112" s="1167"/>
      <c r="ANZ112" s="1142"/>
      <c r="AOA112" s="1142"/>
      <c r="AOB112" s="1142"/>
      <c r="AOC112" s="1142"/>
      <c r="AOD112" s="1142"/>
      <c r="AOE112" s="1142"/>
      <c r="AOF112" s="1142"/>
      <c r="AOG112" s="1142"/>
      <c r="AOH112" s="1142"/>
      <c r="AOI112" s="1142"/>
      <c r="AOJ112" s="1142"/>
      <c r="AOK112" s="1142"/>
      <c r="AOL112" s="1142"/>
      <c r="AOM112" s="1142"/>
      <c r="AON112" s="1142"/>
      <c r="AOO112" s="1142"/>
      <c r="AOP112" s="1142"/>
      <c r="AOQ112" s="1142"/>
      <c r="AOR112" s="1142"/>
      <c r="AOS112" s="1142"/>
      <c r="AOT112" s="1142"/>
      <c r="AOU112" s="1142"/>
      <c r="AOV112" s="1142"/>
      <c r="AOW112" s="1167"/>
      <c r="AOX112" s="1167"/>
      <c r="AOY112" s="1167"/>
      <c r="AOZ112" s="1167"/>
      <c r="APA112" s="1167"/>
      <c r="APB112" s="1167"/>
      <c r="APC112" s="1167"/>
      <c r="APD112" s="1167"/>
      <c r="APE112" s="1167"/>
      <c r="APF112" s="1142"/>
      <c r="APG112" s="1142"/>
      <c r="APH112" s="1142"/>
      <c r="API112" s="1142"/>
      <c r="APJ112" s="1142"/>
      <c r="APK112" s="1142"/>
      <c r="APL112" s="1142"/>
      <c r="APM112" s="1142"/>
      <c r="APN112" s="1142"/>
      <c r="APO112" s="1142"/>
      <c r="APP112" s="1142"/>
      <c r="APQ112" s="1142"/>
      <c r="APR112" s="1142"/>
      <c r="APS112" s="1142"/>
      <c r="APT112" s="1142"/>
      <c r="APU112" s="1142"/>
      <c r="APV112" s="1142"/>
      <c r="APW112" s="1142"/>
      <c r="APX112" s="1142"/>
      <c r="APY112" s="1142"/>
      <c r="APZ112" s="1142"/>
      <c r="AQA112" s="1142"/>
      <c r="AQB112" s="1142"/>
      <c r="AQC112" s="1167"/>
      <c r="AQD112" s="1167"/>
      <c r="AQE112" s="1167"/>
      <c r="AQF112" s="1167"/>
      <c r="AQG112" s="1167"/>
      <c r="AQH112" s="1167"/>
      <c r="AQI112" s="1167"/>
      <c r="AQJ112" s="1167"/>
      <c r="AQK112" s="1167"/>
      <c r="AQL112" s="1142"/>
      <c r="AQM112" s="1142"/>
      <c r="AQN112" s="1142"/>
      <c r="AQO112" s="1142"/>
      <c r="AQP112" s="1142"/>
      <c r="AQQ112" s="1142"/>
      <c r="AQR112" s="1142"/>
      <c r="AQS112" s="1142"/>
      <c r="AQT112" s="1142"/>
      <c r="AQU112" s="1142"/>
      <c r="AQV112" s="1142"/>
      <c r="AQW112" s="1142"/>
      <c r="AQX112" s="1142"/>
      <c r="AQY112" s="1142"/>
      <c r="AQZ112" s="1142"/>
      <c r="ARA112" s="1142"/>
      <c r="ARB112" s="1142"/>
      <c r="ARC112" s="1142"/>
      <c r="ARD112" s="1142"/>
      <c r="ARE112" s="1142"/>
      <c r="ARF112" s="1142"/>
      <c r="ARG112" s="1142"/>
      <c r="ARH112" s="1142"/>
      <c r="ARI112" s="1167"/>
      <c r="ARJ112" s="1167"/>
      <c r="ARK112" s="1167"/>
      <c r="ARL112" s="1167"/>
      <c r="ARM112" s="1167"/>
      <c r="ARN112" s="1167"/>
      <c r="ARO112" s="1167"/>
      <c r="ARP112" s="1167"/>
      <c r="ARQ112" s="1167"/>
      <c r="ARR112" s="1142"/>
      <c r="ARS112" s="1142"/>
      <c r="ART112" s="1142"/>
      <c r="ARU112" s="1142"/>
      <c r="ARV112" s="1142"/>
      <c r="ARW112" s="1142"/>
      <c r="ARX112" s="1142"/>
      <c r="ARY112" s="1142"/>
      <c r="ARZ112" s="1142"/>
      <c r="ASA112" s="1142"/>
      <c r="ASB112" s="1142"/>
      <c r="ASC112" s="1142"/>
      <c r="ASD112" s="1142"/>
      <c r="ASE112" s="1142"/>
      <c r="ASF112" s="1142"/>
      <c r="ASG112" s="1142"/>
      <c r="ASH112" s="1142"/>
      <c r="ASI112" s="1142"/>
      <c r="ASJ112" s="1142"/>
      <c r="ASK112" s="1142"/>
      <c r="ASL112" s="1142"/>
      <c r="ASM112" s="1142"/>
      <c r="ASN112" s="1142"/>
      <c r="ASO112" s="1167"/>
      <c r="ASP112" s="1167"/>
      <c r="ASQ112" s="1167"/>
      <c r="ASR112" s="1167"/>
      <c r="ASS112" s="1167"/>
      <c r="AST112" s="1167"/>
      <c r="ASU112" s="1167"/>
      <c r="ASV112" s="1167"/>
      <c r="ASW112" s="1167"/>
      <c r="ASX112" s="1142"/>
      <c r="ASY112" s="1142"/>
      <c r="ASZ112" s="1142"/>
      <c r="ATA112" s="1142"/>
      <c r="ATB112" s="1142"/>
      <c r="ATC112" s="1142"/>
      <c r="ATD112" s="1142"/>
      <c r="ATE112" s="1142"/>
      <c r="ATF112" s="1142"/>
      <c r="ATG112" s="1142"/>
      <c r="ATH112" s="1142"/>
      <c r="ATI112" s="1142"/>
      <c r="ATJ112" s="1142"/>
      <c r="ATK112" s="1142"/>
      <c r="ATL112" s="1142"/>
      <c r="ATM112" s="1142"/>
      <c r="ATN112" s="1142"/>
      <c r="ATO112" s="1142"/>
      <c r="ATP112" s="1142"/>
      <c r="ATQ112" s="1142"/>
      <c r="ATR112" s="1142"/>
      <c r="ATS112" s="1142"/>
      <c r="ATT112" s="1142"/>
      <c r="ATU112" s="1167"/>
      <c r="ATV112" s="1167"/>
      <c r="ATW112" s="1167"/>
      <c r="ATX112" s="1167"/>
      <c r="ATY112" s="1167"/>
      <c r="ATZ112" s="1167"/>
      <c r="AUA112" s="1167"/>
      <c r="AUB112" s="1167"/>
      <c r="AUC112" s="1167"/>
      <c r="AUD112" s="1142"/>
      <c r="AUE112" s="1142"/>
      <c r="AUF112" s="1142"/>
      <c r="AUG112" s="1142"/>
      <c r="AUH112" s="1142"/>
      <c r="AUI112" s="1142"/>
      <c r="AUJ112" s="1142"/>
      <c r="AUK112" s="1142"/>
      <c r="AUL112" s="1142"/>
      <c r="AUM112" s="1142"/>
      <c r="AUN112" s="1142"/>
      <c r="AUO112" s="1142"/>
      <c r="AUP112" s="1142"/>
      <c r="AUQ112" s="1142"/>
      <c r="AUR112" s="1142"/>
      <c r="AUS112" s="1142"/>
      <c r="AUT112" s="1142"/>
      <c r="AUU112" s="1142"/>
      <c r="AUV112" s="1142"/>
      <c r="AUW112" s="1142"/>
      <c r="AUX112" s="1142"/>
      <c r="AUY112" s="1142"/>
      <c r="AUZ112" s="1142"/>
      <c r="AVA112" s="1167"/>
      <c r="AVB112" s="1167"/>
      <c r="AVC112" s="1167"/>
      <c r="AVD112" s="1167"/>
      <c r="AVE112" s="1167"/>
      <c r="AVF112" s="1167"/>
      <c r="AVG112" s="1167"/>
      <c r="AVH112" s="1167"/>
      <c r="AVI112" s="1167"/>
      <c r="AVJ112" s="1142"/>
      <c r="AVK112" s="1142"/>
      <c r="AVL112" s="1142"/>
      <c r="AVM112" s="1142"/>
      <c r="AVN112" s="1142"/>
      <c r="AVO112" s="1142"/>
      <c r="AVP112" s="1142"/>
      <c r="AVQ112" s="1142"/>
      <c r="AVR112" s="1142"/>
      <c r="AVS112" s="1142"/>
      <c r="AVT112" s="1142"/>
      <c r="AVU112" s="1142"/>
      <c r="AVV112" s="1142"/>
      <c r="AVW112" s="1142"/>
      <c r="AVX112" s="1142"/>
      <c r="AVY112" s="1142"/>
      <c r="AVZ112" s="1142"/>
      <c r="AWA112" s="1142"/>
      <c r="AWB112" s="1142"/>
      <c r="AWC112" s="1142"/>
      <c r="AWD112" s="1142"/>
      <c r="AWE112" s="1142"/>
      <c r="AWF112" s="1142"/>
      <c r="AWG112" s="1167"/>
      <c r="AWH112" s="1167"/>
      <c r="AWI112" s="1167"/>
      <c r="AWJ112" s="1167"/>
      <c r="AWK112" s="1167"/>
      <c r="AWL112" s="1167"/>
      <c r="AWM112" s="1167"/>
      <c r="AWN112" s="1167"/>
      <c r="AWO112" s="1167"/>
      <c r="AWP112" s="1142"/>
      <c r="AWQ112" s="1142"/>
      <c r="AWR112" s="1142"/>
      <c r="AWS112" s="1142"/>
      <c r="AWT112" s="1142"/>
      <c r="AWU112" s="1142"/>
      <c r="AWV112" s="1142"/>
      <c r="AWW112" s="1142"/>
      <c r="AWX112" s="1142"/>
      <c r="AWY112" s="1142"/>
      <c r="AWZ112" s="1142"/>
      <c r="AXA112" s="1142"/>
      <c r="AXB112" s="1142"/>
      <c r="AXC112" s="1142"/>
      <c r="AXD112" s="1142"/>
      <c r="AXE112" s="1142"/>
      <c r="AXF112" s="1142"/>
      <c r="AXG112" s="1142"/>
      <c r="AXH112" s="1142"/>
      <c r="AXI112" s="1142"/>
      <c r="AXJ112" s="1142"/>
      <c r="AXK112" s="1142"/>
      <c r="AXL112" s="1142"/>
      <c r="AXM112" s="1167"/>
      <c r="AXN112" s="1167"/>
      <c r="AXO112" s="1167"/>
      <c r="AXP112" s="1167"/>
      <c r="AXQ112" s="1167"/>
      <c r="AXR112" s="1167"/>
      <c r="AXS112" s="1167"/>
      <c r="AXT112" s="1167"/>
      <c r="AXU112" s="1167"/>
      <c r="AXV112" s="1142"/>
      <c r="AXW112" s="1142"/>
      <c r="AXX112" s="1142"/>
      <c r="AXY112" s="1142"/>
      <c r="AXZ112" s="1142"/>
      <c r="AYA112" s="1142"/>
      <c r="AYB112" s="1142"/>
      <c r="AYC112" s="1142"/>
      <c r="AYD112" s="1142"/>
      <c r="AYE112" s="1142"/>
      <c r="AYF112" s="1142"/>
      <c r="AYG112" s="1142"/>
      <c r="AYH112" s="1142"/>
      <c r="AYI112" s="1142"/>
      <c r="AYJ112" s="1142"/>
      <c r="AYK112" s="1142"/>
      <c r="AYL112" s="1142"/>
      <c r="AYM112" s="1142"/>
      <c r="AYN112" s="1142"/>
      <c r="AYO112" s="1142"/>
      <c r="AYP112" s="1142"/>
      <c r="AYQ112" s="1142"/>
      <c r="AYR112" s="1142"/>
      <c r="AYS112" s="1167"/>
      <c r="AYT112" s="1167"/>
      <c r="AYU112" s="1167"/>
      <c r="AYV112" s="1167"/>
      <c r="AYW112" s="1167"/>
      <c r="AYX112" s="1167"/>
      <c r="AYY112" s="1167"/>
      <c r="AYZ112" s="1167"/>
      <c r="AZA112" s="1167"/>
      <c r="AZB112" s="1142"/>
      <c r="AZC112" s="1142"/>
      <c r="AZD112" s="1142"/>
      <c r="AZE112" s="1142"/>
      <c r="AZF112" s="1142"/>
      <c r="AZG112" s="1142"/>
      <c r="AZH112" s="1142"/>
      <c r="AZI112" s="1142"/>
      <c r="AZJ112" s="1142"/>
      <c r="AZK112" s="1142"/>
      <c r="AZL112" s="1142"/>
      <c r="AZM112" s="1142"/>
      <c r="AZN112" s="1142"/>
      <c r="AZO112" s="1142"/>
      <c r="AZP112" s="1142"/>
      <c r="AZQ112" s="1142"/>
      <c r="AZR112" s="1142"/>
      <c r="AZS112" s="1142"/>
      <c r="AZT112" s="1142"/>
      <c r="AZU112" s="1142"/>
      <c r="AZV112" s="1142"/>
      <c r="AZW112" s="1142"/>
      <c r="AZX112" s="1142"/>
      <c r="AZY112" s="1167"/>
      <c r="AZZ112" s="1167"/>
      <c r="BAA112" s="1167"/>
      <c r="BAB112" s="1167"/>
      <c r="BAC112" s="1167"/>
      <c r="BAD112" s="1167"/>
      <c r="BAE112" s="1167"/>
      <c r="BAF112" s="1167"/>
      <c r="BAG112" s="1167"/>
      <c r="BAH112" s="1142"/>
      <c r="BAI112" s="1142"/>
      <c r="BAJ112" s="1142"/>
      <c r="BAK112" s="1142"/>
      <c r="BAL112" s="1142"/>
      <c r="BAM112" s="1142"/>
      <c r="BAN112" s="1142"/>
      <c r="BAO112" s="1142"/>
      <c r="BAP112" s="1142"/>
      <c r="BAQ112" s="1142"/>
      <c r="BAR112" s="1142"/>
      <c r="BAS112" s="1142"/>
      <c r="BAT112" s="1142"/>
      <c r="BAU112" s="1142"/>
      <c r="BAV112" s="1142"/>
      <c r="BAW112" s="1142"/>
      <c r="BAX112" s="1142"/>
      <c r="BAY112" s="1142"/>
      <c r="BAZ112" s="1142"/>
      <c r="BBA112" s="1142"/>
      <c r="BBB112" s="1142"/>
      <c r="BBC112" s="1142"/>
      <c r="BBD112" s="1142"/>
      <c r="BBE112" s="1167"/>
      <c r="BBF112" s="1167"/>
      <c r="BBG112" s="1167"/>
      <c r="BBH112" s="1167"/>
      <c r="BBI112" s="1167"/>
      <c r="BBJ112" s="1167"/>
      <c r="BBK112" s="1167"/>
      <c r="BBL112" s="1167"/>
      <c r="BBM112" s="1167"/>
      <c r="BBN112" s="1142"/>
      <c r="BBO112" s="1142"/>
      <c r="BBP112" s="1142"/>
      <c r="BBQ112" s="1142"/>
      <c r="BBR112" s="1142"/>
      <c r="BBS112" s="1142"/>
      <c r="BBT112" s="1142"/>
      <c r="BBU112" s="1142"/>
      <c r="BBV112" s="1142"/>
      <c r="BBW112" s="1142"/>
      <c r="BBX112" s="1142"/>
      <c r="BBY112" s="1142"/>
      <c r="BBZ112" s="1142"/>
      <c r="BCA112" s="1142"/>
      <c r="BCB112" s="1142"/>
      <c r="BCC112" s="1142"/>
      <c r="BCD112" s="1142"/>
      <c r="BCE112" s="1142"/>
      <c r="BCF112" s="1142"/>
      <c r="BCG112" s="1142"/>
      <c r="BCH112" s="1142"/>
      <c r="BCI112" s="1142"/>
      <c r="BCJ112" s="1142"/>
      <c r="BCK112" s="1167"/>
      <c r="BCL112" s="1167"/>
      <c r="BCM112" s="1167"/>
      <c r="BCN112" s="1167"/>
      <c r="BCO112" s="1167"/>
      <c r="BCP112" s="1167"/>
      <c r="BCQ112" s="1167"/>
      <c r="BCR112" s="1167"/>
      <c r="BCS112" s="1167"/>
      <c r="BCT112" s="1142"/>
      <c r="BCU112" s="1142"/>
      <c r="BCV112" s="1142"/>
      <c r="BCW112" s="1142"/>
      <c r="BCX112" s="1142"/>
      <c r="BCY112" s="1142"/>
      <c r="BCZ112" s="1142"/>
      <c r="BDA112" s="1142"/>
      <c r="BDB112" s="1142"/>
      <c r="BDC112" s="1142"/>
      <c r="BDD112" s="1142"/>
      <c r="BDE112" s="1142"/>
      <c r="BDF112" s="1142"/>
      <c r="BDG112" s="1142"/>
      <c r="BDH112" s="1142"/>
      <c r="BDI112" s="1142"/>
      <c r="BDJ112" s="1142"/>
      <c r="BDK112" s="1142"/>
      <c r="BDL112" s="1142"/>
      <c r="BDM112" s="1142"/>
      <c r="BDN112" s="1142"/>
      <c r="BDO112" s="1142"/>
      <c r="BDP112" s="1142"/>
      <c r="BDQ112" s="1167"/>
      <c r="BDR112" s="1167"/>
      <c r="BDS112" s="1167"/>
      <c r="BDT112" s="1167"/>
      <c r="BDU112" s="1167"/>
      <c r="BDV112" s="1167"/>
      <c r="BDW112" s="1167"/>
      <c r="BDX112" s="1167"/>
      <c r="BDY112" s="1167"/>
      <c r="BDZ112" s="1142"/>
      <c r="BEA112" s="1142"/>
      <c r="BEB112" s="1142"/>
      <c r="BEC112" s="1142"/>
      <c r="BED112" s="1142"/>
      <c r="BEE112" s="1142"/>
      <c r="BEF112" s="1142"/>
      <c r="BEG112" s="1142"/>
      <c r="BEH112" s="1142"/>
      <c r="BEI112" s="1142"/>
      <c r="BEJ112" s="1142"/>
      <c r="BEK112" s="1142"/>
      <c r="BEL112" s="1142"/>
      <c r="BEM112" s="1142"/>
      <c r="BEN112" s="1142"/>
      <c r="BEO112" s="1142"/>
      <c r="BEP112" s="1142"/>
      <c r="BEQ112" s="1142"/>
      <c r="BER112" s="1142"/>
      <c r="BES112" s="1142"/>
      <c r="BET112" s="1142"/>
      <c r="BEU112" s="1142"/>
      <c r="BEV112" s="1142"/>
      <c r="BEW112" s="1167"/>
      <c r="BEX112" s="1167"/>
      <c r="BEY112" s="1167"/>
      <c r="BEZ112" s="1167"/>
      <c r="BFA112" s="1167"/>
      <c r="BFB112" s="1167"/>
      <c r="BFC112" s="1167"/>
      <c r="BFD112" s="1167"/>
      <c r="BFE112" s="1167"/>
      <c r="BFF112" s="1142"/>
      <c r="BFG112" s="1142"/>
      <c r="BFH112" s="1142"/>
      <c r="BFI112" s="1142"/>
      <c r="BFJ112" s="1142"/>
      <c r="BFK112" s="1142"/>
      <c r="BFL112" s="1142"/>
      <c r="BFM112" s="1142"/>
      <c r="BFN112" s="1142"/>
      <c r="BFO112" s="1142"/>
      <c r="BFP112" s="1142"/>
      <c r="BFQ112" s="1142"/>
      <c r="BFR112" s="1142"/>
      <c r="BFS112" s="1142"/>
      <c r="BFT112" s="1142"/>
      <c r="BFU112" s="1142"/>
      <c r="BFV112" s="1142"/>
      <c r="BFW112" s="1142"/>
      <c r="BFX112" s="1142"/>
      <c r="BFY112" s="1142"/>
      <c r="BFZ112" s="1142"/>
      <c r="BGA112" s="1142"/>
      <c r="BGB112" s="1142"/>
      <c r="BGC112" s="1167"/>
      <c r="BGD112" s="1167"/>
      <c r="BGE112" s="1167"/>
      <c r="BGF112" s="1167"/>
      <c r="BGG112" s="1167"/>
      <c r="BGH112" s="1167"/>
      <c r="BGI112" s="1167"/>
      <c r="BGJ112" s="1167"/>
      <c r="BGK112" s="1167"/>
      <c r="BGL112" s="1142"/>
      <c r="BGM112" s="1142"/>
      <c r="BGN112" s="1142"/>
      <c r="BGO112" s="1142"/>
      <c r="BGP112" s="1142"/>
      <c r="BGQ112" s="1142"/>
      <c r="BGR112" s="1142"/>
      <c r="BGS112" s="1142"/>
      <c r="BGT112" s="1142"/>
      <c r="BGU112" s="1142"/>
      <c r="BGV112" s="1142"/>
      <c r="BGW112" s="1142"/>
      <c r="BGX112" s="1142"/>
      <c r="BGY112" s="1142"/>
      <c r="BGZ112" s="1142"/>
      <c r="BHA112" s="1142"/>
      <c r="BHB112" s="1142"/>
      <c r="BHC112" s="1142"/>
      <c r="BHD112" s="1142"/>
      <c r="BHE112" s="1142"/>
      <c r="BHF112" s="1142"/>
      <c r="BHG112" s="1142"/>
      <c r="BHH112" s="1142"/>
      <c r="BHI112" s="1167"/>
      <c r="BHJ112" s="1167"/>
      <c r="BHK112" s="1167"/>
      <c r="BHL112" s="1167"/>
      <c r="BHM112" s="1167"/>
      <c r="BHN112" s="1167"/>
      <c r="BHO112" s="1167"/>
      <c r="BHP112" s="1167"/>
      <c r="BHQ112" s="1167"/>
      <c r="BHR112" s="1142"/>
      <c r="BHS112" s="1142"/>
      <c r="BHT112" s="1142"/>
      <c r="BHU112" s="1142"/>
      <c r="BHV112" s="1142"/>
      <c r="BHW112" s="1142"/>
      <c r="BHX112" s="1142"/>
      <c r="BHY112" s="1142"/>
      <c r="BHZ112" s="1142"/>
      <c r="BIA112" s="1142"/>
      <c r="BIB112" s="1142"/>
      <c r="BIC112" s="1142"/>
      <c r="BID112" s="1142"/>
      <c r="BIE112" s="1142"/>
      <c r="BIF112" s="1142"/>
      <c r="BIG112" s="1142"/>
      <c r="BIH112" s="1142"/>
      <c r="BII112" s="1142"/>
      <c r="BIJ112" s="1142"/>
      <c r="BIK112" s="1142"/>
      <c r="BIL112" s="1142"/>
      <c r="BIM112" s="1142"/>
      <c r="BIN112" s="1142"/>
      <c r="BIO112" s="1167"/>
      <c r="BIP112" s="1167"/>
      <c r="BIQ112" s="1167"/>
      <c r="BIR112" s="1167"/>
      <c r="BIS112" s="1167"/>
      <c r="BIT112" s="1167"/>
      <c r="BIU112" s="1167"/>
      <c r="BIV112" s="1167"/>
      <c r="BIW112" s="1167"/>
      <c r="BIX112" s="1142"/>
      <c r="BIY112" s="1142"/>
      <c r="BIZ112" s="1142"/>
      <c r="BJA112" s="1142"/>
      <c r="BJB112" s="1142"/>
      <c r="BJC112" s="1142"/>
      <c r="BJD112" s="1142"/>
      <c r="BJE112" s="1142"/>
      <c r="BJF112" s="1142"/>
      <c r="BJG112" s="1142"/>
      <c r="BJH112" s="1142"/>
      <c r="BJI112" s="1142"/>
      <c r="BJJ112" s="1142"/>
      <c r="BJK112" s="1142"/>
      <c r="BJL112" s="1142"/>
      <c r="BJM112" s="1142"/>
      <c r="BJN112" s="1142"/>
      <c r="BJO112" s="1142"/>
      <c r="BJP112" s="1142"/>
      <c r="BJQ112" s="1142"/>
      <c r="BJR112" s="1142"/>
      <c r="BJS112" s="1142"/>
      <c r="BJT112" s="1142"/>
      <c r="BJU112" s="1167"/>
      <c r="BJV112" s="1167"/>
      <c r="BJW112" s="1167"/>
      <c r="BJX112" s="1167"/>
      <c r="BJY112" s="1167"/>
      <c r="BJZ112" s="1167"/>
      <c r="BKA112" s="1167"/>
      <c r="BKB112" s="1167"/>
      <c r="BKC112" s="1167"/>
      <c r="BKD112" s="1142"/>
      <c r="BKE112" s="1142"/>
      <c r="BKF112" s="1142"/>
      <c r="BKG112" s="1142"/>
      <c r="BKH112" s="1142"/>
      <c r="BKI112" s="1142"/>
      <c r="BKJ112" s="1142"/>
      <c r="BKK112" s="1142"/>
      <c r="BKL112" s="1142"/>
      <c r="BKM112" s="1142"/>
      <c r="BKN112" s="1142"/>
      <c r="BKO112" s="1142"/>
      <c r="BKP112" s="1142"/>
      <c r="BKQ112" s="1142"/>
      <c r="BKR112" s="1142"/>
      <c r="BKS112" s="1142"/>
      <c r="BKT112" s="1142"/>
      <c r="BKU112" s="1142"/>
      <c r="BKV112" s="1142"/>
      <c r="BKW112" s="1142"/>
      <c r="BKX112" s="1142"/>
      <c r="BKY112" s="1142"/>
      <c r="BKZ112" s="1142"/>
      <c r="BLA112" s="1167"/>
      <c r="BLB112" s="1167"/>
      <c r="BLC112" s="1167"/>
      <c r="BLD112" s="1167"/>
      <c r="BLE112" s="1167"/>
      <c r="BLF112" s="1167"/>
      <c r="BLG112" s="1167"/>
      <c r="BLH112" s="1167"/>
      <c r="BLI112" s="1167"/>
      <c r="BLJ112" s="1142"/>
      <c r="BLK112" s="1142"/>
      <c r="BLL112" s="1142"/>
      <c r="BLM112" s="1142"/>
      <c r="BLN112" s="1142"/>
      <c r="BLO112" s="1142"/>
      <c r="BLP112" s="1142"/>
      <c r="BLQ112" s="1142"/>
      <c r="BLR112" s="1142"/>
      <c r="BLS112" s="1142"/>
      <c r="BLT112" s="1142"/>
      <c r="BLU112" s="1142"/>
      <c r="BLV112" s="1142"/>
      <c r="BLW112" s="1142"/>
      <c r="BLX112" s="1142"/>
      <c r="BLY112" s="1142"/>
      <c r="BLZ112" s="1142"/>
      <c r="BMA112" s="1142"/>
      <c r="BMB112" s="1142"/>
      <c r="BMC112" s="1142"/>
      <c r="BMD112" s="1142"/>
      <c r="BME112" s="1142"/>
      <c r="BMF112" s="1142"/>
      <c r="BMG112" s="1167"/>
      <c r="BMH112" s="1167"/>
      <c r="BMI112" s="1167"/>
      <c r="BMJ112" s="1167"/>
      <c r="BMK112" s="1167"/>
      <c r="BML112" s="1167"/>
      <c r="BMM112" s="1167"/>
      <c r="BMN112" s="1167"/>
      <c r="BMO112" s="1167"/>
      <c r="BMP112" s="1142"/>
      <c r="BMQ112" s="1142"/>
      <c r="BMR112" s="1142"/>
      <c r="BMS112" s="1142"/>
      <c r="BMT112" s="1142"/>
      <c r="BMU112" s="1142"/>
      <c r="BMV112" s="1142"/>
      <c r="BMW112" s="1142"/>
      <c r="BMX112" s="1142"/>
      <c r="BMY112" s="1142"/>
      <c r="BMZ112" s="1142"/>
      <c r="BNA112" s="1142"/>
      <c r="BNB112" s="1142"/>
      <c r="BNC112" s="1142"/>
      <c r="BND112" s="1142"/>
      <c r="BNE112" s="1142"/>
      <c r="BNF112" s="1142"/>
      <c r="BNG112" s="1142"/>
      <c r="BNH112" s="1142"/>
      <c r="BNI112" s="1142"/>
      <c r="BNJ112" s="1142"/>
      <c r="BNK112" s="1142"/>
      <c r="BNL112" s="1142"/>
      <c r="BNM112" s="1167"/>
      <c r="BNN112" s="1167"/>
      <c r="BNO112" s="1167"/>
      <c r="BNP112" s="1167"/>
      <c r="BNQ112" s="1167"/>
      <c r="BNR112" s="1167"/>
      <c r="BNS112" s="1167"/>
      <c r="BNT112" s="1167"/>
      <c r="BNU112" s="1167"/>
      <c r="BNV112" s="1142"/>
      <c r="BNW112" s="1142"/>
      <c r="BNX112" s="1142"/>
      <c r="BNY112" s="1142"/>
      <c r="BNZ112" s="1142"/>
      <c r="BOA112" s="1142"/>
      <c r="BOB112" s="1142"/>
      <c r="BOC112" s="1142"/>
      <c r="BOD112" s="1142"/>
      <c r="BOE112" s="1142"/>
      <c r="BOF112" s="1142"/>
      <c r="BOG112" s="1142"/>
      <c r="BOH112" s="1142"/>
      <c r="BOI112" s="1142"/>
      <c r="BOJ112" s="1142"/>
      <c r="BOK112" s="1142"/>
      <c r="BOL112" s="1142"/>
      <c r="BOM112" s="1142"/>
      <c r="BON112" s="1142"/>
      <c r="BOO112" s="1142"/>
      <c r="BOP112" s="1142"/>
      <c r="BOQ112" s="1142"/>
      <c r="BOR112" s="1142"/>
      <c r="BOS112" s="1167"/>
      <c r="BOT112" s="1167"/>
      <c r="BOU112" s="1167"/>
      <c r="BOV112" s="1167"/>
      <c r="BOW112" s="1167"/>
      <c r="BOX112" s="1167"/>
      <c r="BOY112" s="1167"/>
      <c r="BOZ112" s="1167"/>
      <c r="BPA112" s="1167"/>
      <c r="BPB112" s="1142"/>
      <c r="BPC112" s="1142"/>
      <c r="BPD112" s="1142"/>
      <c r="BPE112" s="1142"/>
      <c r="BPF112" s="1142"/>
      <c r="BPG112" s="1142"/>
      <c r="BPH112" s="1142"/>
      <c r="BPI112" s="1142"/>
      <c r="BPJ112" s="1142"/>
      <c r="BPK112" s="1142"/>
      <c r="BPL112" s="1142"/>
      <c r="BPM112" s="1142"/>
      <c r="BPN112" s="1142"/>
      <c r="BPO112" s="1142"/>
      <c r="BPP112" s="1142"/>
      <c r="BPQ112" s="1142"/>
      <c r="BPR112" s="1142"/>
      <c r="BPS112" s="1142"/>
      <c r="BPT112" s="1142"/>
      <c r="BPU112" s="1142"/>
      <c r="BPV112" s="1142"/>
      <c r="BPW112" s="1142"/>
      <c r="BPX112" s="1142"/>
      <c r="BPY112" s="1167"/>
      <c r="BPZ112" s="1167"/>
      <c r="BQA112" s="1167"/>
      <c r="BQB112" s="1167"/>
      <c r="BQC112" s="1167"/>
      <c r="BQD112" s="1167"/>
      <c r="BQE112" s="1167"/>
      <c r="BQF112" s="1167"/>
      <c r="BQG112" s="1167"/>
      <c r="BQH112" s="1142"/>
      <c r="BQI112" s="1142"/>
      <c r="BQJ112" s="1142"/>
      <c r="BQK112" s="1142"/>
      <c r="BQL112" s="1142"/>
      <c r="BQM112" s="1142"/>
      <c r="BQN112" s="1142"/>
      <c r="BQO112" s="1142"/>
      <c r="BQP112" s="1142"/>
      <c r="BQQ112" s="1142"/>
      <c r="BQR112" s="1142"/>
      <c r="BQS112" s="1142"/>
      <c r="BQT112" s="1142"/>
      <c r="BQU112" s="1142"/>
      <c r="BQV112" s="1142"/>
      <c r="BQW112" s="1142"/>
      <c r="BQX112" s="1142"/>
      <c r="BQY112" s="1142"/>
      <c r="BQZ112" s="1142"/>
      <c r="BRA112" s="1142"/>
      <c r="BRB112" s="1142"/>
      <c r="BRC112" s="1142"/>
      <c r="BRD112" s="1142"/>
      <c r="BRE112" s="1167"/>
      <c r="BRF112" s="1167"/>
      <c r="BRG112" s="1167"/>
      <c r="BRH112" s="1167"/>
      <c r="BRI112" s="1167"/>
      <c r="BRJ112" s="1167"/>
      <c r="BRK112" s="1167"/>
      <c r="BRL112" s="1167"/>
      <c r="BRM112" s="1167"/>
      <c r="BRN112" s="1142"/>
      <c r="BRO112" s="1142"/>
      <c r="BRP112" s="1142"/>
      <c r="BRQ112" s="1142"/>
      <c r="BRR112" s="1142"/>
      <c r="BRS112" s="1142"/>
      <c r="BRT112" s="1142"/>
      <c r="BRU112" s="1142"/>
      <c r="BRV112" s="1142"/>
      <c r="BRW112" s="1142"/>
      <c r="BRX112" s="1142"/>
      <c r="BRY112" s="1142"/>
      <c r="BRZ112" s="1142"/>
      <c r="BSA112" s="1142"/>
      <c r="BSB112" s="1142"/>
      <c r="BSC112" s="1142"/>
      <c r="BSD112" s="1142"/>
      <c r="BSE112" s="1142"/>
      <c r="BSF112" s="1142"/>
      <c r="BSG112" s="1142"/>
      <c r="BSH112" s="1142"/>
      <c r="BSI112" s="1142"/>
      <c r="BSJ112" s="1142"/>
      <c r="BSK112" s="1167"/>
      <c r="BSL112" s="1167"/>
      <c r="BSM112" s="1167"/>
      <c r="BSN112" s="1167"/>
      <c r="BSO112" s="1167"/>
      <c r="BSP112" s="1167"/>
      <c r="BSQ112" s="1167"/>
      <c r="BSR112" s="1167"/>
      <c r="BSS112" s="1167"/>
      <c r="BST112" s="1142"/>
      <c r="BSU112" s="1142"/>
      <c r="BSV112" s="1142"/>
      <c r="BSW112" s="1142"/>
      <c r="BSX112" s="1142"/>
      <c r="BSY112" s="1142"/>
      <c r="BSZ112" s="1142"/>
      <c r="BTA112" s="1142"/>
      <c r="BTB112" s="1142"/>
      <c r="BTC112" s="1142"/>
      <c r="BTD112" s="1142"/>
      <c r="BTE112" s="1142"/>
      <c r="BTF112" s="1142"/>
      <c r="BTG112" s="1142"/>
      <c r="BTH112" s="1142"/>
      <c r="BTI112" s="1142"/>
      <c r="BTJ112" s="1142"/>
      <c r="BTK112" s="1142"/>
      <c r="BTL112" s="1142"/>
      <c r="BTM112" s="1142"/>
      <c r="BTN112" s="1142"/>
      <c r="BTO112" s="1142"/>
      <c r="BTP112" s="1142"/>
      <c r="BTQ112" s="1167"/>
      <c r="BTR112" s="1167"/>
      <c r="BTS112" s="1167"/>
      <c r="BTT112" s="1167"/>
      <c r="BTU112" s="1167"/>
      <c r="BTV112" s="1167"/>
      <c r="BTW112" s="1167"/>
      <c r="BTX112" s="1167"/>
      <c r="BTY112" s="1167"/>
      <c r="BTZ112" s="1142"/>
      <c r="BUA112" s="1142"/>
      <c r="BUB112" s="1142"/>
      <c r="BUC112" s="1142"/>
      <c r="BUD112" s="1142"/>
      <c r="BUE112" s="1142"/>
      <c r="BUF112" s="1142"/>
      <c r="BUG112" s="1142"/>
      <c r="BUH112" s="1142"/>
      <c r="BUI112" s="1142"/>
      <c r="BUJ112" s="1142"/>
      <c r="BUK112" s="1142"/>
      <c r="BUL112" s="1142"/>
      <c r="BUM112" s="1142"/>
      <c r="BUN112" s="1142"/>
      <c r="BUO112" s="1142"/>
      <c r="BUP112" s="1142"/>
      <c r="BUQ112" s="1142"/>
      <c r="BUR112" s="1142"/>
      <c r="BUS112" s="1142"/>
      <c r="BUT112" s="1142"/>
      <c r="BUU112" s="1142"/>
      <c r="BUV112" s="1142"/>
      <c r="BUW112" s="1167"/>
      <c r="BUX112" s="1167"/>
      <c r="BUY112" s="1167"/>
      <c r="BUZ112" s="1167"/>
      <c r="BVA112" s="1167"/>
      <c r="BVB112" s="1167"/>
      <c r="BVC112" s="1167"/>
      <c r="BVD112" s="1167"/>
      <c r="BVE112" s="1167"/>
      <c r="BVF112" s="1142"/>
      <c r="BVG112" s="1142"/>
      <c r="BVH112" s="1142"/>
      <c r="BVI112" s="1142"/>
      <c r="BVJ112" s="1142"/>
      <c r="BVK112" s="1142"/>
      <c r="BVL112" s="1142"/>
      <c r="BVM112" s="1142"/>
      <c r="BVN112" s="1142"/>
      <c r="BVO112" s="1142"/>
      <c r="BVP112" s="1142"/>
      <c r="BVQ112" s="1142"/>
      <c r="BVR112" s="1142"/>
      <c r="BVS112" s="1142"/>
      <c r="BVT112" s="1142"/>
      <c r="BVU112" s="1142"/>
      <c r="BVV112" s="1142"/>
      <c r="BVW112" s="1142"/>
      <c r="BVX112" s="1142"/>
      <c r="BVY112" s="1142"/>
      <c r="BVZ112" s="1142"/>
      <c r="BWA112" s="1142"/>
      <c r="BWB112" s="1142"/>
      <c r="BWC112" s="1167"/>
      <c r="BWD112" s="1167"/>
      <c r="BWE112" s="1167"/>
      <c r="BWF112" s="1167"/>
      <c r="BWG112" s="1167"/>
      <c r="BWH112" s="1167"/>
      <c r="BWI112" s="1167"/>
      <c r="BWJ112" s="1167"/>
      <c r="BWK112" s="1167"/>
      <c r="BWL112" s="1142"/>
      <c r="BWM112" s="1142"/>
      <c r="BWN112" s="1142"/>
      <c r="BWO112" s="1142"/>
      <c r="BWP112" s="1142"/>
      <c r="BWQ112" s="1142"/>
      <c r="BWR112" s="1142"/>
      <c r="BWS112" s="1142"/>
      <c r="BWT112" s="1142"/>
      <c r="BWU112" s="1142"/>
      <c r="BWV112" s="1142"/>
      <c r="BWW112" s="1142"/>
      <c r="BWX112" s="1142"/>
      <c r="BWY112" s="1142"/>
      <c r="BWZ112" s="1142"/>
      <c r="BXA112" s="1142"/>
      <c r="BXB112" s="1142"/>
      <c r="BXC112" s="1142"/>
      <c r="BXD112" s="1142"/>
      <c r="BXE112" s="1142"/>
      <c r="BXF112" s="1142"/>
      <c r="BXG112" s="1142"/>
      <c r="BXH112" s="1142"/>
      <c r="BXI112" s="1167"/>
      <c r="BXJ112" s="1167"/>
      <c r="BXK112" s="1167"/>
      <c r="BXL112" s="1167"/>
      <c r="BXM112" s="1167"/>
      <c r="BXN112" s="1167"/>
      <c r="BXO112" s="1167"/>
      <c r="BXP112" s="1167"/>
      <c r="BXQ112" s="1167"/>
      <c r="BXR112" s="1142"/>
      <c r="BXS112" s="1142"/>
      <c r="BXT112" s="1142"/>
      <c r="BXU112" s="1142"/>
      <c r="BXV112" s="1142"/>
      <c r="BXW112" s="1142"/>
      <c r="BXX112" s="1142"/>
      <c r="BXY112" s="1142"/>
      <c r="BXZ112" s="1142"/>
      <c r="BYA112" s="1142"/>
      <c r="BYB112" s="1142"/>
      <c r="BYC112" s="1142"/>
      <c r="BYD112" s="1142"/>
      <c r="BYE112" s="1142"/>
      <c r="BYF112" s="1142"/>
      <c r="BYG112" s="1142"/>
      <c r="BYH112" s="1142"/>
      <c r="BYI112" s="1142"/>
      <c r="BYJ112" s="1142"/>
      <c r="BYK112" s="1142"/>
      <c r="BYL112" s="1142"/>
      <c r="BYM112" s="1142"/>
      <c r="BYN112" s="1142"/>
      <c r="BYO112" s="1167"/>
      <c r="BYP112" s="1167"/>
      <c r="BYQ112" s="1167"/>
      <c r="BYR112" s="1167"/>
      <c r="BYS112" s="1167"/>
      <c r="BYT112" s="1167"/>
      <c r="BYU112" s="1167"/>
      <c r="BYV112" s="1167"/>
      <c r="BYW112" s="1167"/>
      <c r="BYX112" s="1142"/>
      <c r="BYY112" s="1142"/>
      <c r="BYZ112" s="1142"/>
      <c r="BZA112" s="1142"/>
      <c r="BZB112" s="1142"/>
      <c r="BZC112" s="1142"/>
      <c r="BZD112" s="1142"/>
      <c r="BZE112" s="1142"/>
      <c r="BZF112" s="1142"/>
      <c r="BZG112" s="1142"/>
      <c r="BZH112" s="1142"/>
      <c r="BZI112" s="1142"/>
      <c r="BZJ112" s="1142"/>
      <c r="BZK112" s="1142"/>
      <c r="BZL112" s="1142"/>
      <c r="BZM112" s="1142"/>
      <c r="BZN112" s="1142"/>
      <c r="BZO112" s="1142"/>
      <c r="BZP112" s="1142"/>
      <c r="BZQ112" s="1142"/>
      <c r="BZR112" s="1142"/>
      <c r="BZS112" s="1142"/>
      <c r="BZT112" s="1142"/>
      <c r="BZU112" s="1167"/>
      <c r="BZV112" s="1167"/>
      <c r="BZW112" s="1167"/>
      <c r="BZX112" s="1167"/>
      <c r="BZY112" s="1167"/>
      <c r="BZZ112" s="1167"/>
      <c r="CAA112" s="1167"/>
      <c r="CAB112" s="1167"/>
      <c r="CAC112" s="1167"/>
      <c r="CAD112" s="1142"/>
      <c r="CAE112" s="1142"/>
      <c r="CAF112" s="1142"/>
      <c r="CAG112" s="1142"/>
      <c r="CAH112" s="1142"/>
      <c r="CAI112" s="1142"/>
      <c r="CAJ112" s="1142"/>
      <c r="CAK112" s="1142"/>
      <c r="CAL112" s="1142"/>
      <c r="CAM112" s="1142"/>
      <c r="CAN112" s="1142"/>
      <c r="CAO112" s="1142"/>
      <c r="CAP112" s="1142"/>
      <c r="CAQ112" s="1142"/>
      <c r="CAR112" s="1142"/>
      <c r="CAS112" s="1142"/>
      <c r="CAT112" s="1142"/>
      <c r="CAU112" s="1142"/>
      <c r="CAV112" s="1142"/>
      <c r="CAW112" s="1142"/>
      <c r="CAX112" s="1142"/>
      <c r="CAY112" s="1142"/>
      <c r="CAZ112" s="1142"/>
      <c r="CBA112" s="1167"/>
      <c r="CBB112" s="1167"/>
      <c r="CBC112" s="1167"/>
      <c r="CBD112" s="1167"/>
      <c r="CBE112" s="1167"/>
      <c r="CBF112" s="1167"/>
      <c r="CBG112" s="1167"/>
      <c r="CBH112" s="1167"/>
      <c r="CBI112" s="1167"/>
      <c r="CBJ112" s="1142"/>
      <c r="CBK112" s="1142"/>
      <c r="CBL112" s="1142"/>
      <c r="CBM112" s="1142"/>
      <c r="CBN112" s="1142"/>
      <c r="CBO112" s="1142"/>
      <c r="CBP112" s="1142"/>
      <c r="CBQ112" s="1142"/>
      <c r="CBR112" s="1142"/>
      <c r="CBS112" s="1142"/>
      <c r="CBT112" s="1142"/>
      <c r="CBU112" s="1142"/>
      <c r="CBV112" s="1142"/>
      <c r="CBW112" s="1142"/>
      <c r="CBX112" s="1142"/>
      <c r="CBY112" s="1142"/>
      <c r="CBZ112" s="1142"/>
      <c r="CCA112" s="1142"/>
      <c r="CCB112" s="1142"/>
      <c r="CCC112" s="1142"/>
      <c r="CCD112" s="1142"/>
      <c r="CCE112" s="1142"/>
      <c r="CCF112" s="1142"/>
      <c r="CCG112" s="1167"/>
      <c r="CCH112" s="1167"/>
      <c r="CCI112" s="1167"/>
      <c r="CCJ112" s="1167"/>
      <c r="CCK112" s="1167"/>
      <c r="CCL112" s="1167"/>
      <c r="CCM112" s="1167"/>
      <c r="CCN112" s="1167"/>
      <c r="CCO112" s="1167"/>
      <c r="CCP112" s="1142"/>
      <c r="CCQ112" s="1142"/>
      <c r="CCR112" s="1142"/>
      <c r="CCS112" s="1142"/>
      <c r="CCT112" s="1142"/>
      <c r="CCU112" s="1142"/>
      <c r="CCV112" s="1142"/>
      <c r="CCW112" s="1142"/>
      <c r="CCX112" s="1142"/>
      <c r="CCY112" s="1142"/>
      <c r="CCZ112" s="1142"/>
      <c r="CDA112" s="1142"/>
      <c r="CDB112" s="1142"/>
      <c r="CDC112" s="1142"/>
      <c r="CDD112" s="1142"/>
      <c r="CDE112" s="1142"/>
      <c r="CDF112" s="1142"/>
      <c r="CDG112" s="1142"/>
      <c r="CDH112" s="1142"/>
      <c r="CDI112" s="1142"/>
      <c r="CDJ112" s="1142"/>
      <c r="CDK112" s="1142"/>
      <c r="CDL112" s="1142"/>
      <c r="CDM112" s="1167"/>
      <c r="CDN112" s="1167"/>
      <c r="CDO112" s="1167"/>
      <c r="CDP112" s="1167"/>
      <c r="CDQ112" s="1167"/>
      <c r="CDR112" s="1167"/>
      <c r="CDS112" s="1167"/>
      <c r="CDT112" s="1167"/>
      <c r="CDU112" s="1167"/>
      <c r="CDV112" s="1142"/>
      <c r="CDW112" s="1142"/>
      <c r="CDX112" s="1142"/>
      <c r="CDY112" s="1142"/>
      <c r="CDZ112" s="1142"/>
      <c r="CEA112" s="1142"/>
      <c r="CEB112" s="1142"/>
      <c r="CEC112" s="1142"/>
      <c r="CED112" s="1142"/>
      <c r="CEE112" s="1142"/>
      <c r="CEF112" s="1142"/>
      <c r="CEG112" s="1142"/>
      <c r="CEH112" s="1142"/>
      <c r="CEI112" s="1142"/>
      <c r="CEJ112" s="1142"/>
      <c r="CEK112" s="1142"/>
      <c r="CEL112" s="1142"/>
      <c r="CEM112" s="1142"/>
      <c r="CEN112" s="1142"/>
      <c r="CEO112" s="1142"/>
      <c r="CEP112" s="1142"/>
      <c r="CEQ112" s="1142"/>
      <c r="CER112" s="1142"/>
      <c r="CES112" s="1167"/>
      <c r="CET112" s="1167"/>
      <c r="CEU112" s="1167"/>
      <c r="CEV112" s="1167"/>
      <c r="CEW112" s="1167"/>
      <c r="CEX112" s="1167"/>
      <c r="CEY112" s="1167"/>
      <c r="CEZ112" s="1167"/>
      <c r="CFA112" s="1167"/>
      <c r="CFB112" s="1142"/>
      <c r="CFC112" s="1142"/>
      <c r="CFD112" s="1142"/>
      <c r="CFE112" s="1142"/>
      <c r="CFF112" s="1142"/>
      <c r="CFG112" s="1142"/>
      <c r="CFH112" s="1142"/>
      <c r="CFI112" s="1142"/>
      <c r="CFJ112" s="1142"/>
      <c r="CFK112" s="1142"/>
      <c r="CFL112" s="1142"/>
      <c r="CFM112" s="1142"/>
      <c r="CFN112" s="1142"/>
      <c r="CFO112" s="1142"/>
      <c r="CFP112" s="1142"/>
      <c r="CFQ112" s="1142"/>
      <c r="CFR112" s="1142"/>
      <c r="CFS112" s="1142"/>
      <c r="CFT112" s="1142"/>
      <c r="CFU112" s="1142"/>
      <c r="CFV112" s="1142"/>
      <c r="CFW112" s="1142"/>
      <c r="CFX112" s="1142"/>
      <c r="CFY112" s="1167"/>
      <c r="CFZ112" s="1167"/>
      <c r="CGA112" s="1167"/>
      <c r="CGB112" s="1167"/>
      <c r="CGC112" s="1167"/>
      <c r="CGD112" s="1167"/>
      <c r="CGE112" s="1167"/>
      <c r="CGF112" s="1167"/>
      <c r="CGG112" s="1167"/>
      <c r="CGH112" s="1142"/>
      <c r="CGI112" s="1142"/>
      <c r="CGJ112" s="1142"/>
      <c r="CGK112" s="1142"/>
      <c r="CGL112" s="1142"/>
      <c r="CGM112" s="1142"/>
      <c r="CGN112" s="1142"/>
      <c r="CGO112" s="1142"/>
      <c r="CGP112" s="1142"/>
      <c r="CGQ112" s="1142"/>
      <c r="CGR112" s="1142"/>
      <c r="CGS112" s="1142"/>
      <c r="CGT112" s="1142"/>
      <c r="CGU112" s="1142"/>
      <c r="CGV112" s="1142"/>
      <c r="CGW112" s="1142"/>
      <c r="CGX112" s="1142"/>
      <c r="CGY112" s="1142"/>
      <c r="CGZ112" s="1142"/>
      <c r="CHA112" s="1142"/>
      <c r="CHB112" s="1142"/>
      <c r="CHC112" s="1142"/>
      <c r="CHD112" s="1142"/>
      <c r="CHE112" s="1167"/>
      <c r="CHF112" s="1167"/>
      <c r="CHG112" s="1167"/>
      <c r="CHH112" s="1167"/>
      <c r="CHI112" s="1167"/>
      <c r="CHJ112" s="1167"/>
      <c r="CHK112" s="1167"/>
      <c r="CHL112" s="1167"/>
      <c r="CHM112" s="1167"/>
      <c r="CHN112" s="1142"/>
      <c r="CHO112" s="1142"/>
      <c r="CHP112" s="1142"/>
      <c r="CHQ112" s="1142"/>
      <c r="CHR112" s="1142"/>
      <c r="CHS112" s="1142"/>
      <c r="CHT112" s="1142"/>
      <c r="CHU112" s="1142"/>
      <c r="CHV112" s="1142"/>
      <c r="CHW112" s="1142"/>
      <c r="CHX112" s="1142"/>
      <c r="CHY112" s="1142"/>
      <c r="CHZ112" s="1142"/>
      <c r="CIA112" s="1142"/>
      <c r="CIB112" s="1142"/>
      <c r="CIC112" s="1142"/>
      <c r="CID112" s="1142"/>
      <c r="CIE112" s="1142"/>
      <c r="CIF112" s="1142"/>
      <c r="CIG112" s="1142"/>
      <c r="CIH112" s="1142"/>
      <c r="CII112" s="1142"/>
      <c r="CIJ112" s="1142"/>
      <c r="CIK112" s="1167"/>
      <c r="CIL112" s="1167"/>
      <c r="CIM112" s="1167"/>
      <c r="CIN112" s="1167"/>
      <c r="CIO112" s="1167"/>
      <c r="CIP112" s="1167"/>
      <c r="CIQ112" s="1167"/>
      <c r="CIR112" s="1167"/>
      <c r="CIS112" s="1167"/>
      <c r="CIT112" s="1142"/>
      <c r="CIU112" s="1142"/>
      <c r="CIV112" s="1142"/>
      <c r="CIW112" s="1142"/>
      <c r="CIX112" s="1142"/>
      <c r="CIY112" s="1142"/>
      <c r="CIZ112" s="1142"/>
      <c r="CJA112" s="1142"/>
      <c r="CJB112" s="1142"/>
      <c r="CJC112" s="1142"/>
      <c r="CJD112" s="1142"/>
      <c r="CJE112" s="1142"/>
      <c r="CJF112" s="1142"/>
      <c r="CJG112" s="1142"/>
      <c r="CJH112" s="1142"/>
      <c r="CJI112" s="1142"/>
      <c r="CJJ112" s="1142"/>
      <c r="CJK112" s="1142"/>
      <c r="CJL112" s="1142"/>
      <c r="CJM112" s="1142"/>
      <c r="CJN112" s="1142"/>
      <c r="CJO112" s="1142"/>
      <c r="CJP112" s="1142"/>
      <c r="CJQ112" s="1167"/>
      <c r="CJR112" s="1167"/>
      <c r="CJS112" s="1167"/>
      <c r="CJT112" s="1167"/>
      <c r="CJU112" s="1167"/>
      <c r="CJV112" s="1167"/>
      <c r="CJW112" s="1167"/>
      <c r="CJX112" s="1167"/>
      <c r="CJY112" s="1167"/>
      <c r="CJZ112" s="1142"/>
      <c r="CKA112" s="1142"/>
      <c r="CKB112" s="1142"/>
      <c r="CKC112" s="1142"/>
      <c r="CKD112" s="1142"/>
      <c r="CKE112" s="1142"/>
      <c r="CKF112" s="1142"/>
      <c r="CKG112" s="1142"/>
      <c r="CKH112" s="1142"/>
      <c r="CKI112" s="1142"/>
      <c r="CKJ112" s="1142"/>
      <c r="CKK112" s="1142"/>
      <c r="CKL112" s="1142"/>
      <c r="CKM112" s="1142"/>
      <c r="CKN112" s="1142"/>
      <c r="CKO112" s="1142"/>
      <c r="CKP112" s="1142"/>
      <c r="CKQ112" s="1142"/>
      <c r="CKR112" s="1142"/>
      <c r="CKS112" s="1142"/>
      <c r="CKT112" s="1142"/>
      <c r="CKU112" s="1142"/>
      <c r="CKV112" s="1142"/>
      <c r="CKW112" s="1167"/>
      <c r="CKX112" s="1167"/>
      <c r="CKY112" s="1167"/>
      <c r="CKZ112" s="1167"/>
      <c r="CLA112" s="1167"/>
      <c r="CLB112" s="1167"/>
      <c r="CLC112" s="1167"/>
      <c r="CLD112" s="1167"/>
      <c r="CLE112" s="1167"/>
      <c r="CLF112" s="1142"/>
      <c r="CLG112" s="1142"/>
      <c r="CLH112" s="1142"/>
      <c r="CLI112" s="1142"/>
      <c r="CLJ112" s="1142"/>
      <c r="CLK112" s="1142"/>
      <c r="CLL112" s="1142"/>
      <c r="CLM112" s="1142"/>
      <c r="CLN112" s="1142"/>
      <c r="CLO112" s="1142"/>
      <c r="CLP112" s="1142"/>
      <c r="CLQ112" s="1142"/>
      <c r="CLR112" s="1142"/>
      <c r="CLS112" s="1142"/>
      <c r="CLT112" s="1142"/>
      <c r="CLU112" s="1142"/>
      <c r="CLV112" s="1142"/>
      <c r="CLW112" s="1142"/>
      <c r="CLX112" s="1142"/>
      <c r="CLY112" s="1142"/>
      <c r="CLZ112" s="1142"/>
      <c r="CMA112" s="1142"/>
      <c r="CMB112" s="1142"/>
      <c r="CMC112" s="1167"/>
      <c r="CMD112" s="1167"/>
      <c r="CME112" s="1167"/>
      <c r="CMF112" s="1167"/>
      <c r="CMG112" s="1167"/>
      <c r="CMH112" s="1167"/>
      <c r="CMI112" s="1167"/>
      <c r="CMJ112" s="1167"/>
      <c r="CMK112" s="1167"/>
      <c r="CML112" s="1142"/>
      <c r="CMM112" s="1142"/>
      <c r="CMN112" s="1142"/>
      <c r="CMO112" s="1142"/>
      <c r="CMP112" s="1142"/>
      <c r="CMQ112" s="1142"/>
      <c r="CMR112" s="1142"/>
      <c r="CMS112" s="1142"/>
      <c r="CMT112" s="1142"/>
      <c r="CMU112" s="1142"/>
      <c r="CMV112" s="1142"/>
      <c r="CMW112" s="1142"/>
      <c r="CMX112" s="1142"/>
      <c r="CMY112" s="1142"/>
      <c r="CMZ112" s="1142"/>
      <c r="CNA112" s="1142"/>
      <c r="CNB112" s="1142"/>
      <c r="CNC112" s="1142"/>
      <c r="CND112" s="1142"/>
      <c r="CNE112" s="1142"/>
      <c r="CNF112" s="1142"/>
      <c r="CNG112" s="1142"/>
      <c r="CNH112" s="1142"/>
      <c r="CNI112" s="1167"/>
      <c r="CNJ112" s="1167"/>
      <c r="CNK112" s="1167"/>
      <c r="CNL112" s="1167"/>
      <c r="CNM112" s="1167"/>
      <c r="CNN112" s="1167"/>
      <c r="CNO112" s="1167"/>
      <c r="CNP112" s="1167"/>
      <c r="CNQ112" s="1167"/>
      <c r="CNR112" s="1142"/>
      <c r="CNS112" s="1142"/>
      <c r="CNT112" s="1142"/>
      <c r="CNU112" s="1142"/>
      <c r="CNV112" s="1142"/>
      <c r="CNW112" s="1142"/>
      <c r="CNX112" s="1142"/>
      <c r="CNY112" s="1142"/>
      <c r="CNZ112" s="1142"/>
      <c r="COA112" s="1142"/>
      <c r="COB112" s="1142"/>
      <c r="COC112" s="1142"/>
      <c r="COD112" s="1142"/>
      <c r="COE112" s="1142"/>
      <c r="COF112" s="1142"/>
      <c r="COG112" s="1142"/>
      <c r="COH112" s="1142"/>
      <c r="COI112" s="1142"/>
      <c r="COJ112" s="1142"/>
      <c r="COK112" s="1142"/>
      <c r="COL112" s="1142"/>
      <c r="COM112" s="1142"/>
      <c r="CON112" s="1142"/>
      <c r="COO112" s="1167"/>
      <c r="COP112" s="1167"/>
      <c r="COQ112" s="1167"/>
      <c r="COR112" s="1167"/>
      <c r="COS112" s="1167"/>
      <c r="COT112" s="1167"/>
      <c r="COU112" s="1167"/>
      <c r="COV112" s="1167"/>
      <c r="COW112" s="1167"/>
      <c r="COX112" s="1142"/>
      <c r="COY112" s="1142"/>
      <c r="COZ112" s="1142"/>
      <c r="CPA112" s="1142"/>
      <c r="CPB112" s="1142"/>
      <c r="CPC112" s="1142"/>
      <c r="CPD112" s="1142"/>
      <c r="CPE112" s="1142"/>
      <c r="CPF112" s="1142"/>
      <c r="CPG112" s="1142"/>
      <c r="CPH112" s="1142"/>
      <c r="CPI112" s="1142"/>
      <c r="CPJ112" s="1142"/>
      <c r="CPK112" s="1142"/>
      <c r="CPL112" s="1142"/>
      <c r="CPM112" s="1142"/>
      <c r="CPN112" s="1142"/>
      <c r="CPO112" s="1142"/>
      <c r="CPP112" s="1142"/>
      <c r="CPQ112" s="1142"/>
      <c r="CPR112" s="1142"/>
      <c r="CPS112" s="1142"/>
      <c r="CPT112" s="1142"/>
      <c r="CPU112" s="1167"/>
      <c r="CPV112" s="1167"/>
      <c r="CPW112" s="1167"/>
      <c r="CPX112" s="1167"/>
      <c r="CPY112" s="1167"/>
      <c r="CPZ112" s="1167"/>
      <c r="CQA112" s="1167"/>
      <c r="CQB112" s="1167"/>
      <c r="CQC112" s="1167"/>
      <c r="CQD112" s="1142"/>
      <c r="CQE112" s="1142"/>
      <c r="CQF112" s="1142"/>
      <c r="CQG112" s="1142"/>
      <c r="CQH112" s="1142"/>
      <c r="CQI112" s="1142"/>
      <c r="CQJ112" s="1142"/>
      <c r="CQK112" s="1142"/>
      <c r="CQL112" s="1142"/>
      <c r="CQM112" s="1142"/>
      <c r="CQN112" s="1142"/>
      <c r="CQO112" s="1142"/>
      <c r="CQP112" s="1142"/>
      <c r="CQQ112" s="1142"/>
      <c r="CQR112" s="1142"/>
      <c r="CQS112" s="1142"/>
      <c r="CQT112" s="1142"/>
      <c r="CQU112" s="1142"/>
      <c r="CQV112" s="1142"/>
      <c r="CQW112" s="1142"/>
      <c r="CQX112" s="1142"/>
      <c r="CQY112" s="1142"/>
      <c r="CQZ112" s="1142"/>
      <c r="CRA112" s="1167"/>
      <c r="CRB112" s="1167"/>
      <c r="CRC112" s="1167"/>
      <c r="CRD112" s="1167"/>
      <c r="CRE112" s="1167"/>
      <c r="CRF112" s="1167"/>
      <c r="CRG112" s="1167"/>
      <c r="CRH112" s="1167"/>
      <c r="CRI112" s="1167"/>
      <c r="CRJ112" s="1142"/>
      <c r="CRK112" s="1142"/>
      <c r="CRL112" s="1142"/>
      <c r="CRM112" s="1142"/>
      <c r="CRN112" s="1142"/>
      <c r="CRO112" s="1142"/>
      <c r="CRP112" s="1142"/>
      <c r="CRQ112" s="1142"/>
      <c r="CRR112" s="1142"/>
      <c r="CRS112" s="1142"/>
      <c r="CRT112" s="1142"/>
      <c r="CRU112" s="1142"/>
      <c r="CRV112" s="1142"/>
      <c r="CRW112" s="1142"/>
      <c r="CRX112" s="1142"/>
      <c r="CRY112" s="1142"/>
      <c r="CRZ112" s="1142"/>
      <c r="CSA112" s="1142"/>
      <c r="CSB112" s="1142"/>
      <c r="CSC112" s="1142"/>
      <c r="CSD112" s="1142"/>
      <c r="CSE112" s="1142"/>
      <c r="CSF112" s="1142"/>
      <c r="CSG112" s="1167"/>
      <c r="CSH112" s="1167"/>
      <c r="CSI112" s="1167"/>
      <c r="CSJ112" s="1167"/>
      <c r="CSK112" s="1167"/>
      <c r="CSL112" s="1167"/>
      <c r="CSM112" s="1167"/>
      <c r="CSN112" s="1167"/>
      <c r="CSO112" s="1167"/>
      <c r="CSP112" s="1142"/>
      <c r="CSQ112" s="1142"/>
      <c r="CSR112" s="1142"/>
      <c r="CSS112" s="1142"/>
      <c r="CST112" s="1142"/>
      <c r="CSU112" s="1142"/>
      <c r="CSV112" s="1142"/>
      <c r="CSW112" s="1142"/>
      <c r="CSX112" s="1142"/>
      <c r="CSY112" s="1142"/>
      <c r="CSZ112" s="1142"/>
      <c r="CTA112" s="1142"/>
      <c r="CTB112" s="1142"/>
      <c r="CTC112" s="1142"/>
      <c r="CTD112" s="1142"/>
      <c r="CTE112" s="1142"/>
      <c r="CTF112" s="1142"/>
      <c r="CTG112" s="1142"/>
      <c r="CTH112" s="1142"/>
      <c r="CTI112" s="1142"/>
      <c r="CTJ112" s="1142"/>
      <c r="CTK112" s="1142"/>
      <c r="CTL112" s="1142"/>
      <c r="CTM112" s="1167"/>
      <c r="CTN112" s="1167"/>
      <c r="CTO112" s="1167"/>
      <c r="CTP112" s="1167"/>
      <c r="CTQ112" s="1167"/>
      <c r="CTR112" s="1167"/>
      <c r="CTS112" s="1167"/>
      <c r="CTT112" s="1167"/>
      <c r="CTU112" s="1167"/>
      <c r="CTV112" s="1142"/>
      <c r="CTW112" s="1142"/>
      <c r="CTX112" s="1142"/>
      <c r="CTY112" s="1142"/>
      <c r="CTZ112" s="1142"/>
      <c r="CUA112" s="1142"/>
      <c r="CUB112" s="1142"/>
      <c r="CUC112" s="1142"/>
      <c r="CUD112" s="1142"/>
      <c r="CUE112" s="1142"/>
      <c r="CUF112" s="1142"/>
      <c r="CUG112" s="1142"/>
      <c r="CUH112" s="1142"/>
      <c r="CUI112" s="1142"/>
      <c r="CUJ112" s="1142"/>
      <c r="CUK112" s="1142"/>
      <c r="CUL112" s="1142"/>
      <c r="CUM112" s="1142"/>
      <c r="CUN112" s="1142"/>
      <c r="CUO112" s="1142"/>
      <c r="CUP112" s="1142"/>
      <c r="CUQ112" s="1142"/>
      <c r="CUR112" s="1142"/>
      <c r="CUS112" s="1167"/>
      <c r="CUT112" s="1167"/>
      <c r="CUU112" s="1167"/>
      <c r="CUV112" s="1167"/>
      <c r="CUW112" s="1167"/>
      <c r="CUX112" s="1167"/>
      <c r="CUY112" s="1167"/>
      <c r="CUZ112" s="1167"/>
      <c r="CVA112" s="1167"/>
      <c r="CVB112" s="1142"/>
      <c r="CVC112" s="1142"/>
      <c r="CVD112" s="1142"/>
      <c r="CVE112" s="1142"/>
      <c r="CVF112" s="1142"/>
      <c r="CVG112" s="1142"/>
      <c r="CVH112" s="1142"/>
      <c r="CVI112" s="1142"/>
      <c r="CVJ112" s="1142"/>
      <c r="CVK112" s="1142"/>
      <c r="CVL112" s="1142"/>
      <c r="CVM112" s="1142"/>
      <c r="CVN112" s="1142"/>
      <c r="CVO112" s="1142"/>
      <c r="CVP112" s="1142"/>
      <c r="CVQ112" s="1142"/>
      <c r="CVR112" s="1142"/>
      <c r="CVS112" s="1142"/>
      <c r="CVT112" s="1142"/>
      <c r="CVU112" s="1142"/>
      <c r="CVV112" s="1142"/>
      <c r="CVW112" s="1142"/>
      <c r="CVX112" s="1142"/>
      <c r="CVY112" s="1167"/>
      <c r="CVZ112" s="1167"/>
      <c r="CWA112" s="1167"/>
      <c r="CWB112" s="1167"/>
      <c r="CWC112" s="1167"/>
      <c r="CWD112" s="1167"/>
      <c r="CWE112" s="1167"/>
      <c r="CWF112" s="1167"/>
      <c r="CWG112" s="1167"/>
      <c r="CWH112" s="1142"/>
      <c r="CWI112" s="1142"/>
      <c r="CWJ112" s="1142"/>
      <c r="CWK112" s="1142"/>
      <c r="CWL112" s="1142"/>
      <c r="CWM112" s="1142"/>
      <c r="CWN112" s="1142"/>
      <c r="CWO112" s="1142"/>
      <c r="CWP112" s="1142"/>
      <c r="CWQ112" s="1142"/>
      <c r="CWR112" s="1142"/>
      <c r="CWS112" s="1142"/>
      <c r="CWT112" s="1142"/>
      <c r="CWU112" s="1142"/>
      <c r="CWV112" s="1142"/>
      <c r="CWW112" s="1142"/>
      <c r="CWX112" s="1142"/>
      <c r="CWY112" s="1142"/>
      <c r="CWZ112" s="1142"/>
      <c r="CXA112" s="1142"/>
      <c r="CXB112" s="1142"/>
      <c r="CXC112" s="1142"/>
      <c r="CXD112" s="1142"/>
      <c r="CXE112" s="1167"/>
      <c r="CXF112" s="1167"/>
      <c r="CXG112" s="1167"/>
      <c r="CXH112" s="1167"/>
      <c r="CXI112" s="1167"/>
      <c r="CXJ112" s="1167"/>
      <c r="CXK112" s="1167"/>
      <c r="CXL112" s="1167"/>
      <c r="CXM112" s="1167"/>
      <c r="CXN112" s="1142"/>
      <c r="CXO112" s="1142"/>
      <c r="CXP112" s="1142"/>
      <c r="CXQ112" s="1142"/>
      <c r="CXR112" s="1142"/>
      <c r="CXS112" s="1142"/>
      <c r="CXT112" s="1142"/>
      <c r="CXU112" s="1142"/>
      <c r="CXV112" s="1142"/>
      <c r="CXW112" s="1142"/>
      <c r="CXX112" s="1142"/>
      <c r="CXY112" s="1142"/>
      <c r="CXZ112" s="1142"/>
      <c r="CYA112" s="1142"/>
      <c r="CYB112" s="1142"/>
      <c r="CYC112" s="1142"/>
      <c r="CYD112" s="1142"/>
      <c r="CYE112" s="1142"/>
      <c r="CYF112" s="1142"/>
      <c r="CYG112" s="1142"/>
      <c r="CYH112" s="1142"/>
      <c r="CYI112" s="1142"/>
      <c r="CYJ112" s="1142"/>
      <c r="CYK112" s="1167"/>
      <c r="CYL112" s="1167"/>
      <c r="CYM112" s="1167"/>
      <c r="CYN112" s="1167"/>
      <c r="CYO112" s="1167"/>
      <c r="CYP112" s="1167"/>
      <c r="CYQ112" s="1167"/>
      <c r="CYR112" s="1167"/>
      <c r="CYS112" s="1167"/>
      <c r="CYT112" s="1142"/>
      <c r="CYU112" s="1142"/>
      <c r="CYV112" s="1142"/>
      <c r="CYW112" s="1142"/>
      <c r="CYX112" s="1142"/>
      <c r="CYY112" s="1142"/>
      <c r="CYZ112" s="1142"/>
      <c r="CZA112" s="1142"/>
      <c r="CZB112" s="1142"/>
      <c r="CZC112" s="1142"/>
      <c r="CZD112" s="1142"/>
      <c r="CZE112" s="1142"/>
      <c r="CZF112" s="1142"/>
      <c r="CZG112" s="1142"/>
      <c r="CZH112" s="1142"/>
      <c r="CZI112" s="1142"/>
      <c r="CZJ112" s="1142"/>
      <c r="CZK112" s="1142"/>
      <c r="CZL112" s="1142"/>
      <c r="CZM112" s="1142"/>
      <c r="CZN112" s="1142"/>
      <c r="CZO112" s="1142"/>
      <c r="CZP112" s="1142"/>
      <c r="CZQ112" s="1167"/>
      <c r="CZR112" s="1167"/>
      <c r="CZS112" s="1167"/>
      <c r="CZT112" s="1167"/>
      <c r="CZU112" s="1167"/>
      <c r="CZV112" s="1167"/>
      <c r="CZW112" s="1167"/>
      <c r="CZX112" s="1167"/>
      <c r="CZY112" s="1167"/>
      <c r="CZZ112" s="1142"/>
      <c r="DAA112" s="1142"/>
      <c r="DAB112" s="1142"/>
      <c r="DAC112" s="1142"/>
      <c r="DAD112" s="1142"/>
      <c r="DAE112" s="1142"/>
      <c r="DAF112" s="1142"/>
      <c r="DAG112" s="1142"/>
      <c r="DAH112" s="1142"/>
      <c r="DAI112" s="1142"/>
      <c r="DAJ112" s="1142"/>
      <c r="DAK112" s="1142"/>
      <c r="DAL112" s="1142"/>
      <c r="DAM112" s="1142"/>
      <c r="DAN112" s="1142"/>
      <c r="DAO112" s="1142"/>
      <c r="DAP112" s="1142"/>
      <c r="DAQ112" s="1142"/>
      <c r="DAR112" s="1142"/>
      <c r="DAS112" s="1142"/>
      <c r="DAT112" s="1142"/>
      <c r="DAU112" s="1142"/>
      <c r="DAV112" s="1142"/>
      <c r="DAW112" s="1167"/>
      <c r="DAX112" s="1167"/>
      <c r="DAY112" s="1167"/>
      <c r="DAZ112" s="1167"/>
      <c r="DBA112" s="1167"/>
      <c r="DBB112" s="1167"/>
      <c r="DBC112" s="1167"/>
      <c r="DBD112" s="1167"/>
      <c r="DBE112" s="1167"/>
      <c r="DBF112" s="1142"/>
      <c r="DBG112" s="1142"/>
      <c r="DBH112" s="1142"/>
      <c r="DBI112" s="1142"/>
      <c r="DBJ112" s="1142"/>
      <c r="DBK112" s="1142"/>
      <c r="DBL112" s="1142"/>
      <c r="DBM112" s="1142"/>
      <c r="DBN112" s="1142"/>
      <c r="DBO112" s="1142"/>
      <c r="DBP112" s="1142"/>
      <c r="DBQ112" s="1142"/>
      <c r="DBR112" s="1142"/>
      <c r="DBS112" s="1142"/>
      <c r="DBT112" s="1142"/>
      <c r="DBU112" s="1142"/>
      <c r="DBV112" s="1142"/>
      <c r="DBW112" s="1142"/>
      <c r="DBX112" s="1142"/>
      <c r="DBY112" s="1142"/>
      <c r="DBZ112" s="1142"/>
      <c r="DCA112" s="1142"/>
      <c r="DCB112" s="1142"/>
      <c r="DCC112" s="1167"/>
      <c r="DCD112" s="1167"/>
      <c r="DCE112" s="1167"/>
      <c r="DCF112" s="1167"/>
      <c r="DCG112" s="1167"/>
      <c r="DCH112" s="1167"/>
      <c r="DCI112" s="1167"/>
      <c r="DCJ112" s="1167"/>
      <c r="DCK112" s="1167"/>
      <c r="DCL112" s="1142"/>
      <c r="DCM112" s="1142"/>
      <c r="DCN112" s="1142"/>
      <c r="DCO112" s="1142"/>
      <c r="DCP112" s="1142"/>
      <c r="DCQ112" s="1142"/>
      <c r="DCR112" s="1142"/>
      <c r="DCS112" s="1142"/>
      <c r="DCT112" s="1142"/>
      <c r="DCU112" s="1142"/>
      <c r="DCV112" s="1142"/>
      <c r="DCW112" s="1142"/>
      <c r="DCX112" s="1142"/>
      <c r="DCY112" s="1142"/>
      <c r="DCZ112" s="1142"/>
      <c r="DDA112" s="1142"/>
      <c r="DDB112" s="1142"/>
      <c r="DDC112" s="1142"/>
      <c r="DDD112" s="1142"/>
      <c r="DDE112" s="1142"/>
      <c r="DDF112" s="1142"/>
      <c r="DDG112" s="1142"/>
      <c r="DDH112" s="1142"/>
      <c r="DDI112" s="1167"/>
      <c r="DDJ112" s="1167"/>
      <c r="DDK112" s="1167"/>
      <c r="DDL112" s="1167"/>
      <c r="DDM112" s="1167"/>
      <c r="DDN112" s="1167"/>
      <c r="DDO112" s="1167"/>
      <c r="DDP112" s="1167"/>
      <c r="DDQ112" s="1167"/>
      <c r="DDR112" s="1142"/>
      <c r="DDS112" s="1142"/>
      <c r="DDT112" s="1142"/>
      <c r="DDU112" s="1142"/>
      <c r="DDV112" s="1142"/>
      <c r="DDW112" s="1142"/>
      <c r="DDX112" s="1142"/>
      <c r="DDY112" s="1142"/>
      <c r="DDZ112" s="1142"/>
      <c r="DEA112" s="1142"/>
      <c r="DEB112" s="1142"/>
      <c r="DEC112" s="1142"/>
      <c r="DED112" s="1142"/>
      <c r="DEE112" s="1142"/>
      <c r="DEF112" s="1142"/>
      <c r="DEG112" s="1142"/>
      <c r="DEH112" s="1142"/>
      <c r="DEI112" s="1142"/>
      <c r="DEJ112" s="1142"/>
      <c r="DEK112" s="1142"/>
      <c r="DEL112" s="1142"/>
      <c r="DEM112" s="1142"/>
      <c r="DEN112" s="1142"/>
      <c r="DEO112" s="1167"/>
      <c r="DEP112" s="1167"/>
      <c r="DEQ112" s="1167"/>
      <c r="DER112" s="1167"/>
      <c r="DES112" s="1167"/>
      <c r="DET112" s="1167"/>
      <c r="DEU112" s="1167"/>
      <c r="DEV112" s="1167"/>
      <c r="DEW112" s="1167"/>
      <c r="DEX112" s="1142"/>
      <c r="DEY112" s="1142"/>
      <c r="DEZ112" s="1142"/>
      <c r="DFA112" s="1142"/>
      <c r="DFB112" s="1142"/>
      <c r="DFC112" s="1142"/>
      <c r="DFD112" s="1142"/>
      <c r="DFE112" s="1142"/>
      <c r="DFF112" s="1142"/>
      <c r="DFG112" s="1142"/>
      <c r="DFH112" s="1142"/>
      <c r="DFI112" s="1142"/>
      <c r="DFJ112" s="1142"/>
      <c r="DFK112" s="1142"/>
      <c r="DFL112" s="1142"/>
      <c r="DFM112" s="1142"/>
      <c r="DFN112" s="1142"/>
      <c r="DFO112" s="1142"/>
      <c r="DFP112" s="1142"/>
      <c r="DFQ112" s="1142"/>
      <c r="DFR112" s="1142"/>
      <c r="DFS112" s="1142"/>
      <c r="DFT112" s="1142"/>
      <c r="DFU112" s="1167"/>
      <c r="DFV112" s="1167"/>
      <c r="DFW112" s="1167"/>
      <c r="DFX112" s="1167"/>
      <c r="DFY112" s="1167"/>
      <c r="DFZ112" s="1167"/>
      <c r="DGA112" s="1167"/>
      <c r="DGB112" s="1167"/>
      <c r="DGC112" s="1167"/>
      <c r="DGD112" s="1142"/>
      <c r="DGE112" s="1142"/>
      <c r="DGF112" s="1142"/>
      <c r="DGG112" s="1142"/>
      <c r="DGH112" s="1142"/>
      <c r="DGI112" s="1142"/>
      <c r="DGJ112" s="1142"/>
      <c r="DGK112" s="1142"/>
      <c r="DGL112" s="1142"/>
      <c r="DGM112" s="1142"/>
      <c r="DGN112" s="1142"/>
      <c r="DGO112" s="1142"/>
      <c r="DGP112" s="1142"/>
      <c r="DGQ112" s="1142"/>
      <c r="DGR112" s="1142"/>
      <c r="DGS112" s="1142"/>
      <c r="DGT112" s="1142"/>
      <c r="DGU112" s="1142"/>
      <c r="DGV112" s="1142"/>
      <c r="DGW112" s="1142"/>
      <c r="DGX112" s="1142"/>
      <c r="DGY112" s="1142"/>
      <c r="DGZ112" s="1142"/>
      <c r="DHA112" s="1167"/>
      <c r="DHB112" s="1167"/>
      <c r="DHC112" s="1167"/>
      <c r="DHD112" s="1167"/>
      <c r="DHE112" s="1167"/>
      <c r="DHF112" s="1167"/>
      <c r="DHG112" s="1167"/>
      <c r="DHH112" s="1167"/>
      <c r="DHI112" s="1167"/>
      <c r="DHJ112" s="1142"/>
      <c r="DHK112" s="1142"/>
      <c r="DHL112" s="1142"/>
      <c r="DHM112" s="1142"/>
      <c r="DHN112" s="1142"/>
      <c r="DHO112" s="1142"/>
      <c r="DHP112" s="1142"/>
      <c r="DHQ112" s="1142"/>
      <c r="DHR112" s="1142"/>
      <c r="DHS112" s="1142"/>
      <c r="DHT112" s="1142"/>
      <c r="DHU112" s="1142"/>
      <c r="DHV112" s="1142"/>
      <c r="DHW112" s="1142"/>
      <c r="DHX112" s="1142"/>
      <c r="DHY112" s="1142"/>
      <c r="DHZ112" s="1142"/>
      <c r="DIA112" s="1142"/>
      <c r="DIB112" s="1142"/>
      <c r="DIC112" s="1142"/>
      <c r="DID112" s="1142"/>
      <c r="DIE112" s="1142"/>
      <c r="DIF112" s="1142"/>
      <c r="DIG112" s="1167"/>
      <c r="DIH112" s="1167"/>
      <c r="DII112" s="1167"/>
      <c r="DIJ112" s="1167"/>
      <c r="DIK112" s="1167"/>
      <c r="DIL112" s="1167"/>
      <c r="DIM112" s="1167"/>
      <c r="DIN112" s="1167"/>
      <c r="DIO112" s="1167"/>
      <c r="DIP112" s="1142"/>
      <c r="DIQ112" s="1142"/>
      <c r="DIR112" s="1142"/>
      <c r="DIS112" s="1142"/>
      <c r="DIT112" s="1142"/>
      <c r="DIU112" s="1142"/>
      <c r="DIV112" s="1142"/>
      <c r="DIW112" s="1142"/>
      <c r="DIX112" s="1142"/>
      <c r="DIY112" s="1142"/>
      <c r="DIZ112" s="1142"/>
      <c r="DJA112" s="1142"/>
      <c r="DJB112" s="1142"/>
      <c r="DJC112" s="1142"/>
      <c r="DJD112" s="1142"/>
      <c r="DJE112" s="1142"/>
      <c r="DJF112" s="1142"/>
      <c r="DJG112" s="1142"/>
      <c r="DJH112" s="1142"/>
      <c r="DJI112" s="1142"/>
      <c r="DJJ112" s="1142"/>
      <c r="DJK112" s="1142"/>
      <c r="DJL112" s="1142"/>
      <c r="DJM112" s="1167"/>
      <c r="DJN112" s="1167"/>
      <c r="DJO112" s="1167"/>
      <c r="DJP112" s="1167"/>
      <c r="DJQ112" s="1167"/>
      <c r="DJR112" s="1167"/>
      <c r="DJS112" s="1167"/>
      <c r="DJT112" s="1167"/>
      <c r="DJU112" s="1167"/>
      <c r="DJV112" s="1142"/>
      <c r="DJW112" s="1142"/>
      <c r="DJX112" s="1142"/>
      <c r="DJY112" s="1142"/>
      <c r="DJZ112" s="1142"/>
      <c r="DKA112" s="1142"/>
      <c r="DKB112" s="1142"/>
      <c r="DKC112" s="1142"/>
      <c r="DKD112" s="1142"/>
      <c r="DKE112" s="1142"/>
      <c r="DKF112" s="1142"/>
      <c r="DKG112" s="1142"/>
      <c r="DKH112" s="1142"/>
      <c r="DKI112" s="1142"/>
      <c r="DKJ112" s="1142"/>
      <c r="DKK112" s="1142"/>
      <c r="DKL112" s="1142"/>
      <c r="DKM112" s="1142"/>
      <c r="DKN112" s="1142"/>
      <c r="DKO112" s="1142"/>
      <c r="DKP112" s="1142"/>
      <c r="DKQ112" s="1142"/>
      <c r="DKR112" s="1142"/>
      <c r="DKS112" s="1167"/>
      <c r="DKT112" s="1167"/>
      <c r="DKU112" s="1167"/>
      <c r="DKV112" s="1167"/>
      <c r="DKW112" s="1167"/>
      <c r="DKX112" s="1167"/>
      <c r="DKY112" s="1167"/>
      <c r="DKZ112" s="1167"/>
      <c r="DLA112" s="1167"/>
      <c r="DLB112" s="1142"/>
      <c r="DLC112" s="1142"/>
      <c r="DLD112" s="1142"/>
      <c r="DLE112" s="1142"/>
      <c r="DLF112" s="1142"/>
      <c r="DLG112" s="1142"/>
      <c r="DLH112" s="1142"/>
      <c r="DLI112" s="1142"/>
      <c r="DLJ112" s="1142"/>
      <c r="DLK112" s="1142"/>
      <c r="DLL112" s="1142"/>
      <c r="DLM112" s="1142"/>
      <c r="DLN112" s="1142"/>
      <c r="DLO112" s="1142"/>
      <c r="DLP112" s="1142"/>
      <c r="DLQ112" s="1142"/>
      <c r="DLR112" s="1142"/>
      <c r="DLS112" s="1142"/>
      <c r="DLT112" s="1142"/>
      <c r="DLU112" s="1142"/>
      <c r="DLV112" s="1142"/>
      <c r="DLW112" s="1142"/>
      <c r="DLX112" s="1142"/>
      <c r="DLY112" s="1167"/>
      <c r="DLZ112" s="1167"/>
      <c r="DMA112" s="1167"/>
      <c r="DMB112" s="1167"/>
      <c r="DMC112" s="1167"/>
      <c r="DMD112" s="1167"/>
      <c r="DME112" s="1167"/>
      <c r="DMF112" s="1167"/>
      <c r="DMG112" s="1167"/>
      <c r="DMH112" s="1142"/>
      <c r="DMI112" s="1142"/>
      <c r="DMJ112" s="1142"/>
      <c r="DMK112" s="1142"/>
      <c r="DML112" s="1142"/>
      <c r="DMM112" s="1142"/>
      <c r="DMN112" s="1142"/>
      <c r="DMO112" s="1142"/>
      <c r="DMP112" s="1142"/>
      <c r="DMQ112" s="1142"/>
      <c r="DMR112" s="1142"/>
      <c r="DMS112" s="1142"/>
      <c r="DMT112" s="1142"/>
      <c r="DMU112" s="1142"/>
      <c r="DMV112" s="1142"/>
      <c r="DMW112" s="1142"/>
      <c r="DMX112" s="1142"/>
      <c r="DMY112" s="1142"/>
      <c r="DMZ112" s="1142"/>
      <c r="DNA112" s="1142"/>
      <c r="DNB112" s="1142"/>
      <c r="DNC112" s="1142"/>
      <c r="DND112" s="1142"/>
      <c r="DNE112" s="1167"/>
      <c r="DNF112" s="1167"/>
      <c r="DNG112" s="1167"/>
      <c r="DNH112" s="1167"/>
      <c r="DNI112" s="1167"/>
      <c r="DNJ112" s="1167"/>
      <c r="DNK112" s="1167"/>
      <c r="DNL112" s="1167"/>
      <c r="DNM112" s="1167"/>
      <c r="DNN112" s="1142"/>
      <c r="DNO112" s="1142"/>
      <c r="DNP112" s="1142"/>
      <c r="DNQ112" s="1142"/>
      <c r="DNR112" s="1142"/>
      <c r="DNS112" s="1142"/>
      <c r="DNT112" s="1142"/>
      <c r="DNU112" s="1142"/>
      <c r="DNV112" s="1142"/>
      <c r="DNW112" s="1142"/>
      <c r="DNX112" s="1142"/>
      <c r="DNY112" s="1142"/>
      <c r="DNZ112" s="1142"/>
      <c r="DOA112" s="1142"/>
      <c r="DOB112" s="1142"/>
      <c r="DOC112" s="1142"/>
      <c r="DOD112" s="1142"/>
      <c r="DOE112" s="1142"/>
      <c r="DOF112" s="1142"/>
      <c r="DOG112" s="1142"/>
      <c r="DOH112" s="1142"/>
      <c r="DOI112" s="1142"/>
      <c r="DOJ112" s="1142"/>
      <c r="DOK112" s="1167"/>
      <c r="DOL112" s="1167"/>
      <c r="DOM112" s="1167"/>
      <c r="DON112" s="1167"/>
      <c r="DOO112" s="1167"/>
      <c r="DOP112" s="1167"/>
      <c r="DOQ112" s="1167"/>
      <c r="DOR112" s="1167"/>
      <c r="DOS112" s="1167"/>
      <c r="DOT112" s="1142"/>
      <c r="DOU112" s="1142"/>
      <c r="DOV112" s="1142"/>
      <c r="DOW112" s="1142"/>
      <c r="DOX112" s="1142"/>
      <c r="DOY112" s="1142"/>
      <c r="DOZ112" s="1142"/>
      <c r="DPA112" s="1142"/>
      <c r="DPB112" s="1142"/>
      <c r="DPC112" s="1142"/>
      <c r="DPD112" s="1142"/>
      <c r="DPE112" s="1142"/>
      <c r="DPF112" s="1142"/>
      <c r="DPG112" s="1142"/>
      <c r="DPH112" s="1142"/>
      <c r="DPI112" s="1142"/>
      <c r="DPJ112" s="1142"/>
      <c r="DPK112" s="1142"/>
      <c r="DPL112" s="1142"/>
      <c r="DPM112" s="1142"/>
      <c r="DPN112" s="1142"/>
      <c r="DPO112" s="1142"/>
      <c r="DPP112" s="1142"/>
      <c r="DPQ112" s="1167"/>
      <c r="DPR112" s="1167"/>
      <c r="DPS112" s="1167"/>
      <c r="DPT112" s="1167"/>
      <c r="DPU112" s="1167"/>
      <c r="DPV112" s="1167"/>
      <c r="DPW112" s="1167"/>
      <c r="DPX112" s="1167"/>
      <c r="DPY112" s="1167"/>
      <c r="DPZ112" s="1142"/>
      <c r="DQA112" s="1142"/>
      <c r="DQB112" s="1142"/>
      <c r="DQC112" s="1142"/>
      <c r="DQD112" s="1142"/>
      <c r="DQE112" s="1142"/>
      <c r="DQF112" s="1142"/>
      <c r="DQG112" s="1142"/>
      <c r="DQH112" s="1142"/>
      <c r="DQI112" s="1142"/>
      <c r="DQJ112" s="1142"/>
      <c r="DQK112" s="1142"/>
      <c r="DQL112" s="1142"/>
      <c r="DQM112" s="1142"/>
      <c r="DQN112" s="1142"/>
      <c r="DQO112" s="1142"/>
      <c r="DQP112" s="1142"/>
      <c r="DQQ112" s="1142"/>
      <c r="DQR112" s="1142"/>
      <c r="DQS112" s="1142"/>
      <c r="DQT112" s="1142"/>
      <c r="DQU112" s="1142"/>
      <c r="DQV112" s="1142"/>
      <c r="DQW112" s="1167"/>
      <c r="DQX112" s="1167"/>
      <c r="DQY112" s="1167"/>
      <c r="DQZ112" s="1167"/>
      <c r="DRA112" s="1167"/>
      <c r="DRB112" s="1167"/>
      <c r="DRC112" s="1167"/>
      <c r="DRD112" s="1167"/>
      <c r="DRE112" s="1167"/>
      <c r="DRF112" s="1142"/>
      <c r="DRG112" s="1142"/>
      <c r="DRH112" s="1142"/>
      <c r="DRI112" s="1142"/>
      <c r="DRJ112" s="1142"/>
      <c r="DRK112" s="1142"/>
      <c r="DRL112" s="1142"/>
      <c r="DRM112" s="1142"/>
      <c r="DRN112" s="1142"/>
      <c r="DRO112" s="1142"/>
      <c r="DRP112" s="1142"/>
      <c r="DRQ112" s="1142"/>
      <c r="DRR112" s="1142"/>
      <c r="DRS112" s="1142"/>
      <c r="DRT112" s="1142"/>
      <c r="DRU112" s="1142"/>
      <c r="DRV112" s="1142"/>
      <c r="DRW112" s="1142"/>
      <c r="DRX112" s="1142"/>
      <c r="DRY112" s="1142"/>
      <c r="DRZ112" s="1142"/>
      <c r="DSA112" s="1142"/>
      <c r="DSB112" s="1142"/>
      <c r="DSC112" s="1167"/>
      <c r="DSD112" s="1167"/>
      <c r="DSE112" s="1167"/>
      <c r="DSF112" s="1167"/>
      <c r="DSG112" s="1167"/>
      <c r="DSH112" s="1167"/>
      <c r="DSI112" s="1167"/>
      <c r="DSJ112" s="1167"/>
      <c r="DSK112" s="1167"/>
      <c r="DSL112" s="1142"/>
      <c r="DSM112" s="1142"/>
      <c r="DSN112" s="1142"/>
      <c r="DSO112" s="1142"/>
      <c r="DSP112" s="1142"/>
      <c r="DSQ112" s="1142"/>
      <c r="DSR112" s="1142"/>
      <c r="DSS112" s="1142"/>
      <c r="DST112" s="1142"/>
      <c r="DSU112" s="1142"/>
      <c r="DSV112" s="1142"/>
      <c r="DSW112" s="1142"/>
      <c r="DSX112" s="1142"/>
      <c r="DSY112" s="1142"/>
      <c r="DSZ112" s="1142"/>
      <c r="DTA112" s="1142"/>
      <c r="DTB112" s="1142"/>
      <c r="DTC112" s="1142"/>
      <c r="DTD112" s="1142"/>
      <c r="DTE112" s="1142"/>
      <c r="DTF112" s="1142"/>
      <c r="DTG112" s="1142"/>
      <c r="DTH112" s="1142"/>
      <c r="DTI112" s="1167"/>
      <c r="DTJ112" s="1167"/>
      <c r="DTK112" s="1167"/>
      <c r="DTL112" s="1167"/>
      <c r="DTM112" s="1167"/>
      <c r="DTN112" s="1167"/>
      <c r="DTO112" s="1167"/>
      <c r="DTP112" s="1167"/>
      <c r="DTQ112" s="1167"/>
      <c r="DTR112" s="1142"/>
      <c r="DTS112" s="1142"/>
      <c r="DTT112" s="1142"/>
      <c r="DTU112" s="1142"/>
      <c r="DTV112" s="1142"/>
      <c r="DTW112" s="1142"/>
      <c r="DTX112" s="1142"/>
      <c r="DTY112" s="1142"/>
      <c r="DTZ112" s="1142"/>
      <c r="DUA112" s="1142"/>
      <c r="DUB112" s="1142"/>
      <c r="DUC112" s="1142"/>
      <c r="DUD112" s="1142"/>
      <c r="DUE112" s="1142"/>
      <c r="DUF112" s="1142"/>
      <c r="DUG112" s="1142"/>
      <c r="DUH112" s="1142"/>
      <c r="DUI112" s="1142"/>
      <c r="DUJ112" s="1142"/>
      <c r="DUK112" s="1142"/>
      <c r="DUL112" s="1142"/>
      <c r="DUM112" s="1142"/>
      <c r="DUN112" s="1142"/>
      <c r="DUO112" s="1167"/>
      <c r="DUP112" s="1167"/>
      <c r="DUQ112" s="1167"/>
      <c r="DUR112" s="1167"/>
      <c r="DUS112" s="1167"/>
      <c r="DUT112" s="1167"/>
      <c r="DUU112" s="1167"/>
      <c r="DUV112" s="1167"/>
      <c r="DUW112" s="1167"/>
      <c r="DUX112" s="1142"/>
      <c r="DUY112" s="1142"/>
      <c r="DUZ112" s="1142"/>
      <c r="DVA112" s="1142"/>
      <c r="DVB112" s="1142"/>
      <c r="DVC112" s="1142"/>
      <c r="DVD112" s="1142"/>
      <c r="DVE112" s="1142"/>
      <c r="DVF112" s="1142"/>
      <c r="DVG112" s="1142"/>
      <c r="DVH112" s="1142"/>
      <c r="DVI112" s="1142"/>
      <c r="DVJ112" s="1142"/>
      <c r="DVK112" s="1142"/>
      <c r="DVL112" s="1142"/>
      <c r="DVM112" s="1142"/>
      <c r="DVN112" s="1142"/>
      <c r="DVO112" s="1142"/>
      <c r="DVP112" s="1142"/>
      <c r="DVQ112" s="1142"/>
      <c r="DVR112" s="1142"/>
      <c r="DVS112" s="1142"/>
      <c r="DVT112" s="1142"/>
      <c r="DVU112" s="1167"/>
      <c r="DVV112" s="1167"/>
      <c r="DVW112" s="1167"/>
      <c r="DVX112" s="1167"/>
      <c r="DVY112" s="1167"/>
      <c r="DVZ112" s="1167"/>
      <c r="DWA112" s="1167"/>
      <c r="DWB112" s="1167"/>
      <c r="DWC112" s="1167"/>
      <c r="DWD112" s="1142"/>
      <c r="DWE112" s="1142"/>
      <c r="DWF112" s="1142"/>
      <c r="DWG112" s="1142"/>
      <c r="DWH112" s="1142"/>
      <c r="DWI112" s="1142"/>
      <c r="DWJ112" s="1142"/>
      <c r="DWK112" s="1142"/>
      <c r="DWL112" s="1142"/>
      <c r="DWM112" s="1142"/>
      <c r="DWN112" s="1142"/>
      <c r="DWO112" s="1142"/>
      <c r="DWP112" s="1142"/>
      <c r="DWQ112" s="1142"/>
      <c r="DWR112" s="1142"/>
      <c r="DWS112" s="1142"/>
      <c r="DWT112" s="1142"/>
      <c r="DWU112" s="1142"/>
      <c r="DWV112" s="1142"/>
      <c r="DWW112" s="1142"/>
      <c r="DWX112" s="1142"/>
      <c r="DWY112" s="1142"/>
      <c r="DWZ112" s="1142"/>
      <c r="DXA112" s="1167"/>
      <c r="DXB112" s="1167"/>
      <c r="DXC112" s="1167"/>
      <c r="DXD112" s="1167"/>
      <c r="DXE112" s="1167"/>
      <c r="DXF112" s="1167"/>
      <c r="DXG112" s="1167"/>
      <c r="DXH112" s="1167"/>
      <c r="DXI112" s="1167"/>
      <c r="DXJ112" s="1142"/>
      <c r="DXK112" s="1142"/>
      <c r="DXL112" s="1142"/>
      <c r="DXM112" s="1142"/>
      <c r="DXN112" s="1142"/>
      <c r="DXO112" s="1142"/>
      <c r="DXP112" s="1142"/>
      <c r="DXQ112" s="1142"/>
      <c r="DXR112" s="1142"/>
      <c r="DXS112" s="1142"/>
      <c r="DXT112" s="1142"/>
      <c r="DXU112" s="1142"/>
      <c r="DXV112" s="1142"/>
      <c r="DXW112" s="1142"/>
      <c r="DXX112" s="1142"/>
      <c r="DXY112" s="1142"/>
      <c r="DXZ112" s="1142"/>
      <c r="DYA112" s="1142"/>
      <c r="DYB112" s="1142"/>
      <c r="DYC112" s="1142"/>
      <c r="DYD112" s="1142"/>
      <c r="DYE112" s="1142"/>
      <c r="DYF112" s="1142"/>
      <c r="DYG112" s="1167"/>
      <c r="DYH112" s="1167"/>
      <c r="DYI112" s="1167"/>
      <c r="DYJ112" s="1167"/>
      <c r="DYK112" s="1167"/>
      <c r="DYL112" s="1167"/>
      <c r="DYM112" s="1167"/>
      <c r="DYN112" s="1167"/>
      <c r="DYO112" s="1167"/>
      <c r="DYP112" s="1142"/>
      <c r="DYQ112" s="1142"/>
      <c r="DYR112" s="1142"/>
      <c r="DYS112" s="1142"/>
      <c r="DYT112" s="1142"/>
      <c r="DYU112" s="1142"/>
      <c r="DYV112" s="1142"/>
      <c r="DYW112" s="1142"/>
      <c r="DYX112" s="1142"/>
      <c r="DYY112" s="1142"/>
      <c r="DYZ112" s="1142"/>
      <c r="DZA112" s="1142"/>
      <c r="DZB112" s="1142"/>
      <c r="DZC112" s="1142"/>
      <c r="DZD112" s="1142"/>
      <c r="DZE112" s="1142"/>
      <c r="DZF112" s="1142"/>
      <c r="DZG112" s="1142"/>
      <c r="DZH112" s="1142"/>
      <c r="DZI112" s="1142"/>
      <c r="DZJ112" s="1142"/>
      <c r="DZK112" s="1142"/>
      <c r="DZL112" s="1142"/>
      <c r="DZM112" s="1167"/>
      <c r="DZN112" s="1167"/>
      <c r="DZO112" s="1167"/>
      <c r="DZP112" s="1167"/>
      <c r="DZQ112" s="1167"/>
      <c r="DZR112" s="1167"/>
      <c r="DZS112" s="1167"/>
      <c r="DZT112" s="1167"/>
      <c r="DZU112" s="1167"/>
      <c r="DZV112" s="1142"/>
      <c r="DZW112" s="1142"/>
      <c r="DZX112" s="1142"/>
      <c r="DZY112" s="1142"/>
      <c r="DZZ112" s="1142"/>
      <c r="EAA112" s="1142"/>
      <c r="EAB112" s="1142"/>
      <c r="EAC112" s="1142"/>
      <c r="EAD112" s="1142"/>
      <c r="EAE112" s="1142"/>
      <c r="EAF112" s="1142"/>
      <c r="EAG112" s="1142"/>
      <c r="EAH112" s="1142"/>
      <c r="EAI112" s="1142"/>
      <c r="EAJ112" s="1142"/>
      <c r="EAK112" s="1142"/>
      <c r="EAL112" s="1142"/>
      <c r="EAM112" s="1142"/>
      <c r="EAN112" s="1142"/>
      <c r="EAO112" s="1142"/>
      <c r="EAP112" s="1142"/>
      <c r="EAQ112" s="1142"/>
      <c r="EAR112" s="1142"/>
      <c r="EAS112" s="1167"/>
      <c r="EAT112" s="1167"/>
      <c r="EAU112" s="1167"/>
      <c r="EAV112" s="1167"/>
      <c r="EAW112" s="1167"/>
      <c r="EAX112" s="1167"/>
      <c r="EAY112" s="1167"/>
      <c r="EAZ112" s="1167"/>
      <c r="EBA112" s="1167"/>
      <c r="EBB112" s="1142"/>
      <c r="EBC112" s="1142"/>
      <c r="EBD112" s="1142"/>
      <c r="EBE112" s="1142"/>
      <c r="EBF112" s="1142"/>
      <c r="EBG112" s="1142"/>
      <c r="EBH112" s="1142"/>
      <c r="EBI112" s="1142"/>
      <c r="EBJ112" s="1142"/>
      <c r="EBK112" s="1142"/>
      <c r="EBL112" s="1142"/>
      <c r="EBM112" s="1142"/>
      <c r="EBN112" s="1142"/>
      <c r="EBO112" s="1142"/>
      <c r="EBP112" s="1142"/>
      <c r="EBQ112" s="1142"/>
      <c r="EBR112" s="1142"/>
      <c r="EBS112" s="1142"/>
      <c r="EBT112" s="1142"/>
      <c r="EBU112" s="1142"/>
      <c r="EBV112" s="1142"/>
      <c r="EBW112" s="1142"/>
      <c r="EBX112" s="1142"/>
      <c r="EBY112" s="1167"/>
      <c r="EBZ112" s="1167"/>
      <c r="ECA112" s="1167"/>
      <c r="ECB112" s="1167"/>
      <c r="ECC112" s="1167"/>
      <c r="ECD112" s="1167"/>
      <c r="ECE112" s="1167"/>
      <c r="ECF112" s="1167"/>
      <c r="ECG112" s="1167"/>
      <c r="ECH112" s="1142"/>
      <c r="ECI112" s="1142"/>
      <c r="ECJ112" s="1142"/>
      <c r="ECK112" s="1142"/>
      <c r="ECL112" s="1142"/>
      <c r="ECM112" s="1142"/>
      <c r="ECN112" s="1142"/>
      <c r="ECO112" s="1142"/>
      <c r="ECP112" s="1142"/>
      <c r="ECQ112" s="1142"/>
      <c r="ECR112" s="1142"/>
      <c r="ECS112" s="1142"/>
      <c r="ECT112" s="1142"/>
      <c r="ECU112" s="1142"/>
      <c r="ECV112" s="1142"/>
      <c r="ECW112" s="1142"/>
      <c r="ECX112" s="1142"/>
      <c r="ECY112" s="1142"/>
      <c r="ECZ112" s="1142"/>
      <c r="EDA112" s="1142"/>
      <c r="EDB112" s="1142"/>
      <c r="EDC112" s="1142"/>
      <c r="EDD112" s="1142"/>
      <c r="EDE112" s="1167"/>
      <c r="EDF112" s="1167"/>
      <c r="EDG112" s="1167"/>
      <c r="EDH112" s="1167"/>
      <c r="EDI112" s="1167"/>
      <c r="EDJ112" s="1167"/>
      <c r="EDK112" s="1167"/>
      <c r="EDL112" s="1167"/>
      <c r="EDM112" s="1167"/>
      <c r="EDN112" s="1142"/>
      <c r="EDO112" s="1142"/>
      <c r="EDP112" s="1142"/>
      <c r="EDQ112" s="1142"/>
      <c r="EDR112" s="1142"/>
      <c r="EDS112" s="1142"/>
      <c r="EDT112" s="1142"/>
      <c r="EDU112" s="1142"/>
      <c r="EDV112" s="1142"/>
      <c r="EDW112" s="1142"/>
      <c r="EDX112" s="1142"/>
      <c r="EDY112" s="1142"/>
      <c r="EDZ112" s="1142"/>
      <c r="EEA112" s="1142"/>
      <c r="EEB112" s="1142"/>
      <c r="EEC112" s="1142"/>
      <c r="EED112" s="1142"/>
      <c r="EEE112" s="1142"/>
      <c r="EEF112" s="1142"/>
      <c r="EEG112" s="1142"/>
      <c r="EEH112" s="1142"/>
      <c r="EEI112" s="1142"/>
      <c r="EEJ112" s="1142"/>
      <c r="EEK112" s="1167"/>
      <c r="EEL112" s="1167"/>
      <c r="EEM112" s="1167"/>
      <c r="EEN112" s="1167"/>
      <c r="EEO112" s="1167"/>
      <c r="EEP112" s="1167"/>
      <c r="EEQ112" s="1167"/>
      <c r="EER112" s="1167"/>
      <c r="EES112" s="1167"/>
      <c r="EET112" s="1142"/>
      <c r="EEU112" s="1142"/>
      <c r="EEV112" s="1142"/>
      <c r="EEW112" s="1142"/>
      <c r="EEX112" s="1142"/>
      <c r="EEY112" s="1142"/>
      <c r="EEZ112" s="1142"/>
      <c r="EFA112" s="1142"/>
      <c r="EFB112" s="1142"/>
      <c r="EFC112" s="1142"/>
      <c r="EFD112" s="1142"/>
      <c r="EFE112" s="1142"/>
      <c r="EFF112" s="1142"/>
      <c r="EFG112" s="1142"/>
      <c r="EFH112" s="1142"/>
      <c r="EFI112" s="1142"/>
      <c r="EFJ112" s="1142"/>
      <c r="EFK112" s="1142"/>
      <c r="EFL112" s="1142"/>
      <c r="EFM112" s="1142"/>
      <c r="EFN112" s="1142"/>
      <c r="EFO112" s="1142"/>
      <c r="EFP112" s="1142"/>
      <c r="EFQ112" s="1167"/>
      <c r="EFR112" s="1167"/>
      <c r="EFS112" s="1167"/>
      <c r="EFT112" s="1167"/>
      <c r="EFU112" s="1167"/>
      <c r="EFV112" s="1167"/>
      <c r="EFW112" s="1167"/>
      <c r="EFX112" s="1167"/>
      <c r="EFY112" s="1167"/>
      <c r="EFZ112" s="1142"/>
      <c r="EGA112" s="1142"/>
      <c r="EGB112" s="1142"/>
      <c r="EGC112" s="1142"/>
      <c r="EGD112" s="1142"/>
      <c r="EGE112" s="1142"/>
      <c r="EGF112" s="1142"/>
      <c r="EGG112" s="1142"/>
      <c r="EGH112" s="1142"/>
      <c r="EGI112" s="1142"/>
      <c r="EGJ112" s="1142"/>
      <c r="EGK112" s="1142"/>
      <c r="EGL112" s="1142"/>
      <c r="EGM112" s="1142"/>
      <c r="EGN112" s="1142"/>
      <c r="EGO112" s="1142"/>
      <c r="EGP112" s="1142"/>
      <c r="EGQ112" s="1142"/>
      <c r="EGR112" s="1142"/>
      <c r="EGS112" s="1142"/>
      <c r="EGT112" s="1142"/>
      <c r="EGU112" s="1142"/>
      <c r="EGV112" s="1142"/>
      <c r="EGW112" s="1167"/>
      <c r="EGX112" s="1167"/>
      <c r="EGY112" s="1167"/>
      <c r="EGZ112" s="1167"/>
      <c r="EHA112" s="1167"/>
      <c r="EHB112" s="1167"/>
      <c r="EHC112" s="1167"/>
      <c r="EHD112" s="1167"/>
      <c r="EHE112" s="1167"/>
      <c r="EHF112" s="1142"/>
      <c r="EHG112" s="1142"/>
      <c r="EHH112" s="1142"/>
      <c r="EHI112" s="1142"/>
      <c r="EHJ112" s="1142"/>
      <c r="EHK112" s="1142"/>
      <c r="EHL112" s="1142"/>
      <c r="EHM112" s="1142"/>
      <c r="EHN112" s="1142"/>
      <c r="EHO112" s="1142"/>
      <c r="EHP112" s="1142"/>
      <c r="EHQ112" s="1142"/>
      <c r="EHR112" s="1142"/>
      <c r="EHS112" s="1142"/>
      <c r="EHT112" s="1142"/>
      <c r="EHU112" s="1142"/>
      <c r="EHV112" s="1142"/>
      <c r="EHW112" s="1142"/>
      <c r="EHX112" s="1142"/>
      <c r="EHY112" s="1142"/>
      <c r="EHZ112" s="1142"/>
      <c r="EIA112" s="1142"/>
      <c r="EIB112" s="1142"/>
      <c r="EIC112" s="1167"/>
      <c r="EID112" s="1167"/>
      <c r="EIE112" s="1167"/>
      <c r="EIF112" s="1167"/>
      <c r="EIG112" s="1167"/>
      <c r="EIH112" s="1167"/>
      <c r="EII112" s="1167"/>
      <c r="EIJ112" s="1167"/>
      <c r="EIK112" s="1167"/>
      <c r="EIL112" s="1142"/>
      <c r="EIM112" s="1142"/>
      <c r="EIN112" s="1142"/>
      <c r="EIO112" s="1142"/>
      <c r="EIP112" s="1142"/>
      <c r="EIQ112" s="1142"/>
      <c r="EIR112" s="1142"/>
      <c r="EIS112" s="1142"/>
      <c r="EIT112" s="1142"/>
      <c r="EIU112" s="1142"/>
      <c r="EIV112" s="1142"/>
      <c r="EIW112" s="1142"/>
      <c r="EIX112" s="1142"/>
      <c r="EIY112" s="1142"/>
      <c r="EIZ112" s="1142"/>
      <c r="EJA112" s="1142"/>
      <c r="EJB112" s="1142"/>
      <c r="EJC112" s="1142"/>
      <c r="EJD112" s="1142"/>
      <c r="EJE112" s="1142"/>
      <c r="EJF112" s="1142"/>
      <c r="EJG112" s="1142"/>
      <c r="EJH112" s="1142"/>
      <c r="EJI112" s="1167"/>
      <c r="EJJ112" s="1167"/>
      <c r="EJK112" s="1167"/>
      <c r="EJL112" s="1167"/>
      <c r="EJM112" s="1167"/>
      <c r="EJN112" s="1167"/>
      <c r="EJO112" s="1167"/>
      <c r="EJP112" s="1167"/>
      <c r="EJQ112" s="1167"/>
      <c r="EJR112" s="1142"/>
      <c r="EJS112" s="1142"/>
      <c r="EJT112" s="1142"/>
      <c r="EJU112" s="1142"/>
      <c r="EJV112" s="1142"/>
      <c r="EJW112" s="1142"/>
      <c r="EJX112" s="1142"/>
      <c r="EJY112" s="1142"/>
      <c r="EJZ112" s="1142"/>
      <c r="EKA112" s="1142"/>
      <c r="EKB112" s="1142"/>
      <c r="EKC112" s="1142"/>
      <c r="EKD112" s="1142"/>
      <c r="EKE112" s="1142"/>
      <c r="EKF112" s="1142"/>
      <c r="EKG112" s="1142"/>
      <c r="EKH112" s="1142"/>
      <c r="EKI112" s="1142"/>
      <c r="EKJ112" s="1142"/>
      <c r="EKK112" s="1142"/>
      <c r="EKL112" s="1142"/>
      <c r="EKM112" s="1142"/>
      <c r="EKN112" s="1142"/>
      <c r="EKO112" s="1167"/>
      <c r="EKP112" s="1167"/>
      <c r="EKQ112" s="1167"/>
      <c r="EKR112" s="1167"/>
      <c r="EKS112" s="1167"/>
      <c r="EKT112" s="1167"/>
      <c r="EKU112" s="1167"/>
      <c r="EKV112" s="1167"/>
      <c r="EKW112" s="1167"/>
      <c r="EKX112" s="1142"/>
      <c r="EKY112" s="1142"/>
      <c r="EKZ112" s="1142"/>
      <c r="ELA112" s="1142"/>
      <c r="ELB112" s="1142"/>
      <c r="ELC112" s="1142"/>
      <c r="ELD112" s="1142"/>
      <c r="ELE112" s="1142"/>
      <c r="ELF112" s="1142"/>
      <c r="ELG112" s="1142"/>
      <c r="ELH112" s="1142"/>
      <c r="ELI112" s="1142"/>
      <c r="ELJ112" s="1142"/>
      <c r="ELK112" s="1142"/>
      <c r="ELL112" s="1142"/>
      <c r="ELM112" s="1142"/>
      <c r="ELN112" s="1142"/>
      <c r="ELO112" s="1142"/>
      <c r="ELP112" s="1142"/>
      <c r="ELQ112" s="1142"/>
      <c r="ELR112" s="1142"/>
      <c r="ELS112" s="1142"/>
      <c r="ELT112" s="1142"/>
      <c r="ELU112" s="1167"/>
      <c r="ELV112" s="1167"/>
      <c r="ELW112" s="1167"/>
      <c r="ELX112" s="1167"/>
      <c r="ELY112" s="1167"/>
      <c r="ELZ112" s="1167"/>
      <c r="EMA112" s="1167"/>
      <c r="EMB112" s="1167"/>
      <c r="EMC112" s="1167"/>
      <c r="EMD112" s="1142"/>
      <c r="EME112" s="1142"/>
      <c r="EMF112" s="1142"/>
      <c r="EMG112" s="1142"/>
      <c r="EMH112" s="1142"/>
      <c r="EMI112" s="1142"/>
      <c r="EMJ112" s="1142"/>
      <c r="EMK112" s="1142"/>
      <c r="EML112" s="1142"/>
      <c r="EMM112" s="1142"/>
      <c r="EMN112" s="1142"/>
      <c r="EMO112" s="1142"/>
      <c r="EMP112" s="1142"/>
      <c r="EMQ112" s="1142"/>
      <c r="EMR112" s="1142"/>
      <c r="EMS112" s="1142"/>
      <c r="EMT112" s="1142"/>
      <c r="EMU112" s="1142"/>
      <c r="EMV112" s="1142"/>
      <c r="EMW112" s="1142"/>
      <c r="EMX112" s="1142"/>
      <c r="EMY112" s="1142"/>
      <c r="EMZ112" s="1142"/>
      <c r="ENA112" s="1167"/>
      <c r="ENB112" s="1167"/>
      <c r="ENC112" s="1167"/>
      <c r="END112" s="1167"/>
      <c r="ENE112" s="1167"/>
      <c r="ENF112" s="1167"/>
      <c r="ENG112" s="1167"/>
      <c r="ENH112" s="1167"/>
      <c r="ENI112" s="1167"/>
      <c r="ENJ112" s="1142"/>
      <c r="ENK112" s="1142"/>
      <c r="ENL112" s="1142"/>
      <c r="ENM112" s="1142"/>
      <c r="ENN112" s="1142"/>
      <c r="ENO112" s="1142"/>
      <c r="ENP112" s="1142"/>
      <c r="ENQ112" s="1142"/>
      <c r="ENR112" s="1142"/>
      <c r="ENS112" s="1142"/>
      <c r="ENT112" s="1142"/>
      <c r="ENU112" s="1142"/>
      <c r="ENV112" s="1142"/>
      <c r="ENW112" s="1142"/>
      <c r="ENX112" s="1142"/>
      <c r="ENY112" s="1142"/>
      <c r="ENZ112" s="1142"/>
      <c r="EOA112" s="1142"/>
      <c r="EOB112" s="1142"/>
      <c r="EOC112" s="1142"/>
      <c r="EOD112" s="1142"/>
      <c r="EOE112" s="1142"/>
      <c r="EOF112" s="1142"/>
      <c r="EOG112" s="1167"/>
      <c r="EOH112" s="1167"/>
      <c r="EOI112" s="1167"/>
      <c r="EOJ112" s="1167"/>
      <c r="EOK112" s="1167"/>
      <c r="EOL112" s="1167"/>
      <c r="EOM112" s="1167"/>
      <c r="EON112" s="1167"/>
      <c r="EOO112" s="1167"/>
      <c r="EOP112" s="1142"/>
      <c r="EOQ112" s="1142"/>
      <c r="EOR112" s="1142"/>
      <c r="EOS112" s="1142"/>
      <c r="EOT112" s="1142"/>
      <c r="EOU112" s="1142"/>
      <c r="EOV112" s="1142"/>
      <c r="EOW112" s="1142"/>
      <c r="EOX112" s="1142"/>
      <c r="EOY112" s="1142"/>
      <c r="EOZ112" s="1142"/>
      <c r="EPA112" s="1142"/>
      <c r="EPB112" s="1142"/>
      <c r="EPC112" s="1142"/>
      <c r="EPD112" s="1142"/>
      <c r="EPE112" s="1142"/>
      <c r="EPF112" s="1142"/>
      <c r="EPG112" s="1142"/>
      <c r="EPH112" s="1142"/>
      <c r="EPI112" s="1142"/>
      <c r="EPJ112" s="1142"/>
      <c r="EPK112" s="1142"/>
      <c r="EPL112" s="1142"/>
      <c r="EPM112" s="1167"/>
      <c r="EPN112" s="1167"/>
      <c r="EPO112" s="1167"/>
      <c r="EPP112" s="1167"/>
      <c r="EPQ112" s="1167"/>
      <c r="EPR112" s="1167"/>
      <c r="EPS112" s="1167"/>
      <c r="EPT112" s="1167"/>
      <c r="EPU112" s="1167"/>
      <c r="EPV112" s="1142"/>
      <c r="EPW112" s="1142"/>
      <c r="EPX112" s="1142"/>
      <c r="EPY112" s="1142"/>
      <c r="EPZ112" s="1142"/>
      <c r="EQA112" s="1142"/>
      <c r="EQB112" s="1142"/>
      <c r="EQC112" s="1142"/>
      <c r="EQD112" s="1142"/>
      <c r="EQE112" s="1142"/>
      <c r="EQF112" s="1142"/>
      <c r="EQG112" s="1142"/>
      <c r="EQH112" s="1142"/>
      <c r="EQI112" s="1142"/>
      <c r="EQJ112" s="1142"/>
      <c r="EQK112" s="1142"/>
      <c r="EQL112" s="1142"/>
      <c r="EQM112" s="1142"/>
      <c r="EQN112" s="1142"/>
      <c r="EQO112" s="1142"/>
      <c r="EQP112" s="1142"/>
      <c r="EQQ112" s="1142"/>
      <c r="EQR112" s="1142"/>
      <c r="EQS112" s="1167"/>
      <c r="EQT112" s="1167"/>
      <c r="EQU112" s="1167"/>
      <c r="EQV112" s="1167"/>
      <c r="EQW112" s="1167"/>
      <c r="EQX112" s="1167"/>
      <c r="EQY112" s="1167"/>
      <c r="EQZ112" s="1167"/>
      <c r="ERA112" s="1167"/>
      <c r="ERB112" s="1142"/>
      <c r="ERC112" s="1142"/>
      <c r="ERD112" s="1142"/>
      <c r="ERE112" s="1142"/>
      <c r="ERF112" s="1142"/>
      <c r="ERG112" s="1142"/>
      <c r="ERH112" s="1142"/>
      <c r="ERI112" s="1142"/>
      <c r="ERJ112" s="1142"/>
      <c r="ERK112" s="1142"/>
      <c r="ERL112" s="1142"/>
      <c r="ERM112" s="1142"/>
      <c r="ERN112" s="1142"/>
      <c r="ERO112" s="1142"/>
      <c r="ERP112" s="1142"/>
      <c r="ERQ112" s="1142"/>
      <c r="ERR112" s="1142"/>
      <c r="ERS112" s="1142"/>
      <c r="ERT112" s="1142"/>
      <c r="ERU112" s="1142"/>
      <c r="ERV112" s="1142"/>
      <c r="ERW112" s="1142"/>
      <c r="ERX112" s="1142"/>
      <c r="ERY112" s="1167"/>
      <c r="ERZ112" s="1167"/>
      <c r="ESA112" s="1167"/>
      <c r="ESB112" s="1167"/>
      <c r="ESC112" s="1167"/>
      <c r="ESD112" s="1167"/>
      <c r="ESE112" s="1167"/>
      <c r="ESF112" s="1167"/>
      <c r="ESG112" s="1167"/>
      <c r="ESH112" s="1142"/>
      <c r="ESI112" s="1142"/>
      <c r="ESJ112" s="1142"/>
      <c r="ESK112" s="1142"/>
      <c r="ESL112" s="1142"/>
      <c r="ESM112" s="1142"/>
      <c r="ESN112" s="1142"/>
      <c r="ESO112" s="1142"/>
      <c r="ESP112" s="1142"/>
      <c r="ESQ112" s="1142"/>
      <c r="ESR112" s="1142"/>
      <c r="ESS112" s="1142"/>
      <c r="EST112" s="1142"/>
      <c r="ESU112" s="1142"/>
      <c r="ESV112" s="1142"/>
      <c r="ESW112" s="1142"/>
      <c r="ESX112" s="1142"/>
      <c r="ESY112" s="1142"/>
      <c r="ESZ112" s="1142"/>
      <c r="ETA112" s="1142"/>
      <c r="ETB112" s="1142"/>
      <c r="ETC112" s="1142"/>
      <c r="ETD112" s="1142"/>
      <c r="ETE112" s="1167"/>
      <c r="ETF112" s="1167"/>
      <c r="ETG112" s="1167"/>
      <c r="ETH112" s="1167"/>
      <c r="ETI112" s="1167"/>
      <c r="ETJ112" s="1167"/>
      <c r="ETK112" s="1167"/>
      <c r="ETL112" s="1167"/>
      <c r="ETM112" s="1167"/>
      <c r="ETN112" s="1142"/>
      <c r="ETO112" s="1142"/>
      <c r="ETP112" s="1142"/>
      <c r="ETQ112" s="1142"/>
      <c r="ETR112" s="1142"/>
      <c r="ETS112" s="1142"/>
      <c r="ETT112" s="1142"/>
      <c r="ETU112" s="1142"/>
      <c r="ETV112" s="1142"/>
      <c r="ETW112" s="1142"/>
      <c r="ETX112" s="1142"/>
      <c r="ETY112" s="1142"/>
      <c r="ETZ112" s="1142"/>
      <c r="EUA112" s="1142"/>
      <c r="EUB112" s="1142"/>
      <c r="EUC112" s="1142"/>
      <c r="EUD112" s="1142"/>
      <c r="EUE112" s="1142"/>
      <c r="EUF112" s="1142"/>
      <c r="EUG112" s="1142"/>
      <c r="EUH112" s="1142"/>
      <c r="EUI112" s="1142"/>
      <c r="EUJ112" s="1142"/>
      <c r="EUK112" s="1167"/>
      <c r="EUL112" s="1167"/>
      <c r="EUM112" s="1167"/>
      <c r="EUN112" s="1167"/>
      <c r="EUO112" s="1167"/>
      <c r="EUP112" s="1167"/>
      <c r="EUQ112" s="1167"/>
      <c r="EUR112" s="1167"/>
      <c r="EUS112" s="1167"/>
      <c r="EUT112" s="1142"/>
      <c r="EUU112" s="1142"/>
      <c r="EUV112" s="1142"/>
      <c r="EUW112" s="1142"/>
      <c r="EUX112" s="1142"/>
      <c r="EUY112" s="1142"/>
      <c r="EUZ112" s="1142"/>
      <c r="EVA112" s="1142"/>
      <c r="EVB112" s="1142"/>
      <c r="EVC112" s="1142"/>
      <c r="EVD112" s="1142"/>
      <c r="EVE112" s="1142"/>
      <c r="EVF112" s="1142"/>
      <c r="EVG112" s="1142"/>
      <c r="EVH112" s="1142"/>
      <c r="EVI112" s="1142"/>
      <c r="EVJ112" s="1142"/>
      <c r="EVK112" s="1142"/>
      <c r="EVL112" s="1142"/>
      <c r="EVM112" s="1142"/>
      <c r="EVN112" s="1142"/>
      <c r="EVO112" s="1142"/>
      <c r="EVP112" s="1142"/>
      <c r="EVQ112" s="1167"/>
      <c r="EVR112" s="1167"/>
      <c r="EVS112" s="1167"/>
      <c r="EVT112" s="1167"/>
      <c r="EVU112" s="1167"/>
      <c r="EVV112" s="1167"/>
      <c r="EVW112" s="1167"/>
      <c r="EVX112" s="1167"/>
      <c r="EVY112" s="1167"/>
      <c r="EVZ112" s="1142"/>
      <c r="EWA112" s="1142"/>
      <c r="EWB112" s="1142"/>
      <c r="EWC112" s="1142"/>
      <c r="EWD112" s="1142"/>
      <c r="EWE112" s="1142"/>
      <c r="EWF112" s="1142"/>
      <c r="EWG112" s="1142"/>
      <c r="EWH112" s="1142"/>
      <c r="EWI112" s="1142"/>
      <c r="EWJ112" s="1142"/>
      <c r="EWK112" s="1142"/>
      <c r="EWL112" s="1142"/>
      <c r="EWM112" s="1142"/>
      <c r="EWN112" s="1142"/>
      <c r="EWO112" s="1142"/>
      <c r="EWP112" s="1142"/>
      <c r="EWQ112" s="1142"/>
      <c r="EWR112" s="1142"/>
      <c r="EWS112" s="1142"/>
      <c r="EWT112" s="1142"/>
      <c r="EWU112" s="1142"/>
      <c r="EWV112" s="1142"/>
      <c r="EWW112" s="1167"/>
      <c r="EWX112" s="1167"/>
      <c r="EWY112" s="1167"/>
      <c r="EWZ112" s="1167"/>
      <c r="EXA112" s="1167"/>
      <c r="EXB112" s="1167"/>
      <c r="EXC112" s="1167"/>
      <c r="EXD112" s="1167"/>
      <c r="EXE112" s="1167"/>
      <c r="EXF112" s="1142"/>
      <c r="EXG112" s="1142"/>
      <c r="EXH112" s="1142"/>
      <c r="EXI112" s="1142"/>
      <c r="EXJ112" s="1142"/>
      <c r="EXK112" s="1142"/>
      <c r="EXL112" s="1142"/>
      <c r="EXM112" s="1142"/>
      <c r="EXN112" s="1142"/>
      <c r="EXO112" s="1142"/>
      <c r="EXP112" s="1142"/>
      <c r="EXQ112" s="1142"/>
      <c r="EXR112" s="1142"/>
      <c r="EXS112" s="1142"/>
      <c r="EXT112" s="1142"/>
      <c r="EXU112" s="1142"/>
      <c r="EXV112" s="1142"/>
      <c r="EXW112" s="1142"/>
      <c r="EXX112" s="1142"/>
      <c r="EXY112" s="1142"/>
      <c r="EXZ112" s="1142"/>
      <c r="EYA112" s="1142"/>
      <c r="EYB112" s="1142"/>
      <c r="EYC112" s="1167"/>
      <c r="EYD112" s="1167"/>
      <c r="EYE112" s="1167"/>
      <c r="EYF112" s="1167"/>
      <c r="EYG112" s="1167"/>
      <c r="EYH112" s="1167"/>
      <c r="EYI112" s="1167"/>
      <c r="EYJ112" s="1167"/>
      <c r="EYK112" s="1167"/>
      <c r="EYL112" s="1142"/>
      <c r="EYM112" s="1142"/>
      <c r="EYN112" s="1142"/>
      <c r="EYO112" s="1142"/>
      <c r="EYP112" s="1142"/>
      <c r="EYQ112" s="1142"/>
      <c r="EYR112" s="1142"/>
      <c r="EYS112" s="1142"/>
      <c r="EYT112" s="1142"/>
      <c r="EYU112" s="1142"/>
      <c r="EYV112" s="1142"/>
      <c r="EYW112" s="1142"/>
      <c r="EYX112" s="1142"/>
      <c r="EYY112" s="1142"/>
      <c r="EYZ112" s="1142"/>
      <c r="EZA112" s="1142"/>
      <c r="EZB112" s="1142"/>
      <c r="EZC112" s="1142"/>
      <c r="EZD112" s="1142"/>
      <c r="EZE112" s="1142"/>
      <c r="EZF112" s="1142"/>
      <c r="EZG112" s="1142"/>
      <c r="EZH112" s="1142"/>
      <c r="EZI112" s="1167"/>
      <c r="EZJ112" s="1167"/>
      <c r="EZK112" s="1167"/>
      <c r="EZL112" s="1167"/>
      <c r="EZM112" s="1167"/>
      <c r="EZN112" s="1167"/>
      <c r="EZO112" s="1167"/>
      <c r="EZP112" s="1167"/>
      <c r="EZQ112" s="1167"/>
      <c r="EZR112" s="1142"/>
      <c r="EZS112" s="1142"/>
      <c r="EZT112" s="1142"/>
      <c r="EZU112" s="1142"/>
      <c r="EZV112" s="1142"/>
      <c r="EZW112" s="1142"/>
      <c r="EZX112" s="1142"/>
      <c r="EZY112" s="1142"/>
      <c r="EZZ112" s="1142"/>
      <c r="FAA112" s="1142"/>
      <c r="FAB112" s="1142"/>
      <c r="FAC112" s="1142"/>
      <c r="FAD112" s="1142"/>
      <c r="FAE112" s="1142"/>
      <c r="FAF112" s="1142"/>
      <c r="FAG112" s="1142"/>
      <c r="FAH112" s="1142"/>
      <c r="FAI112" s="1142"/>
      <c r="FAJ112" s="1142"/>
      <c r="FAK112" s="1142"/>
      <c r="FAL112" s="1142"/>
      <c r="FAM112" s="1142"/>
      <c r="FAN112" s="1142"/>
      <c r="FAO112" s="1167"/>
      <c r="FAP112" s="1167"/>
      <c r="FAQ112" s="1167"/>
      <c r="FAR112" s="1167"/>
      <c r="FAS112" s="1167"/>
      <c r="FAT112" s="1167"/>
      <c r="FAU112" s="1167"/>
      <c r="FAV112" s="1167"/>
      <c r="FAW112" s="1167"/>
      <c r="FAX112" s="1142"/>
      <c r="FAY112" s="1142"/>
      <c r="FAZ112" s="1142"/>
      <c r="FBA112" s="1142"/>
      <c r="FBB112" s="1142"/>
      <c r="FBC112" s="1142"/>
      <c r="FBD112" s="1142"/>
      <c r="FBE112" s="1142"/>
      <c r="FBF112" s="1142"/>
      <c r="FBG112" s="1142"/>
      <c r="FBH112" s="1142"/>
      <c r="FBI112" s="1142"/>
      <c r="FBJ112" s="1142"/>
      <c r="FBK112" s="1142"/>
      <c r="FBL112" s="1142"/>
      <c r="FBM112" s="1142"/>
      <c r="FBN112" s="1142"/>
      <c r="FBO112" s="1142"/>
      <c r="FBP112" s="1142"/>
      <c r="FBQ112" s="1142"/>
      <c r="FBR112" s="1142"/>
      <c r="FBS112" s="1142"/>
      <c r="FBT112" s="1142"/>
      <c r="FBU112" s="1167"/>
      <c r="FBV112" s="1167"/>
      <c r="FBW112" s="1167"/>
      <c r="FBX112" s="1167"/>
      <c r="FBY112" s="1167"/>
      <c r="FBZ112" s="1167"/>
      <c r="FCA112" s="1167"/>
      <c r="FCB112" s="1167"/>
      <c r="FCC112" s="1167"/>
      <c r="FCD112" s="1142"/>
      <c r="FCE112" s="1142"/>
      <c r="FCF112" s="1142"/>
      <c r="FCG112" s="1142"/>
      <c r="FCH112" s="1142"/>
      <c r="FCI112" s="1142"/>
      <c r="FCJ112" s="1142"/>
      <c r="FCK112" s="1142"/>
      <c r="FCL112" s="1142"/>
      <c r="FCM112" s="1142"/>
      <c r="FCN112" s="1142"/>
      <c r="FCO112" s="1142"/>
      <c r="FCP112" s="1142"/>
      <c r="FCQ112" s="1142"/>
      <c r="FCR112" s="1142"/>
      <c r="FCS112" s="1142"/>
      <c r="FCT112" s="1142"/>
      <c r="FCU112" s="1142"/>
      <c r="FCV112" s="1142"/>
      <c r="FCW112" s="1142"/>
      <c r="FCX112" s="1142"/>
      <c r="FCY112" s="1142"/>
      <c r="FCZ112" s="1142"/>
      <c r="FDA112" s="1167"/>
      <c r="FDB112" s="1167"/>
      <c r="FDC112" s="1167"/>
      <c r="FDD112" s="1167"/>
      <c r="FDE112" s="1167"/>
      <c r="FDF112" s="1167"/>
      <c r="FDG112" s="1167"/>
      <c r="FDH112" s="1167"/>
      <c r="FDI112" s="1167"/>
      <c r="FDJ112" s="1142"/>
      <c r="FDK112" s="1142"/>
      <c r="FDL112" s="1142"/>
      <c r="FDM112" s="1142"/>
      <c r="FDN112" s="1142"/>
      <c r="FDO112" s="1142"/>
      <c r="FDP112" s="1142"/>
      <c r="FDQ112" s="1142"/>
      <c r="FDR112" s="1142"/>
      <c r="FDS112" s="1142"/>
      <c r="FDT112" s="1142"/>
      <c r="FDU112" s="1142"/>
      <c r="FDV112" s="1142"/>
      <c r="FDW112" s="1142"/>
      <c r="FDX112" s="1142"/>
      <c r="FDY112" s="1142"/>
      <c r="FDZ112" s="1142"/>
      <c r="FEA112" s="1142"/>
      <c r="FEB112" s="1142"/>
      <c r="FEC112" s="1142"/>
      <c r="FED112" s="1142"/>
      <c r="FEE112" s="1142"/>
      <c r="FEF112" s="1142"/>
      <c r="FEG112" s="1167"/>
      <c r="FEH112" s="1167"/>
      <c r="FEI112" s="1167"/>
      <c r="FEJ112" s="1167"/>
      <c r="FEK112" s="1167"/>
      <c r="FEL112" s="1167"/>
      <c r="FEM112" s="1167"/>
      <c r="FEN112" s="1167"/>
      <c r="FEO112" s="1167"/>
      <c r="FEP112" s="1142"/>
      <c r="FEQ112" s="1142"/>
      <c r="FER112" s="1142"/>
      <c r="FES112" s="1142"/>
      <c r="FET112" s="1142"/>
      <c r="FEU112" s="1142"/>
      <c r="FEV112" s="1142"/>
      <c r="FEW112" s="1142"/>
      <c r="FEX112" s="1142"/>
      <c r="FEY112" s="1142"/>
      <c r="FEZ112" s="1142"/>
      <c r="FFA112" s="1142"/>
      <c r="FFB112" s="1142"/>
      <c r="FFC112" s="1142"/>
      <c r="FFD112" s="1142"/>
      <c r="FFE112" s="1142"/>
      <c r="FFF112" s="1142"/>
      <c r="FFG112" s="1142"/>
      <c r="FFH112" s="1142"/>
      <c r="FFI112" s="1142"/>
      <c r="FFJ112" s="1142"/>
      <c r="FFK112" s="1142"/>
      <c r="FFL112" s="1142"/>
      <c r="FFM112" s="1167"/>
      <c r="FFN112" s="1167"/>
      <c r="FFO112" s="1167"/>
      <c r="FFP112" s="1167"/>
      <c r="FFQ112" s="1167"/>
      <c r="FFR112" s="1167"/>
      <c r="FFS112" s="1167"/>
      <c r="FFT112" s="1167"/>
      <c r="FFU112" s="1167"/>
      <c r="FFV112" s="1142"/>
      <c r="FFW112" s="1142"/>
      <c r="FFX112" s="1142"/>
      <c r="FFY112" s="1142"/>
      <c r="FFZ112" s="1142"/>
      <c r="FGA112" s="1142"/>
      <c r="FGB112" s="1142"/>
      <c r="FGC112" s="1142"/>
      <c r="FGD112" s="1142"/>
      <c r="FGE112" s="1142"/>
      <c r="FGF112" s="1142"/>
      <c r="FGG112" s="1142"/>
      <c r="FGH112" s="1142"/>
      <c r="FGI112" s="1142"/>
      <c r="FGJ112" s="1142"/>
      <c r="FGK112" s="1142"/>
      <c r="FGL112" s="1142"/>
      <c r="FGM112" s="1142"/>
      <c r="FGN112" s="1142"/>
      <c r="FGO112" s="1142"/>
      <c r="FGP112" s="1142"/>
      <c r="FGQ112" s="1142"/>
      <c r="FGR112" s="1142"/>
      <c r="FGS112" s="1167"/>
      <c r="FGT112" s="1167"/>
      <c r="FGU112" s="1167"/>
      <c r="FGV112" s="1167"/>
      <c r="FGW112" s="1167"/>
      <c r="FGX112" s="1167"/>
      <c r="FGY112" s="1167"/>
      <c r="FGZ112" s="1167"/>
      <c r="FHA112" s="1167"/>
      <c r="FHB112" s="1142"/>
      <c r="FHC112" s="1142"/>
      <c r="FHD112" s="1142"/>
      <c r="FHE112" s="1142"/>
      <c r="FHF112" s="1142"/>
      <c r="FHG112" s="1142"/>
      <c r="FHH112" s="1142"/>
      <c r="FHI112" s="1142"/>
      <c r="FHJ112" s="1142"/>
      <c r="FHK112" s="1142"/>
      <c r="FHL112" s="1142"/>
      <c r="FHM112" s="1142"/>
      <c r="FHN112" s="1142"/>
      <c r="FHO112" s="1142"/>
      <c r="FHP112" s="1142"/>
      <c r="FHQ112" s="1142"/>
      <c r="FHR112" s="1142"/>
      <c r="FHS112" s="1142"/>
      <c r="FHT112" s="1142"/>
      <c r="FHU112" s="1142"/>
      <c r="FHV112" s="1142"/>
      <c r="FHW112" s="1142"/>
      <c r="FHX112" s="1142"/>
      <c r="FHY112" s="1167"/>
      <c r="FHZ112" s="1167"/>
      <c r="FIA112" s="1167"/>
      <c r="FIB112" s="1167"/>
      <c r="FIC112" s="1167"/>
      <c r="FID112" s="1167"/>
      <c r="FIE112" s="1167"/>
      <c r="FIF112" s="1167"/>
      <c r="FIG112" s="1167"/>
      <c r="FIH112" s="1142"/>
      <c r="FII112" s="1142"/>
      <c r="FIJ112" s="1142"/>
      <c r="FIK112" s="1142"/>
      <c r="FIL112" s="1142"/>
      <c r="FIM112" s="1142"/>
      <c r="FIN112" s="1142"/>
      <c r="FIO112" s="1142"/>
      <c r="FIP112" s="1142"/>
      <c r="FIQ112" s="1142"/>
      <c r="FIR112" s="1142"/>
      <c r="FIS112" s="1142"/>
      <c r="FIT112" s="1142"/>
      <c r="FIU112" s="1142"/>
      <c r="FIV112" s="1142"/>
      <c r="FIW112" s="1142"/>
      <c r="FIX112" s="1142"/>
      <c r="FIY112" s="1142"/>
      <c r="FIZ112" s="1142"/>
      <c r="FJA112" s="1142"/>
      <c r="FJB112" s="1142"/>
      <c r="FJC112" s="1142"/>
      <c r="FJD112" s="1142"/>
      <c r="FJE112" s="1167"/>
      <c r="FJF112" s="1167"/>
      <c r="FJG112" s="1167"/>
      <c r="FJH112" s="1167"/>
      <c r="FJI112" s="1167"/>
      <c r="FJJ112" s="1167"/>
      <c r="FJK112" s="1167"/>
      <c r="FJL112" s="1167"/>
      <c r="FJM112" s="1167"/>
      <c r="FJN112" s="1142"/>
      <c r="FJO112" s="1142"/>
      <c r="FJP112" s="1142"/>
      <c r="FJQ112" s="1142"/>
      <c r="FJR112" s="1142"/>
      <c r="FJS112" s="1142"/>
      <c r="FJT112" s="1142"/>
      <c r="FJU112" s="1142"/>
      <c r="FJV112" s="1142"/>
      <c r="FJW112" s="1142"/>
      <c r="FJX112" s="1142"/>
      <c r="FJY112" s="1142"/>
      <c r="FJZ112" s="1142"/>
      <c r="FKA112" s="1142"/>
      <c r="FKB112" s="1142"/>
      <c r="FKC112" s="1142"/>
      <c r="FKD112" s="1142"/>
      <c r="FKE112" s="1142"/>
      <c r="FKF112" s="1142"/>
      <c r="FKG112" s="1142"/>
      <c r="FKH112" s="1142"/>
      <c r="FKI112" s="1142"/>
      <c r="FKJ112" s="1142"/>
      <c r="FKK112" s="1167"/>
      <c r="FKL112" s="1167"/>
      <c r="FKM112" s="1167"/>
      <c r="FKN112" s="1167"/>
      <c r="FKO112" s="1167"/>
      <c r="FKP112" s="1167"/>
      <c r="FKQ112" s="1167"/>
      <c r="FKR112" s="1167"/>
      <c r="FKS112" s="1167"/>
      <c r="FKT112" s="1142"/>
      <c r="FKU112" s="1142"/>
      <c r="FKV112" s="1142"/>
      <c r="FKW112" s="1142"/>
      <c r="FKX112" s="1142"/>
      <c r="FKY112" s="1142"/>
      <c r="FKZ112" s="1142"/>
      <c r="FLA112" s="1142"/>
      <c r="FLB112" s="1142"/>
      <c r="FLC112" s="1142"/>
      <c r="FLD112" s="1142"/>
      <c r="FLE112" s="1142"/>
      <c r="FLF112" s="1142"/>
      <c r="FLG112" s="1142"/>
      <c r="FLH112" s="1142"/>
      <c r="FLI112" s="1142"/>
      <c r="FLJ112" s="1142"/>
      <c r="FLK112" s="1142"/>
      <c r="FLL112" s="1142"/>
      <c r="FLM112" s="1142"/>
      <c r="FLN112" s="1142"/>
      <c r="FLO112" s="1142"/>
      <c r="FLP112" s="1142"/>
      <c r="FLQ112" s="1167"/>
      <c r="FLR112" s="1167"/>
      <c r="FLS112" s="1167"/>
      <c r="FLT112" s="1167"/>
      <c r="FLU112" s="1167"/>
      <c r="FLV112" s="1167"/>
      <c r="FLW112" s="1167"/>
      <c r="FLX112" s="1167"/>
      <c r="FLY112" s="1167"/>
      <c r="FLZ112" s="1142"/>
      <c r="FMA112" s="1142"/>
      <c r="FMB112" s="1142"/>
      <c r="FMC112" s="1142"/>
      <c r="FMD112" s="1142"/>
      <c r="FME112" s="1142"/>
      <c r="FMF112" s="1142"/>
      <c r="FMG112" s="1142"/>
      <c r="FMH112" s="1142"/>
      <c r="FMI112" s="1142"/>
      <c r="FMJ112" s="1142"/>
      <c r="FMK112" s="1142"/>
      <c r="FML112" s="1142"/>
      <c r="FMM112" s="1142"/>
      <c r="FMN112" s="1142"/>
      <c r="FMO112" s="1142"/>
      <c r="FMP112" s="1142"/>
      <c r="FMQ112" s="1142"/>
      <c r="FMR112" s="1142"/>
      <c r="FMS112" s="1142"/>
      <c r="FMT112" s="1142"/>
      <c r="FMU112" s="1142"/>
      <c r="FMV112" s="1142"/>
      <c r="FMW112" s="1167"/>
      <c r="FMX112" s="1167"/>
      <c r="FMY112" s="1167"/>
      <c r="FMZ112" s="1167"/>
      <c r="FNA112" s="1167"/>
      <c r="FNB112" s="1167"/>
      <c r="FNC112" s="1167"/>
      <c r="FND112" s="1167"/>
      <c r="FNE112" s="1167"/>
      <c r="FNF112" s="1142"/>
      <c r="FNG112" s="1142"/>
      <c r="FNH112" s="1142"/>
      <c r="FNI112" s="1142"/>
      <c r="FNJ112" s="1142"/>
      <c r="FNK112" s="1142"/>
      <c r="FNL112" s="1142"/>
      <c r="FNM112" s="1142"/>
      <c r="FNN112" s="1142"/>
      <c r="FNO112" s="1142"/>
      <c r="FNP112" s="1142"/>
      <c r="FNQ112" s="1142"/>
      <c r="FNR112" s="1142"/>
      <c r="FNS112" s="1142"/>
      <c r="FNT112" s="1142"/>
      <c r="FNU112" s="1142"/>
      <c r="FNV112" s="1142"/>
      <c r="FNW112" s="1142"/>
      <c r="FNX112" s="1142"/>
      <c r="FNY112" s="1142"/>
      <c r="FNZ112" s="1142"/>
      <c r="FOA112" s="1142"/>
      <c r="FOB112" s="1142"/>
      <c r="FOC112" s="1167"/>
      <c r="FOD112" s="1167"/>
      <c r="FOE112" s="1167"/>
      <c r="FOF112" s="1167"/>
      <c r="FOG112" s="1167"/>
      <c r="FOH112" s="1167"/>
      <c r="FOI112" s="1167"/>
      <c r="FOJ112" s="1167"/>
      <c r="FOK112" s="1167"/>
      <c r="FOL112" s="1142"/>
      <c r="FOM112" s="1142"/>
      <c r="FON112" s="1142"/>
      <c r="FOO112" s="1142"/>
      <c r="FOP112" s="1142"/>
      <c r="FOQ112" s="1142"/>
      <c r="FOR112" s="1142"/>
      <c r="FOS112" s="1142"/>
      <c r="FOT112" s="1142"/>
      <c r="FOU112" s="1142"/>
      <c r="FOV112" s="1142"/>
      <c r="FOW112" s="1142"/>
      <c r="FOX112" s="1142"/>
      <c r="FOY112" s="1142"/>
      <c r="FOZ112" s="1142"/>
      <c r="FPA112" s="1142"/>
      <c r="FPB112" s="1142"/>
      <c r="FPC112" s="1142"/>
      <c r="FPD112" s="1142"/>
      <c r="FPE112" s="1142"/>
      <c r="FPF112" s="1142"/>
      <c r="FPG112" s="1142"/>
      <c r="FPH112" s="1142"/>
      <c r="FPI112" s="1167"/>
      <c r="FPJ112" s="1167"/>
      <c r="FPK112" s="1167"/>
      <c r="FPL112" s="1167"/>
      <c r="FPM112" s="1167"/>
      <c r="FPN112" s="1167"/>
      <c r="FPO112" s="1167"/>
      <c r="FPP112" s="1167"/>
      <c r="FPQ112" s="1167"/>
      <c r="FPR112" s="1142"/>
      <c r="FPS112" s="1142"/>
      <c r="FPT112" s="1142"/>
      <c r="FPU112" s="1142"/>
      <c r="FPV112" s="1142"/>
      <c r="FPW112" s="1142"/>
      <c r="FPX112" s="1142"/>
      <c r="FPY112" s="1142"/>
      <c r="FPZ112" s="1142"/>
      <c r="FQA112" s="1142"/>
      <c r="FQB112" s="1142"/>
      <c r="FQC112" s="1142"/>
      <c r="FQD112" s="1142"/>
      <c r="FQE112" s="1142"/>
      <c r="FQF112" s="1142"/>
      <c r="FQG112" s="1142"/>
      <c r="FQH112" s="1142"/>
      <c r="FQI112" s="1142"/>
      <c r="FQJ112" s="1142"/>
      <c r="FQK112" s="1142"/>
      <c r="FQL112" s="1142"/>
      <c r="FQM112" s="1142"/>
      <c r="FQN112" s="1142"/>
      <c r="FQO112" s="1167"/>
      <c r="FQP112" s="1167"/>
      <c r="FQQ112" s="1167"/>
      <c r="FQR112" s="1167"/>
      <c r="FQS112" s="1167"/>
      <c r="FQT112" s="1167"/>
      <c r="FQU112" s="1167"/>
      <c r="FQV112" s="1167"/>
      <c r="FQW112" s="1167"/>
      <c r="FQX112" s="1142"/>
      <c r="FQY112" s="1142"/>
      <c r="FQZ112" s="1142"/>
      <c r="FRA112" s="1142"/>
      <c r="FRB112" s="1142"/>
      <c r="FRC112" s="1142"/>
      <c r="FRD112" s="1142"/>
      <c r="FRE112" s="1142"/>
      <c r="FRF112" s="1142"/>
      <c r="FRG112" s="1142"/>
      <c r="FRH112" s="1142"/>
      <c r="FRI112" s="1142"/>
      <c r="FRJ112" s="1142"/>
      <c r="FRK112" s="1142"/>
      <c r="FRL112" s="1142"/>
      <c r="FRM112" s="1142"/>
      <c r="FRN112" s="1142"/>
      <c r="FRO112" s="1142"/>
      <c r="FRP112" s="1142"/>
      <c r="FRQ112" s="1142"/>
      <c r="FRR112" s="1142"/>
      <c r="FRS112" s="1142"/>
      <c r="FRT112" s="1142"/>
      <c r="FRU112" s="1167"/>
      <c r="FRV112" s="1167"/>
      <c r="FRW112" s="1167"/>
      <c r="FRX112" s="1167"/>
      <c r="FRY112" s="1167"/>
      <c r="FRZ112" s="1167"/>
      <c r="FSA112" s="1167"/>
      <c r="FSB112" s="1167"/>
      <c r="FSC112" s="1167"/>
      <c r="FSD112" s="1142"/>
      <c r="FSE112" s="1142"/>
      <c r="FSF112" s="1142"/>
      <c r="FSG112" s="1142"/>
      <c r="FSH112" s="1142"/>
      <c r="FSI112" s="1142"/>
      <c r="FSJ112" s="1142"/>
      <c r="FSK112" s="1142"/>
      <c r="FSL112" s="1142"/>
      <c r="FSM112" s="1142"/>
      <c r="FSN112" s="1142"/>
      <c r="FSO112" s="1142"/>
      <c r="FSP112" s="1142"/>
      <c r="FSQ112" s="1142"/>
      <c r="FSR112" s="1142"/>
      <c r="FSS112" s="1142"/>
      <c r="FST112" s="1142"/>
      <c r="FSU112" s="1142"/>
      <c r="FSV112" s="1142"/>
      <c r="FSW112" s="1142"/>
      <c r="FSX112" s="1142"/>
      <c r="FSY112" s="1142"/>
      <c r="FSZ112" s="1142"/>
      <c r="FTA112" s="1167"/>
      <c r="FTB112" s="1167"/>
      <c r="FTC112" s="1167"/>
      <c r="FTD112" s="1167"/>
      <c r="FTE112" s="1167"/>
      <c r="FTF112" s="1167"/>
      <c r="FTG112" s="1167"/>
      <c r="FTH112" s="1167"/>
      <c r="FTI112" s="1167"/>
      <c r="FTJ112" s="1142"/>
      <c r="FTK112" s="1142"/>
      <c r="FTL112" s="1142"/>
      <c r="FTM112" s="1142"/>
      <c r="FTN112" s="1142"/>
      <c r="FTO112" s="1142"/>
      <c r="FTP112" s="1142"/>
      <c r="FTQ112" s="1142"/>
      <c r="FTR112" s="1142"/>
      <c r="FTS112" s="1142"/>
      <c r="FTT112" s="1142"/>
      <c r="FTU112" s="1142"/>
      <c r="FTV112" s="1142"/>
      <c r="FTW112" s="1142"/>
      <c r="FTX112" s="1142"/>
      <c r="FTY112" s="1142"/>
      <c r="FTZ112" s="1142"/>
      <c r="FUA112" s="1142"/>
      <c r="FUB112" s="1142"/>
      <c r="FUC112" s="1142"/>
      <c r="FUD112" s="1142"/>
      <c r="FUE112" s="1142"/>
      <c r="FUF112" s="1142"/>
      <c r="FUG112" s="1167"/>
      <c r="FUH112" s="1167"/>
      <c r="FUI112" s="1167"/>
      <c r="FUJ112" s="1167"/>
      <c r="FUK112" s="1167"/>
      <c r="FUL112" s="1167"/>
      <c r="FUM112" s="1167"/>
      <c r="FUN112" s="1167"/>
      <c r="FUO112" s="1167"/>
      <c r="FUP112" s="1142"/>
      <c r="FUQ112" s="1142"/>
      <c r="FUR112" s="1142"/>
      <c r="FUS112" s="1142"/>
      <c r="FUT112" s="1142"/>
      <c r="FUU112" s="1142"/>
      <c r="FUV112" s="1142"/>
      <c r="FUW112" s="1142"/>
      <c r="FUX112" s="1142"/>
      <c r="FUY112" s="1142"/>
      <c r="FUZ112" s="1142"/>
      <c r="FVA112" s="1142"/>
      <c r="FVB112" s="1142"/>
      <c r="FVC112" s="1142"/>
      <c r="FVD112" s="1142"/>
      <c r="FVE112" s="1142"/>
      <c r="FVF112" s="1142"/>
      <c r="FVG112" s="1142"/>
      <c r="FVH112" s="1142"/>
      <c r="FVI112" s="1142"/>
      <c r="FVJ112" s="1142"/>
      <c r="FVK112" s="1142"/>
      <c r="FVL112" s="1142"/>
      <c r="FVM112" s="1167"/>
      <c r="FVN112" s="1167"/>
      <c r="FVO112" s="1167"/>
      <c r="FVP112" s="1167"/>
      <c r="FVQ112" s="1167"/>
      <c r="FVR112" s="1167"/>
      <c r="FVS112" s="1167"/>
      <c r="FVT112" s="1167"/>
      <c r="FVU112" s="1167"/>
      <c r="FVV112" s="1142"/>
      <c r="FVW112" s="1142"/>
      <c r="FVX112" s="1142"/>
      <c r="FVY112" s="1142"/>
      <c r="FVZ112" s="1142"/>
      <c r="FWA112" s="1142"/>
      <c r="FWB112" s="1142"/>
      <c r="FWC112" s="1142"/>
      <c r="FWD112" s="1142"/>
      <c r="FWE112" s="1142"/>
      <c r="FWF112" s="1142"/>
      <c r="FWG112" s="1142"/>
      <c r="FWH112" s="1142"/>
      <c r="FWI112" s="1142"/>
      <c r="FWJ112" s="1142"/>
      <c r="FWK112" s="1142"/>
      <c r="FWL112" s="1142"/>
      <c r="FWM112" s="1142"/>
      <c r="FWN112" s="1142"/>
      <c r="FWO112" s="1142"/>
      <c r="FWP112" s="1142"/>
      <c r="FWQ112" s="1142"/>
      <c r="FWR112" s="1142"/>
      <c r="FWS112" s="1167"/>
      <c r="FWT112" s="1167"/>
      <c r="FWU112" s="1167"/>
      <c r="FWV112" s="1167"/>
      <c r="FWW112" s="1167"/>
      <c r="FWX112" s="1167"/>
      <c r="FWY112" s="1167"/>
      <c r="FWZ112" s="1167"/>
      <c r="FXA112" s="1167"/>
      <c r="FXB112" s="1142"/>
      <c r="FXC112" s="1142"/>
      <c r="FXD112" s="1142"/>
      <c r="FXE112" s="1142"/>
      <c r="FXF112" s="1142"/>
      <c r="FXG112" s="1142"/>
      <c r="FXH112" s="1142"/>
      <c r="FXI112" s="1142"/>
      <c r="FXJ112" s="1142"/>
      <c r="FXK112" s="1142"/>
      <c r="FXL112" s="1142"/>
      <c r="FXM112" s="1142"/>
      <c r="FXN112" s="1142"/>
      <c r="FXO112" s="1142"/>
      <c r="FXP112" s="1142"/>
      <c r="FXQ112" s="1142"/>
      <c r="FXR112" s="1142"/>
      <c r="FXS112" s="1142"/>
      <c r="FXT112" s="1142"/>
      <c r="FXU112" s="1142"/>
      <c r="FXV112" s="1142"/>
      <c r="FXW112" s="1142"/>
      <c r="FXX112" s="1142"/>
      <c r="FXY112" s="1167"/>
      <c r="FXZ112" s="1167"/>
      <c r="FYA112" s="1167"/>
      <c r="FYB112" s="1167"/>
      <c r="FYC112" s="1167"/>
      <c r="FYD112" s="1167"/>
      <c r="FYE112" s="1167"/>
      <c r="FYF112" s="1167"/>
      <c r="FYG112" s="1167"/>
      <c r="FYH112" s="1142"/>
      <c r="FYI112" s="1142"/>
      <c r="FYJ112" s="1142"/>
      <c r="FYK112" s="1142"/>
      <c r="FYL112" s="1142"/>
      <c r="FYM112" s="1142"/>
      <c r="FYN112" s="1142"/>
      <c r="FYO112" s="1142"/>
      <c r="FYP112" s="1142"/>
      <c r="FYQ112" s="1142"/>
      <c r="FYR112" s="1142"/>
      <c r="FYS112" s="1142"/>
      <c r="FYT112" s="1142"/>
      <c r="FYU112" s="1142"/>
      <c r="FYV112" s="1142"/>
      <c r="FYW112" s="1142"/>
      <c r="FYX112" s="1142"/>
      <c r="FYY112" s="1142"/>
      <c r="FYZ112" s="1142"/>
      <c r="FZA112" s="1142"/>
      <c r="FZB112" s="1142"/>
      <c r="FZC112" s="1142"/>
      <c r="FZD112" s="1142"/>
      <c r="FZE112" s="1167"/>
      <c r="FZF112" s="1167"/>
      <c r="FZG112" s="1167"/>
      <c r="FZH112" s="1167"/>
      <c r="FZI112" s="1167"/>
      <c r="FZJ112" s="1167"/>
      <c r="FZK112" s="1167"/>
      <c r="FZL112" s="1167"/>
      <c r="FZM112" s="1167"/>
      <c r="FZN112" s="1142"/>
      <c r="FZO112" s="1142"/>
      <c r="FZP112" s="1142"/>
      <c r="FZQ112" s="1142"/>
      <c r="FZR112" s="1142"/>
      <c r="FZS112" s="1142"/>
      <c r="FZT112" s="1142"/>
      <c r="FZU112" s="1142"/>
      <c r="FZV112" s="1142"/>
      <c r="FZW112" s="1142"/>
      <c r="FZX112" s="1142"/>
      <c r="FZY112" s="1142"/>
      <c r="FZZ112" s="1142"/>
      <c r="GAA112" s="1142"/>
      <c r="GAB112" s="1142"/>
      <c r="GAC112" s="1142"/>
      <c r="GAD112" s="1142"/>
      <c r="GAE112" s="1142"/>
      <c r="GAF112" s="1142"/>
      <c r="GAG112" s="1142"/>
      <c r="GAH112" s="1142"/>
      <c r="GAI112" s="1142"/>
      <c r="GAJ112" s="1142"/>
      <c r="GAK112" s="1167"/>
      <c r="GAL112" s="1167"/>
      <c r="GAM112" s="1167"/>
      <c r="GAN112" s="1167"/>
      <c r="GAO112" s="1167"/>
      <c r="GAP112" s="1167"/>
      <c r="GAQ112" s="1167"/>
      <c r="GAR112" s="1167"/>
      <c r="GAS112" s="1167"/>
      <c r="GAT112" s="1142"/>
      <c r="GAU112" s="1142"/>
      <c r="GAV112" s="1142"/>
      <c r="GAW112" s="1142"/>
      <c r="GAX112" s="1142"/>
      <c r="GAY112" s="1142"/>
      <c r="GAZ112" s="1142"/>
      <c r="GBA112" s="1142"/>
      <c r="GBB112" s="1142"/>
      <c r="GBC112" s="1142"/>
      <c r="GBD112" s="1142"/>
      <c r="GBE112" s="1142"/>
      <c r="GBF112" s="1142"/>
      <c r="GBG112" s="1142"/>
      <c r="GBH112" s="1142"/>
      <c r="GBI112" s="1142"/>
      <c r="GBJ112" s="1142"/>
      <c r="GBK112" s="1142"/>
      <c r="GBL112" s="1142"/>
      <c r="GBM112" s="1142"/>
      <c r="GBN112" s="1142"/>
      <c r="GBO112" s="1142"/>
      <c r="GBP112" s="1142"/>
      <c r="GBQ112" s="1167"/>
      <c r="GBR112" s="1167"/>
      <c r="GBS112" s="1167"/>
      <c r="GBT112" s="1167"/>
      <c r="GBU112" s="1167"/>
      <c r="GBV112" s="1167"/>
      <c r="GBW112" s="1167"/>
      <c r="GBX112" s="1167"/>
      <c r="GBY112" s="1167"/>
      <c r="GBZ112" s="1142"/>
      <c r="GCA112" s="1142"/>
      <c r="GCB112" s="1142"/>
      <c r="GCC112" s="1142"/>
      <c r="GCD112" s="1142"/>
      <c r="GCE112" s="1142"/>
      <c r="GCF112" s="1142"/>
      <c r="GCG112" s="1142"/>
      <c r="GCH112" s="1142"/>
      <c r="GCI112" s="1142"/>
      <c r="GCJ112" s="1142"/>
      <c r="GCK112" s="1142"/>
      <c r="GCL112" s="1142"/>
      <c r="GCM112" s="1142"/>
      <c r="GCN112" s="1142"/>
      <c r="GCO112" s="1142"/>
      <c r="GCP112" s="1142"/>
      <c r="GCQ112" s="1142"/>
      <c r="GCR112" s="1142"/>
      <c r="GCS112" s="1142"/>
      <c r="GCT112" s="1142"/>
      <c r="GCU112" s="1142"/>
      <c r="GCV112" s="1142"/>
      <c r="GCW112" s="1167"/>
      <c r="GCX112" s="1167"/>
      <c r="GCY112" s="1167"/>
      <c r="GCZ112" s="1167"/>
      <c r="GDA112" s="1167"/>
      <c r="GDB112" s="1167"/>
      <c r="GDC112" s="1167"/>
      <c r="GDD112" s="1167"/>
      <c r="GDE112" s="1167"/>
      <c r="GDF112" s="1142"/>
      <c r="GDG112" s="1142"/>
      <c r="GDH112" s="1142"/>
      <c r="GDI112" s="1142"/>
      <c r="GDJ112" s="1142"/>
      <c r="GDK112" s="1142"/>
      <c r="GDL112" s="1142"/>
      <c r="GDM112" s="1142"/>
      <c r="GDN112" s="1142"/>
      <c r="GDO112" s="1142"/>
      <c r="GDP112" s="1142"/>
      <c r="GDQ112" s="1142"/>
      <c r="GDR112" s="1142"/>
      <c r="GDS112" s="1142"/>
      <c r="GDT112" s="1142"/>
      <c r="GDU112" s="1142"/>
      <c r="GDV112" s="1142"/>
      <c r="GDW112" s="1142"/>
      <c r="GDX112" s="1142"/>
      <c r="GDY112" s="1142"/>
      <c r="GDZ112" s="1142"/>
      <c r="GEA112" s="1142"/>
      <c r="GEB112" s="1142"/>
      <c r="GEC112" s="1167"/>
      <c r="GED112" s="1167"/>
      <c r="GEE112" s="1167"/>
      <c r="GEF112" s="1167"/>
      <c r="GEG112" s="1167"/>
      <c r="GEH112" s="1167"/>
      <c r="GEI112" s="1167"/>
      <c r="GEJ112" s="1167"/>
      <c r="GEK112" s="1167"/>
      <c r="GEL112" s="1142"/>
      <c r="GEM112" s="1142"/>
      <c r="GEN112" s="1142"/>
      <c r="GEO112" s="1142"/>
      <c r="GEP112" s="1142"/>
      <c r="GEQ112" s="1142"/>
      <c r="GER112" s="1142"/>
      <c r="GES112" s="1142"/>
      <c r="GET112" s="1142"/>
      <c r="GEU112" s="1142"/>
      <c r="GEV112" s="1142"/>
      <c r="GEW112" s="1142"/>
      <c r="GEX112" s="1142"/>
      <c r="GEY112" s="1142"/>
      <c r="GEZ112" s="1142"/>
      <c r="GFA112" s="1142"/>
      <c r="GFB112" s="1142"/>
      <c r="GFC112" s="1142"/>
      <c r="GFD112" s="1142"/>
      <c r="GFE112" s="1142"/>
      <c r="GFF112" s="1142"/>
      <c r="GFG112" s="1142"/>
      <c r="GFH112" s="1142"/>
      <c r="GFI112" s="1167"/>
      <c r="GFJ112" s="1167"/>
      <c r="GFK112" s="1167"/>
      <c r="GFL112" s="1167"/>
      <c r="GFM112" s="1167"/>
      <c r="GFN112" s="1167"/>
      <c r="GFO112" s="1167"/>
      <c r="GFP112" s="1167"/>
      <c r="GFQ112" s="1167"/>
      <c r="GFR112" s="1142"/>
      <c r="GFS112" s="1142"/>
      <c r="GFT112" s="1142"/>
      <c r="GFU112" s="1142"/>
      <c r="GFV112" s="1142"/>
      <c r="GFW112" s="1142"/>
      <c r="GFX112" s="1142"/>
      <c r="GFY112" s="1142"/>
      <c r="GFZ112" s="1142"/>
      <c r="GGA112" s="1142"/>
      <c r="GGB112" s="1142"/>
      <c r="GGC112" s="1142"/>
      <c r="GGD112" s="1142"/>
      <c r="GGE112" s="1142"/>
      <c r="GGF112" s="1142"/>
      <c r="GGG112" s="1142"/>
      <c r="GGH112" s="1142"/>
      <c r="GGI112" s="1142"/>
      <c r="GGJ112" s="1142"/>
      <c r="GGK112" s="1142"/>
      <c r="GGL112" s="1142"/>
      <c r="GGM112" s="1142"/>
      <c r="GGN112" s="1142"/>
      <c r="GGO112" s="1167"/>
      <c r="GGP112" s="1167"/>
      <c r="GGQ112" s="1167"/>
      <c r="GGR112" s="1167"/>
      <c r="GGS112" s="1167"/>
      <c r="GGT112" s="1167"/>
      <c r="GGU112" s="1167"/>
      <c r="GGV112" s="1167"/>
      <c r="GGW112" s="1167"/>
      <c r="GGX112" s="1142"/>
      <c r="GGY112" s="1142"/>
      <c r="GGZ112" s="1142"/>
      <c r="GHA112" s="1142"/>
      <c r="GHB112" s="1142"/>
      <c r="GHC112" s="1142"/>
      <c r="GHD112" s="1142"/>
      <c r="GHE112" s="1142"/>
      <c r="GHF112" s="1142"/>
      <c r="GHG112" s="1142"/>
      <c r="GHH112" s="1142"/>
      <c r="GHI112" s="1142"/>
      <c r="GHJ112" s="1142"/>
      <c r="GHK112" s="1142"/>
      <c r="GHL112" s="1142"/>
      <c r="GHM112" s="1142"/>
      <c r="GHN112" s="1142"/>
      <c r="GHO112" s="1142"/>
      <c r="GHP112" s="1142"/>
      <c r="GHQ112" s="1142"/>
      <c r="GHR112" s="1142"/>
      <c r="GHS112" s="1142"/>
      <c r="GHT112" s="1142"/>
      <c r="GHU112" s="1167"/>
      <c r="GHV112" s="1167"/>
      <c r="GHW112" s="1167"/>
      <c r="GHX112" s="1167"/>
      <c r="GHY112" s="1167"/>
      <c r="GHZ112" s="1167"/>
      <c r="GIA112" s="1167"/>
      <c r="GIB112" s="1167"/>
      <c r="GIC112" s="1167"/>
      <c r="GID112" s="1142"/>
      <c r="GIE112" s="1142"/>
      <c r="GIF112" s="1142"/>
      <c r="GIG112" s="1142"/>
      <c r="GIH112" s="1142"/>
      <c r="GII112" s="1142"/>
      <c r="GIJ112" s="1142"/>
      <c r="GIK112" s="1142"/>
      <c r="GIL112" s="1142"/>
      <c r="GIM112" s="1142"/>
      <c r="GIN112" s="1142"/>
      <c r="GIO112" s="1142"/>
      <c r="GIP112" s="1142"/>
      <c r="GIQ112" s="1142"/>
      <c r="GIR112" s="1142"/>
      <c r="GIS112" s="1142"/>
      <c r="GIT112" s="1142"/>
      <c r="GIU112" s="1142"/>
      <c r="GIV112" s="1142"/>
      <c r="GIW112" s="1142"/>
      <c r="GIX112" s="1142"/>
      <c r="GIY112" s="1142"/>
      <c r="GIZ112" s="1142"/>
      <c r="GJA112" s="1167"/>
      <c r="GJB112" s="1167"/>
      <c r="GJC112" s="1167"/>
      <c r="GJD112" s="1167"/>
      <c r="GJE112" s="1167"/>
      <c r="GJF112" s="1167"/>
      <c r="GJG112" s="1167"/>
      <c r="GJH112" s="1167"/>
      <c r="GJI112" s="1167"/>
      <c r="GJJ112" s="1142"/>
      <c r="GJK112" s="1142"/>
      <c r="GJL112" s="1142"/>
      <c r="GJM112" s="1142"/>
      <c r="GJN112" s="1142"/>
      <c r="GJO112" s="1142"/>
      <c r="GJP112" s="1142"/>
      <c r="GJQ112" s="1142"/>
      <c r="GJR112" s="1142"/>
      <c r="GJS112" s="1142"/>
      <c r="GJT112" s="1142"/>
      <c r="GJU112" s="1142"/>
      <c r="GJV112" s="1142"/>
      <c r="GJW112" s="1142"/>
      <c r="GJX112" s="1142"/>
      <c r="GJY112" s="1142"/>
      <c r="GJZ112" s="1142"/>
      <c r="GKA112" s="1142"/>
      <c r="GKB112" s="1142"/>
      <c r="GKC112" s="1142"/>
      <c r="GKD112" s="1142"/>
      <c r="GKE112" s="1142"/>
      <c r="GKF112" s="1142"/>
      <c r="GKG112" s="1167"/>
      <c r="GKH112" s="1167"/>
      <c r="GKI112" s="1167"/>
      <c r="GKJ112" s="1167"/>
      <c r="GKK112" s="1167"/>
      <c r="GKL112" s="1167"/>
      <c r="GKM112" s="1167"/>
      <c r="GKN112" s="1167"/>
      <c r="GKO112" s="1167"/>
      <c r="GKP112" s="1142"/>
      <c r="GKQ112" s="1142"/>
      <c r="GKR112" s="1142"/>
      <c r="GKS112" s="1142"/>
      <c r="GKT112" s="1142"/>
      <c r="GKU112" s="1142"/>
      <c r="GKV112" s="1142"/>
      <c r="GKW112" s="1142"/>
      <c r="GKX112" s="1142"/>
      <c r="GKY112" s="1142"/>
      <c r="GKZ112" s="1142"/>
      <c r="GLA112" s="1142"/>
      <c r="GLB112" s="1142"/>
      <c r="GLC112" s="1142"/>
      <c r="GLD112" s="1142"/>
      <c r="GLE112" s="1142"/>
      <c r="GLF112" s="1142"/>
      <c r="GLG112" s="1142"/>
      <c r="GLH112" s="1142"/>
      <c r="GLI112" s="1142"/>
      <c r="GLJ112" s="1142"/>
      <c r="GLK112" s="1142"/>
      <c r="GLL112" s="1142"/>
      <c r="GLM112" s="1167"/>
      <c r="GLN112" s="1167"/>
      <c r="GLO112" s="1167"/>
      <c r="GLP112" s="1167"/>
      <c r="GLQ112" s="1167"/>
      <c r="GLR112" s="1167"/>
      <c r="GLS112" s="1167"/>
      <c r="GLT112" s="1167"/>
      <c r="GLU112" s="1167"/>
      <c r="GLV112" s="1142"/>
      <c r="GLW112" s="1142"/>
      <c r="GLX112" s="1142"/>
      <c r="GLY112" s="1142"/>
      <c r="GLZ112" s="1142"/>
      <c r="GMA112" s="1142"/>
      <c r="GMB112" s="1142"/>
      <c r="GMC112" s="1142"/>
      <c r="GMD112" s="1142"/>
      <c r="GME112" s="1142"/>
      <c r="GMF112" s="1142"/>
      <c r="GMG112" s="1142"/>
      <c r="GMH112" s="1142"/>
      <c r="GMI112" s="1142"/>
      <c r="GMJ112" s="1142"/>
      <c r="GMK112" s="1142"/>
      <c r="GML112" s="1142"/>
      <c r="GMM112" s="1142"/>
      <c r="GMN112" s="1142"/>
      <c r="GMO112" s="1142"/>
      <c r="GMP112" s="1142"/>
      <c r="GMQ112" s="1142"/>
      <c r="GMR112" s="1142"/>
      <c r="GMS112" s="1167"/>
      <c r="GMT112" s="1167"/>
      <c r="GMU112" s="1167"/>
      <c r="GMV112" s="1167"/>
      <c r="GMW112" s="1167"/>
      <c r="GMX112" s="1167"/>
      <c r="GMY112" s="1167"/>
      <c r="GMZ112" s="1167"/>
      <c r="GNA112" s="1167"/>
      <c r="GNB112" s="1142"/>
      <c r="GNC112" s="1142"/>
      <c r="GND112" s="1142"/>
      <c r="GNE112" s="1142"/>
      <c r="GNF112" s="1142"/>
      <c r="GNG112" s="1142"/>
      <c r="GNH112" s="1142"/>
      <c r="GNI112" s="1142"/>
      <c r="GNJ112" s="1142"/>
      <c r="GNK112" s="1142"/>
      <c r="GNL112" s="1142"/>
      <c r="GNM112" s="1142"/>
      <c r="GNN112" s="1142"/>
      <c r="GNO112" s="1142"/>
      <c r="GNP112" s="1142"/>
      <c r="GNQ112" s="1142"/>
      <c r="GNR112" s="1142"/>
      <c r="GNS112" s="1142"/>
      <c r="GNT112" s="1142"/>
      <c r="GNU112" s="1142"/>
      <c r="GNV112" s="1142"/>
      <c r="GNW112" s="1142"/>
      <c r="GNX112" s="1142"/>
      <c r="GNY112" s="1167"/>
      <c r="GNZ112" s="1167"/>
      <c r="GOA112" s="1167"/>
      <c r="GOB112" s="1167"/>
      <c r="GOC112" s="1167"/>
      <c r="GOD112" s="1167"/>
      <c r="GOE112" s="1167"/>
      <c r="GOF112" s="1167"/>
      <c r="GOG112" s="1167"/>
      <c r="GOH112" s="1142"/>
      <c r="GOI112" s="1142"/>
      <c r="GOJ112" s="1142"/>
      <c r="GOK112" s="1142"/>
      <c r="GOL112" s="1142"/>
      <c r="GOM112" s="1142"/>
      <c r="GON112" s="1142"/>
      <c r="GOO112" s="1142"/>
      <c r="GOP112" s="1142"/>
      <c r="GOQ112" s="1142"/>
      <c r="GOR112" s="1142"/>
      <c r="GOS112" s="1142"/>
      <c r="GOT112" s="1142"/>
      <c r="GOU112" s="1142"/>
      <c r="GOV112" s="1142"/>
      <c r="GOW112" s="1142"/>
      <c r="GOX112" s="1142"/>
      <c r="GOY112" s="1142"/>
      <c r="GOZ112" s="1142"/>
      <c r="GPA112" s="1142"/>
      <c r="GPB112" s="1142"/>
      <c r="GPC112" s="1142"/>
      <c r="GPD112" s="1142"/>
      <c r="GPE112" s="1167"/>
      <c r="GPF112" s="1167"/>
      <c r="GPG112" s="1167"/>
      <c r="GPH112" s="1167"/>
      <c r="GPI112" s="1167"/>
      <c r="GPJ112" s="1167"/>
      <c r="GPK112" s="1167"/>
      <c r="GPL112" s="1167"/>
      <c r="GPM112" s="1167"/>
      <c r="GPN112" s="1142"/>
      <c r="GPO112" s="1142"/>
      <c r="GPP112" s="1142"/>
      <c r="GPQ112" s="1142"/>
      <c r="GPR112" s="1142"/>
      <c r="GPS112" s="1142"/>
      <c r="GPT112" s="1142"/>
      <c r="GPU112" s="1142"/>
      <c r="GPV112" s="1142"/>
      <c r="GPW112" s="1142"/>
      <c r="GPX112" s="1142"/>
      <c r="GPY112" s="1142"/>
      <c r="GPZ112" s="1142"/>
      <c r="GQA112" s="1142"/>
      <c r="GQB112" s="1142"/>
      <c r="GQC112" s="1142"/>
      <c r="GQD112" s="1142"/>
      <c r="GQE112" s="1142"/>
      <c r="GQF112" s="1142"/>
      <c r="GQG112" s="1142"/>
      <c r="GQH112" s="1142"/>
      <c r="GQI112" s="1142"/>
      <c r="GQJ112" s="1142"/>
      <c r="GQK112" s="1167"/>
      <c r="GQL112" s="1167"/>
      <c r="GQM112" s="1167"/>
      <c r="GQN112" s="1167"/>
      <c r="GQO112" s="1167"/>
      <c r="GQP112" s="1167"/>
      <c r="GQQ112" s="1167"/>
      <c r="GQR112" s="1167"/>
      <c r="GQS112" s="1167"/>
      <c r="GQT112" s="1142"/>
      <c r="GQU112" s="1142"/>
      <c r="GQV112" s="1142"/>
      <c r="GQW112" s="1142"/>
      <c r="GQX112" s="1142"/>
      <c r="GQY112" s="1142"/>
      <c r="GQZ112" s="1142"/>
      <c r="GRA112" s="1142"/>
      <c r="GRB112" s="1142"/>
      <c r="GRC112" s="1142"/>
      <c r="GRD112" s="1142"/>
      <c r="GRE112" s="1142"/>
      <c r="GRF112" s="1142"/>
      <c r="GRG112" s="1142"/>
      <c r="GRH112" s="1142"/>
      <c r="GRI112" s="1142"/>
      <c r="GRJ112" s="1142"/>
      <c r="GRK112" s="1142"/>
      <c r="GRL112" s="1142"/>
      <c r="GRM112" s="1142"/>
      <c r="GRN112" s="1142"/>
      <c r="GRO112" s="1142"/>
      <c r="GRP112" s="1142"/>
      <c r="GRQ112" s="1167"/>
      <c r="GRR112" s="1167"/>
      <c r="GRS112" s="1167"/>
      <c r="GRT112" s="1167"/>
      <c r="GRU112" s="1167"/>
      <c r="GRV112" s="1167"/>
      <c r="GRW112" s="1167"/>
      <c r="GRX112" s="1167"/>
      <c r="GRY112" s="1167"/>
      <c r="GRZ112" s="1142"/>
      <c r="GSA112" s="1142"/>
      <c r="GSB112" s="1142"/>
      <c r="GSC112" s="1142"/>
      <c r="GSD112" s="1142"/>
      <c r="GSE112" s="1142"/>
      <c r="GSF112" s="1142"/>
      <c r="GSG112" s="1142"/>
      <c r="GSH112" s="1142"/>
      <c r="GSI112" s="1142"/>
      <c r="GSJ112" s="1142"/>
      <c r="GSK112" s="1142"/>
      <c r="GSL112" s="1142"/>
      <c r="GSM112" s="1142"/>
      <c r="GSN112" s="1142"/>
      <c r="GSO112" s="1142"/>
      <c r="GSP112" s="1142"/>
      <c r="GSQ112" s="1142"/>
      <c r="GSR112" s="1142"/>
      <c r="GSS112" s="1142"/>
      <c r="GST112" s="1142"/>
      <c r="GSU112" s="1142"/>
      <c r="GSV112" s="1142"/>
      <c r="GSW112" s="1167"/>
      <c r="GSX112" s="1167"/>
      <c r="GSY112" s="1167"/>
      <c r="GSZ112" s="1167"/>
      <c r="GTA112" s="1167"/>
      <c r="GTB112" s="1167"/>
      <c r="GTC112" s="1167"/>
      <c r="GTD112" s="1167"/>
      <c r="GTE112" s="1167"/>
      <c r="GTF112" s="1142"/>
      <c r="GTG112" s="1142"/>
      <c r="GTH112" s="1142"/>
      <c r="GTI112" s="1142"/>
      <c r="GTJ112" s="1142"/>
      <c r="GTK112" s="1142"/>
      <c r="GTL112" s="1142"/>
      <c r="GTM112" s="1142"/>
      <c r="GTN112" s="1142"/>
      <c r="GTO112" s="1142"/>
      <c r="GTP112" s="1142"/>
      <c r="GTQ112" s="1142"/>
      <c r="GTR112" s="1142"/>
      <c r="GTS112" s="1142"/>
      <c r="GTT112" s="1142"/>
      <c r="GTU112" s="1142"/>
      <c r="GTV112" s="1142"/>
      <c r="GTW112" s="1142"/>
      <c r="GTX112" s="1142"/>
      <c r="GTY112" s="1142"/>
      <c r="GTZ112" s="1142"/>
      <c r="GUA112" s="1142"/>
      <c r="GUB112" s="1142"/>
      <c r="GUC112" s="1167"/>
      <c r="GUD112" s="1167"/>
      <c r="GUE112" s="1167"/>
      <c r="GUF112" s="1167"/>
      <c r="GUG112" s="1167"/>
      <c r="GUH112" s="1167"/>
      <c r="GUI112" s="1167"/>
      <c r="GUJ112" s="1167"/>
      <c r="GUK112" s="1167"/>
      <c r="GUL112" s="1142"/>
      <c r="GUM112" s="1142"/>
      <c r="GUN112" s="1142"/>
      <c r="GUO112" s="1142"/>
      <c r="GUP112" s="1142"/>
      <c r="GUQ112" s="1142"/>
      <c r="GUR112" s="1142"/>
      <c r="GUS112" s="1142"/>
      <c r="GUT112" s="1142"/>
      <c r="GUU112" s="1142"/>
      <c r="GUV112" s="1142"/>
      <c r="GUW112" s="1142"/>
      <c r="GUX112" s="1142"/>
      <c r="GUY112" s="1142"/>
      <c r="GUZ112" s="1142"/>
      <c r="GVA112" s="1142"/>
      <c r="GVB112" s="1142"/>
      <c r="GVC112" s="1142"/>
      <c r="GVD112" s="1142"/>
      <c r="GVE112" s="1142"/>
      <c r="GVF112" s="1142"/>
      <c r="GVG112" s="1142"/>
      <c r="GVH112" s="1142"/>
      <c r="GVI112" s="1167"/>
      <c r="GVJ112" s="1167"/>
      <c r="GVK112" s="1167"/>
      <c r="GVL112" s="1167"/>
      <c r="GVM112" s="1167"/>
      <c r="GVN112" s="1167"/>
      <c r="GVO112" s="1167"/>
      <c r="GVP112" s="1167"/>
      <c r="GVQ112" s="1167"/>
      <c r="GVR112" s="1142"/>
      <c r="GVS112" s="1142"/>
      <c r="GVT112" s="1142"/>
      <c r="GVU112" s="1142"/>
      <c r="GVV112" s="1142"/>
      <c r="GVW112" s="1142"/>
      <c r="GVX112" s="1142"/>
      <c r="GVY112" s="1142"/>
      <c r="GVZ112" s="1142"/>
      <c r="GWA112" s="1142"/>
      <c r="GWB112" s="1142"/>
      <c r="GWC112" s="1142"/>
      <c r="GWD112" s="1142"/>
      <c r="GWE112" s="1142"/>
      <c r="GWF112" s="1142"/>
      <c r="GWG112" s="1142"/>
      <c r="GWH112" s="1142"/>
      <c r="GWI112" s="1142"/>
      <c r="GWJ112" s="1142"/>
      <c r="GWK112" s="1142"/>
      <c r="GWL112" s="1142"/>
      <c r="GWM112" s="1142"/>
      <c r="GWN112" s="1142"/>
      <c r="GWO112" s="1167"/>
      <c r="GWP112" s="1167"/>
      <c r="GWQ112" s="1167"/>
      <c r="GWR112" s="1167"/>
      <c r="GWS112" s="1167"/>
      <c r="GWT112" s="1167"/>
      <c r="GWU112" s="1167"/>
      <c r="GWV112" s="1167"/>
      <c r="GWW112" s="1167"/>
      <c r="GWX112" s="1142"/>
      <c r="GWY112" s="1142"/>
      <c r="GWZ112" s="1142"/>
      <c r="GXA112" s="1142"/>
      <c r="GXB112" s="1142"/>
      <c r="GXC112" s="1142"/>
      <c r="GXD112" s="1142"/>
      <c r="GXE112" s="1142"/>
      <c r="GXF112" s="1142"/>
      <c r="GXG112" s="1142"/>
      <c r="GXH112" s="1142"/>
      <c r="GXI112" s="1142"/>
      <c r="GXJ112" s="1142"/>
      <c r="GXK112" s="1142"/>
      <c r="GXL112" s="1142"/>
      <c r="GXM112" s="1142"/>
      <c r="GXN112" s="1142"/>
      <c r="GXO112" s="1142"/>
      <c r="GXP112" s="1142"/>
      <c r="GXQ112" s="1142"/>
      <c r="GXR112" s="1142"/>
      <c r="GXS112" s="1142"/>
      <c r="GXT112" s="1142"/>
      <c r="GXU112" s="1167"/>
      <c r="GXV112" s="1167"/>
      <c r="GXW112" s="1167"/>
      <c r="GXX112" s="1167"/>
      <c r="GXY112" s="1167"/>
      <c r="GXZ112" s="1167"/>
      <c r="GYA112" s="1167"/>
      <c r="GYB112" s="1167"/>
      <c r="GYC112" s="1167"/>
      <c r="GYD112" s="1142"/>
      <c r="GYE112" s="1142"/>
      <c r="GYF112" s="1142"/>
      <c r="GYG112" s="1142"/>
      <c r="GYH112" s="1142"/>
      <c r="GYI112" s="1142"/>
      <c r="GYJ112" s="1142"/>
      <c r="GYK112" s="1142"/>
      <c r="GYL112" s="1142"/>
      <c r="GYM112" s="1142"/>
      <c r="GYN112" s="1142"/>
      <c r="GYO112" s="1142"/>
      <c r="GYP112" s="1142"/>
      <c r="GYQ112" s="1142"/>
      <c r="GYR112" s="1142"/>
      <c r="GYS112" s="1142"/>
      <c r="GYT112" s="1142"/>
      <c r="GYU112" s="1142"/>
      <c r="GYV112" s="1142"/>
      <c r="GYW112" s="1142"/>
      <c r="GYX112" s="1142"/>
      <c r="GYY112" s="1142"/>
      <c r="GYZ112" s="1142"/>
      <c r="GZA112" s="1167"/>
      <c r="GZB112" s="1167"/>
      <c r="GZC112" s="1167"/>
      <c r="GZD112" s="1167"/>
      <c r="GZE112" s="1167"/>
      <c r="GZF112" s="1167"/>
      <c r="GZG112" s="1167"/>
      <c r="GZH112" s="1167"/>
      <c r="GZI112" s="1167"/>
      <c r="GZJ112" s="1142"/>
      <c r="GZK112" s="1142"/>
      <c r="GZL112" s="1142"/>
      <c r="GZM112" s="1142"/>
      <c r="GZN112" s="1142"/>
      <c r="GZO112" s="1142"/>
      <c r="GZP112" s="1142"/>
      <c r="GZQ112" s="1142"/>
      <c r="GZR112" s="1142"/>
      <c r="GZS112" s="1142"/>
      <c r="GZT112" s="1142"/>
      <c r="GZU112" s="1142"/>
      <c r="GZV112" s="1142"/>
      <c r="GZW112" s="1142"/>
      <c r="GZX112" s="1142"/>
      <c r="GZY112" s="1142"/>
      <c r="GZZ112" s="1142"/>
      <c r="HAA112" s="1142"/>
      <c r="HAB112" s="1142"/>
      <c r="HAC112" s="1142"/>
      <c r="HAD112" s="1142"/>
      <c r="HAE112" s="1142"/>
      <c r="HAF112" s="1142"/>
      <c r="HAG112" s="1167"/>
      <c r="HAH112" s="1167"/>
      <c r="HAI112" s="1167"/>
      <c r="HAJ112" s="1167"/>
      <c r="HAK112" s="1167"/>
      <c r="HAL112" s="1167"/>
      <c r="HAM112" s="1167"/>
      <c r="HAN112" s="1167"/>
      <c r="HAO112" s="1167"/>
      <c r="HAP112" s="1142"/>
      <c r="HAQ112" s="1142"/>
      <c r="HAR112" s="1142"/>
      <c r="HAS112" s="1142"/>
      <c r="HAT112" s="1142"/>
      <c r="HAU112" s="1142"/>
      <c r="HAV112" s="1142"/>
      <c r="HAW112" s="1142"/>
      <c r="HAX112" s="1142"/>
      <c r="HAY112" s="1142"/>
      <c r="HAZ112" s="1142"/>
      <c r="HBA112" s="1142"/>
      <c r="HBB112" s="1142"/>
      <c r="HBC112" s="1142"/>
      <c r="HBD112" s="1142"/>
      <c r="HBE112" s="1142"/>
      <c r="HBF112" s="1142"/>
      <c r="HBG112" s="1142"/>
      <c r="HBH112" s="1142"/>
      <c r="HBI112" s="1142"/>
      <c r="HBJ112" s="1142"/>
      <c r="HBK112" s="1142"/>
      <c r="HBL112" s="1142"/>
      <c r="HBM112" s="1167"/>
      <c r="HBN112" s="1167"/>
      <c r="HBO112" s="1167"/>
      <c r="HBP112" s="1167"/>
      <c r="HBQ112" s="1167"/>
      <c r="HBR112" s="1167"/>
      <c r="HBS112" s="1167"/>
      <c r="HBT112" s="1167"/>
      <c r="HBU112" s="1167"/>
      <c r="HBV112" s="1142"/>
      <c r="HBW112" s="1142"/>
      <c r="HBX112" s="1142"/>
      <c r="HBY112" s="1142"/>
      <c r="HBZ112" s="1142"/>
      <c r="HCA112" s="1142"/>
      <c r="HCB112" s="1142"/>
      <c r="HCC112" s="1142"/>
      <c r="HCD112" s="1142"/>
      <c r="HCE112" s="1142"/>
      <c r="HCF112" s="1142"/>
      <c r="HCG112" s="1142"/>
      <c r="HCH112" s="1142"/>
      <c r="HCI112" s="1142"/>
      <c r="HCJ112" s="1142"/>
      <c r="HCK112" s="1142"/>
      <c r="HCL112" s="1142"/>
      <c r="HCM112" s="1142"/>
      <c r="HCN112" s="1142"/>
      <c r="HCO112" s="1142"/>
      <c r="HCP112" s="1142"/>
      <c r="HCQ112" s="1142"/>
      <c r="HCR112" s="1142"/>
      <c r="HCS112" s="1167"/>
      <c r="HCT112" s="1167"/>
      <c r="HCU112" s="1167"/>
      <c r="HCV112" s="1167"/>
      <c r="HCW112" s="1167"/>
      <c r="HCX112" s="1167"/>
      <c r="HCY112" s="1167"/>
      <c r="HCZ112" s="1167"/>
      <c r="HDA112" s="1167"/>
      <c r="HDB112" s="1142"/>
      <c r="HDC112" s="1142"/>
      <c r="HDD112" s="1142"/>
      <c r="HDE112" s="1142"/>
      <c r="HDF112" s="1142"/>
      <c r="HDG112" s="1142"/>
      <c r="HDH112" s="1142"/>
      <c r="HDI112" s="1142"/>
      <c r="HDJ112" s="1142"/>
      <c r="HDK112" s="1142"/>
      <c r="HDL112" s="1142"/>
      <c r="HDM112" s="1142"/>
      <c r="HDN112" s="1142"/>
      <c r="HDO112" s="1142"/>
      <c r="HDP112" s="1142"/>
      <c r="HDQ112" s="1142"/>
      <c r="HDR112" s="1142"/>
      <c r="HDS112" s="1142"/>
      <c r="HDT112" s="1142"/>
      <c r="HDU112" s="1142"/>
      <c r="HDV112" s="1142"/>
      <c r="HDW112" s="1142"/>
      <c r="HDX112" s="1142"/>
      <c r="HDY112" s="1167"/>
      <c r="HDZ112" s="1167"/>
      <c r="HEA112" s="1167"/>
      <c r="HEB112" s="1167"/>
      <c r="HEC112" s="1167"/>
      <c r="HED112" s="1167"/>
      <c r="HEE112" s="1167"/>
      <c r="HEF112" s="1167"/>
      <c r="HEG112" s="1167"/>
      <c r="HEH112" s="1142"/>
      <c r="HEI112" s="1142"/>
      <c r="HEJ112" s="1142"/>
      <c r="HEK112" s="1142"/>
      <c r="HEL112" s="1142"/>
      <c r="HEM112" s="1142"/>
      <c r="HEN112" s="1142"/>
      <c r="HEO112" s="1142"/>
      <c r="HEP112" s="1142"/>
      <c r="HEQ112" s="1142"/>
      <c r="HER112" s="1142"/>
      <c r="HES112" s="1142"/>
      <c r="HET112" s="1142"/>
      <c r="HEU112" s="1142"/>
      <c r="HEV112" s="1142"/>
      <c r="HEW112" s="1142"/>
      <c r="HEX112" s="1142"/>
      <c r="HEY112" s="1142"/>
      <c r="HEZ112" s="1142"/>
      <c r="HFA112" s="1142"/>
      <c r="HFB112" s="1142"/>
      <c r="HFC112" s="1142"/>
      <c r="HFD112" s="1142"/>
      <c r="HFE112" s="1167"/>
      <c r="HFF112" s="1167"/>
      <c r="HFG112" s="1167"/>
      <c r="HFH112" s="1167"/>
      <c r="HFI112" s="1167"/>
      <c r="HFJ112" s="1167"/>
      <c r="HFK112" s="1167"/>
      <c r="HFL112" s="1167"/>
      <c r="HFM112" s="1167"/>
      <c r="HFN112" s="1142"/>
      <c r="HFO112" s="1142"/>
      <c r="HFP112" s="1142"/>
      <c r="HFQ112" s="1142"/>
      <c r="HFR112" s="1142"/>
      <c r="HFS112" s="1142"/>
      <c r="HFT112" s="1142"/>
      <c r="HFU112" s="1142"/>
      <c r="HFV112" s="1142"/>
      <c r="HFW112" s="1142"/>
      <c r="HFX112" s="1142"/>
      <c r="HFY112" s="1142"/>
      <c r="HFZ112" s="1142"/>
      <c r="HGA112" s="1142"/>
      <c r="HGB112" s="1142"/>
      <c r="HGC112" s="1142"/>
      <c r="HGD112" s="1142"/>
      <c r="HGE112" s="1142"/>
      <c r="HGF112" s="1142"/>
      <c r="HGG112" s="1142"/>
      <c r="HGH112" s="1142"/>
      <c r="HGI112" s="1142"/>
      <c r="HGJ112" s="1142"/>
      <c r="HGK112" s="1167"/>
      <c r="HGL112" s="1167"/>
      <c r="HGM112" s="1167"/>
      <c r="HGN112" s="1167"/>
      <c r="HGO112" s="1167"/>
      <c r="HGP112" s="1167"/>
      <c r="HGQ112" s="1167"/>
      <c r="HGR112" s="1167"/>
      <c r="HGS112" s="1167"/>
      <c r="HGT112" s="1142"/>
      <c r="HGU112" s="1142"/>
      <c r="HGV112" s="1142"/>
      <c r="HGW112" s="1142"/>
      <c r="HGX112" s="1142"/>
      <c r="HGY112" s="1142"/>
      <c r="HGZ112" s="1142"/>
      <c r="HHA112" s="1142"/>
      <c r="HHB112" s="1142"/>
      <c r="HHC112" s="1142"/>
      <c r="HHD112" s="1142"/>
      <c r="HHE112" s="1142"/>
      <c r="HHF112" s="1142"/>
      <c r="HHG112" s="1142"/>
      <c r="HHH112" s="1142"/>
      <c r="HHI112" s="1142"/>
      <c r="HHJ112" s="1142"/>
      <c r="HHK112" s="1142"/>
      <c r="HHL112" s="1142"/>
      <c r="HHM112" s="1142"/>
      <c r="HHN112" s="1142"/>
      <c r="HHO112" s="1142"/>
      <c r="HHP112" s="1142"/>
      <c r="HHQ112" s="1167"/>
      <c r="HHR112" s="1167"/>
      <c r="HHS112" s="1167"/>
      <c r="HHT112" s="1167"/>
      <c r="HHU112" s="1167"/>
      <c r="HHV112" s="1167"/>
      <c r="HHW112" s="1167"/>
      <c r="HHX112" s="1167"/>
      <c r="HHY112" s="1167"/>
      <c r="HHZ112" s="1142"/>
      <c r="HIA112" s="1142"/>
      <c r="HIB112" s="1142"/>
      <c r="HIC112" s="1142"/>
      <c r="HID112" s="1142"/>
      <c r="HIE112" s="1142"/>
      <c r="HIF112" s="1142"/>
      <c r="HIG112" s="1142"/>
      <c r="HIH112" s="1142"/>
      <c r="HII112" s="1142"/>
      <c r="HIJ112" s="1142"/>
      <c r="HIK112" s="1142"/>
      <c r="HIL112" s="1142"/>
      <c r="HIM112" s="1142"/>
      <c r="HIN112" s="1142"/>
      <c r="HIO112" s="1142"/>
      <c r="HIP112" s="1142"/>
      <c r="HIQ112" s="1142"/>
      <c r="HIR112" s="1142"/>
      <c r="HIS112" s="1142"/>
      <c r="HIT112" s="1142"/>
      <c r="HIU112" s="1142"/>
      <c r="HIV112" s="1142"/>
      <c r="HIW112" s="1167"/>
      <c r="HIX112" s="1167"/>
      <c r="HIY112" s="1167"/>
      <c r="HIZ112" s="1167"/>
      <c r="HJA112" s="1167"/>
      <c r="HJB112" s="1167"/>
      <c r="HJC112" s="1167"/>
      <c r="HJD112" s="1167"/>
      <c r="HJE112" s="1167"/>
      <c r="HJF112" s="1142"/>
      <c r="HJG112" s="1142"/>
      <c r="HJH112" s="1142"/>
      <c r="HJI112" s="1142"/>
      <c r="HJJ112" s="1142"/>
      <c r="HJK112" s="1142"/>
      <c r="HJL112" s="1142"/>
      <c r="HJM112" s="1142"/>
      <c r="HJN112" s="1142"/>
      <c r="HJO112" s="1142"/>
      <c r="HJP112" s="1142"/>
      <c r="HJQ112" s="1142"/>
      <c r="HJR112" s="1142"/>
      <c r="HJS112" s="1142"/>
      <c r="HJT112" s="1142"/>
      <c r="HJU112" s="1142"/>
      <c r="HJV112" s="1142"/>
      <c r="HJW112" s="1142"/>
      <c r="HJX112" s="1142"/>
      <c r="HJY112" s="1142"/>
      <c r="HJZ112" s="1142"/>
      <c r="HKA112" s="1142"/>
      <c r="HKB112" s="1142"/>
      <c r="HKC112" s="1167"/>
      <c r="HKD112" s="1167"/>
      <c r="HKE112" s="1167"/>
      <c r="HKF112" s="1167"/>
      <c r="HKG112" s="1167"/>
      <c r="HKH112" s="1167"/>
      <c r="HKI112" s="1167"/>
      <c r="HKJ112" s="1167"/>
      <c r="HKK112" s="1167"/>
      <c r="HKL112" s="1142"/>
      <c r="HKM112" s="1142"/>
      <c r="HKN112" s="1142"/>
      <c r="HKO112" s="1142"/>
      <c r="HKP112" s="1142"/>
      <c r="HKQ112" s="1142"/>
      <c r="HKR112" s="1142"/>
      <c r="HKS112" s="1142"/>
      <c r="HKT112" s="1142"/>
      <c r="HKU112" s="1142"/>
      <c r="HKV112" s="1142"/>
      <c r="HKW112" s="1142"/>
      <c r="HKX112" s="1142"/>
      <c r="HKY112" s="1142"/>
      <c r="HKZ112" s="1142"/>
      <c r="HLA112" s="1142"/>
      <c r="HLB112" s="1142"/>
      <c r="HLC112" s="1142"/>
      <c r="HLD112" s="1142"/>
      <c r="HLE112" s="1142"/>
      <c r="HLF112" s="1142"/>
      <c r="HLG112" s="1142"/>
      <c r="HLH112" s="1142"/>
      <c r="HLI112" s="1167"/>
      <c r="HLJ112" s="1167"/>
      <c r="HLK112" s="1167"/>
      <c r="HLL112" s="1167"/>
      <c r="HLM112" s="1167"/>
      <c r="HLN112" s="1167"/>
      <c r="HLO112" s="1167"/>
      <c r="HLP112" s="1167"/>
      <c r="HLQ112" s="1167"/>
      <c r="HLR112" s="1142"/>
      <c r="HLS112" s="1142"/>
      <c r="HLT112" s="1142"/>
      <c r="HLU112" s="1142"/>
      <c r="HLV112" s="1142"/>
      <c r="HLW112" s="1142"/>
      <c r="HLX112" s="1142"/>
      <c r="HLY112" s="1142"/>
      <c r="HLZ112" s="1142"/>
      <c r="HMA112" s="1142"/>
      <c r="HMB112" s="1142"/>
      <c r="HMC112" s="1142"/>
      <c r="HMD112" s="1142"/>
      <c r="HME112" s="1142"/>
      <c r="HMF112" s="1142"/>
      <c r="HMG112" s="1142"/>
      <c r="HMH112" s="1142"/>
      <c r="HMI112" s="1142"/>
      <c r="HMJ112" s="1142"/>
      <c r="HMK112" s="1142"/>
      <c r="HML112" s="1142"/>
      <c r="HMM112" s="1142"/>
      <c r="HMN112" s="1142"/>
      <c r="HMO112" s="1167"/>
      <c r="HMP112" s="1167"/>
      <c r="HMQ112" s="1167"/>
      <c r="HMR112" s="1167"/>
      <c r="HMS112" s="1167"/>
      <c r="HMT112" s="1167"/>
      <c r="HMU112" s="1167"/>
      <c r="HMV112" s="1167"/>
      <c r="HMW112" s="1167"/>
      <c r="HMX112" s="1142"/>
      <c r="HMY112" s="1142"/>
      <c r="HMZ112" s="1142"/>
      <c r="HNA112" s="1142"/>
      <c r="HNB112" s="1142"/>
      <c r="HNC112" s="1142"/>
      <c r="HND112" s="1142"/>
      <c r="HNE112" s="1142"/>
      <c r="HNF112" s="1142"/>
      <c r="HNG112" s="1142"/>
      <c r="HNH112" s="1142"/>
      <c r="HNI112" s="1142"/>
      <c r="HNJ112" s="1142"/>
      <c r="HNK112" s="1142"/>
      <c r="HNL112" s="1142"/>
      <c r="HNM112" s="1142"/>
      <c r="HNN112" s="1142"/>
      <c r="HNO112" s="1142"/>
      <c r="HNP112" s="1142"/>
      <c r="HNQ112" s="1142"/>
      <c r="HNR112" s="1142"/>
      <c r="HNS112" s="1142"/>
      <c r="HNT112" s="1142"/>
      <c r="HNU112" s="1167"/>
      <c r="HNV112" s="1167"/>
      <c r="HNW112" s="1167"/>
      <c r="HNX112" s="1167"/>
      <c r="HNY112" s="1167"/>
      <c r="HNZ112" s="1167"/>
      <c r="HOA112" s="1167"/>
      <c r="HOB112" s="1167"/>
      <c r="HOC112" s="1167"/>
      <c r="HOD112" s="1142"/>
      <c r="HOE112" s="1142"/>
      <c r="HOF112" s="1142"/>
      <c r="HOG112" s="1142"/>
      <c r="HOH112" s="1142"/>
      <c r="HOI112" s="1142"/>
      <c r="HOJ112" s="1142"/>
      <c r="HOK112" s="1142"/>
      <c r="HOL112" s="1142"/>
      <c r="HOM112" s="1142"/>
      <c r="HON112" s="1142"/>
      <c r="HOO112" s="1142"/>
      <c r="HOP112" s="1142"/>
      <c r="HOQ112" s="1142"/>
      <c r="HOR112" s="1142"/>
      <c r="HOS112" s="1142"/>
      <c r="HOT112" s="1142"/>
      <c r="HOU112" s="1142"/>
      <c r="HOV112" s="1142"/>
      <c r="HOW112" s="1142"/>
      <c r="HOX112" s="1142"/>
      <c r="HOY112" s="1142"/>
      <c r="HOZ112" s="1142"/>
      <c r="HPA112" s="1167"/>
      <c r="HPB112" s="1167"/>
      <c r="HPC112" s="1167"/>
      <c r="HPD112" s="1167"/>
      <c r="HPE112" s="1167"/>
      <c r="HPF112" s="1167"/>
      <c r="HPG112" s="1167"/>
      <c r="HPH112" s="1167"/>
      <c r="HPI112" s="1167"/>
      <c r="HPJ112" s="1142"/>
      <c r="HPK112" s="1142"/>
      <c r="HPL112" s="1142"/>
      <c r="HPM112" s="1142"/>
      <c r="HPN112" s="1142"/>
      <c r="HPO112" s="1142"/>
      <c r="HPP112" s="1142"/>
      <c r="HPQ112" s="1142"/>
      <c r="HPR112" s="1142"/>
      <c r="HPS112" s="1142"/>
      <c r="HPT112" s="1142"/>
      <c r="HPU112" s="1142"/>
      <c r="HPV112" s="1142"/>
      <c r="HPW112" s="1142"/>
      <c r="HPX112" s="1142"/>
      <c r="HPY112" s="1142"/>
      <c r="HPZ112" s="1142"/>
      <c r="HQA112" s="1142"/>
      <c r="HQB112" s="1142"/>
      <c r="HQC112" s="1142"/>
      <c r="HQD112" s="1142"/>
      <c r="HQE112" s="1142"/>
      <c r="HQF112" s="1142"/>
      <c r="HQG112" s="1167"/>
      <c r="HQH112" s="1167"/>
      <c r="HQI112" s="1167"/>
      <c r="HQJ112" s="1167"/>
      <c r="HQK112" s="1167"/>
      <c r="HQL112" s="1167"/>
      <c r="HQM112" s="1167"/>
      <c r="HQN112" s="1167"/>
      <c r="HQO112" s="1167"/>
      <c r="HQP112" s="1142"/>
      <c r="HQQ112" s="1142"/>
      <c r="HQR112" s="1142"/>
      <c r="HQS112" s="1142"/>
      <c r="HQT112" s="1142"/>
      <c r="HQU112" s="1142"/>
      <c r="HQV112" s="1142"/>
      <c r="HQW112" s="1142"/>
      <c r="HQX112" s="1142"/>
      <c r="HQY112" s="1142"/>
      <c r="HQZ112" s="1142"/>
      <c r="HRA112" s="1142"/>
      <c r="HRB112" s="1142"/>
      <c r="HRC112" s="1142"/>
      <c r="HRD112" s="1142"/>
      <c r="HRE112" s="1142"/>
      <c r="HRF112" s="1142"/>
      <c r="HRG112" s="1142"/>
      <c r="HRH112" s="1142"/>
      <c r="HRI112" s="1142"/>
      <c r="HRJ112" s="1142"/>
      <c r="HRK112" s="1142"/>
      <c r="HRL112" s="1142"/>
      <c r="HRM112" s="1167"/>
      <c r="HRN112" s="1167"/>
      <c r="HRO112" s="1167"/>
      <c r="HRP112" s="1167"/>
      <c r="HRQ112" s="1167"/>
      <c r="HRR112" s="1167"/>
      <c r="HRS112" s="1167"/>
      <c r="HRT112" s="1167"/>
      <c r="HRU112" s="1167"/>
      <c r="HRV112" s="1142"/>
      <c r="HRW112" s="1142"/>
      <c r="HRX112" s="1142"/>
      <c r="HRY112" s="1142"/>
      <c r="HRZ112" s="1142"/>
      <c r="HSA112" s="1142"/>
      <c r="HSB112" s="1142"/>
      <c r="HSC112" s="1142"/>
      <c r="HSD112" s="1142"/>
      <c r="HSE112" s="1142"/>
      <c r="HSF112" s="1142"/>
      <c r="HSG112" s="1142"/>
      <c r="HSH112" s="1142"/>
      <c r="HSI112" s="1142"/>
      <c r="HSJ112" s="1142"/>
      <c r="HSK112" s="1142"/>
      <c r="HSL112" s="1142"/>
      <c r="HSM112" s="1142"/>
      <c r="HSN112" s="1142"/>
      <c r="HSO112" s="1142"/>
      <c r="HSP112" s="1142"/>
      <c r="HSQ112" s="1142"/>
      <c r="HSR112" s="1142"/>
      <c r="HSS112" s="1167"/>
      <c r="HST112" s="1167"/>
      <c r="HSU112" s="1167"/>
      <c r="HSV112" s="1167"/>
      <c r="HSW112" s="1167"/>
      <c r="HSX112" s="1167"/>
      <c r="HSY112" s="1167"/>
      <c r="HSZ112" s="1167"/>
      <c r="HTA112" s="1167"/>
      <c r="HTB112" s="1142"/>
      <c r="HTC112" s="1142"/>
      <c r="HTD112" s="1142"/>
      <c r="HTE112" s="1142"/>
      <c r="HTF112" s="1142"/>
      <c r="HTG112" s="1142"/>
      <c r="HTH112" s="1142"/>
      <c r="HTI112" s="1142"/>
      <c r="HTJ112" s="1142"/>
      <c r="HTK112" s="1142"/>
      <c r="HTL112" s="1142"/>
      <c r="HTM112" s="1142"/>
      <c r="HTN112" s="1142"/>
      <c r="HTO112" s="1142"/>
      <c r="HTP112" s="1142"/>
      <c r="HTQ112" s="1142"/>
      <c r="HTR112" s="1142"/>
      <c r="HTS112" s="1142"/>
      <c r="HTT112" s="1142"/>
      <c r="HTU112" s="1142"/>
      <c r="HTV112" s="1142"/>
      <c r="HTW112" s="1142"/>
      <c r="HTX112" s="1142"/>
      <c r="HTY112" s="1167"/>
      <c r="HTZ112" s="1167"/>
      <c r="HUA112" s="1167"/>
      <c r="HUB112" s="1167"/>
      <c r="HUC112" s="1167"/>
      <c r="HUD112" s="1167"/>
      <c r="HUE112" s="1167"/>
      <c r="HUF112" s="1167"/>
      <c r="HUG112" s="1167"/>
      <c r="HUH112" s="1142"/>
      <c r="HUI112" s="1142"/>
      <c r="HUJ112" s="1142"/>
      <c r="HUK112" s="1142"/>
      <c r="HUL112" s="1142"/>
      <c r="HUM112" s="1142"/>
      <c r="HUN112" s="1142"/>
      <c r="HUO112" s="1142"/>
      <c r="HUP112" s="1142"/>
      <c r="HUQ112" s="1142"/>
      <c r="HUR112" s="1142"/>
      <c r="HUS112" s="1142"/>
      <c r="HUT112" s="1142"/>
      <c r="HUU112" s="1142"/>
      <c r="HUV112" s="1142"/>
      <c r="HUW112" s="1142"/>
      <c r="HUX112" s="1142"/>
      <c r="HUY112" s="1142"/>
      <c r="HUZ112" s="1142"/>
      <c r="HVA112" s="1142"/>
      <c r="HVB112" s="1142"/>
      <c r="HVC112" s="1142"/>
      <c r="HVD112" s="1142"/>
      <c r="HVE112" s="1167"/>
      <c r="HVF112" s="1167"/>
      <c r="HVG112" s="1167"/>
      <c r="HVH112" s="1167"/>
      <c r="HVI112" s="1167"/>
      <c r="HVJ112" s="1167"/>
      <c r="HVK112" s="1167"/>
      <c r="HVL112" s="1167"/>
      <c r="HVM112" s="1167"/>
      <c r="HVN112" s="1142"/>
      <c r="HVO112" s="1142"/>
      <c r="HVP112" s="1142"/>
      <c r="HVQ112" s="1142"/>
      <c r="HVR112" s="1142"/>
      <c r="HVS112" s="1142"/>
      <c r="HVT112" s="1142"/>
      <c r="HVU112" s="1142"/>
      <c r="HVV112" s="1142"/>
      <c r="HVW112" s="1142"/>
      <c r="HVX112" s="1142"/>
      <c r="HVY112" s="1142"/>
      <c r="HVZ112" s="1142"/>
      <c r="HWA112" s="1142"/>
      <c r="HWB112" s="1142"/>
      <c r="HWC112" s="1142"/>
      <c r="HWD112" s="1142"/>
      <c r="HWE112" s="1142"/>
      <c r="HWF112" s="1142"/>
      <c r="HWG112" s="1142"/>
      <c r="HWH112" s="1142"/>
      <c r="HWI112" s="1142"/>
      <c r="HWJ112" s="1142"/>
      <c r="HWK112" s="1167"/>
      <c r="HWL112" s="1167"/>
      <c r="HWM112" s="1167"/>
      <c r="HWN112" s="1167"/>
      <c r="HWO112" s="1167"/>
      <c r="HWP112" s="1167"/>
      <c r="HWQ112" s="1167"/>
      <c r="HWR112" s="1167"/>
      <c r="HWS112" s="1167"/>
      <c r="HWT112" s="1142"/>
      <c r="HWU112" s="1142"/>
      <c r="HWV112" s="1142"/>
      <c r="HWW112" s="1142"/>
      <c r="HWX112" s="1142"/>
      <c r="HWY112" s="1142"/>
      <c r="HWZ112" s="1142"/>
      <c r="HXA112" s="1142"/>
      <c r="HXB112" s="1142"/>
      <c r="HXC112" s="1142"/>
      <c r="HXD112" s="1142"/>
      <c r="HXE112" s="1142"/>
      <c r="HXF112" s="1142"/>
      <c r="HXG112" s="1142"/>
      <c r="HXH112" s="1142"/>
      <c r="HXI112" s="1142"/>
      <c r="HXJ112" s="1142"/>
      <c r="HXK112" s="1142"/>
      <c r="HXL112" s="1142"/>
      <c r="HXM112" s="1142"/>
      <c r="HXN112" s="1142"/>
      <c r="HXO112" s="1142"/>
      <c r="HXP112" s="1142"/>
      <c r="HXQ112" s="1167"/>
      <c r="HXR112" s="1167"/>
      <c r="HXS112" s="1167"/>
      <c r="HXT112" s="1167"/>
      <c r="HXU112" s="1167"/>
      <c r="HXV112" s="1167"/>
      <c r="HXW112" s="1167"/>
      <c r="HXX112" s="1167"/>
      <c r="HXY112" s="1167"/>
      <c r="HXZ112" s="1142"/>
      <c r="HYA112" s="1142"/>
      <c r="HYB112" s="1142"/>
      <c r="HYC112" s="1142"/>
      <c r="HYD112" s="1142"/>
      <c r="HYE112" s="1142"/>
      <c r="HYF112" s="1142"/>
      <c r="HYG112" s="1142"/>
      <c r="HYH112" s="1142"/>
      <c r="HYI112" s="1142"/>
      <c r="HYJ112" s="1142"/>
      <c r="HYK112" s="1142"/>
      <c r="HYL112" s="1142"/>
      <c r="HYM112" s="1142"/>
      <c r="HYN112" s="1142"/>
      <c r="HYO112" s="1142"/>
      <c r="HYP112" s="1142"/>
      <c r="HYQ112" s="1142"/>
      <c r="HYR112" s="1142"/>
      <c r="HYS112" s="1142"/>
      <c r="HYT112" s="1142"/>
      <c r="HYU112" s="1142"/>
      <c r="HYV112" s="1142"/>
      <c r="HYW112" s="1167"/>
      <c r="HYX112" s="1167"/>
      <c r="HYY112" s="1167"/>
      <c r="HYZ112" s="1167"/>
      <c r="HZA112" s="1167"/>
      <c r="HZB112" s="1167"/>
      <c r="HZC112" s="1167"/>
      <c r="HZD112" s="1167"/>
      <c r="HZE112" s="1167"/>
      <c r="HZF112" s="1142"/>
      <c r="HZG112" s="1142"/>
      <c r="HZH112" s="1142"/>
      <c r="HZI112" s="1142"/>
      <c r="HZJ112" s="1142"/>
      <c r="HZK112" s="1142"/>
      <c r="HZL112" s="1142"/>
      <c r="HZM112" s="1142"/>
      <c r="HZN112" s="1142"/>
      <c r="HZO112" s="1142"/>
      <c r="HZP112" s="1142"/>
      <c r="HZQ112" s="1142"/>
      <c r="HZR112" s="1142"/>
      <c r="HZS112" s="1142"/>
      <c r="HZT112" s="1142"/>
      <c r="HZU112" s="1142"/>
      <c r="HZV112" s="1142"/>
      <c r="HZW112" s="1142"/>
      <c r="HZX112" s="1142"/>
      <c r="HZY112" s="1142"/>
      <c r="HZZ112" s="1142"/>
      <c r="IAA112" s="1142"/>
      <c r="IAB112" s="1142"/>
      <c r="IAC112" s="1167"/>
      <c r="IAD112" s="1167"/>
      <c r="IAE112" s="1167"/>
      <c r="IAF112" s="1167"/>
      <c r="IAG112" s="1167"/>
      <c r="IAH112" s="1167"/>
      <c r="IAI112" s="1167"/>
      <c r="IAJ112" s="1167"/>
      <c r="IAK112" s="1167"/>
      <c r="IAL112" s="1142"/>
      <c r="IAM112" s="1142"/>
      <c r="IAN112" s="1142"/>
      <c r="IAO112" s="1142"/>
      <c r="IAP112" s="1142"/>
      <c r="IAQ112" s="1142"/>
      <c r="IAR112" s="1142"/>
      <c r="IAS112" s="1142"/>
      <c r="IAT112" s="1142"/>
      <c r="IAU112" s="1142"/>
      <c r="IAV112" s="1142"/>
      <c r="IAW112" s="1142"/>
      <c r="IAX112" s="1142"/>
      <c r="IAY112" s="1142"/>
      <c r="IAZ112" s="1142"/>
      <c r="IBA112" s="1142"/>
      <c r="IBB112" s="1142"/>
      <c r="IBC112" s="1142"/>
      <c r="IBD112" s="1142"/>
      <c r="IBE112" s="1142"/>
      <c r="IBF112" s="1142"/>
      <c r="IBG112" s="1142"/>
      <c r="IBH112" s="1142"/>
      <c r="IBI112" s="1167"/>
      <c r="IBJ112" s="1167"/>
      <c r="IBK112" s="1167"/>
      <c r="IBL112" s="1167"/>
      <c r="IBM112" s="1167"/>
      <c r="IBN112" s="1167"/>
      <c r="IBO112" s="1167"/>
      <c r="IBP112" s="1167"/>
      <c r="IBQ112" s="1167"/>
      <c r="IBR112" s="1142"/>
      <c r="IBS112" s="1142"/>
      <c r="IBT112" s="1142"/>
      <c r="IBU112" s="1142"/>
      <c r="IBV112" s="1142"/>
      <c r="IBW112" s="1142"/>
      <c r="IBX112" s="1142"/>
      <c r="IBY112" s="1142"/>
      <c r="IBZ112" s="1142"/>
      <c r="ICA112" s="1142"/>
      <c r="ICB112" s="1142"/>
      <c r="ICC112" s="1142"/>
      <c r="ICD112" s="1142"/>
      <c r="ICE112" s="1142"/>
      <c r="ICF112" s="1142"/>
      <c r="ICG112" s="1142"/>
      <c r="ICH112" s="1142"/>
      <c r="ICI112" s="1142"/>
      <c r="ICJ112" s="1142"/>
      <c r="ICK112" s="1142"/>
      <c r="ICL112" s="1142"/>
      <c r="ICM112" s="1142"/>
      <c r="ICN112" s="1142"/>
      <c r="ICO112" s="1167"/>
      <c r="ICP112" s="1167"/>
      <c r="ICQ112" s="1167"/>
      <c r="ICR112" s="1167"/>
      <c r="ICS112" s="1167"/>
      <c r="ICT112" s="1167"/>
      <c r="ICU112" s="1167"/>
      <c r="ICV112" s="1167"/>
      <c r="ICW112" s="1167"/>
      <c r="ICX112" s="1142"/>
      <c r="ICY112" s="1142"/>
      <c r="ICZ112" s="1142"/>
      <c r="IDA112" s="1142"/>
      <c r="IDB112" s="1142"/>
      <c r="IDC112" s="1142"/>
      <c r="IDD112" s="1142"/>
      <c r="IDE112" s="1142"/>
      <c r="IDF112" s="1142"/>
      <c r="IDG112" s="1142"/>
      <c r="IDH112" s="1142"/>
      <c r="IDI112" s="1142"/>
      <c r="IDJ112" s="1142"/>
      <c r="IDK112" s="1142"/>
      <c r="IDL112" s="1142"/>
      <c r="IDM112" s="1142"/>
      <c r="IDN112" s="1142"/>
      <c r="IDO112" s="1142"/>
      <c r="IDP112" s="1142"/>
      <c r="IDQ112" s="1142"/>
      <c r="IDR112" s="1142"/>
      <c r="IDS112" s="1142"/>
      <c r="IDT112" s="1142"/>
      <c r="IDU112" s="1167"/>
      <c r="IDV112" s="1167"/>
      <c r="IDW112" s="1167"/>
      <c r="IDX112" s="1167"/>
      <c r="IDY112" s="1167"/>
      <c r="IDZ112" s="1167"/>
      <c r="IEA112" s="1167"/>
      <c r="IEB112" s="1167"/>
      <c r="IEC112" s="1167"/>
      <c r="IED112" s="1142"/>
      <c r="IEE112" s="1142"/>
      <c r="IEF112" s="1142"/>
      <c r="IEG112" s="1142"/>
      <c r="IEH112" s="1142"/>
      <c r="IEI112" s="1142"/>
      <c r="IEJ112" s="1142"/>
      <c r="IEK112" s="1142"/>
      <c r="IEL112" s="1142"/>
      <c r="IEM112" s="1142"/>
      <c r="IEN112" s="1142"/>
      <c r="IEO112" s="1142"/>
      <c r="IEP112" s="1142"/>
      <c r="IEQ112" s="1142"/>
      <c r="IER112" s="1142"/>
      <c r="IES112" s="1142"/>
      <c r="IET112" s="1142"/>
      <c r="IEU112" s="1142"/>
      <c r="IEV112" s="1142"/>
      <c r="IEW112" s="1142"/>
      <c r="IEX112" s="1142"/>
      <c r="IEY112" s="1142"/>
      <c r="IEZ112" s="1142"/>
      <c r="IFA112" s="1167"/>
      <c r="IFB112" s="1167"/>
      <c r="IFC112" s="1167"/>
      <c r="IFD112" s="1167"/>
      <c r="IFE112" s="1167"/>
      <c r="IFF112" s="1167"/>
      <c r="IFG112" s="1167"/>
      <c r="IFH112" s="1167"/>
      <c r="IFI112" s="1167"/>
      <c r="IFJ112" s="1142"/>
      <c r="IFK112" s="1142"/>
      <c r="IFL112" s="1142"/>
      <c r="IFM112" s="1142"/>
      <c r="IFN112" s="1142"/>
      <c r="IFO112" s="1142"/>
      <c r="IFP112" s="1142"/>
      <c r="IFQ112" s="1142"/>
      <c r="IFR112" s="1142"/>
      <c r="IFS112" s="1142"/>
      <c r="IFT112" s="1142"/>
      <c r="IFU112" s="1142"/>
      <c r="IFV112" s="1142"/>
      <c r="IFW112" s="1142"/>
      <c r="IFX112" s="1142"/>
      <c r="IFY112" s="1142"/>
      <c r="IFZ112" s="1142"/>
      <c r="IGA112" s="1142"/>
      <c r="IGB112" s="1142"/>
      <c r="IGC112" s="1142"/>
      <c r="IGD112" s="1142"/>
      <c r="IGE112" s="1142"/>
      <c r="IGF112" s="1142"/>
      <c r="IGG112" s="1167"/>
      <c r="IGH112" s="1167"/>
      <c r="IGI112" s="1167"/>
      <c r="IGJ112" s="1167"/>
      <c r="IGK112" s="1167"/>
      <c r="IGL112" s="1167"/>
      <c r="IGM112" s="1167"/>
      <c r="IGN112" s="1167"/>
      <c r="IGO112" s="1167"/>
      <c r="IGP112" s="1142"/>
      <c r="IGQ112" s="1142"/>
      <c r="IGR112" s="1142"/>
      <c r="IGS112" s="1142"/>
      <c r="IGT112" s="1142"/>
      <c r="IGU112" s="1142"/>
      <c r="IGV112" s="1142"/>
      <c r="IGW112" s="1142"/>
      <c r="IGX112" s="1142"/>
      <c r="IGY112" s="1142"/>
      <c r="IGZ112" s="1142"/>
      <c r="IHA112" s="1142"/>
      <c r="IHB112" s="1142"/>
      <c r="IHC112" s="1142"/>
      <c r="IHD112" s="1142"/>
      <c r="IHE112" s="1142"/>
      <c r="IHF112" s="1142"/>
      <c r="IHG112" s="1142"/>
      <c r="IHH112" s="1142"/>
      <c r="IHI112" s="1142"/>
      <c r="IHJ112" s="1142"/>
      <c r="IHK112" s="1142"/>
      <c r="IHL112" s="1142"/>
      <c r="IHM112" s="1167"/>
      <c r="IHN112" s="1167"/>
      <c r="IHO112" s="1167"/>
      <c r="IHP112" s="1167"/>
      <c r="IHQ112" s="1167"/>
      <c r="IHR112" s="1167"/>
      <c r="IHS112" s="1167"/>
      <c r="IHT112" s="1167"/>
      <c r="IHU112" s="1167"/>
      <c r="IHV112" s="1142"/>
      <c r="IHW112" s="1142"/>
      <c r="IHX112" s="1142"/>
      <c r="IHY112" s="1142"/>
      <c r="IHZ112" s="1142"/>
      <c r="IIA112" s="1142"/>
      <c r="IIB112" s="1142"/>
      <c r="IIC112" s="1142"/>
      <c r="IID112" s="1142"/>
      <c r="IIE112" s="1142"/>
      <c r="IIF112" s="1142"/>
      <c r="IIG112" s="1142"/>
      <c r="IIH112" s="1142"/>
      <c r="III112" s="1142"/>
      <c r="IIJ112" s="1142"/>
      <c r="IIK112" s="1142"/>
      <c r="IIL112" s="1142"/>
      <c r="IIM112" s="1142"/>
      <c r="IIN112" s="1142"/>
      <c r="IIO112" s="1142"/>
      <c r="IIP112" s="1142"/>
      <c r="IIQ112" s="1142"/>
      <c r="IIR112" s="1142"/>
      <c r="IIS112" s="1167"/>
      <c r="IIT112" s="1167"/>
      <c r="IIU112" s="1167"/>
      <c r="IIV112" s="1167"/>
      <c r="IIW112" s="1167"/>
      <c r="IIX112" s="1167"/>
      <c r="IIY112" s="1167"/>
      <c r="IIZ112" s="1167"/>
      <c r="IJA112" s="1167"/>
      <c r="IJB112" s="1142"/>
      <c r="IJC112" s="1142"/>
      <c r="IJD112" s="1142"/>
      <c r="IJE112" s="1142"/>
      <c r="IJF112" s="1142"/>
      <c r="IJG112" s="1142"/>
      <c r="IJH112" s="1142"/>
      <c r="IJI112" s="1142"/>
      <c r="IJJ112" s="1142"/>
      <c r="IJK112" s="1142"/>
      <c r="IJL112" s="1142"/>
      <c r="IJM112" s="1142"/>
      <c r="IJN112" s="1142"/>
      <c r="IJO112" s="1142"/>
      <c r="IJP112" s="1142"/>
      <c r="IJQ112" s="1142"/>
      <c r="IJR112" s="1142"/>
      <c r="IJS112" s="1142"/>
      <c r="IJT112" s="1142"/>
      <c r="IJU112" s="1142"/>
      <c r="IJV112" s="1142"/>
      <c r="IJW112" s="1142"/>
      <c r="IJX112" s="1142"/>
      <c r="IJY112" s="1167"/>
      <c r="IJZ112" s="1167"/>
      <c r="IKA112" s="1167"/>
      <c r="IKB112" s="1167"/>
      <c r="IKC112" s="1167"/>
      <c r="IKD112" s="1167"/>
      <c r="IKE112" s="1167"/>
      <c r="IKF112" s="1167"/>
      <c r="IKG112" s="1167"/>
      <c r="IKH112" s="1142"/>
      <c r="IKI112" s="1142"/>
      <c r="IKJ112" s="1142"/>
      <c r="IKK112" s="1142"/>
      <c r="IKL112" s="1142"/>
      <c r="IKM112" s="1142"/>
      <c r="IKN112" s="1142"/>
      <c r="IKO112" s="1142"/>
      <c r="IKP112" s="1142"/>
      <c r="IKQ112" s="1142"/>
      <c r="IKR112" s="1142"/>
      <c r="IKS112" s="1142"/>
      <c r="IKT112" s="1142"/>
      <c r="IKU112" s="1142"/>
      <c r="IKV112" s="1142"/>
      <c r="IKW112" s="1142"/>
      <c r="IKX112" s="1142"/>
      <c r="IKY112" s="1142"/>
      <c r="IKZ112" s="1142"/>
      <c r="ILA112" s="1142"/>
      <c r="ILB112" s="1142"/>
      <c r="ILC112" s="1142"/>
      <c r="ILD112" s="1142"/>
      <c r="ILE112" s="1167"/>
      <c r="ILF112" s="1167"/>
      <c r="ILG112" s="1167"/>
      <c r="ILH112" s="1167"/>
      <c r="ILI112" s="1167"/>
      <c r="ILJ112" s="1167"/>
      <c r="ILK112" s="1167"/>
      <c r="ILL112" s="1167"/>
      <c r="ILM112" s="1167"/>
      <c r="ILN112" s="1142"/>
      <c r="ILO112" s="1142"/>
      <c r="ILP112" s="1142"/>
      <c r="ILQ112" s="1142"/>
      <c r="ILR112" s="1142"/>
      <c r="ILS112" s="1142"/>
      <c r="ILT112" s="1142"/>
      <c r="ILU112" s="1142"/>
      <c r="ILV112" s="1142"/>
      <c r="ILW112" s="1142"/>
      <c r="ILX112" s="1142"/>
      <c r="ILY112" s="1142"/>
      <c r="ILZ112" s="1142"/>
      <c r="IMA112" s="1142"/>
      <c r="IMB112" s="1142"/>
      <c r="IMC112" s="1142"/>
      <c r="IMD112" s="1142"/>
      <c r="IME112" s="1142"/>
      <c r="IMF112" s="1142"/>
      <c r="IMG112" s="1142"/>
      <c r="IMH112" s="1142"/>
      <c r="IMI112" s="1142"/>
      <c r="IMJ112" s="1142"/>
      <c r="IMK112" s="1167"/>
      <c r="IML112" s="1167"/>
      <c r="IMM112" s="1167"/>
      <c r="IMN112" s="1167"/>
      <c r="IMO112" s="1167"/>
      <c r="IMP112" s="1167"/>
      <c r="IMQ112" s="1167"/>
      <c r="IMR112" s="1167"/>
      <c r="IMS112" s="1167"/>
      <c r="IMT112" s="1142"/>
      <c r="IMU112" s="1142"/>
      <c r="IMV112" s="1142"/>
      <c r="IMW112" s="1142"/>
      <c r="IMX112" s="1142"/>
      <c r="IMY112" s="1142"/>
      <c r="IMZ112" s="1142"/>
      <c r="INA112" s="1142"/>
      <c r="INB112" s="1142"/>
      <c r="INC112" s="1142"/>
      <c r="IND112" s="1142"/>
      <c r="INE112" s="1142"/>
      <c r="INF112" s="1142"/>
      <c r="ING112" s="1142"/>
      <c r="INH112" s="1142"/>
      <c r="INI112" s="1142"/>
      <c r="INJ112" s="1142"/>
      <c r="INK112" s="1142"/>
      <c r="INL112" s="1142"/>
      <c r="INM112" s="1142"/>
      <c r="INN112" s="1142"/>
      <c r="INO112" s="1142"/>
      <c r="INP112" s="1142"/>
      <c r="INQ112" s="1167"/>
      <c r="INR112" s="1167"/>
      <c r="INS112" s="1167"/>
      <c r="INT112" s="1167"/>
      <c r="INU112" s="1167"/>
      <c r="INV112" s="1167"/>
      <c r="INW112" s="1167"/>
      <c r="INX112" s="1167"/>
      <c r="INY112" s="1167"/>
      <c r="INZ112" s="1142"/>
      <c r="IOA112" s="1142"/>
      <c r="IOB112" s="1142"/>
      <c r="IOC112" s="1142"/>
      <c r="IOD112" s="1142"/>
      <c r="IOE112" s="1142"/>
      <c r="IOF112" s="1142"/>
      <c r="IOG112" s="1142"/>
      <c r="IOH112" s="1142"/>
      <c r="IOI112" s="1142"/>
      <c r="IOJ112" s="1142"/>
      <c r="IOK112" s="1142"/>
      <c r="IOL112" s="1142"/>
      <c r="IOM112" s="1142"/>
      <c r="ION112" s="1142"/>
      <c r="IOO112" s="1142"/>
      <c r="IOP112" s="1142"/>
      <c r="IOQ112" s="1142"/>
      <c r="IOR112" s="1142"/>
      <c r="IOS112" s="1142"/>
      <c r="IOT112" s="1142"/>
      <c r="IOU112" s="1142"/>
      <c r="IOV112" s="1142"/>
      <c r="IOW112" s="1167"/>
      <c r="IOX112" s="1167"/>
      <c r="IOY112" s="1167"/>
      <c r="IOZ112" s="1167"/>
      <c r="IPA112" s="1167"/>
      <c r="IPB112" s="1167"/>
      <c r="IPC112" s="1167"/>
      <c r="IPD112" s="1167"/>
      <c r="IPE112" s="1167"/>
      <c r="IPF112" s="1142"/>
      <c r="IPG112" s="1142"/>
      <c r="IPH112" s="1142"/>
      <c r="IPI112" s="1142"/>
      <c r="IPJ112" s="1142"/>
      <c r="IPK112" s="1142"/>
      <c r="IPL112" s="1142"/>
      <c r="IPM112" s="1142"/>
      <c r="IPN112" s="1142"/>
      <c r="IPO112" s="1142"/>
      <c r="IPP112" s="1142"/>
      <c r="IPQ112" s="1142"/>
      <c r="IPR112" s="1142"/>
      <c r="IPS112" s="1142"/>
      <c r="IPT112" s="1142"/>
      <c r="IPU112" s="1142"/>
      <c r="IPV112" s="1142"/>
      <c r="IPW112" s="1142"/>
      <c r="IPX112" s="1142"/>
      <c r="IPY112" s="1142"/>
      <c r="IPZ112" s="1142"/>
      <c r="IQA112" s="1142"/>
      <c r="IQB112" s="1142"/>
      <c r="IQC112" s="1167"/>
      <c r="IQD112" s="1167"/>
      <c r="IQE112" s="1167"/>
      <c r="IQF112" s="1167"/>
      <c r="IQG112" s="1167"/>
      <c r="IQH112" s="1167"/>
      <c r="IQI112" s="1167"/>
      <c r="IQJ112" s="1167"/>
      <c r="IQK112" s="1167"/>
      <c r="IQL112" s="1142"/>
      <c r="IQM112" s="1142"/>
      <c r="IQN112" s="1142"/>
      <c r="IQO112" s="1142"/>
      <c r="IQP112" s="1142"/>
      <c r="IQQ112" s="1142"/>
      <c r="IQR112" s="1142"/>
      <c r="IQS112" s="1142"/>
      <c r="IQT112" s="1142"/>
      <c r="IQU112" s="1142"/>
      <c r="IQV112" s="1142"/>
      <c r="IQW112" s="1142"/>
      <c r="IQX112" s="1142"/>
      <c r="IQY112" s="1142"/>
      <c r="IQZ112" s="1142"/>
      <c r="IRA112" s="1142"/>
      <c r="IRB112" s="1142"/>
      <c r="IRC112" s="1142"/>
      <c r="IRD112" s="1142"/>
      <c r="IRE112" s="1142"/>
      <c r="IRF112" s="1142"/>
      <c r="IRG112" s="1142"/>
      <c r="IRH112" s="1142"/>
      <c r="IRI112" s="1167"/>
      <c r="IRJ112" s="1167"/>
      <c r="IRK112" s="1167"/>
      <c r="IRL112" s="1167"/>
      <c r="IRM112" s="1167"/>
      <c r="IRN112" s="1167"/>
      <c r="IRO112" s="1167"/>
      <c r="IRP112" s="1167"/>
      <c r="IRQ112" s="1167"/>
      <c r="IRR112" s="1142"/>
      <c r="IRS112" s="1142"/>
      <c r="IRT112" s="1142"/>
      <c r="IRU112" s="1142"/>
      <c r="IRV112" s="1142"/>
      <c r="IRW112" s="1142"/>
      <c r="IRX112" s="1142"/>
      <c r="IRY112" s="1142"/>
      <c r="IRZ112" s="1142"/>
      <c r="ISA112" s="1142"/>
      <c r="ISB112" s="1142"/>
      <c r="ISC112" s="1142"/>
      <c r="ISD112" s="1142"/>
      <c r="ISE112" s="1142"/>
      <c r="ISF112" s="1142"/>
      <c r="ISG112" s="1142"/>
      <c r="ISH112" s="1142"/>
      <c r="ISI112" s="1142"/>
      <c r="ISJ112" s="1142"/>
      <c r="ISK112" s="1142"/>
      <c r="ISL112" s="1142"/>
      <c r="ISM112" s="1142"/>
      <c r="ISN112" s="1142"/>
      <c r="ISO112" s="1167"/>
      <c r="ISP112" s="1167"/>
      <c r="ISQ112" s="1167"/>
      <c r="ISR112" s="1167"/>
      <c r="ISS112" s="1167"/>
      <c r="IST112" s="1167"/>
      <c r="ISU112" s="1167"/>
      <c r="ISV112" s="1167"/>
      <c r="ISW112" s="1167"/>
      <c r="ISX112" s="1142"/>
      <c r="ISY112" s="1142"/>
      <c r="ISZ112" s="1142"/>
      <c r="ITA112" s="1142"/>
      <c r="ITB112" s="1142"/>
      <c r="ITC112" s="1142"/>
      <c r="ITD112" s="1142"/>
      <c r="ITE112" s="1142"/>
      <c r="ITF112" s="1142"/>
      <c r="ITG112" s="1142"/>
      <c r="ITH112" s="1142"/>
      <c r="ITI112" s="1142"/>
      <c r="ITJ112" s="1142"/>
      <c r="ITK112" s="1142"/>
      <c r="ITL112" s="1142"/>
      <c r="ITM112" s="1142"/>
      <c r="ITN112" s="1142"/>
      <c r="ITO112" s="1142"/>
      <c r="ITP112" s="1142"/>
      <c r="ITQ112" s="1142"/>
      <c r="ITR112" s="1142"/>
      <c r="ITS112" s="1142"/>
      <c r="ITT112" s="1142"/>
      <c r="ITU112" s="1167"/>
      <c r="ITV112" s="1167"/>
      <c r="ITW112" s="1167"/>
      <c r="ITX112" s="1167"/>
      <c r="ITY112" s="1167"/>
      <c r="ITZ112" s="1167"/>
      <c r="IUA112" s="1167"/>
      <c r="IUB112" s="1167"/>
      <c r="IUC112" s="1167"/>
      <c r="IUD112" s="1142"/>
      <c r="IUE112" s="1142"/>
      <c r="IUF112" s="1142"/>
      <c r="IUG112" s="1142"/>
      <c r="IUH112" s="1142"/>
      <c r="IUI112" s="1142"/>
      <c r="IUJ112" s="1142"/>
      <c r="IUK112" s="1142"/>
      <c r="IUL112" s="1142"/>
      <c r="IUM112" s="1142"/>
      <c r="IUN112" s="1142"/>
      <c r="IUO112" s="1142"/>
      <c r="IUP112" s="1142"/>
      <c r="IUQ112" s="1142"/>
      <c r="IUR112" s="1142"/>
      <c r="IUS112" s="1142"/>
      <c r="IUT112" s="1142"/>
      <c r="IUU112" s="1142"/>
      <c r="IUV112" s="1142"/>
      <c r="IUW112" s="1142"/>
      <c r="IUX112" s="1142"/>
      <c r="IUY112" s="1142"/>
      <c r="IUZ112" s="1142"/>
      <c r="IVA112" s="1167"/>
      <c r="IVB112" s="1167"/>
      <c r="IVC112" s="1167"/>
      <c r="IVD112" s="1167"/>
      <c r="IVE112" s="1167"/>
      <c r="IVF112" s="1167"/>
      <c r="IVG112" s="1167"/>
      <c r="IVH112" s="1167"/>
      <c r="IVI112" s="1167"/>
      <c r="IVJ112" s="1142"/>
      <c r="IVK112" s="1142"/>
      <c r="IVL112" s="1142"/>
      <c r="IVM112" s="1142"/>
      <c r="IVN112" s="1142"/>
      <c r="IVO112" s="1142"/>
      <c r="IVP112" s="1142"/>
      <c r="IVQ112" s="1142"/>
      <c r="IVR112" s="1142"/>
      <c r="IVS112" s="1142"/>
      <c r="IVT112" s="1142"/>
      <c r="IVU112" s="1142"/>
      <c r="IVV112" s="1142"/>
      <c r="IVW112" s="1142"/>
      <c r="IVX112" s="1142"/>
      <c r="IVY112" s="1142"/>
      <c r="IVZ112" s="1142"/>
      <c r="IWA112" s="1142"/>
      <c r="IWB112" s="1142"/>
      <c r="IWC112" s="1142"/>
      <c r="IWD112" s="1142"/>
      <c r="IWE112" s="1142"/>
      <c r="IWF112" s="1142"/>
      <c r="IWG112" s="1167"/>
      <c r="IWH112" s="1167"/>
      <c r="IWI112" s="1167"/>
      <c r="IWJ112" s="1167"/>
      <c r="IWK112" s="1167"/>
      <c r="IWL112" s="1167"/>
      <c r="IWM112" s="1167"/>
      <c r="IWN112" s="1167"/>
      <c r="IWO112" s="1167"/>
      <c r="IWP112" s="1142"/>
      <c r="IWQ112" s="1142"/>
      <c r="IWR112" s="1142"/>
      <c r="IWS112" s="1142"/>
      <c r="IWT112" s="1142"/>
      <c r="IWU112" s="1142"/>
      <c r="IWV112" s="1142"/>
      <c r="IWW112" s="1142"/>
      <c r="IWX112" s="1142"/>
      <c r="IWY112" s="1142"/>
      <c r="IWZ112" s="1142"/>
      <c r="IXA112" s="1142"/>
      <c r="IXB112" s="1142"/>
      <c r="IXC112" s="1142"/>
      <c r="IXD112" s="1142"/>
      <c r="IXE112" s="1142"/>
      <c r="IXF112" s="1142"/>
      <c r="IXG112" s="1142"/>
      <c r="IXH112" s="1142"/>
      <c r="IXI112" s="1142"/>
      <c r="IXJ112" s="1142"/>
      <c r="IXK112" s="1142"/>
      <c r="IXL112" s="1142"/>
      <c r="IXM112" s="1167"/>
      <c r="IXN112" s="1167"/>
      <c r="IXO112" s="1167"/>
      <c r="IXP112" s="1167"/>
      <c r="IXQ112" s="1167"/>
      <c r="IXR112" s="1167"/>
      <c r="IXS112" s="1167"/>
      <c r="IXT112" s="1167"/>
      <c r="IXU112" s="1167"/>
      <c r="IXV112" s="1142"/>
      <c r="IXW112" s="1142"/>
      <c r="IXX112" s="1142"/>
      <c r="IXY112" s="1142"/>
      <c r="IXZ112" s="1142"/>
      <c r="IYA112" s="1142"/>
      <c r="IYB112" s="1142"/>
      <c r="IYC112" s="1142"/>
      <c r="IYD112" s="1142"/>
      <c r="IYE112" s="1142"/>
      <c r="IYF112" s="1142"/>
      <c r="IYG112" s="1142"/>
      <c r="IYH112" s="1142"/>
      <c r="IYI112" s="1142"/>
      <c r="IYJ112" s="1142"/>
      <c r="IYK112" s="1142"/>
      <c r="IYL112" s="1142"/>
      <c r="IYM112" s="1142"/>
      <c r="IYN112" s="1142"/>
      <c r="IYO112" s="1142"/>
      <c r="IYP112" s="1142"/>
      <c r="IYQ112" s="1142"/>
      <c r="IYR112" s="1142"/>
      <c r="IYS112" s="1167"/>
      <c r="IYT112" s="1167"/>
      <c r="IYU112" s="1167"/>
      <c r="IYV112" s="1167"/>
      <c r="IYW112" s="1167"/>
      <c r="IYX112" s="1167"/>
      <c r="IYY112" s="1167"/>
      <c r="IYZ112" s="1167"/>
      <c r="IZA112" s="1167"/>
      <c r="IZB112" s="1142"/>
      <c r="IZC112" s="1142"/>
      <c r="IZD112" s="1142"/>
      <c r="IZE112" s="1142"/>
      <c r="IZF112" s="1142"/>
      <c r="IZG112" s="1142"/>
      <c r="IZH112" s="1142"/>
      <c r="IZI112" s="1142"/>
      <c r="IZJ112" s="1142"/>
      <c r="IZK112" s="1142"/>
      <c r="IZL112" s="1142"/>
      <c r="IZM112" s="1142"/>
      <c r="IZN112" s="1142"/>
      <c r="IZO112" s="1142"/>
      <c r="IZP112" s="1142"/>
      <c r="IZQ112" s="1142"/>
      <c r="IZR112" s="1142"/>
      <c r="IZS112" s="1142"/>
      <c r="IZT112" s="1142"/>
      <c r="IZU112" s="1142"/>
      <c r="IZV112" s="1142"/>
      <c r="IZW112" s="1142"/>
      <c r="IZX112" s="1142"/>
      <c r="IZY112" s="1167"/>
      <c r="IZZ112" s="1167"/>
      <c r="JAA112" s="1167"/>
      <c r="JAB112" s="1167"/>
      <c r="JAC112" s="1167"/>
      <c r="JAD112" s="1167"/>
      <c r="JAE112" s="1167"/>
      <c r="JAF112" s="1167"/>
      <c r="JAG112" s="1167"/>
      <c r="JAH112" s="1142"/>
      <c r="JAI112" s="1142"/>
      <c r="JAJ112" s="1142"/>
      <c r="JAK112" s="1142"/>
      <c r="JAL112" s="1142"/>
      <c r="JAM112" s="1142"/>
      <c r="JAN112" s="1142"/>
      <c r="JAO112" s="1142"/>
      <c r="JAP112" s="1142"/>
      <c r="JAQ112" s="1142"/>
      <c r="JAR112" s="1142"/>
      <c r="JAS112" s="1142"/>
      <c r="JAT112" s="1142"/>
      <c r="JAU112" s="1142"/>
      <c r="JAV112" s="1142"/>
      <c r="JAW112" s="1142"/>
      <c r="JAX112" s="1142"/>
      <c r="JAY112" s="1142"/>
      <c r="JAZ112" s="1142"/>
      <c r="JBA112" s="1142"/>
      <c r="JBB112" s="1142"/>
      <c r="JBC112" s="1142"/>
      <c r="JBD112" s="1142"/>
      <c r="JBE112" s="1167"/>
      <c r="JBF112" s="1167"/>
      <c r="JBG112" s="1167"/>
      <c r="JBH112" s="1167"/>
      <c r="JBI112" s="1167"/>
      <c r="JBJ112" s="1167"/>
      <c r="JBK112" s="1167"/>
      <c r="JBL112" s="1167"/>
      <c r="JBM112" s="1167"/>
      <c r="JBN112" s="1142"/>
      <c r="JBO112" s="1142"/>
      <c r="JBP112" s="1142"/>
      <c r="JBQ112" s="1142"/>
      <c r="JBR112" s="1142"/>
      <c r="JBS112" s="1142"/>
      <c r="JBT112" s="1142"/>
      <c r="JBU112" s="1142"/>
      <c r="JBV112" s="1142"/>
      <c r="JBW112" s="1142"/>
      <c r="JBX112" s="1142"/>
      <c r="JBY112" s="1142"/>
      <c r="JBZ112" s="1142"/>
      <c r="JCA112" s="1142"/>
      <c r="JCB112" s="1142"/>
      <c r="JCC112" s="1142"/>
      <c r="JCD112" s="1142"/>
      <c r="JCE112" s="1142"/>
      <c r="JCF112" s="1142"/>
      <c r="JCG112" s="1142"/>
      <c r="JCH112" s="1142"/>
      <c r="JCI112" s="1142"/>
      <c r="JCJ112" s="1142"/>
      <c r="JCK112" s="1167"/>
      <c r="JCL112" s="1167"/>
      <c r="JCM112" s="1167"/>
      <c r="JCN112" s="1167"/>
      <c r="JCO112" s="1167"/>
      <c r="JCP112" s="1167"/>
      <c r="JCQ112" s="1167"/>
      <c r="JCR112" s="1167"/>
      <c r="JCS112" s="1167"/>
      <c r="JCT112" s="1142"/>
      <c r="JCU112" s="1142"/>
      <c r="JCV112" s="1142"/>
      <c r="JCW112" s="1142"/>
      <c r="JCX112" s="1142"/>
      <c r="JCY112" s="1142"/>
      <c r="JCZ112" s="1142"/>
      <c r="JDA112" s="1142"/>
      <c r="JDB112" s="1142"/>
      <c r="JDC112" s="1142"/>
      <c r="JDD112" s="1142"/>
      <c r="JDE112" s="1142"/>
      <c r="JDF112" s="1142"/>
      <c r="JDG112" s="1142"/>
      <c r="JDH112" s="1142"/>
      <c r="JDI112" s="1142"/>
      <c r="JDJ112" s="1142"/>
      <c r="JDK112" s="1142"/>
      <c r="JDL112" s="1142"/>
      <c r="JDM112" s="1142"/>
      <c r="JDN112" s="1142"/>
      <c r="JDO112" s="1142"/>
      <c r="JDP112" s="1142"/>
      <c r="JDQ112" s="1167"/>
      <c r="JDR112" s="1167"/>
      <c r="JDS112" s="1167"/>
      <c r="JDT112" s="1167"/>
      <c r="JDU112" s="1167"/>
      <c r="JDV112" s="1167"/>
      <c r="JDW112" s="1167"/>
      <c r="JDX112" s="1167"/>
      <c r="JDY112" s="1167"/>
      <c r="JDZ112" s="1142"/>
      <c r="JEA112" s="1142"/>
      <c r="JEB112" s="1142"/>
      <c r="JEC112" s="1142"/>
      <c r="JED112" s="1142"/>
      <c r="JEE112" s="1142"/>
      <c r="JEF112" s="1142"/>
      <c r="JEG112" s="1142"/>
      <c r="JEH112" s="1142"/>
      <c r="JEI112" s="1142"/>
      <c r="JEJ112" s="1142"/>
      <c r="JEK112" s="1142"/>
      <c r="JEL112" s="1142"/>
      <c r="JEM112" s="1142"/>
      <c r="JEN112" s="1142"/>
      <c r="JEO112" s="1142"/>
      <c r="JEP112" s="1142"/>
      <c r="JEQ112" s="1142"/>
      <c r="JER112" s="1142"/>
      <c r="JES112" s="1142"/>
      <c r="JET112" s="1142"/>
      <c r="JEU112" s="1142"/>
      <c r="JEV112" s="1142"/>
      <c r="JEW112" s="1167"/>
      <c r="JEX112" s="1167"/>
      <c r="JEY112" s="1167"/>
      <c r="JEZ112" s="1167"/>
      <c r="JFA112" s="1167"/>
      <c r="JFB112" s="1167"/>
      <c r="JFC112" s="1167"/>
      <c r="JFD112" s="1167"/>
      <c r="JFE112" s="1167"/>
      <c r="JFF112" s="1142"/>
      <c r="JFG112" s="1142"/>
      <c r="JFH112" s="1142"/>
      <c r="JFI112" s="1142"/>
      <c r="JFJ112" s="1142"/>
      <c r="JFK112" s="1142"/>
      <c r="JFL112" s="1142"/>
      <c r="JFM112" s="1142"/>
      <c r="JFN112" s="1142"/>
      <c r="JFO112" s="1142"/>
      <c r="JFP112" s="1142"/>
      <c r="JFQ112" s="1142"/>
      <c r="JFR112" s="1142"/>
      <c r="JFS112" s="1142"/>
      <c r="JFT112" s="1142"/>
      <c r="JFU112" s="1142"/>
      <c r="JFV112" s="1142"/>
      <c r="JFW112" s="1142"/>
      <c r="JFX112" s="1142"/>
      <c r="JFY112" s="1142"/>
      <c r="JFZ112" s="1142"/>
      <c r="JGA112" s="1142"/>
      <c r="JGB112" s="1142"/>
      <c r="JGC112" s="1167"/>
      <c r="JGD112" s="1167"/>
      <c r="JGE112" s="1167"/>
      <c r="JGF112" s="1167"/>
      <c r="JGG112" s="1167"/>
      <c r="JGH112" s="1167"/>
      <c r="JGI112" s="1167"/>
      <c r="JGJ112" s="1167"/>
      <c r="JGK112" s="1167"/>
      <c r="JGL112" s="1142"/>
      <c r="JGM112" s="1142"/>
      <c r="JGN112" s="1142"/>
      <c r="JGO112" s="1142"/>
      <c r="JGP112" s="1142"/>
      <c r="JGQ112" s="1142"/>
      <c r="JGR112" s="1142"/>
      <c r="JGS112" s="1142"/>
      <c r="JGT112" s="1142"/>
      <c r="JGU112" s="1142"/>
      <c r="JGV112" s="1142"/>
      <c r="JGW112" s="1142"/>
      <c r="JGX112" s="1142"/>
      <c r="JGY112" s="1142"/>
      <c r="JGZ112" s="1142"/>
      <c r="JHA112" s="1142"/>
      <c r="JHB112" s="1142"/>
      <c r="JHC112" s="1142"/>
      <c r="JHD112" s="1142"/>
      <c r="JHE112" s="1142"/>
      <c r="JHF112" s="1142"/>
      <c r="JHG112" s="1142"/>
      <c r="JHH112" s="1142"/>
      <c r="JHI112" s="1167"/>
      <c r="JHJ112" s="1167"/>
      <c r="JHK112" s="1167"/>
      <c r="JHL112" s="1167"/>
      <c r="JHM112" s="1167"/>
      <c r="JHN112" s="1167"/>
      <c r="JHO112" s="1167"/>
      <c r="JHP112" s="1167"/>
      <c r="JHQ112" s="1167"/>
      <c r="JHR112" s="1142"/>
      <c r="JHS112" s="1142"/>
      <c r="JHT112" s="1142"/>
      <c r="JHU112" s="1142"/>
      <c r="JHV112" s="1142"/>
      <c r="JHW112" s="1142"/>
      <c r="JHX112" s="1142"/>
      <c r="JHY112" s="1142"/>
      <c r="JHZ112" s="1142"/>
      <c r="JIA112" s="1142"/>
      <c r="JIB112" s="1142"/>
      <c r="JIC112" s="1142"/>
      <c r="JID112" s="1142"/>
      <c r="JIE112" s="1142"/>
      <c r="JIF112" s="1142"/>
      <c r="JIG112" s="1142"/>
      <c r="JIH112" s="1142"/>
      <c r="JII112" s="1142"/>
      <c r="JIJ112" s="1142"/>
      <c r="JIK112" s="1142"/>
      <c r="JIL112" s="1142"/>
      <c r="JIM112" s="1142"/>
      <c r="JIN112" s="1142"/>
      <c r="JIO112" s="1167"/>
      <c r="JIP112" s="1167"/>
      <c r="JIQ112" s="1167"/>
      <c r="JIR112" s="1167"/>
      <c r="JIS112" s="1167"/>
      <c r="JIT112" s="1167"/>
      <c r="JIU112" s="1167"/>
      <c r="JIV112" s="1167"/>
      <c r="JIW112" s="1167"/>
      <c r="JIX112" s="1142"/>
      <c r="JIY112" s="1142"/>
      <c r="JIZ112" s="1142"/>
      <c r="JJA112" s="1142"/>
      <c r="JJB112" s="1142"/>
      <c r="JJC112" s="1142"/>
      <c r="JJD112" s="1142"/>
      <c r="JJE112" s="1142"/>
      <c r="JJF112" s="1142"/>
      <c r="JJG112" s="1142"/>
      <c r="JJH112" s="1142"/>
      <c r="JJI112" s="1142"/>
      <c r="JJJ112" s="1142"/>
      <c r="JJK112" s="1142"/>
      <c r="JJL112" s="1142"/>
      <c r="JJM112" s="1142"/>
      <c r="JJN112" s="1142"/>
      <c r="JJO112" s="1142"/>
      <c r="JJP112" s="1142"/>
      <c r="JJQ112" s="1142"/>
      <c r="JJR112" s="1142"/>
      <c r="JJS112" s="1142"/>
      <c r="JJT112" s="1142"/>
      <c r="JJU112" s="1167"/>
      <c r="JJV112" s="1167"/>
      <c r="JJW112" s="1167"/>
      <c r="JJX112" s="1167"/>
      <c r="JJY112" s="1167"/>
      <c r="JJZ112" s="1167"/>
      <c r="JKA112" s="1167"/>
      <c r="JKB112" s="1167"/>
      <c r="JKC112" s="1167"/>
      <c r="JKD112" s="1142"/>
      <c r="JKE112" s="1142"/>
      <c r="JKF112" s="1142"/>
      <c r="JKG112" s="1142"/>
      <c r="JKH112" s="1142"/>
      <c r="JKI112" s="1142"/>
      <c r="JKJ112" s="1142"/>
      <c r="JKK112" s="1142"/>
      <c r="JKL112" s="1142"/>
      <c r="JKM112" s="1142"/>
      <c r="JKN112" s="1142"/>
      <c r="JKO112" s="1142"/>
      <c r="JKP112" s="1142"/>
      <c r="JKQ112" s="1142"/>
      <c r="JKR112" s="1142"/>
      <c r="JKS112" s="1142"/>
      <c r="JKT112" s="1142"/>
      <c r="JKU112" s="1142"/>
      <c r="JKV112" s="1142"/>
      <c r="JKW112" s="1142"/>
      <c r="JKX112" s="1142"/>
      <c r="JKY112" s="1142"/>
      <c r="JKZ112" s="1142"/>
      <c r="JLA112" s="1167"/>
      <c r="JLB112" s="1167"/>
      <c r="JLC112" s="1167"/>
      <c r="JLD112" s="1167"/>
      <c r="JLE112" s="1167"/>
      <c r="JLF112" s="1167"/>
      <c r="JLG112" s="1167"/>
      <c r="JLH112" s="1167"/>
      <c r="JLI112" s="1167"/>
      <c r="JLJ112" s="1142"/>
      <c r="JLK112" s="1142"/>
      <c r="JLL112" s="1142"/>
      <c r="JLM112" s="1142"/>
      <c r="JLN112" s="1142"/>
      <c r="JLO112" s="1142"/>
      <c r="JLP112" s="1142"/>
      <c r="JLQ112" s="1142"/>
      <c r="JLR112" s="1142"/>
      <c r="JLS112" s="1142"/>
      <c r="JLT112" s="1142"/>
      <c r="JLU112" s="1142"/>
      <c r="JLV112" s="1142"/>
      <c r="JLW112" s="1142"/>
      <c r="JLX112" s="1142"/>
      <c r="JLY112" s="1142"/>
      <c r="JLZ112" s="1142"/>
      <c r="JMA112" s="1142"/>
      <c r="JMB112" s="1142"/>
      <c r="JMC112" s="1142"/>
      <c r="JMD112" s="1142"/>
      <c r="JME112" s="1142"/>
      <c r="JMF112" s="1142"/>
      <c r="JMG112" s="1167"/>
      <c r="JMH112" s="1167"/>
      <c r="JMI112" s="1167"/>
      <c r="JMJ112" s="1167"/>
      <c r="JMK112" s="1167"/>
      <c r="JML112" s="1167"/>
      <c r="JMM112" s="1167"/>
      <c r="JMN112" s="1167"/>
      <c r="JMO112" s="1167"/>
      <c r="JMP112" s="1142"/>
      <c r="JMQ112" s="1142"/>
      <c r="JMR112" s="1142"/>
      <c r="JMS112" s="1142"/>
      <c r="JMT112" s="1142"/>
      <c r="JMU112" s="1142"/>
      <c r="JMV112" s="1142"/>
      <c r="JMW112" s="1142"/>
      <c r="JMX112" s="1142"/>
      <c r="JMY112" s="1142"/>
      <c r="JMZ112" s="1142"/>
      <c r="JNA112" s="1142"/>
      <c r="JNB112" s="1142"/>
      <c r="JNC112" s="1142"/>
      <c r="JND112" s="1142"/>
      <c r="JNE112" s="1142"/>
      <c r="JNF112" s="1142"/>
      <c r="JNG112" s="1142"/>
      <c r="JNH112" s="1142"/>
      <c r="JNI112" s="1142"/>
      <c r="JNJ112" s="1142"/>
      <c r="JNK112" s="1142"/>
      <c r="JNL112" s="1142"/>
      <c r="JNM112" s="1167"/>
      <c r="JNN112" s="1167"/>
      <c r="JNO112" s="1167"/>
      <c r="JNP112" s="1167"/>
      <c r="JNQ112" s="1167"/>
      <c r="JNR112" s="1167"/>
      <c r="JNS112" s="1167"/>
      <c r="JNT112" s="1167"/>
      <c r="JNU112" s="1167"/>
      <c r="JNV112" s="1142"/>
      <c r="JNW112" s="1142"/>
      <c r="JNX112" s="1142"/>
      <c r="JNY112" s="1142"/>
      <c r="JNZ112" s="1142"/>
      <c r="JOA112" s="1142"/>
      <c r="JOB112" s="1142"/>
      <c r="JOC112" s="1142"/>
      <c r="JOD112" s="1142"/>
      <c r="JOE112" s="1142"/>
      <c r="JOF112" s="1142"/>
      <c r="JOG112" s="1142"/>
      <c r="JOH112" s="1142"/>
      <c r="JOI112" s="1142"/>
      <c r="JOJ112" s="1142"/>
      <c r="JOK112" s="1142"/>
      <c r="JOL112" s="1142"/>
      <c r="JOM112" s="1142"/>
      <c r="JON112" s="1142"/>
      <c r="JOO112" s="1142"/>
      <c r="JOP112" s="1142"/>
      <c r="JOQ112" s="1142"/>
      <c r="JOR112" s="1142"/>
      <c r="JOS112" s="1167"/>
      <c r="JOT112" s="1167"/>
      <c r="JOU112" s="1167"/>
      <c r="JOV112" s="1167"/>
      <c r="JOW112" s="1167"/>
      <c r="JOX112" s="1167"/>
      <c r="JOY112" s="1167"/>
      <c r="JOZ112" s="1167"/>
      <c r="JPA112" s="1167"/>
      <c r="JPB112" s="1142"/>
      <c r="JPC112" s="1142"/>
      <c r="JPD112" s="1142"/>
      <c r="JPE112" s="1142"/>
      <c r="JPF112" s="1142"/>
      <c r="JPG112" s="1142"/>
      <c r="JPH112" s="1142"/>
      <c r="JPI112" s="1142"/>
      <c r="JPJ112" s="1142"/>
      <c r="JPK112" s="1142"/>
      <c r="JPL112" s="1142"/>
      <c r="JPM112" s="1142"/>
      <c r="JPN112" s="1142"/>
      <c r="JPO112" s="1142"/>
      <c r="JPP112" s="1142"/>
      <c r="JPQ112" s="1142"/>
      <c r="JPR112" s="1142"/>
      <c r="JPS112" s="1142"/>
      <c r="JPT112" s="1142"/>
      <c r="JPU112" s="1142"/>
      <c r="JPV112" s="1142"/>
      <c r="JPW112" s="1142"/>
      <c r="JPX112" s="1142"/>
      <c r="JPY112" s="1167"/>
      <c r="JPZ112" s="1167"/>
      <c r="JQA112" s="1167"/>
      <c r="JQB112" s="1167"/>
      <c r="JQC112" s="1167"/>
      <c r="JQD112" s="1167"/>
      <c r="JQE112" s="1167"/>
      <c r="JQF112" s="1167"/>
      <c r="JQG112" s="1167"/>
      <c r="JQH112" s="1142"/>
      <c r="JQI112" s="1142"/>
      <c r="JQJ112" s="1142"/>
      <c r="JQK112" s="1142"/>
      <c r="JQL112" s="1142"/>
      <c r="JQM112" s="1142"/>
      <c r="JQN112" s="1142"/>
      <c r="JQO112" s="1142"/>
      <c r="JQP112" s="1142"/>
      <c r="JQQ112" s="1142"/>
      <c r="JQR112" s="1142"/>
      <c r="JQS112" s="1142"/>
      <c r="JQT112" s="1142"/>
      <c r="JQU112" s="1142"/>
      <c r="JQV112" s="1142"/>
      <c r="JQW112" s="1142"/>
      <c r="JQX112" s="1142"/>
      <c r="JQY112" s="1142"/>
      <c r="JQZ112" s="1142"/>
      <c r="JRA112" s="1142"/>
      <c r="JRB112" s="1142"/>
      <c r="JRC112" s="1142"/>
      <c r="JRD112" s="1142"/>
      <c r="JRE112" s="1167"/>
      <c r="JRF112" s="1167"/>
      <c r="JRG112" s="1167"/>
      <c r="JRH112" s="1167"/>
      <c r="JRI112" s="1167"/>
      <c r="JRJ112" s="1167"/>
      <c r="JRK112" s="1167"/>
      <c r="JRL112" s="1167"/>
      <c r="JRM112" s="1167"/>
      <c r="JRN112" s="1142"/>
      <c r="JRO112" s="1142"/>
      <c r="JRP112" s="1142"/>
      <c r="JRQ112" s="1142"/>
      <c r="JRR112" s="1142"/>
      <c r="JRS112" s="1142"/>
      <c r="JRT112" s="1142"/>
      <c r="JRU112" s="1142"/>
      <c r="JRV112" s="1142"/>
      <c r="JRW112" s="1142"/>
      <c r="JRX112" s="1142"/>
      <c r="JRY112" s="1142"/>
      <c r="JRZ112" s="1142"/>
      <c r="JSA112" s="1142"/>
      <c r="JSB112" s="1142"/>
      <c r="JSC112" s="1142"/>
      <c r="JSD112" s="1142"/>
      <c r="JSE112" s="1142"/>
      <c r="JSF112" s="1142"/>
      <c r="JSG112" s="1142"/>
      <c r="JSH112" s="1142"/>
      <c r="JSI112" s="1142"/>
      <c r="JSJ112" s="1142"/>
      <c r="JSK112" s="1167"/>
      <c r="JSL112" s="1167"/>
      <c r="JSM112" s="1167"/>
      <c r="JSN112" s="1167"/>
      <c r="JSO112" s="1167"/>
      <c r="JSP112" s="1167"/>
      <c r="JSQ112" s="1167"/>
      <c r="JSR112" s="1167"/>
      <c r="JSS112" s="1167"/>
      <c r="JST112" s="1142"/>
      <c r="JSU112" s="1142"/>
      <c r="JSV112" s="1142"/>
      <c r="JSW112" s="1142"/>
      <c r="JSX112" s="1142"/>
      <c r="JSY112" s="1142"/>
      <c r="JSZ112" s="1142"/>
      <c r="JTA112" s="1142"/>
      <c r="JTB112" s="1142"/>
      <c r="JTC112" s="1142"/>
      <c r="JTD112" s="1142"/>
      <c r="JTE112" s="1142"/>
      <c r="JTF112" s="1142"/>
      <c r="JTG112" s="1142"/>
      <c r="JTH112" s="1142"/>
      <c r="JTI112" s="1142"/>
      <c r="JTJ112" s="1142"/>
      <c r="JTK112" s="1142"/>
      <c r="JTL112" s="1142"/>
      <c r="JTM112" s="1142"/>
      <c r="JTN112" s="1142"/>
      <c r="JTO112" s="1142"/>
      <c r="JTP112" s="1142"/>
      <c r="JTQ112" s="1167"/>
      <c r="JTR112" s="1167"/>
      <c r="JTS112" s="1167"/>
      <c r="JTT112" s="1167"/>
      <c r="JTU112" s="1167"/>
      <c r="JTV112" s="1167"/>
      <c r="JTW112" s="1167"/>
      <c r="JTX112" s="1167"/>
      <c r="JTY112" s="1167"/>
      <c r="JTZ112" s="1142"/>
      <c r="JUA112" s="1142"/>
      <c r="JUB112" s="1142"/>
      <c r="JUC112" s="1142"/>
      <c r="JUD112" s="1142"/>
      <c r="JUE112" s="1142"/>
      <c r="JUF112" s="1142"/>
      <c r="JUG112" s="1142"/>
      <c r="JUH112" s="1142"/>
      <c r="JUI112" s="1142"/>
      <c r="JUJ112" s="1142"/>
      <c r="JUK112" s="1142"/>
      <c r="JUL112" s="1142"/>
      <c r="JUM112" s="1142"/>
      <c r="JUN112" s="1142"/>
      <c r="JUO112" s="1142"/>
      <c r="JUP112" s="1142"/>
      <c r="JUQ112" s="1142"/>
      <c r="JUR112" s="1142"/>
      <c r="JUS112" s="1142"/>
      <c r="JUT112" s="1142"/>
      <c r="JUU112" s="1142"/>
      <c r="JUV112" s="1142"/>
      <c r="JUW112" s="1167"/>
      <c r="JUX112" s="1167"/>
      <c r="JUY112" s="1167"/>
      <c r="JUZ112" s="1167"/>
      <c r="JVA112" s="1167"/>
      <c r="JVB112" s="1167"/>
      <c r="JVC112" s="1167"/>
      <c r="JVD112" s="1167"/>
      <c r="JVE112" s="1167"/>
      <c r="JVF112" s="1142"/>
      <c r="JVG112" s="1142"/>
      <c r="JVH112" s="1142"/>
      <c r="JVI112" s="1142"/>
      <c r="JVJ112" s="1142"/>
      <c r="JVK112" s="1142"/>
      <c r="JVL112" s="1142"/>
      <c r="JVM112" s="1142"/>
      <c r="JVN112" s="1142"/>
      <c r="JVO112" s="1142"/>
      <c r="JVP112" s="1142"/>
      <c r="JVQ112" s="1142"/>
      <c r="JVR112" s="1142"/>
      <c r="JVS112" s="1142"/>
      <c r="JVT112" s="1142"/>
      <c r="JVU112" s="1142"/>
      <c r="JVV112" s="1142"/>
      <c r="JVW112" s="1142"/>
      <c r="JVX112" s="1142"/>
      <c r="JVY112" s="1142"/>
      <c r="JVZ112" s="1142"/>
      <c r="JWA112" s="1142"/>
      <c r="JWB112" s="1142"/>
      <c r="JWC112" s="1167"/>
      <c r="JWD112" s="1167"/>
      <c r="JWE112" s="1167"/>
      <c r="JWF112" s="1167"/>
      <c r="JWG112" s="1167"/>
      <c r="JWH112" s="1167"/>
      <c r="JWI112" s="1167"/>
      <c r="JWJ112" s="1167"/>
      <c r="JWK112" s="1167"/>
      <c r="JWL112" s="1142"/>
      <c r="JWM112" s="1142"/>
      <c r="JWN112" s="1142"/>
      <c r="JWO112" s="1142"/>
      <c r="JWP112" s="1142"/>
      <c r="JWQ112" s="1142"/>
      <c r="JWR112" s="1142"/>
      <c r="JWS112" s="1142"/>
      <c r="JWT112" s="1142"/>
      <c r="JWU112" s="1142"/>
      <c r="JWV112" s="1142"/>
      <c r="JWW112" s="1142"/>
      <c r="JWX112" s="1142"/>
      <c r="JWY112" s="1142"/>
      <c r="JWZ112" s="1142"/>
      <c r="JXA112" s="1142"/>
      <c r="JXB112" s="1142"/>
      <c r="JXC112" s="1142"/>
      <c r="JXD112" s="1142"/>
      <c r="JXE112" s="1142"/>
      <c r="JXF112" s="1142"/>
      <c r="JXG112" s="1142"/>
      <c r="JXH112" s="1142"/>
      <c r="JXI112" s="1167"/>
      <c r="JXJ112" s="1167"/>
      <c r="JXK112" s="1167"/>
      <c r="JXL112" s="1167"/>
      <c r="JXM112" s="1167"/>
      <c r="JXN112" s="1167"/>
      <c r="JXO112" s="1167"/>
      <c r="JXP112" s="1167"/>
      <c r="JXQ112" s="1167"/>
      <c r="JXR112" s="1142"/>
      <c r="JXS112" s="1142"/>
      <c r="JXT112" s="1142"/>
      <c r="JXU112" s="1142"/>
      <c r="JXV112" s="1142"/>
      <c r="JXW112" s="1142"/>
      <c r="JXX112" s="1142"/>
      <c r="JXY112" s="1142"/>
      <c r="JXZ112" s="1142"/>
      <c r="JYA112" s="1142"/>
      <c r="JYB112" s="1142"/>
      <c r="JYC112" s="1142"/>
      <c r="JYD112" s="1142"/>
      <c r="JYE112" s="1142"/>
      <c r="JYF112" s="1142"/>
      <c r="JYG112" s="1142"/>
      <c r="JYH112" s="1142"/>
      <c r="JYI112" s="1142"/>
      <c r="JYJ112" s="1142"/>
      <c r="JYK112" s="1142"/>
      <c r="JYL112" s="1142"/>
      <c r="JYM112" s="1142"/>
      <c r="JYN112" s="1142"/>
      <c r="JYO112" s="1167"/>
      <c r="JYP112" s="1167"/>
      <c r="JYQ112" s="1167"/>
      <c r="JYR112" s="1167"/>
      <c r="JYS112" s="1167"/>
      <c r="JYT112" s="1167"/>
      <c r="JYU112" s="1167"/>
      <c r="JYV112" s="1167"/>
      <c r="JYW112" s="1167"/>
      <c r="JYX112" s="1142"/>
      <c r="JYY112" s="1142"/>
      <c r="JYZ112" s="1142"/>
      <c r="JZA112" s="1142"/>
      <c r="JZB112" s="1142"/>
      <c r="JZC112" s="1142"/>
      <c r="JZD112" s="1142"/>
      <c r="JZE112" s="1142"/>
      <c r="JZF112" s="1142"/>
      <c r="JZG112" s="1142"/>
      <c r="JZH112" s="1142"/>
      <c r="JZI112" s="1142"/>
      <c r="JZJ112" s="1142"/>
      <c r="JZK112" s="1142"/>
      <c r="JZL112" s="1142"/>
      <c r="JZM112" s="1142"/>
      <c r="JZN112" s="1142"/>
      <c r="JZO112" s="1142"/>
      <c r="JZP112" s="1142"/>
      <c r="JZQ112" s="1142"/>
      <c r="JZR112" s="1142"/>
      <c r="JZS112" s="1142"/>
      <c r="JZT112" s="1142"/>
      <c r="JZU112" s="1167"/>
      <c r="JZV112" s="1167"/>
      <c r="JZW112" s="1167"/>
      <c r="JZX112" s="1167"/>
      <c r="JZY112" s="1167"/>
      <c r="JZZ112" s="1167"/>
      <c r="KAA112" s="1167"/>
      <c r="KAB112" s="1167"/>
      <c r="KAC112" s="1167"/>
      <c r="KAD112" s="1142"/>
      <c r="KAE112" s="1142"/>
      <c r="KAF112" s="1142"/>
      <c r="KAG112" s="1142"/>
      <c r="KAH112" s="1142"/>
      <c r="KAI112" s="1142"/>
      <c r="KAJ112" s="1142"/>
      <c r="KAK112" s="1142"/>
      <c r="KAL112" s="1142"/>
      <c r="KAM112" s="1142"/>
      <c r="KAN112" s="1142"/>
      <c r="KAO112" s="1142"/>
      <c r="KAP112" s="1142"/>
      <c r="KAQ112" s="1142"/>
      <c r="KAR112" s="1142"/>
      <c r="KAS112" s="1142"/>
      <c r="KAT112" s="1142"/>
      <c r="KAU112" s="1142"/>
      <c r="KAV112" s="1142"/>
      <c r="KAW112" s="1142"/>
      <c r="KAX112" s="1142"/>
      <c r="KAY112" s="1142"/>
      <c r="KAZ112" s="1142"/>
      <c r="KBA112" s="1167"/>
      <c r="KBB112" s="1167"/>
      <c r="KBC112" s="1167"/>
      <c r="KBD112" s="1167"/>
      <c r="KBE112" s="1167"/>
      <c r="KBF112" s="1167"/>
      <c r="KBG112" s="1167"/>
      <c r="KBH112" s="1167"/>
      <c r="KBI112" s="1167"/>
      <c r="KBJ112" s="1142"/>
      <c r="KBK112" s="1142"/>
      <c r="KBL112" s="1142"/>
      <c r="KBM112" s="1142"/>
      <c r="KBN112" s="1142"/>
      <c r="KBO112" s="1142"/>
      <c r="KBP112" s="1142"/>
      <c r="KBQ112" s="1142"/>
      <c r="KBR112" s="1142"/>
      <c r="KBS112" s="1142"/>
      <c r="KBT112" s="1142"/>
      <c r="KBU112" s="1142"/>
      <c r="KBV112" s="1142"/>
      <c r="KBW112" s="1142"/>
      <c r="KBX112" s="1142"/>
      <c r="KBY112" s="1142"/>
      <c r="KBZ112" s="1142"/>
      <c r="KCA112" s="1142"/>
      <c r="KCB112" s="1142"/>
      <c r="KCC112" s="1142"/>
      <c r="KCD112" s="1142"/>
      <c r="KCE112" s="1142"/>
      <c r="KCF112" s="1142"/>
      <c r="KCG112" s="1167"/>
      <c r="KCH112" s="1167"/>
      <c r="KCI112" s="1167"/>
      <c r="KCJ112" s="1167"/>
      <c r="KCK112" s="1167"/>
      <c r="KCL112" s="1167"/>
      <c r="KCM112" s="1167"/>
      <c r="KCN112" s="1167"/>
      <c r="KCO112" s="1167"/>
      <c r="KCP112" s="1142"/>
      <c r="KCQ112" s="1142"/>
      <c r="KCR112" s="1142"/>
      <c r="KCS112" s="1142"/>
      <c r="KCT112" s="1142"/>
      <c r="KCU112" s="1142"/>
      <c r="KCV112" s="1142"/>
      <c r="KCW112" s="1142"/>
      <c r="KCX112" s="1142"/>
      <c r="KCY112" s="1142"/>
      <c r="KCZ112" s="1142"/>
      <c r="KDA112" s="1142"/>
      <c r="KDB112" s="1142"/>
      <c r="KDC112" s="1142"/>
      <c r="KDD112" s="1142"/>
      <c r="KDE112" s="1142"/>
      <c r="KDF112" s="1142"/>
      <c r="KDG112" s="1142"/>
      <c r="KDH112" s="1142"/>
      <c r="KDI112" s="1142"/>
      <c r="KDJ112" s="1142"/>
      <c r="KDK112" s="1142"/>
      <c r="KDL112" s="1142"/>
      <c r="KDM112" s="1167"/>
      <c r="KDN112" s="1167"/>
      <c r="KDO112" s="1167"/>
      <c r="KDP112" s="1167"/>
      <c r="KDQ112" s="1167"/>
      <c r="KDR112" s="1167"/>
      <c r="KDS112" s="1167"/>
      <c r="KDT112" s="1167"/>
      <c r="KDU112" s="1167"/>
      <c r="KDV112" s="1142"/>
      <c r="KDW112" s="1142"/>
      <c r="KDX112" s="1142"/>
      <c r="KDY112" s="1142"/>
      <c r="KDZ112" s="1142"/>
      <c r="KEA112" s="1142"/>
      <c r="KEB112" s="1142"/>
      <c r="KEC112" s="1142"/>
      <c r="KED112" s="1142"/>
      <c r="KEE112" s="1142"/>
      <c r="KEF112" s="1142"/>
      <c r="KEG112" s="1142"/>
      <c r="KEH112" s="1142"/>
      <c r="KEI112" s="1142"/>
      <c r="KEJ112" s="1142"/>
      <c r="KEK112" s="1142"/>
      <c r="KEL112" s="1142"/>
      <c r="KEM112" s="1142"/>
      <c r="KEN112" s="1142"/>
      <c r="KEO112" s="1142"/>
      <c r="KEP112" s="1142"/>
      <c r="KEQ112" s="1142"/>
      <c r="KER112" s="1142"/>
      <c r="KES112" s="1167"/>
      <c r="KET112" s="1167"/>
      <c r="KEU112" s="1167"/>
      <c r="KEV112" s="1167"/>
      <c r="KEW112" s="1167"/>
      <c r="KEX112" s="1167"/>
      <c r="KEY112" s="1167"/>
      <c r="KEZ112" s="1167"/>
      <c r="KFA112" s="1167"/>
      <c r="KFB112" s="1142"/>
      <c r="KFC112" s="1142"/>
      <c r="KFD112" s="1142"/>
      <c r="KFE112" s="1142"/>
      <c r="KFF112" s="1142"/>
      <c r="KFG112" s="1142"/>
      <c r="KFH112" s="1142"/>
      <c r="KFI112" s="1142"/>
      <c r="KFJ112" s="1142"/>
      <c r="KFK112" s="1142"/>
      <c r="KFL112" s="1142"/>
      <c r="KFM112" s="1142"/>
      <c r="KFN112" s="1142"/>
      <c r="KFO112" s="1142"/>
      <c r="KFP112" s="1142"/>
      <c r="KFQ112" s="1142"/>
      <c r="KFR112" s="1142"/>
      <c r="KFS112" s="1142"/>
      <c r="KFT112" s="1142"/>
      <c r="KFU112" s="1142"/>
      <c r="KFV112" s="1142"/>
      <c r="KFW112" s="1142"/>
      <c r="KFX112" s="1142"/>
      <c r="KFY112" s="1167"/>
      <c r="KFZ112" s="1167"/>
      <c r="KGA112" s="1167"/>
      <c r="KGB112" s="1167"/>
      <c r="KGC112" s="1167"/>
      <c r="KGD112" s="1167"/>
      <c r="KGE112" s="1167"/>
      <c r="KGF112" s="1167"/>
      <c r="KGG112" s="1167"/>
      <c r="KGH112" s="1142"/>
      <c r="KGI112" s="1142"/>
      <c r="KGJ112" s="1142"/>
      <c r="KGK112" s="1142"/>
      <c r="KGL112" s="1142"/>
      <c r="KGM112" s="1142"/>
      <c r="KGN112" s="1142"/>
      <c r="KGO112" s="1142"/>
      <c r="KGP112" s="1142"/>
      <c r="KGQ112" s="1142"/>
      <c r="KGR112" s="1142"/>
      <c r="KGS112" s="1142"/>
      <c r="KGT112" s="1142"/>
      <c r="KGU112" s="1142"/>
      <c r="KGV112" s="1142"/>
      <c r="KGW112" s="1142"/>
      <c r="KGX112" s="1142"/>
      <c r="KGY112" s="1142"/>
      <c r="KGZ112" s="1142"/>
      <c r="KHA112" s="1142"/>
      <c r="KHB112" s="1142"/>
      <c r="KHC112" s="1142"/>
      <c r="KHD112" s="1142"/>
      <c r="KHE112" s="1167"/>
      <c r="KHF112" s="1167"/>
      <c r="KHG112" s="1167"/>
      <c r="KHH112" s="1167"/>
      <c r="KHI112" s="1167"/>
      <c r="KHJ112" s="1167"/>
      <c r="KHK112" s="1167"/>
      <c r="KHL112" s="1167"/>
      <c r="KHM112" s="1167"/>
      <c r="KHN112" s="1142"/>
      <c r="KHO112" s="1142"/>
      <c r="KHP112" s="1142"/>
      <c r="KHQ112" s="1142"/>
      <c r="KHR112" s="1142"/>
      <c r="KHS112" s="1142"/>
      <c r="KHT112" s="1142"/>
      <c r="KHU112" s="1142"/>
      <c r="KHV112" s="1142"/>
      <c r="KHW112" s="1142"/>
      <c r="KHX112" s="1142"/>
      <c r="KHY112" s="1142"/>
      <c r="KHZ112" s="1142"/>
      <c r="KIA112" s="1142"/>
      <c r="KIB112" s="1142"/>
      <c r="KIC112" s="1142"/>
      <c r="KID112" s="1142"/>
      <c r="KIE112" s="1142"/>
      <c r="KIF112" s="1142"/>
      <c r="KIG112" s="1142"/>
      <c r="KIH112" s="1142"/>
      <c r="KII112" s="1142"/>
      <c r="KIJ112" s="1142"/>
      <c r="KIK112" s="1167"/>
      <c r="KIL112" s="1167"/>
      <c r="KIM112" s="1167"/>
      <c r="KIN112" s="1167"/>
      <c r="KIO112" s="1167"/>
      <c r="KIP112" s="1167"/>
      <c r="KIQ112" s="1167"/>
      <c r="KIR112" s="1167"/>
      <c r="KIS112" s="1167"/>
      <c r="KIT112" s="1142"/>
      <c r="KIU112" s="1142"/>
      <c r="KIV112" s="1142"/>
      <c r="KIW112" s="1142"/>
      <c r="KIX112" s="1142"/>
      <c r="KIY112" s="1142"/>
      <c r="KIZ112" s="1142"/>
      <c r="KJA112" s="1142"/>
      <c r="KJB112" s="1142"/>
      <c r="KJC112" s="1142"/>
      <c r="KJD112" s="1142"/>
      <c r="KJE112" s="1142"/>
      <c r="KJF112" s="1142"/>
      <c r="KJG112" s="1142"/>
      <c r="KJH112" s="1142"/>
      <c r="KJI112" s="1142"/>
      <c r="KJJ112" s="1142"/>
      <c r="KJK112" s="1142"/>
      <c r="KJL112" s="1142"/>
      <c r="KJM112" s="1142"/>
      <c r="KJN112" s="1142"/>
      <c r="KJO112" s="1142"/>
      <c r="KJP112" s="1142"/>
      <c r="KJQ112" s="1167"/>
      <c r="KJR112" s="1167"/>
      <c r="KJS112" s="1167"/>
      <c r="KJT112" s="1167"/>
      <c r="KJU112" s="1167"/>
      <c r="KJV112" s="1167"/>
      <c r="KJW112" s="1167"/>
      <c r="KJX112" s="1167"/>
      <c r="KJY112" s="1167"/>
      <c r="KJZ112" s="1142"/>
      <c r="KKA112" s="1142"/>
      <c r="KKB112" s="1142"/>
      <c r="KKC112" s="1142"/>
      <c r="KKD112" s="1142"/>
      <c r="KKE112" s="1142"/>
      <c r="KKF112" s="1142"/>
      <c r="KKG112" s="1142"/>
      <c r="KKH112" s="1142"/>
      <c r="KKI112" s="1142"/>
      <c r="KKJ112" s="1142"/>
      <c r="KKK112" s="1142"/>
      <c r="KKL112" s="1142"/>
      <c r="KKM112" s="1142"/>
      <c r="KKN112" s="1142"/>
      <c r="KKO112" s="1142"/>
      <c r="KKP112" s="1142"/>
      <c r="KKQ112" s="1142"/>
      <c r="KKR112" s="1142"/>
      <c r="KKS112" s="1142"/>
      <c r="KKT112" s="1142"/>
      <c r="KKU112" s="1142"/>
      <c r="KKV112" s="1142"/>
      <c r="KKW112" s="1167"/>
      <c r="KKX112" s="1167"/>
      <c r="KKY112" s="1167"/>
      <c r="KKZ112" s="1167"/>
      <c r="KLA112" s="1167"/>
      <c r="KLB112" s="1167"/>
      <c r="KLC112" s="1167"/>
      <c r="KLD112" s="1167"/>
      <c r="KLE112" s="1167"/>
      <c r="KLF112" s="1142"/>
      <c r="KLG112" s="1142"/>
      <c r="KLH112" s="1142"/>
      <c r="KLI112" s="1142"/>
      <c r="KLJ112" s="1142"/>
      <c r="KLK112" s="1142"/>
      <c r="KLL112" s="1142"/>
      <c r="KLM112" s="1142"/>
      <c r="KLN112" s="1142"/>
      <c r="KLO112" s="1142"/>
      <c r="KLP112" s="1142"/>
      <c r="KLQ112" s="1142"/>
      <c r="KLR112" s="1142"/>
      <c r="KLS112" s="1142"/>
      <c r="KLT112" s="1142"/>
      <c r="KLU112" s="1142"/>
      <c r="KLV112" s="1142"/>
      <c r="KLW112" s="1142"/>
      <c r="KLX112" s="1142"/>
      <c r="KLY112" s="1142"/>
      <c r="KLZ112" s="1142"/>
      <c r="KMA112" s="1142"/>
      <c r="KMB112" s="1142"/>
      <c r="KMC112" s="1167"/>
      <c r="KMD112" s="1167"/>
      <c r="KME112" s="1167"/>
      <c r="KMF112" s="1167"/>
      <c r="KMG112" s="1167"/>
      <c r="KMH112" s="1167"/>
      <c r="KMI112" s="1167"/>
      <c r="KMJ112" s="1167"/>
      <c r="KMK112" s="1167"/>
      <c r="KML112" s="1142"/>
      <c r="KMM112" s="1142"/>
      <c r="KMN112" s="1142"/>
      <c r="KMO112" s="1142"/>
      <c r="KMP112" s="1142"/>
      <c r="KMQ112" s="1142"/>
      <c r="KMR112" s="1142"/>
      <c r="KMS112" s="1142"/>
      <c r="KMT112" s="1142"/>
      <c r="KMU112" s="1142"/>
      <c r="KMV112" s="1142"/>
      <c r="KMW112" s="1142"/>
      <c r="KMX112" s="1142"/>
      <c r="KMY112" s="1142"/>
      <c r="KMZ112" s="1142"/>
      <c r="KNA112" s="1142"/>
      <c r="KNB112" s="1142"/>
      <c r="KNC112" s="1142"/>
      <c r="KND112" s="1142"/>
      <c r="KNE112" s="1142"/>
      <c r="KNF112" s="1142"/>
      <c r="KNG112" s="1142"/>
      <c r="KNH112" s="1142"/>
      <c r="KNI112" s="1167"/>
      <c r="KNJ112" s="1167"/>
      <c r="KNK112" s="1167"/>
      <c r="KNL112" s="1167"/>
      <c r="KNM112" s="1167"/>
      <c r="KNN112" s="1167"/>
      <c r="KNO112" s="1167"/>
      <c r="KNP112" s="1167"/>
      <c r="KNQ112" s="1167"/>
      <c r="KNR112" s="1142"/>
      <c r="KNS112" s="1142"/>
      <c r="KNT112" s="1142"/>
      <c r="KNU112" s="1142"/>
      <c r="KNV112" s="1142"/>
      <c r="KNW112" s="1142"/>
      <c r="KNX112" s="1142"/>
      <c r="KNY112" s="1142"/>
      <c r="KNZ112" s="1142"/>
      <c r="KOA112" s="1142"/>
      <c r="KOB112" s="1142"/>
      <c r="KOC112" s="1142"/>
      <c r="KOD112" s="1142"/>
      <c r="KOE112" s="1142"/>
      <c r="KOF112" s="1142"/>
      <c r="KOG112" s="1142"/>
      <c r="KOH112" s="1142"/>
      <c r="KOI112" s="1142"/>
      <c r="KOJ112" s="1142"/>
      <c r="KOK112" s="1142"/>
      <c r="KOL112" s="1142"/>
      <c r="KOM112" s="1142"/>
      <c r="KON112" s="1142"/>
      <c r="KOO112" s="1167"/>
      <c r="KOP112" s="1167"/>
      <c r="KOQ112" s="1167"/>
      <c r="KOR112" s="1167"/>
      <c r="KOS112" s="1167"/>
      <c r="KOT112" s="1167"/>
      <c r="KOU112" s="1167"/>
      <c r="KOV112" s="1167"/>
      <c r="KOW112" s="1167"/>
      <c r="KOX112" s="1142"/>
      <c r="KOY112" s="1142"/>
      <c r="KOZ112" s="1142"/>
      <c r="KPA112" s="1142"/>
      <c r="KPB112" s="1142"/>
      <c r="KPC112" s="1142"/>
      <c r="KPD112" s="1142"/>
      <c r="KPE112" s="1142"/>
      <c r="KPF112" s="1142"/>
      <c r="KPG112" s="1142"/>
      <c r="KPH112" s="1142"/>
      <c r="KPI112" s="1142"/>
      <c r="KPJ112" s="1142"/>
      <c r="KPK112" s="1142"/>
      <c r="KPL112" s="1142"/>
      <c r="KPM112" s="1142"/>
      <c r="KPN112" s="1142"/>
      <c r="KPO112" s="1142"/>
      <c r="KPP112" s="1142"/>
      <c r="KPQ112" s="1142"/>
      <c r="KPR112" s="1142"/>
      <c r="KPS112" s="1142"/>
      <c r="KPT112" s="1142"/>
      <c r="KPU112" s="1167"/>
      <c r="KPV112" s="1167"/>
      <c r="KPW112" s="1167"/>
      <c r="KPX112" s="1167"/>
      <c r="KPY112" s="1167"/>
      <c r="KPZ112" s="1167"/>
      <c r="KQA112" s="1167"/>
      <c r="KQB112" s="1167"/>
      <c r="KQC112" s="1167"/>
      <c r="KQD112" s="1142"/>
      <c r="KQE112" s="1142"/>
      <c r="KQF112" s="1142"/>
      <c r="KQG112" s="1142"/>
      <c r="KQH112" s="1142"/>
      <c r="KQI112" s="1142"/>
      <c r="KQJ112" s="1142"/>
      <c r="KQK112" s="1142"/>
      <c r="KQL112" s="1142"/>
      <c r="KQM112" s="1142"/>
      <c r="KQN112" s="1142"/>
      <c r="KQO112" s="1142"/>
      <c r="KQP112" s="1142"/>
      <c r="KQQ112" s="1142"/>
      <c r="KQR112" s="1142"/>
      <c r="KQS112" s="1142"/>
      <c r="KQT112" s="1142"/>
      <c r="KQU112" s="1142"/>
      <c r="KQV112" s="1142"/>
      <c r="KQW112" s="1142"/>
      <c r="KQX112" s="1142"/>
      <c r="KQY112" s="1142"/>
      <c r="KQZ112" s="1142"/>
      <c r="KRA112" s="1167"/>
      <c r="KRB112" s="1167"/>
      <c r="KRC112" s="1167"/>
      <c r="KRD112" s="1167"/>
      <c r="KRE112" s="1167"/>
      <c r="KRF112" s="1167"/>
      <c r="KRG112" s="1167"/>
      <c r="KRH112" s="1167"/>
      <c r="KRI112" s="1167"/>
      <c r="KRJ112" s="1142"/>
      <c r="KRK112" s="1142"/>
      <c r="KRL112" s="1142"/>
      <c r="KRM112" s="1142"/>
      <c r="KRN112" s="1142"/>
      <c r="KRO112" s="1142"/>
      <c r="KRP112" s="1142"/>
      <c r="KRQ112" s="1142"/>
      <c r="KRR112" s="1142"/>
      <c r="KRS112" s="1142"/>
      <c r="KRT112" s="1142"/>
      <c r="KRU112" s="1142"/>
      <c r="KRV112" s="1142"/>
      <c r="KRW112" s="1142"/>
      <c r="KRX112" s="1142"/>
      <c r="KRY112" s="1142"/>
      <c r="KRZ112" s="1142"/>
      <c r="KSA112" s="1142"/>
      <c r="KSB112" s="1142"/>
      <c r="KSC112" s="1142"/>
      <c r="KSD112" s="1142"/>
      <c r="KSE112" s="1142"/>
      <c r="KSF112" s="1142"/>
      <c r="KSG112" s="1167"/>
      <c r="KSH112" s="1167"/>
      <c r="KSI112" s="1167"/>
      <c r="KSJ112" s="1167"/>
      <c r="KSK112" s="1167"/>
      <c r="KSL112" s="1167"/>
      <c r="KSM112" s="1167"/>
      <c r="KSN112" s="1167"/>
      <c r="KSO112" s="1167"/>
      <c r="KSP112" s="1142"/>
      <c r="KSQ112" s="1142"/>
      <c r="KSR112" s="1142"/>
      <c r="KSS112" s="1142"/>
      <c r="KST112" s="1142"/>
      <c r="KSU112" s="1142"/>
      <c r="KSV112" s="1142"/>
      <c r="KSW112" s="1142"/>
      <c r="KSX112" s="1142"/>
      <c r="KSY112" s="1142"/>
      <c r="KSZ112" s="1142"/>
      <c r="KTA112" s="1142"/>
      <c r="KTB112" s="1142"/>
      <c r="KTC112" s="1142"/>
      <c r="KTD112" s="1142"/>
      <c r="KTE112" s="1142"/>
      <c r="KTF112" s="1142"/>
      <c r="KTG112" s="1142"/>
      <c r="KTH112" s="1142"/>
      <c r="KTI112" s="1142"/>
      <c r="KTJ112" s="1142"/>
      <c r="KTK112" s="1142"/>
      <c r="KTL112" s="1142"/>
      <c r="KTM112" s="1167"/>
      <c r="KTN112" s="1167"/>
      <c r="KTO112" s="1167"/>
      <c r="KTP112" s="1167"/>
      <c r="KTQ112" s="1167"/>
      <c r="KTR112" s="1167"/>
      <c r="KTS112" s="1167"/>
      <c r="KTT112" s="1167"/>
      <c r="KTU112" s="1167"/>
      <c r="KTV112" s="1142"/>
      <c r="KTW112" s="1142"/>
      <c r="KTX112" s="1142"/>
      <c r="KTY112" s="1142"/>
      <c r="KTZ112" s="1142"/>
      <c r="KUA112" s="1142"/>
      <c r="KUB112" s="1142"/>
      <c r="KUC112" s="1142"/>
      <c r="KUD112" s="1142"/>
      <c r="KUE112" s="1142"/>
      <c r="KUF112" s="1142"/>
      <c r="KUG112" s="1142"/>
      <c r="KUH112" s="1142"/>
      <c r="KUI112" s="1142"/>
      <c r="KUJ112" s="1142"/>
      <c r="KUK112" s="1142"/>
      <c r="KUL112" s="1142"/>
      <c r="KUM112" s="1142"/>
      <c r="KUN112" s="1142"/>
      <c r="KUO112" s="1142"/>
      <c r="KUP112" s="1142"/>
      <c r="KUQ112" s="1142"/>
      <c r="KUR112" s="1142"/>
      <c r="KUS112" s="1167"/>
      <c r="KUT112" s="1167"/>
      <c r="KUU112" s="1167"/>
      <c r="KUV112" s="1167"/>
      <c r="KUW112" s="1167"/>
      <c r="KUX112" s="1167"/>
      <c r="KUY112" s="1167"/>
      <c r="KUZ112" s="1167"/>
      <c r="KVA112" s="1167"/>
      <c r="KVB112" s="1142"/>
      <c r="KVC112" s="1142"/>
      <c r="KVD112" s="1142"/>
      <c r="KVE112" s="1142"/>
      <c r="KVF112" s="1142"/>
      <c r="KVG112" s="1142"/>
      <c r="KVH112" s="1142"/>
      <c r="KVI112" s="1142"/>
      <c r="KVJ112" s="1142"/>
      <c r="KVK112" s="1142"/>
      <c r="KVL112" s="1142"/>
      <c r="KVM112" s="1142"/>
      <c r="KVN112" s="1142"/>
      <c r="KVO112" s="1142"/>
      <c r="KVP112" s="1142"/>
      <c r="KVQ112" s="1142"/>
      <c r="KVR112" s="1142"/>
      <c r="KVS112" s="1142"/>
      <c r="KVT112" s="1142"/>
      <c r="KVU112" s="1142"/>
      <c r="KVV112" s="1142"/>
      <c r="KVW112" s="1142"/>
      <c r="KVX112" s="1142"/>
      <c r="KVY112" s="1167"/>
      <c r="KVZ112" s="1167"/>
      <c r="KWA112" s="1167"/>
      <c r="KWB112" s="1167"/>
      <c r="KWC112" s="1167"/>
      <c r="KWD112" s="1167"/>
      <c r="KWE112" s="1167"/>
      <c r="KWF112" s="1167"/>
      <c r="KWG112" s="1167"/>
      <c r="KWH112" s="1142"/>
      <c r="KWI112" s="1142"/>
      <c r="KWJ112" s="1142"/>
      <c r="KWK112" s="1142"/>
      <c r="KWL112" s="1142"/>
      <c r="KWM112" s="1142"/>
      <c r="KWN112" s="1142"/>
      <c r="KWO112" s="1142"/>
      <c r="KWP112" s="1142"/>
      <c r="KWQ112" s="1142"/>
      <c r="KWR112" s="1142"/>
      <c r="KWS112" s="1142"/>
      <c r="KWT112" s="1142"/>
      <c r="KWU112" s="1142"/>
      <c r="KWV112" s="1142"/>
      <c r="KWW112" s="1142"/>
      <c r="KWX112" s="1142"/>
      <c r="KWY112" s="1142"/>
      <c r="KWZ112" s="1142"/>
      <c r="KXA112" s="1142"/>
      <c r="KXB112" s="1142"/>
      <c r="KXC112" s="1142"/>
      <c r="KXD112" s="1142"/>
      <c r="KXE112" s="1167"/>
      <c r="KXF112" s="1167"/>
      <c r="KXG112" s="1167"/>
      <c r="KXH112" s="1167"/>
      <c r="KXI112" s="1167"/>
      <c r="KXJ112" s="1167"/>
      <c r="KXK112" s="1167"/>
      <c r="KXL112" s="1167"/>
      <c r="KXM112" s="1167"/>
      <c r="KXN112" s="1142"/>
      <c r="KXO112" s="1142"/>
      <c r="KXP112" s="1142"/>
      <c r="KXQ112" s="1142"/>
      <c r="KXR112" s="1142"/>
      <c r="KXS112" s="1142"/>
      <c r="KXT112" s="1142"/>
      <c r="KXU112" s="1142"/>
      <c r="KXV112" s="1142"/>
      <c r="KXW112" s="1142"/>
      <c r="KXX112" s="1142"/>
      <c r="KXY112" s="1142"/>
      <c r="KXZ112" s="1142"/>
      <c r="KYA112" s="1142"/>
      <c r="KYB112" s="1142"/>
      <c r="KYC112" s="1142"/>
      <c r="KYD112" s="1142"/>
      <c r="KYE112" s="1142"/>
      <c r="KYF112" s="1142"/>
      <c r="KYG112" s="1142"/>
      <c r="KYH112" s="1142"/>
      <c r="KYI112" s="1142"/>
      <c r="KYJ112" s="1142"/>
      <c r="KYK112" s="1167"/>
      <c r="KYL112" s="1167"/>
      <c r="KYM112" s="1167"/>
      <c r="KYN112" s="1167"/>
      <c r="KYO112" s="1167"/>
      <c r="KYP112" s="1167"/>
      <c r="KYQ112" s="1167"/>
      <c r="KYR112" s="1167"/>
      <c r="KYS112" s="1167"/>
      <c r="KYT112" s="1142"/>
      <c r="KYU112" s="1142"/>
      <c r="KYV112" s="1142"/>
      <c r="KYW112" s="1142"/>
      <c r="KYX112" s="1142"/>
      <c r="KYY112" s="1142"/>
      <c r="KYZ112" s="1142"/>
      <c r="KZA112" s="1142"/>
      <c r="KZB112" s="1142"/>
      <c r="KZC112" s="1142"/>
      <c r="KZD112" s="1142"/>
      <c r="KZE112" s="1142"/>
      <c r="KZF112" s="1142"/>
      <c r="KZG112" s="1142"/>
      <c r="KZH112" s="1142"/>
      <c r="KZI112" s="1142"/>
      <c r="KZJ112" s="1142"/>
      <c r="KZK112" s="1142"/>
      <c r="KZL112" s="1142"/>
      <c r="KZM112" s="1142"/>
      <c r="KZN112" s="1142"/>
      <c r="KZO112" s="1142"/>
      <c r="KZP112" s="1142"/>
      <c r="KZQ112" s="1167"/>
      <c r="KZR112" s="1167"/>
      <c r="KZS112" s="1167"/>
      <c r="KZT112" s="1167"/>
      <c r="KZU112" s="1167"/>
      <c r="KZV112" s="1167"/>
      <c r="KZW112" s="1167"/>
      <c r="KZX112" s="1167"/>
      <c r="KZY112" s="1167"/>
      <c r="KZZ112" s="1142"/>
      <c r="LAA112" s="1142"/>
      <c r="LAB112" s="1142"/>
      <c r="LAC112" s="1142"/>
      <c r="LAD112" s="1142"/>
      <c r="LAE112" s="1142"/>
      <c r="LAF112" s="1142"/>
      <c r="LAG112" s="1142"/>
      <c r="LAH112" s="1142"/>
      <c r="LAI112" s="1142"/>
      <c r="LAJ112" s="1142"/>
      <c r="LAK112" s="1142"/>
      <c r="LAL112" s="1142"/>
      <c r="LAM112" s="1142"/>
      <c r="LAN112" s="1142"/>
      <c r="LAO112" s="1142"/>
      <c r="LAP112" s="1142"/>
      <c r="LAQ112" s="1142"/>
      <c r="LAR112" s="1142"/>
      <c r="LAS112" s="1142"/>
      <c r="LAT112" s="1142"/>
      <c r="LAU112" s="1142"/>
      <c r="LAV112" s="1142"/>
      <c r="LAW112" s="1167"/>
      <c r="LAX112" s="1167"/>
      <c r="LAY112" s="1167"/>
      <c r="LAZ112" s="1167"/>
      <c r="LBA112" s="1167"/>
      <c r="LBB112" s="1167"/>
      <c r="LBC112" s="1167"/>
      <c r="LBD112" s="1167"/>
      <c r="LBE112" s="1167"/>
      <c r="LBF112" s="1142"/>
      <c r="LBG112" s="1142"/>
      <c r="LBH112" s="1142"/>
      <c r="LBI112" s="1142"/>
      <c r="LBJ112" s="1142"/>
      <c r="LBK112" s="1142"/>
      <c r="LBL112" s="1142"/>
      <c r="LBM112" s="1142"/>
      <c r="LBN112" s="1142"/>
      <c r="LBO112" s="1142"/>
      <c r="LBP112" s="1142"/>
      <c r="LBQ112" s="1142"/>
      <c r="LBR112" s="1142"/>
      <c r="LBS112" s="1142"/>
      <c r="LBT112" s="1142"/>
      <c r="LBU112" s="1142"/>
      <c r="LBV112" s="1142"/>
      <c r="LBW112" s="1142"/>
      <c r="LBX112" s="1142"/>
      <c r="LBY112" s="1142"/>
      <c r="LBZ112" s="1142"/>
      <c r="LCA112" s="1142"/>
      <c r="LCB112" s="1142"/>
      <c r="LCC112" s="1167"/>
      <c r="LCD112" s="1167"/>
      <c r="LCE112" s="1167"/>
      <c r="LCF112" s="1167"/>
      <c r="LCG112" s="1167"/>
      <c r="LCH112" s="1167"/>
      <c r="LCI112" s="1167"/>
      <c r="LCJ112" s="1167"/>
      <c r="LCK112" s="1167"/>
      <c r="LCL112" s="1142"/>
      <c r="LCM112" s="1142"/>
      <c r="LCN112" s="1142"/>
      <c r="LCO112" s="1142"/>
      <c r="LCP112" s="1142"/>
      <c r="LCQ112" s="1142"/>
      <c r="LCR112" s="1142"/>
      <c r="LCS112" s="1142"/>
      <c r="LCT112" s="1142"/>
      <c r="LCU112" s="1142"/>
      <c r="LCV112" s="1142"/>
      <c r="LCW112" s="1142"/>
      <c r="LCX112" s="1142"/>
      <c r="LCY112" s="1142"/>
      <c r="LCZ112" s="1142"/>
      <c r="LDA112" s="1142"/>
      <c r="LDB112" s="1142"/>
      <c r="LDC112" s="1142"/>
      <c r="LDD112" s="1142"/>
      <c r="LDE112" s="1142"/>
      <c r="LDF112" s="1142"/>
      <c r="LDG112" s="1142"/>
      <c r="LDH112" s="1142"/>
      <c r="LDI112" s="1167"/>
      <c r="LDJ112" s="1167"/>
      <c r="LDK112" s="1167"/>
      <c r="LDL112" s="1167"/>
      <c r="LDM112" s="1167"/>
      <c r="LDN112" s="1167"/>
      <c r="LDO112" s="1167"/>
      <c r="LDP112" s="1167"/>
      <c r="LDQ112" s="1167"/>
      <c r="LDR112" s="1142"/>
      <c r="LDS112" s="1142"/>
      <c r="LDT112" s="1142"/>
      <c r="LDU112" s="1142"/>
      <c r="LDV112" s="1142"/>
      <c r="LDW112" s="1142"/>
      <c r="LDX112" s="1142"/>
      <c r="LDY112" s="1142"/>
      <c r="LDZ112" s="1142"/>
      <c r="LEA112" s="1142"/>
      <c r="LEB112" s="1142"/>
      <c r="LEC112" s="1142"/>
      <c r="LED112" s="1142"/>
      <c r="LEE112" s="1142"/>
      <c r="LEF112" s="1142"/>
      <c r="LEG112" s="1142"/>
      <c r="LEH112" s="1142"/>
      <c r="LEI112" s="1142"/>
      <c r="LEJ112" s="1142"/>
      <c r="LEK112" s="1142"/>
      <c r="LEL112" s="1142"/>
      <c r="LEM112" s="1142"/>
      <c r="LEN112" s="1142"/>
      <c r="LEO112" s="1167"/>
      <c r="LEP112" s="1167"/>
      <c r="LEQ112" s="1167"/>
      <c r="LER112" s="1167"/>
      <c r="LES112" s="1167"/>
      <c r="LET112" s="1167"/>
      <c r="LEU112" s="1167"/>
      <c r="LEV112" s="1167"/>
      <c r="LEW112" s="1167"/>
      <c r="LEX112" s="1142"/>
      <c r="LEY112" s="1142"/>
      <c r="LEZ112" s="1142"/>
      <c r="LFA112" s="1142"/>
      <c r="LFB112" s="1142"/>
      <c r="LFC112" s="1142"/>
      <c r="LFD112" s="1142"/>
      <c r="LFE112" s="1142"/>
      <c r="LFF112" s="1142"/>
      <c r="LFG112" s="1142"/>
      <c r="LFH112" s="1142"/>
      <c r="LFI112" s="1142"/>
      <c r="LFJ112" s="1142"/>
      <c r="LFK112" s="1142"/>
      <c r="LFL112" s="1142"/>
      <c r="LFM112" s="1142"/>
      <c r="LFN112" s="1142"/>
      <c r="LFO112" s="1142"/>
      <c r="LFP112" s="1142"/>
      <c r="LFQ112" s="1142"/>
      <c r="LFR112" s="1142"/>
      <c r="LFS112" s="1142"/>
      <c r="LFT112" s="1142"/>
      <c r="LFU112" s="1167"/>
      <c r="LFV112" s="1167"/>
      <c r="LFW112" s="1167"/>
      <c r="LFX112" s="1167"/>
      <c r="LFY112" s="1167"/>
      <c r="LFZ112" s="1167"/>
      <c r="LGA112" s="1167"/>
      <c r="LGB112" s="1167"/>
      <c r="LGC112" s="1167"/>
      <c r="LGD112" s="1142"/>
      <c r="LGE112" s="1142"/>
      <c r="LGF112" s="1142"/>
      <c r="LGG112" s="1142"/>
      <c r="LGH112" s="1142"/>
      <c r="LGI112" s="1142"/>
      <c r="LGJ112" s="1142"/>
      <c r="LGK112" s="1142"/>
      <c r="LGL112" s="1142"/>
      <c r="LGM112" s="1142"/>
      <c r="LGN112" s="1142"/>
      <c r="LGO112" s="1142"/>
      <c r="LGP112" s="1142"/>
      <c r="LGQ112" s="1142"/>
      <c r="LGR112" s="1142"/>
      <c r="LGS112" s="1142"/>
      <c r="LGT112" s="1142"/>
      <c r="LGU112" s="1142"/>
      <c r="LGV112" s="1142"/>
      <c r="LGW112" s="1142"/>
      <c r="LGX112" s="1142"/>
      <c r="LGY112" s="1142"/>
      <c r="LGZ112" s="1142"/>
      <c r="LHA112" s="1167"/>
      <c r="LHB112" s="1167"/>
      <c r="LHC112" s="1167"/>
      <c r="LHD112" s="1167"/>
      <c r="LHE112" s="1167"/>
      <c r="LHF112" s="1167"/>
      <c r="LHG112" s="1167"/>
      <c r="LHH112" s="1167"/>
      <c r="LHI112" s="1167"/>
      <c r="LHJ112" s="1142"/>
      <c r="LHK112" s="1142"/>
      <c r="LHL112" s="1142"/>
      <c r="LHM112" s="1142"/>
      <c r="LHN112" s="1142"/>
      <c r="LHO112" s="1142"/>
      <c r="LHP112" s="1142"/>
      <c r="LHQ112" s="1142"/>
      <c r="LHR112" s="1142"/>
      <c r="LHS112" s="1142"/>
      <c r="LHT112" s="1142"/>
      <c r="LHU112" s="1142"/>
      <c r="LHV112" s="1142"/>
      <c r="LHW112" s="1142"/>
      <c r="LHX112" s="1142"/>
      <c r="LHY112" s="1142"/>
      <c r="LHZ112" s="1142"/>
      <c r="LIA112" s="1142"/>
      <c r="LIB112" s="1142"/>
      <c r="LIC112" s="1142"/>
      <c r="LID112" s="1142"/>
      <c r="LIE112" s="1142"/>
      <c r="LIF112" s="1142"/>
      <c r="LIG112" s="1167"/>
      <c r="LIH112" s="1167"/>
      <c r="LII112" s="1167"/>
      <c r="LIJ112" s="1167"/>
      <c r="LIK112" s="1167"/>
      <c r="LIL112" s="1167"/>
      <c r="LIM112" s="1167"/>
      <c r="LIN112" s="1167"/>
      <c r="LIO112" s="1167"/>
      <c r="LIP112" s="1142"/>
      <c r="LIQ112" s="1142"/>
      <c r="LIR112" s="1142"/>
      <c r="LIS112" s="1142"/>
      <c r="LIT112" s="1142"/>
      <c r="LIU112" s="1142"/>
      <c r="LIV112" s="1142"/>
      <c r="LIW112" s="1142"/>
      <c r="LIX112" s="1142"/>
      <c r="LIY112" s="1142"/>
      <c r="LIZ112" s="1142"/>
      <c r="LJA112" s="1142"/>
      <c r="LJB112" s="1142"/>
      <c r="LJC112" s="1142"/>
      <c r="LJD112" s="1142"/>
      <c r="LJE112" s="1142"/>
      <c r="LJF112" s="1142"/>
      <c r="LJG112" s="1142"/>
      <c r="LJH112" s="1142"/>
      <c r="LJI112" s="1142"/>
      <c r="LJJ112" s="1142"/>
      <c r="LJK112" s="1142"/>
      <c r="LJL112" s="1142"/>
      <c r="LJM112" s="1167"/>
      <c r="LJN112" s="1167"/>
      <c r="LJO112" s="1167"/>
      <c r="LJP112" s="1167"/>
      <c r="LJQ112" s="1167"/>
      <c r="LJR112" s="1167"/>
      <c r="LJS112" s="1167"/>
      <c r="LJT112" s="1167"/>
      <c r="LJU112" s="1167"/>
      <c r="LJV112" s="1142"/>
      <c r="LJW112" s="1142"/>
      <c r="LJX112" s="1142"/>
      <c r="LJY112" s="1142"/>
      <c r="LJZ112" s="1142"/>
      <c r="LKA112" s="1142"/>
      <c r="LKB112" s="1142"/>
      <c r="LKC112" s="1142"/>
      <c r="LKD112" s="1142"/>
      <c r="LKE112" s="1142"/>
      <c r="LKF112" s="1142"/>
      <c r="LKG112" s="1142"/>
      <c r="LKH112" s="1142"/>
      <c r="LKI112" s="1142"/>
      <c r="LKJ112" s="1142"/>
      <c r="LKK112" s="1142"/>
      <c r="LKL112" s="1142"/>
      <c r="LKM112" s="1142"/>
      <c r="LKN112" s="1142"/>
      <c r="LKO112" s="1142"/>
      <c r="LKP112" s="1142"/>
      <c r="LKQ112" s="1142"/>
      <c r="LKR112" s="1142"/>
      <c r="LKS112" s="1167"/>
      <c r="LKT112" s="1167"/>
      <c r="LKU112" s="1167"/>
      <c r="LKV112" s="1167"/>
      <c r="LKW112" s="1167"/>
      <c r="LKX112" s="1167"/>
      <c r="LKY112" s="1167"/>
      <c r="LKZ112" s="1167"/>
      <c r="LLA112" s="1167"/>
      <c r="LLB112" s="1142"/>
      <c r="LLC112" s="1142"/>
      <c r="LLD112" s="1142"/>
      <c r="LLE112" s="1142"/>
      <c r="LLF112" s="1142"/>
      <c r="LLG112" s="1142"/>
      <c r="LLH112" s="1142"/>
      <c r="LLI112" s="1142"/>
      <c r="LLJ112" s="1142"/>
      <c r="LLK112" s="1142"/>
      <c r="LLL112" s="1142"/>
      <c r="LLM112" s="1142"/>
      <c r="LLN112" s="1142"/>
      <c r="LLO112" s="1142"/>
      <c r="LLP112" s="1142"/>
      <c r="LLQ112" s="1142"/>
      <c r="LLR112" s="1142"/>
      <c r="LLS112" s="1142"/>
      <c r="LLT112" s="1142"/>
      <c r="LLU112" s="1142"/>
      <c r="LLV112" s="1142"/>
      <c r="LLW112" s="1142"/>
      <c r="LLX112" s="1142"/>
      <c r="LLY112" s="1167"/>
      <c r="LLZ112" s="1167"/>
      <c r="LMA112" s="1167"/>
      <c r="LMB112" s="1167"/>
      <c r="LMC112" s="1167"/>
      <c r="LMD112" s="1167"/>
      <c r="LME112" s="1167"/>
      <c r="LMF112" s="1167"/>
      <c r="LMG112" s="1167"/>
      <c r="LMH112" s="1142"/>
      <c r="LMI112" s="1142"/>
      <c r="LMJ112" s="1142"/>
      <c r="LMK112" s="1142"/>
      <c r="LML112" s="1142"/>
      <c r="LMM112" s="1142"/>
      <c r="LMN112" s="1142"/>
      <c r="LMO112" s="1142"/>
      <c r="LMP112" s="1142"/>
      <c r="LMQ112" s="1142"/>
      <c r="LMR112" s="1142"/>
      <c r="LMS112" s="1142"/>
      <c r="LMT112" s="1142"/>
      <c r="LMU112" s="1142"/>
      <c r="LMV112" s="1142"/>
      <c r="LMW112" s="1142"/>
      <c r="LMX112" s="1142"/>
      <c r="LMY112" s="1142"/>
      <c r="LMZ112" s="1142"/>
      <c r="LNA112" s="1142"/>
      <c r="LNB112" s="1142"/>
      <c r="LNC112" s="1142"/>
      <c r="LND112" s="1142"/>
      <c r="LNE112" s="1167"/>
      <c r="LNF112" s="1167"/>
      <c r="LNG112" s="1167"/>
      <c r="LNH112" s="1167"/>
      <c r="LNI112" s="1167"/>
      <c r="LNJ112" s="1167"/>
      <c r="LNK112" s="1167"/>
      <c r="LNL112" s="1167"/>
      <c r="LNM112" s="1167"/>
      <c r="LNN112" s="1142"/>
      <c r="LNO112" s="1142"/>
      <c r="LNP112" s="1142"/>
      <c r="LNQ112" s="1142"/>
      <c r="LNR112" s="1142"/>
      <c r="LNS112" s="1142"/>
      <c r="LNT112" s="1142"/>
      <c r="LNU112" s="1142"/>
      <c r="LNV112" s="1142"/>
      <c r="LNW112" s="1142"/>
      <c r="LNX112" s="1142"/>
      <c r="LNY112" s="1142"/>
      <c r="LNZ112" s="1142"/>
      <c r="LOA112" s="1142"/>
      <c r="LOB112" s="1142"/>
      <c r="LOC112" s="1142"/>
      <c r="LOD112" s="1142"/>
      <c r="LOE112" s="1142"/>
      <c r="LOF112" s="1142"/>
      <c r="LOG112" s="1142"/>
      <c r="LOH112" s="1142"/>
      <c r="LOI112" s="1142"/>
      <c r="LOJ112" s="1142"/>
      <c r="LOK112" s="1167"/>
      <c r="LOL112" s="1167"/>
      <c r="LOM112" s="1167"/>
      <c r="LON112" s="1167"/>
      <c r="LOO112" s="1167"/>
      <c r="LOP112" s="1167"/>
      <c r="LOQ112" s="1167"/>
      <c r="LOR112" s="1167"/>
      <c r="LOS112" s="1167"/>
      <c r="LOT112" s="1142"/>
      <c r="LOU112" s="1142"/>
      <c r="LOV112" s="1142"/>
      <c r="LOW112" s="1142"/>
      <c r="LOX112" s="1142"/>
      <c r="LOY112" s="1142"/>
      <c r="LOZ112" s="1142"/>
      <c r="LPA112" s="1142"/>
      <c r="LPB112" s="1142"/>
      <c r="LPC112" s="1142"/>
      <c r="LPD112" s="1142"/>
      <c r="LPE112" s="1142"/>
      <c r="LPF112" s="1142"/>
      <c r="LPG112" s="1142"/>
      <c r="LPH112" s="1142"/>
      <c r="LPI112" s="1142"/>
      <c r="LPJ112" s="1142"/>
      <c r="LPK112" s="1142"/>
      <c r="LPL112" s="1142"/>
      <c r="LPM112" s="1142"/>
      <c r="LPN112" s="1142"/>
      <c r="LPO112" s="1142"/>
      <c r="LPP112" s="1142"/>
      <c r="LPQ112" s="1167"/>
      <c r="LPR112" s="1167"/>
      <c r="LPS112" s="1167"/>
      <c r="LPT112" s="1167"/>
      <c r="LPU112" s="1167"/>
      <c r="LPV112" s="1167"/>
      <c r="LPW112" s="1167"/>
      <c r="LPX112" s="1167"/>
      <c r="LPY112" s="1167"/>
      <c r="LPZ112" s="1142"/>
      <c r="LQA112" s="1142"/>
      <c r="LQB112" s="1142"/>
      <c r="LQC112" s="1142"/>
      <c r="LQD112" s="1142"/>
      <c r="LQE112" s="1142"/>
      <c r="LQF112" s="1142"/>
      <c r="LQG112" s="1142"/>
      <c r="LQH112" s="1142"/>
      <c r="LQI112" s="1142"/>
      <c r="LQJ112" s="1142"/>
      <c r="LQK112" s="1142"/>
      <c r="LQL112" s="1142"/>
      <c r="LQM112" s="1142"/>
      <c r="LQN112" s="1142"/>
      <c r="LQO112" s="1142"/>
      <c r="LQP112" s="1142"/>
      <c r="LQQ112" s="1142"/>
      <c r="LQR112" s="1142"/>
      <c r="LQS112" s="1142"/>
      <c r="LQT112" s="1142"/>
      <c r="LQU112" s="1142"/>
      <c r="LQV112" s="1142"/>
      <c r="LQW112" s="1167"/>
      <c r="LQX112" s="1167"/>
      <c r="LQY112" s="1167"/>
      <c r="LQZ112" s="1167"/>
      <c r="LRA112" s="1167"/>
      <c r="LRB112" s="1167"/>
      <c r="LRC112" s="1167"/>
      <c r="LRD112" s="1167"/>
      <c r="LRE112" s="1167"/>
      <c r="LRF112" s="1142"/>
      <c r="LRG112" s="1142"/>
      <c r="LRH112" s="1142"/>
      <c r="LRI112" s="1142"/>
      <c r="LRJ112" s="1142"/>
      <c r="LRK112" s="1142"/>
      <c r="LRL112" s="1142"/>
      <c r="LRM112" s="1142"/>
      <c r="LRN112" s="1142"/>
      <c r="LRO112" s="1142"/>
      <c r="LRP112" s="1142"/>
      <c r="LRQ112" s="1142"/>
      <c r="LRR112" s="1142"/>
      <c r="LRS112" s="1142"/>
      <c r="LRT112" s="1142"/>
      <c r="LRU112" s="1142"/>
      <c r="LRV112" s="1142"/>
      <c r="LRW112" s="1142"/>
      <c r="LRX112" s="1142"/>
      <c r="LRY112" s="1142"/>
      <c r="LRZ112" s="1142"/>
      <c r="LSA112" s="1142"/>
      <c r="LSB112" s="1142"/>
      <c r="LSC112" s="1167"/>
      <c r="LSD112" s="1167"/>
      <c r="LSE112" s="1167"/>
      <c r="LSF112" s="1167"/>
      <c r="LSG112" s="1167"/>
      <c r="LSH112" s="1167"/>
      <c r="LSI112" s="1167"/>
      <c r="LSJ112" s="1167"/>
      <c r="LSK112" s="1167"/>
      <c r="LSL112" s="1142"/>
      <c r="LSM112" s="1142"/>
      <c r="LSN112" s="1142"/>
      <c r="LSO112" s="1142"/>
      <c r="LSP112" s="1142"/>
      <c r="LSQ112" s="1142"/>
      <c r="LSR112" s="1142"/>
      <c r="LSS112" s="1142"/>
      <c r="LST112" s="1142"/>
      <c r="LSU112" s="1142"/>
      <c r="LSV112" s="1142"/>
      <c r="LSW112" s="1142"/>
      <c r="LSX112" s="1142"/>
      <c r="LSY112" s="1142"/>
      <c r="LSZ112" s="1142"/>
      <c r="LTA112" s="1142"/>
      <c r="LTB112" s="1142"/>
      <c r="LTC112" s="1142"/>
      <c r="LTD112" s="1142"/>
      <c r="LTE112" s="1142"/>
      <c r="LTF112" s="1142"/>
      <c r="LTG112" s="1142"/>
      <c r="LTH112" s="1142"/>
      <c r="LTI112" s="1167"/>
      <c r="LTJ112" s="1167"/>
      <c r="LTK112" s="1167"/>
      <c r="LTL112" s="1167"/>
      <c r="LTM112" s="1167"/>
      <c r="LTN112" s="1167"/>
      <c r="LTO112" s="1167"/>
      <c r="LTP112" s="1167"/>
      <c r="LTQ112" s="1167"/>
      <c r="LTR112" s="1142"/>
      <c r="LTS112" s="1142"/>
      <c r="LTT112" s="1142"/>
      <c r="LTU112" s="1142"/>
      <c r="LTV112" s="1142"/>
      <c r="LTW112" s="1142"/>
      <c r="LTX112" s="1142"/>
      <c r="LTY112" s="1142"/>
      <c r="LTZ112" s="1142"/>
      <c r="LUA112" s="1142"/>
      <c r="LUB112" s="1142"/>
      <c r="LUC112" s="1142"/>
      <c r="LUD112" s="1142"/>
      <c r="LUE112" s="1142"/>
      <c r="LUF112" s="1142"/>
      <c r="LUG112" s="1142"/>
      <c r="LUH112" s="1142"/>
      <c r="LUI112" s="1142"/>
      <c r="LUJ112" s="1142"/>
      <c r="LUK112" s="1142"/>
      <c r="LUL112" s="1142"/>
      <c r="LUM112" s="1142"/>
      <c r="LUN112" s="1142"/>
      <c r="LUO112" s="1167"/>
      <c r="LUP112" s="1167"/>
      <c r="LUQ112" s="1167"/>
      <c r="LUR112" s="1167"/>
      <c r="LUS112" s="1167"/>
      <c r="LUT112" s="1167"/>
      <c r="LUU112" s="1167"/>
      <c r="LUV112" s="1167"/>
      <c r="LUW112" s="1167"/>
      <c r="LUX112" s="1142"/>
      <c r="LUY112" s="1142"/>
      <c r="LUZ112" s="1142"/>
      <c r="LVA112" s="1142"/>
      <c r="LVB112" s="1142"/>
      <c r="LVC112" s="1142"/>
      <c r="LVD112" s="1142"/>
      <c r="LVE112" s="1142"/>
      <c r="LVF112" s="1142"/>
      <c r="LVG112" s="1142"/>
      <c r="LVH112" s="1142"/>
      <c r="LVI112" s="1142"/>
      <c r="LVJ112" s="1142"/>
      <c r="LVK112" s="1142"/>
      <c r="LVL112" s="1142"/>
      <c r="LVM112" s="1142"/>
      <c r="LVN112" s="1142"/>
      <c r="LVO112" s="1142"/>
      <c r="LVP112" s="1142"/>
      <c r="LVQ112" s="1142"/>
      <c r="LVR112" s="1142"/>
      <c r="LVS112" s="1142"/>
      <c r="LVT112" s="1142"/>
      <c r="LVU112" s="1167"/>
      <c r="LVV112" s="1167"/>
      <c r="LVW112" s="1167"/>
      <c r="LVX112" s="1167"/>
      <c r="LVY112" s="1167"/>
      <c r="LVZ112" s="1167"/>
      <c r="LWA112" s="1167"/>
      <c r="LWB112" s="1167"/>
      <c r="LWC112" s="1167"/>
      <c r="LWD112" s="1142"/>
      <c r="LWE112" s="1142"/>
      <c r="LWF112" s="1142"/>
      <c r="LWG112" s="1142"/>
      <c r="LWH112" s="1142"/>
      <c r="LWI112" s="1142"/>
      <c r="LWJ112" s="1142"/>
      <c r="LWK112" s="1142"/>
      <c r="LWL112" s="1142"/>
      <c r="LWM112" s="1142"/>
      <c r="LWN112" s="1142"/>
      <c r="LWO112" s="1142"/>
      <c r="LWP112" s="1142"/>
      <c r="LWQ112" s="1142"/>
      <c r="LWR112" s="1142"/>
      <c r="LWS112" s="1142"/>
      <c r="LWT112" s="1142"/>
      <c r="LWU112" s="1142"/>
      <c r="LWV112" s="1142"/>
      <c r="LWW112" s="1142"/>
      <c r="LWX112" s="1142"/>
      <c r="LWY112" s="1142"/>
      <c r="LWZ112" s="1142"/>
      <c r="LXA112" s="1167"/>
      <c r="LXB112" s="1167"/>
      <c r="LXC112" s="1167"/>
      <c r="LXD112" s="1167"/>
      <c r="LXE112" s="1167"/>
      <c r="LXF112" s="1167"/>
      <c r="LXG112" s="1167"/>
      <c r="LXH112" s="1167"/>
      <c r="LXI112" s="1167"/>
      <c r="LXJ112" s="1142"/>
      <c r="LXK112" s="1142"/>
      <c r="LXL112" s="1142"/>
      <c r="LXM112" s="1142"/>
      <c r="LXN112" s="1142"/>
      <c r="LXO112" s="1142"/>
      <c r="LXP112" s="1142"/>
      <c r="LXQ112" s="1142"/>
      <c r="LXR112" s="1142"/>
      <c r="LXS112" s="1142"/>
      <c r="LXT112" s="1142"/>
      <c r="LXU112" s="1142"/>
      <c r="LXV112" s="1142"/>
      <c r="LXW112" s="1142"/>
      <c r="LXX112" s="1142"/>
      <c r="LXY112" s="1142"/>
      <c r="LXZ112" s="1142"/>
      <c r="LYA112" s="1142"/>
      <c r="LYB112" s="1142"/>
      <c r="LYC112" s="1142"/>
      <c r="LYD112" s="1142"/>
      <c r="LYE112" s="1142"/>
      <c r="LYF112" s="1142"/>
      <c r="LYG112" s="1167"/>
      <c r="LYH112" s="1167"/>
      <c r="LYI112" s="1167"/>
      <c r="LYJ112" s="1167"/>
      <c r="LYK112" s="1167"/>
      <c r="LYL112" s="1167"/>
      <c r="LYM112" s="1167"/>
      <c r="LYN112" s="1167"/>
      <c r="LYO112" s="1167"/>
      <c r="LYP112" s="1142"/>
      <c r="LYQ112" s="1142"/>
      <c r="LYR112" s="1142"/>
      <c r="LYS112" s="1142"/>
      <c r="LYT112" s="1142"/>
      <c r="LYU112" s="1142"/>
      <c r="LYV112" s="1142"/>
      <c r="LYW112" s="1142"/>
      <c r="LYX112" s="1142"/>
      <c r="LYY112" s="1142"/>
      <c r="LYZ112" s="1142"/>
      <c r="LZA112" s="1142"/>
      <c r="LZB112" s="1142"/>
      <c r="LZC112" s="1142"/>
      <c r="LZD112" s="1142"/>
      <c r="LZE112" s="1142"/>
      <c r="LZF112" s="1142"/>
      <c r="LZG112" s="1142"/>
      <c r="LZH112" s="1142"/>
      <c r="LZI112" s="1142"/>
      <c r="LZJ112" s="1142"/>
      <c r="LZK112" s="1142"/>
      <c r="LZL112" s="1142"/>
      <c r="LZM112" s="1167"/>
      <c r="LZN112" s="1167"/>
      <c r="LZO112" s="1167"/>
      <c r="LZP112" s="1167"/>
      <c r="LZQ112" s="1167"/>
      <c r="LZR112" s="1167"/>
      <c r="LZS112" s="1167"/>
      <c r="LZT112" s="1167"/>
      <c r="LZU112" s="1167"/>
      <c r="LZV112" s="1142"/>
      <c r="LZW112" s="1142"/>
      <c r="LZX112" s="1142"/>
      <c r="LZY112" s="1142"/>
      <c r="LZZ112" s="1142"/>
      <c r="MAA112" s="1142"/>
      <c r="MAB112" s="1142"/>
      <c r="MAC112" s="1142"/>
      <c r="MAD112" s="1142"/>
      <c r="MAE112" s="1142"/>
      <c r="MAF112" s="1142"/>
      <c r="MAG112" s="1142"/>
      <c r="MAH112" s="1142"/>
      <c r="MAI112" s="1142"/>
      <c r="MAJ112" s="1142"/>
      <c r="MAK112" s="1142"/>
      <c r="MAL112" s="1142"/>
      <c r="MAM112" s="1142"/>
      <c r="MAN112" s="1142"/>
      <c r="MAO112" s="1142"/>
      <c r="MAP112" s="1142"/>
      <c r="MAQ112" s="1142"/>
      <c r="MAR112" s="1142"/>
      <c r="MAS112" s="1167"/>
      <c r="MAT112" s="1167"/>
      <c r="MAU112" s="1167"/>
      <c r="MAV112" s="1167"/>
      <c r="MAW112" s="1167"/>
      <c r="MAX112" s="1167"/>
      <c r="MAY112" s="1167"/>
      <c r="MAZ112" s="1167"/>
      <c r="MBA112" s="1167"/>
      <c r="MBB112" s="1142"/>
      <c r="MBC112" s="1142"/>
      <c r="MBD112" s="1142"/>
      <c r="MBE112" s="1142"/>
      <c r="MBF112" s="1142"/>
      <c r="MBG112" s="1142"/>
      <c r="MBH112" s="1142"/>
      <c r="MBI112" s="1142"/>
      <c r="MBJ112" s="1142"/>
      <c r="MBK112" s="1142"/>
      <c r="MBL112" s="1142"/>
      <c r="MBM112" s="1142"/>
      <c r="MBN112" s="1142"/>
      <c r="MBO112" s="1142"/>
      <c r="MBP112" s="1142"/>
      <c r="MBQ112" s="1142"/>
      <c r="MBR112" s="1142"/>
      <c r="MBS112" s="1142"/>
      <c r="MBT112" s="1142"/>
      <c r="MBU112" s="1142"/>
      <c r="MBV112" s="1142"/>
      <c r="MBW112" s="1142"/>
      <c r="MBX112" s="1142"/>
      <c r="MBY112" s="1167"/>
      <c r="MBZ112" s="1167"/>
      <c r="MCA112" s="1167"/>
      <c r="MCB112" s="1167"/>
      <c r="MCC112" s="1167"/>
      <c r="MCD112" s="1167"/>
      <c r="MCE112" s="1167"/>
      <c r="MCF112" s="1167"/>
      <c r="MCG112" s="1167"/>
      <c r="MCH112" s="1142"/>
      <c r="MCI112" s="1142"/>
      <c r="MCJ112" s="1142"/>
      <c r="MCK112" s="1142"/>
      <c r="MCL112" s="1142"/>
      <c r="MCM112" s="1142"/>
      <c r="MCN112" s="1142"/>
      <c r="MCO112" s="1142"/>
      <c r="MCP112" s="1142"/>
      <c r="MCQ112" s="1142"/>
      <c r="MCR112" s="1142"/>
      <c r="MCS112" s="1142"/>
      <c r="MCT112" s="1142"/>
      <c r="MCU112" s="1142"/>
      <c r="MCV112" s="1142"/>
      <c r="MCW112" s="1142"/>
      <c r="MCX112" s="1142"/>
      <c r="MCY112" s="1142"/>
      <c r="MCZ112" s="1142"/>
      <c r="MDA112" s="1142"/>
      <c r="MDB112" s="1142"/>
      <c r="MDC112" s="1142"/>
      <c r="MDD112" s="1142"/>
      <c r="MDE112" s="1167"/>
      <c r="MDF112" s="1167"/>
      <c r="MDG112" s="1167"/>
      <c r="MDH112" s="1167"/>
      <c r="MDI112" s="1167"/>
      <c r="MDJ112" s="1167"/>
      <c r="MDK112" s="1167"/>
      <c r="MDL112" s="1167"/>
      <c r="MDM112" s="1167"/>
      <c r="MDN112" s="1142"/>
      <c r="MDO112" s="1142"/>
      <c r="MDP112" s="1142"/>
      <c r="MDQ112" s="1142"/>
      <c r="MDR112" s="1142"/>
      <c r="MDS112" s="1142"/>
      <c r="MDT112" s="1142"/>
      <c r="MDU112" s="1142"/>
      <c r="MDV112" s="1142"/>
      <c r="MDW112" s="1142"/>
      <c r="MDX112" s="1142"/>
      <c r="MDY112" s="1142"/>
      <c r="MDZ112" s="1142"/>
      <c r="MEA112" s="1142"/>
      <c r="MEB112" s="1142"/>
      <c r="MEC112" s="1142"/>
      <c r="MED112" s="1142"/>
      <c r="MEE112" s="1142"/>
      <c r="MEF112" s="1142"/>
      <c r="MEG112" s="1142"/>
      <c r="MEH112" s="1142"/>
      <c r="MEI112" s="1142"/>
      <c r="MEJ112" s="1142"/>
      <c r="MEK112" s="1167"/>
      <c r="MEL112" s="1167"/>
      <c r="MEM112" s="1167"/>
      <c r="MEN112" s="1167"/>
      <c r="MEO112" s="1167"/>
      <c r="MEP112" s="1167"/>
      <c r="MEQ112" s="1167"/>
      <c r="MER112" s="1167"/>
      <c r="MES112" s="1167"/>
      <c r="MET112" s="1142"/>
      <c r="MEU112" s="1142"/>
      <c r="MEV112" s="1142"/>
      <c r="MEW112" s="1142"/>
      <c r="MEX112" s="1142"/>
      <c r="MEY112" s="1142"/>
      <c r="MEZ112" s="1142"/>
      <c r="MFA112" s="1142"/>
      <c r="MFB112" s="1142"/>
      <c r="MFC112" s="1142"/>
      <c r="MFD112" s="1142"/>
      <c r="MFE112" s="1142"/>
      <c r="MFF112" s="1142"/>
      <c r="MFG112" s="1142"/>
      <c r="MFH112" s="1142"/>
      <c r="MFI112" s="1142"/>
      <c r="MFJ112" s="1142"/>
      <c r="MFK112" s="1142"/>
      <c r="MFL112" s="1142"/>
      <c r="MFM112" s="1142"/>
      <c r="MFN112" s="1142"/>
      <c r="MFO112" s="1142"/>
      <c r="MFP112" s="1142"/>
      <c r="MFQ112" s="1167"/>
      <c r="MFR112" s="1167"/>
      <c r="MFS112" s="1167"/>
      <c r="MFT112" s="1167"/>
      <c r="MFU112" s="1167"/>
      <c r="MFV112" s="1167"/>
      <c r="MFW112" s="1167"/>
      <c r="MFX112" s="1167"/>
      <c r="MFY112" s="1167"/>
      <c r="MFZ112" s="1142"/>
      <c r="MGA112" s="1142"/>
      <c r="MGB112" s="1142"/>
      <c r="MGC112" s="1142"/>
      <c r="MGD112" s="1142"/>
      <c r="MGE112" s="1142"/>
      <c r="MGF112" s="1142"/>
      <c r="MGG112" s="1142"/>
      <c r="MGH112" s="1142"/>
      <c r="MGI112" s="1142"/>
      <c r="MGJ112" s="1142"/>
      <c r="MGK112" s="1142"/>
      <c r="MGL112" s="1142"/>
      <c r="MGM112" s="1142"/>
      <c r="MGN112" s="1142"/>
      <c r="MGO112" s="1142"/>
      <c r="MGP112" s="1142"/>
      <c r="MGQ112" s="1142"/>
      <c r="MGR112" s="1142"/>
      <c r="MGS112" s="1142"/>
      <c r="MGT112" s="1142"/>
      <c r="MGU112" s="1142"/>
      <c r="MGV112" s="1142"/>
      <c r="MGW112" s="1167"/>
      <c r="MGX112" s="1167"/>
      <c r="MGY112" s="1167"/>
      <c r="MGZ112" s="1167"/>
      <c r="MHA112" s="1167"/>
      <c r="MHB112" s="1167"/>
      <c r="MHC112" s="1167"/>
      <c r="MHD112" s="1167"/>
      <c r="MHE112" s="1167"/>
      <c r="MHF112" s="1142"/>
      <c r="MHG112" s="1142"/>
      <c r="MHH112" s="1142"/>
      <c r="MHI112" s="1142"/>
      <c r="MHJ112" s="1142"/>
      <c r="MHK112" s="1142"/>
      <c r="MHL112" s="1142"/>
      <c r="MHM112" s="1142"/>
      <c r="MHN112" s="1142"/>
      <c r="MHO112" s="1142"/>
      <c r="MHP112" s="1142"/>
      <c r="MHQ112" s="1142"/>
      <c r="MHR112" s="1142"/>
      <c r="MHS112" s="1142"/>
      <c r="MHT112" s="1142"/>
      <c r="MHU112" s="1142"/>
      <c r="MHV112" s="1142"/>
      <c r="MHW112" s="1142"/>
      <c r="MHX112" s="1142"/>
      <c r="MHY112" s="1142"/>
      <c r="MHZ112" s="1142"/>
      <c r="MIA112" s="1142"/>
      <c r="MIB112" s="1142"/>
      <c r="MIC112" s="1167"/>
      <c r="MID112" s="1167"/>
      <c r="MIE112" s="1167"/>
      <c r="MIF112" s="1167"/>
      <c r="MIG112" s="1167"/>
      <c r="MIH112" s="1167"/>
      <c r="MII112" s="1167"/>
      <c r="MIJ112" s="1167"/>
      <c r="MIK112" s="1167"/>
      <c r="MIL112" s="1142"/>
      <c r="MIM112" s="1142"/>
      <c r="MIN112" s="1142"/>
      <c r="MIO112" s="1142"/>
      <c r="MIP112" s="1142"/>
      <c r="MIQ112" s="1142"/>
      <c r="MIR112" s="1142"/>
      <c r="MIS112" s="1142"/>
      <c r="MIT112" s="1142"/>
      <c r="MIU112" s="1142"/>
      <c r="MIV112" s="1142"/>
      <c r="MIW112" s="1142"/>
      <c r="MIX112" s="1142"/>
      <c r="MIY112" s="1142"/>
      <c r="MIZ112" s="1142"/>
      <c r="MJA112" s="1142"/>
      <c r="MJB112" s="1142"/>
      <c r="MJC112" s="1142"/>
      <c r="MJD112" s="1142"/>
      <c r="MJE112" s="1142"/>
      <c r="MJF112" s="1142"/>
      <c r="MJG112" s="1142"/>
      <c r="MJH112" s="1142"/>
      <c r="MJI112" s="1167"/>
      <c r="MJJ112" s="1167"/>
      <c r="MJK112" s="1167"/>
      <c r="MJL112" s="1167"/>
      <c r="MJM112" s="1167"/>
      <c r="MJN112" s="1167"/>
      <c r="MJO112" s="1167"/>
      <c r="MJP112" s="1167"/>
      <c r="MJQ112" s="1167"/>
      <c r="MJR112" s="1142"/>
      <c r="MJS112" s="1142"/>
      <c r="MJT112" s="1142"/>
      <c r="MJU112" s="1142"/>
      <c r="MJV112" s="1142"/>
      <c r="MJW112" s="1142"/>
      <c r="MJX112" s="1142"/>
      <c r="MJY112" s="1142"/>
      <c r="MJZ112" s="1142"/>
      <c r="MKA112" s="1142"/>
      <c r="MKB112" s="1142"/>
      <c r="MKC112" s="1142"/>
      <c r="MKD112" s="1142"/>
      <c r="MKE112" s="1142"/>
      <c r="MKF112" s="1142"/>
      <c r="MKG112" s="1142"/>
      <c r="MKH112" s="1142"/>
      <c r="MKI112" s="1142"/>
      <c r="MKJ112" s="1142"/>
      <c r="MKK112" s="1142"/>
      <c r="MKL112" s="1142"/>
      <c r="MKM112" s="1142"/>
      <c r="MKN112" s="1142"/>
      <c r="MKO112" s="1167"/>
      <c r="MKP112" s="1167"/>
      <c r="MKQ112" s="1167"/>
      <c r="MKR112" s="1167"/>
      <c r="MKS112" s="1167"/>
      <c r="MKT112" s="1167"/>
      <c r="MKU112" s="1167"/>
      <c r="MKV112" s="1167"/>
      <c r="MKW112" s="1167"/>
      <c r="MKX112" s="1142"/>
      <c r="MKY112" s="1142"/>
      <c r="MKZ112" s="1142"/>
      <c r="MLA112" s="1142"/>
      <c r="MLB112" s="1142"/>
      <c r="MLC112" s="1142"/>
      <c r="MLD112" s="1142"/>
      <c r="MLE112" s="1142"/>
      <c r="MLF112" s="1142"/>
      <c r="MLG112" s="1142"/>
      <c r="MLH112" s="1142"/>
      <c r="MLI112" s="1142"/>
      <c r="MLJ112" s="1142"/>
      <c r="MLK112" s="1142"/>
      <c r="MLL112" s="1142"/>
      <c r="MLM112" s="1142"/>
      <c r="MLN112" s="1142"/>
      <c r="MLO112" s="1142"/>
      <c r="MLP112" s="1142"/>
      <c r="MLQ112" s="1142"/>
      <c r="MLR112" s="1142"/>
      <c r="MLS112" s="1142"/>
      <c r="MLT112" s="1142"/>
      <c r="MLU112" s="1167"/>
      <c r="MLV112" s="1167"/>
      <c r="MLW112" s="1167"/>
      <c r="MLX112" s="1167"/>
      <c r="MLY112" s="1167"/>
      <c r="MLZ112" s="1167"/>
      <c r="MMA112" s="1167"/>
      <c r="MMB112" s="1167"/>
      <c r="MMC112" s="1167"/>
      <c r="MMD112" s="1142"/>
      <c r="MME112" s="1142"/>
      <c r="MMF112" s="1142"/>
      <c r="MMG112" s="1142"/>
      <c r="MMH112" s="1142"/>
      <c r="MMI112" s="1142"/>
      <c r="MMJ112" s="1142"/>
      <c r="MMK112" s="1142"/>
      <c r="MML112" s="1142"/>
      <c r="MMM112" s="1142"/>
      <c r="MMN112" s="1142"/>
      <c r="MMO112" s="1142"/>
      <c r="MMP112" s="1142"/>
      <c r="MMQ112" s="1142"/>
      <c r="MMR112" s="1142"/>
      <c r="MMS112" s="1142"/>
      <c r="MMT112" s="1142"/>
      <c r="MMU112" s="1142"/>
      <c r="MMV112" s="1142"/>
      <c r="MMW112" s="1142"/>
      <c r="MMX112" s="1142"/>
      <c r="MMY112" s="1142"/>
      <c r="MMZ112" s="1142"/>
      <c r="MNA112" s="1167"/>
      <c r="MNB112" s="1167"/>
      <c r="MNC112" s="1167"/>
      <c r="MND112" s="1167"/>
      <c r="MNE112" s="1167"/>
      <c r="MNF112" s="1167"/>
      <c r="MNG112" s="1167"/>
      <c r="MNH112" s="1167"/>
      <c r="MNI112" s="1167"/>
      <c r="MNJ112" s="1142"/>
      <c r="MNK112" s="1142"/>
      <c r="MNL112" s="1142"/>
      <c r="MNM112" s="1142"/>
      <c r="MNN112" s="1142"/>
      <c r="MNO112" s="1142"/>
      <c r="MNP112" s="1142"/>
      <c r="MNQ112" s="1142"/>
      <c r="MNR112" s="1142"/>
      <c r="MNS112" s="1142"/>
      <c r="MNT112" s="1142"/>
      <c r="MNU112" s="1142"/>
      <c r="MNV112" s="1142"/>
      <c r="MNW112" s="1142"/>
      <c r="MNX112" s="1142"/>
      <c r="MNY112" s="1142"/>
      <c r="MNZ112" s="1142"/>
      <c r="MOA112" s="1142"/>
      <c r="MOB112" s="1142"/>
      <c r="MOC112" s="1142"/>
      <c r="MOD112" s="1142"/>
      <c r="MOE112" s="1142"/>
      <c r="MOF112" s="1142"/>
      <c r="MOG112" s="1167"/>
      <c r="MOH112" s="1167"/>
      <c r="MOI112" s="1167"/>
      <c r="MOJ112" s="1167"/>
      <c r="MOK112" s="1167"/>
      <c r="MOL112" s="1167"/>
      <c r="MOM112" s="1167"/>
      <c r="MON112" s="1167"/>
      <c r="MOO112" s="1167"/>
      <c r="MOP112" s="1142"/>
      <c r="MOQ112" s="1142"/>
      <c r="MOR112" s="1142"/>
      <c r="MOS112" s="1142"/>
      <c r="MOT112" s="1142"/>
      <c r="MOU112" s="1142"/>
      <c r="MOV112" s="1142"/>
      <c r="MOW112" s="1142"/>
      <c r="MOX112" s="1142"/>
      <c r="MOY112" s="1142"/>
      <c r="MOZ112" s="1142"/>
      <c r="MPA112" s="1142"/>
      <c r="MPB112" s="1142"/>
      <c r="MPC112" s="1142"/>
      <c r="MPD112" s="1142"/>
      <c r="MPE112" s="1142"/>
      <c r="MPF112" s="1142"/>
      <c r="MPG112" s="1142"/>
      <c r="MPH112" s="1142"/>
      <c r="MPI112" s="1142"/>
      <c r="MPJ112" s="1142"/>
      <c r="MPK112" s="1142"/>
      <c r="MPL112" s="1142"/>
      <c r="MPM112" s="1167"/>
      <c r="MPN112" s="1167"/>
      <c r="MPO112" s="1167"/>
      <c r="MPP112" s="1167"/>
      <c r="MPQ112" s="1167"/>
      <c r="MPR112" s="1167"/>
      <c r="MPS112" s="1167"/>
      <c r="MPT112" s="1167"/>
      <c r="MPU112" s="1167"/>
      <c r="MPV112" s="1142"/>
      <c r="MPW112" s="1142"/>
      <c r="MPX112" s="1142"/>
      <c r="MPY112" s="1142"/>
      <c r="MPZ112" s="1142"/>
      <c r="MQA112" s="1142"/>
      <c r="MQB112" s="1142"/>
      <c r="MQC112" s="1142"/>
      <c r="MQD112" s="1142"/>
      <c r="MQE112" s="1142"/>
      <c r="MQF112" s="1142"/>
      <c r="MQG112" s="1142"/>
      <c r="MQH112" s="1142"/>
      <c r="MQI112" s="1142"/>
      <c r="MQJ112" s="1142"/>
      <c r="MQK112" s="1142"/>
      <c r="MQL112" s="1142"/>
      <c r="MQM112" s="1142"/>
      <c r="MQN112" s="1142"/>
      <c r="MQO112" s="1142"/>
      <c r="MQP112" s="1142"/>
      <c r="MQQ112" s="1142"/>
      <c r="MQR112" s="1142"/>
      <c r="MQS112" s="1167"/>
      <c r="MQT112" s="1167"/>
      <c r="MQU112" s="1167"/>
      <c r="MQV112" s="1167"/>
      <c r="MQW112" s="1167"/>
      <c r="MQX112" s="1167"/>
      <c r="MQY112" s="1167"/>
      <c r="MQZ112" s="1167"/>
      <c r="MRA112" s="1167"/>
      <c r="MRB112" s="1142"/>
      <c r="MRC112" s="1142"/>
      <c r="MRD112" s="1142"/>
      <c r="MRE112" s="1142"/>
      <c r="MRF112" s="1142"/>
      <c r="MRG112" s="1142"/>
      <c r="MRH112" s="1142"/>
      <c r="MRI112" s="1142"/>
      <c r="MRJ112" s="1142"/>
      <c r="MRK112" s="1142"/>
      <c r="MRL112" s="1142"/>
      <c r="MRM112" s="1142"/>
      <c r="MRN112" s="1142"/>
      <c r="MRO112" s="1142"/>
      <c r="MRP112" s="1142"/>
      <c r="MRQ112" s="1142"/>
      <c r="MRR112" s="1142"/>
      <c r="MRS112" s="1142"/>
      <c r="MRT112" s="1142"/>
      <c r="MRU112" s="1142"/>
      <c r="MRV112" s="1142"/>
      <c r="MRW112" s="1142"/>
      <c r="MRX112" s="1142"/>
      <c r="MRY112" s="1167"/>
      <c r="MRZ112" s="1167"/>
      <c r="MSA112" s="1167"/>
      <c r="MSB112" s="1167"/>
      <c r="MSC112" s="1167"/>
      <c r="MSD112" s="1167"/>
      <c r="MSE112" s="1167"/>
      <c r="MSF112" s="1167"/>
      <c r="MSG112" s="1167"/>
      <c r="MSH112" s="1142"/>
      <c r="MSI112" s="1142"/>
      <c r="MSJ112" s="1142"/>
      <c r="MSK112" s="1142"/>
      <c r="MSL112" s="1142"/>
      <c r="MSM112" s="1142"/>
      <c r="MSN112" s="1142"/>
      <c r="MSO112" s="1142"/>
      <c r="MSP112" s="1142"/>
      <c r="MSQ112" s="1142"/>
      <c r="MSR112" s="1142"/>
      <c r="MSS112" s="1142"/>
      <c r="MST112" s="1142"/>
      <c r="MSU112" s="1142"/>
      <c r="MSV112" s="1142"/>
      <c r="MSW112" s="1142"/>
      <c r="MSX112" s="1142"/>
      <c r="MSY112" s="1142"/>
      <c r="MSZ112" s="1142"/>
      <c r="MTA112" s="1142"/>
      <c r="MTB112" s="1142"/>
      <c r="MTC112" s="1142"/>
      <c r="MTD112" s="1142"/>
      <c r="MTE112" s="1167"/>
      <c r="MTF112" s="1167"/>
      <c r="MTG112" s="1167"/>
      <c r="MTH112" s="1167"/>
      <c r="MTI112" s="1167"/>
      <c r="MTJ112" s="1167"/>
      <c r="MTK112" s="1167"/>
      <c r="MTL112" s="1167"/>
      <c r="MTM112" s="1167"/>
      <c r="MTN112" s="1142"/>
      <c r="MTO112" s="1142"/>
      <c r="MTP112" s="1142"/>
      <c r="MTQ112" s="1142"/>
      <c r="MTR112" s="1142"/>
      <c r="MTS112" s="1142"/>
      <c r="MTT112" s="1142"/>
      <c r="MTU112" s="1142"/>
      <c r="MTV112" s="1142"/>
      <c r="MTW112" s="1142"/>
      <c r="MTX112" s="1142"/>
      <c r="MTY112" s="1142"/>
      <c r="MTZ112" s="1142"/>
      <c r="MUA112" s="1142"/>
      <c r="MUB112" s="1142"/>
      <c r="MUC112" s="1142"/>
      <c r="MUD112" s="1142"/>
      <c r="MUE112" s="1142"/>
      <c r="MUF112" s="1142"/>
      <c r="MUG112" s="1142"/>
      <c r="MUH112" s="1142"/>
      <c r="MUI112" s="1142"/>
      <c r="MUJ112" s="1142"/>
      <c r="MUK112" s="1167"/>
      <c r="MUL112" s="1167"/>
      <c r="MUM112" s="1167"/>
      <c r="MUN112" s="1167"/>
      <c r="MUO112" s="1167"/>
      <c r="MUP112" s="1167"/>
      <c r="MUQ112" s="1167"/>
      <c r="MUR112" s="1167"/>
      <c r="MUS112" s="1167"/>
      <c r="MUT112" s="1142"/>
      <c r="MUU112" s="1142"/>
      <c r="MUV112" s="1142"/>
      <c r="MUW112" s="1142"/>
      <c r="MUX112" s="1142"/>
      <c r="MUY112" s="1142"/>
      <c r="MUZ112" s="1142"/>
      <c r="MVA112" s="1142"/>
      <c r="MVB112" s="1142"/>
      <c r="MVC112" s="1142"/>
      <c r="MVD112" s="1142"/>
      <c r="MVE112" s="1142"/>
      <c r="MVF112" s="1142"/>
      <c r="MVG112" s="1142"/>
      <c r="MVH112" s="1142"/>
      <c r="MVI112" s="1142"/>
      <c r="MVJ112" s="1142"/>
      <c r="MVK112" s="1142"/>
      <c r="MVL112" s="1142"/>
      <c r="MVM112" s="1142"/>
      <c r="MVN112" s="1142"/>
      <c r="MVO112" s="1142"/>
      <c r="MVP112" s="1142"/>
      <c r="MVQ112" s="1167"/>
      <c r="MVR112" s="1167"/>
      <c r="MVS112" s="1167"/>
      <c r="MVT112" s="1167"/>
      <c r="MVU112" s="1167"/>
      <c r="MVV112" s="1167"/>
      <c r="MVW112" s="1167"/>
      <c r="MVX112" s="1167"/>
      <c r="MVY112" s="1167"/>
      <c r="MVZ112" s="1142"/>
      <c r="MWA112" s="1142"/>
      <c r="MWB112" s="1142"/>
      <c r="MWC112" s="1142"/>
      <c r="MWD112" s="1142"/>
      <c r="MWE112" s="1142"/>
      <c r="MWF112" s="1142"/>
      <c r="MWG112" s="1142"/>
      <c r="MWH112" s="1142"/>
      <c r="MWI112" s="1142"/>
      <c r="MWJ112" s="1142"/>
      <c r="MWK112" s="1142"/>
      <c r="MWL112" s="1142"/>
      <c r="MWM112" s="1142"/>
      <c r="MWN112" s="1142"/>
      <c r="MWO112" s="1142"/>
      <c r="MWP112" s="1142"/>
      <c r="MWQ112" s="1142"/>
      <c r="MWR112" s="1142"/>
      <c r="MWS112" s="1142"/>
      <c r="MWT112" s="1142"/>
      <c r="MWU112" s="1142"/>
      <c r="MWV112" s="1142"/>
      <c r="MWW112" s="1167"/>
      <c r="MWX112" s="1167"/>
      <c r="MWY112" s="1167"/>
      <c r="MWZ112" s="1167"/>
      <c r="MXA112" s="1167"/>
      <c r="MXB112" s="1167"/>
      <c r="MXC112" s="1167"/>
      <c r="MXD112" s="1167"/>
      <c r="MXE112" s="1167"/>
      <c r="MXF112" s="1142"/>
      <c r="MXG112" s="1142"/>
      <c r="MXH112" s="1142"/>
      <c r="MXI112" s="1142"/>
      <c r="MXJ112" s="1142"/>
      <c r="MXK112" s="1142"/>
      <c r="MXL112" s="1142"/>
      <c r="MXM112" s="1142"/>
      <c r="MXN112" s="1142"/>
      <c r="MXO112" s="1142"/>
      <c r="MXP112" s="1142"/>
      <c r="MXQ112" s="1142"/>
      <c r="MXR112" s="1142"/>
      <c r="MXS112" s="1142"/>
      <c r="MXT112" s="1142"/>
      <c r="MXU112" s="1142"/>
      <c r="MXV112" s="1142"/>
      <c r="MXW112" s="1142"/>
      <c r="MXX112" s="1142"/>
      <c r="MXY112" s="1142"/>
      <c r="MXZ112" s="1142"/>
      <c r="MYA112" s="1142"/>
      <c r="MYB112" s="1142"/>
      <c r="MYC112" s="1167"/>
      <c r="MYD112" s="1167"/>
      <c r="MYE112" s="1167"/>
      <c r="MYF112" s="1167"/>
      <c r="MYG112" s="1167"/>
      <c r="MYH112" s="1167"/>
      <c r="MYI112" s="1167"/>
      <c r="MYJ112" s="1167"/>
      <c r="MYK112" s="1167"/>
      <c r="MYL112" s="1142"/>
      <c r="MYM112" s="1142"/>
      <c r="MYN112" s="1142"/>
      <c r="MYO112" s="1142"/>
      <c r="MYP112" s="1142"/>
      <c r="MYQ112" s="1142"/>
      <c r="MYR112" s="1142"/>
      <c r="MYS112" s="1142"/>
      <c r="MYT112" s="1142"/>
      <c r="MYU112" s="1142"/>
      <c r="MYV112" s="1142"/>
      <c r="MYW112" s="1142"/>
      <c r="MYX112" s="1142"/>
      <c r="MYY112" s="1142"/>
      <c r="MYZ112" s="1142"/>
      <c r="MZA112" s="1142"/>
      <c r="MZB112" s="1142"/>
      <c r="MZC112" s="1142"/>
      <c r="MZD112" s="1142"/>
      <c r="MZE112" s="1142"/>
      <c r="MZF112" s="1142"/>
      <c r="MZG112" s="1142"/>
      <c r="MZH112" s="1142"/>
      <c r="MZI112" s="1167"/>
      <c r="MZJ112" s="1167"/>
      <c r="MZK112" s="1167"/>
      <c r="MZL112" s="1167"/>
      <c r="MZM112" s="1167"/>
      <c r="MZN112" s="1167"/>
      <c r="MZO112" s="1167"/>
      <c r="MZP112" s="1167"/>
      <c r="MZQ112" s="1167"/>
      <c r="MZR112" s="1142"/>
      <c r="MZS112" s="1142"/>
      <c r="MZT112" s="1142"/>
      <c r="MZU112" s="1142"/>
      <c r="MZV112" s="1142"/>
      <c r="MZW112" s="1142"/>
      <c r="MZX112" s="1142"/>
      <c r="MZY112" s="1142"/>
      <c r="MZZ112" s="1142"/>
      <c r="NAA112" s="1142"/>
      <c r="NAB112" s="1142"/>
      <c r="NAC112" s="1142"/>
      <c r="NAD112" s="1142"/>
      <c r="NAE112" s="1142"/>
      <c r="NAF112" s="1142"/>
      <c r="NAG112" s="1142"/>
      <c r="NAH112" s="1142"/>
      <c r="NAI112" s="1142"/>
      <c r="NAJ112" s="1142"/>
      <c r="NAK112" s="1142"/>
      <c r="NAL112" s="1142"/>
      <c r="NAM112" s="1142"/>
      <c r="NAN112" s="1142"/>
      <c r="NAO112" s="1167"/>
      <c r="NAP112" s="1167"/>
      <c r="NAQ112" s="1167"/>
      <c r="NAR112" s="1167"/>
      <c r="NAS112" s="1167"/>
      <c r="NAT112" s="1167"/>
      <c r="NAU112" s="1167"/>
      <c r="NAV112" s="1167"/>
      <c r="NAW112" s="1167"/>
      <c r="NAX112" s="1142"/>
      <c r="NAY112" s="1142"/>
      <c r="NAZ112" s="1142"/>
      <c r="NBA112" s="1142"/>
      <c r="NBB112" s="1142"/>
      <c r="NBC112" s="1142"/>
      <c r="NBD112" s="1142"/>
      <c r="NBE112" s="1142"/>
      <c r="NBF112" s="1142"/>
      <c r="NBG112" s="1142"/>
      <c r="NBH112" s="1142"/>
      <c r="NBI112" s="1142"/>
      <c r="NBJ112" s="1142"/>
      <c r="NBK112" s="1142"/>
      <c r="NBL112" s="1142"/>
      <c r="NBM112" s="1142"/>
      <c r="NBN112" s="1142"/>
      <c r="NBO112" s="1142"/>
      <c r="NBP112" s="1142"/>
      <c r="NBQ112" s="1142"/>
      <c r="NBR112" s="1142"/>
      <c r="NBS112" s="1142"/>
      <c r="NBT112" s="1142"/>
      <c r="NBU112" s="1167"/>
      <c r="NBV112" s="1167"/>
      <c r="NBW112" s="1167"/>
      <c r="NBX112" s="1167"/>
      <c r="NBY112" s="1167"/>
      <c r="NBZ112" s="1167"/>
      <c r="NCA112" s="1167"/>
      <c r="NCB112" s="1167"/>
      <c r="NCC112" s="1167"/>
      <c r="NCD112" s="1142"/>
      <c r="NCE112" s="1142"/>
      <c r="NCF112" s="1142"/>
      <c r="NCG112" s="1142"/>
      <c r="NCH112" s="1142"/>
      <c r="NCI112" s="1142"/>
      <c r="NCJ112" s="1142"/>
      <c r="NCK112" s="1142"/>
      <c r="NCL112" s="1142"/>
      <c r="NCM112" s="1142"/>
      <c r="NCN112" s="1142"/>
      <c r="NCO112" s="1142"/>
      <c r="NCP112" s="1142"/>
      <c r="NCQ112" s="1142"/>
      <c r="NCR112" s="1142"/>
      <c r="NCS112" s="1142"/>
      <c r="NCT112" s="1142"/>
      <c r="NCU112" s="1142"/>
      <c r="NCV112" s="1142"/>
      <c r="NCW112" s="1142"/>
      <c r="NCX112" s="1142"/>
      <c r="NCY112" s="1142"/>
      <c r="NCZ112" s="1142"/>
      <c r="NDA112" s="1167"/>
      <c r="NDB112" s="1167"/>
      <c r="NDC112" s="1167"/>
      <c r="NDD112" s="1167"/>
      <c r="NDE112" s="1167"/>
      <c r="NDF112" s="1167"/>
      <c r="NDG112" s="1167"/>
      <c r="NDH112" s="1167"/>
      <c r="NDI112" s="1167"/>
      <c r="NDJ112" s="1142"/>
      <c r="NDK112" s="1142"/>
      <c r="NDL112" s="1142"/>
      <c r="NDM112" s="1142"/>
      <c r="NDN112" s="1142"/>
      <c r="NDO112" s="1142"/>
      <c r="NDP112" s="1142"/>
      <c r="NDQ112" s="1142"/>
      <c r="NDR112" s="1142"/>
      <c r="NDS112" s="1142"/>
      <c r="NDT112" s="1142"/>
      <c r="NDU112" s="1142"/>
      <c r="NDV112" s="1142"/>
      <c r="NDW112" s="1142"/>
      <c r="NDX112" s="1142"/>
      <c r="NDY112" s="1142"/>
      <c r="NDZ112" s="1142"/>
      <c r="NEA112" s="1142"/>
      <c r="NEB112" s="1142"/>
      <c r="NEC112" s="1142"/>
      <c r="NED112" s="1142"/>
      <c r="NEE112" s="1142"/>
      <c r="NEF112" s="1142"/>
      <c r="NEG112" s="1167"/>
      <c r="NEH112" s="1167"/>
      <c r="NEI112" s="1167"/>
      <c r="NEJ112" s="1167"/>
      <c r="NEK112" s="1167"/>
      <c r="NEL112" s="1167"/>
      <c r="NEM112" s="1167"/>
      <c r="NEN112" s="1167"/>
      <c r="NEO112" s="1167"/>
      <c r="NEP112" s="1142"/>
      <c r="NEQ112" s="1142"/>
      <c r="NER112" s="1142"/>
      <c r="NES112" s="1142"/>
      <c r="NET112" s="1142"/>
      <c r="NEU112" s="1142"/>
      <c r="NEV112" s="1142"/>
      <c r="NEW112" s="1142"/>
      <c r="NEX112" s="1142"/>
      <c r="NEY112" s="1142"/>
      <c r="NEZ112" s="1142"/>
      <c r="NFA112" s="1142"/>
      <c r="NFB112" s="1142"/>
      <c r="NFC112" s="1142"/>
      <c r="NFD112" s="1142"/>
      <c r="NFE112" s="1142"/>
      <c r="NFF112" s="1142"/>
      <c r="NFG112" s="1142"/>
      <c r="NFH112" s="1142"/>
      <c r="NFI112" s="1142"/>
      <c r="NFJ112" s="1142"/>
      <c r="NFK112" s="1142"/>
      <c r="NFL112" s="1142"/>
      <c r="NFM112" s="1167"/>
      <c r="NFN112" s="1167"/>
      <c r="NFO112" s="1167"/>
      <c r="NFP112" s="1167"/>
      <c r="NFQ112" s="1167"/>
      <c r="NFR112" s="1167"/>
      <c r="NFS112" s="1167"/>
      <c r="NFT112" s="1167"/>
      <c r="NFU112" s="1167"/>
      <c r="NFV112" s="1142"/>
      <c r="NFW112" s="1142"/>
      <c r="NFX112" s="1142"/>
      <c r="NFY112" s="1142"/>
      <c r="NFZ112" s="1142"/>
      <c r="NGA112" s="1142"/>
      <c r="NGB112" s="1142"/>
      <c r="NGC112" s="1142"/>
      <c r="NGD112" s="1142"/>
      <c r="NGE112" s="1142"/>
      <c r="NGF112" s="1142"/>
      <c r="NGG112" s="1142"/>
      <c r="NGH112" s="1142"/>
      <c r="NGI112" s="1142"/>
      <c r="NGJ112" s="1142"/>
      <c r="NGK112" s="1142"/>
      <c r="NGL112" s="1142"/>
      <c r="NGM112" s="1142"/>
      <c r="NGN112" s="1142"/>
      <c r="NGO112" s="1142"/>
      <c r="NGP112" s="1142"/>
      <c r="NGQ112" s="1142"/>
      <c r="NGR112" s="1142"/>
      <c r="NGS112" s="1167"/>
      <c r="NGT112" s="1167"/>
      <c r="NGU112" s="1167"/>
      <c r="NGV112" s="1167"/>
      <c r="NGW112" s="1167"/>
      <c r="NGX112" s="1167"/>
      <c r="NGY112" s="1167"/>
      <c r="NGZ112" s="1167"/>
      <c r="NHA112" s="1167"/>
      <c r="NHB112" s="1142"/>
      <c r="NHC112" s="1142"/>
      <c r="NHD112" s="1142"/>
      <c r="NHE112" s="1142"/>
      <c r="NHF112" s="1142"/>
      <c r="NHG112" s="1142"/>
      <c r="NHH112" s="1142"/>
      <c r="NHI112" s="1142"/>
      <c r="NHJ112" s="1142"/>
      <c r="NHK112" s="1142"/>
      <c r="NHL112" s="1142"/>
      <c r="NHM112" s="1142"/>
      <c r="NHN112" s="1142"/>
      <c r="NHO112" s="1142"/>
      <c r="NHP112" s="1142"/>
      <c r="NHQ112" s="1142"/>
      <c r="NHR112" s="1142"/>
      <c r="NHS112" s="1142"/>
      <c r="NHT112" s="1142"/>
      <c r="NHU112" s="1142"/>
      <c r="NHV112" s="1142"/>
      <c r="NHW112" s="1142"/>
      <c r="NHX112" s="1142"/>
      <c r="NHY112" s="1167"/>
      <c r="NHZ112" s="1167"/>
      <c r="NIA112" s="1167"/>
      <c r="NIB112" s="1167"/>
      <c r="NIC112" s="1167"/>
      <c r="NID112" s="1167"/>
      <c r="NIE112" s="1167"/>
      <c r="NIF112" s="1167"/>
      <c r="NIG112" s="1167"/>
      <c r="NIH112" s="1142"/>
      <c r="NII112" s="1142"/>
      <c r="NIJ112" s="1142"/>
      <c r="NIK112" s="1142"/>
      <c r="NIL112" s="1142"/>
      <c r="NIM112" s="1142"/>
      <c r="NIN112" s="1142"/>
      <c r="NIO112" s="1142"/>
      <c r="NIP112" s="1142"/>
      <c r="NIQ112" s="1142"/>
      <c r="NIR112" s="1142"/>
      <c r="NIS112" s="1142"/>
      <c r="NIT112" s="1142"/>
      <c r="NIU112" s="1142"/>
      <c r="NIV112" s="1142"/>
      <c r="NIW112" s="1142"/>
      <c r="NIX112" s="1142"/>
      <c r="NIY112" s="1142"/>
      <c r="NIZ112" s="1142"/>
      <c r="NJA112" s="1142"/>
      <c r="NJB112" s="1142"/>
      <c r="NJC112" s="1142"/>
      <c r="NJD112" s="1142"/>
      <c r="NJE112" s="1167"/>
      <c r="NJF112" s="1167"/>
      <c r="NJG112" s="1167"/>
      <c r="NJH112" s="1167"/>
      <c r="NJI112" s="1167"/>
      <c r="NJJ112" s="1167"/>
      <c r="NJK112" s="1167"/>
      <c r="NJL112" s="1167"/>
      <c r="NJM112" s="1167"/>
      <c r="NJN112" s="1142"/>
      <c r="NJO112" s="1142"/>
      <c r="NJP112" s="1142"/>
      <c r="NJQ112" s="1142"/>
      <c r="NJR112" s="1142"/>
      <c r="NJS112" s="1142"/>
      <c r="NJT112" s="1142"/>
      <c r="NJU112" s="1142"/>
      <c r="NJV112" s="1142"/>
      <c r="NJW112" s="1142"/>
      <c r="NJX112" s="1142"/>
      <c r="NJY112" s="1142"/>
      <c r="NJZ112" s="1142"/>
      <c r="NKA112" s="1142"/>
      <c r="NKB112" s="1142"/>
      <c r="NKC112" s="1142"/>
      <c r="NKD112" s="1142"/>
      <c r="NKE112" s="1142"/>
      <c r="NKF112" s="1142"/>
      <c r="NKG112" s="1142"/>
      <c r="NKH112" s="1142"/>
      <c r="NKI112" s="1142"/>
      <c r="NKJ112" s="1142"/>
      <c r="NKK112" s="1167"/>
      <c r="NKL112" s="1167"/>
      <c r="NKM112" s="1167"/>
      <c r="NKN112" s="1167"/>
      <c r="NKO112" s="1167"/>
      <c r="NKP112" s="1167"/>
      <c r="NKQ112" s="1167"/>
      <c r="NKR112" s="1167"/>
      <c r="NKS112" s="1167"/>
      <c r="NKT112" s="1142"/>
      <c r="NKU112" s="1142"/>
      <c r="NKV112" s="1142"/>
      <c r="NKW112" s="1142"/>
      <c r="NKX112" s="1142"/>
      <c r="NKY112" s="1142"/>
      <c r="NKZ112" s="1142"/>
      <c r="NLA112" s="1142"/>
      <c r="NLB112" s="1142"/>
      <c r="NLC112" s="1142"/>
      <c r="NLD112" s="1142"/>
      <c r="NLE112" s="1142"/>
      <c r="NLF112" s="1142"/>
      <c r="NLG112" s="1142"/>
      <c r="NLH112" s="1142"/>
      <c r="NLI112" s="1142"/>
      <c r="NLJ112" s="1142"/>
      <c r="NLK112" s="1142"/>
      <c r="NLL112" s="1142"/>
      <c r="NLM112" s="1142"/>
      <c r="NLN112" s="1142"/>
      <c r="NLO112" s="1142"/>
      <c r="NLP112" s="1142"/>
      <c r="NLQ112" s="1167"/>
      <c r="NLR112" s="1167"/>
      <c r="NLS112" s="1167"/>
      <c r="NLT112" s="1167"/>
      <c r="NLU112" s="1167"/>
      <c r="NLV112" s="1167"/>
      <c r="NLW112" s="1167"/>
      <c r="NLX112" s="1167"/>
      <c r="NLY112" s="1167"/>
      <c r="NLZ112" s="1142"/>
      <c r="NMA112" s="1142"/>
      <c r="NMB112" s="1142"/>
      <c r="NMC112" s="1142"/>
      <c r="NMD112" s="1142"/>
      <c r="NME112" s="1142"/>
      <c r="NMF112" s="1142"/>
      <c r="NMG112" s="1142"/>
      <c r="NMH112" s="1142"/>
      <c r="NMI112" s="1142"/>
      <c r="NMJ112" s="1142"/>
      <c r="NMK112" s="1142"/>
      <c r="NML112" s="1142"/>
      <c r="NMM112" s="1142"/>
      <c r="NMN112" s="1142"/>
      <c r="NMO112" s="1142"/>
      <c r="NMP112" s="1142"/>
      <c r="NMQ112" s="1142"/>
      <c r="NMR112" s="1142"/>
      <c r="NMS112" s="1142"/>
      <c r="NMT112" s="1142"/>
      <c r="NMU112" s="1142"/>
      <c r="NMV112" s="1142"/>
      <c r="NMW112" s="1167"/>
      <c r="NMX112" s="1167"/>
      <c r="NMY112" s="1167"/>
      <c r="NMZ112" s="1167"/>
      <c r="NNA112" s="1167"/>
      <c r="NNB112" s="1167"/>
      <c r="NNC112" s="1167"/>
      <c r="NND112" s="1167"/>
      <c r="NNE112" s="1167"/>
      <c r="NNF112" s="1142"/>
      <c r="NNG112" s="1142"/>
      <c r="NNH112" s="1142"/>
      <c r="NNI112" s="1142"/>
      <c r="NNJ112" s="1142"/>
      <c r="NNK112" s="1142"/>
      <c r="NNL112" s="1142"/>
      <c r="NNM112" s="1142"/>
      <c r="NNN112" s="1142"/>
      <c r="NNO112" s="1142"/>
      <c r="NNP112" s="1142"/>
      <c r="NNQ112" s="1142"/>
      <c r="NNR112" s="1142"/>
      <c r="NNS112" s="1142"/>
      <c r="NNT112" s="1142"/>
      <c r="NNU112" s="1142"/>
      <c r="NNV112" s="1142"/>
      <c r="NNW112" s="1142"/>
      <c r="NNX112" s="1142"/>
      <c r="NNY112" s="1142"/>
      <c r="NNZ112" s="1142"/>
      <c r="NOA112" s="1142"/>
      <c r="NOB112" s="1142"/>
      <c r="NOC112" s="1167"/>
      <c r="NOD112" s="1167"/>
      <c r="NOE112" s="1167"/>
      <c r="NOF112" s="1167"/>
      <c r="NOG112" s="1167"/>
      <c r="NOH112" s="1167"/>
      <c r="NOI112" s="1167"/>
      <c r="NOJ112" s="1167"/>
      <c r="NOK112" s="1167"/>
      <c r="NOL112" s="1142"/>
      <c r="NOM112" s="1142"/>
      <c r="NON112" s="1142"/>
      <c r="NOO112" s="1142"/>
      <c r="NOP112" s="1142"/>
      <c r="NOQ112" s="1142"/>
      <c r="NOR112" s="1142"/>
      <c r="NOS112" s="1142"/>
      <c r="NOT112" s="1142"/>
      <c r="NOU112" s="1142"/>
      <c r="NOV112" s="1142"/>
      <c r="NOW112" s="1142"/>
      <c r="NOX112" s="1142"/>
      <c r="NOY112" s="1142"/>
      <c r="NOZ112" s="1142"/>
      <c r="NPA112" s="1142"/>
      <c r="NPB112" s="1142"/>
      <c r="NPC112" s="1142"/>
      <c r="NPD112" s="1142"/>
      <c r="NPE112" s="1142"/>
      <c r="NPF112" s="1142"/>
      <c r="NPG112" s="1142"/>
      <c r="NPH112" s="1142"/>
      <c r="NPI112" s="1167"/>
      <c r="NPJ112" s="1167"/>
      <c r="NPK112" s="1167"/>
      <c r="NPL112" s="1167"/>
      <c r="NPM112" s="1167"/>
      <c r="NPN112" s="1167"/>
      <c r="NPO112" s="1167"/>
      <c r="NPP112" s="1167"/>
      <c r="NPQ112" s="1167"/>
      <c r="NPR112" s="1142"/>
      <c r="NPS112" s="1142"/>
      <c r="NPT112" s="1142"/>
      <c r="NPU112" s="1142"/>
      <c r="NPV112" s="1142"/>
      <c r="NPW112" s="1142"/>
      <c r="NPX112" s="1142"/>
      <c r="NPY112" s="1142"/>
      <c r="NPZ112" s="1142"/>
      <c r="NQA112" s="1142"/>
      <c r="NQB112" s="1142"/>
      <c r="NQC112" s="1142"/>
      <c r="NQD112" s="1142"/>
      <c r="NQE112" s="1142"/>
      <c r="NQF112" s="1142"/>
      <c r="NQG112" s="1142"/>
      <c r="NQH112" s="1142"/>
      <c r="NQI112" s="1142"/>
      <c r="NQJ112" s="1142"/>
      <c r="NQK112" s="1142"/>
      <c r="NQL112" s="1142"/>
      <c r="NQM112" s="1142"/>
      <c r="NQN112" s="1142"/>
      <c r="NQO112" s="1167"/>
      <c r="NQP112" s="1167"/>
      <c r="NQQ112" s="1167"/>
      <c r="NQR112" s="1167"/>
      <c r="NQS112" s="1167"/>
      <c r="NQT112" s="1167"/>
      <c r="NQU112" s="1167"/>
      <c r="NQV112" s="1167"/>
      <c r="NQW112" s="1167"/>
      <c r="NQX112" s="1142"/>
      <c r="NQY112" s="1142"/>
      <c r="NQZ112" s="1142"/>
      <c r="NRA112" s="1142"/>
      <c r="NRB112" s="1142"/>
      <c r="NRC112" s="1142"/>
      <c r="NRD112" s="1142"/>
      <c r="NRE112" s="1142"/>
      <c r="NRF112" s="1142"/>
      <c r="NRG112" s="1142"/>
      <c r="NRH112" s="1142"/>
      <c r="NRI112" s="1142"/>
      <c r="NRJ112" s="1142"/>
      <c r="NRK112" s="1142"/>
      <c r="NRL112" s="1142"/>
      <c r="NRM112" s="1142"/>
      <c r="NRN112" s="1142"/>
      <c r="NRO112" s="1142"/>
      <c r="NRP112" s="1142"/>
      <c r="NRQ112" s="1142"/>
      <c r="NRR112" s="1142"/>
      <c r="NRS112" s="1142"/>
      <c r="NRT112" s="1142"/>
      <c r="NRU112" s="1167"/>
      <c r="NRV112" s="1167"/>
      <c r="NRW112" s="1167"/>
      <c r="NRX112" s="1167"/>
      <c r="NRY112" s="1167"/>
      <c r="NRZ112" s="1167"/>
      <c r="NSA112" s="1167"/>
      <c r="NSB112" s="1167"/>
      <c r="NSC112" s="1167"/>
      <c r="NSD112" s="1142"/>
      <c r="NSE112" s="1142"/>
      <c r="NSF112" s="1142"/>
      <c r="NSG112" s="1142"/>
      <c r="NSH112" s="1142"/>
      <c r="NSI112" s="1142"/>
      <c r="NSJ112" s="1142"/>
      <c r="NSK112" s="1142"/>
      <c r="NSL112" s="1142"/>
      <c r="NSM112" s="1142"/>
      <c r="NSN112" s="1142"/>
      <c r="NSO112" s="1142"/>
      <c r="NSP112" s="1142"/>
      <c r="NSQ112" s="1142"/>
      <c r="NSR112" s="1142"/>
      <c r="NSS112" s="1142"/>
      <c r="NST112" s="1142"/>
      <c r="NSU112" s="1142"/>
      <c r="NSV112" s="1142"/>
      <c r="NSW112" s="1142"/>
      <c r="NSX112" s="1142"/>
      <c r="NSY112" s="1142"/>
      <c r="NSZ112" s="1142"/>
      <c r="NTA112" s="1167"/>
      <c r="NTB112" s="1167"/>
      <c r="NTC112" s="1167"/>
      <c r="NTD112" s="1167"/>
      <c r="NTE112" s="1167"/>
      <c r="NTF112" s="1167"/>
      <c r="NTG112" s="1167"/>
      <c r="NTH112" s="1167"/>
      <c r="NTI112" s="1167"/>
      <c r="NTJ112" s="1142"/>
      <c r="NTK112" s="1142"/>
      <c r="NTL112" s="1142"/>
      <c r="NTM112" s="1142"/>
      <c r="NTN112" s="1142"/>
      <c r="NTO112" s="1142"/>
      <c r="NTP112" s="1142"/>
      <c r="NTQ112" s="1142"/>
      <c r="NTR112" s="1142"/>
      <c r="NTS112" s="1142"/>
      <c r="NTT112" s="1142"/>
      <c r="NTU112" s="1142"/>
      <c r="NTV112" s="1142"/>
      <c r="NTW112" s="1142"/>
      <c r="NTX112" s="1142"/>
      <c r="NTY112" s="1142"/>
      <c r="NTZ112" s="1142"/>
      <c r="NUA112" s="1142"/>
      <c r="NUB112" s="1142"/>
      <c r="NUC112" s="1142"/>
      <c r="NUD112" s="1142"/>
      <c r="NUE112" s="1142"/>
      <c r="NUF112" s="1142"/>
      <c r="NUG112" s="1167"/>
      <c r="NUH112" s="1167"/>
      <c r="NUI112" s="1167"/>
      <c r="NUJ112" s="1167"/>
      <c r="NUK112" s="1167"/>
      <c r="NUL112" s="1167"/>
      <c r="NUM112" s="1167"/>
      <c r="NUN112" s="1167"/>
      <c r="NUO112" s="1167"/>
      <c r="NUP112" s="1142"/>
      <c r="NUQ112" s="1142"/>
      <c r="NUR112" s="1142"/>
      <c r="NUS112" s="1142"/>
      <c r="NUT112" s="1142"/>
      <c r="NUU112" s="1142"/>
      <c r="NUV112" s="1142"/>
      <c r="NUW112" s="1142"/>
      <c r="NUX112" s="1142"/>
      <c r="NUY112" s="1142"/>
      <c r="NUZ112" s="1142"/>
      <c r="NVA112" s="1142"/>
      <c r="NVB112" s="1142"/>
      <c r="NVC112" s="1142"/>
      <c r="NVD112" s="1142"/>
      <c r="NVE112" s="1142"/>
      <c r="NVF112" s="1142"/>
      <c r="NVG112" s="1142"/>
      <c r="NVH112" s="1142"/>
      <c r="NVI112" s="1142"/>
      <c r="NVJ112" s="1142"/>
      <c r="NVK112" s="1142"/>
      <c r="NVL112" s="1142"/>
      <c r="NVM112" s="1167"/>
      <c r="NVN112" s="1167"/>
      <c r="NVO112" s="1167"/>
      <c r="NVP112" s="1167"/>
      <c r="NVQ112" s="1167"/>
      <c r="NVR112" s="1167"/>
      <c r="NVS112" s="1167"/>
      <c r="NVT112" s="1167"/>
      <c r="NVU112" s="1167"/>
      <c r="NVV112" s="1142"/>
      <c r="NVW112" s="1142"/>
      <c r="NVX112" s="1142"/>
      <c r="NVY112" s="1142"/>
      <c r="NVZ112" s="1142"/>
      <c r="NWA112" s="1142"/>
      <c r="NWB112" s="1142"/>
      <c r="NWC112" s="1142"/>
      <c r="NWD112" s="1142"/>
      <c r="NWE112" s="1142"/>
      <c r="NWF112" s="1142"/>
      <c r="NWG112" s="1142"/>
      <c r="NWH112" s="1142"/>
      <c r="NWI112" s="1142"/>
      <c r="NWJ112" s="1142"/>
      <c r="NWK112" s="1142"/>
      <c r="NWL112" s="1142"/>
      <c r="NWM112" s="1142"/>
      <c r="NWN112" s="1142"/>
      <c r="NWO112" s="1142"/>
      <c r="NWP112" s="1142"/>
      <c r="NWQ112" s="1142"/>
      <c r="NWR112" s="1142"/>
      <c r="NWS112" s="1167"/>
      <c r="NWT112" s="1167"/>
      <c r="NWU112" s="1167"/>
      <c r="NWV112" s="1167"/>
      <c r="NWW112" s="1167"/>
      <c r="NWX112" s="1167"/>
      <c r="NWY112" s="1167"/>
      <c r="NWZ112" s="1167"/>
      <c r="NXA112" s="1167"/>
      <c r="NXB112" s="1142"/>
      <c r="NXC112" s="1142"/>
      <c r="NXD112" s="1142"/>
      <c r="NXE112" s="1142"/>
      <c r="NXF112" s="1142"/>
      <c r="NXG112" s="1142"/>
      <c r="NXH112" s="1142"/>
      <c r="NXI112" s="1142"/>
      <c r="NXJ112" s="1142"/>
      <c r="NXK112" s="1142"/>
      <c r="NXL112" s="1142"/>
      <c r="NXM112" s="1142"/>
      <c r="NXN112" s="1142"/>
      <c r="NXO112" s="1142"/>
      <c r="NXP112" s="1142"/>
      <c r="NXQ112" s="1142"/>
      <c r="NXR112" s="1142"/>
      <c r="NXS112" s="1142"/>
      <c r="NXT112" s="1142"/>
      <c r="NXU112" s="1142"/>
      <c r="NXV112" s="1142"/>
      <c r="NXW112" s="1142"/>
      <c r="NXX112" s="1142"/>
      <c r="NXY112" s="1167"/>
      <c r="NXZ112" s="1167"/>
      <c r="NYA112" s="1167"/>
      <c r="NYB112" s="1167"/>
      <c r="NYC112" s="1167"/>
      <c r="NYD112" s="1167"/>
      <c r="NYE112" s="1167"/>
      <c r="NYF112" s="1167"/>
      <c r="NYG112" s="1167"/>
      <c r="NYH112" s="1142"/>
      <c r="NYI112" s="1142"/>
      <c r="NYJ112" s="1142"/>
      <c r="NYK112" s="1142"/>
      <c r="NYL112" s="1142"/>
      <c r="NYM112" s="1142"/>
      <c r="NYN112" s="1142"/>
      <c r="NYO112" s="1142"/>
      <c r="NYP112" s="1142"/>
      <c r="NYQ112" s="1142"/>
      <c r="NYR112" s="1142"/>
      <c r="NYS112" s="1142"/>
      <c r="NYT112" s="1142"/>
      <c r="NYU112" s="1142"/>
      <c r="NYV112" s="1142"/>
      <c r="NYW112" s="1142"/>
      <c r="NYX112" s="1142"/>
      <c r="NYY112" s="1142"/>
      <c r="NYZ112" s="1142"/>
      <c r="NZA112" s="1142"/>
      <c r="NZB112" s="1142"/>
      <c r="NZC112" s="1142"/>
      <c r="NZD112" s="1142"/>
      <c r="NZE112" s="1167"/>
      <c r="NZF112" s="1167"/>
      <c r="NZG112" s="1167"/>
      <c r="NZH112" s="1167"/>
      <c r="NZI112" s="1167"/>
      <c r="NZJ112" s="1167"/>
      <c r="NZK112" s="1167"/>
      <c r="NZL112" s="1167"/>
      <c r="NZM112" s="1167"/>
      <c r="NZN112" s="1142"/>
      <c r="NZO112" s="1142"/>
      <c r="NZP112" s="1142"/>
      <c r="NZQ112" s="1142"/>
      <c r="NZR112" s="1142"/>
      <c r="NZS112" s="1142"/>
      <c r="NZT112" s="1142"/>
      <c r="NZU112" s="1142"/>
      <c r="NZV112" s="1142"/>
      <c r="NZW112" s="1142"/>
      <c r="NZX112" s="1142"/>
      <c r="NZY112" s="1142"/>
      <c r="NZZ112" s="1142"/>
      <c r="OAA112" s="1142"/>
      <c r="OAB112" s="1142"/>
      <c r="OAC112" s="1142"/>
      <c r="OAD112" s="1142"/>
      <c r="OAE112" s="1142"/>
      <c r="OAF112" s="1142"/>
      <c r="OAG112" s="1142"/>
      <c r="OAH112" s="1142"/>
      <c r="OAI112" s="1142"/>
      <c r="OAJ112" s="1142"/>
      <c r="OAK112" s="1167"/>
      <c r="OAL112" s="1167"/>
      <c r="OAM112" s="1167"/>
      <c r="OAN112" s="1167"/>
      <c r="OAO112" s="1167"/>
      <c r="OAP112" s="1167"/>
      <c r="OAQ112" s="1167"/>
      <c r="OAR112" s="1167"/>
      <c r="OAS112" s="1167"/>
      <c r="OAT112" s="1142"/>
      <c r="OAU112" s="1142"/>
      <c r="OAV112" s="1142"/>
      <c r="OAW112" s="1142"/>
      <c r="OAX112" s="1142"/>
      <c r="OAY112" s="1142"/>
      <c r="OAZ112" s="1142"/>
      <c r="OBA112" s="1142"/>
      <c r="OBB112" s="1142"/>
      <c r="OBC112" s="1142"/>
      <c r="OBD112" s="1142"/>
      <c r="OBE112" s="1142"/>
      <c r="OBF112" s="1142"/>
      <c r="OBG112" s="1142"/>
      <c r="OBH112" s="1142"/>
      <c r="OBI112" s="1142"/>
      <c r="OBJ112" s="1142"/>
      <c r="OBK112" s="1142"/>
      <c r="OBL112" s="1142"/>
      <c r="OBM112" s="1142"/>
      <c r="OBN112" s="1142"/>
      <c r="OBO112" s="1142"/>
      <c r="OBP112" s="1142"/>
      <c r="OBQ112" s="1167"/>
      <c r="OBR112" s="1167"/>
      <c r="OBS112" s="1167"/>
      <c r="OBT112" s="1167"/>
      <c r="OBU112" s="1167"/>
      <c r="OBV112" s="1167"/>
      <c r="OBW112" s="1167"/>
      <c r="OBX112" s="1167"/>
      <c r="OBY112" s="1167"/>
      <c r="OBZ112" s="1142"/>
      <c r="OCA112" s="1142"/>
      <c r="OCB112" s="1142"/>
      <c r="OCC112" s="1142"/>
      <c r="OCD112" s="1142"/>
      <c r="OCE112" s="1142"/>
      <c r="OCF112" s="1142"/>
      <c r="OCG112" s="1142"/>
      <c r="OCH112" s="1142"/>
      <c r="OCI112" s="1142"/>
      <c r="OCJ112" s="1142"/>
      <c r="OCK112" s="1142"/>
      <c r="OCL112" s="1142"/>
      <c r="OCM112" s="1142"/>
      <c r="OCN112" s="1142"/>
      <c r="OCO112" s="1142"/>
      <c r="OCP112" s="1142"/>
      <c r="OCQ112" s="1142"/>
      <c r="OCR112" s="1142"/>
      <c r="OCS112" s="1142"/>
      <c r="OCT112" s="1142"/>
      <c r="OCU112" s="1142"/>
      <c r="OCV112" s="1142"/>
      <c r="OCW112" s="1167"/>
      <c r="OCX112" s="1167"/>
      <c r="OCY112" s="1167"/>
      <c r="OCZ112" s="1167"/>
      <c r="ODA112" s="1167"/>
      <c r="ODB112" s="1167"/>
      <c r="ODC112" s="1167"/>
      <c r="ODD112" s="1167"/>
      <c r="ODE112" s="1167"/>
      <c r="ODF112" s="1142"/>
      <c r="ODG112" s="1142"/>
      <c r="ODH112" s="1142"/>
      <c r="ODI112" s="1142"/>
      <c r="ODJ112" s="1142"/>
      <c r="ODK112" s="1142"/>
      <c r="ODL112" s="1142"/>
      <c r="ODM112" s="1142"/>
      <c r="ODN112" s="1142"/>
      <c r="ODO112" s="1142"/>
      <c r="ODP112" s="1142"/>
      <c r="ODQ112" s="1142"/>
      <c r="ODR112" s="1142"/>
      <c r="ODS112" s="1142"/>
      <c r="ODT112" s="1142"/>
      <c r="ODU112" s="1142"/>
      <c r="ODV112" s="1142"/>
      <c r="ODW112" s="1142"/>
      <c r="ODX112" s="1142"/>
      <c r="ODY112" s="1142"/>
      <c r="ODZ112" s="1142"/>
      <c r="OEA112" s="1142"/>
      <c r="OEB112" s="1142"/>
      <c r="OEC112" s="1167"/>
      <c r="OED112" s="1167"/>
      <c r="OEE112" s="1167"/>
      <c r="OEF112" s="1167"/>
      <c r="OEG112" s="1167"/>
      <c r="OEH112" s="1167"/>
      <c r="OEI112" s="1167"/>
      <c r="OEJ112" s="1167"/>
      <c r="OEK112" s="1167"/>
      <c r="OEL112" s="1142"/>
      <c r="OEM112" s="1142"/>
      <c r="OEN112" s="1142"/>
      <c r="OEO112" s="1142"/>
      <c r="OEP112" s="1142"/>
      <c r="OEQ112" s="1142"/>
      <c r="OER112" s="1142"/>
      <c r="OES112" s="1142"/>
      <c r="OET112" s="1142"/>
      <c r="OEU112" s="1142"/>
      <c r="OEV112" s="1142"/>
      <c r="OEW112" s="1142"/>
      <c r="OEX112" s="1142"/>
      <c r="OEY112" s="1142"/>
      <c r="OEZ112" s="1142"/>
      <c r="OFA112" s="1142"/>
      <c r="OFB112" s="1142"/>
      <c r="OFC112" s="1142"/>
      <c r="OFD112" s="1142"/>
      <c r="OFE112" s="1142"/>
      <c r="OFF112" s="1142"/>
      <c r="OFG112" s="1142"/>
      <c r="OFH112" s="1142"/>
      <c r="OFI112" s="1167"/>
      <c r="OFJ112" s="1167"/>
      <c r="OFK112" s="1167"/>
      <c r="OFL112" s="1167"/>
      <c r="OFM112" s="1167"/>
      <c r="OFN112" s="1167"/>
      <c r="OFO112" s="1167"/>
      <c r="OFP112" s="1167"/>
      <c r="OFQ112" s="1167"/>
      <c r="OFR112" s="1142"/>
      <c r="OFS112" s="1142"/>
      <c r="OFT112" s="1142"/>
      <c r="OFU112" s="1142"/>
      <c r="OFV112" s="1142"/>
      <c r="OFW112" s="1142"/>
      <c r="OFX112" s="1142"/>
      <c r="OFY112" s="1142"/>
      <c r="OFZ112" s="1142"/>
      <c r="OGA112" s="1142"/>
      <c r="OGB112" s="1142"/>
      <c r="OGC112" s="1142"/>
      <c r="OGD112" s="1142"/>
      <c r="OGE112" s="1142"/>
      <c r="OGF112" s="1142"/>
      <c r="OGG112" s="1142"/>
      <c r="OGH112" s="1142"/>
      <c r="OGI112" s="1142"/>
      <c r="OGJ112" s="1142"/>
      <c r="OGK112" s="1142"/>
      <c r="OGL112" s="1142"/>
      <c r="OGM112" s="1142"/>
      <c r="OGN112" s="1142"/>
      <c r="OGO112" s="1167"/>
      <c r="OGP112" s="1167"/>
      <c r="OGQ112" s="1167"/>
      <c r="OGR112" s="1167"/>
      <c r="OGS112" s="1167"/>
      <c r="OGT112" s="1167"/>
      <c r="OGU112" s="1167"/>
      <c r="OGV112" s="1167"/>
      <c r="OGW112" s="1167"/>
      <c r="OGX112" s="1142"/>
      <c r="OGY112" s="1142"/>
      <c r="OGZ112" s="1142"/>
      <c r="OHA112" s="1142"/>
      <c r="OHB112" s="1142"/>
      <c r="OHC112" s="1142"/>
      <c r="OHD112" s="1142"/>
      <c r="OHE112" s="1142"/>
      <c r="OHF112" s="1142"/>
      <c r="OHG112" s="1142"/>
      <c r="OHH112" s="1142"/>
      <c r="OHI112" s="1142"/>
      <c r="OHJ112" s="1142"/>
      <c r="OHK112" s="1142"/>
      <c r="OHL112" s="1142"/>
      <c r="OHM112" s="1142"/>
      <c r="OHN112" s="1142"/>
      <c r="OHO112" s="1142"/>
      <c r="OHP112" s="1142"/>
      <c r="OHQ112" s="1142"/>
      <c r="OHR112" s="1142"/>
      <c r="OHS112" s="1142"/>
      <c r="OHT112" s="1142"/>
      <c r="OHU112" s="1167"/>
      <c r="OHV112" s="1167"/>
      <c r="OHW112" s="1167"/>
      <c r="OHX112" s="1167"/>
      <c r="OHY112" s="1167"/>
      <c r="OHZ112" s="1167"/>
      <c r="OIA112" s="1167"/>
      <c r="OIB112" s="1167"/>
      <c r="OIC112" s="1167"/>
      <c r="OID112" s="1142"/>
      <c r="OIE112" s="1142"/>
      <c r="OIF112" s="1142"/>
      <c r="OIG112" s="1142"/>
      <c r="OIH112" s="1142"/>
      <c r="OII112" s="1142"/>
      <c r="OIJ112" s="1142"/>
      <c r="OIK112" s="1142"/>
      <c r="OIL112" s="1142"/>
      <c r="OIM112" s="1142"/>
      <c r="OIN112" s="1142"/>
      <c r="OIO112" s="1142"/>
      <c r="OIP112" s="1142"/>
      <c r="OIQ112" s="1142"/>
      <c r="OIR112" s="1142"/>
      <c r="OIS112" s="1142"/>
      <c r="OIT112" s="1142"/>
      <c r="OIU112" s="1142"/>
      <c r="OIV112" s="1142"/>
      <c r="OIW112" s="1142"/>
      <c r="OIX112" s="1142"/>
      <c r="OIY112" s="1142"/>
      <c r="OIZ112" s="1142"/>
      <c r="OJA112" s="1167"/>
      <c r="OJB112" s="1167"/>
      <c r="OJC112" s="1167"/>
      <c r="OJD112" s="1167"/>
      <c r="OJE112" s="1167"/>
      <c r="OJF112" s="1167"/>
      <c r="OJG112" s="1167"/>
      <c r="OJH112" s="1167"/>
      <c r="OJI112" s="1167"/>
      <c r="OJJ112" s="1142"/>
      <c r="OJK112" s="1142"/>
      <c r="OJL112" s="1142"/>
      <c r="OJM112" s="1142"/>
      <c r="OJN112" s="1142"/>
      <c r="OJO112" s="1142"/>
      <c r="OJP112" s="1142"/>
      <c r="OJQ112" s="1142"/>
      <c r="OJR112" s="1142"/>
      <c r="OJS112" s="1142"/>
      <c r="OJT112" s="1142"/>
      <c r="OJU112" s="1142"/>
      <c r="OJV112" s="1142"/>
      <c r="OJW112" s="1142"/>
      <c r="OJX112" s="1142"/>
      <c r="OJY112" s="1142"/>
      <c r="OJZ112" s="1142"/>
      <c r="OKA112" s="1142"/>
      <c r="OKB112" s="1142"/>
      <c r="OKC112" s="1142"/>
      <c r="OKD112" s="1142"/>
      <c r="OKE112" s="1142"/>
      <c r="OKF112" s="1142"/>
      <c r="OKG112" s="1167"/>
      <c r="OKH112" s="1167"/>
      <c r="OKI112" s="1167"/>
      <c r="OKJ112" s="1167"/>
      <c r="OKK112" s="1167"/>
      <c r="OKL112" s="1167"/>
      <c r="OKM112" s="1167"/>
      <c r="OKN112" s="1167"/>
      <c r="OKO112" s="1167"/>
      <c r="OKP112" s="1142"/>
      <c r="OKQ112" s="1142"/>
      <c r="OKR112" s="1142"/>
      <c r="OKS112" s="1142"/>
      <c r="OKT112" s="1142"/>
      <c r="OKU112" s="1142"/>
      <c r="OKV112" s="1142"/>
      <c r="OKW112" s="1142"/>
      <c r="OKX112" s="1142"/>
      <c r="OKY112" s="1142"/>
      <c r="OKZ112" s="1142"/>
      <c r="OLA112" s="1142"/>
      <c r="OLB112" s="1142"/>
      <c r="OLC112" s="1142"/>
      <c r="OLD112" s="1142"/>
      <c r="OLE112" s="1142"/>
      <c r="OLF112" s="1142"/>
      <c r="OLG112" s="1142"/>
      <c r="OLH112" s="1142"/>
      <c r="OLI112" s="1142"/>
      <c r="OLJ112" s="1142"/>
      <c r="OLK112" s="1142"/>
      <c r="OLL112" s="1142"/>
      <c r="OLM112" s="1167"/>
      <c r="OLN112" s="1167"/>
      <c r="OLO112" s="1167"/>
      <c r="OLP112" s="1167"/>
      <c r="OLQ112" s="1167"/>
      <c r="OLR112" s="1167"/>
      <c r="OLS112" s="1167"/>
      <c r="OLT112" s="1167"/>
      <c r="OLU112" s="1167"/>
      <c r="OLV112" s="1142"/>
      <c r="OLW112" s="1142"/>
      <c r="OLX112" s="1142"/>
      <c r="OLY112" s="1142"/>
      <c r="OLZ112" s="1142"/>
      <c r="OMA112" s="1142"/>
      <c r="OMB112" s="1142"/>
      <c r="OMC112" s="1142"/>
      <c r="OMD112" s="1142"/>
      <c r="OME112" s="1142"/>
      <c r="OMF112" s="1142"/>
      <c r="OMG112" s="1142"/>
      <c r="OMH112" s="1142"/>
      <c r="OMI112" s="1142"/>
      <c r="OMJ112" s="1142"/>
      <c r="OMK112" s="1142"/>
      <c r="OML112" s="1142"/>
      <c r="OMM112" s="1142"/>
      <c r="OMN112" s="1142"/>
      <c r="OMO112" s="1142"/>
      <c r="OMP112" s="1142"/>
      <c r="OMQ112" s="1142"/>
      <c r="OMR112" s="1142"/>
      <c r="OMS112" s="1167"/>
      <c r="OMT112" s="1167"/>
      <c r="OMU112" s="1167"/>
      <c r="OMV112" s="1167"/>
      <c r="OMW112" s="1167"/>
      <c r="OMX112" s="1167"/>
      <c r="OMY112" s="1167"/>
      <c r="OMZ112" s="1167"/>
      <c r="ONA112" s="1167"/>
      <c r="ONB112" s="1142"/>
      <c r="ONC112" s="1142"/>
      <c r="OND112" s="1142"/>
      <c r="ONE112" s="1142"/>
      <c r="ONF112" s="1142"/>
      <c r="ONG112" s="1142"/>
      <c r="ONH112" s="1142"/>
      <c r="ONI112" s="1142"/>
      <c r="ONJ112" s="1142"/>
      <c r="ONK112" s="1142"/>
      <c r="ONL112" s="1142"/>
      <c r="ONM112" s="1142"/>
      <c r="ONN112" s="1142"/>
      <c r="ONO112" s="1142"/>
      <c r="ONP112" s="1142"/>
      <c r="ONQ112" s="1142"/>
      <c r="ONR112" s="1142"/>
      <c r="ONS112" s="1142"/>
      <c r="ONT112" s="1142"/>
      <c r="ONU112" s="1142"/>
      <c r="ONV112" s="1142"/>
      <c r="ONW112" s="1142"/>
      <c r="ONX112" s="1142"/>
      <c r="ONY112" s="1167"/>
      <c r="ONZ112" s="1167"/>
      <c r="OOA112" s="1167"/>
      <c r="OOB112" s="1167"/>
      <c r="OOC112" s="1167"/>
      <c r="OOD112" s="1167"/>
      <c r="OOE112" s="1167"/>
      <c r="OOF112" s="1167"/>
      <c r="OOG112" s="1167"/>
      <c r="OOH112" s="1142"/>
      <c r="OOI112" s="1142"/>
      <c r="OOJ112" s="1142"/>
      <c r="OOK112" s="1142"/>
      <c r="OOL112" s="1142"/>
      <c r="OOM112" s="1142"/>
      <c r="OON112" s="1142"/>
      <c r="OOO112" s="1142"/>
      <c r="OOP112" s="1142"/>
      <c r="OOQ112" s="1142"/>
      <c r="OOR112" s="1142"/>
      <c r="OOS112" s="1142"/>
      <c r="OOT112" s="1142"/>
      <c r="OOU112" s="1142"/>
      <c r="OOV112" s="1142"/>
      <c r="OOW112" s="1142"/>
      <c r="OOX112" s="1142"/>
      <c r="OOY112" s="1142"/>
      <c r="OOZ112" s="1142"/>
      <c r="OPA112" s="1142"/>
      <c r="OPB112" s="1142"/>
      <c r="OPC112" s="1142"/>
      <c r="OPD112" s="1142"/>
      <c r="OPE112" s="1167"/>
      <c r="OPF112" s="1167"/>
      <c r="OPG112" s="1167"/>
      <c r="OPH112" s="1167"/>
      <c r="OPI112" s="1167"/>
      <c r="OPJ112" s="1167"/>
      <c r="OPK112" s="1167"/>
      <c r="OPL112" s="1167"/>
      <c r="OPM112" s="1167"/>
      <c r="OPN112" s="1142"/>
      <c r="OPO112" s="1142"/>
      <c r="OPP112" s="1142"/>
      <c r="OPQ112" s="1142"/>
      <c r="OPR112" s="1142"/>
      <c r="OPS112" s="1142"/>
      <c r="OPT112" s="1142"/>
      <c r="OPU112" s="1142"/>
      <c r="OPV112" s="1142"/>
      <c r="OPW112" s="1142"/>
      <c r="OPX112" s="1142"/>
      <c r="OPY112" s="1142"/>
      <c r="OPZ112" s="1142"/>
      <c r="OQA112" s="1142"/>
      <c r="OQB112" s="1142"/>
      <c r="OQC112" s="1142"/>
      <c r="OQD112" s="1142"/>
      <c r="OQE112" s="1142"/>
      <c r="OQF112" s="1142"/>
      <c r="OQG112" s="1142"/>
      <c r="OQH112" s="1142"/>
      <c r="OQI112" s="1142"/>
      <c r="OQJ112" s="1142"/>
      <c r="OQK112" s="1167"/>
      <c r="OQL112" s="1167"/>
      <c r="OQM112" s="1167"/>
      <c r="OQN112" s="1167"/>
      <c r="OQO112" s="1167"/>
      <c r="OQP112" s="1167"/>
      <c r="OQQ112" s="1167"/>
      <c r="OQR112" s="1167"/>
      <c r="OQS112" s="1167"/>
      <c r="OQT112" s="1142"/>
      <c r="OQU112" s="1142"/>
      <c r="OQV112" s="1142"/>
      <c r="OQW112" s="1142"/>
      <c r="OQX112" s="1142"/>
      <c r="OQY112" s="1142"/>
      <c r="OQZ112" s="1142"/>
      <c r="ORA112" s="1142"/>
      <c r="ORB112" s="1142"/>
      <c r="ORC112" s="1142"/>
      <c r="ORD112" s="1142"/>
      <c r="ORE112" s="1142"/>
      <c r="ORF112" s="1142"/>
      <c r="ORG112" s="1142"/>
      <c r="ORH112" s="1142"/>
      <c r="ORI112" s="1142"/>
      <c r="ORJ112" s="1142"/>
      <c r="ORK112" s="1142"/>
      <c r="ORL112" s="1142"/>
      <c r="ORM112" s="1142"/>
      <c r="ORN112" s="1142"/>
      <c r="ORO112" s="1142"/>
      <c r="ORP112" s="1142"/>
      <c r="ORQ112" s="1167"/>
      <c r="ORR112" s="1167"/>
      <c r="ORS112" s="1167"/>
      <c r="ORT112" s="1167"/>
      <c r="ORU112" s="1167"/>
      <c r="ORV112" s="1167"/>
      <c r="ORW112" s="1167"/>
      <c r="ORX112" s="1167"/>
      <c r="ORY112" s="1167"/>
      <c r="ORZ112" s="1142"/>
      <c r="OSA112" s="1142"/>
      <c r="OSB112" s="1142"/>
      <c r="OSC112" s="1142"/>
      <c r="OSD112" s="1142"/>
      <c r="OSE112" s="1142"/>
      <c r="OSF112" s="1142"/>
      <c r="OSG112" s="1142"/>
      <c r="OSH112" s="1142"/>
      <c r="OSI112" s="1142"/>
      <c r="OSJ112" s="1142"/>
      <c r="OSK112" s="1142"/>
      <c r="OSL112" s="1142"/>
      <c r="OSM112" s="1142"/>
      <c r="OSN112" s="1142"/>
      <c r="OSO112" s="1142"/>
      <c r="OSP112" s="1142"/>
      <c r="OSQ112" s="1142"/>
      <c r="OSR112" s="1142"/>
      <c r="OSS112" s="1142"/>
      <c r="OST112" s="1142"/>
      <c r="OSU112" s="1142"/>
      <c r="OSV112" s="1142"/>
      <c r="OSW112" s="1167"/>
      <c r="OSX112" s="1167"/>
      <c r="OSY112" s="1167"/>
      <c r="OSZ112" s="1167"/>
      <c r="OTA112" s="1167"/>
      <c r="OTB112" s="1167"/>
      <c r="OTC112" s="1167"/>
      <c r="OTD112" s="1167"/>
      <c r="OTE112" s="1167"/>
      <c r="OTF112" s="1142"/>
      <c r="OTG112" s="1142"/>
      <c r="OTH112" s="1142"/>
      <c r="OTI112" s="1142"/>
      <c r="OTJ112" s="1142"/>
      <c r="OTK112" s="1142"/>
      <c r="OTL112" s="1142"/>
      <c r="OTM112" s="1142"/>
      <c r="OTN112" s="1142"/>
      <c r="OTO112" s="1142"/>
      <c r="OTP112" s="1142"/>
      <c r="OTQ112" s="1142"/>
      <c r="OTR112" s="1142"/>
      <c r="OTS112" s="1142"/>
      <c r="OTT112" s="1142"/>
      <c r="OTU112" s="1142"/>
      <c r="OTV112" s="1142"/>
      <c r="OTW112" s="1142"/>
      <c r="OTX112" s="1142"/>
      <c r="OTY112" s="1142"/>
      <c r="OTZ112" s="1142"/>
      <c r="OUA112" s="1142"/>
      <c r="OUB112" s="1142"/>
      <c r="OUC112" s="1167"/>
      <c r="OUD112" s="1167"/>
      <c r="OUE112" s="1167"/>
      <c r="OUF112" s="1167"/>
      <c r="OUG112" s="1167"/>
      <c r="OUH112" s="1167"/>
      <c r="OUI112" s="1167"/>
      <c r="OUJ112" s="1167"/>
      <c r="OUK112" s="1167"/>
      <c r="OUL112" s="1142"/>
      <c r="OUM112" s="1142"/>
      <c r="OUN112" s="1142"/>
      <c r="OUO112" s="1142"/>
      <c r="OUP112" s="1142"/>
      <c r="OUQ112" s="1142"/>
      <c r="OUR112" s="1142"/>
      <c r="OUS112" s="1142"/>
      <c r="OUT112" s="1142"/>
      <c r="OUU112" s="1142"/>
      <c r="OUV112" s="1142"/>
      <c r="OUW112" s="1142"/>
      <c r="OUX112" s="1142"/>
      <c r="OUY112" s="1142"/>
      <c r="OUZ112" s="1142"/>
      <c r="OVA112" s="1142"/>
      <c r="OVB112" s="1142"/>
      <c r="OVC112" s="1142"/>
      <c r="OVD112" s="1142"/>
      <c r="OVE112" s="1142"/>
      <c r="OVF112" s="1142"/>
      <c r="OVG112" s="1142"/>
      <c r="OVH112" s="1142"/>
      <c r="OVI112" s="1167"/>
      <c r="OVJ112" s="1167"/>
      <c r="OVK112" s="1167"/>
      <c r="OVL112" s="1167"/>
      <c r="OVM112" s="1167"/>
      <c r="OVN112" s="1167"/>
      <c r="OVO112" s="1167"/>
      <c r="OVP112" s="1167"/>
      <c r="OVQ112" s="1167"/>
      <c r="OVR112" s="1142"/>
      <c r="OVS112" s="1142"/>
      <c r="OVT112" s="1142"/>
      <c r="OVU112" s="1142"/>
      <c r="OVV112" s="1142"/>
      <c r="OVW112" s="1142"/>
      <c r="OVX112" s="1142"/>
      <c r="OVY112" s="1142"/>
      <c r="OVZ112" s="1142"/>
      <c r="OWA112" s="1142"/>
      <c r="OWB112" s="1142"/>
      <c r="OWC112" s="1142"/>
      <c r="OWD112" s="1142"/>
      <c r="OWE112" s="1142"/>
      <c r="OWF112" s="1142"/>
      <c r="OWG112" s="1142"/>
      <c r="OWH112" s="1142"/>
      <c r="OWI112" s="1142"/>
      <c r="OWJ112" s="1142"/>
      <c r="OWK112" s="1142"/>
      <c r="OWL112" s="1142"/>
      <c r="OWM112" s="1142"/>
      <c r="OWN112" s="1142"/>
      <c r="OWO112" s="1167"/>
      <c r="OWP112" s="1167"/>
      <c r="OWQ112" s="1167"/>
      <c r="OWR112" s="1167"/>
      <c r="OWS112" s="1167"/>
      <c r="OWT112" s="1167"/>
      <c r="OWU112" s="1167"/>
      <c r="OWV112" s="1167"/>
      <c r="OWW112" s="1167"/>
      <c r="OWX112" s="1142"/>
      <c r="OWY112" s="1142"/>
      <c r="OWZ112" s="1142"/>
      <c r="OXA112" s="1142"/>
      <c r="OXB112" s="1142"/>
      <c r="OXC112" s="1142"/>
      <c r="OXD112" s="1142"/>
      <c r="OXE112" s="1142"/>
      <c r="OXF112" s="1142"/>
      <c r="OXG112" s="1142"/>
      <c r="OXH112" s="1142"/>
      <c r="OXI112" s="1142"/>
      <c r="OXJ112" s="1142"/>
      <c r="OXK112" s="1142"/>
      <c r="OXL112" s="1142"/>
      <c r="OXM112" s="1142"/>
      <c r="OXN112" s="1142"/>
      <c r="OXO112" s="1142"/>
      <c r="OXP112" s="1142"/>
      <c r="OXQ112" s="1142"/>
      <c r="OXR112" s="1142"/>
      <c r="OXS112" s="1142"/>
      <c r="OXT112" s="1142"/>
      <c r="OXU112" s="1167"/>
      <c r="OXV112" s="1167"/>
      <c r="OXW112" s="1167"/>
      <c r="OXX112" s="1167"/>
      <c r="OXY112" s="1167"/>
      <c r="OXZ112" s="1167"/>
      <c r="OYA112" s="1167"/>
      <c r="OYB112" s="1167"/>
      <c r="OYC112" s="1167"/>
      <c r="OYD112" s="1142"/>
      <c r="OYE112" s="1142"/>
      <c r="OYF112" s="1142"/>
      <c r="OYG112" s="1142"/>
      <c r="OYH112" s="1142"/>
      <c r="OYI112" s="1142"/>
      <c r="OYJ112" s="1142"/>
      <c r="OYK112" s="1142"/>
      <c r="OYL112" s="1142"/>
      <c r="OYM112" s="1142"/>
      <c r="OYN112" s="1142"/>
      <c r="OYO112" s="1142"/>
      <c r="OYP112" s="1142"/>
      <c r="OYQ112" s="1142"/>
      <c r="OYR112" s="1142"/>
      <c r="OYS112" s="1142"/>
      <c r="OYT112" s="1142"/>
      <c r="OYU112" s="1142"/>
      <c r="OYV112" s="1142"/>
      <c r="OYW112" s="1142"/>
      <c r="OYX112" s="1142"/>
      <c r="OYY112" s="1142"/>
      <c r="OYZ112" s="1142"/>
      <c r="OZA112" s="1167"/>
      <c r="OZB112" s="1167"/>
      <c r="OZC112" s="1167"/>
      <c r="OZD112" s="1167"/>
      <c r="OZE112" s="1167"/>
      <c r="OZF112" s="1167"/>
      <c r="OZG112" s="1167"/>
      <c r="OZH112" s="1167"/>
      <c r="OZI112" s="1167"/>
      <c r="OZJ112" s="1142"/>
      <c r="OZK112" s="1142"/>
      <c r="OZL112" s="1142"/>
      <c r="OZM112" s="1142"/>
      <c r="OZN112" s="1142"/>
      <c r="OZO112" s="1142"/>
      <c r="OZP112" s="1142"/>
      <c r="OZQ112" s="1142"/>
      <c r="OZR112" s="1142"/>
      <c r="OZS112" s="1142"/>
      <c r="OZT112" s="1142"/>
      <c r="OZU112" s="1142"/>
      <c r="OZV112" s="1142"/>
      <c r="OZW112" s="1142"/>
      <c r="OZX112" s="1142"/>
      <c r="OZY112" s="1142"/>
      <c r="OZZ112" s="1142"/>
      <c r="PAA112" s="1142"/>
      <c r="PAB112" s="1142"/>
      <c r="PAC112" s="1142"/>
      <c r="PAD112" s="1142"/>
      <c r="PAE112" s="1142"/>
      <c r="PAF112" s="1142"/>
      <c r="PAG112" s="1167"/>
      <c r="PAH112" s="1167"/>
      <c r="PAI112" s="1167"/>
      <c r="PAJ112" s="1167"/>
      <c r="PAK112" s="1167"/>
      <c r="PAL112" s="1167"/>
      <c r="PAM112" s="1167"/>
      <c r="PAN112" s="1167"/>
      <c r="PAO112" s="1167"/>
      <c r="PAP112" s="1142"/>
      <c r="PAQ112" s="1142"/>
      <c r="PAR112" s="1142"/>
      <c r="PAS112" s="1142"/>
      <c r="PAT112" s="1142"/>
      <c r="PAU112" s="1142"/>
      <c r="PAV112" s="1142"/>
      <c r="PAW112" s="1142"/>
      <c r="PAX112" s="1142"/>
      <c r="PAY112" s="1142"/>
      <c r="PAZ112" s="1142"/>
      <c r="PBA112" s="1142"/>
      <c r="PBB112" s="1142"/>
      <c r="PBC112" s="1142"/>
      <c r="PBD112" s="1142"/>
      <c r="PBE112" s="1142"/>
      <c r="PBF112" s="1142"/>
      <c r="PBG112" s="1142"/>
      <c r="PBH112" s="1142"/>
      <c r="PBI112" s="1142"/>
      <c r="PBJ112" s="1142"/>
      <c r="PBK112" s="1142"/>
      <c r="PBL112" s="1142"/>
      <c r="PBM112" s="1167"/>
      <c r="PBN112" s="1167"/>
      <c r="PBO112" s="1167"/>
      <c r="PBP112" s="1167"/>
      <c r="PBQ112" s="1167"/>
      <c r="PBR112" s="1167"/>
      <c r="PBS112" s="1167"/>
      <c r="PBT112" s="1167"/>
      <c r="PBU112" s="1167"/>
      <c r="PBV112" s="1142"/>
      <c r="PBW112" s="1142"/>
      <c r="PBX112" s="1142"/>
      <c r="PBY112" s="1142"/>
      <c r="PBZ112" s="1142"/>
      <c r="PCA112" s="1142"/>
      <c r="PCB112" s="1142"/>
      <c r="PCC112" s="1142"/>
      <c r="PCD112" s="1142"/>
      <c r="PCE112" s="1142"/>
      <c r="PCF112" s="1142"/>
      <c r="PCG112" s="1142"/>
      <c r="PCH112" s="1142"/>
      <c r="PCI112" s="1142"/>
      <c r="PCJ112" s="1142"/>
      <c r="PCK112" s="1142"/>
      <c r="PCL112" s="1142"/>
      <c r="PCM112" s="1142"/>
      <c r="PCN112" s="1142"/>
      <c r="PCO112" s="1142"/>
      <c r="PCP112" s="1142"/>
      <c r="PCQ112" s="1142"/>
      <c r="PCR112" s="1142"/>
      <c r="PCS112" s="1167"/>
      <c r="PCT112" s="1167"/>
      <c r="PCU112" s="1167"/>
      <c r="PCV112" s="1167"/>
      <c r="PCW112" s="1167"/>
      <c r="PCX112" s="1167"/>
      <c r="PCY112" s="1167"/>
      <c r="PCZ112" s="1167"/>
      <c r="PDA112" s="1167"/>
      <c r="PDB112" s="1142"/>
      <c r="PDC112" s="1142"/>
      <c r="PDD112" s="1142"/>
      <c r="PDE112" s="1142"/>
      <c r="PDF112" s="1142"/>
      <c r="PDG112" s="1142"/>
      <c r="PDH112" s="1142"/>
      <c r="PDI112" s="1142"/>
      <c r="PDJ112" s="1142"/>
      <c r="PDK112" s="1142"/>
      <c r="PDL112" s="1142"/>
      <c r="PDM112" s="1142"/>
      <c r="PDN112" s="1142"/>
      <c r="PDO112" s="1142"/>
      <c r="PDP112" s="1142"/>
      <c r="PDQ112" s="1142"/>
      <c r="PDR112" s="1142"/>
      <c r="PDS112" s="1142"/>
      <c r="PDT112" s="1142"/>
      <c r="PDU112" s="1142"/>
      <c r="PDV112" s="1142"/>
      <c r="PDW112" s="1142"/>
      <c r="PDX112" s="1142"/>
      <c r="PDY112" s="1167"/>
      <c r="PDZ112" s="1167"/>
      <c r="PEA112" s="1167"/>
      <c r="PEB112" s="1167"/>
      <c r="PEC112" s="1167"/>
      <c r="PED112" s="1167"/>
      <c r="PEE112" s="1167"/>
      <c r="PEF112" s="1167"/>
      <c r="PEG112" s="1167"/>
      <c r="PEH112" s="1142"/>
      <c r="PEI112" s="1142"/>
      <c r="PEJ112" s="1142"/>
      <c r="PEK112" s="1142"/>
      <c r="PEL112" s="1142"/>
      <c r="PEM112" s="1142"/>
      <c r="PEN112" s="1142"/>
      <c r="PEO112" s="1142"/>
      <c r="PEP112" s="1142"/>
      <c r="PEQ112" s="1142"/>
      <c r="PER112" s="1142"/>
      <c r="PES112" s="1142"/>
      <c r="PET112" s="1142"/>
      <c r="PEU112" s="1142"/>
      <c r="PEV112" s="1142"/>
      <c r="PEW112" s="1142"/>
      <c r="PEX112" s="1142"/>
      <c r="PEY112" s="1142"/>
      <c r="PEZ112" s="1142"/>
      <c r="PFA112" s="1142"/>
      <c r="PFB112" s="1142"/>
      <c r="PFC112" s="1142"/>
      <c r="PFD112" s="1142"/>
      <c r="PFE112" s="1167"/>
      <c r="PFF112" s="1167"/>
      <c r="PFG112" s="1167"/>
      <c r="PFH112" s="1167"/>
      <c r="PFI112" s="1167"/>
      <c r="PFJ112" s="1167"/>
      <c r="PFK112" s="1167"/>
      <c r="PFL112" s="1167"/>
      <c r="PFM112" s="1167"/>
      <c r="PFN112" s="1142"/>
      <c r="PFO112" s="1142"/>
      <c r="PFP112" s="1142"/>
      <c r="PFQ112" s="1142"/>
      <c r="PFR112" s="1142"/>
      <c r="PFS112" s="1142"/>
      <c r="PFT112" s="1142"/>
      <c r="PFU112" s="1142"/>
      <c r="PFV112" s="1142"/>
      <c r="PFW112" s="1142"/>
      <c r="PFX112" s="1142"/>
      <c r="PFY112" s="1142"/>
      <c r="PFZ112" s="1142"/>
      <c r="PGA112" s="1142"/>
      <c r="PGB112" s="1142"/>
      <c r="PGC112" s="1142"/>
      <c r="PGD112" s="1142"/>
      <c r="PGE112" s="1142"/>
      <c r="PGF112" s="1142"/>
      <c r="PGG112" s="1142"/>
      <c r="PGH112" s="1142"/>
      <c r="PGI112" s="1142"/>
      <c r="PGJ112" s="1142"/>
      <c r="PGK112" s="1167"/>
      <c r="PGL112" s="1167"/>
      <c r="PGM112" s="1167"/>
      <c r="PGN112" s="1167"/>
      <c r="PGO112" s="1167"/>
      <c r="PGP112" s="1167"/>
      <c r="PGQ112" s="1167"/>
      <c r="PGR112" s="1167"/>
      <c r="PGS112" s="1167"/>
      <c r="PGT112" s="1142"/>
      <c r="PGU112" s="1142"/>
      <c r="PGV112" s="1142"/>
      <c r="PGW112" s="1142"/>
      <c r="PGX112" s="1142"/>
      <c r="PGY112" s="1142"/>
      <c r="PGZ112" s="1142"/>
      <c r="PHA112" s="1142"/>
      <c r="PHB112" s="1142"/>
      <c r="PHC112" s="1142"/>
      <c r="PHD112" s="1142"/>
      <c r="PHE112" s="1142"/>
      <c r="PHF112" s="1142"/>
      <c r="PHG112" s="1142"/>
      <c r="PHH112" s="1142"/>
      <c r="PHI112" s="1142"/>
      <c r="PHJ112" s="1142"/>
      <c r="PHK112" s="1142"/>
      <c r="PHL112" s="1142"/>
      <c r="PHM112" s="1142"/>
      <c r="PHN112" s="1142"/>
      <c r="PHO112" s="1142"/>
      <c r="PHP112" s="1142"/>
      <c r="PHQ112" s="1167"/>
      <c r="PHR112" s="1167"/>
      <c r="PHS112" s="1167"/>
      <c r="PHT112" s="1167"/>
      <c r="PHU112" s="1167"/>
      <c r="PHV112" s="1167"/>
      <c r="PHW112" s="1167"/>
      <c r="PHX112" s="1167"/>
      <c r="PHY112" s="1167"/>
      <c r="PHZ112" s="1142"/>
      <c r="PIA112" s="1142"/>
      <c r="PIB112" s="1142"/>
      <c r="PIC112" s="1142"/>
      <c r="PID112" s="1142"/>
      <c r="PIE112" s="1142"/>
      <c r="PIF112" s="1142"/>
      <c r="PIG112" s="1142"/>
      <c r="PIH112" s="1142"/>
      <c r="PII112" s="1142"/>
      <c r="PIJ112" s="1142"/>
      <c r="PIK112" s="1142"/>
      <c r="PIL112" s="1142"/>
      <c r="PIM112" s="1142"/>
      <c r="PIN112" s="1142"/>
      <c r="PIO112" s="1142"/>
      <c r="PIP112" s="1142"/>
      <c r="PIQ112" s="1142"/>
      <c r="PIR112" s="1142"/>
      <c r="PIS112" s="1142"/>
      <c r="PIT112" s="1142"/>
      <c r="PIU112" s="1142"/>
      <c r="PIV112" s="1142"/>
      <c r="PIW112" s="1167"/>
      <c r="PIX112" s="1167"/>
      <c r="PIY112" s="1167"/>
      <c r="PIZ112" s="1167"/>
      <c r="PJA112" s="1167"/>
      <c r="PJB112" s="1167"/>
      <c r="PJC112" s="1167"/>
      <c r="PJD112" s="1167"/>
      <c r="PJE112" s="1167"/>
      <c r="PJF112" s="1142"/>
      <c r="PJG112" s="1142"/>
      <c r="PJH112" s="1142"/>
      <c r="PJI112" s="1142"/>
      <c r="PJJ112" s="1142"/>
      <c r="PJK112" s="1142"/>
      <c r="PJL112" s="1142"/>
      <c r="PJM112" s="1142"/>
      <c r="PJN112" s="1142"/>
      <c r="PJO112" s="1142"/>
      <c r="PJP112" s="1142"/>
      <c r="PJQ112" s="1142"/>
      <c r="PJR112" s="1142"/>
      <c r="PJS112" s="1142"/>
      <c r="PJT112" s="1142"/>
      <c r="PJU112" s="1142"/>
      <c r="PJV112" s="1142"/>
      <c r="PJW112" s="1142"/>
      <c r="PJX112" s="1142"/>
      <c r="PJY112" s="1142"/>
      <c r="PJZ112" s="1142"/>
      <c r="PKA112" s="1142"/>
      <c r="PKB112" s="1142"/>
      <c r="PKC112" s="1167"/>
      <c r="PKD112" s="1167"/>
      <c r="PKE112" s="1167"/>
      <c r="PKF112" s="1167"/>
      <c r="PKG112" s="1167"/>
      <c r="PKH112" s="1167"/>
      <c r="PKI112" s="1167"/>
      <c r="PKJ112" s="1167"/>
      <c r="PKK112" s="1167"/>
      <c r="PKL112" s="1142"/>
      <c r="PKM112" s="1142"/>
      <c r="PKN112" s="1142"/>
      <c r="PKO112" s="1142"/>
      <c r="PKP112" s="1142"/>
      <c r="PKQ112" s="1142"/>
      <c r="PKR112" s="1142"/>
      <c r="PKS112" s="1142"/>
      <c r="PKT112" s="1142"/>
      <c r="PKU112" s="1142"/>
      <c r="PKV112" s="1142"/>
      <c r="PKW112" s="1142"/>
      <c r="PKX112" s="1142"/>
      <c r="PKY112" s="1142"/>
      <c r="PKZ112" s="1142"/>
      <c r="PLA112" s="1142"/>
      <c r="PLB112" s="1142"/>
      <c r="PLC112" s="1142"/>
      <c r="PLD112" s="1142"/>
      <c r="PLE112" s="1142"/>
      <c r="PLF112" s="1142"/>
      <c r="PLG112" s="1142"/>
      <c r="PLH112" s="1142"/>
      <c r="PLI112" s="1167"/>
      <c r="PLJ112" s="1167"/>
      <c r="PLK112" s="1167"/>
      <c r="PLL112" s="1167"/>
      <c r="PLM112" s="1167"/>
      <c r="PLN112" s="1167"/>
      <c r="PLO112" s="1167"/>
      <c r="PLP112" s="1167"/>
      <c r="PLQ112" s="1167"/>
      <c r="PLR112" s="1142"/>
      <c r="PLS112" s="1142"/>
      <c r="PLT112" s="1142"/>
      <c r="PLU112" s="1142"/>
      <c r="PLV112" s="1142"/>
      <c r="PLW112" s="1142"/>
      <c r="PLX112" s="1142"/>
      <c r="PLY112" s="1142"/>
      <c r="PLZ112" s="1142"/>
      <c r="PMA112" s="1142"/>
      <c r="PMB112" s="1142"/>
      <c r="PMC112" s="1142"/>
      <c r="PMD112" s="1142"/>
      <c r="PME112" s="1142"/>
      <c r="PMF112" s="1142"/>
      <c r="PMG112" s="1142"/>
      <c r="PMH112" s="1142"/>
      <c r="PMI112" s="1142"/>
      <c r="PMJ112" s="1142"/>
      <c r="PMK112" s="1142"/>
      <c r="PML112" s="1142"/>
      <c r="PMM112" s="1142"/>
      <c r="PMN112" s="1142"/>
      <c r="PMO112" s="1167"/>
      <c r="PMP112" s="1167"/>
      <c r="PMQ112" s="1167"/>
      <c r="PMR112" s="1167"/>
      <c r="PMS112" s="1167"/>
      <c r="PMT112" s="1167"/>
      <c r="PMU112" s="1167"/>
      <c r="PMV112" s="1167"/>
      <c r="PMW112" s="1167"/>
      <c r="PMX112" s="1142"/>
      <c r="PMY112" s="1142"/>
      <c r="PMZ112" s="1142"/>
      <c r="PNA112" s="1142"/>
      <c r="PNB112" s="1142"/>
      <c r="PNC112" s="1142"/>
      <c r="PND112" s="1142"/>
      <c r="PNE112" s="1142"/>
      <c r="PNF112" s="1142"/>
      <c r="PNG112" s="1142"/>
      <c r="PNH112" s="1142"/>
      <c r="PNI112" s="1142"/>
      <c r="PNJ112" s="1142"/>
      <c r="PNK112" s="1142"/>
      <c r="PNL112" s="1142"/>
      <c r="PNM112" s="1142"/>
      <c r="PNN112" s="1142"/>
      <c r="PNO112" s="1142"/>
      <c r="PNP112" s="1142"/>
      <c r="PNQ112" s="1142"/>
      <c r="PNR112" s="1142"/>
      <c r="PNS112" s="1142"/>
      <c r="PNT112" s="1142"/>
      <c r="PNU112" s="1167"/>
      <c r="PNV112" s="1167"/>
      <c r="PNW112" s="1167"/>
      <c r="PNX112" s="1167"/>
      <c r="PNY112" s="1167"/>
      <c r="PNZ112" s="1167"/>
      <c r="POA112" s="1167"/>
      <c r="POB112" s="1167"/>
      <c r="POC112" s="1167"/>
      <c r="POD112" s="1142"/>
      <c r="POE112" s="1142"/>
      <c r="POF112" s="1142"/>
      <c r="POG112" s="1142"/>
      <c r="POH112" s="1142"/>
      <c r="POI112" s="1142"/>
      <c r="POJ112" s="1142"/>
      <c r="POK112" s="1142"/>
      <c r="POL112" s="1142"/>
      <c r="POM112" s="1142"/>
      <c r="PON112" s="1142"/>
      <c r="POO112" s="1142"/>
      <c r="POP112" s="1142"/>
      <c r="POQ112" s="1142"/>
      <c r="POR112" s="1142"/>
      <c r="POS112" s="1142"/>
      <c r="POT112" s="1142"/>
      <c r="POU112" s="1142"/>
      <c r="POV112" s="1142"/>
      <c r="POW112" s="1142"/>
      <c r="POX112" s="1142"/>
      <c r="POY112" s="1142"/>
      <c r="POZ112" s="1142"/>
      <c r="PPA112" s="1167"/>
      <c r="PPB112" s="1167"/>
      <c r="PPC112" s="1167"/>
      <c r="PPD112" s="1167"/>
      <c r="PPE112" s="1167"/>
      <c r="PPF112" s="1167"/>
      <c r="PPG112" s="1167"/>
      <c r="PPH112" s="1167"/>
      <c r="PPI112" s="1167"/>
      <c r="PPJ112" s="1142"/>
      <c r="PPK112" s="1142"/>
      <c r="PPL112" s="1142"/>
      <c r="PPM112" s="1142"/>
      <c r="PPN112" s="1142"/>
      <c r="PPO112" s="1142"/>
      <c r="PPP112" s="1142"/>
      <c r="PPQ112" s="1142"/>
      <c r="PPR112" s="1142"/>
      <c r="PPS112" s="1142"/>
      <c r="PPT112" s="1142"/>
      <c r="PPU112" s="1142"/>
      <c r="PPV112" s="1142"/>
      <c r="PPW112" s="1142"/>
      <c r="PPX112" s="1142"/>
      <c r="PPY112" s="1142"/>
      <c r="PPZ112" s="1142"/>
      <c r="PQA112" s="1142"/>
      <c r="PQB112" s="1142"/>
      <c r="PQC112" s="1142"/>
      <c r="PQD112" s="1142"/>
      <c r="PQE112" s="1142"/>
      <c r="PQF112" s="1142"/>
      <c r="PQG112" s="1167"/>
      <c r="PQH112" s="1167"/>
      <c r="PQI112" s="1167"/>
      <c r="PQJ112" s="1167"/>
      <c r="PQK112" s="1167"/>
      <c r="PQL112" s="1167"/>
      <c r="PQM112" s="1167"/>
      <c r="PQN112" s="1167"/>
      <c r="PQO112" s="1167"/>
      <c r="PQP112" s="1142"/>
      <c r="PQQ112" s="1142"/>
      <c r="PQR112" s="1142"/>
      <c r="PQS112" s="1142"/>
      <c r="PQT112" s="1142"/>
      <c r="PQU112" s="1142"/>
      <c r="PQV112" s="1142"/>
      <c r="PQW112" s="1142"/>
      <c r="PQX112" s="1142"/>
      <c r="PQY112" s="1142"/>
      <c r="PQZ112" s="1142"/>
      <c r="PRA112" s="1142"/>
      <c r="PRB112" s="1142"/>
      <c r="PRC112" s="1142"/>
      <c r="PRD112" s="1142"/>
      <c r="PRE112" s="1142"/>
      <c r="PRF112" s="1142"/>
      <c r="PRG112" s="1142"/>
      <c r="PRH112" s="1142"/>
      <c r="PRI112" s="1142"/>
      <c r="PRJ112" s="1142"/>
      <c r="PRK112" s="1142"/>
      <c r="PRL112" s="1142"/>
      <c r="PRM112" s="1167"/>
      <c r="PRN112" s="1167"/>
      <c r="PRO112" s="1167"/>
      <c r="PRP112" s="1167"/>
      <c r="PRQ112" s="1167"/>
      <c r="PRR112" s="1167"/>
      <c r="PRS112" s="1167"/>
      <c r="PRT112" s="1167"/>
      <c r="PRU112" s="1167"/>
      <c r="PRV112" s="1142"/>
      <c r="PRW112" s="1142"/>
      <c r="PRX112" s="1142"/>
      <c r="PRY112" s="1142"/>
      <c r="PRZ112" s="1142"/>
      <c r="PSA112" s="1142"/>
      <c r="PSB112" s="1142"/>
      <c r="PSC112" s="1142"/>
      <c r="PSD112" s="1142"/>
      <c r="PSE112" s="1142"/>
      <c r="PSF112" s="1142"/>
      <c r="PSG112" s="1142"/>
      <c r="PSH112" s="1142"/>
      <c r="PSI112" s="1142"/>
      <c r="PSJ112" s="1142"/>
      <c r="PSK112" s="1142"/>
      <c r="PSL112" s="1142"/>
      <c r="PSM112" s="1142"/>
      <c r="PSN112" s="1142"/>
      <c r="PSO112" s="1142"/>
      <c r="PSP112" s="1142"/>
      <c r="PSQ112" s="1142"/>
      <c r="PSR112" s="1142"/>
      <c r="PSS112" s="1167"/>
      <c r="PST112" s="1167"/>
      <c r="PSU112" s="1167"/>
      <c r="PSV112" s="1167"/>
      <c r="PSW112" s="1167"/>
      <c r="PSX112" s="1167"/>
      <c r="PSY112" s="1167"/>
      <c r="PSZ112" s="1167"/>
      <c r="PTA112" s="1167"/>
      <c r="PTB112" s="1142"/>
      <c r="PTC112" s="1142"/>
      <c r="PTD112" s="1142"/>
      <c r="PTE112" s="1142"/>
      <c r="PTF112" s="1142"/>
      <c r="PTG112" s="1142"/>
      <c r="PTH112" s="1142"/>
      <c r="PTI112" s="1142"/>
      <c r="PTJ112" s="1142"/>
      <c r="PTK112" s="1142"/>
      <c r="PTL112" s="1142"/>
      <c r="PTM112" s="1142"/>
      <c r="PTN112" s="1142"/>
      <c r="PTO112" s="1142"/>
      <c r="PTP112" s="1142"/>
      <c r="PTQ112" s="1142"/>
      <c r="PTR112" s="1142"/>
      <c r="PTS112" s="1142"/>
      <c r="PTT112" s="1142"/>
      <c r="PTU112" s="1142"/>
      <c r="PTV112" s="1142"/>
      <c r="PTW112" s="1142"/>
      <c r="PTX112" s="1142"/>
      <c r="PTY112" s="1167"/>
      <c r="PTZ112" s="1167"/>
      <c r="PUA112" s="1167"/>
      <c r="PUB112" s="1167"/>
      <c r="PUC112" s="1167"/>
      <c r="PUD112" s="1167"/>
      <c r="PUE112" s="1167"/>
      <c r="PUF112" s="1167"/>
      <c r="PUG112" s="1167"/>
      <c r="PUH112" s="1142"/>
      <c r="PUI112" s="1142"/>
      <c r="PUJ112" s="1142"/>
      <c r="PUK112" s="1142"/>
      <c r="PUL112" s="1142"/>
      <c r="PUM112" s="1142"/>
      <c r="PUN112" s="1142"/>
      <c r="PUO112" s="1142"/>
      <c r="PUP112" s="1142"/>
      <c r="PUQ112" s="1142"/>
      <c r="PUR112" s="1142"/>
      <c r="PUS112" s="1142"/>
      <c r="PUT112" s="1142"/>
      <c r="PUU112" s="1142"/>
      <c r="PUV112" s="1142"/>
      <c r="PUW112" s="1142"/>
      <c r="PUX112" s="1142"/>
      <c r="PUY112" s="1142"/>
      <c r="PUZ112" s="1142"/>
      <c r="PVA112" s="1142"/>
      <c r="PVB112" s="1142"/>
      <c r="PVC112" s="1142"/>
      <c r="PVD112" s="1142"/>
      <c r="PVE112" s="1167"/>
      <c r="PVF112" s="1167"/>
      <c r="PVG112" s="1167"/>
      <c r="PVH112" s="1167"/>
      <c r="PVI112" s="1167"/>
      <c r="PVJ112" s="1167"/>
      <c r="PVK112" s="1167"/>
      <c r="PVL112" s="1167"/>
      <c r="PVM112" s="1167"/>
      <c r="PVN112" s="1142"/>
      <c r="PVO112" s="1142"/>
      <c r="PVP112" s="1142"/>
      <c r="PVQ112" s="1142"/>
      <c r="PVR112" s="1142"/>
      <c r="PVS112" s="1142"/>
      <c r="PVT112" s="1142"/>
      <c r="PVU112" s="1142"/>
      <c r="PVV112" s="1142"/>
      <c r="PVW112" s="1142"/>
      <c r="PVX112" s="1142"/>
      <c r="PVY112" s="1142"/>
      <c r="PVZ112" s="1142"/>
      <c r="PWA112" s="1142"/>
      <c r="PWB112" s="1142"/>
      <c r="PWC112" s="1142"/>
      <c r="PWD112" s="1142"/>
      <c r="PWE112" s="1142"/>
      <c r="PWF112" s="1142"/>
      <c r="PWG112" s="1142"/>
      <c r="PWH112" s="1142"/>
      <c r="PWI112" s="1142"/>
      <c r="PWJ112" s="1142"/>
      <c r="PWK112" s="1167"/>
      <c r="PWL112" s="1167"/>
      <c r="PWM112" s="1167"/>
      <c r="PWN112" s="1167"/>
      <c r="PWO112" s="1167"/>
      <c r="PWP112" s="1167"/>
      <c r="PWQ112" s="1167"/>
      <c r="PWR112" s="1167"/>
      <c r="PWS112" s="1167"/>
      <c r="PWT112" s="1142"/>
      <c r="PWU112" s="1142"/>
      <c r="PWV112" s="1142"/>
      <c r="PWW112" s="1142"/>
      <c r="PWX112" s="1142"/>
      <c r="PWY112" s="1142"/>
      <c r="PWZ112" s="1142"/>
      <c r="PXA112" s="1142"/>
      <c r="PXB112" s="1142"/>
      <c r="PXC112" s="1142"/>
      <c r="PXD112" s="1142"/>
      <c r="PXE112" s="1142"/>
      <c r="PXF112" s="1142"/>
      <c r="PXG112" s="1142"/>
      <c r="PXH112" s="1142"/>
      <c r="PXI112" s="1142"/>
      <c r="PXJ112" s="1142"/>
      <c r="PXK112" s="1142"/>
      <c r="PXL112" s="1142"/>
      <c r="PXM112" s="1142"/>
      <c r="PXN112" s="1142"/>
      <c r="PXO112" s="1142"/>
      <c r="PXP112" s="1142"/>
      <c r="PXQ112" s="1167"/>
      <c r="PXR112" s="1167"/>
      <c r="PXS112" s="1167"/>
      <c r="PXT112" s="1167"/>
      <c r="PXU112" s="1167"/>
      <c r="PXV112" s="1167"/>
      <c r="PXW112" s="1167"/>
      <c r="PXX112" s="1167"/>
      <c r="PXY112" s="1167"/>
      <c r="PXZ112" s="1142"/>
      <c r="PYA112" s="1142"/>
      <c r="PYB112" s="1142"/>
      <c r="PYC112" s="1142"/>
      <c r="PYD112" s="1142"/>
      <c r="PYE112" s="1142"/>
      <c r="PYF112" s="1142"/>
      <c r="PYG112" s="1142"/>
      <c r="PYH112" s="1142"/>
      <c r="PYI112" s="1142"/>
      <c r="PYJ112" s="1142"/>
      <c r="PYK112" s="1142"/>
      <c r="PYL112" s="1142"/>
      <c r="PYM112" s="1142"/>
      <c r="PYN112" s="1142"/>
      <c r="PYO112" s="1142"/>
      <c r="PYP112" s="1142"/>
      <c r="PYQ112" s="1142"/>
      <c r="PYR112" s="1142"/>
      <c r="PYS112" s="1142"/>
      <c r="PYT112" s="1142"/>
      <c r="PYU112" s="1142"/>
      <c r="PYV112" s="1142"/>
      <c r="PYW112" s="1167"/>
      <c r="PYX112" s="1167"/>
      <c r="PYY112" s="1167"/>
      <c r="PYZ112" s="1167"/>
      <c r="PZA112" s="1167"/>
      <c r="PZB112" s="1167"/>
      <c r="PZC112" s="1167"/>
      <c r="PZD112" s="1167"/>
      <c r="PZE112" s="1167"/>
      <c r="PZF112" s="1142"/>
      <c r="PZG112" s="1142"/>
      <c r="PZH112" s="1142"/>
      <c r="PZI112" s="1142"/>
      <c r="PZJ112" s="1142"/>
      <c r="PZK112" s="1142"/>
      <c r="PZL112" s="1142"/>
      <c r="PZM112" s="1142"/>
      <c r="PZN112" s="1142"/>
      <c r="PZO112" s="1142"/>
      <c r="PZP112" s="1142"/>
      <c r="PZQ112" s="1142"/>
      <c r="PZR112" s="1142"/>
      <c r="PZS112" s="1142"/>
      <c r="PZT112" s="1142"/>
      <c r="PZU112" s="1142"/>
      <c r="PZV112" s="1142"/>
      <c r="PZW112" s="1142"/>
      <c r="PZX112" s="1142"/>
      <c r="PZY112" s="1142"/>
      <c r="PZZ112" s="1142"/>
      <c r="QAA112" s="1142"/>
      <c r="QAB112" s="1142"/>
      <c r="QAC112" s="1167"/>
      <c r="QAD112" s="1167"/>
      <c r="QAE112" s="1167"/>
      <c r="QAF112" s="1167"/>
      <c r="QAG112" s="1167"/>
      <c r="QAH112" s="1167"/>
      <c r="QAI112" s="1167"/>
      <c r="QAJ112" s="1167"/>
      <c r="QAK112" s="1167"/>
      <c r="QAL112" s="1142"/>
      <c r="QAM112" s="1142"/>
      <c r="QAN112" s="1142"/>
      <c r="QAO112" s="1142"/>
      <c r="QAP112" s="1142"/>
      <c r="QAQ112" s="1142"/>
      <c r="QAR112" s="1142"/>
      <c r="QAS112" s="1142"/>
      <c r="QAT112" s="1142"/>
      <c r="QAU112" s="1142"/>
      <c r="QAV112" s="1142"/>
      <c r="QAW112" s="1142"/>
      <c r="QAX112" s="1142"/>
      <c r="QAY112" s="1142"/>
      <c r="QAZ112" s="1142"/>
      <c r="QBA112" s="1142"/>
      <c r="QBB112" s="1142"/>
      <c r="QBC112" s="1142"/>
      <c r="QBD112" s="1142"/>
      <c r="QBE112" s="1142"/>
      <c r="QBF112" s="1142"/>
      <c r="QBG112" s="1142"/>
      <c r="QBH112" s="1142"/>
      <c r="QBI112" s="1167"/>
      <c r="QBJ112" s="1167"/>
      <c r="QBK112" s="1167"/>
      <c r="QBL112" s="1167"/>
      <c r="QBM112" s="1167"/>
      <c r="QBN112" s="1167"/>
      <c r="QBO112" s="1167"/>
      <c r="QBP112" s="1167"/>
      <c r="QBQ112" s="1167"/>
      <c r="QBR112" s="1142"/>
      <c r="QBS112" s="1142"/>
      <c r="QBT112" s="1142"/>
      <c r="QBU112" s="1142"/>
      <c r="QBV112" s="1142"/>
      <c r="QBW112" s="1142"/>
      <c r="QBX112" s="1142"/>
      <c r="QBY112" s="1142"/>
      <c r="QBZ112" s="1142"/>
      <c r="QCA112" s="1142"/>
      <c r="QCB112" s="1142"/>
      <c r="QCC112" s="1142"/>
      <c r="QCD112" s="1142"/>
      <c r="QCE112" s="1142"/>
      <c r="QCF112" s="1142"/>
      <c r="QCG112" s="1142"/>
      <c r="QCH112" s="1142"/>
      <c r="QCI112" s="1142"/>
      <c r="QCJ112" s="1142"/>
      <c r="QCK112" s="1142"/>
      <c r="QCL112" s="1142"/>
      <c r="QCM112" s="1142"/>
      <c r="QCN112" s="1142"/>
      <c r="QCO112" s="1167"/>
      <c r="QCP112" s="1167"/>
      <c r="QCQ112" s="1167"/>
      <c r="QCR112" s="1167"/>
      <c r="QCS112" s="1167"/>
      <c r="QCT112" s="1167"/>
      <c r="QCU112" s="1167"/>
      <c r="QCV112" s="1167"/>
      <c r="QCW112" s="1167"/>
      <c r="QCX112" s="1142"/>
      <c r="QCY112" s="1142"/>
      <c r="QCZ112" s="1142"/>
      <c r="QDA112" s="1142"/>
      <c r="QDB112" s="1142"/>
      <c r="QDC112" s="1142"/>
      <c r="QDD112" s="1142"/>
      <c r="QDE112" s="1142"/>
      <c r="QDF112" s="1142"/>
      <c r="QDG112" s="1142"/>
      <c r="QDH112" s="1142"/>
      <c r="QDI112" s="1142"/>
      <c r="QDJ112" s="1142"/>
      <c r="QDK112" s="1142"/>
      <c r="QDL112" s="1142"/>
      <c r="QDM112" s="1142"/>
      <c r="QDN112" s="1142"/>
      <c r="QDO112" s="1142"/>
      <c r="QDP112" s="1142"/>
      <c r="QDQ112" s="1142"/>
      <c r="QDR112" s="1142"/>
      <c r="QDS112" s="1142"/>
      <c r="QDT112" s="1142"/>
      <c r="QDU112" s="1167"/>
      <c r="QDV112" s="1167"/>
      <c r="QDW112" s="1167"/>
      <c r="QDX112" s="1167"/>
      <c r="QDY112" s="1167"/>
      <c r="QDZ112" s="1167"/>
      <c r="QEA112" s="1167"/>
      <c r="QEB112" s="1167"/>
      <c r="QEC112" s="1167"/>
      <c r="QED112" s="1142"/>
      <c r="QEE112" s="1142"/>
      <c r="QEF112" s="1142"/>
      <c r="QEG112" s="1142"/>
      <c r="QEH112" s="1142"/>
      <c r="QEI112" s="1142"/>
      <c r="QEJ112" s="1142"/>
      <c r="QEK112" s="1142"/>
      <c r="QEL112" s="1142"/>
      <c r="QEM112" s="1142"/>
      <c r="QEN112" s="1142"/>
      <c r="QEO112" s="1142"/>
      <c r="QEP112" s="1142"/>
      <c r="QEQ112" s="1142"/>
      <c r="QER112" s="1142"/>
      <c r="QES112" s="1142"/>
      <c r="QET112" s="1142"/>
      <c r="QEU112" s="1142"/>
      <c r="QEV112" s="1142"/>
      <c r="QEW112" s="1142"/>
      <c r="QEX112" s="1142"/>
      <c r="QEY112" s="1142"/>
      <c r="QEZ112" s="1142"/>
      <c r="QFA112" s="1167"/>
      <c r="QFB112" s="1167"/>
      <c r="QFC112" s="1167"/>
      <c r="QFD112" s="1167"/>
      <c r="QFE112" s="1167"/>
      <c r="QFF112" s="1167"/>
      <c r="QFG112" s="1167"/>
      <c r="QFH112" s="1167"/>
      <c r="QFI112" s="1167"/>
      <c r="QFJ112" s="1142"/>
      <c r="QFK112" s="1142"/>
      <c r="QFL112" s="1142"/>
      <c r="QFM112" s="1142"/>
      <c r="QFN112" s="1142"/>
      <c r="QFO112" s="1142"/>
      <c r="QFP112" s="1142"/>
      <c r="QFQ112" s="1142"/>
      <c r="QFR112" s="1142"/>
      <c r="QFS112" s="1142"/>
      <c r="QFT112" s="1142"/>
      <c r="QFU112" s="1142"/>
      <c r="QFV112" s="1142"/>
      <c r="QFW112" s="1142"/>
      <c r="QFX112" s="1142"/>
      <c r="QFY112" s="1142"/>
      <c r="QFZ112" s="1142"/>
      <c r="QGA112" s="1142"/>
      <c r="QGB112" s="1142"/>
      <c r="QGC112" s="1142"/>
      <c r="QGD112" s="1142"/>
      <c r="QGE112" s="1142"/>
      <c r="QGF112" s="1142"/>
      <c r="QGG112" s="1167"/>
      <c r="QGH112" s="1167"/>
      <c r="QGI112" s="1167"/>
      <c r="QGJ112" s="1167"/>
      <c r="QGK112" s="1167"/>
      <c r="QGL112" s="1167"/>
      <c r="QGM112" s="1167"/>
      <c r="QGN112" s="1167"/>
      <c r="QGO112" s="1167"/>
      <c r="QGP112" s="1142"/>
      <c r="QGQ112" s="1142"/>
      <c r="QGR112" s="1142"/>
      <c r="QGS112" s="1142"/>
      <c r="QGT112" s="1142"/>
      <c r="QGU112" s="1142"/>
      <c r="QGV112" s="1142"/>
      <c r="QGW112" s="1142"/>
      <c r="QGX112" s="1142"/>
      <c r="QGY112" s="1142"/>
      <c r="QGZ112" s="1142"/>
      <c r="QHA112" s="1142"/>
      <c r="QHB112" s="1142"/>
      <c r="QHC112" s="1142"/>
      <c r="QHD112" s="1142"/>
      <c r="QHE112" s="1142"/>
      <c r="QHF112" s="1142"/>
      <c r="QHG112" s="1142"/>
      <c r="QHH112" s="1142"/>
      <c r="QHI112" s="1142"/>
      <c r="QHJ112" s="1142"/>
      <c r="QHK112" s="1142"/>
      <c r="QHL112" s="1142"/>
      <c r="QHM112" s="1167"/>
      <c r="QHN112" s="1167"/>
      <c r="QHO112" s="1167"/>
      <c r="QHP112" s="1167"/>
      <c r="QHQ112" s="1167"/>
      <c r="QHR112" s="1167"/>
      <c r="QHS112" s="1167"/>
      <c r="QHT112" s="1167"/>
      <c r="QHU112" s="1167"/>
      <c r="QHV112" s="1142"/>
      <c r="QHW112" s="1142"/>
      <c r="QHX112" s="1142"/>
      <c r="QHY112" s="1142"/>
      <c r="QHZ112" s="1142"/>
      <c r="QIA112" s="1142"/>
      <c r="QIB112" s="1142"/>
      <c r="QIC112" s="1142"/>
      <c r="QID112" s="1142"/>
      <c r="QIE112" s="1142"/>
      <c r="QIF112" s="1142"/>
      <c r="QIG112" s="1142"/>
      <c r="QIH112" s="1142"/>
      <c r="QII112" s="1142"/>
      <c r="QIJ112" s="1142"/>
      <c r="QIK112" s="1142"/>
      <c r="QIL112" s="1142"/>
      <c r="QIM112" s="1142"/>
      <c r="QIN112" s="1142"/>
      <c r="QIO112" s="1142"/>
      <c r="QIP112" s="1142"/>
      <c r="QIQ112" s="1142"/>
      <c r="QIR112" s="1142"/>
      <c r="QIS112" s="1167"/>
      <c r="QIT112" s="1167"/>
      <c r="QIU112" s="1167"/>
      <c r="QIV112" s="1167"/>
      <c r="QIW112" s="1167"/>
      <c r="QIX112" s="1167"/>
      <c r="QIY112" s="1167"/>
      <c r="QIZ112" s="1167"/>
      <c r="QJA112" s="1167"/>
      <c r="QJB112" s="1142"/>
      <c r="QJC112" s="1142"/>
      <c r="QJD112" s="1142"/>
      <c r="QJE112" s="1142"/>
      <c r="QJF112" s="1142"/>
      <c r="QJG112" s="1142"/>
      <c r="QJH112" s="1142"/>
      <c r="QJI112" s="1142"/>
      <c r="QJJ112" s="1142"/>
      <c r="QJK112" s="1142"/>
      <c r="QJL112" s="1142"/>
      <c r="QJM112" s="1142"/>
      <c r="QJN112" s="1142"/>
      <c r="QJO112" s="1142"/>
      <c r="QJP112" s="1142"/>
      <c r="QJQ112" s="1142"/>
      <c r="QJR112" s="1142"/>
      <c r="QJS112" s="1142"/>
      <c r="QJT112" s="1142"/>
      <c r="QJU112" s="1142"/>
      <c r="QJV112" s="1142"/>
      <c r="QJW112" s="1142"/>
      <c r="QJX112" s="1142"/>
      <c r="QJY112" s="1167"/>
      <c r="QJZ112" s="1167"/>
      <c r="QKA112" s="1167"/>
      <c r="QKB112" s="1167"/>
      <c r="QKC112" s="1167"/>
      <c r="QKD112" s="1167"/>
      <c r="QKE112" s="1167"/>
      <c r="QKF112" s="1167"/>
      <c r="QKG112" s="1167"/>
      <c r="QKH112" s="1142"/>
      <c r="QKI112" s="1142"/>
      <c r="QKJ112" s="1142"/>
      <c r="QKK112" s="1142"/>
      <c r="QKL112" s="1142"/>
      <c r="QKM112" s="1142"/>
      <c r="QKN112" s="1142"/>
      <c r="QKO112" s="1142"/>
      <c r="QKP112" s="1142"/>
      <c r="QKQ112" s="1142"/>
      <c r="QKR112" s="1142"/>
      <c r="QKS112" s="1142"/>
      <c r="QKT112" s="1142"/>
      <c r="QKU112" s="1142"/>
      <c r="QKV112" s="1142"/>
      <c r="QKW112" s="1142"/>
      <c r="QKX112" s="1142"/>
      <c r="QKY112" s="1142"/>
      <c r="QKZ112" s="1142"/>
      <c r="QLA112" s="1142"/>
      <c r="QLB112" s="1142"/>
      <c r="QLC112" s="1142"/>
      <c r="QLD112" s="1142"/>
      <c r="QLE112" s="1167"/>
      <c r="QLF112" s="1167"/>
      <c r="QLG112" s="1167"/>
      <c r="QLH112" s="1167"/>
      <c r="QLI112" s="1167"/>
      <c r="QLJ112" s="1167"/>
      <c r="QLK112" s="1167"/>
      <c r="QLL112" s="1167"/>
      <c r="QLM112" s="1167"/>
      <c r="QLN112" s="1142"/>
      <c r="QLO112" s="1142"/>
      <c r="QLP112" s="1142"/>
      <c r="QLQ112" s="1142"/>
      <c r="QLR112" s="1142"/>
      <c r="QLS112" s="1142"/>
      <c r="QLT112" s="1142"/>
      <c r="QLU112" s="1142"/>
      <c r="QLV112" s="1142"/>
      <c r="QLW112" s="1142"/>
      <c r="QLX112" s="1142"/>
      <c r="QLY112" s="1142"/>
      <c r="QLZ112" s="1142"/>
      <c r="QMA112" s="1142"/>
      <c r="QMB112" s="1142"/>
      <c r="QMC112" s="1142"/>
      <c r="QMD112" s="1142"/>
      <c r="QME112" s="1142"/>
      <c r="QMF112" s="1142"/>
      <c r="QMG112" s="1142"/>
      <c r="QMH112" s="1142"/>
      <c r="QMI112" s="1142"/>
      <c r="QMJ112" s="1142"/>
      <c r="QMK112" s="1167"/>
      <c r="QML112" s="1167"/>
      <c r="QMM112" s="1167"/>
      <c r="QMN112" s="1167"/>
      <c r="QMO112" s="1167"/>
      <c r="QMP112" s="1167"/>
      <c r="QMQ112" s="1167"/>
      <c r="QMR112" s="1167"/>
      <c r="QMS112" s="1167"/>
      <c r="QMT112" s="1142"/>
      <c r="QMU112" s="1142"/>
      <c r="QMV112" s="1142"/>
      <c r="QMW112" s="1142"/>
      <c r="QMX112" s="1142"/>
      <c r="QMY112" s="1142"/>
      <c r="QMZ112" s="1142"/>
      <c r="QNA112" s="1142"/>
      <c r="QNB112" s="1142"/>
      <c r="QNC112" s="1142"/>
      <c r="QND112" s="1142"/>
      <c r="QNE112" s="1142"/>
      <c r="QNF112" s="1142"/>
      <c r="QNG112" s="1142"/>
      <c r="QNH112" s="1142"/>
      <c r="QNI112" s="1142"/>
      <c r="QNJ112" s="1142"/>
      <c r="QNK112" s="1142"/>
      <c r="QNL112" s="1142"/>
      <c r="QNM112" s="1142"/>
      <c r="QNN112" s="1142"/>
      <c r="QNO112" s="1142"/>
      <c r="QNP112" s="1142"/>
      <c r="QNQ112" s="1167"/>
      <c r="QNR112" s="1167"/>
      <c r="QNS112" s="1167"/>
      <c r="QNT112" s="1167"/>
      <c r="QNU112" s="1167"/>
      <c r="QNV112" s="1167"/>
      <c r="QNW112" s="1167"/>
      <c r="QNX112" s="1167"/>
      <c r="QNY112" s="1167"/>
      <c r="QNZ112" s="1142"/>
      <c r="QOA112" s="1142"/>
      <c r="QOB112" s="1142"/>
      <c r="QOC112" s="1142"/>
      <c r="QOD112" s="1142"/>
      <c r="QOE112" s="1142"/>
      <c r="QOF112" s="1142"/>
      <c r="QOG112" s="1142"/>
      <c r="QOH112" s="1142"/>
      <c r="QOI112" s="1142"/>
      <c r="QOJ112" s="1142"/>
      <c r="QOK112" s="1142"/>
      <c r="QOL112" s="1142"/>
      <c r="QOM112" s="1142"/>
      <c r="QON112" s="1142"/>
      <c r="QOO112" s="1142"/>
      <c r="QOP112" s="1142"/>
      <c r="QOQ112" s="1142"/>
      <c r="QOR112" s="1142"/>
      <c r="QOS112" s="1142"/>
      <c r="QOT112" s="1142"/>
      <c r="QOU112" s="1142"/>
      <c r="QOV112" s="1142"/>
      <c r="QOW112" s="1167"/>
      <c r="QOX112" s="1167"/>
      <c r="QOY112" s="1167"/>
      <c r="QOZ112" s="1167"/>
      <c r="QPA112" s="1167"/>
      <c r="QPB112" s="1167"/>
      <c r="QPC112" s="1167"/>
      <c r="QPD112" s="1167"/>
      <c r="QPE112" s="1167"/>
      <c r="QPF112" s="1142"/>
      <c r="QPG112" s="1142"/>
      <c r="QPH112" s="1142"/>
      <c r="QPI112" s="1142"/>
      <c r="QPJ112" s="1142"/>
      <c r="QPK112" s="1142"/>
      <c r="QPL112" s="1142"/>
      <c r="QPM112" s="1142"/>
      <c r="QPN112" s="1142"/>
      <c r="QPO112" s="1142"/>
      <c r="QPP112" s="1142"/>
      <c r="QPQ112" s="1142"/>
      <c r="QPR112" s="1142"/>
      <c r="QPS112" s="1142"/>
      <c r="QPT112" s="1142"/>
      <c r="QPU112" s="1142"/>
      <c r="QPV112" s="1142"/>
      <c r="QPW112" s="1142"/>
      <c r="QPX112" s="1142"/>
      <c r="QPY112" s="1142"/>
      <c r="QPZ112" s="1142"/>
      <c r="QQA112" s="1142"/>
      <c r="QQB112" s="1142"/>
      <c r="QQC112" s="1167"/>
      <c r="QQD112" s="1167"/>
      <c r="QQE112" s="1167"/>
      <c r="QQF112" s="1167"/>
      <c r="QQG112" s="1167"/>
      <c r="QQH112" s="1167"/>
      <c r="QQI112" s="1167"/>
      <c r="QQJ112" s="1167"/>
      <c r="QQK112" s="1167"/>
      <c r="QQL112" s="1142"/>
      <c r="QQM112" s="1142"/>
      <c r="QQN112" s="1142"/>
      <c r="QQO112" s="1142"/>
      <c r="QQP112" s="1142"/>
      <c r="QQQ112" s="1142"/>
      <c r="QQR112" s="1142"/>
      <c r="QQS112" s="1142"/>
      <c r="QQT112" s="1142"/>
      <c r="QQU112" s="1142"/>
      <c r="QQV112" s="1142"/>
      <c r="QQW112" s="1142"/>
      <c r="QQX112" s="1142"/>
      <c r="QQY112" s="1142"/>
      <c r="QQZ112" s="1142"/>
      <c r="QRA112" s="1142"/>
      <c r="QRB112" s="1142"/>
      <c r="QRC112" s="1142"/>
      <c r="QRD112" s="1142"/>
      <c r="QRE112" s="1142"/>
      <c r="QRF112" s="1142"/>
      <c r="QRG112" s="1142"/>
      <c r="QRH112" s="1142"/>
      <c r="QRI112" s="1167"/>
      <c r="QRJ112" s="1167"/>
      <c r="QRK112" s="1167"/>
      <c r="QRL112" s="1167"/>
      <c r="QRM112" s="1167"/>
      <c r="QRN112" s="1167"/>
      <c r="QRO112" s="1167"/>
      <c r="QRP112" s="1167"/>
      <c r="QRQ112" s="1167"/>
      <c r="QRR112" s="1142"/>
      <c r="QRS112" s="1142"/>
      <c r="QRT112" s="1142"/>
      <c r="QRU112" s="1142"/>
      <c r="QRV112" s="1142"/>
      <c r="QRW112" s="1142"/>
      <c r="QRX112" s="1142"/>
      <c r="QRY112" s="1142"/>
      <c r="QRZ112" s="1142"/>
      <c r="QSA112" s="1142"/>
      <c r="QSB112" s="1142"/>
      <c r="QSC112" s="1142"/>
      <c r="QSD112" s="1142"/>
      <c r="QSE112" s="1142"/>
      <c r="QSF112" s="1142"/>
      <c r="QSG112" s="1142"/>
      <c r="QSH112" s="1142"/>
      <c r="QSI112" s="1142"/>
      <c r="QSJ112" s="1142"/>
      <c r="QSK112" s="1142"/>
      <c r="QSL112" s="1142"/>
      <c r="QSM112" s="1142"/>
      <c r="QSN112" s="1142"/>
      <c r="QSO112" s="1167"/>
      <c r="QSP112" s="1167"/>
      <c r="QSQ112" s="1167"/>
      <c r="QSR112" s="1167"/>
      <c r="QSS112" s="1167"/>
      <c r="QST112" s="1167"/>
      <c r="QSU112" s="1167"/>
      <c r="QSV112" s="1167"/>
      <c r="QSW112" s="1167"/>
      <c r="QSX112" s="1142"/>
      <c r="QSY112" s="1142"/>
      <c r="QSZ112" s="1142"/>
      <c r="QTA112" s="1142"/>
      <c r="QTB112" s="1142"/>
      <c r="QTC112" s="1142"/>
      <c r="QTD112" s="1142"/>
      <c r="QTE112" s="1142"/>
      <c r="QTF112" s="1142"/>
      <c r="QTG112" s="1142"/>
      <c r="QTH112" s="1142"/>
      <c r="QTI112" s="1142"/>
      <c r="QTJ112" s="1142"/>
      <c r="QTK112" s="1142"/>
      <c r="QTL112" s="1142"/>
      <c r="QTM112" s="1142"/>
      <c r="QTN112" s="1142"/>
      <c r="QTO112" s="1142"/>
      <c r="QTP112" s="1142"/>
      <c r="QTQ112" s="1142"/>
      <c r="QTR112" s="1142"/>
      <c r="QTS112" s="1142"/>
      <c r="QTT112" s="1142"/>
      <c r="QTU112" s="1167"/>
      <c r="QTV112" s="1167"/>
      <c r="QTW112" s="1167"/>
      <c r="QTX112" s="1167"/>
      <c r="QTY112" s="1167"/>
      <c r="QTZ112" s="1167"/>
      <c r="QUA112" s="1167"/>
      <c r="QUB112" s="1167"/>
      <c r="QUC112" s="1167"/>
      <c r="QUD112" s="1142"/>
      <c r="QUE112" s="1142"/>
      <c r="QUF112" s="1142"/>
      <c r="QUG112" s="1142"/>
      <c r="QUH112" s="1142"/>
      <c r="QUI112" s="1142"/>
      <c r="QUJ112" s="1142"/>
      <c r="QUK112" s="1142"/>
      <c r="QUL112" s="1142"/>
      <c r="QUM112" s="1142"/>
      <c r="QUN112" s="1142"/>
      <c r="QUO112" s="1142"/>
      <c r="QUP112" s="1142"/>
      <c r="QUQ112" s="1142"/>
      <c r="QUR112" s="1142"/>
      <c r="QUS112" s="1142"/>
      <c r="QUT112" s="1142"/>
      <c r="QUU112" s="1142"/>
      <c r="QUV112" s="1142"/>
      <c r="QUW112" s="1142"/>
      <c r="QUX112" s="1142"/>
      <c r="QUY112" s="1142"/>
      <c r="QUZ112" s="1142"/>
      <c r="QVA112" s="1167"/>
      <c r="QVB112" s="1167"/>
      <c r="QVC112" s="1167"/>
      <c r="QVD112" s="1167"/>
      <c r="QVE112" s="1167"/>
      <c r="QVF112" s="1167"/>
      <c r="QVG112" s="1167"/>
      <c r="QVH112" s="1167"/>
      <c r="QVI112" s="1167"/>
      <c r="QVJ112" s="1142"/>
      <c r="QVK112" s="1142"/>
      <c r="QVL112" s="1142"/>
      <c r="QVM112" s="1142"/>
      <c r="QVN112" s="1142"/>
      <c r="QVO112" s="1142"/>
      <c r="QVP112" s="1142"/>
      <c r="QVQ112" s="1142"/>
      <c r="QVR112" s="1142"/>
      <c r="QVS112" s="1142"/>
      <c r="QVT112" s="1142"/>
      <c r="QVU112" s="1142"/>
      <c r="QVV112" s="1142"/>
      <c r="QVW112" s="1142"/>
      <c r="QVX112" s="1142"/>
      <c r="QVY112" s="1142"/>
      <c r="QVZ112" s="1142"/>
      <c r="QWA112" s="1142"/>
      <c r="QWB112" s="1142"/>
      <c r="QWC112" s="1142"/>
      <c r="QWD112" s="1142"/>
      <c r="QWE112" s="1142"/>
      <c r="QWF112" s="1142"/>
      <c r="QWG112" s="1167"/>
      <c r="QWH112" s="1167"/>
      <c r="QWI112" s="1167"/>
      <c r="QWJ112" s="1167"/>
      <c r="QWK112" s="1167"/>
      <c r="QWL112" s="1167"/>
      <c r="QWM112" s="1167"/>
      <c r="QWN112" s="1167"/>
      <c r="QWO112" s="1167"/>
      <c r="QWP112" s="1142"/>
      <c r="QWQ112" s="1142"/>
      <c r="QWR112" s="1142"/>
      <c r="QWS112" s="1142"/>
      <c r="QWT112" s="1142"/>
      <c r="QWU112" s="1142"/>
      <c r="QWV112" s="1142"/>
      <c r="QWW112" s="1142"/>
      <c r="QWX112" s="1142"/>
      <c r="QWY112" s="1142"/>
      <c r="QWZ112" s="1142"/>
      <c r="QXA112" s="1142"/>
      <c r="QXB112" s="1142"/>
      <c r="QXC112" s="1142"/>
      <c r="QXD112" s="1142"/>
      <c r="QXE112" s="1142"/>
      <c r="QXF112" s="1142"/>
      <c r="QXG112" s="1142"/>
      <c r="QXH112" s="1142"/>
      <c r="QXI112" s="1142"/>
      <c r="QXJ112" s="1142"/>
      <c r="QXK112" s="1142"/>
      <c r="QXL112" s="1142"/>
      <c r="QXM112" s="1167"/>
      <c r="QXN112" s="1167"/>
      <c r="QXO112" s="1167"/>
      <c r="QXP112" s="1167"/>
      <c r="QXQ112" s="1167"/>
      <c r="QXR112" s="1167"/>
      <c r="QXS112" s="1167"/>
      <c r="QXT112" s="1167"/>
      <c r="QXU112" s="1167"/>
      <c r="QXV112" s="1142"/>
      <c r="QXW112" s="1142"/>
      <c r="QXX112" s="1142"/>
      <c r="QXY112" s="1142"/>
      <c r="QXZ112" s="1142"/>
      <c r="QYA112" s="1142"/>
      <c r="QYB112" s="1142"/>
      <c r="QYC112" s="1142"/>
      <c r="QYD112" s="1142"/>
      <c r="QYE112" s="1142"/>
      <c r="QYF112" s="1142"/>
      <c r="QYG112" s="1142"/>
      <c r="QYH112" s="1142"/>
      <c r="QYI112" s="1142"/>
      <c r="QYJ112" s="1142"/>
      <c r="QYK112" s="1142"/>
      <c r="QYL112" s="1142"/>
      <c r="QYM112" s="1142"/>
      <c r="QYN112" s="1142"/>
      <c r="QYO112" s="1142"/>
      <c r="QYP112" s="1142"/>
      <c r="QYQ112" s="1142"/>
      <c r="QYR112" s="1142"/>
      <c r="QYS112" s="1167"/>
      <c r="QYT112" s="1167"/>
      <c r="QYU112" s="1167"/>
      <c r="QYV112" s="1167"/>
      <c r="QYW112" s="1167"/>
      <c r="QYX112" s="1167"/>
      <c r="QYY112" s="1167"/>
      <c r="QYZ112" s="1167"/>
      <c r="QZA112" s="1167"/>
      <c r="QZB112" s="1142"/>
      <c r="QZC112" s="1142"/>
      <c r="QZD112" s="1142"/>
      <c r="QZE112" s="1142"/>
      <c r="QZF112" s="1142"/>
      <c r="QZG112" s="1142"/>
      <c r="QZH112" s="1142"/>
      <c r="QZI112" s="1142"/>
      <c r="QZJ112" s="1142"/>
      <c r="QZK112" s="1142"/>
      <c r="QZL112" s="1142"/>
      <c r="QZM112" s="1142"/>
      <c r="QZN112" s="1142"/>
      <c r="QZO112" s="1142"/>
      <c r="QZP112" s="1142"/>
      <c r="QZQ112" s="1142"/>
      <c r="QZR112" s="1142"/>
      <c r="QZS112" s="1142"/>
      <c r="QZT112" s="1142"/>
      <c r="QZU112" s="1142"/>
      <c r="QZV112" s="1142"/>
      <c r="QZW112" s="1142"/>
      <c r="QZX112" s="1142"/>
      <c r="QZY112" s="1167"/>
      <c r="QZZ112" s="1167"/>
      <c r="RAA112" s="1167"/>
      <c r="RAB112" s="1167"/>
      <c r="RAC112" s="1167"/>
      <c r="RAD112" s="1167"/>
      <c r="RAE112" s="1167"/>
      <c r="RAF112" s="1167"/>
      <c r="RAG112" s="1167"/>
      <c r="RAH112" s="1142"/>
      <c r="RAI112" s="1142"/>
      <c r="RAJ112" s="1142"/>
      <c r="RAK112" s="1142"/>
      <c r="RAL112" s="1142"/>
      <c r="RAM112" s="1142"/>
      <c r="RAN112" s="1142"/>
      <c r="RAO112" s="1142"/>
      <c r="RAP112" s="1142"/>
      <c r="RAQ112" s="1142"/>
      <c r="RAR112" s="1142"/>
      <c r="RAS112" s="1142"/>
      <c r="RAT112" s="1142"/>
      <c r="RAU112" s="1142"/>
      <c r="RAV112" s="1142"/>
      <c r="RAW112" s="1142"/>
      <c r="RAX112" s="1142"/>
      <c r="RAY112" s="1142"/>
      <c r="RAZ112" s="1142"/>
      <c r="RBA112" s="1142"/>
      <c r="RBB112" s="1142"/>
      <c r="RBC112" s="1142"/>
      <c r="RBD112" s="1142"/>
      <c r="RBE112" s="1167"/>
      <c r="RBF112" s="1167"/>
      <c r="RBG112" s="1167"/>
      <c r="RBH112" s="1167"/>
      <c r="RBI112" s="1167"/>
      <c r="RBJ112" s="1167"/>
      <c r="RBK112" s="1167"/>
      <c r="RBL112" s="1167"/>
      <c r="RBM112" s="1167"/>
      <c r="RBN112" s="1142"/>
      <c r="RBO112" s="1142"/>
      <c r="RBP112" s="1142"/>
      <c r="RBQ112" s="1142"/>
      <c r="RBR112" s="1142"/>
      <c r="RBS112" s="1142"/>
      <c r="RBT112" s="1142"/>
      <c r="RBU112" s="1142"/>
      <c r="RBV112" s="1142"/>
      <c r="RBW112" s="1142"/>
      <c r="RBX112" s="1142"/>
      <c r="RBY112" s="1142"/>
      <c r="RBZ112" s="1142"/>
      <c r="RCA112" s="1142"/>
      <c r="RCB112" s="1142"/>
      <c r="RCC112" s="1142"/>
      <c r="RCD112" s="1142"/>
      <c r="RCE112" s="1142"/>
      <c r="RCF112" s="1142"/>
      <c r="RCG112" s="1142"/>
      <c r="RCH112" s="1142"/>
      <c r="RCI112" s="1142"/>
      <c r="RCJ112" s="1142"/>
      <c r="RCK112" s="1167"/>
      <c r="RCL112" s="1167"/>
      <c r="RCM112" s="1167"/>
      <c r="RCN112" s="1167"/>
      <c r="RCO112" s="1167"/>
      <c r="RCP112" s="1167"/>
      <c r="RCQ112" s="1167"/>
      <c r="RCR112" s="1167"/>
      <c r="RCS112" s="1167"/>
      <c r="RCT112" s="1142"/>
      <c r="RCU112" s="1142"/>
      <c r="RCV112" s="1142"/>
      <c r="RCW112" s="1142"/>
      <c r="RCX112" s="1142"/>
      <c r="RCY112" s="1142"/>
      <c r="RCZ112" s="1142"/>
      <c r="RDA112" s="1142"/>
      <c r="RDB112" s="1142"/>
      <c r="RDC112" s="1142"/>
      <c r="RDD112" s="1142"/>
      <c r="RDE112" s="1142"/>
      <c r="RDF112" s="1142"/>
      <c r="RDG112" s="1142"/>
      <c r="RDH112" s="1142"/>
      <c r="RDI112" s="1142"/>
      <c r="RDJ112" s="1142"/>
      <c r="RDK112" s="1142"/>
      <c r="RDL112" s="1142"/>
      <c r="RDM112" s="1142"/>
      <c r="RDN112" s="1142"/>
      <c r="RDO112" s="1142"/>
      <c r="RDP112" s="1142"/>
      <c r="RDQ112" s="1167"/>
      <c r="RDR112" s="1167"/>
      <c r="RDS112" s="1167"/>
      <c r="RDT112" s="1167"/>
      <c r="RDU112" s="1167"/>
      <c r="RDV112" s="1167"/>
      <c r="RDW112" s="1167"/>
      <c r="RDX112" s="1167"/>
      <c r="RDY112" s="1167"/>
      <c r="RDZ112" s="1142"/>
      <c r="REA112" s="1142"/>
      <c r="REB112" s="1142"/>
      <c r="REC112" s="1142"/>
      <c r="RED112" s="1142"/>
      <c r="REE112" s="1142"/>
      <c r="REF112" s="1142"/>
      <c r="REG112" s="1142"/>
      <c r="REH112" s="1142"/>
      <c r="REI112" s="1142"/>
      <c r="REJ112" s="1142"/>
      <c r="REK112" s="1142"/>
      <c r="REL112" s="1142"/>
      <c r="REM112" s="1142"/>
      <c r="REN112" s="1142"/>
      <c r="REO112" s="1142"/>
      <c r="REP112" s="1142"/>
      <c r="REQ112" s="1142"/>
      <c r="RER112" s="1142"/>
      <c r="RES112" s="1142"/>
      <c r="RET112" s="1142"/>
      <c r="REU112" s="1142"/>
      <c r="REV112" s="1142"/>
      <c r="REW112" s="1167"/>
      <c r="REX112" s="1167"/>
      <c r="REY112" s="1167"/>
      <c r="REZ112" s="1167"/>
      <c r="RFA112" s="1167"/>
      <c r="RFB112" s="1167"/>
      <c r="RFC112" s="1167"/>
      <c r="RFD112" s="1167"/>
      <c r="RFE112" s="1167"/>
      <c r="RFF112" s="1142"/>
      <c r="RFG112" s="1142"/>
      <c r="RFH112" s="1142"/>
      <c r="RFI112" s="1142"/>
      <c r="RFJ112" s="1142"/>
      <c r="RFK112" s="1142"/>
      <c r="RFL112" s="1142"/>
      <c r="RFM112" s="1142"/>
      <c r="RFN112" s="1142"/>
      <c r="RFO112" s="1142"/>
      <c r="RFP112" s="1142"/>
      <c r="RFQ112" s="1142"/>
      <c r="RFR112" s="1142"/>
      <c r="RFS112" s="1142"/>
      <c r="RFT112" s="1142"/>
      <c r="RFU112" s="1142"/>
      <c r="RFV112" s="1142"/>
      <c r="RFW112" s="1142"/>
      <c r="RFX112" s="1142"/>
      <c r="RFY112" s="1142"/>
      <c r="RFZ112" s="1142"/>
      <c r="RGA112" s="1142"/>
      <c r="RGB112" s="1142"/>
      <c r="RGC112" s="1167"/>
      <c r="RGD112" s="1167"/>
      <c r="RGE112" s="1167"/>
      <c r="RGF112" s="1167"/>
      <c r="RGG112" s="1167"/>
      <c r="RGH112" s="1167"/>
      <c r="RGI112" s="1167"/>
      <c r="RGJ112" s="1167"/>
      <c r="RGK112" s="1167"/>
      <c r="RGL112" s="1142"/>
      <c r="RGM112" s="1142"/>
      <c r="RGN112" s="1142"/>
      <c r="RGO112" s="1142"/>
      <c r="RGP112" s="1142"/>
      <c r="RGQ112" s="1142"/>
      <c r="RGR112" s="1142"/>
      <c r="RGS112" s="1142"/>
      <c r="RGT112" s="1142"/>
      <c r="RGU112" s="1142"/>
      <c r="RGV112" s="1142"/>
      <c r="RGW112" s="1142"/>
      <c r="RGX112" s="1142"/>
      <c r="RGY112" s="1142"/>
      <c r="RGZ112" s="1142"/>
      <c r="RHA112" s="1142"/>
      <c r="RHB112" s="1142"/>
      <c r="RHC112" s="1142"/>
      <c r="RHD112" s="1142"/>
      <c r="RHE112" s="1142"/>
      <c r="RHF112" s="1142"/>
      <c r="RHG112" s="1142"/>
      <c r="RHH112" s="1142"/>
      <c r="RHI112" s="1167"/>
      <c r="RHJ112" s="1167"/>
      <c r="RHK112" s="1167"/>
      <c r="RHL112" s="1167"/>
      <c r="RHM112" s="1167"/>
      <c r="RHN112" s="1167"/>
      <c r="RHO112" s="1167"/>
      <c r="RHP112" s="1167"/>
      <c r="RHQ112" s="1167"/>
      <c r="RHR112" s="1142"/>
      <c r="RHS112" s="1142"/>
      <c r="RHT112" s="1142"/>
      <c r="RHU112" s="1142"/>
      <c r="RHV112" s="1142"/>
      <c r="RHW112" s="1142"/>
      <c r="RHX112" s="1142"/>
      <c r="RHY112" s="1142"/>
      <c r="RHZ112" s="1142"/>
      <c r="RIA112" s="1142"/>
      <c r="RIB112" s="1142"/>
      <c r="RIC112" s="1142"/>
      <c r="RID112" s="1142"/>
      <c r="RIE112" s="1142"/>
      <c r="RIF112" s="1142"/>
      <c r="RIG112" s="1142"/>
      <c r="RIH112" s="1142"/>
      <c r="RII112" s="1142"/>
      <c r="RIJ112" s="1142"/>
      <c r="RIK112" s="1142"/>
      <c r="RIL112" s="1142"/>
      <c r="RIM112" s="1142"/>
      <c r="RIN112" s="1142"/>
      <c r="RIO112" s="1167"/>
      <c r="RIP112" s="1167"/>
      <c r="RIQ112" s="1167"/>
      <c r="RIR112" s="1167"/>
      <c r="RIS112" s="1167"/>
      <c r="RIT112" s="1167"/>
      <c r="RIU112" s="1167"/>
      <c r="RIV112" s="1167"/>
      <c r="RIW112" s="1167"/>
      <c r="RIX112" s="1142"/>
      <c r="RIY112" s="1142"/>
      <c r="RIZ112" s="1142"/>
      <c r="RJA112" s="1142"/>
      <c r="RJB112" s="1142"/>
      <c r="RJC112" s="1142"/>
      <c r="RJD112" s="1142"/>
      <c r="RJE112" s="1142"/>
      <c r="RJF112" s="1142"/>
      <c r="RJG112" s="1142"/>
      <c r="RJH112" s="1142"/>
      <c r="RJI112" s="1142"/>
      <c r="RJJ112" s="1142"/>
      <c r="RJK112" s="1142"/>
      <c r="RJL112" s="1142"/>
      <c r="RJM112" s="1142"/>
      <c r="RJN112" s="1142"/>
      <c r="RJO112" s="1142"/>
      <c r="RJP112" s="1142"/>
      <c r="RJQ112" s="1142"/>
      <c r="RJR112" s="1142"/>
      <c r="RJS112" s="1142"/>
      <c r="RJT112" s="1142"/>
      <c r="RJU112" s="1167"/>
      <c r="RJV112" s="1167"/>
      <c r="RJW112" s="1167"/>
      <c r="RJX112" s="1167"/>
      <c r="RJY112" s="1167"/>
      <c r="RJZ112" s="1167"/>
      <c r="RKA112" s="1167"/>
      <c r="RKB112" s="1167"/>
      <c r="RKC112" s="1167"/>
      <c r="RKD112" s="1142"/>
      <c r="RKE112" s="1142"/>
      <c r="RKF112" s="1142"/>
      <c r="RKG112" s="1142"/>
      <c r="RKH112" s="1142"/>
      <c r="RKI112" s="1142"/>
      <c r="RKJ112" s="1142"/>
      <c r="RKK112" s="1142"/>
      <c r="RKL112" s="1142"/>
      <c r="RKM112" s="1142"/>
      <c r="RKN112" s="1142"/>
      <c r="RKO112" s="1142"/>
      <c r="RKP112" s="1142"/>
      <c r="RKQ112" s="1142"/>
      <c r="RKR112" s="1142"/>
      <c r="RKS112" s="1142"/>
      <c r="RKT112" s="1142"/>
      <c r="RKU112" s="1142"/>
      <c r="RKV112" s="1142"/>
      <c r="RKW112" s="1142"/>
      <c r="RKX112" s="1142"/>
      <c r="RKY112" s="1142"/>
      <c r="RKZ112" s="1142"/>
      <c r="RLA112" s="1167"/>
      <c r="RLB112" s="1167"/>
      <c r="RLC112" s="1167"/>
      <c r="RLD112" s="1167"/>
      <c r="RLE112" s="1167"/>
      <c r="RLF112" s="1167"/>
      <c r="RLG112" s="1167"/>
      <c r="RLH112" s="1167"/>
      <c r="RLI112" s="1167"/>
      <c r="RLJ112" s="1142"/>
      <c r="RLK112" s="1142"/>
      <c r="RLL112" s="1142"/>
      <c r="RLM112" s="1142"/>
      <c r="RLN112" s="1142"/>
      <c r="RLO112" s="1142"/>
      <c r="RLP112" s="1142"/>
      <c r="RLQ112" s="1142"/>
      <c r="RLR112" s="1142"/>
      <c r="RLS112" s="1142"/>
      <c r="RLT112" s="1142"/>
      <c r="RLU112" s="1142"/>
      <c r="RLV112" s="1142"/>
      <c r="RLW112" s="1142"/>
      <c r="RLX112" s="1142"/>
      <c r="RLY112" s="1142"/>
      <c r="RLZ112" s="1142"/>
      <c r="RMA112" s="1142"/>
      <c r="RMB112" s="1142"/>
      <c r="RMC112" s="1142"/>
      <c r="RMD112" s="1142"/>
      <c r="RME112" s="1142"/>
      <c r="RMF112" s="1142"/>
      <c r="RMG112" s="1167"/>
      <c r="RMH112" s="1167"/>
      <c r="RMI112" s="1167"/>
      <c r="RMJ112" s="1167"/>
      <c r="RMK112" s="1167"/>
      <c r="RML112" s="1167"/>
      <c r="RMM112" s="1167"/>
      <c r="RMN112" s="1167"/>
      <c r="RMO112" s="1167"/>
      <c r="RMP112" s="1142"/>
      <c r="RMQ112" s="1142"/>
      <c r="RMR112" s="1142"/>
      <c r="RMS112" s="1142"/>
      <c r="RMT112" s="1142"/>
      <c r="RMU112" s="1142"/>
      <c r="RMV112" s="1142"/>
      <c r="RMW112" s="1142"/>
      <c r="RMX112" s="1142"/>
      <c r="RMY112" s="1142"/>
      <c r="RMZ112" s="1142"/>
      <c r="RNA112" s="1142"/>
      <c r="RNB112" s="1142"/>
      <c r="RNC112" s="1142"/>
      <c r="RND112" s="1142"/>
      <c r="RNE112" s="1142"/>
      <c r="RNF112" s="1142"/>
      <c r="RNG112" s="1142"/>
      <c r="RNH112" s="1142"/>
      <c r="RNI112" s="1142"/>
      <c r="RNJ112" s="1142"/>
      <c r="RNK112" s="1142"/>
      <c r="RNL112" s="1142"/>
      <c r="RNM112" s="1167"/>
      <c r="RNN112" s="1167"/>
      <c r="RNO112" s="1167"/>
      <c r="RNP112" s="1167"/>
      <c r="RNQ112" s="1167"/>
      <c r="RNR112" s="1167"/>
      <c r="RNS112" s="1167"/>
      <c r="RNT112" s="1167"/>
      <c r="RNU112" s="1167"/>
      <c r="RNV112" s="1142"/>
      <c r="RNW112" s="1142"/>
      <c r="RNX112" s="1142"/>
      <c r="RNY112" s="1142"/>
      <c r="RNZ112" s="1142"/>
      <c r="ROA112" s="1142"/>
      <c r="ROB112" s="1142"/>
      <c r="ROC112" s="1142"/>
      <c r="ROD112" s="1142"/>
      <c r="ROE112" s="1142"/>
      <c r="ROF112" s="1142"/>
      <c r="ROG112" s="1142"/>
      <c r="ROH112" s="1142"/>
      <c r="ROI112" s="1142"/>
      <c r="ROJ112" s="1142"/>
      <c r="ROK112" s="1142"/>
      <c r="ROL112" s="1142"/>
      <c r="ROM112" s="1142"/>
      <c r="RON112" s="1142"/>
      <c r="ROO112" s="1142"/>
      <c r="ROP112" s="1142"/>
      <c r="ROQ112" s="1142"/>
      <c r="ROR112" s="1142"/>
      <c r="ROS112" s="1167"/>
      <c r="ROT112" s="1167"/>
      <c r="ROU112" s="1167"/>
      <c r="ROV112" s="1167"/>
      <c r="ROW112" s="1167"/>
      <c r="ROX112" s="1167"/>
      <c r="ROY112" s="1167"/>
      <c r="ROZ112" s="1167"/>
      <c r="RPA112" s="1167"/>
      <c r="RPB112" s="1142"/>
      <c r="RPC112" s="1142"/>
      <c r="RPD112" s="1142"/>
      <c r="RPE112" s="1142"/>
      <c r="RPF112" s="1142"/>
      <c r="RPG112" s="1142"/>
      <c r="RPH112" s="1142"/>
      <c r="RPI112" s="1142"/>
      <c r="RPJ112" s="1142"/>
      <c r="RPK112" s="1142"/>
      <c r="RPL112" s="1142"/>
      <c r="RPM112" s="1142"/>
      <c r="RPN112" s="1142"/>
      <c r="RPO112" s="1142"/>
      <c r="RPP112" s="1142"/>
      <c r="RPQ112" s="1142"/>
      <c r="RPR112" s="1142"/>
      <c r="RPS112" s="1142"/>
      <c r="RPT112" s="1142"/>
      <c r="RPU112" s="1142"/>
      <c r="RPV112" s="1142"/>
      <c r="RPW112" s="1142"/>
      <c r="RPX112" s="1142"/>
      <c r="RPY112" s="1167"/>
      <c r="RPZ112" s="1167"/>
      <c r="RQA112" s="1167"/>
      <c r="RQB112" s="1167"/>
      <c r="RQC112" s="1167"/>
      <c r="RQD112" s="1167"/>
      <c r="RQE112" s="1167"/>
      <c r="RQF112" s="1167"/>
      <c r="RQG112" s="1167"/>
      <c r="RQH112" s="1142"/>
      <c r="RQI112" s="1142"/>
      <c r="RQJ112" s="1142"/>
      <c r="RQK112" s="1142"/>
      <c r="RQL112" s="1142"/>
      <c r="RQM112" s="1142"/>
      <c r="RQN112" s="1142"/>
      <c r="RQO112" s="1142"/>
      <c r="RQP112" s="1142"/>
      <c r="RQQ112" s="1142"/>
      <c r="RQR112" s="1142"/>
      <c r="RQS112" s="1142"/>
      <c r="RQT112" s="1142"/>
      <c r="RQU112" s="1142"/>
      <c r="RQV112" s="1142"/>
      <c r="RQW112" s="1142"/>
      <c r="RQX112" s="1142"/>
      <c r="RQY112" s="1142"/>
      <c r="RQZ112" s="1142"/>
      <c r="RRA112" s="1142"/>
      <c r="RRB112" s="1142"/>
      <c r="RRC112" s="1142"/>
      <c r="RRD112" s="1142"/>
      <c r="RRE112" s="1167"/>
      <c r="RRF112" s="1167"/>
      <c r="RRG112" s="1167"/>
      <c r="RRH112" s="1167"/>
      <c r="RRI112" s="1167"/>
      <c r="RRJ112" s="1167"/>
      <c r="RRK112" s="1167"/>
      <c r="RRL112" s="1167"/>
      <c r="RRM112" s="1167"/>
      <c r="RRN112" s="1142"/>
      <c r="RRO112" s="1142"/>
      <c r="RRP112" s="1142"/>
      <c r="RRQ112" s="1142"/>
      <c r="RRR112" s="1142"/>
      <c r="RRS112" s="1142"/>
      <c r="RRT112" s="1142"/>
      <c r="RRU112" s="1142"/>
      <c r="RRV112" s="1142"/>
      <c r="RRW112" s="1142"/>
      <c r="RRX112" s="1142"/>
      <c r="RRY112" s="1142"/>
      <c r="RRZ112" s="1142"/>
      <c r="RSA112" s="1142"/>
      <c r="RSB112" s="1142"/>
      <c r="RSC112" s="1142"/>
      <c r="RSD112" s="1142"/>
      <c r="RSE112" s="1142"/>
      <c r="RSF112" s="1142"/>
      <c r="RSG112" s="1142"/>
      <c r="RSH112" s="1142"/>
      <c r="RSI112" s="1142"/>
      <c r="RSJ112" s="1142"/>
      <c r="RSK112" s="1167"/>
      <c r="RSL112" s="1167"/>
      <c r="RSM112" s="1167"/>
      <c r="RSN112" s="1167"/>
      <c r="RSO112" s="1167"/>
      <c r="RSP112" s="1167"/>
      <c r="RSQ112" s="1167"/>
      <c r="RSR112" s="1167"/>
      <c r="RSS112" s="1167"/>
      <c r="RST112" s="1142"/>
      <c r="RSU112" s="1142"/>
      <c r="RSV112" s="1142"/>
      <c r="RSW112" s="1142"/>
      <c r="RSX112" s="1142"/>
      <c r="RSY112" s="1142"/>
      <c r="RSZ112" s="1142"/>
      <c r="RTA112" s="1142"/>
      <c r="RTB112" s="1142"/>
      <c r="RTC112" s="1142"/>
      <c r="RTD112" s="1142"/>
      <c r="RTE112" s="1142"/>
      <c r="RTF112" s="1142"/>
      <c r="RTG112" s="1142"/>
      <c r="RTH112" s="1142"/>
      <c r="RTI112" s="1142"/>
      <c r="RTJ112" s="1142"/>
      <c r="RTK112" s="1142"/>
      <c r="RTL112" s="1142"/>
      <c r="RTM112" s="1142"/>
      <c r="RTN112" s="1142"/>
      <c r="RTO112" s="1142"/>
      <c r="RTP112" s="1142"/>
      <c r="RTQ112" s="1167"/>
      <c r="RTR112" s="1167"/>
      <c r="RTS112" s="1167"/>
      <c r="RTT112" s="1167"/>
      <c r="RTU112" s="1167"/>
      <c r="RTV112" s="1167"/>
      <c r="RTW112" s="1167"/>
      <c r="RTX112" s="1167"/>
      <c r="RTY112" s="1167"/>
      <c r="RTZ112" s="1142"/>
      <c r="RUA112" s="1142"/>
      <c r="RUB112" s="1142"/>
      <c r="RUC112" s="1142"/>
      <c r="RUD112" s="1142"/>
      <c r="RUE112" s="1142"/>
      <c r="RUF112" s="1142"/>
      <c r="RUG112" s="1142"/>
      <c r="RUH112" s="1142"/>
      <c r="RUI112" s="1142"/>
      <c r="RUJ112" s="1142"/>
      <c r="RUK112" s="1142"/>
      <c r="RUL112" s="1142"/>
      <c r="RUM112" s="1142"/>
      <c r="RUN112" s="1142"/>
      <c r="RUO112" s="1142"/>
      <c r="RUP112" s="1142"/>
      <c r="RUQ112" s="1142"/>
      <c r="RUR112" s="1142"/>
      <c r="RUS112" s="1142"/>
      <c r="RUT112" s="1142"/>
      <c r="RUU112" s="1142"/>
      <c r="RUV112" s="1142"/>
      <c r="RUW112" s="1167"/>
      <c r="RUX112" s="1167"/>
      <c r="RUY112" s="1167"/>
      <c r="RUZ112" s="1167"/>
      <c r="RVA112" s="1167"/>
      <c r="RVB112" s="1167"/>
      <c r="RVC112" s="1167"/>
      <c r="RVD112" s="1167"/>
      <c r="RVE112" s="1167"/>
      <c r="RVF112" s="1142"/>
      <c r="RVG112" s="1142"/>
      <c r="RVH112" s="1142"/>
      <c r="RVI112" s="1142"/>
      <c r="RVJ112" s="1142"/>
      <c r="RVK112" s="1142"/>
      <c r="RVL112" s="1142"/>
      <c r="RVM112" s="1142"/>
      <c r="RVN112" s="1142"/>
      <c r="RVO112" s="1142"/>
      <c r="RVP112" s="1142"/>
      <c r="RVQ112" s="1142"/>
      <c r="RVR112" s="1142"/>
      <c r="RVS112" s="1142"/>
      <c r="RVT112" s="1142"/>
      <c r="RVU112" s="1142"/>
      <c r="RVV112" s="1142"/>
      <c r="RVW112" s="1142"/>
      <c r="RVX112" s="1142"/>
      <c r="RVY112" s="1142"/>
      <c r="RVZ112" s="1142"/>
      <c r="RWA112" s="1142"/>
      <c r="RWB112" s="1142"/>
      <c r="RWC112" s="1167"/>
      <c r="RWD112" s="1167"/>
      <c r="RWE112" s="1167"/>
      <c r="RWF112" s="1167"/>
      <c r="RWG112" s="1167"/>
      <c r="RWH112" s="1167"/>
      <c r="RWI112" s="1167"/>
      <c r="RWJ112" s="1167"/>
      <c r="RWK112" s="1167"/>
      <c r="RWL112" s="1142"/>
      <c r="RWM112" s="1142"/>
      <c r="RWN112" s="1142"/>
      <c r="RWO112" s="1142"/>
      <c r="RWP112" s="1142"/>
      <c r="RWQ112" s="1142"/>
      <c r="RWR112" s="1142"/>
      <c r="RWS112" s="1142"/>
      <c r="RWT112" s="1142"/>
      <c r="RWU112" s="1142"/>
      <c r="RWV112" s="1142"/>
      <c r="RWW112" s="1142"/>
      <c r="RWX112" s="1142"/>
      <c r="RWY112" s="1142"/>
      <c r="RWZ112" s="1142"/>
      <c r="RXA112" s="1142"/>
      <c r="RXB112" s="1142"/>
      <c r="RXC112" s="1142"/>
      <c r="RXD112" s="1142"/>
      <c r="RXE112" s="1142"/>
      <c r="RXF112" s="1142"/>
      <c r="RXG112" s="1142"/>
      <c r="RXH112" s="1142"/>
      <c r="RXI112" s="1167"/>
      <c r="RXJ112" s="1167"/>
      <c r="RXK112" s="1167"/>
      <c r="RXL112" s="1167"/>
      <c r="RXM112" s="1167"/>
      <c r="RXN112" s="1167"/>
      <c r="RXO112" s="1167"/>
      <c r="RXP112" s="1167"/>
      <c r="RXQ112" s="1167"/>
      <c r="RXR112" s="1142"/>
      <c r="RXS112" s="1142"/>
      <c r="RXT112" s="1142"/>
      <c r="RXU112" s="1142"/>
      <c r="RXV112" s="1142"/>
      <c r="RXW112" s="1142"/>
      <c r="RXX112" s="1142"/>
      <c r="RXY112" s="1142"/>
      <c r="RXZ112" s="1142"/>
      <c r="RYA112" s="1142"/>
      <c r="RYB112" s="1142"/>
      <c r="RYC112" s="1142"/>
      <c r="RYD112" s="1142"/>
      <c r="RYE112" s="1142"/>
      <c r="RYF112" s="1142"/>
      <c r="RYG112" s="1142"/>
      <c r="RYH112" s="1142"/>
      <c r="RYI112" s="1142"/>
      <c r="RYJ112" s="1142"/>
      <c r="RYK112" s="1142"/>
      <c r="RYL112" s="1142"/>
      <c r="RYM112" s="1142"/>
      <c r="RYN112" s="1142"/>
      <c r="RYO112" s="1167"/>
      <c r="RYP112" s="1167"/>
      <c r="RYQ112" s="1167"/>
      <c r="RYR112" s="1167"/>
      <c r="RYS112" s="1167"/>
      <c r="RYT112" s="1167"/>
      <c r="RYU112" s="1167"/>
      <c r="RYV112" s="1167"/>
      <c r="RYW112" s="1167"/>
      <c r="RYX112" s="1142"/>
      <c r="RYY112" s="1142"/>
      <c r="RYZ112" s="1142"/>
      <c r="RZA112" s="1142"/>
      <c r="RZB112" s="1142"/>
      <c r="RZC112" s="1142"/>
      <c r="RZD112" s="1142"/>
      <c r="RZE112" s="1142"/>
      <c r="RZF112" s="1142"/>
      <c r="RZG112" s="1142"/>
      <c r="RZH112" s="1142"/>
      <c r="RZI112" s="1142"/>
      <c r="RZJ112" s="1142"/>
      <c r="RZK112" s="1142"/>
      <c r="RZL112" s="1142"/>
      <c r="RZM112" s="1142"/>
      <c r="RZN112" s="1142"/>
      <c r="RZO112" s="1142"/>
      <c r="RZP112" s="1142"/>
      <c r="RZQ112" s="1142"/>
      <c r="RZR112" s="1142"/>
      <c r="RZS112" s="1142"/>
      <c r="RZT112" s="1142"/>
      <c r="RZU112" s="1167"/>
      <c r="RZV112" s="1167"/>
      <c r="RZW112" s="1167"/>
      <c r="RZX112" s="1167"/>
      <c r="RZY112" s="1167"/>
      <c r="RZZ112" s="1167"/>
      <c r="SAA112" s="1167"/>
      <c r="SAB112" s="1167"/>
      <c r="SAC112" s="1167"/>
      <c r="SAD112" s="1142"/>
      <c r="SAE112" s="1142"/>
      <c r="SAF112" s="1142"/>
      <c r="SAG112" s="1142"/>
      <c r="SAH112" s="1142"/>
      <c r="SAI112" s="1142"/>
      <c r="SAJ112" s="1142"/>
      <c r="SAK112" s="1142"/>
      <c r="SAL112" s="1142"/>
      <c r="SAM112" s="1142"/>
      <c r="SAN112" s="1142"/>
      <c r="SAO112" s="1142"/>
      <c r="SAP112" s="1142"/>
      <c r="SAQ112" s="1142"/>
      <c r="SAR112" s="1142"/>
      <c r="SAS112" s="1142"/>
      <c r="SAT112" s="1142"/>
      <c r="SAU112" s="1142"/>
      <c r="SAV112" s="1142"/>
      <c r="SAW112" s="1142"/>
      <c r="SAX112" s="1142"/>
      <c r="SAY112" s="1142"/>
      <c r="SAZ112" s="1142"/>
      <c r="SBA112" s="1167"/>
      <c r="SBB112" s="1167"/>
      <c r="SBC112" s="1167"/>
      <c r="SBD112" s="1167"/>
      <c r="SBE112" s="1167"/>
      <c r="SBF112" s="1167"/>
      <c r="SBG112" s="1167"/>
      <c r="SBH112" s="1167"/>
      <c r="SBI112" s="1167"/>
      <c r="SBJ112" s="1142"/>
      <c r="SBK112" s="1142"/>
      <c r="SBL112" s="1142"/>
      <c r="SBM112" s="1142"/>
      <c r="SBN112" s="1142"/>
      <c r="SBO112" s="1142"/>
      <c r="SBP112" s="1142"/>
      <c r="SBQ112" s="1142"/>
      <c r="SBR112" s="1142"/>
      <c r="SBS112" s="1142"/>
      <c r="SBT112" s="1142"/>
      <c r="SBU112" s="1142"/>
      <c r="SBV112" s="1142"/>
      <c r="SBW112" s="1142"/>
      <c r="SBX112" s="1142"/>
      <c r="SBY112" s="1142"/>
      <c r="SBZ112" s="1142"/>
      <c r="SCA112" s="1142"/>
      <c r="SCB112" s="1142"/>
      <c r="SCC112" s="1142"/>
      <c r="SCD112" s="1142"/>
      <c r="SCE112" s="1142"/>
      <c r="SCF112" s="1142"/>
      <c r="SCG112" s="1167"/>
      <c r="SCH112" s="1167"/>
      <c r="SCI112" s="1167"/>
      <c r="SCJ112" s="1167"/>
      <c r="SCK112" s="1167"/>
      <c r="SCL112" s="1167"/>
      <c r="SCM112" s="1167"/>
      <c r="SCN112" s="1167"/>
      <c r="SCO112" s="1167"/>
      <c r="SCP112" s="1142"/>
      <c r="SCQ112" s="1142"/>
      <c r="SCR112" s="1142"/>
      <c r="SCS112" s="1142"/>
      <c r="SCT112" s="1142"/>
      <c r="SCU112" s="1142"/>
      <c r="SCV112" s="1142"/>
      <c r="SCW112" s="1142"/>
      <c r="SCX112" s="1142"/>
      <c r="SCY112" s="1142"/>
      <c r="SCZ112" s="1142"/>
      <c r="SDA112" s="1142"/>
      <c r="SDB112" s="1142"/>
      <c r="SDC112" s="1142"/>
      <c r="SDD112" s="1142"/>
      <c r="SDE112" s="1142"/>
      <c r="SDF112" s="1142"/>
      <c r="SDG112" s="1142"/>
      <c r="SDH112" s="1142"/>
      <c r="SDI112" s="1142"/>
      <c r="SDJ112" s="1142"/>
      <c r="SDK112" s="1142"/>
      <c r="SDL112" s="1142"/>
      <c r="SDM112" s="1167"/>
      <c r="SDN112" s="1167"/>
      <c r="SDO112" s="1167"/>
      <c r="SDP112" s="1167"/>
      <c r="SDQ112" s="1167"/>
      <c r="SDR112" s="1167"/>
      <c r="SDS112" s="1167"/>
      <c r="SDT112" s="1167"/>
      <c r="SDU112" s="1167"/>
      <c r="SDV112" s="1142"/>
      <c r="SDW112" s="1142"/>
      <c r="SDX112" s="1142"/>
      <c r="SDY112" s="1142"/>
      <c r="SDZ112" s="1142"/>
      <c r="SEA112" s="1142"/>
      <c r="SEB112" s="1142"/>
      <c r="SEC112" s="1142"/>
      <c r="SED112" s="1142"/>
      <c r="SEE112" s="1142"/>
      <c r="SEF112" s="1142"/>
      <c r="SEG112" s="1142"/>
      <c r="SEH112" s="1142"/>
      <c r="SEI112" s="1142"/>
      <c r="SEJ112" s="1142"/>
      <c r="SEK112" s="1142"/>
      <c r="SEL112" s="1142"/>
      <c r="SEM112" s="1142"/>
      <c r="SEN112" s="1142"/>
      <c r="SEO112" s="1142"/>
      <c r="SEP112" s="1142"/>
      <c r="SEQ112" s="1142"/>
      <c r="SER112" s="1142"/>
      <c r="SES112" s="1167"/>
      <c r="SET112" s="1167"/>
      <c r="SEU112" s="1167"/>
      <c r="SEV112" s="1167"/>
      <c r="SEW112" s="1167"/>
      <c r="SEX112" s="1167"/>
      <c r="SEY112" s="1167"/>
      <c r="SEZ112" s="1167"/>
      <c r="SFA112" s="1167"/>
      <c r="SFB112" s="1142"/>
      <c r="SFC112" s="1142"/>
      <c r="SFD112" s="1142"/>
      <c r="SFE112" s="1142"/>
      <c r="SFF112" s="1142"/>
      <c r="SFG112" s="1142"/>
      <c r="SFH112" s="1142"/>
      <c r="SFI112" s="1142"/>
      <c r="SFJ112" s="1142"/>
      <c r="SFK112" s="1142"/>
      <c r="SFL112" s="1142"/>
      <c r="SFM112" s="1142"/>
      <c r="SFN112" s="1142"/>
      <c r="SFO112" s="1142"/>
      <c r="SFP112" s="1142"/>
      <c r="SFQ112" s="1142"/>
      <c r="SFR112" s="1142"/>
      <c r="SFS112" s="1142"/>
      <c r="SFT112" s="1142"/>
      <c r="SFU112" s="1142"/>
      <c r="SFV112" s="1142"/>
      <c r="SFW112" s="1142"/>
      <c r="SFX112" s="1142"/>
      <c r="SFY112" s="1167"/>
      <c r="SFZ112" s="1167"/>
      <c r="SGA112" s="1167"/>
      <c r="SGB112" s="1167"/>
      <c r="SGC112" s="1167"/>
      <c r="SGD112" s="1167"/>
      <c r="SGE112" s="1167"/>
      <c r="SGF112" s="1167"/>
      <c r="SGG112" s="1167"/>
      <c r="SGH112" s="1142"/>
      <c r="SGI112" s="1142"/>
      <c r="SGJ112" s="1142"/>
      <c r="SGK112" s="1142"/>
      <c r="SGL112" s="1142"/>
      <c r="SGM112" s="1142"/>
      <c r="SGN112" s="1142"/>
      <c r="SGO112" s="1142"/>
      <c r="SGP112" s="1142"/>
      <c r="SGQ112" s="1142"/>
      <c r="SGR112" s="1142"/>
      <c r="SGS112" s="1142"/>
      <c r="SGT112" s="1142"/>
      <c r="SGU112" s="1142"/>
      <c r="SGV112" s="1142"/>
      <c r="SGW112" s="1142"/>
      <c r="SGX112" s="1142"/>
      <c r="SGY112" s="1142"/>
      <c r="SGZ112" s="1142"/>
      <c r="SHA112" s="1142"/>
      <c r="SHB112" s="1142"/>
      <c r="SHC112" s="1142"/>
      <c r="SHD112" s="1142"/>
      <c r="SHE112" s="1167"/>
      <c r="SHF112" s="1167"/>
      <c r="SHG112" s="1167"/>
      <c r="SHH112" s="1167"/>
      <c r="SHI112" s="1167"/>
      <c r="SHJ112" s="1167"/>
      <c r="SHK112" s="1167"/>
      <c r="SHL112" s="1167"/>
      <c r="SHM112" s="1167"/>
      <c r="SHN112" s="1142"/>
      <c r="SHO112" s="1142"/>
      <c r="SHP112" s="1142"/>
      <c r="SHQ112" s="1142"/>
      <c r="SHR112" s="1142"/>
      <c r="SHS112" s="1142"/>
      <c r="SHT112" s="1142"/>
      <c r="SHU112" s="1142"/>
      <c r="SHV112" s="1142"/>
      <c r="SHW112" s="1142"/>
      <c r="SHX112" s="1142"/>
      <c r="SHY112" s="1142"/>
      <c r="SHZ112" s="1142"/>
      <c r="SIA112" s="1142"/>
      <c r="SIB112" s="1142"/>
      <c r="SIC112" s="1142"/>
      <c r="SID112" s="1142"/>
      <c r="SIE112" s="1142"/>
      <c r="SIF112" s="1142"/>
      <c r="SIG112" s="1142"/>
      <c r="SIH112" s="1142"/>
      <c r="SII112" s="1142"/>
      <c r="SIJ112" s="1142"/>
      <c r="SIK112" s="1167"/>
      <c r="SIL112" s="1167"/>
      <c r="SIM112" s="1167"/>
      <c r="SIN112" s="1167"/>
      <c r="SIO112" s="1167"/>
      <c r="SIP112" s="1167"/>
      <c r="SIQ112" s="1167"/>
      <c r="SIR112" s="1167"/>
      <c r="SIS112" s="1167"/>
      <c r="SIT112" s="1142"/>
      <c r="SIU112" s="1142"/>
      <c r="SIV112" s="1142"/>
      <c r="SIW112" s="1142"/>
      <c r="SIX112" s="1142"/>
      <c r="SIY112" s="1142"/>
      <c r="SIZ112" s="1142"/>
      <c r="SJA112" s="1142"/>
      <c r="SJB112" s="1142"/>
      <c r="SJC112" s="1142"/>
      <c r="SJD112" s="1142"/>
      <c r="SJE112" s="1142"/>
      <c r="SJF112" s="1142"/>
      <c r="SJG112" s="1142"/>
      <c r="SJH112" s="1142"/>
      <c r="SJI112" s="1142"/>
      <c r="SJJ112" s="1142"/>
      <c r="SJK112" s="1142"/>
      <c r="SJL112" s="1142"/>
      <c r="SJM112" s="1142"/>
      <c r="SJN112" s="1142"/>
      <c r="SJO112" s="1142"/>
      <c r="SJP112" s="1142"/>
      <c r="SJQ112" s="1167"/>
      <c r="SJR112" s="1167"/>
      <c r="SJS112" s="1167"/>
      <c r="SJT112" s="1167"/>
      <c r="SJU112" s="1167"/>
      <c r="SJV112" s="1167"/>
      <c r="SJW112" s="1167"/>
      <c r="SJX112" s="1167"/>
      <c r="SJY112" s="1167"/>
      <c r="SJZ112" s="1142"/>
      <c r="SKA112" s="1142"/>
      <c r="SKB112" s="1142"/>
      <c r="SKC112" s="1142"/>
      <c r="SKD112" s="1142"/>
      <c r="SKE112" s="1142"/>
      <c r="SKF112" s="1142"/>
      <c r="SKG112" s="1142"/>
      <c r="SKH112" s="1142"/>
      <c r="SKI112" s="1142"/>
      <c r="SKJ112" s="1142"/>
      <c r="SKK112" s="1142"/>
      <c r="SKL112" s="1142"/>
      <c r="SKM112" s="1142"/>
      <c r="SKN112" s="1142"/>
      <c r="SKO112" s="1142"/>
      <c r="SKP112" s="1142"/>
      <c r="SKQ112" s="1142"/>
      <c r="SKR112" s="1142"/>
      <c r="SKS112" s="1142"/>
      <c r="SKT112" s="1142"/>
      <c r="SKU112" s="1142"/>
      <c r="SKV112" s="1142"/>
      <c r="SKW112" s="1167"/>
      <c r="SKX112" s="1167"/>
      <c r="SKY112" s="1167"/>
      <c r="SKZ112" s="1167"/>
      <c r="SLA112" s="1167"/>
      <c r="SLB112" s="1167"/>
      <c r="SLC112" s="1167"/>
      <c r="SLD112" s="1167"/>
      <c r="SLE112" s="1167"/>
      <c r="SLF112" s="1142"/>
      <c r="SLG112" s="1142"/>
      <c r="SLH112" s="1142"/>
      <c r="SLI112" s="1142"/>
      <c r="SLJ112" s="1142"/>
      <c r="SLK112" s="1142"/>
      <c r="SLL112" s="1142"/>
      <c r="SLM112" s="1142"/>
      <c r="SLN112" s="1142"/>
      <c r="SLO112" s="1142"/>
      <c r="SLP112" s="1142"/>
      <c r="SLQ112" s="1142"/>
      <c r="SLR112" s="1142"/>
      <c r="SLS112" s="1142"/>
      <c r="SLT112" s="1142"/>
      <c r="SLU112" s="1142"/>
      <c r="SLV112" s="1142"/>
      <c r="SLW112" s="1142"/>
      <c r="SLX112" s="1142"/>
      <c r="SLY112" s="1142"/>
      <c r="SLZ112" s="1142"/>
      <c r="SMA112" s="1142"/>
      <c r="SMB112" s="1142"/>
      <c r="SMC112" s="1167"/>
      <c r="SMD112" s="1167"/>
      <c r="SME112" s="1167"/>
      <c r="SMF112" s="1167"/>
      <c r="SMG112" s="1167"/>
      <c r="SMH112" s="1167"/>
      <c r="SMI112" s="1167"/>
      <c r="SMJ112" s="1167"/>
      <c r="SMK112" s="1167"/>
      <c r="SML112" s="1142"/>
      <c r="SMM112" s="1142"/>
      <c r="SMN112" s="1142"/>
      <c r="SMO112" s="1142"/>
      <c r="SMP112" s="1142"/>
      <c r="SMQ112" s="1142"/>
      <c r="SMR112" s="1142"/>
      <c r="SMS112" s="1142"/>
      <c r="SMT112" s="1142"/>
      <c r="SMU112" s="1142"/>
      <c r="SMV112" s="1142"/>
      <c r="SMW112" s="1142"/>
      <c r="SMX112" s="1142"/>
      <c r="SMY112" s="1142"/>
      <c r="SMZ112" s="1142"/>
      <c r="SNA112" s="1142"/>
      <c r="SNB112" s="1142"/>
      <c r="SNC112" s="1142"/>
      <c r="SND112" s="1142"/>
      <c r="SNE112" s="1142"/>
      <c r="SNF112" s="1142"/>
      <c r="SNG112" s="1142"/>
      <c r="SNH112" s="1142"/>
      <c r="SNI112" s="1167"/>
      <c r="SNJ112" s="1167"/>
      <c r="SNK112" s="1167"/>
      <c r="SNL112" s="1167"/>
      <c r="SNM112" s="1167"/>
      <c r="SNN112" s="1167"/>
      <c r="SNO112" s="1167"/>
      <c r="SNP112" s="1167"/>
      <c r="SNQ112" s="1167"/>
      <c r="SNR112" s="1142"/>
      <c r="SNS112" s="1142"/>
      <c r="SNT112" s="1142"/>
      <c r="SNU112" s="1142"/>
      <c r="SNV112" s="1142"/>
      <c r="SNW112" s="1142"/>
      <c r="SNX112" s="1142"/>
      <c r="SNY112" s="1142"/>
      <c r="SNZ112" s="1142"/>
      <c r="SOA112" s="1142"/>
      <c r="SOB112" s="1142"/>
      <c r="SOC112" s="1142"/>
      <c r="SOD112" s="1142"/>
      <c r="SOE112" s="1142"/>
      <c r="SOF112" s="1142"/>
      <c r="SOG112" s="1142"/>
      <c r="SOH112" s="1142"/>
      <c r="SOI112" s="1142"/>
      <c r="SOJ112" s="1142"/>
      <c r="SOK112" s="1142"/>
      <c r="SOL112" s="1142"/>
      <c r="SOM112" s="1142"/>
      <c r="SON112" s="1142"/>
      <c r="SOO112" s="1167"/>
      <c r="SOP112" s="1167"/>
      <c r="SOQ112" s="1167"/>
      <c r="SOR112" s="1167"/>
      <c r="SOS112" s="1167"/>
      <c r="SOT112" s="1167"/>
      <c r="SOU112" s="1167"/>
      <c r="SOV112" s="1167"/>
      <c r="SOW112" s="1167"/>
      <c r="SOX112" s="1142"/>
      <c r="SOY112" s="1142"/>
      <c r="SOZ112" s="1142"/>
      <c r="SPA112" s="1142"/>
      <c r="SPB112" s="1142"/>
      <c r="SPC112" s="1142"/>
      <c r="SPD112" s="1142"/>
      <c r="SPE112" s="1142"/>
      <c r="SPF112" s="1142"/>
      <c r="SPG112" s="1142"/>
      <c r="SPH112" s="1142"/>
      <c r="SPI112" s="1142"/>
      <c r="SPJ112" s="1142"/>
      <c r="SPK112" s="1142"/>
      <c r="SPL112" s="1142"/>
      <c r="SPM112" s="1142"/>
      <c r="SPN112" s="1142"/>
      <c r="SPO112" s="1142"/>
      <c r="SPP112" s="1142"/>
      <c r="SPQ112" s="1142"/>
      <c r="SPR112" s="1142"/>
      <c r="SPS112" s="1142"/>
      <c r="SPT112" s="1142"/>
      <c r="SPU112" s="1167"/>
      <c r="SPV112" s="1167"/>
      <c r="SPW112" s="1167"/>
      <c r="SPX112" s="1167"/>
      <c r="SPY112" s="1167"/>
      <c r="SPZ112" s="1167"/>
      <c r="SQA112" s="1167"/>
      <c r="SQB112" s="1167"/>
      <c r="SQC112" s="1167"/>
      <c r="SQD112" s="1142"/>
      <c r="SQE112" s="1142"/>
      <c r="SQF112" s="1142"/>
      <c r="SQG112" s="1142"/>
      <c r="SQH112" s="1142"/>
      <c r="SQI112" s="1142"/>
      <c r="SQJ112" s="1142"/>
      <c r="SQK112" s="1142"/>
      <c r="SQL112" s="1142"/>
      <c r="SQM112" s="1142"/>
      <c r="SQN112" s="1142"/>
      <c r="SQO112" s="1142"/>
      <c r="SQP112" s="1142"/>
      <c r="SQQ112" s="1142"/>
      <c r="SQR112" s="1142"/>
      <c r="SQS112" s="1142"/>
      <c r="SQT112" s="1142"/>
      <c r="SQU112" s="1142"/>
      <c r="SQV112" s="1142"/>
      <c r="SQW112" s="1142"/>
      <c r="SQX112" s="1142"/>
      <c r="SQY112" s="1142"/>
      <c r="SQZ112" s="1142"/>
      <c r="SRA112" s="1167"/>
      <c r="SRB112" s="1167"/>
      <c r="SRC112" s="1167"/>
      <c r="SRD112" s="1167"/>
      <c r="SRE112" s="1167"/>
      <c r="SRF112" s="1167"/>
      <c r="SRG112" s="1167"/>
      <c r="SRH112" s="1167"/>
      <c r="SRI112" s="1167"/>
      <c r="SRJ112" s="1142"/>
      <c r="SRK112" s="1142"/>
      <c r="SRL112" s="1142"/>
      <c r="SRM112" s="1142"/>
      <c r="SRN112" s="1142"/>
      <c r="SRO112" s="1142"/>
      <c r="SRP112" s="1142"/>
      <c r="SRQ112" s="1142"/>
      <c r="SRR112" s="1142"/>
      <c r="SRS112" s="1142"/>
      <c r="SRT112" s="1142"/>
      <c r="SRU112" s="1142"/>
      <c r="SRV112" s="1142"/>
      <c r="SRW112" s="1142"/>
      <c r="SRX112" s="1142"/>
      <c r="SRY112" s="1142"/>
      <c r="SRZ112" s="1142"/>
      <c r="SSA112" s="1142"/>
      <c r="SSB112" s="1142"/>
      <c r="SSC112" s="1142"/>
      <c r="SSD112" s="1142"/>
      <c r="SSE112" s="1142"/>
      <c r="SSF112" s="1142"/>
      <c r="SSG112" s="1167"/>
      <c r="SSH112" s="1167"/>
      <c r="SSI112" s="1167"/>
      <c r="SSJ112" s="1167"/>
      <c r="SSK112" s="1167"/>
      <c r="SSL112" s="1167"/>
      <c r="SSM112" s="1167"/>
      <c r="SSN112" s="1167"/>
      <c r="SSO112" s="1167"/>
      <c r="SSP112" s="1142"/>
      <c r="SSQ112" s="1142"/>
      <c r="SSR112" s="1142"/>
      <c r="SSS112" s="1142"/>
      <c r="SST112" s="1142"/>
      <c r="SSU112" s="1142"/>
      <c r="SSV112" s="1142"/>
      <c r="SSW112" s="1142"/>
      <c r="SSX112" s="1142"/>
      <c r="SSY112" s="1142"/>
      <c r="SSZ112" s="1142"/>
      <c r="STA112" s="1142"/>
      <c r="STB112" s="1142"/>
      <c r="STC112" s="1142"/>
      <c r="STD112" s="1142"/>
      <c r="STE112" s="1142"/>
      <c r="STF112" s="1142"/>
      <c r="STG112" s="1142"/>
      <c r="STH112" s="1142"/>
      <c r="STI112" s="1142"/>
      <c r="STJ112" s="1142"/>
      <c r="STK112" s="1142"/>
      <c r="STL112" s="1142"/>
      <c r="STM112" s="1167"/>
      <c r="STN112" s="1167"/>
      <c r="STO112" s="1167"/>
      <c r="STP112" s="1167"/>
      <c r="STQ112" s="1167"/>
      <c r="STR112" s="1167"/>
      <c r="STS112" s="1167"/>
      <c r="STT112" s="1167"/>
      <c r="STU112" s="1167"/>
      <c r="STV112" s="1142"/>
      <c r="STW112" s="1142"/>
      <c r="STX112" s="1142"/>
      <c r="STY112" s="1142"/>
      <c r="STZ112" s="1142"/>
      <c r="SUA112" s="1142"/>
      <c r="SUB112" s="1142"/>
      <c r="SUC112" s="1142"/>
      <c r="SUD112" s="1142"/>
      <c r="SUE112" s="1142"/>
      <c r="SUF112" s="1142"/>
      <c r="SUG112" s="1142"/>
      <c r="SUH112" s="1142"/>
      <c r="SUI112" s="1142"/>
      <c r="SUJ112" s="1142"/>
      <c r="SUK112" s="1142"/>
      <c r="SUL112" s="1142"/>
      <c r="SUM112" s="1142"/>
      <c r="SUN112" s="1142"/>
      <c r="SUO112" s="1142"/>
      <c r="SUP112" s="1142"/>
      <c r="SUQ112" s="1142"/>
      <c r="SUR112" s="1142"/>
      <c r="SUS112" s="1167"/>
      <c r="SUT112" s="1167"/>
      <c r="SUU112" s="1167"/>
      <c r="SUV112" s="1167"/>
      <c r="SUW112" s="1167"/>
      <c r="SUX112" s="1167"/>
      <c r="SUY112" s="1167"/>
      <c r="SUZ112" s="1167"/>
      <c r="SVA112" s="1167"/>
      <c r="SVB112" s="1142"/>
      <c r="SVC112" s="1142"/>
      <c r="SVD112" s="1142"/>
      <c r="SVE112" s="1142"/>
      <c r="SVF112" s="1142"/>
      <c r="SVG112" s="1142"/>
      <c r="SVH112" s="1142"/>
      <c r="SVI112" s="1142"/>
      <c r="SVJ112" s="1142"/>
      <c r="SVK112" s="1142"/>
      <c r="SVL112" s="1142"/>
      <c r="SVM112" s="1142"/>
      <c r="SVN112" s="1142"/>
      <c r="SVO112" s="1142"/>
      <c r="SVP112" s="1142"/>
      <c r="SVQ112" s="1142"/>
      <c r="SVR112" s="1142"/>
      <c r="SVS112" s="1142"/>
      <c r="SVT112" s="1142"/>
      <c r="SVU112" s="1142"/>
      <c r="SVV112" s="1142"/>
      <c r="SVW112" s="1142"/>
      <c r="SVX112" s="1142"/>
      <c r="SVY112" s="1167"/>
      <c r="SVZ112" s="1167"/>
      <c r="SWA112" s="1167"/>
      <c r="SWB112" s="1167"/>
      <c r="SWC112" s="1167"/>
      <c r="SWD112" s="1167"/>
      <c r="SWE112" s="1167"/>
      <c r="SWF112" s="1167"/>
      <c r="SWG112" s="1167"/>
      <c r="SWH112" s="1142"/>
      <c r="SWI112" s="1142"/>
      <c r="SWJ112" s="1142"/>
      <c r="SWK112" s="1142"/>
      <c r="SWL112" s="1142"/>
      <c r="SWM112" s="1142"/>
      <c r="SWN112" s="1142"/>
      <c r="SWO112" s="1142"/>
      <c r="SWP112" s="1142"/>
      <c r="SWQ112" s="1142"/>
      <c r="SWR112" s="1142"/>
      <c r="SWS112" s="1142"/>
      <c r="SWT112" s="1142"/>
      <c r="SWU112" s="1142"/>
      <c r="SWV112" s="1142"/>
      <c r="SWW112" s="1142"/>
      <c r="SWX112" s="1142"/>
      <c r="SWY112" s="1142"/>
      <c r="SWZ112" s="1142"/>
      <c r="SXA112" s="1142"/>
      <c r="SXB112" s="1142"/>
      <c r="SXC112" s="1142"/>
      <c r="SXD112" s="1142"/>
      <c r="SXE112" s="1167"/>
      <c r="SXF112" s="1167"/>
      <c r="SXG112" s="1167"/>
      <c r="SXH112" s="1167"/>
      <c r="SXI112" s="1167"/>
      <c r="SXJ112" s="1167"/>
      <c r="SXK112" s="1167"/>
      <c r="SXL112" s="1167"/>
      <c r="SXM112" s="1167"/>
      <c r="SXN112" s="1142"/>
      <c r="SXO112" s="1142"/>
      <c r="SXP112" s="1142"/>
      <c r="SXQ112" s="1142"/>
      <c r="SXR112" s="1142"/>
      <c r="SXS112" s="1142"/>
      <c r="SXT112" s="1142"/>
      <c r="SXU112" s="1142"/>
      <c r="SXV112" s="1142"/>
      <c r="SXW112" s="1142"/>
      <c r="SXX112" s="1142"/>
      <c r="SXY112" s="1142"/>
      <c r="SXZ112" s="1142"/>
      <c r="SYA112" s="1142"/>
      <c r="SYB112" s="1142"/>
      <c r="SYC112" s="1142"/>
      <c r="SYD112" s="1142"/>
      <c r="SYE112" s="1142"/>
      <c r="SYF112" s="1142"/>
      <c r="SYG112" s="1142"/>
      <c r="SYH112" s="1142"/>
      <c r="SYI112" s="1142"/>
      <c r="SYJ112" s="1142"/>
      <c r="SYK112" s="1167"/>
      <c r="SYL112" s="1167"/>
      <c r="SYM112" s="1167"/>
      <c r="SYN112" s="1167"/>
      <c r="SYO112" s="1167"/>
      <c r="SYP112" s="1167"/>
      <c r="SYQ112" s="1167"/>
      <c r="SYR112" s="1167"/>
      <c r="SYS112" s="1167"/>
      <c r="SYT112" s="1142"/>
      <c r="SYU112" s="1142"/>
      <c r="SYV112" s="1142"/>
      <c r="SYW112" s="1142"/>
      <c r="SYX112" s="1142"/>
      <c r="SYY112" s="1142"/>
      <c r="SYZ112" s="1142"/>
      <c r="SZA112" s="1142"/>
      <c r="SZB112" s="1142"/>
      <c r="SZC112" s="1142"/>
      <c r="SZD112" s="1142"/>
      <c r="SZE112" s="1142"/>
      <c r="SZF112" s="1142"/>
      <c r="SZG112" s="1142"/>
      <c r="SZH112" s="1142"/>
      <c r="SZI112" s="1142"/>
      <c r="SZJ112" s="1142"/>
      <c r="SZK112" s="1142"/>
      <c r="SZL112" s="1142"/>
      <c r="SZM112" s="1142"/>
      <c r="SZN112" s="1142"/>
      <c r="SZO112" s="1142"/>
      <c r="SZP112" s="1142"/>
      <c r="SZQ112" s="1167"/>
      <c r="SZR112" s="1167"/>
      <c r="SZS112" s="1167"/>
      <c r="SZT112" s="1167"/>
      <c r="SZU112" s="1167"/>
      <c r="SZV112" s="1167"/>
      <c r="SZW112" s="1167"/>
      <c r="SZX112" s="1167"/>
      <c r="SZY112" s="1167"/>
      <c r="SZZ112" s="1142"/>
      <c r="TAA112" s="1142"/>
      <c r="TAB112" s="1142"/>
      <c r="TAC112" s="1142"/>
      <c r="TAD112" s="1142"/>
      <c r="TAE112" s="1142"/>
      <c r="TAF112" s="1142"/>
      <c r="TAG112" s="1142"/>
      <c r="TAH112" s="1142"/>
      <c r="TAI112" s="1142"/>
      <c r="TAJ112" s="1142"/>
      <c r="TAK112" s="1142"/>
      <c r="TAL112" s="1142"/>
      <c r="TAM112" s="1142"/>
      <c r="TAN112" s="1142"/>
      <c r="TAO112" s="1142"/>
      <c r="TAP112" s="1142"/>
      <c r="TAQ112" s="1142"/>
      <c r="TAR112" s="1142"/>
      <c r="TAS112" s="1142"/>
      <c r="TAT112" s="1142"/>
      <c r="TAU112" s="1142"/>
      <c r="TAV112" s="1142"/>
      <c r="TAW112" s="1167"/>
      <c r="TAX112" s="1167"/>
      <c r="TAY112" s="1167"/>
      <c r="TAZ112" s="1167"/>
      <c r="TBA112" s="1167"/>
      <c r="TBB112" s="1167"/>
      <c r="TBC112" s="1167"/>
      <c r="TBD112" s="1167"/>
      <c r="TBE112" s="1167"/>
      <c r="TBF112" s="1142"/>
      <c r="TBG112" s="1142"/>
      <c r="TBH112" s="1142"/>
      <c r="TBI112" s="1142"/>
      <c r="TBJ112" s="1142"/>
      <c r="TBK112" s="1142"/>
      <c r="TBL112" s="1142"/>
      <c r="TBM112" s="1142"/>
      <c r="TBN112" s="1142"/>
      <c r="TBO112" s="1142"/>
      <c r="TBP112" s="1142"/>
      <c r="TBQ112" s="1142"/>
      <c r="TBR112" s="1142"/>
      <c r="TBS112" s="1142"/>
      <c r="TBT112" s="1142"/>
      <c r="TBU112" s="1142"/>
      <c r="TBV112" s="1142"/>
      <c r="TBW112" s="1142"/>
      <c r="TBX112" s="1142"/>
      <c r="TBY112" s="1142"/>
      <c r="TBZ112" s="1142"/>
      <c r="TCA112" s="1142"/>
      <c r="TCB112" s="1142"/>
      <c r="TCC112" s="1167"/>
      <c r="TCD112" s="1167"/>
      <c r="TCE112" s="1167"/>
      <c r="TCF112" s="1167"/>
      <c r="TCG112" s="1167"/>
      <c r="TCH112" s="1167"/>
      <c r="TCI112" s="1167"/>
      <c r="TCJ112" s="1167"/>
      <c r="TCK112" s="1167"/>
      <c r="TCL112" s="1142"/>
      <c r="TCM112" s="1142"/>
      <c r="TCN112" s="1142"/>
      <c r="TCO112" s="1142"/>
      <c r="TCP112" s="1142"/>
      <c r="TCQ112" s="1142"/>
      <c r="TCR112" s="1142"/>
      <c r="TCS112" s="1142"/>
      <c r="TCT112" s="1142"/>
      <c r="TCU112" s="1142"/>
      <c r="TCV112" s="1142"/>
      <c r="TCW112" s="1142"/>
      <c r="TCX112" s="1142"/>
      <c r="TCY112" s="1142"/>
      <c r="TCZ112" s="1142"/>
      <c r="TDA112" s="1142"/>
      <c r="TDB112" s="1142"/>
      <c r="TDC112" s="1142"/>
      <c r="TDD112" s="1142"/>
      <c r="TDE112" s="1142"/>
      <c r="TDF112" s="1142"/>
      <c r="TDG112" s="1142"/>
      <c r="TDH112" s="1142"/>
      <c r="TDI112" s="1167"/>
      <c r="TDJ112" s="1167"/>
      <c r="TDK112" s="1167"/>
      <c r="TDL112" s="1167"/>
      <c r="TDM112" s="1167"/>
      <c r="TDN112" s="1167"/>
      <c r="TDO112" s="1167"/>
      <c r="TDP112" s="1167"/>
      <c r="TDQ112" s="1167"/>
      <c r="TDR112" s="1142"/>
      <c r="TDS112" s="1142"/>
      <c r="TDT112" s="1142"/>
      <c r="TDU112" s="1142"/>
      <c r="TDV112" s="1142"/>
      <c r="TDW112" s="1142"/>
      <c r="TDX112" s="1142"/>
      <c r="TDY112" s="1142"/>
      <c r="TDZ112" s="1142"/>
      <c r="TEA112" s="1142"/>
      <c r="TEB112" s="1142"/>
      <c r="TEC112" s="1142"/>
      <c r="TED112" s="1142"/>
      <c r="TEE112" s="1142"/>
      <c r="TEF112" s="1142"/>
      <c r="TEG112" s="1142"/>
      <c r="TEH112" s="1142"/>
      <c r="TEI112" s="1142"/>
      <c r="TEJ112" s="1142"/>
      <c r="TEK112" s="1142"/>
      <c r="TEL112" s="1142"/>
      <c r="TEM112" s="1142"/>
      <c r="TEN112" s="1142"/>
      <c r="TEO112" s="1167"/>
      <c r="TEP112" s="1167"/>
      <c r="TEQ112" s="1167"/>
      <c r="TER112" s="1167"/>
      <c r="TES112" s="1167"/>
      <c r="TET112" s="1167"/>
      <c r="TEU112" s="1167"/>
      <c r="TEV112" s="1167"/>
      <c r="TEW112" s="1167"/>
      <c r="TEX112" s="1142"/>
      <c r="TEY112" s="1142"/>
      <c r="TEZ112" s="1142"/>
      <c r="TFA112" s="1142"/>
      <c r="TFB112" s="1142"/>
      <c r="TFC112" s="1142"/>
      <c r="TFD112" s="1142"/>
      <c r="TFE112" s="1142"/>
      <c r="TFF112" s="1142"/>
      <c r="TFG112" s="1142"/>
      <c r="TFH112" s="1142"/>
      <c r="TFI112" s="1142"/>
      <c r="TFJ112" s="1142"/>
      <c r="TFK112" s="1142"/>
      <c r="TFL112" s="1142"/>
      <c r="TFM112" s="1142"/>
      <c r="TFN112" s="1142"/>
      <c r="TFO112" s="1142"/>
      <c r="TFP112" s="1142"/>
      <c r="TFQ112" s="1142"/>
      <c r="TFR112" s="1142"/>
      <c r="TFS112" s="1142"/>
      <c r="TFT112" s="1142"/>
      <c r="TFU112" s="1167"/>
      <c r="TFV112" s="1167"/>
      <c r="TFW112" s="1167"/>
      <c r="TFX112" s="1167"/>
      <c r="TFY112" s="1167"/>
      <c r="TFZ112" s="1167"/>
      <c r="TGA112" s="1167"/>
      <c r="TGB112" s="1167"/>
      <c r="TGC112" s="1167"/>
      <c r="TGD112" s="1142"/>
      <c r="TGE112" s="1142"/>
      <c r="TGF112" s="1142"/>
      <c r="TGG112" s="1142"/>
      <c r="TGH112" s="1142"/>
      <c r="TGI112" s="1142"/>
      <c r="TGJ112" s="1142"/>
      <c r="TGK112" s="1142"/>
      <c r="TGL112" s="1142"/>
      <c r="TGM112" s="1142"/>
      <c r="TGN112" s="1142"/>
      <c r="TGO112" s="1142"/>
      <c r="TGP112" s="1142"/>
      <c r="TGQ112" s="1142"/>
      <c r="TGR112" s="1142"/>
      <c r="TGS112" s="1142"/>
      <c r="TGT112" s="1142"/>
      <c r="TGU112" s="1142"/>
      <c r="TGV112" s="1142"/>
      <c r="TGW112" s="1142"/>
      <c r="TGX112" s="1142"/>
      <c r="TGY112" s="1142"/>
      <c r="TGZ112" s="1142"/>
      <c r="THA112" s="1167"/>
      <c r="THB112" s="1167"/>
      <c r="THC112" s="1167"/>
      <c r="THD112" s="1167"/>
      <c r="THE112" s="1167"/>
      <c r="THF112" s="1167"/>
      <c r="THG112" s="1167"/>
      <c r="THH112" s="1167"/>
      <c r="THI112" s="1167"/>
      <c r="THJ112" s="1142"/>
      <c r="THK112" s="1142"/>
      <c r="THL112" s="1142"/>
      <c r="THM112" s="1142"/>
      <c r="THN112" s="1142"/>
      <c r="THO112" s="1142"/>
      <c r="THP112" s="1142"/>
      <c r="THQ112" s="1142"/>
      <c r="THR112" s="1142"/>
      <c r="THS112" s="1142"/>
      <c r="THT112" s="1142"/>
      <c r="THU112" s="1142"/>
      <c r="THV112" s="1142"/>
      <c r="THW112" s="1142"/>
      <c r="THX112" s="1142"/>
      <c r="THY112" s="1142"/>
      <c r="THZ112" s="1142"/>
      <c r="TIA112" s="1142"/>
      <c r="TIB112" s="1142"/>
      <c r="TIC112" s="1142"/>
      <c r="TID112" s="1142"/>
      <c r="TIE112" s="1142"/>
      <c r="TIF112" s="1142"/>
      <c r="TIG112" s="1167"/>
      <c r="TIH112" s="1167"/>
      <c r="TII112" s="1167"/>
      <c r="TIJ112" s="1167"/>
      <c r="TIK112" s="1167"/>
      <c r="TIL112" s="1167"/>
      <c r="TIM112" s="1167"/>
      <c r="TIN112" s="1167"/>
      <c r="TIO112" s="1167"/>
      <c r="TIP112" s="1142"/>
      <c r="TIQ112" s="1142"/>
      <c r="TIR112" s="1142"/>
      <c r="TIS112" s="1142"/>
      <c r="TIT112" s="1142"/>
      <c r="TIU112" s="1142"/>
      <c r="TIV112" s="1142"/>
      <c r="TIW112" s="1142"/>
      <c r="TIX112" s="1142"/>
      <c r="TIY112" s="1142"/>
      <c r="TIZ112" s="1142"/>
      <c r="TJA112" s="1142"/>
      <c r="TJB112" s="1142"/>
      <c r="TJC112" s="1142"/>
      <c r="TJD112" s="1142"/>
      <c r="TJE112" s="1142"/>
      <c r="TJF112" s="1142"/>
      <c r="TJG112" s="1142"/>
      <c r="TJH112" s="1142"/>
      <c r="TJI112" s="1142"/>
      <c r="TJJ112" s="1142"/>
      <c r="TJK112" s="1142"/>
      <c r="TJL112" s="1142"/>
      <c r="TJM112" s="1167"/>
      <c r="TJN112" s="1167"/>
      <c r="TJO112" s="1167"/>
      <c r="TJP112" s="1167"/>
      <c r="TJQ112" s="1167"/>
      <c r="TJR112" s="1167"/>
      <c r="TJS112" s="1167"/>
      <c r="TJT112" s="1167"/>
      <c r="TJU112" s="1167"/>
      <c r="TJV112" s="1142"/>
      <c r="TJW112" s="1142"/>
      <c r="TJX112" s="1142"/>
      <c r="TJY112" s="1142"/>
      <c r="TJZ112" s="1142"/>
      <c r="TKA112" s="1142"/>
      <c r="TKB112" s="1142"/>
      <c r="TKC112" s="1142"/>
      <c r="TKD112" s="1142"/>
      <c r="TKE112" s="1142"/>
      <c r="TKF112" s="1142"/>
      <c r="TKG112" s="1142"/>
      <c r="TKH112" s="1142"/>
      <c r="TKI112" s="1142"/>
      <c r="TKJ112" s="1142"/>
      <c r="TKK112" s="1142"/>
      <c r="TKL112" s="1142"/>
      <c r="TKM112" s="1142"/>
      <c r="TKN112" s="1142"/>
      <c r="TKO112" s="1142"/>
      <c r="TKP112" s="1142"/>
      <c r="TKQ112" s="1142"/>
      <c r="TKR112" s="1142"/>
      <c r="TKS112" s="1167"/>
      <c r="TKT112" s="1167"/>
      <c r="TKU112" s="1167"/>
      <c r="TKV112" s="1167"/>
      <c r="TKW112" s="1167"/>
      <c r="TKX112" s="1167"/>
      <c r="TKY112" s="1167"/>
      <c r="TKZ112" s="1167"/>
      <c r="TLA112" s="1167"/>
      <c r="TLB112" s="1142"/>
      <c r="TLC112" s="1142"/>
      <c r="TLD112" s="1142"/>
      <c r="TLE112" s="1142"/>
      <c r="TLF112" s="1142"/>
      <c r="TLG112" s="1142"/>
      <c r="TLH112" s="1142"/>
      <c r="TLI112" s="1142"/>
      <c r="TLJ112" s="1142"/>
      <c r="TLK112" s="1142"/>
      <c r="TLL112" s="1142"/>
      <c r="TLM112" s="1142"/>
      <c r="TLN112" s="1142"/>
      <c r="TLO112" s="1142"/>
      <c r="TLP112" s="1142"/>
      <c r="TLQ112" s="1142"/>
      <c r="TLR112" s="1142"/>
      <c r="TLS112" s="1142"/>
      <c r="TLT112" s="1142"/>
      <c r="TLU112" s="1142"/>
      <c r="TLV112" s="1142"/>
      <c r="TLW112" s="1142"/>
      <c r="TLX112" s="1142"/>
      <c r="TLY112" s="1167"/>
      <c r="TLZ112" s="1167"/>
      <c r="TMA112" s="1167"/>
      <c r="TMB112" s="1167"/>
      <c r="TMC112" s="1167"/>
      <c r="TMD112" s="1167"/>
      <c r="TME112" s="1167"/>
      <c r="TMF112" s="1167"/>
      <c r="TMG112" s="1167"/>
      <c r="TMH112" s="1142"/>
      <c r="TMI112" s="1142"/>
      <c r="TMJ112" s="1142"/>
      <c r="TMK112" s="1142"/>
      <c r="TML112" s="1142"/>
      <c r="TMM112" s="1142"/>
      <c r="TMN112" s="1142"/>
      <c r="TMO112" s="1142"/>
      <c r="TMP112" s="1142"/>
      <c r="TMQ112" s="1142"/>
      <c r="TMR112" s="1142"/>
      <c r="TMS112" s="1142"/>
      <c r="TMT112" s="1142"/>
      <c r="TMU112" s="1142"/>
      <c r="TMV112" s="1142"/>
      <c r="TMW112" s="1142"/>
      <c r="TMX112" s="1142"/>
      <c r="TMY112" s="1142"/>
      <c r="TMZ112" s="1142"/>
      <c r="TNA112" s="1142"/>
      <c r="TNB112" s="1142"/>
      <c r="TNC112" s="1142"/>
      <c r="TND112" s="1142"/>
      <c r="TNE112" s="1167"/>
      <c r="TNF112" s="1167"/>
      <c r="TNG112" s="1167"/>
      <c r="TNH112" s="1167"/>
      <c r="TNI112" s="1167"/>
      <c r="TNJ112" s="1167"/>
      <c r="TNK112" s="1167"/>
      <c r="TNL112" s="1167"/>
      <c r="TNM112" s="1167"/>
      <c r="TNN112" s="1142"/>
      <c r="TNO112" s="1142"/>
      <c r="TNP112" s="1142"/>
      <c r="TNQ112" s="1142"/>
      <c r="TNR112" s="1142"/>
      <c r="TNS112" s="1142"/>
      <c r="TNT112" s="1142"/>
      <c r="TNU112" s="1142"/>
      <c r="TNV112" s="1142"/>
      <c r="TNW112" s="1142"/>
      <c r="TNX112" s="1142"/>
      <c r="TNY112" s="1142"/>
      <c r="TNZ112" s="1142"/>
      <c r="TOA112" s="1142"/>
      <c r="TOB112" s="1142"/>
      <c r="TOC112" s="1142"/>
      <c r="TOD112" s="1142"/>
      <c r="TOE112" s="1142"/>
      <c r="TOF112" s="1142"/>
      <c r="TOG112" s="1142"/>
      <c r="TOH112" s="1142"/>
      <c r="TOI112" s="1142"/>
      <c r="TOJ112" s="1142"/>
      <c r="TOK112" s="1167"/>
      <c r="TOL112" s="1167"/>
      <c r="TOM112" s="1167"/>
      <c r="TON112" s="1167"/>
      <c r="TOO112" s="1167"/>
      <c r="TOP112" s="1167"/>
      <c r="TOQ112" s="1167"/>
      <c r="TOR112" s="1167"/>
      <c r="TOS112" s="1167"/>
      <c r="TOT112" s="1142"/>
      <c r="TOU112" s="1142"/>
      <c r="TOV112" s="1142"/>
      <c r="TOW112" s="1142"/>
      <c r="TOX112" s="1142"/>
      <c r="TOY112" s="1142"/>
      <c r="TOZ112" s="1142"/>
      <c r="TPA112" s="1142"/>
      <c r="TPB112" s="1142"/>
      <c r="TPC112" s="1142"/>
      <c r="TPD112" s="1142"/>
      <c r="TPE112" s="1142"/>
      <c r="TPF112" s="1142"/>
      <c r="TPG112" s="1142"/>
      <c r="TPH112" s="1142"/>
      <c r="TPI112" s="1142"/>
      <c r="TPJ112" s="1142"/>
      <c r="TPK112" s="1142"/>
      <c r="TPL112" s="1142"/>
      <c r="TPM112" s="1142"/>
      <c r="TPN112" s="1142"/>
      <c r="TPO112" s="1142"/>
      <c r="TPP112" s="1142"/>
      <c r="TPQ112" s="1167"/>
      <c r="TPR112" s="1167"/>
      <c r="TPS112" s="1167"/>
      <c r="TPT112" s="1167"/>
      <c r="TPU112" s="1167"/>
      <c r="TPV112" s="1167"/>
      <c r="TPW112" s="1167"/>
      <c r="TPX112" s="1167"/>
      <c r="TPY112" s="1167"/>
      <c r="TPZ112" s="1142"/>
      <c r="TQA112" s="1142"/>
      <c r="TQB112" s="1142"/>
      <c r="TQC112" s="1142"/>
      <c r="TQD112" s="1142"/>
      <c r="TQE112" s="1142"/>
      <c r="TQF112" s="1142"/>
      <c r="TQG112" s="1142"/>
      <c r="TQH112" s="1142"/>
      <c r="TQI112" s="1142"/>
      <c r="TQJ112" s="1142"/>
      <c r="TQK112" s="1142"/>
      <c r="TQL112" s="1142"/>
      <c r="TQM112" s="1142"/>
      <c r="TQN112" s="1142"/>
      <c r="TQO112" s="1142"/>
      <c r="TQP112" s="1142"/>
      <c r="TQQ112" s="1142"/>
      <c r="TQR112" s="1142"/>
      <c r="TQS112" s="1142"/>
      <c r="TQT112" s="1142"/>
      <c r="TQU112" s="1142"/>
      <c r="TQV112" s="1142"/>
      <c r="TQW112" s="1167"/>
      <c r="TQX112" s="1167"/>
      <c r="TQY112" s="1167"/>
      <c r="TQZ112" s="1167"/>
      <c r="TRA112" s="1167"/>
      <c r="TRB112" s="1167"/>
      <c r="TRC112" s="1167"/>
      <c r="TRD112" s="1167"/>
      <c r="TRE112" s="1167"/>
      <c r="TRF112" s="1142"/>
      <c r="TRG112" s="1142"/>
      <c r="TRH112" s="1142"/>
      <c r="TRI112" s="1142"/>
      <c r="TRJ112" s="1142"/>
      <c r="TRK112" s="1142"/>
      <c r="TRL112" s="1142"/>
      <c r="TRM112" s="1142"/>
      <c r="TRN112" s="1142"/>
      <c r="TRO112" s="1142"/>
      <c r="TRP112" s="1142"/>
      <c r="TRQ112" s="1142"/>
      <c r="TRR112" s="1142"/>
      <c r="TRS112" s="1142"/>
      <c r="TRT112" s="1142"/>
      <c r="TRU112" s="1142"/>
      <c r="TRV112" s="1142"/>
      <c r="TRW112" s="1142"/>
      <c r="TRX112" s="1142"/>
      <c r="TRY112" s="1142"/>
      <c r="TRZ112" s="1142"/>
      <c r="TSA112" s="1142"/>
      <c r="TSB112" s="1142"/>
      <c r="TSC112" s="1167"/>
      <c r="TSD112" s="1167"/>
      <c r="TSE112" s="1167"/>
      <c r="TSF112" s="1167"/>
      <c r="TSG112" s="1167"/>
      <c r="TSH112" s="1167"/>
      <c r="TSI112" s="1167"/>
      <c r="TSJ112" s="1167"/>
      <c r="TSK112" s="1167"/>
      <c r="TSL112" s="1142"/>
      <c r="TSM112" s="1142"/>
      <c r="TSN112" s="1142"/>
      <c r="TSO112" s="1142"/>
      <c r="TSP112" s="1142"/>
      <c r="TSQ112" s="1142"/>
      <c r="TSR112" s="1142"/>
      <c r="TSS112" s="1142"/>
      <c r="TST112" s="1142"/>
      <c r="TSU112" s="1142"/>
      <c r="TSV112" s="1142"/>
      <c r="TSW112" s="1142"/>
      <c r="TSX112" s="1142"/>
      <c r="TSY112" s="1142"/>
      <c r="TSZ112" s="1142"/>
      <c r="TTA112" s="1142"/>
      <c r="TTB112" s="1142"/>
      <c r="TTC112" s="1142"/>
      <c r="TTD112" s="1142"/>
      <c r="TTE112" s="1142"/>
      <c r="TTF112" s="1142"/>
      <c r="TTG112" s="1142"/>
      <c r="TTH112" s="1142"/>
      <c r="TTI112" s="1167"/>
      <c r="TTJ112" s="1167"/>
      <c r="TTK112" s="1167"/>
      <c r="TTL112" s="1167"/>
      <c r="TTM112" s="1167"/>
      <c r="TTN112" s="1167"/>
      <c r="TTO112" s="1167"/>
      <c r="TTP112" s="1167"/>
      <c r="TTQ112" s="1167"/>
      <c r="TTR112" s="1142"/>
      <c r="TTS112" s="1142"/>
      <c r="TTT112" s="1142"/>
      <c r="TTU112" s="1142"/>
      <c r="TTV112" s="1142"/>
      <c r="TTW112" s="1142"/>
      <c r="TTX112" s="1142"/>
      <c r="TTY112" s="1142"/>
      <c r="TTZ112" s="1142"/>
      <c r="TUA112" s="1142"/>
      <c r="TUB112" s="1142"/>
      <c r="TUC112" s="1142"/>
      <c r="TUD112" s="1142"/>
      <c r="TUE112" s="1142"/>
      <c r="TUF112" s="1142"/>
      <c r="TUG112" s="1142"/>
      <c r="TUH112" s="1142"/>
      <c r="TUI112" s="1142"/>
      <c r="TUJ112" s="1142"/>
      <c r="TUK112" s="1142"/>
      <c r="TUL112" s="1142"/>
      <c r="TUM112" s="1142"/>
      <c r="TUN112" s="1142"/>
      <c r="TUO112" s="1167"/>
      <c r="TUP112" s="1167"/>
      <c r="TUQ112" s="1167"/>
      <c r="TUR112" s="1167"/>
      <c r="TUS112" s="1167"/>
      <c r="TUT112" s="1167"/>
      <c r="TUU112" s="1167"/>
      <c r="TUV112" s="1167"/>
      <c r="TUW112" s="1167"/>
      <c r="TUX112" s="1142"/>
      <c r="TUY112" s="1142"/>
      <c r="TUZ112" s="1142"/>
      <c r="TVA112" s="1142"/>
      <c r="TVB112" s="1142"/>
      <c r="TVC112" s="1142"/>
      <c r="TVD112" s="1142"/>
      <c r="TVE112" s="1142"/>
      <c r="TVF112" s="1142"/>
      <c r="TVG112" s="1142"/>
      <c r="TVH112" s="1142"/>
      <c r="TVI112" s="1142"/>
      <c r="TVJ112" s="1142"/>
      <c r="TVK112" s="1142"/>
      <c r="TVL112" s="1142"/>
      <c r="TVM112" s="1142"/>
      <c r="TVN112" s="1142"/>
      <c r="TVO112" s="1142"/>
      <c r="TVP112" s="1142"/>
      <c r="TVQ112" s="1142"/>
      <c r="TVR112" s="1142"/>
      <c r="TVS112" s="1142"/>
      <c r="TVT112" s="1142"/>
      <c r="TVU112" s="1167"/>
      <c r="TVV112" s="1167"/>
      <c r="TVW112" s="1167"/>
      <c r="TVX112" s="1167"/>
      <c r="TVY112" s="1167"/>
      <c r="TVZ112" s="1167"/>
      <c r="TWA112" s="1167"/>
      <c r="TWB112" s="1167"/>
      <c r="TWC112" s="1167"/>
      <c r="TWD112" s="1142"/>
      <c r="TWE112" s="1142"/>
      <c r="TWF112" s="1142"/>
      <c r="TWG112" s="1142"/>
      <c r="TWH112" s="1142"/>
      <c r="TWI112" s="1142"/>
      <c r="TWJ112" s="1142"/>
      <c r="TWK112" s="1142"/>
      <c r="TWL112" s="1142"/>
      <c r="TWM112" s="1142"/>
      <c r="TWN112" s="1142"/>
      <c r="TWO112" s="1142"/>
      <c r="TWP112" s="1142"/>
      <c r="TWQ112" s="1142"/>
      <c r="TWR112" s="1142"/>
      <c r="TWS112" s="1142"/>
      <c r="TWT112" s="1142"/>
      <c r="TWU112" s="1142"/>
      <c r="TWV112" s="1142"/>
      <c r="TWW112" s="1142"/>
      <c r="TWX112" s="1142"/>
      <c r="TWY112" s="1142"/>
      <c r="TWZ112" s="1142"/>
      <c r="TXA112" s="1167"/>
      <c r="TXB112" s="1167"/>
      <c r="TXC112" s="1167"/>
      <c r="TXD112" s="1167"/>
      <c r="TXE112" s="1167"/>
      <c r="TXF112" s="1167"/>
      <c r="TXG112" s="1167"/>
      <c r="TXH112" s="1167"/>
      <c r="TXI112" s="1167"/>
      <c r="TXJ112" s="1142"/>
      <c r="TXK112" s="1142"/>
      <c r="TXL112" s="1142"/>
      <c r="TXM112" s="1142"/>
      <c r="TXN112" s="1142"/>
      <c r="TXO112" s="1142"/>
      <c r="TXP112" s="1142"/>
      <c r="TXQ112" s="1142"/>
      <c r="TXR112" s="1142"/>
      <c r="TXS112" s="1142"/>
      <c r="TXT112" s="1142"/>
      <c r="TXU112" s="1142"/>
      <c r="TXV112" s="1142"/>
      <c r="TXW112" s="1142"/>
      <c r="TXX112" s="1142"/>
      <c r="TXY112" s="1142"/>
      <c r="TXZ112" s="1142"/>
      <c r="TYA112" s="1142"/>
      <c r="TYB112" s="1142"/>
      <c r="TYC112" s="1142"/>
      <c r="TYD112" s="1142"/>
      <c r="TYE112" s="1142"/>
      <c r="TYF112" s="1142"/>
      <c r="TYG112" s="1167"/>
      <c r="TYH112" s="1167"/>
      <c r="TYI112" s="1167"/>
      <c r="TYJ112" s="1167"/>
      <c r="TYK112" s="1167"/>
      <c r="TYL112" s="1167"/>
      <c r="TYM112" s="1167"/>
      <c r="TYN112" s="1167"/>
      <c r="TYO112" s="1167"/>
      <c r="TYP112" s="1142"/>
      <c r="TYQ112" s="1142"/>
      <c r="TYR112" s="1142"/>
      <c r="TYS112" s="1142"/>
      <c r="TYT112" s="1142"/>
      <c r="TYU112" s="1142"/>
      <c r="TYV112" s="1142"/>
      <c r="TYW112" s="1142"/>
      <c r="TYX112" s="1142"/>
      <c r="TYY112" s="1142"/>
      <c r="TYZ112" s="1142"/>
      <c r="TZA112" s="1142"/>
      <c r="TZB112" s="1142"/>
      <c r="TZC112" s="1142"/>
      <c r="TZD112" s="1142"/>
      <c r="TZE112" s="1142"/>
      <c r="TZF112" s="1142"/>
      <c r="TZG112" s="1142"/>
      <c r="TZH112" s="1142"/>
      <c r="TZI112" s="1142"/>
      <c r="TZJ112" s="1142"/>
      <c r="TZK112" s="1142"/>
      <c r="TZL112" s="1142"/>
      <c r="TZM112" s="1167"/>
      <c r="TZN112" s="1167"/>
      <c r="TZO112" s="1167"/>
      <c r="TZP112" s="1167"/>
      <c r="TZQ112" s="1167"/>
      <c r="TZR112" s="1167"/>
      <c r="TZS112" s="1167"/>
      <c r="TZT112" s="1167"/>
      <c r="TZU112" s="1167"/>
      <c r="TZV112" s="1142"/>
      <c r="TZW112" s="1142"/>
      <c r="TZX112" s="1142"/>
      <c r="TZY112" s="1142"/>
      <c r="TZZ112" s="1142"/>
      <c r="UAA112" s="1142"/>
      <c r="UAB112" s="1142"/>
      <c r="UAC112" s="1142"/>
      <c r="UAD112" s="1142"/>
      <c r="UAE112" s="1142"/>
      <c r="UAF112" s="1142"/>
      <c r="UAG112" s="1142"/>
      <c r="UAH112" s="1142"/>
      <c r="UAI112" s="1142"/>
      <c r="UAJ112" s="1142"/>
      <c r="UAK112" s="1142"/>
      <c r="UAL112" s="1142"/>
      <c r="UAM112" s="1142"/>
      <c r="UAN112" s="1142"/>
      <c r="UAO112" s="1142"/>
      <c r="UAP112" s="1142"/>
      <c r="UAQ112" s="1142"/>
      <c r="UAR112" s="1142"/>
      <c r="UAS112" s="1167"/>
      <c r="UAT112" s="1167"/>
      <c r="UAU112" s="1167"/>
      <c r="UAV112" s="1167"/>
      <c r="UAW112" s="1167"/>
      <c r="UAX112" s="1167"/>
      <c r="UAY112" s="1167"/>
      <c r="UAZ112" s="1167"/>
      <c r="UBA112" s="1167"/>
      <c r="UBB112" s="1142"/>
      <c r="UBC112" s="1142"/>
      <c r="UBD112" s="1142"/>
      <c r="UBE112" s="1142"/>
      <c r="UBF112" s="1142"/>
      <c r="UBG112" s="1142"/>
      <c r="UBH112" s="1142"/>
      <c r="UBI112" s="1142"/>
      <c r="UBJ112" s="1142"/>
      <c r="UBK112" s="1142"/>
      <c r="UBL112" s="1142"/>
      <c r="UBM112" s="1142"/>
      <c r="UBN112" s="1142"/>
      <c r="UBO112" s="1142"/>
      <c r="UBP112" s="1142"/>
      <c r="UBQ112" s="1142"/>
      <c r="UBR112" s="1142"/>
      <c r="UBS112" s="1142"/>
      <c r="UBT112" s="1142"/>
      <c r="UBU112" s="1142"/>
      <c r="UBV112" s="1142"/>
      <c r="UBW112" s="1142"/>
      <c r="UBX112" s="1142"/>
      <c r="UBY112" s="1167"/>
      <c r="UBZ112" s="1167"/>
      <c r="UCA112" s="1167"/>
      <c r="UCB112" s="1167"/>
      <c r="UCC112" s="1167"/>
      <c r="UCD112" s="1167"/>
      <c r="UCE112" s="1167"/>
      <c r="UCF112" s="1167"/>
      <c r="UCG112" s="1167"/>
      <c r="UCH112" s="1142"/>
      <c r="UCI112" s="1142"/>
      <c r="UCJ112" s="1142"/>
      <c r="UCK112" s="1142"/>
      <c r="UCL112" s="1142"/>
      <c r="UCM112" s="1142"/>
      <c r="UCN112" s="1142"/>
      <c r="UCO112" s="1142"/>
      <c r="UCP112" s="1142"/>
      <c r="UCQ112" s="1142"/>
      <c r="UCR112" s="1142"/>
      <c r="UCS112" s="1142"/>
      <c r="UCT112" s="1142"/>
      <c r="UCU112" s="1142"/>
      <c r="UCV112" s="1142"/>
      <c r="UCW112" s="1142"/>
      <c r="UCX112" s="1142"/>
      <c r="UCY112" s="1142"/>
      <c r="UCZ112" s="1142"/>
      <c r="UDA112" s="1142"/>
      <c r="UDB112" s="1142"/>
      <c r="UDC112" s="1142"/>
      <c r="UDD112" s="1142"/>
      <c r="UDE112" s="1167"/>
      <c r="UDF112" s="1167"/>
      <c r="UDG112" s="1167"/>
      <c r="UDH112" s="1167"/>
      <c r="UDI112" s="1167"/>
      <c r="UDJ112" s="1167"/>
      <c r="UDK112" s="1167"/>
      <c r="UDL112" s="1167"/>
      <c r="UDM112" s="1167"/>
      <c r="UDN112" s="1142"/>
      <c r="UDO112" s="1142"/>
      <c r="UDP112" s="1142"/>
      <c r="UDQ112" s="1142"/>
      <c r="UDR112" s="1142"/>
      <c r="UDS112" s="1142"/>
      <c r="UDT112" s="1142"/>
      <c r="UDU112" s="1142"/>
      <c r="UDV112" s="1142"/>
      <c r="UDW112" s="1142"/>
      <c r="UDX112" s="1142"/>
      <c r="UDY112" s="1142"/>
      <c r="UDZ112" s="1142"/>
      <c r="UEA112" s="1142"/>
      <c r="UEB112" s="1142"/>
      <c r="UEC112" s="1142"/>
      <c r="UED112" s="1142"/>
      <c r="UEE112" s="1142"/>
      <c r="UEF112" s="1142"/>
      <c r="UEG112" s="1142"/>
      <c r="UEH112" s="1142"/>
      <c r="UEI112" s="1142"/>
      <c r="UEJ112" s="1142"/>
      <c r="UEK112" s="1167"/>
      <c r="UEL112" s="1167"/>
      <c r="UEM112" s="1167"/>
      <c r="UEN112" s="1167"/>
      <c r="UEO112" s="1167"/>
      <c r="UEP112" s="1167"/>
      <c r="UEQ112" s="1167"/>
      <c r="UER112" s="1167"/>
      <c r="UES112" s="1167"/>
      <c r="UET112" s="1142"/>
      <c r="UEU112" s="1142"/>
      <c r="UEV112" s="1142"/>
      <c r="UEW112" s="1142"/>
      <c r="UEX112" s="1142"/>
      <c r="UEY112" s="1142"/>
      <c r="UEZ112" s="1142"/>
      <c r="UFA112" s="1142"/>
      <c r="UFB112" s="1142"/>
      <c r="UFC112" s="1142"/>
      <c r="UFD112" s="1142"/>
      <c r="UFE112" s="1142"/>
      <c r="UFF112" s="1142"/>
      <c r="UFG112" s="1142"/>
      <c r="UFH112" s="1142"/>
      <c r="UFI112" s="1142"/>
      <c r="UFJ112" s="1142"/>
      <c r="UFK112" s="1142"/>
      <c r="UFL112" s="1142"/>
      <c r="UFM112" s="1142"/>
      <c r="UFN112" s="1142"/>
      <c r="UFO112" s="1142"/>
      <c r="UFP112" s="1142"/>
      <c r="UFQ112" s="1167"/>
      <c r="UFR112" s="1167"/>
      <c r="UFS112" s="1167"/>
      <c r="UFT112" s="1167"/>
      <c r="UFU112" s="1167"/>
      <c r="UFV112" s="1167"/>
      <c r="UFW112" s="1167"/>
      <c r="UFX112" s="1167"/>
      <c r="UFY112" s="1167"/>
      <c r="UFZ112" s="1142"/>
      <c r="UGA112" s="1142"/>
      <c r="UGB112" s="1142"/>
      <c r="UGC112" s="1142"/>
      <c r="UGD112" s="1142"/>
      <c r="UGE112" s="1142"/>
      <c r="UGF112" s="1142"/>
      <c r="UGG112" s="1142"/>
      <c r="UGH112" s="1142"/>
      <c r="UGI112" s="1142"/>
      <c r="UGJ112" s="1142"/>
      <c r="UGK112" s="1142"/>
      <c r="UGL112" s="1142"/>
      <c r="UGM112" s="1142"/>
      <c r="UGN112" s="1142"/>
      <c r="UGO112" s="1142"/>
      <c r="UGP112" s="1142"/>
      <c r="UGQ112" s="1142"/>
      <c r="UGR112" s="1142"/>
      <c r="UGS112" s="1142"/>
      <c r="UGT112" s="1142"/>
      <c r="UGU112" s="1142"/>
      <c r="UGV112" s="1142"/>
      <c r="UGW112" s="1167"/>
      <c r="UGX112" s="1167"/>
      <c r="UGY112" s="1167"/>
      <c r="UGZ112" s="1167"/>
      <c r="UHA112" s="1167"/>
      <c r="UHB112" s="1167"/>
      <c r="UHC112" s="1167"/>
      <c r="UHD112" s="1167"/>
      <c r="UHE112" s="1167"/>
      <c r="UHF112" s="1142"/>
      <c r="UHG112" s="1142"/>
      <c r="UHH112" s="1142"/>
      <c r="UHI112" s="1142"/>
      <c r="UHJ112" s="1142"/>
      <c r="UHK112" s="1142"/>
      <c r="UHL112" s="1142"/>
      <c r="UHM112" s="1142"/>
      <c r="UHN112" s="1142"/>
      <c r="UHO112" s="1142"/>
      <c r="UHP112" s="1142"/>
      <c r="UHQ112" s="1142"/>
      <c r="UHR112" s="1142"/>
      <c r="UHS112" s="1142"/>
      <c r="UHT112" s="1142"/>
      <c r="UHU112" s="1142"/>
      <c r="UHV112" s="1142"/>
      <c r="UHW112" s="1142"/>
      <c r="UHX112" s="1142"/>
      <c r="UHY112" s="1142"/>
      <c r="UHZ112" s="1142"/>
      <c r="UIA112" s="1142"/>
      <c r="UIB112" s="1142"/>
      <c r="UIC112" s="1167"/>
      <c r="UID112" s="1167"/>
      <c r="UIE112" s="1167"/>
      <c r="UIF112" s="1167"/>
      <c r="UIG112" s="1167"/>
      <c r="UIH112" s="1167"/>
      <c r="UII112" s="1167"/>
      <c r="UIJ112" s="1167"/>
      <c r="UIK112" s="1167"/>
      <c r="UIL112" s="1142"/>
      <c r="UIM112" s="1142"/>
      <c r="UIN112" s="1142"/>
      <c r="UIO112" s="1142"/>
      <c r="UIP112" s="1142"/>
      <c r="UIQ112" s="1142"/>
      <c r="UIR112" s="1142"/>
      <c r="UIS112" s="1142"/>
      <c r="UIT112" s="1142"/>
      <c r="UIU112" s="1142"/>
      <c r="UIV112" s="1142"/>
      <c r="UIW112" s="1142"/>
      <c r="UIX112" s="1142"/>
      <c r="UIY112" s="1142"/>
      <c r="UIZ112" s="1142"/>
      <c r="UJA112" s="1142"/>
      <c r="UJB112" s="1142"/>
      <c r="UJC112" s="1142"/>
      <c r="UJD112" s="1142"/>
      <c r="UJE112" s="1142"/>
      <c r="UJF112" s="1142"/>
      <c r="UJG112" s="1142"/>
      <c r="UJH112" s="1142"/>
      <c r="UJI112" s="1167"/>
      <c r="UJJ112" s="1167"/>
      <c r="UJK112" s="1167"/>
      <c r="UJL112" s="1167"/>
      <c r="UJM112" s="1167"/>
      <c r="UJN112" s="1167"/>
      <c r="UJO112" s="1167"/>
      <c r="UJP112" s="1167"/>
      <c r="UJQ112" s="1167"/>
      <c r="UJR112" s="1142"/>
      <c r="UJS112" s="1142"/>
      <c r="UJT112" s="1142"/>
      <c r="UJU112" s="1142"/>
      <c r="UJV112" s="1142"/>
      <c r="UJW112" s="1142"/>
      <c r="UJX112" s="1142"/>
      <c r="UJY112" s="1142"/>
      <c r="UJZ112" s="1142"/>
      <c r="UKA112" s="1142"/>
      <c r="UKB112" s="1142"/>
      <c r="UKC112" s="1142"/>
      <c r="UKD112" s="1142"/>
      <c r="UKE112" s="1142"/>
      <c r="UKF112" s="1142"/>
      <c r="UKG112" s="1142"/>
      <c r="UKH112" s="1142"/>
      <c r="UKI112" s="1142"/>
      <c r="UKJ112" s="1142"/>
      <c r="UKK112" s="1142"/>
      <c r="UKL112" s="1142"/>
      <c r="UKM112" s="1142"/>
      <c r="UKN112" s="1142"/>
      <c r="UKO112" s="1167"/>
      <c r="UKP112" s="1167"/>
      <c r="UKQ112" s="1167"/>
      <c r="UKR112" s="1167"/>
      <c r="UKS112" s="1167"/>
      <c r="UKT112" s="1167"/>
      <c r="UKU112" s="1167"/>
      <c r="UKV112" s="1167"/>
      <c r="UKW112" s="1167"/>
      <c r="UKX112" s="1142"/>
      <c r="UKY112" s="1142"/>
      <c r="UKZ112" s="1142"/>
      <c r="ULA112" s="1142"/>
      <c r="ULB112" s="1142"/>
      <c r="ULC112" s="1142"/>
      <c r="ULD112" s="1142"/>
      <c r="ULE112" s="1142"/>
      <c r="ULF112" s="1142"/>
      <c r="ULG112" s="1142"/>
      <c r="ULH112" s="1142"/>
      <c r="ULI112" s="1142"/>
      <c r="ULJ112" s="1142"/>
      <c r="ULK112" s="1142"/>
      <c r="ULL112" s="1142"/>
      <c r="ULM112" s="1142"/>
      <c r="ULN112" s="1142"/>
      <c r="ULO112" s="1142"/>
      <c r="ULP112" s="1142"/>
      <c r="ULQ112" s="1142"/>
      <c r="ULR112" s="1142"/>
      <c r="ULS112" s="1142"/>
      <c r="ULT112" s="1142"/>
      <c r="ULU112" s="1167"/>
      <c r="ULV112" s="1167"/>
      <c r="ULW112" s="1167"/>
      <c r="ULX112" s="1167"/>
      <c r="ULY112" s="1167"/>
      <c r="ULZ112" s="1167"/>
      <c r="UMA112" s="1167"/>
      <c r="UMB112" s="1167"/>
      <c r="UMC112" s="1167"/>
      <c r="UMD112" s="1142"/>
      <c r="UME112" s="1142"/>
      <c r="UMF112" s="1142"/>
      <c r="UMG112" s="1142"/>
      <c r="UMH112" s="1142"/>
      <c r="UMI112" s="1142"/>
      <c r="UMJ112" s="1142"/>
      <c r="UMK112" s="1142"/>
      <c r="UML112" s="1142"/>
      <c r="UMM112" s="1142"/>
      <c r="UMN112" s="1142"/>
      <c r="UMO112" s="1142"/>
      <c r="UMP112" s="1142"/>
      <c r="UMQ112" s="1142"/>
      <c r="UMR112" s="1142"/>
      <c r="UMS112" s="1142"/>
      <c r="UMT112" s="1142"/>
      <c r="UMU112" s="1142"/>
      <c r="UMV112" s="1142"/>
      <c r="UMW112" s="1142"/>
      <c r="UMX112" s="1142"/>
      <c r="UMY112" s="1142"/>
      <c r="UMZ112" s="1142"/>
      <c r="UNA112" s="1167"/>
      <c r="UNB112" s="1167"/>
      <c r="UNC112" s="1167"/>
      <c r="UND112" s="1167"/>
      <c r="UNE112" s="1167"/>
      <c r="UNF112" s="1167"/>
      <c r="UNG112" s="1167"/>
      <c r="UNH112" s="1167"/>
      <c r="UNI112" s="1167"/>
      <c r="UNJ112" s="1142"/>
      <c r="UNK112" s="1142"/>
      <c r="UNL112" s="1142"/>
      <c r="UNM112" s="1142"/>
      <c r="UNN112" s="1142"/>
      <c r="UNO112" s="1142"/>
      <c r="UNP112" s="1142"/>
      <c r="UNQ112" s="1142"/>
      <c r="UNR112" s="1142"/>
      <c r="UNS112" s="1142"/>
      <c r="UNT112" s="1142"/>
      <c r="UNU112" s="1142"/>
      <c r="UNV112" s="1142"/>
      <c r="UNW112" s="1142"/>
      <c r="UNX112" s="1142"/>
      <c r="UNY112" s="1142"/>
      <c r="UNZ112" s="1142"/>
      <c r="UOA112" s="1142"/>
      <c r="UOB112" s="1142"/>
      <c r="UOC112" s="1142"/>
      <c r="UOD112" s="1142"/>
      <c r="UOE112" s="1142"/>
      <c r="UOF112" s="1142"/>
      <c r="UOG112" s="1167"/>
      <c r="UOH112" s="1167"/>
      <c r="UOI112" s="1167"/>
      <c r="UOJ112" s="1167"/>
      <c r="UOK112" s="1167"/>
      <c r="UOL112" s="1167"/>
      <c r="UOM112" s="1167"/>
      <c r="UON112" s="1167"/>
      <c r="UOO112" s="1167"/>
      <c r="UOP112" s="1142"/>
      <c r="UOQ112" s="1142"/>
      <c r="UOR112" s="1142"/>
      <c r="UOS112" s="1142"/>
      <c r="UOT112" s="1142"/>
      <c r="UOU112" s="1142"/>
      <c r="UOV112" s="1142"/>
      <c r="UOW112" s="1142"/>
      <c r="UOX112" s="1142"/>
      <c r="UOY112" s="1142"/>
      <c r="UOZ112" s="1142"/>
      <c r="UPA112" s="1142"/>
      <c r="UPB112" s="1142"/>
      <c r="UPC112" s="1142"/>
      <c r="UPD112" s="1142"/>
      <c r="UPE112" s="1142"/>
      <c r="UPF112" s="1142"/>
      <c r="UPG112" s="1142"/>
      <c r="UPH112" s="1142"/>
      <c r="UPI112" s="1142"/>
      <c r="UPJ112" s="1142"/>
      <c r="UPK112" s="1142"/>
      <c r="UPL112" s="1142"/>
      <c r="UPM112" s="1167"/>
      <c r="UPN112" s="1167"/>
      <c r="UPO112" s="1167"/>
      <c r="UPP112" s="1167"/>
      <c r="UPQ112" s="1167"/>
      <c r="UPR112" s="1167"/>
      <c r="UPS112" s="1167"/>
      <c r="UPT112" s="1167"/>
      <c r="UPU112" s="1167"/>
      <c r="UPV112" s="1142"/>
      <c r="UPW112" s="1142"/>
      <c r="UPX112" s="1142"/>
      <c r="UPY112" s="1142"/>
      <c r="UPZ112" s="1142"/>
      <c r="UQA112" s="1142"/>
      <c r="UQB112" s="1142"/>
      <c r="UQC112" s="1142"/>
      <c r="UQD112" s="1142"/>
      <c r="UQE112" s="1142"/>
      <c r="UQF112" s="1142"/>
      <c r="UQG112" s="1142"/>
      <c r="UQH112" s="1142"/>
      <c r="UQI112" s="1142"/>
      <c r="UQJ112" s="1142"/>
      <c r="UQK112" s="1142"/>
      <c r="UQL112" s="1142"/>
      <c r="UQM112" s="1142"/>
      <c r="UQN112" s="1142"/>
      <c r="UQO112" s="1142"/>
      <c r="UQP112" s="1142"/>
      <c r="UQQ112" s="1142"/>
      <c r="UQR112" s="1142"/>
      <c r="UQS112" s="1167"/>
      <c r="UQT112" s="1167"/>
      <c r="UQU112" s="1167"/>
      <c r="UQV112" s="1167"/>
      <c r="UQW112" s="1167"/>
      <c r="UQX112" s="1167"/>
      <c r="UQY112" s="1167"/>
      <c r="UQZ112" s="1167"/>
      <c r="URA112" s="1167"/>
      <c r="URB112" s="1142"/>
      <c r="URC112" s="1142"/>
      <c r="URD112" s="1142"/>
      <c r="URE112" s="1142"/>
      <c r="URF112" s="1142"/>
      <c r="URG112" s="1142"/>
      <c r="URH112" s="1142"/>
      <c r="URI112" s="1142"/>
      <c r="URJ112" s="1142"/>
      <c r="URK112" s="1142"/>
      <c r="URL112" s="1142"/>
      <c r="URM112" s="1142"/>
      <c r="URN112" s="1142"/>
      <c r="URO112" s="1142"/>
      <c r="URP112" s="1142"/>
      <c r="URQ112" s="1142"/>
      <c r="URR112" s="1142"/>
      <c r="URS112" s="1142"/>
      <c r="URT112" s="1142"/>
      <c r="URU112" s="1142"/>
      <c r="URV112" s="1142"/>
      <c r="URW112" s="1142"/>
      <c r="URX112" s="1142"/>
      <c r="URY112" s="1167"/>
      <c r="URZ112" s="1167"/>
      <c r="USA112" s="1167"/>
      <c r="USB112" s="1167"/>
      <c r="USC112" s="1167"/>
      <c r="USD112" s="1167"/>
      <c r="USE112" s="1167"/>
      <c r="USF112" s="1167"/>
      <c r="USG112" s="1167"/>
      <c r="USH112" s="1142"/>
      <c r="USI112" s="1142"/>
      <c r="USJ112" s="1142"/>
      <c r="USK112" s="1142"/>
      <c r="USL112" s="1142"/>
      <c r="USM112" s="1142"/>
      <c r="USN112" s="1142"/>
      <c r="USO112" s="1142"/>
      <c r="USP112" s="1142"/>
      <c r="USQ112" s="1142"/>
      <c r="USR112" s="1142"/>
      <c r="USS112" s="1142"/>
      <c r="UST112" s="1142"/>
      <c r="USU112" s="1142"/>
      <c r="USV112" s="1142"/>
      <c r="USW112" s="1142"/>
      <c r="USX112" s="1142"/>
      <c r="USY112" s="1142"/>
      <c r="USZ112" s="1142"/>
      <c r="UTA112" s="1142"/>
      <c r="UTB112" s="1142"/>
      <c r="UTC112" s="1142"/>
      <c r="UTD112" s="1142"/>
      <c r="UTE112" s="1167"/>
      <c r="UTF112" s="1167"/>
      <c r="UTG112" s="1167"/>
      <c r="UTH112" s="1167"/>
      <c r="UTI112" s="1167"/>
      <c r="UTJ112" s="1167"/>
      <c r="UTK112" s="1167"/>
      <c r="UTL112" s="1167"/>
      <c r="UTM112" s="1167"/>
      <c r="UTN112" s="1142"/>
      <c r="UTO112" s="1142"/>
      <c r="UTP112" s="1142"/>
      <c r="UTQ112" s="1142"/>
      <c r="UTR112" s="1142"/>
      <c r="UTS112" s="1142"/>
      <c r="UTT112" s="1142"/>
      <c r="UTU112" s="1142"/>
      <c r="UTV112" s="1142"/>
      <c r="UTW112" s="1142"/>
      <c r="UTX112" s="1142"/>
      <c r="UTY112" s="1142"/>
      <c r="UTZ112" s="1142"/>
      <c r="UUA112" s="1142"/>
      <c r="UUB112" s="1142"/>
      <c r="UUC112" s="1142"/>
      <c r="UUD112" s="1142"/>
      <c r="UUE112" s="1142"/>
      <c r="UUF112" s="1142"/>
      <c r="UUG112" s="1142"/>
      <c r="UUH112" s="1142"/>
      <c r="UUI112" s="1142"/>
      <c r="UUJ112" s="1142"/>
      <c r="UUK112" s="1167"/>
      <c r="UUL112" s="1167"/>
      <c r="UUM112" s="1167"/>
      <c r="UUN112" s="1167"/>
      <c r="UUO112" s="1167"/>
      <c r="UUP112" s="1167"/>
      <c r="UUQ112" s="1167"/>
      <c r="UUR112" s="1167"/>
      <c r="UUS112" s="1167"/>
      <c r="UUT112" s="1142"/>
      <c r="UUU112" s="1142"/>
      <c r="UUV112" s="1142"/>
      <c r="UUW112" s="1142"/>
      <c r="UUX112" s="1142"/>
      <c r="UUY112" s="1142"/>
      <c r="UUZ112" s="1142"/>
      <c r="UVA112" s="1142"/>
      <c r="UVB112" s="1142"/>
      <c r="UVC112" s="1142"/>
      <c r="UVD112" s="1142"/>
      <c r="UVE112" s="1142"/>
      <c r="UVF112" s="1142"/>
      <c r="UVG112" s="1142"/>
      <c r="UVH112" s="1142"/>
      <c r="UVI112" s="1142"/>
      <c r="UVJ112" s="1142"/>
      <c r="UVK112" s="1142"/>
      <c r="UVL112" s="1142"/>
      <c r="UVM112" s="1142"/>
      <c r="UVN112" s="1142"/>
      <c r="UVO112" s="1142"/>
      <c r="UVP112" s="1142"/>
      <c r="UVQ112" s="1167"/>
      <c r="UVR112" s="1167"/>
      <c r="UVS112" s="1167"/>
      <c r="UVT112" s="1167"/>
      <c r="UVU112" s="1167"/>
      <c r="UVV112" s="1167"/>
      <c r="UVW112" s="1167"/>
      <c r="UVX112" s="1167"/>
      <c r="UVY112" s="1167"/>
      <c r="UVZ112" s="1142"/>
      <c r="UWA112" s="1142"/>
      <c r="UWB112" s="1142"/>
      <c r="UWC112" s="1142"/>
      <c r="UWD112" s="1142"/>
      <c r="UWE112" s="1142"/>
      <c r="UWF112" s="1142"/>
      <c r="UWG112" s="1142"/>
      <c r="UWH112" s="1142"/>
      <c r="UWI112" s="1142"/>
      <c r="UWJ112" s="1142"/>
      <c r="UWK112" s="1142"/>
      <c r="UWL112" s="1142"/>
      <c r="UWM112" s="1142"/>
      <c r="UWN112" s="1142"/>
      <c r="UWO112" s="1142"/>
      <c r="UWP112" s="1142"/>
      <c r="UWQ112" s="1142"/>
      <c r="UWR112" s="1142"/>
      <c r="UWS112" s="1142"/>
      <c r="UWT112" s="1142"/>
      <c r="UWU112" s="1142"/>
      <c r="UWV112" s="1142"/>
      <c r="UWW112" s="1167"/>
      <c r="UWX112" s="1167"/>
      <c r="UWY112" s="1167"/>
      <c r="UWZ112" s="1167"/>
      <c r="UXA112" s="1167"/>
      <c r="UXB112" s="1167"/>
      <c r="UXC112" s="1167"/>
      <c r="UXD112" s="1167"/>
      <c r="UXE112" s="1167"/>
      <c r="UXF112" s="1142"/>
      <c r="UXG112" s="1142"/>
      <c r="UXH112" s="1142"/>
      <c r="UXI112" s="1142"/>
      <c r="UXJ112" s="1142"/>
      <c r="UXK112" s="1142"/>
      <c r="UXL112" s="1142"/>
      <c r="UXM112" s="1142"/>
      <c r="UXN112" s="1142"/>
      <c r="UXO112" s="1142"/>
      <c r="UXP112" s="1142"/>
      <c r="UXQ112" s="1142"/>
      <c r="UXR112" s="1142"/>
      <c r="UXS112" s="1142"/>
      <c r="UXT112" s="1142"/>
      <c r="UXU112" s="1142"/>
      <c r="UXV112" s="1142"/>
      <c r="UXW112" s="1142"/>
      <c r="UXX112" s="1142"/>
      <c r="UXY112" s="1142"/>
      <c r="UXZ112" s="1142"/>
      <c r="UYA112" s="1142"/>
      <c r="UYB112" s="1142"/>
      <c r="UYC112" s="1167"/>
      <c r="UYD112" s="1167"/>
      <c r="UYE112" s="1167"/>
      <c r="UYF112" s="1167"/>
      <c r="UYG112" s="1167"/>
      <c r="UYH112" s="1167"/>
      <c r="UYI112" s="1167"/>
      <c r="UYJ112" s="1167"/>
      <c r="UYK112" s="1167"/>
      <c r="UYL112" s="1142"/>
      <c r="UYM112" s="1142"/>
      <c r="UYN112" s="1142"/>
      <c r="UYO112" s="1142"/>
      <c r="UYP112" s="1142"/>
      <c r="UYQ112" s="1142"/>
      <c r="UYR112" s="1142"/>
      <c r="UYS112" s="1142"/>
      <c r="UYT112" s="1142"/>
      <c r="UYU112" s="1142"/>
      <c r="UYV112" s="1142"/>
      <c r="UYW112" s="1142"/>
      <c r="UYX112" s="1142"/>
      <c r="UYY112" s="1142"/>
      <c r="UYZ112" s="1142"/>
      <c r="UZA112" s="1142"/>
      <c r="UZB112" s="1142"/>
      <c r="UZC112" s="1142"/>
      <c r="UZD112" s="1142"/>
      <c r="UZE112" s="1142"/>
      <c r="UZF112" s="1142"/>
      <c r="UZG112" s="1142"/>
      <c r="UZH112" s="1142"/>
      <c r="UZI112" s="1167"/>
      <c r="UZJ112" s="1167"/>
      <c r="UZK112" s="1167"/>
      <c r="UZL112" s="1167"/>
      <c r="UZM112" s="1167"/>
      <c r="UZN112" s="1167"/>
      <c r="UZO112" s="1167"/>
      <c r="UZP112" s="1167"/>
      <c r="UZQ112" s="1167"/>
      <c r="UZR112" s="1142"/>
      <c r="UZS112" s="1142"/>
      <c r="UZT112" s="1142"/>
      <c r="UZU112" s="1142"/>
      <c r="UZV112" s="1142"/>
      <c r="UZW112" s="1142"/>
      <c r="UZX112" s="1142"/>
      <c r="UZY112" s="1142"/>
      <c r="UZZ112" s="1142"/>
      <c r="VAA112" s="1142"/>
      <c r="VAB112" s="1142"/>
      <c r="VAC112" s="1142"/>
      <c r="VAD112" s="1142"/>
      <c r="VAE112" s="1142"/>
      <c r="VAF112" s="1142"/>
      <c r="VAG112" s="1142"/>
      <c r="VAH112" s="1142"/>
      <c r="VAI112" s="1142"/>
      <c r="VAJ112" s="1142"/>
      <c r="VAK112" s="1142"/>
      <c r="VAL112" s="1142"/>
      <c r="VAM112" s="1142"/>
      <c r="VAN112" s="1142"/>
      <c r="VAO112" s="1167"/>
      <c r="VAP112" s="1167"/>
      <c r="VAQ112" s="1167"/>
      <c r="VAR112" s="1167"/>
      <c r="VAS112" s="1167"/>
      <c r="VAT112" s="1167"/>
      <c r="VAU112" s="1167"/>
      <c r="VAV112" s="1167"/>
      <c r="VAW112" s="1167"/>
      <c r="VAX112" s="1142"/>
      <c r="VAY112" s="1142"/>
      <c r="VAZ112" s="1142"/>
      <c r="VBA112" s="1142"/>
      <c r="VBB112" s="1142"/>
      <c r="VBC112" s="1142"/>
      <c r="VBD112" s="1142"/>
      <c r="VBE112" s="1142"/>
      <c r="VBF112" s="1142"/>
      <c r="VBG112" s="1142"/>
      <c r="VBH112" s="1142"/>
      <c r="VBI112" s="1142"/>
      <c r="VBJ112" s="1142"/>
      <c r="VBK112" s="1142"/>
      <c r="VBL112" s="1142"/>
      <c r="VBM112" s="1142"/>
      <c r="VBN112" s="1142"/>
      <c r="VBO112" s="1142"/>
      <c r="VBP112" s="1142"/>
      <c r="VBQ112" s="1142"/>
      <c r="VBR112" s="1142"/>
      <c r="VBS112" s="1142"/>
      <c r="VBT112" s="1142"/>
      <c r="VBU112" s="1167"/>
      <c r="VBV112" s="1167"/>
      <c r="VBW112" s="1167"/>
      <c r="VBX112" s="1167"/>
      <c r="VBY112" s="1167"/>
      <c r="VBZ112" s="1167"/>
      <c r="VCA112" s="1167"/>
      <c r="VCB112" s="1167"/>
      <c r="VCC112" s="1167"/>
      <c r="VCD112" s="1142"/>
      <c r="VCE112" s="1142"/>
      <c r="VCF112" s="1142"/>
      <c r="VCG112" s="1142"/>
      <c r="VCH112" s="1142"/>
      <c r="VCI112" s="1142"/>
      <c r="VCJ112" s="1142"/>
      <c r="VCK112" s="1142"/>
      <c r="VCL112" s="1142"/>
      <c r="VCM112" s="1142"/>
      <c r="VCN112" s="1142"/>
      <c r="VCO112" s="1142"/>
      <c r="VCP112" s="1142"/>
      <c r="VCQ112" s="1142"/>
      <c r="VCR112" s="1142"/>
      <c r="VCS112" s="1142"/>
      <c r="VCT112" s="1142"/>
      <c r="VCU112" s="1142"/>
      <c r="VCV112" s="1142"/>
      <c r="VCW112" s="1142"/>
      <c r="VCX112" s="1142"/>
      <c r="VCY112" s="1142"/>
      <c r="VCZ112" s="1142"/>
      <c r="VDA112" s="1167"/>
      <c r="VDB112" s="1167"/>
      <c r="VDC112" s="1167"/>
      <c r="VDD112" s="1167"/>
      <c r="VDE112" s="1167"/>
      <c r="VDF112" s="1167"/>
      <c r="VDG112" s="1167"/>
      <c r="VDH112" s="1167"/>
      <c r="VDI112" s="1167"/>
      <c r="VDJ112" s="1142"/>
      <c r="VDK112" s="1142"/>
      <c r="VDL112" s="1142"/>
      <c r="VDM112" s="1142"/>
      <c r="VDN112" s="1142"/>
      <c r="VDO112" s="1142"/>
      <c r="VDP112" s="1142"/>
      <c r="VDQ112" s="1142"/>
      <c r="VDR112" s="1142"/>
      <c r="VDS112" s="1142"/>
      <c r="VDT112" s="1142"/>
      <c r="VDU112" s="1142"/>
      <c r="VDV112" s="1142"/>
      <c r="VDW112" s="1142"/>
      <c r="VDX112" s="1142"/>
      <c r="VDY112" s="1142"/>
      <c r="VDZ112" s="1142"/>
      <c r="VEA112" s="1142"/>
      <c r="VEB112" s="1142"/>
      <c r="VEC112" s="1142"/>
      <c r="VED112" s="1142"/>
      <c r="VEE112" s="1142"/>
      <c r="VEF112" s="1142"/>
      <c r="VEG112" s="1167"/>
      <c r="VEH112" s="1167"/>
      <c r="VEI112" s="1167"/>
      <c r="VEJ112" s="1167"/>
      <c r="VEK112" s="1167"/>
      <c r="VEL112" s="1167"/>
      <c r="VEM112" s="1167"/>
      <c r="VEN112" s="1167"/>
      <c r="VEO112" s="1167"/>
      <c r="VEP112" s="1142"/>
      <c r="VEQ112" s="1142"/>
      <c r="VER112" s="1142"/>
      <c r="VES112" s="1142"/>
      <c r="VET112" s="1142"/>
      <c r="VEU112" s="1142"/>
      <c r="VEV112" s="1142"/>
      <c r="VEW112" s="1142"/>
      <c r="VEX112" s="1142"/>
      <c r="VEY112" s="1142"/>
      <c r="VEZ112" s="1142"/>
      <c r="VFA112" s="1142"/>
      <c r="VFB112" s="1142"/>
      <c r="VFC112" s="1142"/>
      <c r="VFD112" s="1142"/>
      <c r="VFE112" s="1142"/>
      <c r="VFF112" s="1142"/>
      <c r="VFG112" s="1142"/>
      <c r="VFH112" s="1142"/>
      <c r="VFI112" s="1142"/>
      <c r="VFJ112" s="1142"/>
      <c r="VFK112" s="1142"/>
      <c r="VFL112" s="1142"/>
      <c r="VFM112" s="1167"/>
      <c r="VFN112" s="1167"/>
      <c r="VFO112" s="1167"/>
      <c r="VFP112" s="1167"/>
      <c r="VFQ112" s="1167"/>
      <c r="VFR112" s="1167"/>
      <c r="VFS112" s="1167"/>
      <c r="VFT112" s="1167"/>
      <c r="VFU112" s="1167"/>
      <c r="VFV112" s="1142"/>
      <c r="VFW112" s="1142"/>
      <c r="VFX112" s="1142"/>
      <c r="VFY112" s="1142"/>
      <c r="VFZ112" s="1142"/>
      <c r="VGA112" s="1142"/>
      <c r="VGB112" s="1142"/>
      <c r="VGC112" s="1142"/>
      <c r="VGD112" s="1142"/>
      <c r="VGE112" s="1142"/>
      <c r="VGF112" s="1142"/>
      <c r="VGG112" s="1142"/>
      <c r="VGH112" s="1142"/>
      <c r="VGI112" s="1142"/>
      <c r="VGJ112" s="1142"/>
      <c r="VGK112" s="1142"/>
      <c r="VGL112" s="1142"/>
      <c r="VGM112" s="1142"/>
      <c r="VGN112" s="1142"/>
      <c r="VGO112" s="1142"/>
      <c r="VGP112" s="1142"/>
      <c r="VGQ112" s="1142"/>
      <c r="VGR112" s="1142"/>
      <c r="VGS112" s="1167"/>
      <c r="VGT112" s="1167"/>
      <c r="VGU112" s="1167"/>
      <c r="VGV112" s="1167"/>
      <c r="VGW112" s="1167"/>
      <c r="VGX112" s="1167"/>
      <c r="VGY112" s="1167"/>
      <c r="VGZ112" s="1167"/>
      <c r="VHA112" s="1167"/>
      <c r="VHB112" s="1142"/>
      <c r="VHC112" s="1142"/>
      <c r="VHD112" s="1142"/>
      <c r="VHE112" s="1142"/>
      <c r="VHF112" s="1142"/>
      <c r="VHG112" s="1142"/>
      <c r="VHH112" s="1142"/>
      <c r="VHI112" s="1142"/>
      <c r="VHJ112" s="1142"/>
      <c r="VHK112" s="1142"/>
      <c r="VHL112" s="1142"/>
      <c r="VHM112" s="1142"/>
      <c r="VHN112" s="1142"/>
      <c r="VHO112" s="1142"/>
      <c r="VHP112" s="1142"/>
      <c r="VHQ112" s="1142"/>
      <c r="VHR112" s="1142"/>
      <c r="VHS112" s="1142"/>
      <c r="VHT112" s="1142"/>
      <c r="VHU112" s="1142"/>
      <c r="VHV112" s="1142"/>
      <c r="VHW112" s="1142"/>
      <c r="VHX112" s="1142"/>
      <c r="VHY112" s="1167"/>
      <c r="VHZ112" s="1167"/>
      <c r="VIA112" s="1167"/>
      <c r="VIB112" s="1167"/>
      <c r="VIC112" s="1167"/>
      <c r="VID112" s="1167"/>
      <c r="VIE112" s="1167"/>
      <c r="VIF112" s="1167"/>
      <c r="VIG112" s="1167"/>
      <c r="VIH112" s="1142"/>
      <c r="VII112" s="1142"/>
      <c r="VIJ112" s="1142"/>
      <c r="VIK112" s="1142"/>
      <c r="VIL112" s="1142"/>
      <c r="VIM112" s="1142"/>
      <c r="VIN112" s="1142"/>
      <c r="VIO112" s="1142"/>
      <c r="VIP112" s="1142"/>
      <c r="VIQ112" s="1142"/>
      <c r="VIR112" s="1142"/>
      <c r="VIS112" s="1142"/>
      <c r="VIT112" s="1142"/>
      <c r="VIU112" s="1142"/>
      <c r="VIV112" s="1142"/>
      <c r="VIW112" s="1142"/>
      <c r="VIX112" s="1142"/>
      <c r="VIY112" s="1142"/>
      <c r="VIZ112" s="1142"/>
      <c r="VJA112" s="1142"/>
      <c r="VJB112" s="1142"/>
      <c r="VJC112" s="1142"/>
      <c r="VJD112" s="1142"/>
      <c r="VJE112" s="1167"/>
      <c r="VJF112" s="1167"/>
      <c r="VJG112" s="1167"/>
      <c r="VJH112" s="1167"/>
      <c r="VJI112" s="1167"/>
      <c r="VJJ112" s="1167"/>
      <c r="VJK112" s="1167"/>
      <c r="VJL112" s="1167"/>
      <c r="VJM112" s="1167"/>
      <c r="VJN112" s="1142"/>
      <c r="VJO112" s="1142"/>
      <c r="VJP112" s="1142"/>
      <c r="VJQ112" s="1142"/>
      <c r="VJR112" s="1142"/>
      <c r="VJS112" s="1142"/>
      <c r="VJT112" s="1142"/>
      <c r="VJU112" s="1142"/>
      <c r="VJV112" s="1142"/>
      <c r="VJW112" s="1142"/>
      <c r="VJX112" s="1142"/>
      <c r="VJY112" s="1142"/>
      <c r="VJZ112" s="1142"/>
      <c r="VKA112" s="1142"/>
      <c r="VKB112" s="1142"/>
      <c r="VKC112" s="1142"/>
      <c r="VKD112" s="1142"/>
      <c r="VKE112" s="1142"/>
      <c r="VKF112" s="1142"/>
      <c r="VKG112" s="1142"/>
      <c r="VKH112" s="1142"/>
      <c r="VKI112" s="1142"/>
      <c r="VKJ112" s="1142"/>
      <c r="VKK112" s="1167"/>
      <c r="VKL112" s="1167"/>
      <c r="VKM112" s="1167"/>
      <c r="VKN112" s="1167"/>
      <c r="VKO112" s="1167"/>
      <c r="VKP112" s="1167"/>
      <c r="VKQ112" s="1167"/>
      <c r="VKR112" s="1167"/>
      <c r="VKS112" s="1167"/>
      <c r="VKT112" s="1142"/>
      <c r="VKU112" s="1142"/>
      <c r="VKV112" s="1142"/>
      <c r="VKW112" s="1142"/>
      <c r="VKX112" s="1142"/>
      <c r="VKY112" s="1142"/>
      <c r="VKZ112" s="1142"/>
      <c r="VLA112" s="1142"/>
      <c r="VLB112" s="1142"/>
      <c r="VLC112" s="1142"/>
      <c r="VLD112" s="1142"/>
      <c r="VLE112" s="1142"/>
      <c r="VLF112" s="1142"/>
      <c r="VLG112" s="1142"/>
      <c r="VLH112" s="1142"/>
      <c r="VLI112" s="1142"/>
      <c r="VLJ112" s="1142"/>
      <c r="VLK112" s="1142"/>
      <c r="VLL112" s="1142"/>
      <c r="VLM112" s="1142"/>
      <c r="VLN112" s="1142"/>
      <c r="VLO112" s="1142"/>
      <c r="VLP112" s="1142"/>
      <c r="VLQ112" s="1167"/>
      <c r="VLR112" s="1167"/>
      <c r="VLS112" s="1167"/>
      <c r="VLT112" s="1167"/>
      <c r="VLU112" s="1167"/>
      <c r="VLV112" s="1167"/>
      <c r="VLW112" s="1167"/>
      <c r="VLX112" s="1167"/>
      <c r="VLY112" s="1167"/>
      <c r="VLZ112" s="1142"/>
      <c r="VMA112" s="1142"/>
      <c r="VMB112" s="1142"/>
      <c r="VMC112" s="1142"/>
      <c r="VMD112" s="1142"/>
      <c r="VME112" s="1142"/>
      <c r="VMF112" s="1142"/>
      <c r="VMG112" s="1142"/>
      <c r="VMH112" s="1142"/>
      <c r="VMI112" s="1142"/>
      <c r="VMJ112" s="1142"/>
      <c r="VMK112" s="1142"/>
      <c r="VML112" s="1142"/>
      <c r="VMM112" s="1142"/>
      <c r="VMN112" s="1142"/>
      <c r="VMO112" s="1142"/>
      <c r="VMP112" s="1142"/>
      <c r="VMQ112" s="1142"/>
      <c r="VMR112" s="1142"/>
      <c r="VMS112" s="1142"/>
      <c r="VMT112" s="1142"/>
      <c r="VMU112" s="1142"/>
      <c r="VMV112" s="1142"/>
      <c r="VMW112" s="1167"/>
      <c r="VMX112" s="1167"/>
      <c r="VMY112" s="1167"/>
      <c r="VMZ112" s="1167"/>
      <c r="VNA112" s="1167"/>
      <c r="VNB112" s="1167"/>
      <c r="VNC112" s="1167"/>
      <c r="VND112" s="1167"/>
      <c r="VNE112" s="1167"/>
      <c r="VNF112" s="1142"/>
      <c r="VNG112" s="1142"/>
      <c r="VNH112" s="1142"/>
      <c r="VNI112" s="1142"/>
      <c r="VNJ112" s="1142"/>
      <c r="VNK112" s="1142"/>
      <c r="VNL112" s="1142"/>
      <c r="VNM112" s="1142"/>
      <c r="VNN112" s="1142"/>
      <c r="VNO112" s="1142"/>
      <c r="VNP112" s="1142"/>
      <c r="VNQ112" s="1142"/>
      <c r="VNR112" s="1142"/>
      <c r="VNS112" s="1142"/>
      <c r="VNT112" s="1142"/>
      <c r="VNU112" s="1142"/>
      <c r="VNV112" s="1142"/>
      <c r="VNW112" s="1142"/>
      <c r="VNX112" s="1142"/>
      <c r="VNY112" s="1142"/>
      <c r="VNZ112" s="1142"/>
      <c r="VOA112" s="1142"/>
      <c r="VOB112" s="1142"/>
      <c r="VOC112" s="1167"/>
      <c r="VOD112" s="1167"/>
      <c r="VOE112" s="1167"/>
      <c r="VOF112" s="1167"/>
      <c r="VOG112" s="1167"/>
      <c r="VOH112" s="1167"/>
      <c r="VOI112" s="1167"/>
      <c r="VOJ112" s="1167"/>
      <c r="VOK112" s="1167"/>
      <c r="VOL112" s="1142"/>
      <c r="VOM112" s="1142"/>
      <c r="VON112" s="1142"/>
      <c r="VOO112" s="1142"/>
      <c r="VOP112" s="1142"/>
      <c r="VOQ112" s="1142"/>
      <c r="VOR112" s="1142"/>
      <c r="VOS112" s="1142"/>
      <c r="VOT112" s="1142"/>
      <c r="VOU112" s="1142"/>
      <c r="VOV112" s="1142"/>
      <c r="VOW112" s="1142"/>
      <c r="VOX112" s="1142"/>
      <c r="VOY112" s="1142"/>
      <c r="VOZ112" s="1142"/>
      <c r="VPA112" s="1142"/>
      <c r="VPB112" s="1142"/>
      <c r="VPC112" s="1142"/>
      <c r="VPD112" s="1142"/>
      <c r="VPE112" s="1142"/>
      <c r="VPF112" s="1142"/>
      <c r="VPG112" s="1142"/>
      <c r="VPH112" s="1142"/>
      <c r="VPI112" s="1167"/>
      <c r="VPJ112" s="1167"/>
      <c r="VPK112" s="1167"/>
      <c r="VPL112" s="1167"/>
      <c r="VPM112" s="1167"/>
      <c r="VPN112" s="1167"/>
      <c r="VPO112" s="1167"/>
      <c r="VPP112" s="1167"/>
      <c r="VPQ112" s="1167"/>
      <c r="VPR112" s="1142"/>
      <c r="VPS112" s="1142"/>
      <c r="VPT112" s="1142"/>
      <c r="VPU112" s="1142"/>
      <c r="VPV112" s="1142"/>
      <c r="VPW112" s="1142"/>
      <c r="VPX112" s="1142"/>
      <c r="VPY112" s="1142"/>
      <c r="VPZ112" s="1142"/>
      <c r="VQA112" s="1142"/>
      <c r="VQB112" s="1142"/>
      <c r="VQC112" s="1142"/>
      <c r="VQD112" s="1142"/>
      <c r="VQE112" s="1142"/>
      <c r="VQF112" s="1142"/>
      <c r="VQG112" s="1142"/>
      <c r="VQH112" s="1142"/>
      <c r="VQI112" s="1142"/>
      <c r="VQJ112" s="1142"/>
      <c r="VQK112" s="1142"/>
      <c r="VQL112" s="1142"/>
      <c r="VQM112" s="1142"/>
      <c r="VQN112" s="1142"/>
      <c r="VQO112" s="1167"/>
      <c r="VQP112" s="1167"/>
      <c r="VQQ112" s="1167"/>
      <c r="VQR112" s="1167"/>
      <c r="VQS112" s="1167"/>
      <c r="VQT112" s="1167"/>
      <c r="VQU112" s="1167"/>
      <c r="VQV112" s="1167"/>
      <c r="VQW112" s="1167"/>
      <c r="VQX112" s="1142"/>
      <c r="VQY112" s="1142"/>
      <c r="VQZ112" s="1142"/>
      <c r="VRA112" s="1142"/>
      <c r="VRB112" s="1142"/>
      <c r="VRC112" s="1142"/>
      <c r="VRD112" s="1142"/>
      <c r="VRE112" s="1142"/>
      <c r="VRF112" s="1142"/>
      <c r="VRG112" s="1142"/>
      <c r="VRH112" s="1142"/>
      <c r="VRI112" s="1142"/>
      <c r="VRJ112" s="1142"/>
      <c r="VRK112" s="1142"/>
      <c r="VRL112" s="1142"/>
      <c r="VRM112" s="1142"/>
      <c r="VRN112" s="1142"/>
      <c r="VRO112" s="1142"/>
      <c r="VRP112" s="1142"/>
      <c r="VRQ112" s="1142"/>
      <c r="VRR112" s="1142"/>
      <c r="VRS112" s="1142"/>
      <c r="VRT112" s="1142"/>
      <c r="VRU112" s="1167"/>
      <c r="VRV112" s="1167"/>
      <c r="VRW112" s="1167"/>
      <c r="VRX112" s="1167"/>
      <c r="VRY112" s="1167"/>
      <c r="VRZ112" s="1167"/>
      <c r="VSA112" s="1167"/>
      <c r="VSB112" s="1167"/>
      <c r="VSC112" s="1167"/>
      <c r="VSD112" s="1142"/>
      <c r="VSE112" s="1142"/>
      <c r="VSF112" s="1142"/>
      <c r="VSG112" s="1142"/>
      <c r="VSH112" s="1142"/>
      <c r="VSI112" s="1142"/>
      <c r="VSJ112" s="1142"/>
      <c r="VSK112" s="1142"/>
      <c r="VSL112" s="1142"/>
      <c r="VSM112" s="1142"/>
      <c r="VSN112" s="1142"/>
      <c r="VSO112" s="1142"/>
      <c r="VSP112" s="1142"/>
      <c r="VSQ112" s="1142"/>
      <c r="VSR112" s="1142"/>
      <c r="VSS112" s="1142"/>
      <c r="VST112" s="1142"/>
      <c r="VSU112" s="1142"/>
      <c r="VSV112" s="1142"/>
      <c r="VSW112" s="1142"/>
      <c r="VSX112" s="1142"/>
      <c r="VSY112" s="1142"/>
      <c r="VSZ112" s="1142"/>
      <c r="VTA112" s="1167"/>
      <c r="VTB112" s="1167"/>
      <c r="VTC112" s="1167"/>
      <c r="VTD112" s="1167"/>
      <c r="VTE112" s="1167"/>
      <c r="VTF112" s="1167"/>
      <c r="VTG112" s="1167"/>
      <c r="VTH112" s="1167"/>
      <c r="VTI112" s="1167"/>
      <c r="VTJ112" s="1142"/>
      <c r="VTK112" s="1142"/>
      <c r="VTL112" s="1142"/>
      <c r="VTM112" s="1142"/>
      <c r="VTN112" s="1142"/>
      <c r="VTO112" s="1142"/>
      <c r="VTP112" s="1142"/>
      <c r="VTQ112" s="1142"/>
      <c r="VTR112" s="1142"/>
      <c r="VTS112" s="1142"/>
      <c r="VTT112" s="1142"/>
      <c r="VTU112" s="1142"/>
      <c r="VTV112" s="1142"/>
      <c r="VTW112" s="1142"/>
      <c r="VTX112" s="1142"/>
      <c r="VTY112" s="1142"/>
      <c r="VTZ112" s="1142"/>
      <c r="VUA112" s="1142"/>
      <c r="VUB112" s="1142"/>
      <c r="VUC112" s="1142"/>
      <c r="VUD112" s="1142"/>
      <c r="VUE112" s="1142"/>
      <c r="VUF112" s="1142"/>
      <c r="VUG112" s="1167"/>
      <c r="VUH112" s="1167"/>
      <c r="VUI112" s="1167"/>
      <c r="VUJ112" s="1167"/>
      <c r="VUK112" s="1167"/>
      <c r="VUL112" s="1167"/>
      <c r="VUM112" s="1167"/>
      <c r="VUN112" s="1167"/>
      <c r="VUO112" s="1167"/>
      <c r="VUP112" s="1142"/>
      <c r="VUQ112" s="1142"/>
      <c r="VUR112" s="1142"/>
      <c r="VUS112" s="1142"/>
      <c r="VUT112" s="1142"/>
      <c r="VUU112" s="1142"/>
      <c r="VUV112" s="1142"/>
      <c r="VUW112" s="1142"/>
      <c r="VUX112" s="1142"/>
      <c r="VUY112" s="1142"/>
      <c r="VUZ112" s="1142"/>
      <c r="VVA112" s="1142"/>
      <c r="VVB112" s="1142"/>
      <c r="VVC112" s="1142"/>
      <c r="VVD112" s="1142"/>
      <c r="VVE112" s="1142"/>
      <c r="VVF112" s="1142"/>
      <c r="VVG112" s="1142"/>
      <c r="VVH112" s="1142"/>
      <c r="VVI112" s="1142"/>
      <c r="VVJ112" s="1142"/>
      <c r="VVK112" s="1142"/>
      <c r="VVL112" s="1142"/>
      <c r="VVM112" s="1167"/>
      <c r="VVN112" s="1167"/>
      <c r="VVO112" s="1167"/>
      <c r="VVP112" s="1167"/>
      <c r="VVQ112" s="1167"/>
      <c r="VVR112" s="1167"/>
      <c r="VVS112" s="1167"/>
      <c r="VVT112" s="1167"/>
      <c r="VVU112" s="1167"/>
      <c r="VVV112" s="1142"/>
      <c r="VVW112" s="1142"/>
      <c r="VVX112" s="1142"/>
      <c r="VVY112" s="1142"/>
      <c r="VVZ112" s="1142"/>
      <c r="VWA112" s="1142"/>
      <c r="VWB112" s="1142"/>
      <c r="VWC112" s="1142"/>
      <c r="VWD112" s="1142"/>
      <c r="VWE112" s="1142"/>
      <c r="VWF112" s="1142"/>
      <c r="VWG112" s="1142"/>
      <c r="VWH112" s="1142"/>
      <c r="VWI112" s="1142"/>
      <c r="VWJ112" s="1142"/>
      <c r="VWK112" s="1142"/>
      <c r="VWL112" s="1142"/>
      <c r="VWM112" s="1142"/>
      <c r="VWN112" s="1142"/>
      <c r="VWO112" s="1142"/>
      <c r="VWP112" s="1142"/>
      <c r="VWQ112" s="1142"/>
      <c r="VWR112" s="1142"/>
      <c r="VWS112" s="1167"/>
      <c r="VWT112" s="1167"/>
      <c r="VWU112" s="1167"/>
      <c r="VWV112" s="1167"/>
      <c r="VWW112" s="1167"/>
      <c r="VWX112" s="1167"/>
      <c r="VWY112" s="1167"/>
      <c r="VWZ112" s="1167"/>
      <c r="VXA112" s="1167"/>
      <c r="VXB112" s="1142"/>
      <c r="VXC112" s="1142"/>
      <c r="VXD112" s="1142"/>
      <c r="VXE112" s="1142"/>
      <c r="VXF112" s="1142"/>
      <c r="VXG112" s="1142"/>
      <c r="VXH112" s="1142"/>
      <c r="VXI112" s="1142"/>
      <c r="VXJ112" s="1142"/>
      <c r="VXK112" s="1142"/>
      <c r="VXL112" s="1142"/>
      <c r="VXM112" s="1142"/>
      <c r="VXN112" s="1142"/>
      <c r="VXO112" s="1142"/>
      <c r="VXP112" s="1142"/>
      <c r="VXQ112" s="1142"/>
      <c r="VXR112" s="1142"/>
      <c r="VXS112" s="1142"/>
      <c r="VXT112" s="1142"/>
      <c r="VXU112" s="1142"/>
      <c r="VXV112" s="1142"/>
      <c r="VXW112" s="1142"/>
      <c r="VXX112" s="1142"/>
      <c r="VXY112" s="1167"/>
      <c r="VXZ112" s="1167"/>
      <c r="VYA112" s="1167"/>
      <c r="VYB112" s="1167"/>
      <c r="VYC112" s="1167"/>
      <c r="VYD112" s="1167"/>
      <c r="VYE112" s="1167"/>
      <c r="VYF112" s="1167"/>
      <c r="VYG112" s="1167"/>
      <c r="VYH112" s="1142"/>
      <c r="VYI112" s="1142"/>
      <c r="VYJ112" s="1142"/>
      <c r="VYK112" s="1142"/>
      <c r="VYL112" s="1142"/>
      <c r="VYM112" s="1142"/>
      <c r="VYN112" s="1142"/>
      <c r="VYO112" s="1142"/>
      <c r="VYP112" s="1142"/>
      <c r="VYQ112" s="1142"/>
      <c r="VYR112" s="1142"/>
      <c r="VYS112" s="1142"/>
      <c r="VYT112" s="1142"/>
      <c r="VYU112" s="1142"/>
      <c r="VYV112" s="1142"/>
      <c r="VYW112" s="1142"/>
      <c r="VYX112" s="1142"/>
      <c r="VYY112" s="1142"/>
      <c r="VYZ112" s="1142"/>
      <c r="VZA112" s="1142"/>
      <c r="VZB112" s="1142"/>
      <c r="VZC112" s="1142"/>
      <c r="VZD112" s="1142"/>
      <c r="VZE112" s="1167"/>
      <c r="VZF112" s="1167"/>
      <c r="VZG112" s="1167"/>
      <c r="VZH112" s="1167"/>
      <c r="VZI112" s="1167"/>
      <c r="VZJ112" s="1167"/>
      <c r="VZK112" s="1167"/>
      <c r="VZL112" s="1167"/>
      <c r="VZM112" s="1167"/>
      <c r="VZN112" s="1142"/>
      <c r="VZO112" s="1142"/>
      <c r="VZP112" s="1142"/>
      <c r="VZQ112" s="1142"/>
      <c r="VZR112" s="1142"/>
      <c r="VZS112" s="1142"/>
      <c r="VZT112" s="1142"/>
      <c r="VZU112" s="1142"/>
      <c r="VZV112" s="1142"/>
      <c r="VZW112" s="1142"/>
      <c r="VZX112" s="1142"/>
      <c r="VZY112" s="1142"/>
      <c r="VZZ112" s="1142"/>
      <c r="WAA112" s="1142"/>
      <c r="WAB112" s="1142"/>
      <c r="WAC112" s="1142"/>
      <c r="WAD112" s="1142"/>
      <c r="WAE112" s="1142"/>
      <c r="WAF112" s="1142"/>
      <c r="WAG112" s="1142"/>
      <c r="WAH112" s="1142"/>
      <c r="WAI112" s="1142"/>
      <c r="WAJ112" s="1142"/>
      <c r="WAK112" s="1167"/>
      <c r="WAL112" s="1167"/>
      <c r="WAM112" s="1167"/>
      <c r="WAN112" s="1167"/>
      <c r="WAO112" s="1167"/>
      <c r="WAP112" s="1167"/>
      <c r="WAQ112" s="1167"/>
      <c r="WAR112" s="1167"/>
      <c r="WAS112" s="1167"/>
      <c r="WAT112" s="1142"/>
      <c r="WAU112" s="1142"/>
      <c r="WAV112" s="1142"/>
      <c r="WAW112" s="1142"/>
      <c r="WAX112" s="1142"/>
      <c r="WAY112" s="1142"/>
      <c r="WAZ112" s="1142"/>
      <c r="WBA112" s="1142"/>
      <c r="WBB112" s="1142"/>
      <c r="WBC112" s="1142"/>
      <c r="WBD112" s="1142"/>
      <c r="WBE112" s="1142"/>
      <c r="WBF112" s="1142"/>
      <c r="WBG112" s="1142"/>
      <c r="WBH112" s="1142"/>
      <c r="WBI112" s="1142"/>
      <c r="WBJ112" s="1142"/>
      <c r="WBK112" s="1142"/>
      <c r="WBL112" s="1142"/>
      <c r="WBM112" s="1142"/>
      <c r="WBN112" s="1142"/>
      <c r="WBO112" s="1142"/>
      <c r="WBP112" s="1142"/>
      <c r="WBQ112" s="1167"/>
      <c r="WBR112" s="1167"/>
      <c r="WBS112" s="1167"/>
      <c r="WBT112" s="1167"/>
      <c r="WBU112" s="1167"/>
      <c r="WBV112" s="1167"/>
      <c r="WBW112" s="1167"/>
      <c r="WBX112" s="1167"/>
      <c r="WBY112" s="1167"/>
      <c r="WBZ112" s="1142"/>
      <c r="WCA112" s="1142"/>
      <c r="WCB112" s="1142"/>
      <c r="WCC112" s="1142"/>
      <c r="WCD112" s="1142"/>
      <c r="WCE112" s="1142"/>
      <c r="WCF112" s="1142"/>
      <c r="WCG112" s="1142"/>
      <c r="WCH112" s="1142"/>
      <c r="WCI112" s="1142"/>
      <c r="WCJ112" s="1142"/>
      <c r="WCK112" s="1142"/>
      <c r="WCL112" s="1142"/>
      <c r="WCM112" s="1142"/>
      <c r="WCN112" s="1142"/>
      <c r="WCO112" s="1142"/>
      <c r="WCP112" s="1142"/>
      <c r="WCQ112" s="1142"/>
      <c r="WCR112" s="1142"/>
      <c r="WCS112" s="1142"/>
      <c r="WCT112" s="1142"/>
      <c r="WCU112" s="1142"/>
      <c r="WCV112" s="1142"/>
      <c r="WCW112" s="1167"/>
      <c r="WCX112" s="1167"/>
      <c r="WCY112" s="1167"/>
      <c r="WCZ112" s="1167"/>
      <c r="WDA112" s="1167"/>
      <c r="WDB112" s="1167"/>
      <c r="WDC112" s="1167"/>
      <c r="WDD112" s="1167"/>
      <c r="WDE112" s="1167"/>
      <c r="WDF112" s="1142"/>
      <c r="WDG112" s="1142"/>
      <c r="WDH112" s="1142"/>
      <c r="WDI112" s="1142"/>
      <c r="WDJ112" s="1142"/>
      <c r="WDK112" s="1142"/>
      <c r="WDL112" s="1142"/>
      <c r="WDM112" s="1142"/>
      <c r="WDN112" s="1142"/>
      <c r="WDO112" s="1142"/>
      <c r="WDP112" s="1142"/>
      <c r="WDQ112" s="1142"/>
      <c r="WDR112" s="1142"/>
      <c r="WDS112" s="1142"/>
      <c r="WDT112" s="1142"/>
      <c r="WDU112" s="1142"/>
      <c r="WDV112" s="1142"/>
      <c r="WDW112" s="1142"/>
      <c r="WDX112" s="1142"/>
      <c r="WDY112" s="1142"/>
      <c r="WDZ112" s="1142"/>
      <c r="WEA112" s="1142"/>
      <c r="WEB112" s="1142"/>
      <c r="WEC112" s="1167"/>
      <c r="WED112" s="1167"/>
      <c r="WEE112" s="1167"/>
      <c r="WEF112" s="1167"/>
      <c r="WEG112" s="1167"/>
      <c r="WEH112" s="1167"/>
      <c r="WEI112" s="1167"/>
      <c r="WEJ112" s="1167"/>
      <c r="WEK112" s="1167"/>
      <c r="WEL112" s="1142"/>
      <c r="WEM112" s="1142"/>
      <c r="WEN112" s="1142"/>
      <c r="WEO112" s="1142"/>
      <c r="WEP112" s="1142"/>
      <c r="WEQ112" s="1142"/>
      <c r="WER112" s="1142"/>
      <c r="WES112" s="1142"/>
      <c r="WET112" s="1142"/>
      <c r="WEU112" s="1142"/>
      <c r="WEV112" s="1142"/>
      <c r="WEW112" s="1142"/>
      <c r="WEX112" s="1142"/>
      <c r="WEY112" s="1142"/>
      <c r="WEZ112" s="1142"/>
      <c r="WFA112" s="1142"/>
      <c r="WFB112" s="1142"/>
      <c r="WFC112" s="1142"/>
      <c r="WFD112" s="1142"/>
      <c r="WFE112" s="1142"/>
      <c r="WFF112" s="1142"/>
      <c r="WFG112" s="1142"/>
      <c r="WFH112" s="1142"/>
      <c r="WFI112" s="1167"/>
      <c r="WFJ112" s="1167"/>
      <c r="WFK112" s="1167"/>
      <c r="WFL112" s="1167"/>
      <c r="WFM112" s="1167"/>
      <c r="WFN112" s="1167"/>
      <c r="WFO112" s="1167"/>
      <c r="WFP112" s="1167"/>
      <c r="WFQ112" s="1167"/>
      <c r="WFR112" s="1142"/>
      <c r="WFS112" s="1142"/>
      <c r="WFT112" s="1142"/>
      <c r="WFU112" s="1142"/>
      <c r="WFV112" s="1142"/>
      <c r="WFW112" s="1142"/>
      <c r="WFX112" s="1142"/>
      <c r="WFY112" s="1142"/>
      <c r="WFZ112" s="1142"/>
      <c r="WGA112" s="1142"/>
      <c r="WGB112" s="1142"/>
      <c r="WGC112" s="1142"/>
      <c r="WGD112" s="1142"/>
      <c r="WGE112" s="1142"/>
      <c r="WGF112" s="1142"/>
      <c r="WGG112" s="1142"/>
      <c r="WGH112" s="1142"/>
      <c r="WGI112" s="1142"/>
      <c r="WGJ112" s="1142"/>
      <c r="WGK112" s="1142"/>
      <c r="WGL112" s="1142"/>
      <c r="WGM112" s="1142"/>
      <c r="WGN112" s="1142"/>
      <c r="WGO112" s="1167"/>
      <c r="WGP112" s="1167"/>
      <c r="WGQ112" s="1167"/>
      <c r="WGR112" s="1167"/>
      <c r="WGS112" s="1167"/>
      <c r="WGT112" s="1167"/>
      <c r="WGU112" s="1167"/>
      <c r="WGV112" s="1167"/>
      <c r="WGW112" s="1167"/>
      <c r="WGX112" s="1142"/>
      <c r="WGY112" s="1142"/>
      <c r="WGZ112" s="1142"/>
      <c r="WHA112" s="1142"/>
      <c r="WHB112" s="1142"/>
      <c r="WHC112" s="1142"/>
      <c r="WHD112" s="1142"/>
      <c r="WHE112" s="1142"/>
      <c r="WHF112" s="1142"/>
      <c r="WHG112" s="1142"/>
      <c r="WHH112" s="1142"/>
      <c r="WHI112" s="1142"/>
      <c r="WHJ112" s="1142"/>
      <c r="WHK112" s="1142"/>
      <c r="WHL112" s="1142"/>
      <c r="WHM112" s="1142"/>
      <c r="WHN112" s="1142"/>
      <c r="WHO112" s="1142"/>
      <c r="WHP112" s="1142"/>
      <c r="WHQ112" s="1142"/>
      <c r="WHR112" s="1142"/>
      <c r="WHS112" s="1142"/>
      <c r="WHT112" s="1142"/>
      <c r="WHU112" s="1167"/>
      <c r="WHV112" s="1167"/>
      <c r="WHW112" s="1167"/>
      <c r="WHX112" s="1167"/>
      <c r="WHY112" s="1167"/>
      <c r="WHZ112" s="1167"/>
      <c r="WIA112" s="1167"/>
      <c r="WIB112" s="1167"/>
      <c r="WIC112" s="1167"/>
      <c r="WID112" s="1142"/>
      <c r="WIE112" s="1142"/>
      <c r="WIF112" s="1142"/>
      <c r="WIG112" s="1142"/>
      <c r="WIH112" s="1142"/>
      <c r="WII112" s="1142"/>
      <c r="WIJ112" s="1142"/>
      <c r="WIK112" s="1142"/>
      <c r="WIL112" s="1142"/>
      <c r="WIM112" s="1142"/>
      <c r="WIN112" s="1142"/>
      <c r="WIO112" s="1142"/>
      <c r="WIP112" s="1142"/>
      <c r="WIQ112" s="1142"/>
      <c r="WIR112" s="1142"/>
      <c r="WIS112" s="1142"/>
      <c r="WIT112" s="1142"/>
      <c r="WIU112" s="1142"/>
      <c r="WIV112" s="1142"/>
      <c r="WIW112" s="1142"/>
      <c r="WIX112" s="1142"/>
      <c r="WIY112" s="1142"/>
      <c r="WIZ112" s="1142"/>
      <c r="WJA112" s="1167"/>
      <c r="WJB112" s="1167"/>
      <c r="WJC112" s="1167"/>
      <c r="WJD112" s="1167"/>
      <c r="WJE112" s="1167"/>
      <c r="WJF112" s="1167"/>
      <c r="WJG112" s="1167"/>
      <c r="WJH112" s="1167"/>
      <c r="WJI112" s="1167"/>
      <c r="WJJ112" s="1142"/>
      <c r="WJK112" s="1142"/>
      <c r="WJL112" s="1142"/>
      <c r="WJM112" s="1142"/>
      <c r="WJN112" s="1142"/>
      <c r="WJO112" s="1142"/>
      <c r="WJP112" s="1142"/>
      <c r="WJQ112" s="1142"/>
      <c r="WJR112" s="1142"/>
      <c r="WJS112" s="1142"/>
      <c r="WJT112" s="1142"/>
      <c r="WJU112" s="1142"/>
      <c r="WJV112" s="1142"/>
      <c r="WJW112" s="1142"/>
      <c r="WJX112" s="1142"/>
      <c r="WJY112" s="1142"/>
      <c r="WJZ112" s="1142"/>
      <c r="WKA112" s="1142"/>
      <c r="WKB112" s="1142"/>
      <c r="WKC112" s="1142"/>
      <c r="WKD112" s="1142"/>
      <c r="WKE112" s="1142"/>
      <c r="WKF112" s="1142"/>
      <c r="WKG112" s="1167"/>
      <c r="WKH112" s="1167"/>
      <c r="WKI112" s="1167"/>
      <c r="WKJ112" s="1167"/>
      <c r="WKK112" s="1167"/>
      <c r="WKL112" s="1167"/>
      <c r="WKM112" s="1167"/>
      <c r="WKN112" s="1167"/>
      <c r="WKO112" s="1167"/>
      <c r="WKP112" s="1142"/>
      <c r="WKQ112" s="1142"/>
      <c r="WKR112" s="1142"/>
      <c r="WKS112" s="1142"/>
      <c r="WKT112" s="1142"/>
      <c r="WKU112" s="1142"/>
      <c r="WKV112" s="1142"/>
      <c r="WKW112" s="1142"/>
      <c r="WKX112" s="1142"/>
      <c r="WKY112" s="1142"/>
      <c r="WKZ112" s="1142"/>
      <c r="WLA112" s="1142"/>
      <c r="WLB112" s="1142"/>
      <c r="WLC112" s="1142"/>
      <c r="WLD112" s="1142"/>
      <c r="WLE112" s="1142"/>
      <c r="WLF112" s="1142"/>
      <c r="WLG112" s="1142"/>
      <c r="WLH112" s="1142"/>
      <c r="WLI112" s="1142"/>
      <c r="WLJ112" s="1142"/>
      <c r="WLK112" s="1142"/>
      <c r="WLL112" s="1142"/>
      <c r="WLM112" s="1167"/>
      <c r="WLN112" s="1167"/>
      <c r="WLO112" s="1167"/>
      <c r="WLP112" s="1167"/>
      <c r="WLQ112" s="1167"/>
      <c r="WLR112" s="1167"/>
      <c r="WLS112" s="1167"/>
      <c r="WLT112" s="1167"/>
      <c r="WLU112" s="1167"/>
      <c r="WLV112" s="1142"/>
      <c r="WLW112" s="1142"/>
      <c r="WLX112" s="1142"/>
      <c r="WLY112" s="1142"/>
      <c r="WLZ112" s="1142"/>
      <c r="WMA112" s="1142"/>
      <c r="WMB112" s="1142"/>
      <c r="WMC112" s="1142"/>
      <c r="WMD112" s="1142"/>
      <c r="WME112" s="1142"/>
      <c r="WMF112" s="1142"/>
      <c r="WMG112" s="1142"/>
      <c r="WMH112" s="1142"/>
      <c r="WMI112" s="1142"/>
      <c r="WMJ112" s="1142"/>
      <c r="WMK112" s="1142"/>
      <c r="WML112" s="1142"/>
      <c r="WMM112" s="1142"/>
      <c r="WMN112" s="1142"/>
      <c r="WMO112" s="1142"/>
      <c r="WMP112" s="1142"/>
      <c r="WMQ112" s="1142"/>
      <c r="WMR112" s="1142"/>
      <c r="WMS112" s="1167"/>
      <c r="WMT112" s="1167"/>
      <c r="WMU112" s="1167"/>
      <c r="WMV112" s="1167"/>
      <c r="WMW112" s="1167"/>
      <c r="WMX112" s="1167"/>
      <c r="WMY112" s="1167"/>
      <c r="WMZ112" s="1167"/>
      <c r="WNA112" s="1167"/>
      <c r="WNB112" s="1142"/>
      <c r="WNC112" s="1142"/>
      <c r="WND112" s="1142"/>
      <c r="WNE112" s="1142"/>
      <c r="WNF112" s="1142"/>
      <c r="WNG112" s="1142"/>
      <c r="WNH112" s="1142"/>
      <c r="WNI112" s="1142"/>
      <c r="WNJ112" s="1142"/>
      <c r="WNK112" s="1142"/>
      <c r="WNL112" s="1142"/>
      <c r="WNM112" s="1142"/>
      <c r="WNN112" s="1142"/>
      <c r="WNO112" s="1142"/>
      <c r="WNP112" s="1142"/>
      <c r="WNQ112" s="1142"/>
      <c r="WNR112" s="1142"/>
      <c r="WNS112" s="1142"/>
      <c r="WNT112" s="1142"/>
      <c r="WNU112" s="1142"/>
      <c r="WNV112" s="1142"/>
      <c r="WNW112" s="1142"/>
      <c r="WNX112" s="1142"/>
      <c r="WNY112" s="1167"/>
      <c r="WNZ112" s="1167"/>
      <c r="WOA112" s="1167"/>
      <c r="WOB112" s="1167"/>
      <c r="WOC112" s="1167"/>
      <c r="WOD112" s="1167"/>
      <c r="WOE112" s="1167"/>
      <c r="WOF112" s="1167"/>
      <c r="WOG112" s="1167"/>
      <c r="WOH112" s="1142"/>
      <c r="WOI112" s="1142"/>
      <c r="WOJ112" s="1142"/>
      <c r="WOK112" s="1142"/>
      <c r="WOL112" s="1142"/>
      <c r="WOM112" s="1142"/>
      <c r="WON112" s="1142"/>
      <c r="WOO112" s="1142"/>
      <c r="WOP112" s="1142"/>
      <c r="WOQ112" s="1142"/>
      <c r="WOR112" s="1142"/>
      <c r="WOS112" s="1142"/>
      <c r="WOT112" s="1142"/>
      <c r="WOU112" s="1142"/>
      <c r="WOV112" s="1142"/>
      <c r="WOW112" s="1142"/>
      <c r="WOX112" s="1142"/>
      <c r="WOY112" s="1142"/>
      <c r="WOZ112" s="1142"/>
      <c r="WPA112" s="1142"/>
      <c r="WPB112" s="1142"/>
      <c r="WPC112" s="1142"/>
      <c r="WPD112" s="1142"/>
      <c r="WPE112" s="1167"/>
      <c r="WPF112" s="1167"/>
      <c r="WPG112" s="1167"/>
      <c r="WPH112" s="1167"/>
      <c r="WPI112" s="1167"/>
      <c r="WPJ112" s="1167"/>
      <c r="WPK112" s="1167"/>
      <c r="WPL112" s="1167"/>
      <c r="WPM112" s="1167"/>
      <c r="WPN112" s="1142"/>
      <c r="WPO112" s="1142"/>
      <c r="WPP112" s="1142"/>
      <c r="WPQ112" s="1142"/>
      <c r="WPR112" s="1142"/>
      <c r="WPS112" s="1142"/>
      <c r="WPT112" s="1142"/>
      <c r="WPU112" s="1142"/>
      <c r="WPV112" s="1142"/>
      <c r="WPW112" s="1142"/>
      <c r="WPX112" s="1142"/>
      <c r="WPY112" s="1142"/>
      <c r="WPZ112" s="1142"/>
      <c r="WQA112" s="1142"/>
      <c r="WQB112" s="1142"/>
      <c r="WQC112" s="1142"/>
      <c r="WQD112" s="1142"/>
      <c r="WQE112" s="1142"/>
      <c r="WQF112" s="1142"/>
      <c r="WQG112" s="1142"/>
      <c r="WQH112" s="1142"/>
      <c r="WQI112" s="1142"/>
      <c r="WQJ112" s="1142"/>
      <c r="WQK112" s="1167"/>
      <c r="WQL112" s="1167"/>
      <c r="WQM112" s="1167"/>
      <c r="WQN112" s="1167"/>
      <c r="WQO112" s="1167"/>
      <c r="WQP112" s="1167"/>
      <c r="WQQ112" s="1167"/>
      <c r="WQR112" s="1167"/>
      <c r="WQS112" s="1167"/>
      <c r="WQT112" s="1142"/>
      <c r="WQU112" s="1142"/>
      <c r="WQV112" s="1142"/>
      <c r="WQW112" s="1142"/>
      <c r="WQX112" s="1142"/>
      <c r="WQY112" s="1142"/>
      <c r="WQZ112" s="1142"/>
      <c r="WRA112" s="1142"/>
      <c r="WRB112" s="1142"/>
      <c r="WRC112" s="1142"/>
      <c r="WRD112" s="1142"/>
      <c r="WRE112" s="1142"/>
      <c r="WRF112" s="1142"/>
      <c r="WRG112" s="1142"/>
      <c r="WRH112" s="1142"/>
      <c r="WRI112" s="1142"/>
      <c r="WRJ112" s="1142"/>
      <c r="WRK112" s="1142"/>
      <c r="WRL112" s="1142"/>
      <c r="WRM112" s="1142"/>
      <c r="WRN112" s="1142"/>
      <c r="WRO112" s="1142"/>
      <c r="WRP112" s="1142"/>
      <c r="WRQ112" s="1167"/>
      <c r="WRR112" s="1167"/>
      <c r="WRS112" s="1167"/>
      <c r="WRT112" s="1167"/>
      <c r="WRU112" s="1167"/>
      <c r="WRV112" s="1167"/>
      <c r="WRW112" s="1167"/>
      <c r="WRX112" s="1167"/>
      <c r="WRY112" s="1167"/>
      <c r="WRZ112" s="1142"/>
      <c r="WSA112" s="1142"/>
      <c r="WSB112" s="1142"/>
      <c r="WSC112" s="1142"/>
      <c r="WSD112" s="1142"/>
      <c r="WSE112" s="1142"/>
      <c r="WSF112" s="1142"/>
      <c r="WSG112" s="1142"/>
      <c r="WSH112" s="1142"/>
      <c r="WSI112" s="1142"/>
      <c r="WSJ112" s="1142"/>
      <c r="WSK112" s="1142"/>
      <c r="WSL112" s="1142"/>
      <c r="WSM112" s="1142"/>
      <c r="WSN112" s="1142"/>
      <c r="WSO112" s="1142"/>
      <c r="WSP112" s="1142"/>
      <c r="WSQ112" s="1142"/>
      <c r="WSR112" s="1142"/>
      <c r="WSS112" s="1142"/>
      <c r="WST112" s="1142"/>
      <c r="WSU112" s="1142"/>
      <c r="WSV112" s="1142"/>
      <c r="WSW112" s="1167"/>
      <c r="WSX112" s="1167"/>
      <c r="WSY112" s="1167"/>
      <c r="WSZ112" s="1167"/>
      <c r="WTA112" s="1167"/>
      <c r="WTB112" s="1167"/>
      <c r="WTC112" s="1167"/>
      <c r="WTD112" s="1167"/>
      <c r="WTE112" s="1167"/>
      <c r="WTF112" s="1142"/>
      <c r="WTG112" s="1142"/>
      <c r="WTH112" s="1142"/>
      <c r="WTI112" s="1142"/>
      <c r="WTJ112" s="1142"/>
      <c r="WTK112" s="1142"/>
      <c r="WTL112" s="1142"/>
      <c r="WTM112" s="1142"/>
      <c r="WTN112" s="1142"/>
      <c r="WTO112" s="1142"/>
      <c r="WTP112" s="1142"/>
      <c r="WTQ112" s="1142"/>
      <c r="WTR112" s="1142"/>
      <c r="WTS112" s="1142"/>
      <c r="WTT112" s="1142"/>
      <c r="WTU112" s="1142"/>
      <c r="WTV112" s="1142"/>
      <c r="WTW112" s="1142"/>
      <c r="WTX112" s="1142"/>
      <c r="WTY112" s="1142"/>
      <c r="WTZ112" s="1142"/>
      <c r="WUA112" s="1142"/>
      <c r="WUB112" s="1142"/>
      <c r="WUC112" s="1167"/>
      <c r="WUD112" s="1167"/>
      <c r="WUE112" s="1167"/>
      <c r="WUF112" s="1167"/>
      <c r="WUG112" s="1167"/>
      <c r="WUH112" s="1167"/>
      <c r="WUI112" s="1167"/>
      <c r="WUJ112" s="1167"/>
      <c r="WUK112" s="1167"/>
      <c r="WUL112" s="1142"/>
      <c r="WUM112" s="1142"/>
      <c r="WUN112" s="1142"/>
      <c r="WUO112" s="1142"/>
      <c r="WUP112" s="1142"/>
      <c r="WUQ112" s="1142"/>
      <c r="WUR112" s="1142"/>
      <c r="WUS112" s="1142"/>
      <c r="WUT112" s="1142"/>
      <c r="WUU112" s="1142"/>
      <c r="WUV112" s="1142"/>
      <c r="WUW112" s="1142"/>
      <c r="WUX112" s="1142"/>
      <c r="WUY112" s="1142"/>
      <c r="WUZ112" s="1142"/>
      <c r="WVA112" s="1142"/>
      <c r="WVB112" s="1142"/>
      <c r="WVC112" s="1142"/>
      <c r="WVD112" s="1142"/>
      <c r="WVE112" s="1142"/>
      <c r="WVF112" s="1142"/>
      <c r="WVG112" s="1142"/>
      <c r="WVH112" s="1142"/>
      <c r="WVI112" s="1167"/>
      <c r="WVJ112" s="1167"/>
      <c r="WVK112" s="1167"/>
      <c r="WVL112" s="1167"/>
      <c r="WVM112" s="1167"/>
      <c r="WVN112" s="1167"/>
      <c r="WVO112" s="1167"/>
      <c r="WVP112" s="1167"/>
      <c r="WVQ112" s="1167"/>
      <c r="WVR112" s="1142"/>
      <c r="WVS112" s="1142"/>
      <c r="WVT112" s="1142"/>
      <c r="WVU112" s="1142"/>
      <c r="WVV112" s="1142"/>
      <c r="WVW112" s="1142"/>
      <c r="WVX112" s="1142"/>
      <c r="WVY112" s="1142"/>
      <c r="WVZ112" s="1142"/>
      <c r="WWA112" s="1142"/>
      <c r="WWB112" s="1142"/>
      <c r="WWC112" s="1142"/>
      <c r="WWD112" s="1142"/>
      <c r="WWE112" s="1142"/>
      <c r="WWF112" s="1142"/>
      <c r="WWG112" s="1142"/>
      <c r="WWH112" s="1142"/>
      <c r="WWI112" s="1142"/>
      <c r="WWJ112" s="1142"/>
      <c r="WWK112" s="1142"/>
      <c r="WWL112" s="1142"/>
      <c r="WWM112" s="1142"/>
      <c r="WWN112" s="1142"/>
      <c r="WWO112" s="1167"/>
      <c r="WWP112" s="1167"/>
      <c r="WWQ112" s="1167"/>
      <c r="WWR112" s="1167"/>
      <c r="WWS112" s="1167"/>
      <c r="WWT112" s="1167"/>
      <c r="WWU112" s="1167"/>
      <c r="WWV112" s="1167"/>
      <c r="WWW112" s="1167"/>
      <c r="WWX112" s="1142"/>
      <c r="WWY112" s="1142"/>
      <c r="WWZ112" s="1142"/>
      <c r="WXA112" s="1142"/>
      <c r="WXB112" s="1142"/>
      <c r="WXC112" s="1142"/>
      <c r="WXD112" s="1142"/>
      <c r="WXE112" s="1142"/>
      <c r="WXF112" s="1142"/>
      <c r="WXG112" s="1142"/>
      <c r="WXH112" s="1142"/>
      <c r="WXI112" s="1142"/>
      <c r="WXJ112" s="1142"/>
      <c r="WXK112" s="1142"/>
      <c r="WXL112" s="1142"/>
      <c r="WXM112" s="1142"/>
      <c r="WXN112" s="1142"/>
      <c r="WXO112" s="1142"/>
      <c r="WXP112" s="1142"/>
      <c r="WXQ112" s="1142"/>
      <c r="WXR112" s="1142"/>
      <c r="WXS112" s="1142"/>
      <c r="WXT112" s="1142"/>
      <c r="WXU112" s="1167"/>
      <c r="WXV112" s="1167"/>
      <c r="WXW112" s="1167"/>
      <c r="WXX112" s="1167"/>
      <c r="WXY112" s="1167"/>
      <c r="WXZ112" s="1167"/>
      <c r="WYA112" s="1167"/>
      <c r="WYB112" s="1167"/>
      <c r="WYC112" s="1167"/>
      <c r="WYD112" s="1142"/>
      <c r="WYE112" s="1142"/>
      <c r="WYF112" s="1142"/>
      <c r="WYG112" s="1142"/>
      <c r="WYH112" s="1142"/>
      <c r="WYI112" s="1142"/>
      <c r="WYJ112" s="1142"/>
      <c r="WYK112" s="1142"/>
      <c r="WYL112" s="1142"/>
      <c r="WYM112" s="1142"/>
      <c r="WYN112" s="1142"/>
      <c r="WYO112" s="1142"/>
      <c r="WYP112" s="1142"/>
      <c r="WYQ112" s="1142"/>
      <c r="WYR112" s="1142"/>
      <c r="WYS112" s="1142"/>
      <c r="WYT112" s="1142"/>
      <c r="WYU112" s="1142"/>
      <c r="WYV112" s="1142"/>
      <c r="WYW112" s="1142"/>
      <c r="WYX112" s="1142"/>
      <c r="WYY112" s="1142"/>
      <c r="WYZ112" s="1142"/>
      <c r="WZA112" s="1167"/>
      <c r="WZB112" s="1167"/>
      <c r="WZC112" s="1167"/>
      <c r="WZD112" s="1167"/>
      <c r="WZE112" s="1167"/>
      <c r="WZF112" s="1167"/>
      <c r="WZG112" s="1167"/>
      <c r="WZH112" s="1167"/>
      <c r="WZI112" s="1167"/>
      <c r="WZJ112" s="1142"/>
      <c r="WZK112" s="1142"/>
      <c r="WZL112" s="1142"/>
      <c r="WZM112" s="1142"/>
      <c r="WZN112" s="1142"/>
      <c r="WZO112" s="1142"/>
      <c r="WZP112" s="1142"/>
      <c r="WZQ112" s="1142"/>
      <c r="WZR112" s="1142"/>
      <c r="WZS112" s="1142"/>
      <c r="WZT112" s="1142"/>
      <c r="WZU112" s="1142"/>
      <c r="WZV112" s="1142"/>
      <c r="WZW112" s="1142"/>
      <c r="WZX112" s="1142"/>
      <c r="WZY112" s="1142"/>
      <c r="WZZ112" s="1142"/>
      <c r="XAA112" s="1142"/>
      <c r="XAB112" s="1142"/>
      <c r="XAC112" s="1142"/>
      <c r="XAD112" s="1142"/>
      <c r="XAE112" s="1142"/>
      <c r="XAF112" s="1142"/>
      <c r="XAG112" s="1167"/>
      <c r="XAH112" s="1167"/>
      <c r="XAI112" s="1167"/>
      <c r="XAJ112" s="1167"/>
      <c r="XAK112" s="1167"/>
      <c r="XAL112" s="1167"/>
      <c r="XAM112" s="1167"/>
      <c r="XAN112" s="1167"/>
      <c r="XAO112" s="1167"/>
      <c r="XAP112" s="1142"/>
      <c r="XAQ112" s="1142"/>
      <c r="XAR112" s="1142"/>
      <c r="XAS112" s="1142"/>
      <c r="XAT112" s="1142"/>
      <c r="XAU112" s="1142"/>
      <c r="XAV112" s="1142"/>
      <c r="XAW112" s="1142"/>
      <c r="XAX112" s="1142"/>
      <c r="XAY112" s="1142"/>
      <c r="XAZ112" s="1142"/>
      <c r="XBA112" s="1142"/>
      <c r="XBB112" s="1142"/>
      <c r="XBC112" s="1142"/>
      <c r="XBD112" s="1142"/>
      <c r="XBE112" s="1142"/>
      <c r="XBF112" s="1142"/>
      <c r="XBG112" s="1142"/>
      <c r="XBH112" s="1142"/>
      <c r="XBI112" s="1142"/>
      <c r="XBJ112" s="1142"/>
      <c r="XBK112" s="1142"/>
      <c r="XBL112" s="1142"/>
      <c r="XBM112" s="1167"/>
      <c r="XBN112" s="1167"/>
      <c r="XBO112" s="1167"/>
      <c r="XBP112" s="1167"/>
      <c r="XBQ112" s="1167"/>
      <c r="XBR112" s="1167"/>
      <c r="XBS112" s="1167"/>
      <c r="XBT112" s="1167"/>
      <c r="XBU112" s="1167"/>
      <c r="XBV112" s="1142"/>
      <c r="XBW112" s="1142"/>
      <c r="XBX112" s="1142"/>
      <c r="XBY112" s="1142"/>
      <c r="XBZ112" s="1142"/>
      <c r="XCA112" s="1142"/>
      <c r="XCB112" s="1142"/>
      <c r="XCC112" s="1142"/>
      <c r="XCD112" s="1142"/>
      <c r="XCE112" s="1142"/>
      <c r="XCF112" s="1142"/>
      <c r="XCG112" s="1142"/>
      <c r="XCH112" s="1142"/>
      <c r="XCI112" s="1142"/>
      <c r="XCJ112" s="1142"/>
      <c r="XCK112" s="1142"/>
      <c r="XCL112" s="1142"/>
      <c r="XCM112" s="1142"/>
      <c r="XCN112" s="1142"/>
      <c r="XCO112" s="1142"/>
      <c r="XCP112" s="1142"/>
      <c r="XCQ112" s="1142"/>
      <c r="XCR112" s="1142"/>
      <c r="XCS112" s="1167"/>
      <c r="XCT112" s="1167"/>
      <c r="XCU112" s="1167"/>
      <c r="XCV112" s="1167"/>
      <c r="XCW112" s="1167"/>
      <c r="XCX112" s="1167"/>
      <c r="XCY112" s="1167"/>
      <c r="XCZ112" s="1167"/>
      <c r="XDA112" s="1167"/>
      <c r="XDB112" s="1142"/>
      <c r="XDC112" s="1142"/>
      <c r="XDD112" s="1142"/>
      <c r="XDE112" s="1142"/>
      <c r="XDF112" s="1142"/>
      <c r="XDG112" s="1142"/>
      <c r="XDH112" s="1142"/>
      <c r="XDI112" s="1142"/>
      <c r="XDJ112" s="1142"/>
      <c r="XDK112" s="1142"/>
      <c r="XDL112" s="1142"/>
      <c r="XDM112" s="1142"/>
      <c r="XDN112" s="1142"/>
      <c r="XDO112" s="1142"/>
      <c r="XDP112" s="1142"/>
      <c r="XDQ112" s="1142"/>
      <c r="XDR112" s="1142"/>
      <c r="XDS112" s="1142"/>
      <c r="XDT112" s="1142"/>
      <c r="XDU112" s="1142"/>
      <c r="XDV112" s="1142"/>
      <c r="XDW112" s="1142"/>
      <c r="XDX112" s="1142"/>
      <c r="XDY112" s="1167"/>
      <c r="XDZ112" s="1167"/>
      <c r="XEA112" s="1167"/>
      <c r="XEB112" s="1167"/>
      <c r="XEC112" s="1167"/>
      <c r="XED112" s="1167"/>
      <c r="XEE112" s="1167"/>
      <c r="XEF112" s="1167"/>
      <c r="XEG112" s="1167"/>
      <c r="XEH112" s="1142"/>
      <c r="XEI112" s="1142"/>
      <c r="XEJ112" s="1142"/>
      <c r="XEK112" s="1142"/>
      <c r="XEL112" s="1142"/>
      <c r="XEM112" s="1142"/>
      <c r="XEN112" s="1142"/>
      <c r="XEO112" s="1142"/>
      <c r="XEP112" s="1142"/>
      <c r="XEQ112" s="1142"/>
      <c r="XER112" s="1142"/>
      <c r="XES112" s="1142"/>
      <c r="XET112" s="1142"/>
      <c r="XEU112" s="1142"/>
      <c r="XEV112" s="1142"/>
      <c r="XEW112" s="1142"/>
      <c r="XEX112" s="1142"/>
      <c r="XEY112" s="1142"/>
      <c r="XEZ112" s="1142"/>
      <c r="XFA112" s="1142"/>
      <c r="XFB112" s="1142"/>
      <c r="XFC112" s="1142"/>
      <c r="XFD112" s="1142"/>
    </row>
    <row r="114" spans="1:32" ht="69" customHeight="1" x14ac:dyDescent="0.25">
      <c r="A114" s="1167" t="s">
        <v>2604</v>
      </c>
      <c r="B114" s="1167"/>
      <c r="C114" s="1167"/>
      <c r="D114" s="1167"/>
      <c r="E114" s="1167"/>
      <c r="F114" s="1167"/>
      <c r="G114" s="1167"/>
      <c r="H114" s="1167"/>
      <c r="I114" s="1167"/>
      <c r="J114" s="1142" t="s">
        <v>2605</v>
      </c>
      <c r="K114" s="1142"/>
      <c r="L114" s="1142"/>
      <c r="M114" s="1142"/>
      <c r="N114" s="1142"/>
      <c r="O114" s="1142"/>
      <c r="P114" s="1142"/>
      <c r="Q114" s="1142"/>
      <c r="R114" s="1142"/>
      <c r="S114" s="1142"/>
      <c r="T114" s="1142"/>
      <c r="U114" s="1142"/>
      <c r="V114" s="1142"/>
      <c r="W114" s="1142"/>
      <c r="X114" s="1142"/>
      <c r="Y114" s="1142"/>
      <c r="Z114" s="1142"/>
      <c r="AA114" s="1142"/>
      <c r="AB114" s="1142"/>
      <c r="AC114" s="1142"/>
      <c r="AD114" s="1142"/>
      <c r="AE114" s="1142"/>
      <c r="AF114" s="1142"/>
    </row>
    <row r="115" spans="1:32" x14ac:dyDescent="0.25">
      <c r="A115" s="274"/>
      <c r="B115" s="274"/>
      <c r="C115" s="274"/>
      <c r="D115" s="274"/>
      <c r="E115" s="274"/>
      <c r="F115" s="274"/>
      <c r="G115" s="274"/>
      <c r="H115" s="274"/>
      <c r="I115" s="274"/>
      <c r="J115" s="270"/>
      <c r="K115" s="270"/>
      <c r="L115" s="270"/>
      <c r="M115" s="270"/>
      <c r="N115" s="270"/>
      <c r="O115" s="270"/>
      <c r="P115" s="270"/>
      <c r="Q115" s="270"/>
      <c r="R115" s="270"/>
      <c r="S115" s="270"/>
      <c r="T115" s="270"/>
      <c r="U115" s="270"/>
      <c r="V115" s="270"/>
      <c r="W115" s="270"/>
      <c r="X115" s="270"/>
      <c r="Y115" s="270"/>
      <c r="Z115" s="270"/>
      <c r="AA115" s="270"/>
      <c r="AB115" s="270"/>
      <c r="AC115" s="270"/>
      <c r="AD115" s="270"/>
      <c r="AE115" s="270"/>
      <c r="AF115" s="270"/>
    </row>
    <row r="116" spans="1:32" ht="81.75" customHeight="1" x14ac:dyDescent="0.25">
      <c r="A116" s="1167" t="s">
        <v>2651</v>
      </c>
      <c r="B116" s="1167"/>
      <c r="C116" s="1167"/>
      <c r="D116" s="1167"/>
      <c r="E116" s="1167"/>
      <c r="F116" s="1167"/>
      <c r="G116" s="1167"/>
      <c r="H116" s="1167"/>
      <c r="I116" s="1167"/>
      <c r="J116" s="1168" t="s">
        <v>2654</v>
      </c>
      <c r="K116" s="1168"/>
      <c r="L116" s="1168"/>
      <c r="M116" s="1168"/>
      <c r="N116" s="1168"/>
      <c r="O116" s="1168"/>
      <c r="P116" s="1168"/>
      <c r="Q116" s="1168"/>
      <c r="R116" s="1168"/>
      <c r="S116" s="1168"/>
      <c r="T116" s="1168"/>
      <c r="U116" s="1168"/>
      <c r="V116" s="1168"/>
      <c r="W116" s="1168"/>
      <c r="X116" s="1168"/>
      <c r="Y116" s="1168"/>
      <c r="Z116" s="1168"/>
      <c r="AA116" s="1168"/>
      <c r="AB116" s="1168"/>
      <c r="AC116" s="1168"/>
      <c r="AD116" s="1168"/>
      <c r="AE116" s="1168"/>
      <c r="AF116" s="1168"/>
    </row>
    <row r="118" spans="1:32" ht="37.5" customHeight="1" x14ac:dyDescent="0.25">
      <c r="A118" s="1167" t="s">
        <v>2673</v>
      </c>
      <c r="B118" s="1167"/>
      <c r="C118" s="1167"/>
      <c r="D118" s="1167"/>
      <c r="E118" s="1167"/>
      <c r="F118" s="1167"/>
      <c r="G118" s="1167"/>
      <c r="H118" s="1167"/>
      <c r="I118" s="1167"/>
      <c r="J118" s="1168" t="s">
        <v>2650</v>
      </c>
      <c r="K118" s="1168"/>
      <c r="L118" s="1168"/>
      <c r="M118" s="1168"/>
      <c r="N118" s="1168"/>
      <c r="O118" s="1168"/>
      <c r="P118" s="1168"/>
      <c r="Q118" s="1168"/>
      <c r="R118" s="1168"/>
      <c r="S118" s="1168"/>
      <c r="T118" s="1168"/>
      <c r="U118" s="1168"/>
      <c r="V118" s="1168"/>
      <c r="W118" s="1168"/>
      <c r="X118" s="1168"/>
      <c r="Y118" s="1168"/>
      <c r="Z118" s="1168"/>
      <c r="AA118" s="1168"/>
      <c r="AB118" s="1168"/>
      <c r="AC118" s="1168"/>
      <c r="AD118" s="1168"/>
      <c r="AE118" s="1168"/>
      <c r="AF118" s="1168"/>
    </row>
    <row r="120" spans="1:32" ht="36" customHeight="1" x14ac:dyDescent="0.25">
      <c r="A120" s="1167" t="s">
        <v>2607</v>
      </c>
      <c r="B120" s="1167"/>
      <c r="C120" s="1167"/>
      <c r="D120" s="1167"/>
      <c r="E120" s="1167"/>
      <c r="F120" s="1167"/>
      <c r="G120" s="1167"/>
      <c r="H120" s="1167"/>
      <c r="I120" s="1167"/>
      <c r="J120" s="1142" t="s">
        <v>2606</v>
      </c>
      <c r="K120" s="1142"/>
      <c r="L120" s="1142"/>
      <c r="M120" s="1142"/>
      <c r="N120" s="1142"/>
      <c r="O120" s="1142"/>
      <c r="P120" s="1142"/>
      <c r="Q120" s="1142"/>
      <c r="R120" s="1142"/>
      <c r="S120" s="1142"/>
      <c r="T120" s="1142"/>
      <c r="U120" s="1142"/>
      <c r="V120" s="1142"/>
      <c r="W120" s="1142"/>
      <c r="X120" s="1142"/>
      <c r="Y120" s="1142"/>
      <c r="Z120" s="1142"/>
      <c r="AA120" s="1142"/>
      <c r="AB120" s="1142"/>
      <c r="AC120" s="1142"/>
      <c r="AD120" s="1142"/>
      <c r="AE120" s="1142"/>
      <c r="AF120" s="1142"/>
    </row>
    <row r="122" spans="1:32" ht="81" customHeight="1" x14ac:dyDescent="0.25">
      <c r="A122" s="1167" t="s">
        <v>2608</v>
      </c>
      <c r="B122" s="1167"/>
      <c r="C122" s="1167"/>
      <c r="D122" s="1167"/>
      <c r="E122" s="1167"/>
      <c r="F122" s="1167"/>
      <c r="G122" s="1167"/>
      <c r="H122" s="1167"/>
      <c r="I122" s="1167"/>
      <c r="J122" s="1142" t="s">
        <v>2609</v>
      </c>
      <c r="K122" s="1142"/>
      <c r="L122" s="1142"/>
      <c r="M122" s="1142"/>
      <c r="N122" s="1142"/>
      <c r="O122" s="1142"/>
      <c r="P122" s="1142"/>
      <c r="Q122" s="1142"/>
      <c r="R122" s="1142"/>
      <c r="S122" s="1142"/>
      <c r="T122" s="1142"/>
      <c r="U122" s="1142"/>
      <c r="V122" s="1142"/>
      <c r="W122" s="1142"/>
      <c r="X122" s="1142"/>
      <c r="Y122" s="1142"/>
      <c r="Z122" s="1142"/>
      <c r="AA122" s="1142"/>
      <c r="AB122" s="1142"/>
      <c r="AC122" s="1142"/>
      <c r="AD122" s="1142"/>
      <c r="AE122" s="1142"/>
      <c r="AF122" s="1142"/>
    </row>
    <row r="124" spans="1:32" ht="34.5" customHeight="1" x14ac:dyDescent="0.25">
      <c r="A124" s="1167" t="s">
        <v>2610</v>
      </c>
      <c r="B124" s="1167"/>
      <c r="C124" s="1167"/>
      <c r="D124" s="1167"/>
      <c r="E124" s="1167"/>
      <c r="F124" s="1167"/>
      <c r="G124" s="1167"/>
      <c r="H124" s="1167"/>
      <c r="I124" s="1167"/>
      <c r="J124" s="1142" t="s">
        <v>2611</v>
      </c>
      <c r="K124" s="1142"/>
      <c r="L124" s="1142"/>
      <c r="M124" s="1142"/>
      <c r="N124" s="1142"/>
      <c r="O124" s="1142"/>
      <c r="P124" s="1142"/>
      <c r="Q124" s="1142"/>
      <c r="R124" s="1142"/>
      <c r="S124" s="1142"/>
      <c r="T124" s="1142"/>
      <c r="U124" s="1142"/>
      <c r="V124" s="1142"/>
      <c r="W124" s="1142"/>
      <c r="X124" s="1142"/>
      <c r="Y124" s="1142"/>
      <c r="Z124" s="1142"/>
      <c r="AA124" s="1142"/>
      <c r="AB124" s="1142"/>
      <c r="AC124" s="1142"/>
      <c r="AD124" s="1142"/>
      <c r="AE124" s="1142"/>
      <c r="AF124" s="1142"/>
    </row>
    <row r="126" spans="1:32" ht="31.5" customHeight="1" x14ac:dyDescent="0.25">
      <c r="A126" s="1167" t="s">
        <v>2612</v>
      </c>
      <c r="B126" s="1167"/>
      <c r="C126" s="1167"/>
      <c r="D126" s="1167"/>
      <c r="E126" s="1167"/>
      <c r="F126" s="1167"/>
      <c r="G126" s="1167"/>
      <c r="H126" s="1167"/>
      <c r="I126" s="1167"/>
      <c r="J126" s="1142" t="s">
        <v>2613</v>
      </c>
      <c r="K126" s="1142"/>
      <c r="L126" s="1142"/>
      <c r="M126" s="1142"/>
      <c r="N126" s="1142"/>
      <c r="O126" s="1142"/>
      <c r="P126" s="1142"/>
      <c r="Q126" s="1142"/>
      <c r="R126" s="1142"/>
      <c r="S126" s="1142"/>
      <c r="T126" s="1142"/>
      <c r="U126" s="1142"/>
      <c r="V126" s="1142"/>
      <c r="W126" s="1142"/>
      <c r="X126" s="1142"/>
      <c r="Y126" s="1142"/>
      <c r="Z126" s="1142"/>
      <c r="AA126" s="1142"/>
      <c r="AB126" s="1142"/>
      <c r="AC126" s="1142"/>
      <c r="AD126" s="1142"/>
      <c r="AE126" s="1142"/>
      <c r="AF126" s="1142"/>
    </row>
    <row r="128" spans="1:32" ht="93.75" customHeight="1" x14ac:dyDescent="0.25">
      <c r="A128" s="1167" t="s">
        <v>2614</v>
      </c>
      <c r="B128" s="1167"/>
      <c r="C128" s="1167"/>
      <c r="D128" s="1167"/>
      <c r="E128" s="1167"/>
      <c r="F128" s="1167"/>
      <c r="G128" s="1167"/>
      <c r="H128" s="1167"/>
      <c r="I128" s="1167"/>
      <c r="J128" s="1142" t="s">
        <v>2615</v>
      </c>
      <c r="K128" s="1142"/>
      <c r="L128" s="1142"/>
      <c r="M128" s="1142"/>
      <c r="N128" s="1142"/>
      <c r="O128" s="1142"/>
      <c r="P128" s="1142"/>
      <c r="Q128" s="1142"/>
      <c r="R128" s="1142"/>
      <c r="S128" s="1142"/>
      <c r="T128" s="1142"/>
      <c r="U128" s="1142"/>
      <c r="V128" s="1142"/>
      <c r="W128" s="1142"/>
      <c r="X128" s="1142"/>
      <c r="Y128" s="1142"/>
      <c r="Z128" s="1142"/>
      <c r="AA128" s="1142"/>
      <c r="AB128" s="1142"/>
      <c r="AC128" s="1142"/>
      <c r="AD128" s="1142"/>
      <c r="AE128" s="1142"/>
      <c r="AF128" s="1142"/>
    </row>
    <row r="130" spans="1:32" ht="63" customHeight="1" x14ac:dyDescent="0.25">
      <c r="A130" s="1167" t="s">
        <v>2616</v>
      </c>
      <c r="B130" s="1167"/>
      <c r="C130" s="1167"/>
      <c r="D130" s="1167"/>
      <c r="E130" s="1167"/>
      <c r="F130" s="1167"/>
      <c r="G130" s="1167"/>
      <c r="H130" s="1167"/>
      <c r="I130" s="1167"/>
      <c r="J130" s="1142" t="s">
        <v>2617</v>
      </c>
      <c r="K130" s="1142"/>
      <c r="L130" s="1142"/>
      <c r="M130" s="1142"/>
      <c r="N130" s="1142"/>
      <c r="O130" s="1142"/>
      <c r="P130" s="1142"/>
      <c r="Q130" s="1142"/>
      <c r="R130" s="1142"/>
      <c r="S130" s="1142"/>
      <c r="T130" s="1142"/>
      <c r="U130" s="1142"/>
      <c r="V130" s="1142"/>
      <c r="W130" s="1142"/>
      <c r="X130" s="1142"/>
      <c r="Y130" s="1142"/>
      <c r="Z130" s="1142"/>
      <c r="AA130" s="1142"/>
      <c r="AB130" s="1142"/>
      <c r="AC130" s="1142"/>
      <c r="AD130" s="1142"/>
      <c r="AE130" s="1142"/>
      <c r="AF130" s="1142"/>
    </row>
    <row r="132" spans="1:32" x14ac:dyDescent="0.25">
      <c r="A132" s="1167" t="s">
        <v>2618</v>
      </c>
      <c r="B132" s="1167"/>
      <c r="C132" s="1167"/>
      <c r="D132" s="1167"/>
      <c r="E132" s="1167"/>
      <c r="F132" s="1167"/>
      <c r="G132" s="1167"/>
      <c r="H132" s="1167"/>
      <c r="I132" s="1167"/>
      <c r="J132" s="1142" t="s">
        <v>2619</v>
      </c>
      <c r="K132" s="1142"/>
      <c r="L132" s="1142"/>
      <c r="M132" s="1142"/>
      <c r="N132" s="1142"/>
      <c r="O132" s="1142"/>
      <c r="P132" s="1142"/>
      <c r="Q132" s="1142"/>
      <c r="R132" s="1142"/>
      <c r="S132" s="1142"/>
      <c r="T132" s="1142"/>
      <c r="U132" s="1142"/>
      <c r="V132" s="1142"/>
      <c r="W132" s="1142"/>
      <c r="X132" s="1142"/>
      <c r="Y132" s="1142"/>
      <c r="Z132" s="1142"/>
      <c r="AA132" s="1142"/>
      <c r="AB132" s="1142"/>
      <c r="AC132" s="1142"/>
      <c r="AD132" s="1142"/>
      <c r="AE132" s="1142"/>
      <c r="AF132" s="1142"/>
    </row>
    <row r="134" spans="1:32" ht="82.5" customHeight="1" x14ac:dyDescent="0.25">
      <c r="A134" s="1167" t="s">
        <v>879</v>
      </c>
      <c r="B134" s="1167"/>
      <c r="C134" s="1167"/>
      <c r="D134" s="1167"/>
      <c r="E134" s="1167"/>
      <c r="F134" s="1167"/>
      <c r="G134" s="1167"/>
      <c r="H134" s="1167"/>
      <c r="I134" s="1167"/>
      <c r="J134" s="1142" t="s">
        <v>2620</v>
      </c>
      <c r="K134" s="1142"/>
      <c r="L134" s="1142"/>
      <c r="M134" s="1142"/>
      <c r="N134" s="1142"/>
      <c r="O134" s="1142"/>
      <c r="P134" s="1142"/>
      <c r="Q134" s="1142"/>
      <c r="R134" s="1142"/>
      <c r="S134" s="1142"/>
      <c r="T134" s="1142"/>
      <c r="U134" s="1142"/>
      <c r="V134" s="1142"/>
      <c r="W134" s="1142"/>
      <c r="X134" s="1142"/>
      <c r="Y134" s="1142"/>
      <c r="Z134" s="1142"/>
      <c r="AA134" s="1142"/>
      <c r="AB134" s="1142"/>
      <c r="AC134" s="1142"/>
      <c r="AD134" s="1142"/>
      <c r="AE134" s="1142"/>
      <c r="AF134" s="1142"/>
    </row>
    <row r="136" spans="1:32" ht="54.75" customHeight="1" x14ac:dyDescent="0.25">
      <c r="A136" s="1167" t="s">
        <v>7236</v>
      </c>
      <c r="B136" s="1167"/>
      <c r="C136" s="1167"/>
      <c r="D136" s="1167"/>
      <c r="E136" s="1167"/>
      <c r="F136" s="1167"/>
      <c r="G136" s="1167"/>
      <c r="H136" s="1167"/>
      <c r="I136" s="1167"/>
      <c r="J136" s="1142" t="s">
        <v>7237</v>
      </c>
      <c r="K136" s="1142"/>
      <c r="L136" s="1142"/>
      <c r="M136" s="1142"/>
      <c r="N136" s="1142"/>
      <c r="O136" s="1142"/>
      <c r="P136" s="1142"/>
      <c r="Q136" s="1142"/>
      <c r="R136" s="1142"/>
      <c r="S136" s="1142"/>
      <c r="T136" s="1142"/>
      <c r="U136" s="1142"/>
      <c r="V136" s="1142"/>
      <c r="W136" s="1142"/>
      <c r="X136" s="1142"/>
      <c r="Y136" s="1142"/>
      <c r="Z136" s="1142"/>
      <c r="AA136" s="1142"/>
      <c r="AB136" s="1142"/>
      <c r="AC136" s="1142"/>
      <c r="AD136" s="1142"/>
      <c r="AE136" s="1142"/>
      <c r="AF136" s="1142"/>
    </row>
    <row r="138" spans="1:32" ht="39.75" customHeight="1" x14ac:dyDescent="0.25">
      <c r="A138" s="1167" t="s">
        <v>2621</v>
      </c>
      <c r="B138" s="1167"/>
      <c r="C138" s="1167"/>
      <c r="D138" s="1167"/>
      <c r="E138" s="1167"/>
      <c r="F138" s="1167"/>
      <c r="G138" s="1167"/>
      <c r="H138" s="1167"/>
      <c r="I138" s="1167"/>
      <c r="J138" s="1142" t="s">
        <v>2622</v>
      </c>
      <c r="K138" s="1142"/>
      <c r="L138" s="1142"/>
      <c r="M138" s="1142"/>
      <c r="N138" s="1142"/>
      <c r="O138" s="1142"/>
      <c r="P138" s="1142"/>
      <c r="Q138" s="1142"/>
      <c r="R138" s="1142"/>
      <c r="S138" s="1142"/>
      <c r="T138" s="1142"/>
      <c r="U138" s="1142"/>
      <c r="V138" s="1142"/>
      <c r="W138" s="1142"/>
      <c r="X138" s="1142"/>
      <c r="Y138" s="1142"/>
      <c r="Z138" s="1142"/>
      <c r="AA138" s="1142"/>
      <c r="AB138" s="1142"/>
      <c r="AC138" s="1142"/>
      <c r="AD138" s="1142"/>
      <c r="AE138" s="1142"/>
      <c r="AF138" s="1142"/>
    </row>
    <row r="140" spans="1:32" ht="68.25" customHeight="1" x14ac:dyDescent="0.25">
      <c r="A140" s="1167" t="s">
        <v>2623</v>
      </c>
      <c r="B140" s="1167"/>
      <c r="C140" s="1167"/>
      <c r="D140" s="1167"/>
      <c r="E140" s="1167"/>
      <c r="F140" s="1167"/>
      <c r="G140" s="1167"/>
      <c r="H140" s="1167"/>
      <c r="I140" s="1167"/>
      <c r="J140" s="1142" t="s">
        <v>2624</v>
      </c>
      <c r="K140" s="1142"/>
      <c r="L140" s="1142"/>
      <c r="M140" s="1142"/>
      <c r="N140" s="1142"/>
      <c r="O140" s="1142"/>
      <c r="P140" s="1142"/>
      <c r="Q140" s="1142"/>
      <c r="R140" s="1142"/>
      <c r="S140" s="1142"/>
      <c r="T140" s="1142"/>
      <c r="U140" s="1142"/>
      <c r="V140" s="1142"/>
      <c r="W140" s="1142"/>
      <c r="X140" s="1142"/>
      <c r="Y140" s="1142"/>
      <c r="Z140" s="1142"/>
      <c r="AA140" s="1142"/>
      <c r="AB140" s="1142"/>
      <c r="AC140" s="1142"/>
      <c r="AD140" s="1142"/>
      <c r="AE140" s="1142"/>
      <c r="AF140" s="1142"/>
    </row>
    <row r="142" spans="1:32" ht="83.25" customHeight="1" x14ac:dyDescent="0.25">
      <c r="A142" s="1167" t="s">
        <v>2625</v>
      </c>
      <c r="B142" s="1167"/>
      <c r="C142" s="1167"/>
      <c r="D142" s="1167"/>
      <c r="E142" s="1167"/>
      <c r="F142" s="1167"/>
      <c r="G142" s="1167"/>
      <c r="H142" s="1167"/>
      <c r="I142" s="1167"/>
      <c r="J142" s="1142" t="s">
        <v>2626</v>
      </c>
      <c r="K142" s="1142"/>
      <c r="L142" s="1142"/>
      <c r="M142" s="1142"/>
      <c r="N142" s="1142"/>
      <c r="O142" s="1142"/>
      <c r="P142" s="1142"/>
      <c r="Q142" s="1142"/>
      <c r="R142" s="1142"/>
      <c r="S142" s="1142"/>
      <c r="T142" s="1142"/>
      <c r="U142" s="1142"/>
      <c r="V142" s="1142"/>
      <c r="W142" s="1142"/>
      <c r="X142" s="1142"/>
      <c r="Y142" s="1142"/>
      <c r="Z142" s="1142"/>
      <c r="AA142" s="1142"/>
      <c r="AB142" s="1142"/>
      <c r="AC142" s="1142"/>
      <c r="AD142" s="1142"/>
      <c r="AE142" s="1142"/>
      <c r="AF142" s="1142"/>
    </row>
    <row r="144" spans="1:32" ht="79.5" customHeight="1" x14ac:dyDescent="0.25">
      <c r="A144" s="1167" t="s">
        <v>2627</v>
      </c>
      <c r="B144" s="1167"/>
      <c r="C144" s="1167"/>
      <c r="D144" s="1167"/>
      <c r="E144" s="1167"/>
      <c r="F144" s="1167"/>
      <c r="G144" s="1167"/>
      <c r="H144" s="1167"/>
      <c r="I144" s="1167"/>
      <c r="J144" s="1142" t="s">
        <v>2628</v>
      </c>
      <c r="K144" s="1142"/>
      <c r="L144" s="1142"/>
      <c r="M144" s="1142"/>
      <c r="N144" s="1142"/>
      <c r="O144" s="1142"/>
      <c r="P144" s="1142"/>
      <c r="Q144" s="1142"/>
      <c r="R144" s="1142"/>
      <c r="S144" s="1142"/>
      <c r="T144" s="1142"/>
      <c r="U144" s="1142"/>
      <c r="V144" s="1142"/>
      <c r="W144" s="1142"/>
      <c r="X144" s="1142"/>
      <c r="Y144" s="1142"/>
      <c r="Z144" s="1142"/>
      <c r="AA144" s="1142"/>
      <c r="AB144" s="1142"/>
      <c r="AC144" s="1142"/>
      <c r="AD144" s="1142"/>
      <c r="AE144" s="1142"/>
      <c r="AF144" s="1142"/>
    </row>
    <row r="146" spans="1:16384" s="272" customFormat="1" ht="100.5" customHeight="1" x14ac:dyDescent="0.25">
      <c r="A146" s="1167" t="s">
        <v>2629</v>
      </c>
      <c r="B146" s="1167"/>
      <c r="C146" s="1167"/>
      <c r="D146" s="1167"/>
      <c r="E146" s="1167"/>
      <c r="F146" s="1167"/>
      <c r="G146" s="1167"/>
      <c r="H146" s="1167"/>
      <c r="I146" s="1167"/>
      <c r="J146" s="1142" t="s">
        <v>2630</v>
      </c>
      <c r="K146" s="1142"/>
      <c r="L146" s="1142"/>
      <c r="M146" s="1142"/>
      <c r="N146" s="1142"/>
      <c r="O146" s="1142"/>
      <c r="P146" s="1142"/>
      <c r="Q146" s="1142"/>
      <c r="R146" s="1142"/>
      <c r="S146" s="1142"/>
      <c r="T146" s="1142"/>
      <c r="U146" s="1142"/>
      <c r="V146" s="1142"/>
      <c r="W146" s="1142"/>
      <c r="X146" s="1142"/>
      <c r="Y146" s="1142"/>
      <c r="Z146" s="1142"/>
      <c r="AA146" s="1142"/>
      <c r="AB146" s="1142"/>
      <c r="AC146" s="1142"/>
      <c r="AD146" s="1142"/>
      <c r="AE146" s="1142"/>
      <c r="AF146" s="1142"/>
    </row>
    <row r="148" spans="1:16384" s="272" customFormat="1" ht="201.75" customHeight="1" x14ac:dyDescent="0.25">
      <c r="A148" s="1167" t="s">
        <v>2631</v>
      </c>
      <c r="B148" s="1167"/>
      <c r="C148" s="1167"/>
      <c r="D148" s="1167"/>
      <c r="E148" s="1167"/>
      <c r="F148" s="1167"/>
      <c r="G148" s="1167"/>
      <c r="H148" s="1167"/>
      <c r="I148" s="1167"/>
      <c r="J148" s="1142" t="s">
        <v>2632</v>
      </c>
      <c r="K148" s="1142"/>
      <c r="L148" s="1142"/>
      <c r="M148" s="1142"/>
      <c r="N148" s="1142"/>
      <c r="O148" s="1142"/>
      <c r="P148" s="1142"/>
      <c r="Q148" s="1142"/>
      <c r="R148" s="1142"/>
      <c r="S148" s="1142"/>
      <c r="T148" s="1142"/>
      <c r="U148" s="1142"/>
      <c r="V148" s="1142"/>
      <c r="W148" s="1142"/>
      <c r="X148" s="1142"/>
      <c r="Y148" s="1142"/>
      <c r="Z148" s="1142"/>
      <c r="AA148" s="1142"/>
      <c r="AB148" s="1142"/>
      <c r="AC148" s="1142"/>
      <c r="AD148" s="1142"/>
      <c r="AE148" s="1142"/>
      <c r="AF148" s="1142"/>
    </row>
    <row r="150" spans="1:16384" s="272" customFormat="1" ht="69" customHeight="1" x14ac:dyDescent="0.25">
      <c r="A150" s="1167" t="s">
        <v>2633</v>
      </c>
      <c r="B150" s="1167"/>
      <c r="C150" s="1167"/>
      <c r="D150" s="1167"/>
      <c r="E150" s="1167"/>
      <c r="F150" s="1167"/>
      <c r="G150" s="1167"/>
      <c r="H150" s="1167"/>
      <c r="I150" s="1167"/>
      <c r="J150" s="1142" t="s">
        <v>2634</v>
      </c>
      <c r="K150" s="1142"/>
      <c r="L150" s="1142"/>
      <c r="M150" s="1142"/>
      <c r="N150" s="1142"/>
      <c r="O150" s="1142"/>
      <c r="P150" s="1142"/>
      <c r="Q150" s="1142"/>
      <c r="R150" s="1142"/>
      <c r="S150" s="1142"/>
      <c r="T150" s="1142"/>
      <c r="U150" s="1142"/>
      <c r="V150" s="1142"/>
      <c r="W150" s="1142"/>
      <c r="X150" s="1142"/>
      <c r="Y150" s="1142"/>
      <c r="Z150" s="1142"/>
      <c r="AA150" s="1142"/>
      <c r="AB150" s="1142"/>
      <c r="AC150" s="1142"/>
      <c r="AD150" s="1142"/>
      <c r="AE150" s="1142"/>
      <c r="AF150" s="1142"/>
    </row>
    <row r="151" spans="1:16384" s="272" customFormat="1" x14ac:dyDescent="0.25">
      <c r="A151" s="273"/>
    </row>
    <row r="152" spans="1:16384" s="272" customFormat="1" ht="64.5" customHeight="1" x14ac:dyDescent="0.25">
      <c r="A152" s="1167" t="s">
        <v>7238</v>
      </c>
      <c r="B152" s="1167"/>
      <c r="C152" s="1167"/>
      <c r="D152" s="1167"/>
      <c r="E152" s="1167"/>
      <c r="F152" s="1167"/>
      <c r="G152" s="1167"/>
      <c r="H152" s="1167"/>
      <c r="I152" s="1167"/>
      <c r="J152" s="1142" t="s">
        <v>7239</v>
      </c>
      <c r="K152" s="1142"/>
      <c r="L152" s="1142"/>
      <c r="M152" s="1142"/>
      <c r="N152" s="1142"/>
      <c r="O152" s="1142"/>
      <c r="P152" s="1142"/>
      <c r="Q152" s="1142"/>
      <c r="R152" s="1142"/>
      <c r="S152" s="1142"/>
      <c r="T152" s="1142"/>
      <c r="U152" s="1142"/>
      <c r="V152" s="1142"/>
      <c r="W152" s="1142"/>
      <c r="X152" s="1142"/>
      <c r="Y152" s="1142"/>
      <c r="Z152" s="1142"/>
      <c r="AA152" s="1142"/>
      <c r="AB152" s="1142"/>
      <c r="AC152" s="1142"/>
      <c r="AD152" s="1142"/>
      <c r="AE152" s="1142"/>
      <c r="AF152" s="1142"/>
    </row>
    <row r="153" spans="1:16384" s="272" customFormat="1" x14ac:dyDescent="0.25">
      <c r="A153" s="273"/>
    </row>
    <row r="154" spans="1:16384" s="272" customFormat="1" ht="159.75" customHeight="1" x14ac:dyDescent="0.25">
      <c r="A154" s="1167" t="s">
        <v>2635</v>
      </c>
      <c r="B154" s="1167"/>
      <c r="C154" s="1167"/>
      <c r="D154" s="1167"/>
      <c r="E154" s="1167"/>
      <c r="F154" s="1167"/>
      <c r="G154" s="1167"/>
      <c r="H154" s="1167"/>
      <c r="I154" s="1167"/>
      <c r="J154" s="1142" t="s">
        <v>3010</v>
      </c>
      <c r="K154" s="1142"/>
      <c r="L154" s="1142"/>
      <c r="M154" s="1142"/>
      <c r="N154" s="1142"/>
      <c r="O154" s="1142"/>
      <c r="P154" s="1142"/>
      <c r="Q154" s="1142"/>
      <c r="R154" s="1142"/>
      <c r="S154" s="1142"/>
      <c r="T154" s="1142"/>
      <c r="U154" s="1142"/>
      <c r="V154" s="1142"/>
      <c r="W154" s="1142"/>
      <c r="X154" s="1142"/>
      <c r="Y154" s="1142"/>
      <c r="Z154" s="1142"/>
      <c r="AA154" s="1142"/>
      <c r="AB154" s="1142"/>
      <c r="AC154" s="1142"/>
      <c r="AD154" s="1142"/>
      <c r="AE154" s="1142"/>
      <c r="AF154" s="1142"/>
    </row>
    <row r="156" spans="1:16384" s="272" customFormat="1" ht="53.25" customHeight="1" x14ac:dyDescent="0.25">
      <c r="A156" s="1167" t="s">
        <v>2636</v>
      </c>
      <c r="B156" s="1167"/>
      <c r="C156" s="1167"/>
      <c r="D156" s="1167"/>
      <c r="E156" s="1167"/>
      <c r="F156" s="1167"/>
      <c r="G156" s="1167"/>
      <c r="H156" s="1167"/>
      <c r="I156" s="1167"/>
      <c r="J156" s="1142" t="s">
        <v>2637</v>
      </c>
      <c r="K156" s="1142"/>
      <c r="L156" s="1142"/>
      <c r="M156" s="1142"/>
      <c r="N156" s="1142"/>
      <c r="O156" s="1142"/>
      <c r="P156" s="1142"/>
      <c r="Q156" s="1142"/>
      <c r="R156" s="1142"/>
      <c r="S156" s="1142"/>
      <c r="T156" s="1142"/>
      <c r="U156" s="1142"/>
      <c r="V156" s="1142"/>
      <c r="W156" s="1142"/>
      <c r="X156" s="1142"/>
      <c r="Y156" s="1142"/>
      <c r="Z156" s="1142"/>
      <c r="AA156" s="1142"/>
      <c r="AB156" s="1142"/>
      <c r="AC156" s="1142"/>
      <c r="AD156" s="1142"/>
      <c r="AE156" s="1142"/>
      <c r="AF156" s="1142"/>
    </row>
    <row r="158" spans="1:16384" s="272" customFormat="1" ht="85.5" customHeight="1" x14ac:dyDescent="0.25">
      <c r="A158" s="1167" t="s">
        <v>2638</v>
      </c>
      <c r="B158" s="1167"/>
      <c r="C158" s="1167"/>
      <c r="D158" s="1167"/>
      <c r="E158" s="1167"/>
      <c r="F158" s="1167"/>
      <c r="G158" s="1167"/>
      <c r="H158" s="1167"/>
      <c r="I158" s="1167"/>
      <c r="J158" s="1142" t="s">
        <v>2639</v>
      </c>
      <c r="K158" s="1142"/>
      <c r="L158" s="1142"/>
      <c r="M158" s="1142"/>
      <c r="N158" s="1142"/>
      <c r="O158" s="1142"/>
      <c r="P158" s="1142"/>
      <c r="Q158" s="1142"/>
      <c r="R158" s="1142"/>
      <c r="S158" s="1142"/>
      <c r="T158" s="1142"/>
      <c r="U158" s="1142"/>
      <c r="V158" s="1142"/>
      <c r="W158" s="1142"/>
      <c r="X158" s="1142"/>
      <c r="Y158" s="1142"/>
      <c r="Z158" s="1142"/>
      <c r="AA158" s="1142"/>
      <c r="AB158" s="1142"/>
      <c r="AC158" s="1142"/>
      <c r="AD158" s="1142"/>
      <c r="AE158" s="1142"/>
      <c r="AF158" s="1142"/>
      <c r="AG158" s="1167"/>
      <c r="AH158" s="1167"/>
      <c r="AI158" s="1167"/>
      <c r="AJ158" s="1167"/>
      <c r="AK158" s="1167"/>
      <c r="AL158" s="1167"/>
      <c r="AM158" s="1167"/>
      <c r="AN158" s="1167"/>
      <c r="AO158" s="1167"/>
      <c r="AP158" s="1142"/>
      <c r="AQ158" s="1142"/>
      <c r="AR158" s="1142"/>
      <c r="AS158" s="1142"/>
      <c r="AT158" s="1142"/>
      <c r="AU158" s="1142"/>
      <c r="AV158" s="1142"/>
      <c r="AW158" s="1142"/>
      <c r="AX158" s="1142"/>
      <c r="AY158" s="1142"/>
      <c r="AZ158" s="1142"/>
      <c r="BA158" s="1142"/>
      <c r="BB158" s="1142"/>
      <c r="BC158" s="1142"/>
      <c r="BD158" s="1142"/>
      <c r="BE158" s="1142"/>
      <c r="BF158" s="1142"/>
      <c r="BG158" s="1142"/>
      <c r="BH158" s="1142"/>
      <c r="BI158" s="1142"/>
      <c r="BJ158" s="1142"/>
      <c r="BK158" s="1142"/>
      <c r="BL158" s="1142"/>
      <c r="BM158" s="1167"/>
      <c r="BN158" s="1167"/>
      <c r="BO158" s="1167"/>
      <c r="BP158" s="1167"/>
      <c r="BQ158" s="1167"/>
      <c r="BR158" s="1167"/>
      <c r="BS158" s="1167"/>
      <c r="BT158" s="1167"/>
      <c r="BU158" s="1167"/>
      <c r="BV158" s="1142"/>
      <c r="BW158" s="1142"/>
      <c r="BX158" s="1142"/>
      <c r="BY158" s="1142"/>
      <c r="BZ158" s="1142"/>
      <c r="CA158" s="1142"/>
      <c r="CB158" s="1142"/>
      <c r="CC158" s="1142"/>
      <c r="CD158" s="1142"/>
      <c r="CE158" s="1142"/>
      <c r="CF158" s="1142"/>
      <c r="CG158" s="1142"/>
      <c r="CH158" s="1142"/>
      <c r="CI158" s="1142"/>
      <c r="CJ158" s="1142"/>
      <c r="CK158" s="1142"/>
      <c r="CL158" s="1142"/>
      <c r="CM158" s="1142"/>
      <c r="CN158" s="1142"/>
      <c r="CO158" s="1142"/>
      <c r="CP158" s="1142"/>
      <c r="CQ158" s="1142"/>
      <c r="CR158" s="1142"/>
      <c r="CS158" s="1167"/>
      <c r="CT158" s="1167"/>
      <c r="CU158" s="1167"/>
      <c r="CV158" s="1167"/>
      <c r="CW158" s="1167"/>
      <c r="CX158" s="1167"/>
      <c r="CY158" s="1167"/>
      <c r="CZ158" s="1167"/>
      <c r="DA158" s="1167"/>
      <c r="DB158" s="1142"/>
      <c r="DC158" s="1142"/>
      <c r="DD158" s="1142"/>
      <c r="DE158" s="1142"/>
      <c r="DF158" s="1142"/>
      <c r="DG158" s="1142"/>
      <c r="DH158" s="1142"/>
      <c r="DI158" s="1142"/>
      <c r="DJ158" s="1142"/>
      <c r="DK158" s="1142"/>
      <c r="DL158" s="1142"/>
      <c r="DM158" s="1142"/>
      <c r="DN158" s="1142"/>
      <c r="DO158" s="1142"/>
      <c r="DP158" s="1142"/>
      <c r="DQ158" s="1142"/>
      <c r="DR158" s="1142"/>
      <c r="DS158" s="1142"/>
      <c r="DT158" s="1142"/>
      <c r="DU158" s="1142"/>
      <c r="DV158" s="1142"/>
      <c r="DW158" s="1142"/>
      <c r="DX158" s="1142"/>
      <c r="DY158" s="1167"/>
      <c r="DZ158" s="1167"/>
      <c r="EA158" s="1167"/>
      <c r="EB158" s="1167"/>
      <c r="EC158" s="1167"/>
      <c r="ED158" s="1167"/>
      <c r="EE158" s="1167"/>
      <c r="EF158" s="1167"/>
      <c r="EG158" s="1167"/>
      <c r="EH158" s="1142"/>
      <c r="EI158" s="1142"/>
      <c r="EJ158" s="1142"/>
      <c r="EK158" s="1142"/>
      <c r="EL158" s="1142"/>
      <c r="EM158" s="1142"/>
      <c r="EN158" s="1142"/>
      <c r="EO158" s="1142"/>
      <c r="EP158" s="1142"/>
      <c r="EQ158" s="1142"/>
      <c r="ER158" s="1142"/>
      <c r="ES158" s="1142"/>
      <c r="ET158" s="1142"/>
      <c r="EU158" s="1142"/>
      <c r="EV158" s="1142"/>
      <c r="EW158" s="1142"/>
      <c r="EX158" s="1142"/>
      <c r="EY158" s="1142"/>
      <c r="EZ158" s="1142"/>
      <c r="FA158" s="1142"/>
      <c r="FB158" s="1142"/>
      <c r="FC158" s="1142"/>
      <c r="FD158" s="1142"/>
      <c r="FE158" s="1167"/>
      <c r="FF158" s="1167"/>
      <c r="FG158" s="1167"/>
      <c r="FH158" s="1167"/>
      <c r="FI158" s="1167"/>
      <c r="FJ158" s="1167"/>
      <c r="FK158" s="1167"/>
      <c r="FL158" s="1167"/>
      <c r="FM158" s="1167"/>
      <c r="FN158" s="1142"/>
      <c r="FO158" s="1142"/>
      <c r="FP158" s="1142"/>
      <c r="FQ158" s="1142"/>
      <c r="FR158" s="1142"/>
      <c r="FS158" s="1142"/>
      <c r="FT158" s="1142"/>
      <c r="FU158" s="1142"/>
      <c r="FV158" s="1142"/>
      <c r="FW158" s="1142"/>
      <c r="FX158" s="1142"/>
      <c r="FY158" s="1142"/>
      <c r="FZ158" s="1142"/>
      <c r="GA158" s="1142"/>
      <c r="GB158" s="1142"/>
      <c r="GC158" s="1142"/>
      <c r="GD158" s="1142"/>
      <c r="GE158" s="1142"/>
      <c r="GF158" s="1142"/>
      <c r="GG158" s="1142"/>
      <c r="GH158" s="1142"/>
      <c r="GI158" s="1142"/>
      <c r="GJ158" s="1142"/>
      <c r="GK158" s="1167"/>
      <c r="GL158" s="1167"/>
      <c r="GM158" s="1167"/>
      <c r="GN158" s="1167"/>
      <c r="GO158" s="1167"/>
      <c r="GP158" s="1167"/>
      <c r="GQ158" s="1167"/>
      <c r="GR158" s="1167"/>
      <c r="GS158" s="1167"/>
      <c r="GT158" s="1142"/>
      <c r="GU158" s="1142"/>
      <c r="GV158" s="1142"/>
      <c r="GW158" s="1142"/>
      <c r="GX158" s="1142"/>
      <c r="GY158" s="1142"/>
      <c r="GZ158" s="1142"/>
      <c r="HA158" s="1142"/>
      <c r="HB158" s="1142"/>
      <c r="HC158" s="1142"/>
      <c r="HD158" s="1142"/>
      <c r="HE158" s="1142"/>
      <c r="HF158" s="1142"/>
      <c r="HG158" s="1142"/>
      <c r="HH158" s="1142"/>
      <c r="HI158" s="1142"/>
      <c r="HJ158" s="1142"/>
      <c r="HK158" s="1142"/>
      <c r="HL158" s="1142"/>
      <c r="HM158" s="1142"/>
      <c r="HN158" s="1142"/>
      <c r="HO158" s="1142"/>
      <c r="HP158" s="1142"/>
      <c r="HQ158" s="1167"/>
      <c r="HR158" s="1167"/>
      <c r="HS158" s="1167"/>
      <c r="HT158" s="1167"/>
      <c r="HU158" s="1167"/>
      <c r="HV158" s="1167"/>
      <c r="HW158" s="1167"/>
      <c r="HX158" s="1167"/>
      <c r="HY158" s="1167"/>
      <c r="HZ158" s="1142"/>
      <c r="IA158" s="1142"/>
      <c r="IB158" s="1142"/>
      <c r="IC158" s="1142"/>
      <c r="ID158" s="1142"/>
      <c r="IE158" s="1142"/>
      <c r="IF158" s="1142"/>
      <c r="IG158" s="1142"/>
      <c r="IH158" s="1142"/>
      <c r="II158" s="1142"/>
      <c r="IJ158" s="1142"/>
      <c r="IK158" s="1142"/>
      <c r="IL158" s="1142"/>
      <c r="IM158" s="1142"/>
      <c r="IN158" s="1142"/>
      <c r="IO158" s="1142"/>
      <c r="IP158" s="1142"/>
      <c r="IQ158" s="1142"/>
      <c r="IR158" s="1142"/>
      <c r="IS158" s="1142"/>
      <c r="IT158" s="1142"/>
      <c r="IU158" s="1142"/>
      <c r="IV158" s="1142"/>
      <c r="IW158" s="1167"/>
      <c r="IX158" s="1167"/>
      <c r="IY158" s="1167"/>
      <c r="IZ158" s="1167"/>
      <c r="JA158" s="1167"/>
      <c r="JB158" s="1167"/>
      <c r="JC158" s="1167"/>
      <c r="JD158" s="1167"/>
      <c r="JE158" s="1167"/>
      <c r="JF158" s="1142"/>
      <c r="JG158" s="1142"/>
      <c r="JH158" s="1142"/>
      <c r="JI158" s="1142"/>
      <c r="JJ158" s="1142"/>
      <c r="JK158" s="1142"/>
      <c r="JL158" s="1142"/>
      <c r="JM158" s="1142"/>
      <c r="JN158" s="1142"/>
      <c r="JO158" s="1142"/>
      <c r="JP158" s="1142"/>
      <c r="JQ158" s="1142"/>
      <c r="JR158" s="1142"/>
      <c r="JS158" s="1142"/>
      <c r="JT158" s="1142"/>
      <c r="JU158" s="1142"/>
      <c r="JV158" s="1142"/>
      <c r="JW158" s="1142"/>
      <c r="JX158" s="1142"/>
      <c r="JY158" s="1142"/>
      <c r="JZ158" s="1142"/>
      <c r="KA158" s="1142"/>
      <c r="KB158" s="1142"/>
      <c r="KC158" s="1167"/>
      <c r="KD158" s="1167"/>
      <c r="KE158" s="1167"/>
      <c r="KF158" s="1167"/>
      <c r="KG158" s="1167"/>
      <c r="KH158" s="1167"/>
      <c r="KI158" s="1167"/>
      <c r="KJ158" s="1167"/>
      <c r="KK158" s="1167"/>
      <c r="KL158" s="1142"/>
      <c r="KM158" s="1142"/>
      <c r="KN158" s="1142"/>
      <c r="KO158" s="1142"/>
      <c r="KP158" s="1142"/>
      <c r="KQ158" s="1142"/>
      <c r="KR158" s="1142"/>
      <c r="KS158" s="1142"/>
      <c r="KT158" s="1142"/>
      <c r="KU158" s="1142"/>
      <c r="KV158" s="1142"/>
      <c r="KW158" s="1142"/>
      <c r="KX158" s="1142"/>
      <c r="KY158" s="1142"/>
      <c r="KZ158" s="1142"/>
      <c r="LA158" s="1142"/>
      <c r="LB158" s="1142"/>
      <c r="LC158" s="1142"/>
      <c r="LD158" s="1142"/>
      <c r="LE158" s="1142"/>
      <c r="LF158" s="1142"/>
      <c r="LG158" s="1142"/>
      <c r="LH158" s="1142"/>
      <c r="LI158" s="1167"/>
      <c r="LJ158" s="1167"/>
      <c r="LK158" s="1167"/>
      <c r="LL158" s="1167"/>
      <c r="LM158" s="1167"/>
      <c r="LN158" s="1167"/>
      <c r="LO158" s="1167"/>
      <c r="LP158" s="1167"/>
      <c r="LQ158" s="1167"/>
      <c r="LR158" s="1142"/>
      <c r="LS158" s="1142"/>
      <c r="LT158" s="1142"/>
      <c r="LU158" s="1142"/>
      <c r="LV158" s="1142"/>
      <c r="LW158" s="1142"/>
      <c r="LX158" s="1142"/>
      <c r="LY158" s="1142"/>
      <c r="LZ158" s="1142"/>
      <c r="MA158" s="1142"/>
      <c r="MB158" s="1142"/>
      <c r="MC158" s="1142"/>
      <c r="MD158" s="1142"/>
      <c r="ME158" s="1142"/>
      <c r="MF158" s="1142"/>
      <c r="MG158" s="1142"/>
      <c r="MH158" s="1142"/>
      <c r="MI158" s="1142"/>
      <c r="MJ158" s="1142"/>
      <c r="MK158" s="1142"/>
      <c r="ML158" s="1142"/>
      <c r="MM158" s="1142"/>
      <c r="MN158" s="1142"/>
      <c r="MO158" s="1167"/>
      <c r="MP158" s="1167"/>
      <c r="MQ158" s="1167"/>
      <c r="MR158" s="1167"/>
      <c r="MS158" s="1167"/>
      <c r="MT158" s="1167"/>
      <c r="MU158" s="1167"/>
      <c r="MV158" s="1167"/>
      <c r="MW158" s="1167"/>
      <c r="MX158" s="1142"/>
      <c r="MY158" s="1142"/>
      <c r="MZ158" s="1142"/>
      <c r="NA158" s="1142"/>
      <c r="NB158" s="1142"/>
      <c r="NC158" s="1142"/>
      <c r="ND158" s="1142"/>
      <c r="NE158" s="1142"/>
      <c r="NF158" s="1142"/>
      <c r="NG158" s="1142"/>
      <c r="NH158" s="1142"/>
      <c r="NI158" s="1142"/>
      <c r="NJ158" s="1142"/>
      <c r="NK158" s="1142"/>
      <c r="NL158" s="1142"/>
      <c r="NM158" s="1142"/>
      <c r="NN158" s="1142"/>
      <c r="NO158" s="1142"/>
      <c r="NP158" s="1142"/>
      <c r="NQ158" s="1142"/>
      <c r="NR158" s="1142"/>
      <c r="NS158" s="1142"/>
      <c r="NT158" s="1142"/>
      <c r="NU158" s="1167"/>
      <c r="NV158" s="1167"/>
      <c r="NW158" s="1167"/>
      <c r="NX158" s="1167"/>
      <c r="NY158" s="1167"/>
      <c r="NZ158" s="1167"/>
      <c r="OA158" s="1167"/>
      <c r="OB158" s="1167"/>
      <c r="OC158" s="1167"/>
      <c r="OD158" s="1142"/>
      <c r="OE158" s="1142"/>
      <c r="OF158" s="1142"/>
      <c r="OG158" s="1142"/>
      <c r="OH158" s="1142"/>
      <c r="OI158" s="1142"/>
      <c r="OJ158" s="1142"/>
      <c r="OK158" s="1142"/>
      <c r="OL158" s="1142"/>
      <c r="OM158" s="1142"/>
      <c r="ON158" s="1142"/>
      <c r="OO158" s="1142"/>
      <c r="OP158" s="1142"/>
      <c r="OQ158" s="1142"/>
      <c r="OR158" s="1142"/>
      <c r="OS158" s="1142"/>
      <c r="OT158" s="1142"/>
      <c r="OU158" s="1142"/>
      <c r="OV158" s="1142"/>
      <c r="OW158" s="1142"/>
      <c r="OX158" s="1142"/>
      <c r="OY158" s="1142"/>
      <c r="OZ158" s="1142"/>
      <c r="PA158" s="1167"/>
      <c r="PB158" s="1167"/>
      <c r="PC158" s="1167"/>
      <c r="PD158" s="1167"/>
      <c r="PE158" s="1167"/>
      <c r="PF158" s="1167"/>
      <c r="PG158" s="1167"/>
      <c r="PH158" s="1167"/>
      <c r="PI158" s="1167"/>
      <c r="PJ158" s="1142"/>
      <c r="PK158" s="1142"/>
      <c r="PL158" s="1142"/>
      <c r="PM158" s="1142"/>
      <c r="PN158" s="1142"/>
      <c r="PO158" s="1142"/>
      <c r="PP158" s="1142"/>
      <c r="PQ158" s="1142"/>
      <c r="PR158" s="1142"/>
      <c r="PS158" s="1142"/>
      <c r="PT158" s="1142"/>
      <c r="PU158" s="1142"/>
      <c r="PV158" s="1142"/>
      <c r="PW158" s="1142"/>
      <c r="PX158" s="1142"/>
      <c r="PY158" s="1142"/>
      <c r="PZ158" s="1142"/>
      <c r="QA158" s="1142"/>
      <c r="QB158" s="1142"/>
      <c r="QC158" s="1142"/>
      <c r="QD158" s="1142"/>
      <c r="QE158" s="1142"/>
      <c r="QF158" s="1142"/>
      <c r="QG158" s="1167"/>
      <c r="QH158" s="1167"/>
      <c r="QI158" s="1167"/>
      <c r="QJ158" s="1167"/>
      <c r="QK158" s="1167"/>
      <c r="QL158" s="1167"/>
      <c r="QM158" s="1167"/>
      <c r="QN158" s="1167"/>
      <c r="QO158" s="1167"/>
      <c r="QP158" s="1142"/>
      <c r="QQ158" s="1142"/>
      <c r="QR158" s="1142"/>
      <c r="QS158" s="1142"/>
      <c r="QT158" s="1142"/>
      <c r="QU158" s="1142"/>
      <c r="QV158" s="1142"/>
      <c r="QW158" s="1142"/>
      <c r="QX158" s="1142"/>
      <c r="QY158" s="1142"/>
      <c r="QZ158" s="1142"/>
      <c r="RA158" s="1142"/>
      <c r="RB158" s="1142"/>
      <c r="RC158" s="1142"/>
      <c r="RD158" s="1142"/>
      <c r="RE158" s="1142"/>
      <c r="RF158" s="1142"/>
      <c r="RG158" s="1142"/>
      <c r="RH158" s="1142"/>
      <c r="RI158" s="1142"/>
      <c r="RJ158" s="1142"/>
      <c r="RK158" s="1142"/>
      <c r="RL158" s="1142"/>
      <c r="RM158" s="1167"/>
      <c r="RN158" s="1167"/>
      <c r="RO158" s="1167"/>
      <c r="RP158" s="1167"/>
      <c r="RQ158" s="1167"/>
      <c r="RR158" s="1167"/>
      <c r="RS158" s="1167"/>
      <c r="RT158" s="1167"/>
      <c r="RU158" s="1167"/>
      <c r="RV158" s="1142"/>
      <c r="RW158" s="1142"/>
      <c r="RX158" s="1142"/>
      <c r="RY158" s="1142"/>
      <c r="RZ158" s="1142"/>
      <c r="SA158" s="1142"/>
      <c r="SB158" s="1142"/>
      <c r="SC158" s="1142"/>
      <c r="SD158" s="1142"/>
      <c r="SE158" s="1142"/>
      <c r="SF158" s="1142"/>
      <c r="SG158" s="1142"/>
      <c r="SH158" s="1142"/>
      <c r="SI158" s="1142"/>
      <c r="SJ158" s="1142"/>
      <c r="SK158" s="1142"/>
      <c r="SL158" s="1142"/>
      <c r="SM158" s="1142"/>
      <c r="SN158" s="1142"/>
      <c r="SO158" s="1142"/>
      <c r="SP158" s="1142"/>
      <c r="SQ158" s="1142"/>
      <c r="SR158" s="1142"/>
      <c r="SS158" s="1167"/>
      <c r="ST158" s="1167"/>
      <c r="SU158" s="1167"/>
      <c r="SV158" s="1167"/>
      <c r="SW158" s="1167"/>
      <c r="SX158" s="1167"/>
      <c r="SY158" s="1167"/>
      <c r="SZ158" s="1167"/>
      <c r="TA158" s="1167"/>
      <c r="TB158" s="1142"/>
      <c r="TC158" s="1142"/>
      <c r="TD158" s="1142"/>
      <c r="TE158" s="1142"/>
      <c r="TF158" s="1142"/>
      <c r="TG158" s="1142"/>
      <c r="TH158" s="1142"/>
      <c r="TI158" s="1142"/>
      <c r="TJ158" s="1142"/>
      <c r="TK158" s="1142"/>
      <c r="TL158" s="1142"/>
      <c r="TM158" s="1142"/>
      <c r="TN158" s="1142"/>
      <c r="TO158" s="1142"/>
      <c r="TP158" s="1142"/>
      <c r="TQ158" s="1142"/>
      <c r="TR158" s="1142"/>
      <c r="TS158" s="1142"/>
      <c r="TT158" s="1142"/>
      <c r="TU158" s="1142"/>
      <c r="TV158" s="1142"/>
      <c r="TW158" s="1142"/>
      <c r="TX158" s="1142"/>
      <c r="TY158" s="1167"/>
      <c r="TZ158" s="1167"/>
      <c r="UA158" s="1167"/>
      <c r="UB158" s="1167"/>
      <c r="UC158" s="1167"/>
      <c r="UD158" s="1167"/>
      <c r="UE158" s="1167"/>
      <c r="UF158" s="1167"/>
      <c r="UG158" s="1167"/>
      <c r="UH158" s="1142"/>
      <c r="UI158" s="1142"/>
      <c r="UJ158" s="1142"/>
      <c r="UK158" s="1142"/>
      <c r="UL158" s="1142"/>
      <c r="UM158" s="1142"/>
      <c r="UN158" s="1142"/>
      <c r="UO158" s="1142"/>
      <c r="UP158" s="1142"/>
      <c r="UQ158" s="1142"/>
      <c r="UR158" s="1142"/>
      <c r="US158" s="1142"/>
      <c r="UT158" s="1142"/>
      <c r="UU158" s="1142"/>
      <c r="UV158" s="1142"/>
      <c r="UW158" s="1142"/>
      <c r="UX158" s="1142"/>
      <c r="UY158" s="1142"/>
      <c r="UZ158" s="1142"/>
      <c r="VA158" s="1142"/>
      <c r="VB158" s="1142"/>
      <c r="VC158" s="1142"/>
      <c r="VD158" s="1142"/>
      <c r="VE158" s="1167"/>
      <c r="VF158" s="1167"/>
      <c r="VG158" s="1167"/>
      <c r="VH158" s="1167"/>
      <c r="VI158" s="1167"/>
      <c r="VJ158" s="1167"/>
      <c r="VK158" s="1167"/>
      <c r="VL158" s="1167"/>
      <c r="VM158" s="1167"/>
      <c r="VN158" s="1142"/>
      <c r="VO158" s="1142"/>
      <c r="VP158" s="1142"/>
      <c r="VQ158" s="1142"/>
      <c r="VR158" s="1142"/>
      <c r="VS158" s="1142"/>
      <c r="VT158" s="1142"/>
      <c r="VU158" s="1142"/>
      <c r="VV158" s="1142"/>
      <c r="VW158" s="1142"/>
      <c r="VX158" s="1142"/>
      <c r="VY158" s="1142"/>
      <c r="VZ158" s="1142"/>
      <c r="WA158" s="1142"/>
      <c r="WB158" s="1142"/>
      <c r="WC158" s="1142"/>
      <c r="WD158" s="1142"/>
      <c r="WE158" s="1142"/>
      <c r="WF158" s="1142"/>
      <c r="WG158" s="1142"/>
      <c r="WH158" s="1142"/>
      <c r="WI158" s="1142"/>
      <c r="WJ158" s="1142"/>
      <c r="WK158" s="1167"/>
      <c r="WL158" s="1167"/>
      <c r="WM158" s="1167"/>
      <c r="WN158" s="1167"/>
      <c r="WO158" s="1167"/>
      <c r="WP158" s="1167"/>
      <c r="WQ158" s="1167"/>
      <c r="WR158" s="1167"/>
      <c r="WS158" s="1167"/>
      <c r="WT158" s="1142"/>
      <c r="WU158" s="1142"/>
      <c r="WV158" s="1142"/>
      <c r="WW158" s="1142"/>
      <c r="WX158" s="1142"/>
      <c r="WY158" s="1142"/>
      <c r="WZ158" s="1142"/>
      <c r="XA158" s="1142"/>
      <c r="XB158" s="1142"/>
      <c r="XC158" s="1142"/>
      <c r="XD158" s="1142"/>
      <c r="XE158" s="1142"/>
      <c r="XF158" s="1142"/>
      <c r="XG158" s="1142"/>
      <c r="XH158" s="1142"/>
      <c r="XI158" s="1142"/>
      <c r="XJ158" s="1142"/>
      <c r="XK158" s="1142"/>
      <c r="XL158" s="1142"/>
      <c r="XM158" s="1142"/>
      <c r="XN158" s="1142"/>
      <c r="XO158" s="1142"/>
      <c r="XP158" s="1142"/>
      <c r="XQ158" s="1167"/>
      <c r="XR158" s="1167"/>
      <c r="XS158" s="1167"/>
      <c r="XT158" s="1167"/>
      <c r="XU158" s="1167"/>
      <c r="XV158" s="1167"/>
      <c r="XW158" s="1167"/>
      <c r="XX158" s="1167"/>
      <c r="XY158" s="1167"/>
      <c r="XZ158" s="1142"/>
      <c r="YA158" s="1142"/>
      <c r="YB158" s="1142"/>
      <c r="YC158" s="1142"/>
      <c r="YD158" s="1142"/>
      <c r="YE158" s="1142"/>
      <c r="YF158" s="1142"/>
      <c r="YG158" s="1142"/>
      <c r="YH158" s="1142"/>
      <c r="YI158" s="1142"/>
      <c r="YJ158" s="1142"/>
      <c r="YK158" s="1142"/>
      <c r="YL158" s="1142"/>
      <c r="YM158" s="1142"/>
      <c r="YN158" s="1142"/>
      <c r="YO158" s="1142"/>
      <c r="YP158" s="1142"/>
      <c r="YQ158" s="1142"/>
      <c r="YR158" s="1142"/>
      <c r="YS158" s="1142"/>
      <c r="YT158" s="1142"/>
      <c r="YU158" s="1142"/>
      <c r="YV158" s="1142"/>
      <c r="YW158" s="1167"/>
      <c r="YX158" s="1167"/>
      <c r="YY158" s="1167"/>
      <c r="YZ158" s="1167"/>
      <c r="ZA158" s="1167"/>
      <c r="ZB158" s="1167"/>
      <c r="ZC158" s="1167"/>
      <c r="ZD158" s="1167"/>
      <c r="ZE158" s="1167"/>
      <c r="ZF158" s="1142"/>
      <c r="ZG158" s="1142"/>
      <c r="ZH158" s="1142"/>
      <c r="ZI158" s="1142"/>
      <c r="ZJ158" s="1142"/>
      <c r="ZK158" s="1142"/>
      <c r="ZL158" s="1142"/>
      <c r="ZM158" s="1142"/>
      <c r="ZN158" s="1142"/>
      <c r="ZO158" s="1142"/>
      <c r="ZP158" s="1142"/>
      <c r="ZQ158" s="1142"/>
      <c r="ZR158" s="1142"/>
      <c r="ZS158" s="1142"/>
      <c r="ZT158" s="1142"/>
      <c r="ZU158" s="1142"/>
      <c r="ZV158" s="1142"/>
      <c r="ZW158" s="1142"/>
      <c r="ZX158" s="1142"/>
      <c r="ZY158" s="1142"/>
      <c r="ZZ158" s="1142"/>
      <c r="AAA158" s="1142"/>
      <c r="AAB158" s="1142"/>
      <c r="AAC158" s="1167"/>
      <c r="AAD158" s="1167"/>
      <c r="AAE158" s="1167"/>
      <c r="AAF158" s="1167"/>
      <c r="AAG158" s="1167"/>
      <c r="AAH158" s="1167"/>
      <c r="AAI158" s="1167"/>
      <c r="AAJ158" s="1167"/>
      <c r="AAK158" s="1167"/>
      <c r="AAL158" s="1142"/>
      <c r="AAM158" s="1142"/>
      <c r="AAN158" s="1142"/>
      <c r="AAO158" s="1142"/>
      <c r="AAP158" s="1142"/>
      <c r="AAQ158" s="1142"/>
      <c r="AAR158" s="1142"/>
      <c r="AAS158" s="1142"/>
      <c r="AAT158" s="1142"/>
      <c r="AAU158" s="1142"/>
      <c r="AAV158" s="1142"/>
      <c r="AAW158" s="1142"/>
      <c r="AAX158" s="1142"/>
      <c r="AAY158" s="1142"/>
      <c r="AAZ158" s="1142"/>
      <c r="ABA158" s="1142"/>
      <c r="ABB158" s="1142"/>
      <c r="ABC158" s="1142"/>
      <c r="ABD158" s="1142"/>
      <c r="ABE158" s="1142"/>
      <c r="ABF158" s="1142"/>
      <c r="ABG158" s="1142"/>
      <c r="ABH158" s="1142"/>
      <c r="ABI158" s="1167"/>
      <c r="ABJ158" s="1167"/>
      <c r="ABK158" s="1167"/>
      <c r="ABL158" s="1167"/>
      <c r="ABM158" s="1167"/>
      <c r="ABN158" s="1167"/>
      <c r="ABO158" s="1167"/>
      <c r="ABP158" s="1167"/>
      <c r="ABQ158" s="1167"/>
      <c r="ABR158" s="1142"/>
      <c r="ABS158" s="1142"/>
      <c r="ABT158" s="1142"/>
      <c r="ABU158" s="1142"/>
      <c r="ABV158" s="1142"/>
      <c r="ABW158" s="1142"/>
      <c r="ABX158" s="1142"/>
      <c r="ABY158" s="1142"/>
      <c r="ABZ158" s="1142"/>
      <c r="ACA158" s="1142"/>
      <c r="ACB158" s="1142"/>
      <c r="ACC158" s="1142"/>
      <c r="ACD158" s="1142"/>
      <c r="ACE158" s="1142"/>
      <c r="ACF158" s="1142"/>
      <c r="ACG158" s="1142"/>
      <c r="ACH158" s="1142"/>
      <c r="ACI158" s="1142"/>
      <c r="ACJ158" s="1142"/>
      <c r="ACK158" s="1142"/>
      <c r="ACL158" s="1142"/>
      <c r="ACM158" s="1142"/>
      <c r="ACN158" s="1142"/>
      <c r="ACO158" s="1167"/>
      <c r="ACP158" s="1167"/>
      <c r="ACQ158" s="1167"/>
      <c r="ACR158" s="1167"/>
      <c r="ACS158" s="1167"/>
      <c r="ACT158" s="1167"/>
      <c r="ACU158" s="1167"/>
      <c r="ACV158" s="1167"/>
      <c r="ACW158" s="1167"/>
      <c r="ACX158" s="1142"/>
      <c r="ACY158" s="1142"/>
      <c r="ACZ158" s="1142"/>
      <c r="ADA158" s="1142"/>
      <c r="ADB158" s="1142"/>
      <c r="ADC158" s="1142"/>
      <c r="ADD158" s="1142"/>
      <c r="ADE158" s="1142"/>
      <c r="ADF158" s="1142"/>
      <c r="ADG158" s="1142"/>
      <c r="ADH158" s="1142"/>
      <c r="ADI158" s="1142"/>
      <c r="ADJ158" s="1142"/>
      <c r="ADK158" s="1142"/>
      <c r="ADL158" s="1142"/>
      <c r="ADM158" s="1142"/>
      <c r="ADN158" s="1142"/>
      <c r="ADO158" s="1142"/>
      <c r="ADP158" s="1142"/>
      <c r="ADQ158" s="1142"/>
      <c r="ADR158" s="1142"/>
      <c r="ADS158" s="1142"/>
      <c r="ADT158" s="1142"/>
      <c r="ADU158" s="1167"/>
      <c r="ADV158" s="1167"/>
      <c r="ADW158" s="1167"/>
      <c r="ADX158" s="1167"/>
      <c r="ADY158" s="1167"/>
      <c r="ADZ158" s="1167"/>
      <c r="AEA158" s="1167"/>
      <c r="AEB158" s="1167"/>
      <c r="AEC158" s="1167"/>
      <c r="AED158" s="1142"/>
      <c r="AEE158" s="1142"/>
      <c r="AEF158" s="1142"/>
      <c r="AEG158" s="1142"/>
      <c r="AEH158" s="1142"/>
      <c r="AEI158" s="1142"/>
      <c r="AEJ158" s="1142"/>
      <c r="AEK158" s="1142"/>
      <c r="AEL158" s="1142"/>
      <c r="AEM158" s="1142"/>
      <c r="AEN158" s="1142"/>
      <c r="AEO158" s="1142"/>
      <c r="AEP158" s="1142"/>
      <c r="AEQ158" s="1142"/>
      <c r="AER158" s="1142"/>
      <c r="AES158" s="1142"/>
      <c r="AET158" s="1142"/>
      <c r="AEU158" s="1142"/>
      <c r="AEV158" s="1142"/>
      <c r="AEW158" s="1142"/>
      <c r="AEX158" s="1142"/>
      <c r="AEY158" s="1142"/>
      <c r="AEZ158" s="1142"/>
      <c r="AFA158" s="1167"/>
      <c r="AFB158" s="1167"/>
      <c r="AFC158" s="1167"/>
      <c r="AFD158" s="1167"/>
      <c r="AFE158" s="1167"/>
      <c r="AFF158" s="1167"/>
      <c r="AFG158" s="1167"/>
      <c r="AFH158" s="1167"/>
      <c r="AFI158" s="1167"/>
      <c r="AFJ158" s="1142"/>
      <c r="AFK158" s="1142"/>
      <c r="AFL158" s="1142"/>
      <c r="AFM158" s="1142"/>
      <c r="AFN158" s="1142"/>
      <c r="AFO158" s="1142"/>
      <c r="AFP158" s="1142"/>
      <c r="AFQ158" s="1142"/>
      <c r="AFR158" s="1142"/>
      <c r="AFS158" s="1142"/>
      <c r="AFT158" s="1142"/>
      <c r="AFU158" s="1142"/>
      <c r="AFV158" s="1142"/>
      <c r="AFW158" s="1142"/>
      <c r="AFX158" s="1142"/>
      <c r="AFY158" s="1142"/>
      <c r="AFZ158" s="1142"/>
      <c r="AGA158" s="1142"/>
      <c r="AGB158" s="1142"/>
      <c r="AGC158" s="1142"/>
      <c r="AGD158" s="1142"/>
      <c r="AGE158" s="1142"/>
      <c r="AGF158" s="1142"/>
      <c r="AGG158" s="1167"/>
      <c r="AGH158" s="1167"/>
      <c r="AGI158" s="1167"/>
      <c r="AGJ158" s="1167"/>
      <c r="AGK158" s="1167"/>
      <c r="AGL158" s="1167"/>
      <c r="AGM158" s="1167"/>
      <c r="AGN158" s="1167"/>
      <c r="AGO158" s="1167"/>
      <c r="AGP158" s="1142"/>
      <c r="AGQ158" s="1142"/>
      <c r="AGR158" s="1142"/>
      <c r="AGS158" s="1142"/>
      <c r="AGT158" s="1142"/>
      <c r="AGU158" s="1142"/>
      <c r="AGV158" s="1142"/>
      <c r="AGW158" s="1142"/>
      <c r="AGX158" s="1142"/>
      <c r="AGY158" s="1142"/>
      <c r="AGZ158" s="1142"/>
      <c r="AHA158" s="1142"/>
      <c r="AHB158" s="1142"/>
      <c r="AHC158" s="1142"/>
      <c r="AHD158" s="1142"/>
      <c r="AHE158" s="1142"/>
      <c r="AHF158" s="1142"/>
      <c r="AHG158" s="1142"/>
      <c r="AHH158" s="1142"/>
      <c r="AHI158" s="1142"/>
      <c r="AHJ158" s="1142"/>
      <c r="AHK158" s="1142"/>
      <c r="AHL158" s="1142"/>
      <c r="AHM158" s="1167"/>
      <c r="AHN158" s="1167"/>
      <c r="AHO158" s="1167"/>
      <c r="AHP158" s="1167"/>
      <c r="AHQ158" s="1167"/>
      <c r="AHR158" s="1167"/>
      <c r="AHS158" s="1167"/>
      <c r="AHT158" s="1167"/>
      <c r="AHU158" s="1167"/>
      <c r="AHV158" s="1142"/>
      <c r="AHW158" s="1142"/>
      <c r="AHX158" s="1142"/>
      <c r="AHY158" s="1142"/>
      <c r="AHZ158" s="1142"/>
      <c r="AIA158" s="1142"/>
      <c r="AIB158" s="1142"/>
      <c r="AIC158" s="1142"/>
      <c r="AID158" s="1142"/>
      <c r="AIE158" s="1142"/>
      <c r="AIF158" s="1142"/>
      <c r="AIG158" s="1142"/>
      <c r="AIH158" s="1142"/>
      <c r="AII158" s="1142"/>
      <c r="AIJ158" s="1142"/>
      <c r="AIK158" s="1142"/>
      <c r="AIL158" s="1142"/>
      <c r="AIM158" s="1142"/>
      <c r="AIN158" s="1142"/>
      <c r="AIO158" s="1142"/>
      <c r="AIP158" s="1142"/>
      <c r="AIQ158" s="1142"/>
      <c r="AIR158" s="1142"/>
      <c r="AIS158" s="1167"/>
      <c r="AIT158" s="1167"/>
      <c r="AIU158" s="1167"/>
      <c r="AIV158" s="1167"/>
      <c r="AIW158" s="1167"/>
      <c r="AIX158" s="1167"/>
      <c r="AIY158" s="1167"/>
      <c r="AIZ158" s="1167"/>
      <c r="AJA158" s="1167"/>
      <c r="AJB158" s="1142"/>
      <c r="AJC158" s="1142"/>
      <c r="AJD158" s="1142"/>
      <c r="AJE158" s="1142"/>
      <c r="AJF158" s="1142"/>
      <c r="AJG158" s="1142"/>
      <c r="AJH158" s="1142"/>
      <c r="AJI158" s="1142"/>
      <c r="AJJ158" s="1142"/>
      <c r="AJK158" s="1142"/>
      <c r="AJL158" s="1142"/>
      <c r="AJM158" s="1142"/>
      <c r="AJN158" s="1142"/>
      <c r="AJO158" s="1142"/>
      <c r="AJP158" s="1142"/>
      <c r="AJQ158" s="1142"/>
      <c r="AJR158" s="1142"/>
      <c r="AJS158" s="1142"/>
      <c r="AJT158" s="1142"/>
      <c r="AJU158" s="1142"/>
      <c r="AJV158" s="1142"/>
      <c r="AJW158" s="1142"/>
      <c r="AJX158" s="1142"/>
      <c r="AJY158" s="1167"/>
      <c r="AJZ158" s="1167"/>
      <c r="AKA158" s="1167"/>
      <c r="AKB158" s="1167"/>
      <c r="AKC158" s="1167"/>
      <c r="AKD158" s="1167"/>
      <c r="AKE158" s="1167"/>
      <c r="AKF158" s="1167"/>
      <c r="AKG158" s="1167"/>
      <c r="AKH158" s="1142"/>
      <c r="AKI158" s="1142"/>
      <c r="AKJ158" s="1142"/>
      <c r="AKK158" s="1142"/>
      <c r="AKL158" s="1142"/>
      <c r="AKM158" s="1142"/>
      <c r="AKN158" s="1142"/>
      <c r="AKO158" s="1142"/>
      <c r="AKP158" s="1142"/>
      <c r="AKQ158" s="1142"/>
      <c r="AKR158" s="1142"/>
      <c r="AKS158" s="1142"/>
      <c r="AKT158" s="1142"/>
      <c r="AKU158" s="1142"/>
      <c r="AKV158" s="1142"/>
      <c r="AKW158" s="1142"/>
      <c r="AKX158" s="1142"/>
      <c r="AKY158" s="1142"/>
      <c r="AKZ158" s="1142"/>
      <c r="ALA158" s="1142"/>
      <c r="ALB158" s="1142"/>
      <c r="ALC158" s="1142"/>
      <c r="ALD158" s="1142"/>
      <c r="ALE158" s="1167"/>
      <c r="ALF158" s="1167"/>
      <c r="ALG158" s="1167"/>
      <c r="ALH158" s="1167"/>
      <c r="ALI158" s="1167"/>
      <c r="ALJ158" s="1167"/>
      <c r="ALK158" s="1167"/>
      <c r="ALL158" s="1167"/>
      <c r="ALM158" s="1167"/>
      <c r="ALN158" s="1142"/>
      <c r="ALO158" s="1142"/>
      <c r="ALP158" s="1142"/>
      <c r="ALQ158" s="1142"/>
      <c r="ALR158" s="1142"/>
      <c r="ALS158" s="1142"/>
      <c r="ALT158" s="1142"/>
      <c r="ALU158" s="1142"/>
      <c r="ALV158" s="1142"/>
      <c r="ALW158" s="1142"/>
      <c r="ALX158" s="1142"/>
      <c r="ALY158" s="1142"/>
      <c r="ALZ158" s="1142"/>
      <c r="AMA158" s="1142"/>
      <c r="AMB158" s="1142"/>
      <c r="AMC158" s="1142"/>
      <c r="AMD158" s="1142"/>
      <c r="AME158" s="1142"/>
      <c r="AMF158" s="1142"/>
      <c r="AMG158" s="1142"/>
      <c r="AMH158" s="1142"/>
      <c r="AMI158" s="1142"/>
      <c r="AMJ158" s="1142"/>
      <c r="AMK158" s="1167"/>
      <c r="AML158" s="1167"/>
      <c r="AMM158" s="1167"/>
      <c r="AMN158" s="1167"/>
      <c r="AMO158" s="1167"/>
      <c r="AMP158" s="1167"/>
      <c r="AMQ158" s="1167"/>
      <c r="AMR158" s="1167"/>
      <c r="AMS158" s="1167"/>
      <c r="AMT158" s="1142"/>
      <c r="AMU158" s="1142"/>
      <c r="AMV158" s="1142"/>
      <c r="AMW158" s="1142"/>
      <c r="AMX158" s="1142"/>
      <c r="AMY158" s="1142"/>
      <c r="AMZ158" s="1142"/>
      <c r="ANA158" s="1142"/>
      <c r="ANB158" s="1142"/>
      <c r="ANC158" s="1142"/>
      <c r="AND158" s="1142"/>
      <c r="ANE158" s="1142"/>
      <c r="ANF158" s="1142"/>
      <c r="ANG158" s="1142"/>
      <c r="ANH158" s="1142"/>
      <c r="ANI158" s="1142"/>
      <c r="ANJ158" s="1142"/>
      <c r="ANK158" s="1142"/>
      <c r="ANL158" s="1142"/>
      <c r="ANM158" s="1142"/>
      <c r="ANN158" s="1142"/>
      <c r="ANO158" s="1142"/>
      <c r="ANP158" s="1142"/>
      <c r="ANQ158" s="1167"/>
      <c r="ANR158" s="1167"/>
      <c r="ANS158" s="1167"/>
      <c r="ANT158" s="1167"/>
      <c r="ANU158" s="1167"/>
      <c r="ANV158" s="1167"/>
      <c r="ANW158" s="1167"/>
      <c r="ANX158" s="1167"/>
      <c r="ANY158" s="1167"/>
      <c r="ANZ158" s="1142"/>
      <c r="AOA158" s="1142"/>
      <c r="AOB158" s="1142"/>
      <c r="AOC158" s="1142"/>
      <c r="AOD158" s="1142"/>
      <c r="AOE158" s="1142"/>
      <c r="AOF158" s="1142"/>
      <c r="AOG158" s="1142"/>
      <c r="AOH158" s="1142"/>
      <c r="AOI158" s="1142"/>
      <c r="AOJ158" s="1142"/>
      <c r="AOK158" s="1142"/>
      <c r="AOL158" s="1142"/>
      <c r="AOM158" s="1142"/>
      <c r="AON158" s="1142"/>
      <c r="AOO158" s="1142"/>
      <c r="AOP158" s="1142"/>
      <c r="AOQ158" s="1142"/>
      <c r="AOR158" s="1142"/>
      <c r="AOS158" s="1142"/>
      <c r="AOT158" s="1142"/>
      <c r="AOU158" s="1142"/>
      <c r="AOV158" s="1142"/>
      <c r="AOW158" s="1167"/>
      <c r="AOX158" s="1167"/>
      <c r="AOY158" s="1167"/>
      <c r="AOZ158" s="1167"/>
      <c r="APA158" s="1167"/>
      <c r="APB158" s="1167"/>
      <c r="APC158" s="1167"/>
      <c r="APD158" s="1167"/>
      <c r="APE158" s="1167"/>
      <c r="APF158" s="1142"/>
      <c r="APG158" s="1142"/>
      <c r="APH158" s="1142"/>
      <c r="API158" s="1142"/>
      <c r="APJ158" s="1142"/>
      <c r="APK158" s="1142"/>
      <c r="APL158" s="1142"/>
      <c r="APM158" s="1142"/>
      <c r="APN158" s="1142"/>
      <c r="APO158" s="1142"/>
      <c r="APP158" s="1142"/>
      <c r="APQ158" s="1142"/>
      <c r="APR158" s="1142"/>
      <c r="APS158" s="1142"/>
      <c r="APT158" s="1142"/>
      <c r="APU158" s="1142"/>
      <c r="APV158" s="1142"/>
      <c r="APW158" s="1142"/>
      <c r="APX158" s="1142"/>
      <c r="APY158" s="1142"/>
      <c r="APZ158" s="1142"/>
      <c r="AQA158" s="1142"/>
      <c r="AQB158" s="1142"/>
      <c r="AQC158" s="1167"/>
      <c r="AQD158" s="1167"/>
      <c r="AQE158" s="1167"/>
      <c r="AQF158" s="1167"/>
      <c r="AQG158" s="1167"/>
      <c r="AQH158" s="1167"/>
      <c r="AQI158" s="1167"/>
      <c r="AQJ158" s="1167"/>
      <c r="AQK158" s="1167"/>
      <c r="AQL158" s="1142"/>
      <c r="AQM158" s="1142"/>
      <c r="AQN158" s="1142"/>
      <c r="AQO158" s="1142"/>
      <c r="AQP158" s="1142"/>
      <c r="AQQ158" s="1142"/>
      <c r="AQR158" s="1142"/>
      <c r="AQS158" s="1142"/>
      <c r="AQT158" s="1142"/>
      <c r="AQU158" s="1142"/>
      <c r="AQV158" s="1142"/>
      <c r="AQW158" s="1142"/>
      <c r="AQX158" s="1142"/>
      <c r="AQY158" s="1142"/>
      <c r="AQZ158" s="1142"/>
      <c r="ARA158" s="1142"/>
      <c r="ARB158" s="1142"/>
      <c r="ARC158" s="1142"/>
      <c r="ARD158" s="1142"/>
      <c r="ARE158" s="1142"/>
      <c r="ARF158" s="1142"/>
      <c r="ARG158" s="1142"/>
      <c r="ARH158" s="1142"/>
      <c r="ARI158" s="1167"/>
      <c r="ARJ158" s="1167"/>
      <c r="ARK158" s="1167"/>
      <c r="ARL158" s="1167"/>
      <c r="ARM158" s="1167"/>
      <c r="ARN158" s="1167"/>
      <c r="ARO158" s="1167"/>
      <c r="ARP158" s="1167"/>
      <c r="ARQ158" s="1167"/>
      <c r="ARR158" s="1142"/>
      <c r="ARS158" s="1142"/>
      <c r="ART158" s="1142"/>
      <c r="ARU158" s="1142"/>
      <c r="ARV158" s="1142"/>
      <c r="ARW158" s="1142"/>
      <c r="ARX158" s="1142"/>
      <c r="ARY158" s="1142"/>
      <c r="ARZ158" s="1142"/>
      <c r="ASA158" s="1142"/>
      <c r="ASB158" s="1142"/>
      <c r="ASC158" s="1142"/>
      <c r="ASD158" s="1142"/>
      <c r="ASE158" s="1142"/>
      <c r="ASF158" s="1142"/>
      <c r="ASG158" s="1142"/>
      <c r="ASH158" s="1142"/>
      <c r="ASI158" s="1142"/>
      <c r="ASJ158" s="1142"/>
      <c r="ASK158" s="1142"/>
      <c r="ASL158" s="1142"/>
      <c r="ASM158" s="1142"/>
      <c r="ASN158" s="1142"/>
      <c r="ASO158" s="1167"/>
      <c r="ASP158" s="1167"/>
      <c r="ASQ158" s="1167"/>
      <c r="ASR158" s="1167"/>
      <c r="ASS158" s="1167"/>
      <c r="AST158" s="1167"/>
      <c r="ASU158" s="1167"/>
      <c r="ASV158" s="1167"/>
      <c r="ASW158" s="1167"/>
      <c r="ASX158" s="1142"/>
      <c r="ASY158" s="1142"/>
      <c r="ASZ158" s="1142"/>
      <c r="ATA158" s="1142"/>
      <c r="ATB158" s="1142"/>
      <c r="ATC158" s="1142"/>
      <c r="ATD158" s="1142"/>
      <c r="ATE158" s="1142"/>
      <c r="ATF158" s="1142"/>
      <c r="ATG158" s="1142"/>
      <c r="ATH158" s="1142"/>
      <c r="ATI158" s="1142"/>
      <c r="ATJ158" s="1142"/>
      <c r="ATK158" s="1142"/>
      <c r="ATL158" s="1142"/>
      <c r="ATM158" s="1142"/>
      <c r="ATN158" s="1142"/>
      <c r="ATO158" s="1142"/>
      <c r="ATP158" s="1142"/>
      <c r="ATQ158" s="1142"/>
      <c r="ATR158" s="1142"/>
      <c r="ATS158" s="1142"/>
      <c r="ATT158" s="1142"/>
      <c r="ATU158" s="1167"/>
      <c r="ATV158" s="1167"/>
      <c r="ATW158" s="1167"/>
      <c r="ATX158" s="1167"/>
      <c r="ATY158" s="1167"/>
      <c r="ATZ158" s="1167"/>
      <c r="AUA158" s="1167"/>
      <c r="AUB158" s="1167"/>
      <c r="AUC158" s="1167"/>
      <c r="AUD158" s="1142"/>
      <c r="AUE158" s="1142"/>
      <c r="AUF158" s="1142"/>
      <c r="AUG158" s="1142"/>
      <c r="AUH158" s="1142"/>
      <c r="AUI158" s="1142"/>
      <c r="AUJ158" s="1142"/>
      <c r="AUK158" s="1142"/>
      <c r="AUL158" s="1142"/>
      <c r="AUM158" s="1142"/>
      <c r="AUN158" s="1142"/>
      <c r="AUO158" s="1142"/>
      <c r="AUP158" s="1142"/>
      <c r="AUQ158" s="1142"/>
      <c r="AUR158" s="1142"/>
      <c r="AUS158" s="1142"/>
      <c r="AUT158" s="1142"/>
      <c r="AUU158" s="1142"/>
      <c r="AUV158" s="1142"/>
      <c r="AUW158" s="1142"/>
      <c r="AUX158" s="1142"/>
      <c r="AUY158" s="1142"/>
      <c r="AUZ158" s="1142"/>
      <c r="AVA158" s="1167"/>
      <c r="AVB158" s="1167"/>
      <c r="AVC158" s="1167"/>
      <c r="AVD158" s="1167"/>
      <c r="AVE158" s="1167"/>
      <c r="AVF158" s="1167"/>
      <c r="AVG158" s="1167"/>
      <c r="AVH158" s="1167"/>
      <c r="AVI158" s="1167"/>
      <c r="AVJ158" s="1142"/>
      <c r="AVK158" s="1142"/>
      <c r="AVL158" s="1142"/>
      <c r="AVM158" s="1142"/>
      <c r="AVN158" s="1142"/>
      <c r="AVO158" s="1142"/>
      <c r="AVP158" s="1142"/>
      <c r="AVQ158" s="1142"/>
      <c r="AVR158" s="1142"/>
      <c r="AVS158" s="1142"/>
      <c r="AVT158" s="1142"/>
      <c r="AVU158" s="1142"/>
      <c r="AVV158" s="1142"/>
      <c r="AVW158" s="1142"/>
      <c r="AVX158" s="1142"/>
      <c r="AVY158" s="1142"/>
      <c r="AVZ158" s="1142"/>
      <c r="AWA158" s="1142"/>
      <c r="AWB158" s="1142"/>
      <c r="AWC158" s="1142"/>
      <c r="AWD158" s="1142"/>
      <c r="AWE158" s="1142"/>
      <c r="AWF158" s="1142"/>
      <c r="AWG158" s="1167"/>
      <c r="AWH158" s="1167"/>
      <c r="AWI158" s="1167"/>
      <c r="AWJ158" s="1167"/>
      <c r="AWK158" s="1167"/>
      <c r="AWL158" s="1167"/>
      <c r="AWM158" s="1167"/>
      <c r="AWN158" s="1167"/>
      <c r="AWO158" s="1167"/>
      <c r="AWP158" s="1142"/>
      <c r="AWQ158" s="1142"/>
      <c r="AWR158" s="1142"/>
      <c r="AWS158" s="1142"/>
      <c r="AWT158" s="1142"/>
      <c r="AWU158" s="1142"/>
      <c r="AWV158" s="1142"/>
      <c r="AWW158" s="1142"/>
      <c r="AWX158" s="1142"/>
      <c r="AWY158" s="1142"/>
      <c r="AWZ158" s="1142"/>
      <c r="AXA158" s="1142"/>
      <c r="AXB158" s="1142"/>
      <c r="AXC158" s="1142"/>
      <c r="AXD158" s="1142"/>
      <c r="AXE158" s="1142"/>
      <c r="AXF158" s="1142"/>
      <c r="AXG158" s="1142"/>
      <c r="AXH158" s="1142"/>
      <c r="AXI158" s="1142"/>
      <c r="AXJ158" s="1142"/>
      <c r="AXK158" s="1142"/>
      <c r="AXL158" s="1142"/>
      <c r="AXM158" s="1167"/>
      <c r="AXN158" s="1167"/>
      <c r="AXO158" s="1167"/>
      <c r="AXP158" s="1167"/>
      <c r="AXQ158" s="1167"/>
      <c r="AXR158" s="1167"/>
      <c r="AXS158" s="1167"/>
      <c r="AXT158" s="1167"/>
      <c r="AXU158" s="1167"/>
      <c r="AXV158" s="1142"/>
      <c r="AXW158" s="1142"/>
      <c r="AXX158" s="1142"/>
      <c r="AXY158" s="1142"/>
      <c r="AXZ158" s="1142"/>
      <c r="AYA158" s="1142"/>
      <c r="AYB158" s="1142"/>
      <c r="AYC158" s="1142"/>
      <c r="AYD158" s="1142"/>
      <c r="AYE158" s="1142"/>
      <c r="AYF158" s="1142"/>
      <c r="AYG158" s="1142"/>
      <c r="AYH158" s="1142"/>
      <c r="AYI158" s="1142"/>
      <c r="AYJ158" s="1142"/>
      <c r="AYK158" s="1142"/>
      <c r="AYL158" s="1142"/>
      <c r="AYM158" s="1142"/>
      <c r="AYN158" s="1142"/>
      <c r="AYO158" s="1142"/>
      <c r="AYP158" s="1142"/>
      <c r="AYQ158" s="1142"/>
      <c r="AYR158" s="1142"/>
      <c r="AYS158" s="1167"/>
      <c r="AYT158" s="1167"/>
      <c r="AYU158" s="1167"/>
      <c r="AYV158" s="1167"/>
      <c r="AYW158" s="1167"/>
      <c r="AYX158" s="1167"/>
      <c r="AYY158" s="1167"/>
      <c r="AYZ158" s="1167"/>
      <c r="AZA158" s="1167"/>
      <c r="AZB158" s="1142"/>
      <c r="AZC158" s="1142"/>
      <c r="AZD158" s="1142"/>
      <c r="AZE158" s="1142"/>
      <c r="AZF158" s="1142"/>
      <c r="AZG158" s="1142"/>
      <c r="AZH158" s="1142"/>
      <c r="AZI158" s="1142"/>
      <c r="AZJ158" s="1142"/>
      <c r="AZK158" s="1142"/>
      <c r="AZL158" s="1142"/>
      <c r="AZM158" s="1142"/>
      <c r="AZN158" s="1142"/>
      <c r="AZO158" s="1142"/>
      <c r="AZP158" s="1142"/>
      <c r="AZQ158" s="1142"/>
      <c r="AZR158" s="1142"/>
      <c r="AZS158" s="1142"/>
      <c r="AZT158" s="1142"/>
      <c r="AZU158" s="1142"/>
      <c r="AZV158" s="1142"/>
      <c r="AZW158" s="1142"/>
      <c r="AZX158" s="1142"/>
      <c r="AZY158" s="1167"/>
      <c r="AZZ158" s="1167"/>
      <c r="BAA158" s="1167"/>
      <c r="BAB158" s="1167"/>
      <c r="BAC158" s="1167"/>
      <c r="BAD158" s="1167"/>
      <c r="BAE158" s="1167"/>
      <c r="BAF158" s="1167"/>
      <c r="BAG158" s="1167"/>
      <c r="BAH158" s="1142"/>
      <c r="BAI158" s="1142"/>
      <c r="BAJ158" s="1142"/>
      <c r="BAK158" s="1142"/>
      <c r="BAL158" s="1142"/>
      <c r="BAM158" s="1142"/>
      <c r="BAN158" s="1142"/>
      <c r="BAO158" s="1142"/>
      <c r="BAP158" s="1142"/>
      <c r="BAQ158" s="1142"/>
      <c r="BAR158" s="1142"/>
      <c r="BAS158" s="1142"/>
      <c r="BAT158" s="1142"/>
      <c r="BAU158" s="1142"/>
      <c r="BAV158" s="1142"/>
      <c r="BAW158" s="1142"/>
      <c r="BAX158" s="1142"/>
      <c r="BAY158" s="1142"/>
      <c r="BAZ158" s="1142"/>
      <c r="BBA158" s="1142"/>
      <c r="BBB158" s="1142"/>
      <c r="BBC158" s="1142"/>
      <c r="BBD158" s="1142"/>
      <c r="BBE158" s="1167"/>
      <c r="BBF158" s="1167"/>
      <c r="BBG158" s="1167"/>
      <c r="BBH158" s="1167"/>
      <c r="BBI158" s="1167"/>
      <c r="BBJ158" s="1167"/>
      <c r="BBK158" s="1167"/>
      <c r="BBL158" s="1167"/>
      <c r="BBM158" s="1167"/>
      <c r="BBN158" s="1142"/>
      <c r="BBO158" s="1142"/>
      <c r="BBP158" s="1142"/>
      <c r="BBQ158" s="1142"/>
      <c r="BBR158" s="1142"/>
      <c r="BBS158" s="1142"/>
      <c r="BBT158" s="1142"/>
      <c r="BBU158" s="1142"/>
      <c r="BBV158" s="1142"/>
      <c r="BBW158" s="1142"/>
      <c r="BBX158" s="1142"/>
      <c r="BBY158" s="1142"/>
      <c r="BBZ158" s="1142"/>
      <c r="BCA158" s="1142"/>
      <c r="BCB158" s="1142"/>
      <c r="BCC158" s="1142"/>
      <c r="BCD158" s="1142"/>
      <c r="BCE158" s="1142"/>
      <c r="BCF158" s="1142"/>
      <c r="BCG158" s="1142"/>
      <c r="BCH158" s="1142"/>
      <c r="BCI158" s="1142"/>
      <c r="BCJ158" s="1142"/>
      <c r="BCK158" s="1167"/>
      <c r="BCL158" s="1167"/>
      <c r="BCM158" s="1167"/>
      <c r="BCN158" s="1167"/>
      <c r="BCO158" s="1167"/>
      <c r="BCP158" s="1167"/>
      <c r="BCQ158" s="1167"/>
      <c r="BCR158" s="1167"/>
      <c r="BCS158" s="1167"/>
      <c r="BCT158" s="1142"/>
      <c r="BCU158" s="1142"/>
      <c r="BCV158" s="1142"/>
      <c r="BCW158" s="1142"/>
      <c r="BCX158" s="1142"/>
      <c r="BCY158" s="1142"/>
      <c r="BCZ158" s="1142"/>
      <c r="BDA158" s="1142"/>
      <c r="BDB158" s="1142"/>
      <c r="BDC158" s="1142"/>
      <c r="BDD158" s="1142"/>
      <c r="BDE158" s="1142"/>
      <c r="BDF158" s="1142"/>
      <c r="BDG158" s="1142"/>
      <c r="BDH158" s="1142"/>
      <c r="BDI158" s="1142"/>
      <c r="BDJ158" s="1142"/>
      <c r="BDK158" s="1142"/>
      <c r="BDL158" s="1142"/>
      <c r="BDM158" s="1142"/>
      <c r="BDN158" s="1142"/>
      <c r="BDO158" s="1142"/>
      <c r="BDP158" s="1142"/>
      <c r="BDQ158" s="1167"/>
      <c r="BDR158" s="1167"/>
      <c r="BDS158" s="1167"/>
      <c r="BDT158" s="1167"/>
      <c r="BDU158" s="1167"/>
      <c r="BDV158" s="1167"/>
      <c r="BDW158" s="1167"/>
      <c r="BDX158" s="1167"/>
      <c r="BDY158" s="1167"/>
      <c r="BDZ158" s="1142"/>
      <c r="BEA158" s="1142"/>
      <c r="BEB158" s="1142"/>
      <c r="BEC158" s="1142"/>
      <c r="BED158" s="1142"/>
      <c r="BEE158" s="1142"/>
      <c r="BEF158" s="1142"/>
      <c r="BEG158" s="1142"/>
      <c r="BEH158" s="1142"/>
      <c r="BEI158" s="1142"/>
      <c r="BEJ158" s="1142"/>
      <c r="BEK158" s="1142"/>
      <c r="BEL158" s="1142"/>
      <c r="BEM158" s="1142"/>
      <c r="BEN158" s="1142"/>
      <c r="BEO158" s="1142"/>
      <c r="BEP158" s="1142"/>
      <c r="BEQ158" s="1142"/>
      <c r="BER158" s="1142"/>
      <c r="BES158" s="1142"/>
      <c r="BET158" s="1142"/>
      <c r="BEU158" s="1142"/>
      <c r="BEV158" s="1142"/>
      <c r="BEW158" s="1167"/>
      <c r="BEX158" s="1167"/>
      <c r="BEY158" s="1167"/>
      <c r="BEZ158" s="1167"/>
      <c r="BFA158" s="1167"/>
      <c r="BFB158" s="1167"/>
      <c r="BFC158" s="1167"/>
      <c r="BFD158" s="1167"/>
      <c r="BFE158" s="1167"/>
      <c r="BFF158" s="1142"/>
      <c r="BFG158" s="1142"/>
      <c r="BFH158" s="1142"/>
      <c r="BFI158" s="1142"/>
      <c r="BFJ158" s="1142"/>
      <c r="BFK158" s="1142"/>
      <c r="BFL158" s="1142"/>
      <c r="BFM158" s="1142"/>
      <c r="BFN158" s="1142"/>
      <c r="BFO158" s="1142"/>
      <c r="BFP158" s="1142"/>
      <c r="BFQ158" s="1142"/>
      <c r="BFR158" s="1142"/>
      <c r="BFS158" s="1142"/>
      <c r="BFT158" s="1142"/>
      <c r="BFU158" s="1142"/>
      <c r="BFV158" s="1142"/>
      <c r="BFW158" s="1142"/>
      <c r="BFX158" s="1142"/>
      <c r="BFY158" s="1142"/>
      <c r="BFZ158" s="1142"/>
      <c r="BGA158" s="1142"/>
      <c r="BGB158" s="1142"/>
      <c r="BGC158" s="1167"/>
      <c r="BGD158" s="1167"/>
      <c r="BGE158" s="1167"/>
      <c r="BGF158" s="1167"/>
      <c r="BGG158" s="1167"/>
      <c r="BGH158" s="1167"/>
      <c r="BGI158" s="1167"/>
      <c r="BGJ158" s="1167"/>
      <c r="BGK158" s="1167"/>
      <c r="BGL158" s="1142"/>
      <c r="BGM158" s="1142"/>
      <c r="BGN158" s="1142"/>
      <c r="BGO158" s="1142"/>
      <c r="BGP158" s="1142"/>
      <c r="BGQ158" s="1142"/>
      <c r="BGR158" s="1142"/>
      <c r="BGS158" s="1142"/>
      <c r="BGT158" s="1142"/>
      <c r="BGU158" s="1142"/>
      <c r="BGV158" s="1142"/>
      <c r="BGW158" s="1142"/>
      <c r="BGX158" s="1142"/>
      <c r="BGY158" s="1142"/>
      <c r="BGZ158" s="1142"/>
      <c r="BHA158" s="1142"/>
      <c r="BHB158" s="1142"/>
      <c r="BHC158" s="1142"/>
      <c r="BHD158" s="1142"/>
      <c r="BHE158" s="1142"/>
      <c r="BHF158" s="1142"/>
      <c r="BHG158" s="1142"/>
      <c r="BHH158" s="1142"/>
      <c r="BHI158" s="1167"/>
      <c r="BHJ158" s="1167"/>
      <c r="BHK158" s="1167"/>
      <c r="BHL158" s="1167"/>
      <c r="BHM158" s="1167"/>
      <c r="BHN158" s="1167"/>
      <c r="BHO158" s="1167"/>
      <c r="BHP158" s="1167"/>
      <c r="BHQ158" s="1167"/>
      <c r="BHR158" s="1142"/>
      <c r="BHS158" s="1142"/>
      <c r="BHT158" s="1142"/>
      <c r="BHU158" s="1142"/>
      <c r="BHV158" s="1142"/>
      <c r="BHW158" s="1142"/>
      <c r="BHX158" s="1142"/>
      <c r="BHY158" s="1142"/>
      <c r="BHZ158" s="1142"/>
      <c r="BIA158" s="1142"/>
      <c r="BIB158" s="1142"/>
      <c r="BIC158" s="1142"/>
      <c r="BID158" s="1142"/>
      <c r="BIE158" s="1142"/>
      <c r="BIF158" s="1142"/>
      <c r="BIG158" s="1142"/>
      <c r="BIH158" s="1142"/>
      <c r="BII158" s="1142"/>
      <c r="BIJ158" s="1142"/>
      <c r="BIK158" s="1142"/>
      <c r="BIL158" s="1142"/>
      <c r="BIM158" s="1142"/>
      <c r="BIN158" s="1142"/>
      <c r="BIO158" s="1167"/>
      <c r="BIP158" s="1167"/>
      <c r="BIQ158" s="1167"/>
      <c r="BIR158" s="1167"/>
      <c r="BIS158" s="1167"/>
      <c r="BIT158" s="1167"/>
      <c r="BIU158" s="1167"/>
      <c r="BIV158" s="1167"/>
      <c r="BIW158" s="1167"/>
      <c r="BIX158" s="1142"/>
      <c r="BIY158" s="1142"/>
      <c r="BIZ158" s="1142"/>
      <c r="BJA158" s="1142"/>
      <c r="BJB158" s="1142"/>
      <c r="BJC158" s="1142"/>
      <c r="BJD158" s="1142"/>
      <c r="BJE158" s="1142"/>
      <c r="BJF158" s="1142"/>
      <c r="BJG158" s="1142"/>
      <c r="BJH158" s="1142"/>
      <c r="BJI158" s="1142"/>
      <c r="BJJ158" s="1142"/>
      <c r="BJK158" s="1142"/>
      <c r="BJL158" s="1142"/>
      <c r="BJM158" s="1142"/>
      <c r="BJN158" s="1142"/>
      <c r="BJO158" s="1142"/>
      <c r="BJP158" s="1142"/>
      <c r="BJQ158" s="1142"/>
      <c r="BJR158" s="1142"/>
      <c r="BJS158" s="1142"/>
      <c r="BJT158" s="1142"/>
      <c r="BJU158" s="1167"/>
      <c r="BJV158" s="1167"/>
      <c r="BJW158" s="1167"/>
      <c r="BJX158" s="1167"/>
      <c r="BJY158" s="1167"/>
      <c r="BJZ158" s="1167"/>
      <c r="BKA158" s="1167"/>
      <c r="BKB158" s="1167"/>
      <c r="BKC158" s="1167"/>
      <c r="BKD158" s="1142"/>
      <c r="BKE158" s="1142"/>
      <c r="BKF158" s="1142"/>
      <c r="BKG158" s="1142"/>
      <c r="BKH158" s="1142"/>
      <c r="BKI158" s="1142"/>
      <c r="BKJ158" s="1142"/>
      <c r="BKK158" s="1142"/>
      <c r="BKL158" s="1142"/>
      <c r="BKM158" s="1142"/>
      <c r="BKN158" s="1142"/>
      <c r="BKO158" s="1142"/>
      <c r="BKP158" s="1142"/>
      <c r="BKQ158" s="1142"/>
      <c r="BKR158" s="1142"/>
      <c r="BKS158" s="1142"/>
      <c r="BKT158" s="1142"/>
      <c r="BKU158" s="1142"/>
      <c r="BKV158" s="1142"/>
      <c r="BKW158" s="1142"/>
      <c r="BKX158" s="1142"/>
      <c r="BKY158" s="1142"/>
      <c r="BKZ158" s="1142"/>
      <c r="BLA158" s="1167"/>
      <c r="BLB158" s="1167"/>
      <c r="BLC158" s="1167"/>
      <c r="BLD158" s="1167"/>
      <c r="BLE158" s="1167"/>
      <c r="BLF158" s="1167"/>
      <c r="BLG158" s="1167"/>
      <c r="BLH158" s="1167"/>
      <c r="BLI158" s="1167"/>
      <c r="BLJ158" s="1142"/>
      <c r="BLK158" s="1142"/>
      <c r="BLL158" s="1142"/>
      <c r="BLM158" s="1142"/>
      <c r="BLN158" s="1142"/>
      <c r="BLO158" s="1142"/>
      <c r="BLP158" s="1142"/>
      <c r="BLQ158" s="1142"/>
      <c r="BLR158" s="1142"/>
      <c r="BLS158" s="1142"/>
      <c r="BLT158" s="1142"/>
      <c r="BLU158" s="1142"/>
      <c r="BLV158" s="1142"/>
      <c r="BLW158" s="1142"/>
      <c r="BLX158" s="1142"/>
      <c r="BLY158" s="1142"/>
      <c r="BLZ158" s="1142"/>
      <c r="BMA158" s="1142"/>
      <c r="BMB158" s="1142"/>
      <c r="BMC158" s="1142"/>
      <c r="BMD158" s="1142"/>
      <c r="BME158" s="1142"/>
      <c r="BMF158" s="1142"/>
      <c r="BMG158" s="1167"/>
      <c r="BMH158" s="1167"/>
      <c r="BMI158" s="1167"/>
      <c r="BMJ158" s="1167"/>
      <c r="BMK158" s="1167"/>
      <c r="BML158" s="1167"/>
      <c r="BMM158" s="1167"/>
      <c r="BMN158" s="1167"/>
      <c r="BMO158" s="1167"/>
      <c r="BMP158" s="1142"/>
      <c r="BMQ158" s="1142"/>
      <c r="BMR158" s="1142"/>
      <c r="BMS158" s="1142"/>
      <c r="BMT158" s="1142"/>
      <c r="BMU158" s="1142"/>
      <c r="BMV158" s="1142"/>
      <c r="BMW158" s="1142"/>
      <c r="BMX158" s="1142"/>
      <c r="BMY158" s="1142"/>
      <c r="BMZ158" s="1142"/>
      <c r="BNA158" s="1142"/>
      <c r="BNB158" s="1142"/>
      <c r="BNC158" s="1142"/>
      <c r="BND158" s="1142"/>
      <c r="BNE158" s="1142"/>
      <c r="BNF158" s="1142"/>
      <c r="BNG158" s="1142"/>
      <c r="BNH158" s="1142"/>
      <c r="BNI158" s="1142"/>
      <c r="BNJ158" s="1142"/>
      <c r="BNK158" s="1142"/>
      <c r="BNL158" s="1142"/>
      <c r="BNM158" s="1167"/>
      <c r="BNN158" s="1167"/>
      <c r="BNO158" s="1167"/>
      <c r="BNP158" s="1167"/>
      <c r="BNQ158" s="1167"/>
      <c r="BNR158" s="1167"/>
      <c r="BNS158" s="1167"/>
      <c r="BNT158" s="1167"/>
      <c r="BNU158" s="1167"/>
      <c r="BNV158" s="1142"/>
      <c r="BNW158" s="1142"/>
      <c r="BNX158" s="1142"/>
      <c r="BNY158" s="1142"/>
      <c r="BNZ158" s="1142"/>
      <c r="BOA158" s="1142"/>
      <c r="BOB158" s="1142"/>
      <c r="BOC158" s="1142"/>
      <c r="BOD158" s="1142"/>
      <c r="BOE158" s="1142"/>
      <c r="BOF158" s="1142"/>
      <c r="BOG158" s="1142"/>
      <c r="BOH158" s="1142"/>
      <c r="BOI158" s="1142"/>
      <c r="BOJ158" s="1142"/>
      <c r="BOK158" s="1142"/>
      <c r="BOL158" s="1142"/>
      <c r="BOM158" s="1142"/>
      <c r="BON158" s="1142"/>
      <c r="BOO158" s="1142"/>
      <c r="BOP158" s="1142"/>
      <c r="BOQ158" s="1142"/>
      <c r="BOR158" s="1142"/>
      <c r="BOS158" s="1167"/>
      <c r="BOT158" s="1167"/>
      <c r="BOU158" s="1167"/>
      <c r="BOV158" s="1167"/>
      <c r="BOW158" s="1167"/>
      <c r="BOX158" s="1167"/>
      <c r="BOY158" s="1167"/>
      <c r="BOZ158" s="1167"/>
      <c r="BPA158" s="1167"/>
      <c r="BPB158" s="1142"/>
      <c r="BPC158" s="1142"/>
      <c r="BPD158" s="1142"/>
      <c r="BPE158" s="1142"/>
      <c r="BPF158" s="1142"/>
      <c r="BPG158" s="1142"/>
      <c r="BPH158" s="1142"/>
      <c r="BPI158" s="1142"/>
      <c r="BPJ158" s="1142"/>
      <c r="BPK158" s="1142"/>
      <c r="BPL158" s="1142"/>
      <c r="BPM158" s="1142"/>
      <c r="BPN158" s="1142"/>
      <c r="BPO158" s="1142"/>
      <c r="BPP158" s="1142"/>
      <c r="BPQ158" s="1142"/>
      <c r="BPR158" s="1142"/>
      <c r="BPS158" s="1142"/>
      <c r="BPT158" s="1142"/>
      <c r="BPU158" s="1142"/>
      <c r="BPV158" s="1142"/>
      <c r="BPW158" s="1142"/>
      <c r="BPX158" s="1142"/>
      <c r="BPY158" s="1167"/>
      <c r="BPZ158" s="1167"/>
      <c r="BQA158" s="1167"/>
      <c r="BQB158" s="1167"/>
      <c r="BQC158" s="1167"/>
      <c r="BQD158" s="1167"/>
      <c r="BQE158" s="1167"/>
      <c r="BQF158" s="1167"/>
      <c r="BQG158" s="1167"/>
      <c r="BQH158" s="1142"/>
      <c r="BQI158" s="1142"/>
      <c r="BQJ158" s="1142"/>
      <c r="BQK158" s="1142"/>
      <c r="BQL158" s="1142"/>
      <c r="BQM158" s="1142"/>
      <c r="BQN158" s="1142"/>
      <c r="BQO158" s="1142"/>
      <c r="BQP158" s="1142"/>
      <c r="BQQ158" s="1142"/>
      <c r="BQR158" s="1142"/>
      <c r="BQS158" s="1142"/>
      <c r="BQT158" s="1142"/>
      <c r="BQU158" s="1142"/>
      <c r="BQV158" s="1142"/>
      <c r="BQW158" s="1142"/>
      <c r="BQX158" s="1142"/>
      <c r="BQY158" s="1142"/>
      <c r="BQZ158" s="1142"/>
      <c r="BRA158" s="1142"/>
      <c r="BRB158" s="1142"/>
      <c r="BRC158" s="1142"/>
      <c r="BRD158" s="1142"/>
      <c r="BRE158" s="1167"/>
      <c r="BRF158" s="1167"/>
      <c r="BRG158" s="1167"/>
      <c r="BRH158" s="1167"/>
      <c r="BRI158" s="1167"/>
      <c r="BRJ158" s="1167"/>
      <c r="BRK158" s="1167"/>
      <c r="BRL158" s="1167"/>
      <c r="BRM158" s="1167"/>
      <c r="BRN158" s="1142"/>
      <c r="BRO158" s="1142"/>
      <c r="BRP158" s="1142"/>
      <c r="BRQ158" s="1142"/>
      <c r="BRR158" s="1142"/>
      <c r="BRS158" s="1142"/>
      <c r="BRT158" s="1142"/>
      <c r="BRU158" s="1142"/>
      <c r="BRV158" s="1142"/>
      <c r="BRW158" s="1142"/>
      <c r="BRX158" s="1142"/>
      <c r="BRY158" s="1142"/>
      <c r="BRZ158" s="1142"/>
      <c r="BSA158" s="1142"/>
      <c r="BSB158" s="1142"/>
      <c r="BSC158" s="1142"/>
      <c r="BSD158" s="1142"/>
      <c r="BSE158" s="1142"/>
      <c r="BSF158" s="1142"/>
      <c r="BSG158" s="1142"/>
      <c r="BSH158" s="1142"/>
      <c r="BSI158" s="1142"/>
      <c r="BSJ158" s="1142"/>
      <c r="BSK158" s="1167"/>
      <c r="BSL158" s="1167"/>
      <c r="BSM158" s="1167"/>
      <c r="BSN158" s="1167"/>
      <c r="BSO158" s="1167"/>
      <c r="BSP158" s="1167"/>
      <c r="BSQ158" s="1167"/>
      <c r="BSR158" s="1167"/>
      <c r="BSS158" s="1167"/>
      <c r="BST158" s="1142"/>
      <c r="BSU158" s="1142"/>
      <c r="BSV158" s="1142"/>
      <c r="BSW158" s="1142"/>
      <c r="BSX158" s="1142"/>
      <c r="BSY158" s="1142"/>
      <c r="BSZ158" s="1142"/>
      <c r="BTA158" s="1142"/>
      <c r="BTB158" s="1142"/>
      <c r="BTC158" s="1142"/>
      <c r="BTD158" s="1142"/>
      <c r="BTE158" s="1142"/>
      <c r="BTF158" s="1142"/>
      <c r="BTG158" s="1142"/>
      <c r="BTH158" s="1142"/>
      <c r="BTI158" s="1142"/>
      <c r="BTJ158" s="1142"/>
      <c r="BTK158" s="1142"/>
      <c r="BTL158" s="1142"/>
      <c r="BTM158" s="1142"/>
      <c r="BTN158" s="1142"/>
      <c r="BTO158" s="1142"/>
      <c r="BTP158" s="1142"/>
      <c r="BTQ158" s="1167"/>
      <c r="BTR158" s="1167"/>
      <c r="BTS158" s="1167"/>
      <c r="BTT158" s="1167"/>
      <c r="BTU158" s="1167"/>
      <c r="BTV158" s="1167"/>
      <c r="BTW158" s="1167"/>
      <c r="BTX158" s="1167"/>
      <c r="BTY158" s="1167"/>
      <c r="BTZ158" s="1142"/>
      <c r="BUA158" s="1142"/>
      <c r="BUB158" s="1142"/>
      <c r="BUC158" s="1142"/>
      <c r="BUD158" s="1142"/>
      <c r="BUE158" s="1142"/>
      <c r="BUF158" s="1142"/>
      <c r="BUG158" s="1142"/>
      <c r="BUH158" s="1142"/>
      <c r="BUI158" s="1142"/>
      <c r="BUJ158" s="1142"/>
      <c r="BUK158" s="1142"/>
      <c r="BUL158" s="1142"/>
      <c r="BUM158" s="1142"/>
      <c r="BUN158" s="1142"/>
      <c r="BUO158" s="1142"/>
      <c r="BUP158" s="1142"/>
      <c r="BUQ158" s="1142"/>
      <c r="BUR158" s="1142"/>
      <c r="BUS158" s="1142"/>
      <c r="BUT158" s="1142"/>
      <c r="BUU158" s="1142"/>
      <c r="BUV158" s="1142"/>
      <c r="BUW158" s="1167"/>
      <c r="BUX158" s="1167"/>
      <c r="BUY158" s="1167"/>
      <c r="BUZ158" s="1167"/>
      <c r="BVA158" s="1167"/>
      <c r="BVB158" s="1167"/>
      <c r="BVC158" s="1167"/>
      <c r="BVD158" s="1167"/>
      <c r="BVE158" s="1167"/>
      <c r="BVF158" s="1142"/>
      <c r="BVG158" s="1142"/>
      <c r="BVH158" s="1142"/>
      <c r="BVI158" s="1142"/>
      <c r="BVJ158" s="1142"/>
      <c r="BVK158" s="1142"/>
      <c r="BVL158" s="1142"/>
      <c r="BVM158" s="1142"/>
      <c r="BVN158" s="1142"/>
      <c r="BVO158" s="1142"/>
      <c r="BVP158" s="1142"/>
      <c r="BVQ158" s="1142"/>
      <c r="BVR158" s="1142"/>
      <c r="BVS158" s="1142"/>
      <c r="BVT158" s="1142"/>
      <c r="BVU158" s="1142"/>
      <c r="BVV158" s="1142"/>
      <c r="BVW158" s="1142"/>
      <c r="BVX158" s="1142"/>
      <c r="BVY158" s="1142"/>
      <c r="BVZ158" s="1142"/>
      <c r="BWA158" s="1142"/>
      <c r="BWB158" s="1142"/>
      <c r="BWC158" s="1167"/>
      <c r="BWD158" s="1167"/>
      <c r="BWE158" s="1167"/>
      <c r="BWF158" s="1167"/>
      <c r="BWG158" s="1167"/>
      <c r="BWH158" s="1167"/>
      <c r="BWI158" s="1167"/>
      <c r="BWJ158" s="1167"/>
      <c r="BWK158" s="1167"/>
      <c r="BWL158" s="1142"/>
      <c r="BWM158" s="1142"/>
      <c r="BWN158" s="1142"/>
      <c r="BWO158" s="1142"/>
      <c r="BWP158" s="1142"/>
      <c r="BWQ158" s="1142"/>
      <c r="BWR158" s="1142"/>
      <c r="BWS158" s="1142"/>
      <c r="BWT158" s="1142"/>
      <c r="BWU158" s="1142"/>
      <c r="BWV158" s="1142"/>
      <c r="BWW158" s="1142"/>
      <c r="BWX158" s="1142"/>
      <c r="BWY158" s="1142"/>
      <c r="BWZ158" s="1142"/>
      <c r="BXA158" s="1142"/>
      <c r="BXB158" s="1142"/>
      <c r="BXC158" s="1142"/>
      <c r="BXD158" s="1142"/>
      <c r="BXE158" s="1142"/>
      <c r="BXF158" s="1142"/>
      <c r="BXG158" s="1142"/>
      <c r="BXH158" s="1142"/>
      <c r="BXI158" s="1167"/>
      <c r="BXJ158" s="1167"/>
      <c r="BXK158" s="1167"/>
      <c r="BXL158" s="1167"/>
      <c r="BXM158" s="1167"/>
      <c r="BXN158" s="1167"/>
      <c r="BXO158" s="1167"/>
      <c r="BXP158" s="1167"/>
      <c r="BXQ158" s="1167"/>
      <c r="BXR158" s="1142"/>
      <c r="BXS158" s="1142"/>
      <c r="BXT158" s="1142"/>
      <c r="BXU158" s="1142"/>
      <c r="BXV158" s="1142"/>
      <c r="BXW158" s="1142"/>
      <c r="BXX158" s="1142"/>
      <c r="BXY158" s="1142"/>
      <c r="BXZ158" s="1142"/>
      <c r="BYA158" s="1142"/>
      <c r="BYB158" s="1142"/>
      <c r="BYC158" s="1142"/>
      <c r="BYD158" s="1142"/>
      <c r="BYE158" s="1142"/>
      <c r="BYF158" s="1142"/>
      <c r="BYG158" s="1142"/>
      <c r="BYH158" s="1142"/>
      <c r="BYI158" s="1142"/>
      <c r="BYJ158" s="1142"/>
      <c r="BYK158" s="1142"/>
      <c r="BYL158" s="1142"/>
      <c r="BYM158" s="1142"/>
      <c r="BYN158" s="1142"/>
      <c r="BYO158" s="1167"/>
      <c r="BYP158" s="1167"/>
      <c r="BYQ158" s="1167"/>
      <c r="BYR158" s="1167"/>
      <c r="BYS158" s="1167"/>
      <c r="BYT158" s="1167"/>
      <c r="BYU158" s="1167"/>
      <c r="BYV158" s="1167"/>
      <c r="BYW158" s="1167"/>
      <c r="BYX158" s="1142"/>
      <c r="BYY158" s="1142"/>
      <c r="BYZ158" s="1142"/>
      <c r="BZA158" s="1142"/>
      <c r="BZB158" s="1142"/>
      <c r="BZC158" s="1142"/>
      <c r="BZD158" s="1142"/>
      <c r="BZE158" s="1142"/>
      <c r="BZF158" s="1142"/>
      <c r="BZG158" s="1142"/>
      <c r="BZH158" s="1142"/>
      <c r="BZI158" s="1142"/>
      <c r="BZJ158" s="1142"/>
      <c r="BZK158" s="1142"/>
      <c r="BZL158" s="1142"/>
      <c r="BZM158" s="1142"/>
      <c r="BZN158" s="1142"/>
      <c r="BZO158" s="1142"/>
      <c r="BZP158" s="1142"/>
      <c r="BZQ158" s="1142"/>
      <c r="BZR158" s="1142"/>
      <c r="BZS158" s="1142"/>
      <c r="BZT158" s="1142"/>
      <c r="BZU158" s="1167"/>
      <c r="BZV158" s="1167"/>
      <c r="BZW158" s="1167"/>
      <c r="BZX158" s="1167"/>
      <c r="BZY158" s="1167"/>
      <c r="BZZ158" s="1167"/>
      <c r="CAA158" s="1167"/>
      <c r="CAB158" s="1167"/>
      <c r="CAC158" s="1167"/>
      <c r="CAD158" s="1142"/>
      <c r="CAE158" s="1142"/>
      <c r="CAF158" s="1142"/>
      <c r="CAG158" s="1142"/>
      <c r="CAH158" s="1142"/>
      <c r="CAI158" s="1142"/>
      <c r="CAJ158" s="1142"/>
      <c r="CAK158" s="1142"/>
      <c r="CAL158" s="1142"/>
      <c r="CAM158" s="1142"/>
      <c r="CAN158" s="1142"/>
      <c r="CAO158" s="1142"/>
      <c r="CAP158" s="1142"/>
      <c r="CAQ158" s="1142"/>
      <c r="CAR158" s="1142"/>
      <c r="CAS158" s="1142"/>
      <c r="CAT158" s="1142"/>
      <c r="CAU158" s="1142"/>
      <c r="CAV158" s="1142"/>
      <c r="CAW158" s="1142"/>
      <c r="CAX158" s="1142"/>
      <c r="CAY158" s="1142"/>
      <c r="CAZ158" s="1142"/>
      <c r="CBA158" s="1167"/>
      <c r="CBB158" s="1167"/>
      <c r="CBC158" s="1167"/>
      <c r="CBD158" s="1167"/>
      <c r="CBE158" s="1167"/>
      <c r="CBF158" s="1167"/>
      <c r="CBG158" s="1167"/>
      <c r="CBH158" s="1167"/>
      <c r="CBI158" s="1167"/>
      <c r="CBJ158" s="1142"/>
      <c r="CBK158" s="1142"/>
      <c r="CBL158" s="1142"/>
      <c r="CBM158" s="1142"/>
      <c r="CBN158" s="1142"/>
      <c r="CBO158" s="1142"/>
      <c r="CBP158" s="1142"/>
      <c r="CBQ158" s="1142"/>
      <c r="CBR158" s="1142"/>
      <c r="CBS158" s="1142"/>
      <c r="CBT158" s="1142"/>
      <c r="CBU158" s="1142"/>
      <c r="CBV158" s="1142"/>
      <c r="CBW158" s="1142"/>
      <c r="CBX158" s="1142"/>
      <c r="CBY158" s="1142"/>
      <c r="CBZ158" s="1142"/>
      <c r="CCA158" s="1142"/>
      <c r="CCB158" s="1142"/>
      <c r="CCC158" s="1142"/>
      <c r="CCD158" s="1142"/>
      <c r="CCE158" s="1142"/>
      <c r="CCF158" s="1142"/>
      <c r="CCG158" s="1167"/>
      <c r="CCH158" s="1167"/>
      <c r="CCI158" s="1167"/>
      <c r="CCJ158" s="1167"/>
      <c r="CCK158" s="1167"/>
      <c r="CCL158" s="1167"/>
      <c r="CCM158" s="1167"/>
      <c r="CCN158" s="1167"/>
      <c r="CCO158" s="1167"/>
      <c r="CCP158" s="1142"/>
      <c r="CCQ158" s="1142"/>
      <c r="CCR158" s="1142"/>
      <c r="CCS158" s="1142"/>
      <c r="CCT158" s="1142"/>
      <c r="CCU158" s="1142"/>
      <c r="CCV158" s="1142"/>
      <c r="CCW158" s="1142"/>
      <c r="CCX158" s="1142"/>
      <c r="CCY158" s="1142"/>
      <c r="CCZ158" s="1142"/>
      <c r="CDA158" s="1142"/>
      <c r="CDB158" s="1142"/>
      <c r="CDC158" s="1142"/>
      <c r="CDD158" s="1142"/>
      <c r="CDE158" s="1142"/>
      <c r="CDF158" s="1142"/>
      <c r="CDG158" s="1142"/>
      <c r="CDH158" s="1142"/>
      <c r="CDI158" s="1142"/>
      <c r="CDJ158" s="1142"/>
      <c r="CDK158" s="1142"/>
      <c r="CDL158" s="1142"/>
      <c r="CDM158" s="1167"/>
      <c r="CDN158" s="1167"/>
      <c r="CDO158" s="1167"/>
      <c r="CDP158" s="1167"/>
      <c r="CDQ158" s="1167"/>
      <c r="CDR158" s="1167"/>
      <c r="CDS158" s="1167"/>
      <c r="CDT158" s="1167"/>
      <c r="CDU158" s="1167"/>
      <c r="CDV158" s="1142"/>
      <c r="CDW158" s="1142"/>
      <c r="CDX158" s="1142"/>
      <c r="CDY158" s="1142"/>
      <c r="CDZ158" s="1142"/>
      <c r="CEA158" s="1142"/>
      <c r="CEB158" s="1142"/>
      <c r="CEC158" s="1142"/>
      <c r="CED158" s="1142"/>
      <c r="CEE158" s="1142"/>
      <c r="CEF158" s="1142"/>
      <c r="CEG158" s="1142"/>
      <c r="CEH158" s="1142"/>
      <c r="CEI158" s="1142"/>
      <c r="CEJ158" s="1142"/>
      <c r="CEK158" s="1142"/>
      <c r="CEL158" s="1142"/>
      <c r="CEM158" s="1142"/>
      <c r="CEN158" s="1142"/>
      <c r="CEO158" s="1142"/>
      <c r="CEP158" s="1142"/>
      <c r="CEQ158" s="1142"/>
      <c r="CER158" s="1142"/>
      <c r="CES158" s="1167"/>
      <c r="CET158" s="1167"/>
      <c r="CEU158" s="1167"/>
      <c r="CEV158" s="1167"/>
      <c r="CEW158" s="1167"/>
      <c r="CEX158" s="1167"/>
      <c r="CEY158" s="1167"/>
      <c r="CEZ158" s="1167"/>
      <c r="CFA158" s="1167"/>
      <c r="CFB158" s="1142"/>
      <c r="CFC158" s="1142"/>
      <c r="CFD158" s="1142"/>
      <c r="CFE158" s="1142"/>
      <c r="CFF158" s="1142"/>
      <c r="CFG158" s="1142"/>
      <c r="CFH158" s="1142"/>
      <c r="CFI158" s="1142"/>
      <c r="CFJ158" s="1142"/>
      <c r="CFK158" s="1142"/>
      <c r="CFL158" s="1142"/>
      <c r="CFM158" s="1142"/>
      <c r="CFN158" s="1142"/>
      <c r="CFO158" s="1142"/>
      <c r="CFP158" s="1142"/>
      <c r="CFQ158" s="1142"/>
      <c r="CFR158" s="1142"/>
      <c r="CFS158" s="1142"/>
      <c r="CFT158" s="1142"/>
      <c r="CFU158" s="1142"/>
      <c r="CFV158" s="1142"/>
      <c r="CFW158" s="1142"/>
      <c r="CFX158" s="1142"/>
      <c r="CFY158" s="1167"/>
      <c r="CFZ158" s="1167"/>
      <c r="CGA158" s="1167"/>
      <c r="CGB158" s="1167"/>
      <c r="CGC158" s="1167"/>
      <c r="CGD158" s="1167"/>
      <c r="CGE158" s="1167"/>
      <c r="CGF158" s="1167"/>
      <c r="CGG158" s="1167"/>
      <c r="CGH158" s="1142"/>
      <c r="CGI158" s="1142"/>
      <c r="CGJ158" s="1142"/>
      <c r="CGK158" s="1142"/>
      <c r="CGL158" s="1142"/>
      <c r="CGM158" s="1142"/>
      <c r="CGN158" s="1142"/>
      <c r="CGO158" s="1142"/>
      <c r="CGP158" s="1142"/>
      <c r="CGQ158" s="1142"/>
      <c r="CGR158" s="1142"/>
      <c r="CGS158" s="1142"/>
      <c r="CGT158" s="1142"/>
      <c r="CGU158" s="1142"/>
      <c r="CGV158" s="1142"/>
      <c r="CGW158" s="1142"/>
      <c r="CGX158" s="1142"/>
      <c r="CGY158" s="1142"/>
      <c r="CGZ158" s="1142"/>
      <c r="CHA158" s="1142"/>
      <c r="CHB158" s="1142"/>
      <c r="CHC158" s="1142"/>
      <c r="CHD158" s="1142"/>
      <c r="CHE158" s="1167"/>
      <c r="CHF158" s="1167"/>
      <c r="CHG158" s="1167"/>
      <c r="CHH158" s="1167"/>
      <c r="CHI158" s="1167"/>
      <c r="CHJ158" s="1167"/>
      <c r="CHK158" s="1167"/>
      <c r="CHL158" s="1167"/>
      <c r="CHM158" s="1167"/>
      <c r="CHN158" s="1142"/>
      <c r="CHO158" s="1142"/>
      <c r="CHP158" s="1142"/>
      <c r="CHQ158" s="1142"/>
      <c r="CHR158" s="1142"/>
      <c r="CHS158" s="1142"/>
      <c r="CHT158" s="1142"/>
      <c r="CHU158" s="1142"/>
      <c r="CHV158" s="1142"/>
      <c r="CHW158" s="1142"/>
      <c r="CHX158" s="1142"/>
      <c r="CHY158" s="1142"/>
      <c r="CHZ158" s="1142"/>
      <c r="CIA158" s="1142"/>
      <c r="CIB158" s="1142"/>
      <c r="CIC158" s="1142"/>
      <c r="CID158" s="1142"/>
      <c r="CIE158" s="1142"/>
      <c r="CIF158" s="1142"/>
      <c r="CIG158" s="1142"/>
      <c r="CIH158" s="1142"/>
      <c r="CII158" s="1142"/>
      <c r="CIJ158" s="1142"/>
      <c r="CIK158" s="1167"/>
      <c r="CIL158" s="1167"/>
      <c r="CIM158" s="1167"/>
      <c r="CIN158" s="1167"/>
      <c r="CIO158" s="1167"/>
      <c r="CIP158" s="1167"/>
      <c r="CIQ158" s="1167"/>
      <c r="CIR158" s="1167"/>
      <c r="CIS158" s="1167"/>
      <c r="CIT158" s="1142"/>
      <c r="CIU158" s="1142"/>
      <c r="CIV158" s="1142"/>
      <c r="CIW158" s="1142"/>
      <c r="CIX158" s="1142"/>
      <c r="CIY158" s="1142"/>
      <c r="CIZ158" s="1142"/>
      <c r="CJA158" s="1142"/>
      <c r="CJB158" s="1142"/>
      <c r="CJC158" s="1142"/>
      <c r="CJD158" s="1142"/>
      <c r="CJE158" s="1142"/>
      <c r="CJF158" s="1142"/>
      <c r="CJG158" s="1142"/>
      <c r="CJH158" s="1142"/>
      <c r="CJI158" s="1142"/>
      <c r="CJJ158" s="1142"/>
      <c r="CJK158" s="1142"/>
      <c r="CJL158" s="1142"/>
      <c r="CJM158" s="1142"/>
      <c r="CJN158" s="1142"/>
      <c r="CJO158" s="1142"/>
      <c r="CJP158" s="1142"/>
      <c r="CJQ158" s="1167"/>
      <c r="CJR158" s="1167"/>
      <c r="CJS158" s="1167"/>
      <c r="CJT158" s="1167"/>
      <c r="CJU158" s="1167"/>
      <c r="CJV158" s="1167"/>
      <c r="CJW158" s="1167"/>
      <c r="CJX158" s="1167"/>
      <c r="CJY158" s="1167"/>
      <c r="CJZ158" s="1142"/>
      <c r="CKA158" s="1142"/>
      <c r="CKB158" s="1142"/>
      <c r="CKC158" s="1142"/>
      <c r="CKD158" s="1142"/>
      <c r="CKE158" s="1142"/>
      <c r="CKF158" s="1142"/>
      <c r="CKG158" s="1142"/>
      <c r="CKH158" s="1142"/>
      <c r="CKI158" s="1142"/>
      <c r="CKJ158" s="1142"/>
      <c r="CKK158" s="1142"/>
      <c r="CKL158" s="1142"/>
      <c r="CKM158" s="1142"/>
      <c r="CKN158" s="1142"/>
      <c r="CKO158" s="1142"/>
      <c r="CKP158" s="1142"/>
      <c r="CKQ158" s="1142"/>
      <c r="CKR158" s="1142"/>
      <c r="CKS158" s="1142"/>
      <c r="CKT158" s="1142"/>
      <c r="CKU158" s="1142"/>
      <c r="CKV158" s="1142"/>
      <c r="CKW158" s="1167"/>
      <c r="CKX158" s="1167"/>
      <c r="CKY158" s="1167"/>
      <c r="CKZ158" s="1167"/>
      <c r="CLA158" s="1167"/>
      <c r="CLB158" s="1167"/>
      <c r="CLC158" s="1167"/>
      <c r="CLD158" s="1167"/>
      <c r="CLE158" s="1167"/>
      <c r="CLF158" s="1142"/>
      <c r="CLG158" s="1142"/>
      <c r="CLH158" s="1142"/>
      <c r="CLI158" s="1142"/>
      <c r="CLJ158" s="1142"/>
      <c r="CLK158" s="1142"/>
      <c r="CLL158" s="1142"/>
      <c r="CLM158" s="1142"/>
      <c r="CLN158" s="1142"/>
      <c r="CLO158" s="1142"/>
      <c r="CLP158" s="1142"/>
      <c r="CLQ158" s="1142"/>
      <c r="CLR158" s="1142"/>
      <c r="CLS158" s="1142"/>
      <c r="CLT158" s="1142"/>
      <c r="CLU158" s="1142"/>
      <c r="CLV158" s="1142"/>
      <c r="CLW158" s="1142"/>
      <c r="CLX158" s="1142"/>
      <c r="CLY158" s="1142"/>
      <c r="CLZ158" s="1142"/>
      <c r="CMA158" s="1142"/>
      <c r="CMB158" s="1142"/>
      <c r="CMC158" s="1167"/>
      <c r="CMD158" s="1167"/>
      <c r="CME158" s="1167"/>
      <c r="CMF158" s="1167"/>
      <c r="CMG158" s="1167"/>
      <c r="CMH158" s="1167"/>
      <c r="CMI158" s="1167"/>
      <c r="CMJ158" s="1167"/>
      <c r="CMK158" s="1167"/>
      <c r="CML158" s="1142"/>
      <c r="CMM158" s="1142"/>
      <c r="CMN158" s="1142"/>
      <c r="CMO158" s="1142"/>
      <c r="CMP158" s="1142"/>
      <c r="CMQ158" s="1142"/>
      <c r="CMR158" s="1142"/>
      <c r="CMS158" s="1142"/>
      <c r="CMT158" s="1142"/>
      <c r="CMU158" s="1142"/>
      <c r="CMV158" s="1142"/>
      <c r="CMW158" s="1142"/>
      <c r="CMX158" s="1142"/>
      <c r="CMY158" s="1142"/>
      <c r="CMZ158" s="1142"/>
      <c r="CNA158" s="1142"/>
      <c r="CNB158" s="1142"/>
      <c r="CNC158" s="1142"/>
      <c r="CND158" s="1142"/>
      <c r="CNE158" s="1142"/>
      <c r="CNF158" s="1142"/>
      <c r="CNG158" s="1142"/>
      <c r="CNH158" s="1142"/>
      <c r="CNI158" s="1167"/>
      <c r="CNJ158" s="1167"/>
      <c r="CNK158" s="1167"/>
      <c r="CNL158" s="1167"/>
      <c r="CNM158" s="1167"/>
      <c r="CNN158" s="1167"/>
      <c r="CNO158" s="1167"/>
      <c r="CNP158" s="1167"/>
      <c r="CNQ158" s="1167"/>
      <c r="CNR158" s="1142"/>
      <c r="CNS158" s="1142"/>
      <c r="CNT158" s="1142"/>
      <c r="CNU158" s="1142"/>
      <c r="CNV158" s="1142"/>
      <c r="CNW158" s="1142"/>
      <c r="CNX158" s="1142"/>
      <c r="CNY158" s="1142"/>
      <c r="CNZ158" s="1142"/>
      <c r="COA158" s="1142"/>
      <c r="COB158" s="1142"/>
      <c r="COC158" s="1142"/>
      <c r="COD158" s="1142"/>
      <c r="COE158" s="1142"/>
      <c r="COF158" s="1142"/>
      <c r="COG158" s="1142"/>
      <c r="COH158" s="1142"/>
      <c r="COI158" s="1142"/>
      <c r="COJ158" s="1142"/>
      <c r="COK158" s="1142"/>
      <c r="COL158" s="1142"/>
      <c r="COM158" s="1142"/>
      <c r="CON158" s="1142"/>
      <c r="COO158" s="1167"/>
      <c r="COP158" s="1167"/>
      <c r="COQ158" s="1167"/>
      <c r="COR158" s="1167"/>
      <c r="COS158" s="1167"/>
      <c r="COT158" s="1167"/>
      <c r="COU158" s="1167"/>
      <c r="COV158" s="1167"/>
      <c r="COW158" s="1167"/>
      <c r="COX158" s="1142"/>
      <c r="COY158" s="1142"/>
      <c r="COZ158" s="1142"/>
      <c r="CPA158" s="1142"/>
      <c r="CPB158" s="1142"/>
      <c r="CPC158" s="1142"/>
      <c r="CPD158" s="1142"/>
      <c r="CPE158" s="1142"/>
      <c r="CPF158" s="1142"/>
      <c r="CPG158" s="1142"/>
      <c r="CPH158" s="1142"/>
      <c r="CPI158" s="1142"/>
      <c r="CPJ158" s="1142"/>
      <c r="CPK158" s="1142"/>
      <c r="CPL158" s="1142"/>
      <c r="CPM158" s="1142"/>
      <c r="CPN158" s="1142"/>
      <c r="CPO158" s="1142"/>
      <c r="CPP158" s="1142"/>
      <c r="CPQ158" s="1142"/>
      <c r="CPR158" s="1142"/>
      <c r="CPS158" s="1142"/>
      <c r="CPT158" s="1142"/>
      <c r="CPU158" s="1167"/>
      <c r="CPV158" s="1167"/>
      <c r="CPW158" s="1167"/>
      <c r="CPX158" s="1167"/>
      <c r="CPY158" s="1167"/>
      <c r="CPZ158" s="1167"/>
      <c r="CQA158" s="1167"/>
      <c r="CQB158" s="1167"/>
      <c r="CQC158" s="1167"/>
      <c r="CQD158" s="1142"/>
      <c r="CQE158" s="1142"/>
      <c r="CQF158" s="1142"/>
      <c r="CQG158" s="1142"/>
      <c r="CQH158" s="1142"/>
      <c r="CQI158" s="1142"/>
      <c r="CQJ158" s="1142"/>
      <c r="CQK158" s="1142"/>
      <c r="CQL158" s="1142"/>
      <c r="CQM158" s="1142"/>
      <c r="CQN158" s="1142"/>
      <c r="CQO158" s="1142"/>
      <c r="CQP158" s="1142"/>
      <c r="CQQ158" s="1142"/>
      <c r="CQR158" s="1142"/>
      <c r="CQS158" s="1142"/>
      <c r="CQT158" s="1142"/>
      <c r="CQU158" s="1142"/>
      <c r="CQV158" s="1142"/>
      <c r="CQW158" s="1142"/>
      <c r="CQX158" s="1142"/>
      <c r="CQY158" s="1142"/>
      <c r="CQZ158" s="1142"/>
      <c r="CRA158" s="1167"/>
      <c r="CRB158" s="1167"/>
      <c r="CRC158" s="1167"/>
      <c r="CRD158" s="1167"/>
      <c r="CRE158" s="1167"/>
      <c r="CRF158" s="1167"/>
      <c r="CRG158" s="1167"/>
      <c r="CRH158" s="1167"/>
      <c r="CRI158" s="1167"/>
      <c r="CRJ158" s="1142"/>
      <c r="CRK158" s="1142"/>
      <c r="CRL158" s="1142"/>
      <c r="CRM158" s="1142"/>
      <c r="CRN158" s="1142"/>
      <c r="CRO158" s="1142"/>
      <c r="CRP158" s="1142"/>
      <c r="CRQ158" s="1142"/>
      <c r="CRR158" s="1142"/>
      <c r="CRS158" s="1142"/>
      <c r="CRT158" s="1142"/>
      <c r="CRU158" s="1142"/>
      <c r="CRV158" s="1142"/>
      <c r="CRW158" s="1142"/>
      <c r="CRX158" s="1142"/>
      <c r="CRY158" s="1142"/>
      <c r="CRZ158" s="1142"/>
      <c r="CSA158" s="1142"/>
      <c r="CSB158" s="1142"/>
      <c r="CSC158" s="1142"/>
      <c r="CSD158" s="1142"/>
      <c r="CSE158" s="1142"/>
      <c r="CSF158" s="1142"/>
      <c r="CSG158" s="1167"/>
      <c r="CSH158" s="1167"/>
      <c r="CSI158" s="1167"/>
      <c r="CSJ158" s="1167"/>
      <c r="CSK158" s="1167"/>
      <c r="CSL158" s="1167"/>
      <c r="CSM158" s="1167"/>
      <c r="CSN158" s="1167"/>
      <c r="CSO158" s="1167"/>
      <c r="CSP158" s="1142"/>
      <c r="CSQ158" s="1142"/>
      <c r="CSR158" s="1142"/>
      <c r="CSS158" s="1142"/>
      <c r="CST158" s="1142"/>
      <c r="CSU158" s="1142"/>
      <c r="CSV158" s="1142"/>
      <c r="CSW158" s="1142"/>
      <c r="CSX158" s="1142"/>
      <c r="CSY158" s="1142"/>
      <c r="CSZ158" s="1142"/>
      <c r="CTA158" s="1142"/>
      <c r="CTB158" s="1142"/>
      <c r="CTC158" s="1142"/>
      <c r="CTD158" s="1142"/>
      <c r="CTE158" s="1142"/>
      <c r="CTF158" s="1142"/>
      <c r="CTG158" s="1142"/>
      <c r="CTH158" s="1142"/>
      <c r="CTI158" s="1142"/>
      <c r="CTJ158" s="1142"/>
      <c r="CTK158" s="1142"/>
      <c r="CTL158" s="1142"/>
      <c r="CTM158" s="1167"/>
      <c r="CTN158" s="1167"/>
      <c r="CTO158" s="1167"/>
      <c r="CTP158" s="1167"/>
      <c r="CTQ158" s="1167"/>
      <c r="CTR158" s="1167"/>
      <c r="CTS158" s="1167"/>
      <c r="CTT158" s="1167"/>
      <c r="CTU158" s="1167"/>
      <c r="CTV158" s="1142"/>
      <c r="CTW158" s="1142"/>
      <c r="CTX158" s="1142"/>
      <c r="CTY158" s="1142"/>
      <c r="CTZ158" s="1142"/>
      <c r="CUA158" s="1142"/>
      <c r="CUB158" s="1142"/>
      <c r="CUC158" s="1142"/>
      <c r="CUD158" s="1142"/>
      <c r="CUE158" s="1142"/>
      <c r="CUF158" s="1142"/>
      <c r="CUG158" s="1142"/>
      <c r="CUH158" s="1142"/>
      <c r="CUI158" s="1142"/>
      <c r="CUJ158" s="1142"/>
      <c r="CUK158" s="1142"/>
      <c r="CUL158" s="1142"/>
      <c r="CUM158" s="1142"/>
      <c r="CUN158" s="1142"/>
      <c r="CUO158" s="1142"/>
      <c r="CUP158" s="1142"/>
      <c r="CUQ158" s="1142"/>
      <c r="CUR158" s="1142"/>
      <c r="CUS158" s="1167"/>
      <c r="CUT158" s="1167"/>
      <c r="CUU158" s="1167"/>
      <c r="CUV158" s="1167"/>
      <c r="CUW158" s="1167"/>
      <c r="CUX158" s="1167"/>
      <c r="CUY158" s="1167"/>
      <c r="CUZ158" s="1167"/>
      <c r="CVA158" s="1167"/>
      <c r="CVB158" s="1142"/>
      <c r="CVC158" s="1142"/>
      <c r="CVD158" s="1142"/>
      <c r="CVE158" s="1142"/>
      <c r="CVF158" s="1142"/>
      <c r="CVG158" s="1142"/>
      <c r="CVH158" s="1142"/>
      <c r="CVI158" s="1142"/>
      <c r="CVJ158" s="1142"/>
      <c r="CVK158" s="1142"/>
      <c r="CVL158" s="1142"/>
      <c r="CVM158" s="1142"/>
      <c r="CVN158" s="1142"/>
      <c r="CVO158" s="1142"/>
      <c r="CVP158" s="1142"/>
      <c r="CVQ158" s="1142"/>
      <c r="CVR158" s="1142"/>
      <c r="CVS158" s="1142"/>
      <c r="CVT158" s="1142"/>
      <c r="CVU158" s="1142"/>
      <c r="CVV158" s="1142"/>
      <c r="CVW158" s="1142"/>
      <c r="CVX158" s="1142"/>
      <c r="CVY158" s="1167"/>
      <c r="CVZ158" s="1167"/>
      <c r="CWA158" s="1167"/>
      <c r="CWB158" s="1167"/>
      <c r="CWC158" s="1167"/>
      <c r="CWD158" s="1167"/>
      <c r="CWE158" s="1167"/>
      <c r="CWF158" s="1167"/>
      <c r="CWG158" s="1167"/>
      <c r="CWH158" s="1142"/>
      <c r="CWI158" s="1142"/>
      <c r="CWJ158" s="1142"/>
      <c r="CWK158" s="1142"/>
      <c r="CWL158" s="1142"/>
      <c r="CWM158" s="1142"/>
      <c r="CWN158" s="1142"/>
      <c r="CWO158" s="1142"/>
      <c r="CWP158" s="1142"/>
      <c r="CWQ158" s="1142"/>
      <c r="CWR158" s="1142"/>
      <c r="CWS158" s="1142"/>
      <c r="CWT158" s="1142"/>
      <c r="CWU158" s="1142"/>
      <c r="CWV158" s="1142"/>
      <c r="CWW158" s="1142"/>
      <c r="CWX158" s="1142"/>
      <c r="CWY158" s="1142"/>
      <c r="CWZ158" s="1142"/>
      <c r="CXA158" s="1142"/>
      <c r="CXB158" s="1142"/>
      <c r="CXC158" s="1142"/>
      <c r="CXD158" s="1142"/>
      <c r="CXE158" s="1167"/>
      <c r="CXF158" s="1167"/>
      <c r="CXG158" s="1167"/>
      <c r="CXH158" s="1167"/>
      <c r="CXI158" s="1167"/>
      <c r="CXJ158" s="1167"/>
      <c r="CXK158" s="1167"/>
      <c r="CXL158" s="1167"/>
      <c r="CXM158" s="1167"/>
      <c r="CXN158" s="1142"/>
      <c r="CXO158" s="1142"/>
      <c r="CXP158" s="1142"/>
      <c r="CXQ158" s="1142"/>
      <c r="CXR158" s="1142"/>
      <c r="CXS158" s="1142"/>
      <c r="CXT158" s="1142"/>
      <c r="CXU158" s="1142"/>
      <c r="CXV158" s="1142"/>
      <c r="CXW158" s="1142"/>
      <c r="CXX158" s="1142"/>
      <c r="CXY158" s="1142"/>
      <c r="CXZ158" s="1142"/>
      <c r="CYA158" s="1142"/>
      <c r="CYB158" s="1142"/>
      <c r="CYC158" s="1142"/>
      <c r="CYD158" s="1142"/>
      <c r="CYE158" s="1142"/>
      <c r="CYF158" s="1142"/>
      <c r="CYG158" s="1142"/>
      <c r="CYH158" s="1142"/>
      <c r="CYI158" s="1142"/>
      <c r="CYJ158" s="1142"/>
      <c r="CYK158" s="1167"/>
      <c r="CYL158" s="1167"/>
      <c r="CYM158" s="1167"/>
      <c r="CYN158" s="1167"/>
      <c r="CYO158" s="1167"/>
      <c r="CYP158" s="1167"/>
      <c r="CYQ158" s="1167"/>
      <c r="CYR158" s="1167"/>
      <c r="CYS158" s="1167"/>
      <c r="CYT158" s="1142"/>
      <c r="CYU158" s="1142"/>
      <c r="CYV158" s="1142"/>
      <c r="CYW158" s="1142"/>
      <c r="CYX158" s="1142"/>
      <c r="CYY158" s="1142"/>
      <c r="CYZ158" s="1142"/>
      <c r="CZA158" s="1142"/>
      <c r="CZB158" s="1142"/>
      <c r="CZC158" s="1142"/>
      <c r="CZD158" s="1142"/>
      <c r="CZE158" s="1142"/>
      <c r="CZF158" s="1142"/>
      <c r="CZG158" s="1142"/>
      <c r="CZH158" s="1142"/>
      <c r="CZI158" s="1142"/>
      <c r="CZJ158" s="1142"/>
      <c r="CZK158" s="1142"/>
      <c r="CZL158" s="1142"/>
      <c r="CZM158" s="1142"/>
      <c r="CZN158" s="1142"/>
      <c r="CZO158" s="1142"/>
      <c r="CZP158" s="1142"/>
      <c r="CZQ158" s="1167"/>
      <c r="CZR158" s="1167"/>
      <c r="CZS158" s="1167"/>
      <c r="CZT158" s="1167"/>
      <c r="CZU158" s="1167"/>
      <c r="CZV158" s="1167"/>
      <c r="CZW158" s="1167"/>
      <c r="CZX158" s="1167"/>
      <c r="CZY158" s="1167"/>
      <c r="CZZ158" s="1142"/>
      <c r="DAA158" s="1142"/>
      <c r="DAB158" s="1142"/>
      <c r="DAC158" s="1142"/>
      <c r="DAD158" s="1142"/>
      <c r="DAE158" s="1142"/>
      <c r="DAF158" s="1142"/>
      <c r="DAG158" s="1142"/>
      <c r="DAH158" s="1142"/>
      <c r="DAI158" s="1142"/>
      <c r="DAJ158" s="1142"/>
      <c r="DAK158" s="1142"/>
      <c r="DAL158" s="1142"/>
      <c r="DAM158" s="1142"/>
      <c r="DAN158" s="1142"/>
      <c r="DAO158" s="1142"/>
      <c r="DAP158" s="1142"/>
      <c r="DAQ158" s="1142"/>
      <c r="DAR158" s="1142"/>
      <c r="DAS158" s="1142"/>
      <c r="DAT158" s="1142"/>
      <c r="DAU158" s="1142"/>
      <c r="DAV158" s="1142"/>
      <c r="DAW158" s="1167"/>
      <c r="DAX158" s="1167"/>
      <c r="DAY158" s="1167"/>
      <c r="DAZ158" s="1167"/>
      <c r="DBA158" s="1167"/>
      <c r="DBB158" s="1167"/>
      <c r="DBC158" s="1167"/>
      <c r="DBD158" s="1167"/>
      <c r="DBE158" s="1167"/>
      <c r="DBF158" s="1142"/>
      <c r="DBG158" s="1142"/>
      <c r="DBH158" s="1142"/>
      <c r="DBI158" s="1142"/>
      <c r="DBJ158" s="1142"/>
      <c r="DBK158" s="1142"/>
      <c r="DBL158" s="1142"/>
      <c r="DBM158" s="1142"/>
      <c r="DBN158" s="1142"/>
      <c r="DBO158" s="1142"/>
      <c r="DBP158" s="1142"/>
      <c r="DBQ158" s="1142"/>
      <c r="DBR158" s="1142"/>
      <c r="DBS158" s="1142"/>
      <c r="DBT158" s="1142"/>
      <c r="DBU158" s="1142"/>
      <c r="DBV158" s="1142"/>
      <c r="DBW158" s="1142"/>
      <c r="DBX158" s="1142"/>
      <c r="DBY158" s="1142"/>
      <c r="DBZ158" s="1142"/>
      <c r="DCA158" s="1142"/>
      <c r="DCB158" s="1142"/>
      <c r="DCC158" s="1167"/>
      <c r="DCD158" s="1167"/>
      <c r="DCE158" s="1167"/>
      <c r="DCF158" s="1167"/>
      <c r="DCG158" s="1167"/>
      <c r="DCH158" s="1167"/>
      <c r="DCI158" s="1167"/>
      <c r="DCJ158" s="1167"/>
      <c r="DCK158" s="1167"/>
      <c r="DCL158" s="1142"/>
      <c r="DCM158" s="1142"/>
      <c r="DCN158" s="1142"/>
      <c r="DCO158" s="1142"/>
      <c r="DCP158" s="1142"/>
      <c r="DCQ158" s="1142"/>
      <c r="DCR158" s="1142"/>
      <c r="DCS158" s="1142"/>
      <c r="DCT158" s="1142"/>
      <c r="DCU158" s="1142"/>
      <c r="DCV158" s="1142"/>
      <c r="DCW158" s="1142"/>
      <c r="DCX158" s="1142"/>
      <c r="DCY158" s="1142"/>
      <c r="DCZ158" s="1142"/>
      <c r="DDA158" s="1142"/>
      <c r="DDB158" s="1142"/>
      <c r="DDC158" s="1142"/>
      <c r="DDD158" s="1142"/>
      <c r="DDE158" s="1142"/>
      <c r="DDF158" s="1142"/>
      <c r="DDG158" s="1142"/>
      <c r="DDH158" s="1142"/>
      <c r="DDI158" s="1167"/>
      <c r="DDJ158" s="1167"/>
      <c r="DDK158" s="1167"/>
      <c r="DDL158" s="1167"/>
      <c r="DDM158" s="1167"/>
      <c r="DDN158" s="1167"/>
      <c r="DDO158" s="1167"/>
      <c r="DDP158" s="1167"/>
      <c r="DDQ158" s="1167"/>
      <c r="DDR158" s="1142"/>
      <c r="DDS158" s="1142"/>
      <c r="DDT158" s="1142"/>
      <c r="DDU158" s="1142"/>
      <c r="DDV158" s="1142"/>
      <c r="DDW158" s="1142"/>
      <c r="DDX158" s="1142"/>
      <c r="DDY158" s="1142"/>
      <c r="DDZ158" s="1142"/>
      <c r="DEA158" s="1142"/>
      <c r="DEB158" s="1142"/>
      <c r="DEC158" s="1142"/>
      <c r="DED158" s="1142"/>
      <c r="DEE158" s="1142"/>
      <c r="DEF158" s="1142"/>
      <c r="DEG158" s="1142"/>
      <c r="DEH158" s="1142"/>
      <c r="DEI158" s="1142"/>
      <c r="DEJ158" s="1142"/>
      <c r="DEK158" s="1142"/>
      <c r="DEL158" s="1142"/>
      <c r="DEM158" s="1142"/>
      <c r="DEN158" s="1142"/>
      <c r="DEO158" s="1167"/>
      <c r="DEP158" s="1167"/>
      <c r="DEQ158" s="1167"/>
      <c r="DER158" s="1167"/>
      <c r="DES158" s="1167"/>
      <c r="DET158" s="1167"/>
      <c r="DEU158" s="1167"/>
      <c r="DEV158" s="1167"/>
      <c r="DEW158" s="1167"/>
      <c r="DEX158" s="1142"/>
      <c r="DEY158" s="1142"/>
      <c r="DEZ158" s="1142"/>
      <c r="DFA158" s="1142"/>
      <c r="DFB158" s="1142"/>
      <c r="DFC158" s="1142"/>
      <c r="DFD158" s="1142"/>
      <c r="DFE158" s="1142"/>
      <c r="DFF158" s="1142"/>
      <c r="DFG158" s="1142"/>
      <c r="DFH158" s="1142"/>
      <c r="DFI158" s="1142"/>
      <c r="DFJ158" s="1142"/>
      <c r="DFK158" s="1142"/>
      <c r="DFL158" s="1142"/>
      <c r="DFM158" s="1142"/>
      <c r="DFN158" s="1142"/>
      <c r="DFO158" s="1142"/>
      <c r="DFP158" s="1142"/>
      <c r="DFQ158" s="1142"/>
      <c r="DFR158" s="1142"/>
      <c r="DFS158" s="1142"/>
      <c r="DFT158" s="1142"/>
      <c r="DFU158" s="1167"/>
      <c r="DFV158" s="1167"/>
      <c r="DFW158" s="1167"/>
      <c r="DFX158" s="1167"/>
      <c r="DFY158" s="1167"/>
      <c r="DFZ158" s="1167"/>
      <c r="DGA158" s="1167"/>
      <c r="DGB158" s="1167"/>
      <c r="DGC158" s="1167"/>
      <c r="DGD158" s="1142"/>
      <c r="DGE158" s="1142"/>
      <c r="DGF158" s="1142"/>
      <c r="DGG158" s="1142"/>
      <c r="DGH158" s="1142"/>
      <c r="DGI158" s="1142"/>
      <c r="DGJ158" s="1142"/>
      <c r="DGK158" s="1142"/>
      <c r="DGL158" s="1142"/>
      <c r="DGM158" s="1142"/>
      <c r="DGN158" s="1142"/>
      <c r="DGO158" s="1142"/>
      <c r="DGP158" s="1142"/>
      <c r="DGQ158" s="1142"/>
      <c r="DGR158" s="1142"/>
      <c r="DGS158" s="1142"/>
      <c r="DGT158" s="1142"/>
      <c r="DGU158" s="1142"/>
      <c r="DGV158" s="1142"/>
      <c r="DGW158" s="1142"/>
      <c r="DGX158" s="1142"/>
      <c r="DGY158" s="1142"/>
      <c r="DGZ158" s="1142"/>
      <c r="DHA158" s="1167"/>
      <c r="DHB158" s="1167"/>
      <c r="DHC158" s="1167"/>
      <c r="DHD158" s="1167"/>
      <c r="DHE158" s="1167"/>
      <c r="DHF158" s="1167"/>
      <c r="DHG158" s="1167"/>
      <c r="DHH158" s="1167"/>
      <c r="DHI158" s="1167"/>
      <c r="DHJ158" s="1142"/>
      <c r="DHK158" s="1142"/>
      <c r="DHL158" s="1142"/>
      <c r="DHM158" s="1142"/>
      <c r="DHN158" s="1142"/>
      <c r="DHO158" s="1142"/>
      <c r="DHP158" s="1142"/>
      <c r="DHQ158" s="1142"/>
      <c r="DHR158" s="1142"/>
      <c r="DHS158" s="1142"/>
      <c r="DHT158" s="1142"/>
      <c r="DHU158" s="1142"/>
      <c r="DHV158" s="1142"/>
      <c r="DHW158" s="1142"/>
      <c r="DHX158" s="1142"/>
      <c r="DHY158" s="1142"/>
      <c r="DHZ158" s="1142"/>
      <c r="DIA158" s="1142"/>
      <c r="DIB158" s="1142"/>
      <c r="DIC158" s="1142"/>
      <c r="DID158" s="1142"/>
      <c r="DIE158" s="1142"/>
      <c r="DIF158" s="1142"/>
      <c r="DIG158" s="1167"/>
      <c r="DIH158" s="1167"/>
      <c r="DII158" s="1167"/>
      <c r="DIJ158" s="1167"/>
      <c r="DIK158" s="1167"/>
      <c r="DIL158" s="1167"/>
      <c r="DIM158" s="1167"/>
      <c r="DIN158" s="1167"/>
      <c r="DIO158" s="1167"/>
      <c r="DIP158" s="1142"/>
      <c r="DIQ158" s="1142"/>
      <c r="DIR158" s="1142"/>
      <c r="DIS158" s="1142"/>
      <c r="DIT158" s="1142"/>
      <c r="DIU158" s="1142"/>
      <c r="DIV158" s="1142"/>
      <c r="DIW158" s="1142"/>
      <c r="DIX158" s="1142"/>
      <c r="DIY158" s="1142"/>
      <c r="DIZ158" s="1142"/>
      <c r="DJA158" s="1142"/>
      <c r="DJB158" s="1142"/>
      <c r="DJC158" s="1142"/>
      <c r="DJD158" s="1142"/>
      <c r="DJE158" s="1142"/>
      <c r="DJF158" s="1142"/>
      <c r="DJG158" s="1142"/>
      <c r="DJH158" s="1142"/>
      <c r="DJI158" s="1142"/>
      <c r="DJJ158" s="1142"/>
      <c r="DJK158" s="1142"/>
      <c r="DJL158" s="1142"/>
      <c r="DJM158" s="1167"/>
      <c r="DJN158" s="1167"/>
      <c r="DJO158" s="1167"/>
      <c r="DJP158" s="1167"/>
      <c r="DJQ158" s="1167"/>
      <c r="DJR158" s="1167"/>
      <c r="DJS158" s="1167"/>
      <c r="DJT158" s="1167"/>
      <c r="DJU158" s="1167"/>
      <c r="DJV158" s="1142"/>
      <c r="DJW158" s="1142"/>
      <c r="DJX158" s="1142"/>
      <c r="DJY158" s="1142"/>
      <c r="DJZ158" s="1142"/>
      <c r="DKA158" s="1142"/>
      <c r="DKB158" s="1142"/>
      <c r="DKC158" s="1142"/>
      <c r="DKD158" s="1142"/>
      <c r="DKE158" s="1142"/>
      <c r="DKF158" s="1142"/>
      <c r="DKG158" s="1142"/>
      <c r="DKH158" s="1142"/>
      <c r="DKI158" s="1142"/>
      <c r="DKJ158" s="1142"/>
      <c r="DKK158" s="1142"/>
      <c r="DKL158" s="1142"/>
      <c r="DKM158" s="1142"/>
      <c r="DKN158" s="1142"/>
      <c r="DKO158" s="1142"/>
      <c r="DKP158" s="1142"/>
      <c r="DKQ158" s="1142"/>
      <c r="DKR158" s="1142"/>
      <c r="DKS158" s="1167"/>
      <c r="DKT158" s="1167"/>
      <c r="DKU158" s="1167"/>
      <c r="DKV158" s="1167"/>
      <c r="DKW158" s="1167"/>
      <c r="DKX158" s="1167"/>
      <c r="DKY158" s="1167"/>
      <c r="DKZ158" s="1167"/>
      <c r="DLA158" s="1167"/>
      <c r="DLB158" s="1142"/>
      <c r="DLC158" s="1142"/>
      <c r="DLD158" s="1142"/>
      <c r="DLE158" s="1142"/>
      <c r="DLF158" s="1142"/>
      <c r="DLG158" s="1142"/>
      <c r="DLH158" s="1142"/>
      <c r="DLI158" s="1142"/>
      <c r="DLJ158" s="1142"/>
      <c r="DLK158" s="1142"/>
      <c r="DLL158" s="1142"/>
      <c r="DLM158" s="1142"/>
      <c r="DLN158" s="1142"/>
      <c r="DLO158" s="1142"/>
      <c r="DLP158" s="1142"/>
      <c r="DLQ158" s="1142"/>
      <c r="DLR158" s="1142"/>
      <c r="DLS158" s="1142"/>
      <c r="DLT158" s="1142"/>
      <c r="DLU158" s="1142"/>
      <c r="DLV158" s="1142"/>
      <c r="DLW158" s="1142"/>
      <c r="DLX158" s="1142"/>
      <c r="DLY158" s="1167"/>
      <c r="DLZ158" s="1167"/>
      <c r="DMA158" s="1167"/>
      <c r="DMB158" s="1167"/>
      <c r="DMC158" s="1167"/>
      <c r="DMD158" s="1167"/>
      <c r="DME158" s="1167"/>
      <c r="DMF158" s="1167"/>
      <c r="DMG158" s="1167"/>
      <c r="DMH158" s="1142"/>
      <c r="DMI158" s="1142"/>
      <c r="DMJ158" s="1142"/>
      <c r="DMK158" s="1142"/>
      <c r="DML158" s="1142"/>
      <c r="DMM158" s="1142"/>
      <c r="DMN158" s="1142"/>
      <c r="DMO158" s="1142"/>
      <c r="DMP158" s="1142"/>
      <c r="DMQ158" s="1142"/>
      <c r="DMR158" s="1142"/>
      <c r="DMS158" s="1142"/>
      <c r="DMT158" s="1142"/>
      <c r="DMU158" s="1142"/>
      <c r="DMV158" s="1142"/>
      <c r="DMW158" s="1142"/>
      <c r="DMX158" s="1142"/>
      <c r="DMY158" s="1142"/>
      <c r="DMZ158" s="1142"/>
      <c r="DNA158" s="1142"/>
      <c r="DNB158" s="1142"/>
      <c r="DNC158" s="1142"/>
      <c r="DND158" s="1142"/>
      <c r="DNE158" s="1167"/>
      <c r="DNF158" s="1167"/>
      <c r="DNG158" s="1167"/>
      <c r="DNH158" s="1167"/>
      <c r="DNI158" s="1167"/>
      <c r="DNJ158" s="1167"/>
      <c r="DNK158" s="1167"/>
      <c r="DNL158" s="1167"/>
      <c r="DNM158" s="1167"/>
      <c r="DNN158" s="1142"/>
      <c r="DNO158" s="1142"/>
      <c r="DNP158" s="1142"/>
      <c r="DNQ158" s="1142"/>
      <c r="DNR158" s="1142"/>
      <c r="DNS158" s="1142"/>
      <c r="DNT158" s="1142"/>
      <c r="DNU158" s="1142"/>
      <c r="DNV158" s="1142"/>
      <c r="DNW158" s="1142"/>
      <c r="DNX158" s="1142"/>
      <c r="DNY158" s="1142"/>
      <c r="DNZ158" s="1142"/>
      <c r="DOA158" s="1142"/>
      <c r="DOB158" s="1142"/>
      <c r="DOC158" s="1142"/>
      <c r="DOD158" s="1142"/>
      <c r="DOE158" s="1142"/>
      <c r="DOF158" s="1142"/>
      <c r="DOG158" s="1142"/>
      <c r="DOH158" s="1142"/>
      <c r="DOI158" s="1142"/>
      <c r="DOJ158" s="1142"/>
      <c r="DOK158" s="1167"/>
      <c r="DOL158" s="1167"/>
      <c r="DOM158" s="1167"/>
      <c r="DON158" s="1167"/>
      <c r="DOO158" s="1167"/>
      <c r="DOP158" s="1167"/>
      <c r="DOQ158" s="1167"/>
      <c r="DOR158" s="1167"/>
      <c r="DOS158" s="1167"/>
      <c r="DOT158" s="1142"/>
      <c r="DOU158" s="1142"/>
      <c r="DOV158" s="1142"/>
      <c r="DOW158" s="1142"/>
      <c r="DOX158" s="1142"/>
      <c r="DOY158" s="1142"/>
      <c r="DOZ158" s="1142"/>
      <c r="DPA158" s="1142"/>
      <c r="DPB158" s="1142"/>
      <c r="DPC158" s="1142"/>
      <c r="DPD158" s="1142"/>
      <c r="DPE158" s="1142"/>
      <c r="DPF158" s="1142"/>
      <c r="DPG158" s="1142"/>
      <c r="DPH158" s="1142"/>
      <c r="DPI158" s="1142"/>
      <c r="DPJ158" s="1142"/>
      <c r="DPK158" s="1142"/>
      <c r="DPL158" s="1142"/>
      <c r="DPM158" s="1142"/>
      <c r="DPN158" s="1142"/>
      <c r="DPO158" s="1142"/>
      <c r="DPP158" s="1142"/>
      <c r="DPQ158" s="1167"/>
      <c r="DPR158" s="1167"/>
      <c r="DPS158" s="1167"/>
      <c r="DPT158" s="1167"/>
      <c r="DPU158" s="1167"/>
      <c r="DPV158" s="1167"/>
      <c r="DPW158" s="1167"/>
      <c r="DPX158" s="1167"/>
      <c r="DPY158" s="1167"/>
      <c r="DPZ158" s="1142"/>
      <c r="DQA158" s="1142"/>
      <c r="DQB158" s="1142"/>
      <c r="DQC158" s="1142"/>
      <c r="DQD158" s="1142"/>
      <c r="DQE158" s="1142"/>
      <c r="DQF158" s="1142"/>
      <c r="DQG158" s="1142"/>
      <c r="DQH158" s="1142"/>
      <c r="DQI158" s="1142"/>
      <c r="DQJ158" s="1142"/>
      <c r="DQK158" s="1142"/>
      <c r="DQL158" s="1142"/>
      <c r="DQM158" s="1142"/>
      <c r="DQN158" s="1142"/>
      <c r="DQO158" s="1142"/>
      <c r="DQP158" s="1142"/>
      <c r="DQQ158" s="1142"/>
      <c r="DQR158" s="1142"/>
      <c r="DQS158" s="1142"/>
      <c r="DQT158" s="1142"/>
      <c r="DQU158" s="1142"/>
      <c r="DQV158" s="1142"/>
      <c r="DQW158" s="1167"/>
      <c r="DQX158" s="1167"/>
      <c r="DQY158" s="1167"/>
      <c r="DQZ158" s="1167"/>
      <c r="DRA158" s="1167"/>
      <c r="DRB158" s="1167"/>
      <c r="DRC158" s="1167"/>
      <c r="DRD158" s="1167"/>
      <c r="DRE158" s="1167"/>
      <c r="DRF158" s="1142"/>
      <c r="DRG158" s="1142"/>
      <c r="DRH158" s="1142"/>
      <c r="DRI158" s="1142"/>
      <c r="DRJ158" s="1142"/>
      <c r="DRK158" s="1142"/>
      <c r="DRL158" s="1142"/>
      <c r="DRM158" s="1142"/>
      <c r="DRN158" s="1142"/>
      <c r="DRO158" s="1142"/>
      <c r="DRP158" s="1142"/>
      <c r="DRQ158" s="1142"/>
      <c r="DRR158" s="1142"/>
      <c r="DRS158" s="1142"/>
      <c r="DRT158" s="1142"/>
      <c r="DRU158" s="1142"/>
      <c r="DRV158" s="1142"/>
      <c r="DRW158" s="1142"/>
      <c r="DRX158" s="1142"/>
      <c r="DRY158" s="1142"/>
      <c r="DRZ158" s="1142"/>
      <c r="DSA158" s="1142"/>
      <c r="DSB158" s="1142"/>
      <c r="DSC158" s="1167"/>
      <c r="DSD158" s="1167"/>
      <c r="DSE158" s="1167"/>
      <c r="DSF158" s="1167"/>
      <c r="DSG158" s="1167"/>
      <c r="DSH158" s="1167"/>
      <c r="DSI158" s="1167"/>
      <c r="DSJ158" s="1167"/>
      <c r="DSK158" s="1167"/>
      <c r="DSL158" s="1142"/>
      <c r="DSM158" s="1142"/>
      <c r="DSN158" s="1142"/>
      <c r="DSO158" s="1142"/>
      <c r="DSP158" s="1142"/>
      <c r="DSQ158" s="1142"/>
      <c r="DSR158" s="1142"/>
      <c r="DSS158" s="1142"/>
      <c r="DST158" s="1142"/>
      <c r="DSU158" s="1142"/>
      <c r="DSV158" s="1142"/>
      <c r="DSW158" s="1142"/>
      <c r="DSX158" s="1142"/>
      <c r="DSY158" s="1142"/>
      <c r="DSZ158" s="1142"/>
      <c r="DTA158" s="1142"/>
      <c r="DTB158" s="1142"/>
      <c r="DTC158" s="1142"/>
      <c r="DTD158" s="1142"/>
      <c r="DTE158" s="1142"/>
      <c r="DTF158" s="1142"/>
      <c r="DTG158" s="1142"/>
      <c r="DTH158" s="1142"/>
      <c r="DTI158" s="1167"/>
      <c r="DTJ158" s="1167"/>
      <c r="DTK158" s="1167"/>
      <c r="DTL158" s="1167"/>
      <c r="DTM158" s="1167"/>
      <c r="DTN158" s="1167"/>
      <c r="DTO158" s="1167"/>
      <c r="DTP158" s="1167"/>
      <c r="DTQ158" s="1167"/>
      <c r="DTR158" s="1142"/>
      <c r="DTS158" s="1142"/>
      <c r="DTT158" s="1142"/>
      <c r="DTU158" s="1142"/>
      <c r="DTV158" s="1142"/>
      <c r="DTW158" s="1142"/>
      <c r="DTX158" s="1142"/>
      <c r="DTY158" s="1142"/>
      <c r="DTZ158" s="1142"/>
      <c r="DUA158" s="1142"/>
      <c r="DUB158" s="1142"/>
      <c r="DUC158" s="1142"/>
      <c r="DUD158" s="1142"/>
      <c r="DUE158" s="1142"/>
      <c r="DUF158" s="1142"/>
      <c r="DUG158" s="1142"/>
      <c r="DUH158" s="1142"/>
      <c r="DUI158" s="1142"/>
      <c r="DUJ158" s="1142"/>
      <c r="DUK158" s="1142"/>
      <c r="DUL158" s="1142"/>
      <c r="DUM158" s="1142"/>
      <c r="DUN158" s="1142"/>
      <c r="DUO158" s="1167"/>
      <c r="DUP158" s="1167"/>
      <c r="DUQ158" s="1167"/>
      <c r="DUR158" s="1167"/>
      <c r="DUS158" s="1167"/>
      <c r="DUT158" s="1167"/>
      <c r="DUU158" s="1167"/>
      <c r="DUV158" s="1167"/>
      <c r="DUW158" s="1167"/>
      <c r="DUX158" s="1142"/>
      <c r="DUY158" s="1142"/>
      <c r="DUZ158" s="1142"/>
      <c r="DVA158" s="1142"/>
      <c r="DVB158" s="1142"/>
      <c r="DVC158" s="1142"/>
      <c r="DVD158" s="1142"/>
      <c r="DVE158" s="1142"/>
      <c r="DVF158" s="1142"/>
      <c r="DVG158" s="1142"/>
      <c r="DVH158" s="1142"/>
      <c r="DVI158" s="1142"/>
      <c r="DVJ158" s="1142"/>
      <c r="DVK158" s="1142"/>
      <c r="DVL158" s="1142"/>
      <c r="DVM158" s="1142"/>
      <c r="DVN158" s="1142"/>
      <c r="DVO158" s="1142"/>
      <c r="DVP158" s="1142"/>
      <c r="DVQ158" s="1142"/>
      <c r="DVR158" s="1142"/>
      <c r="DVS158" s="1142"/>
      <c r="DVT158" s="1142"/>
      <c r="DVU158" s="1167"/>
      <c r="DVV158" s="1167"/>
      <c r="DVW158" s="1167"/>
      <c r="DVX158" s="1167"/>
      <c r="DVY158" s="1167"/>
      <c r="DVZ158" s="1167"/>
      <c r="DWA158" s="1167"/>
      <c r="DWB158" s="1167"/>
      <c r="DWC158" s="1167"/>
      <c r="DWD158" s="1142"/>
      <c r="DWE158" s="1142"/>
      <c r="DWF158" s="1142"/>
      <c r="DWG158" s="1142"/>
      <c r="DWH158" s="1142"/>
      <c r="DWI158" s="1142"/>
      <c r="DWJ158" s="1142"/>
      <c r="DWK158" s="1142"/>
      <c r="DWL158" s="1142"/>
      <c r="DWM158" s="1142"/>
      <c r="DWN158" s="1142"/>
      <c r="DWO158" s="1142"/>
      <c r="DWP158" s="1142"/>
      <c r="DWQ158" s="1142"/>
      <c r="DWR158" s="1142"/>
      <c r="DWS158" s="1142"/>
      <c r="DWT158" s="1142"/>
      <c r="DWU158" s="1142"/>
      <c r="DWV158" s="1142"/>
      <c r="DWW158" s="1142"/>
      <c r="DWX158" s="1142"/>
      <c r="DWY158" s="1142"/>
      <c r="DWZ158" s="1142"/>
      <c r="DXA158" s="1167"/>
      <c r="DXB158" s="1167"/>
      <c r="DXC158" s="1167"/>
      <c r="DXD158" s="1167"/>
      <c r="DXE158" s="1167"/>
      <c r="DXF158" s="1167"/>
      <c r="DXG158" s="1167"/>
      <c r="DXH158" s="1167"/>
      <c r="DXI158" s="1167"/>
      <c r="DXJ158" s="1142"/>
      <c r="DXK158" s="1142"/>
      <c r="DXL158" s="1142"/>
      <c r="DXM158" s="1142"/>
      <c r="DXN158" s="1142"/>
      <c r="DXO158" s="1142"/>
      <c r="DXP158" s="1142"/>
      <c r="DXQ158" s="1142"/>
      <c r="DXR158" s="1142"/>
      <c r="DXS158" s="1142"/>
      <c r="DXT158" s="1142"/>
      <c r="DXU158" s="1142"/>
      <c r="DXV158" s="1142"/>
      <c r="DXW158" s="1142"/>
      <c r="DXX158" s="1142"/>
      <c r="DXY158" s="1142"/>
      <c r="DXZ158" s="1142"/>
      <c r="DYA158" s="1142"/>
      <c r="DYB158" s="1142"/>
      <c r="DYC158" s="1142"/>
      <c r="DYD158" s="1142"/>
      <c r="DYE158" s="1142"/>
      <c r="DYF158" s="1142"/>
      <c r="DYG158" s="1167"/>
      <c r="DYH158" s="1167"/>
      <c r="DYI158" s="1167"/>
      <c r="DYJ158" s="1167"/>
      <c r="DYK158" s="1167"/>
      <c r="DYL158" s="1167"/>
      <c r="DYM158" s="1167"/>
      <c r="DYN158" s="1167"/>
      <c r="DYO158" s="1167"/>
      <c r="DYP158" s="1142"/>
      <c r="DYQ158" s="1142"/>
      <c r="DYR158" s="1142"/>
      <c r="DYS158" s="1142"/>
      <c r="DYT158" s="1142"/>
      <c r="DYU158" s="1142"/>
      <c r="DYV158" s="1142"/>
      <c r="DYW158" s="1142"/>
      <c r="DYX158" s="1142"/>
      <c r="DYY158" s="1142"/>
      <c r="DYZ158" s="1142"/>
      <c r="DZA158" s="1142"/>
      <c r="DZB158" s="1142"/>
      <c r="DZC158" s="1142"/>
      <c r="DZD158" s="1142"/>
      <c r="DZE158" s="1142"/>
      <c r="DZF158" s="1142"/>
      <c r="DZG158" s="1142"/>
      <c r="DZH158" s="1142"/>
      <c r="DZI158" s="1142"/>
      <c r="DZJ158" s="1142"/>
      <c r="DZK158" s="1142"/>
      <c r="DZL158" s="1142"/>
      <c r="DZM158" s="1167"/>
      <c r="DZN158" s="1167"/>
      <c r="DZO158" s="1167"/>
      <c r="DZP158" s="1167"/>
      <c r="DZQ158" s="1167"/>
      <c r="DZR158" s="1167"/>
      <c r="DZS158" s="1167"/>
      <c r="DZT158" s="1167"/>
      <c r="DZU158" s="1167"/>
      <c r="DZV158" s="1142"/>
      <c r="DZW158" s="1142"/>
      <c r="DZX158" s="1142"/>
      <c r="DZY158" s="1142"/>
      <c r="DZZ158" s="1142"/>
      <c r="EAA158" s="1142"/>
      <c r="EAB158" s="1142"/>
      <c r="EAC158" s="1142"/>
      <c r="EAD158" s="1142"/>
      <c r="EAE158" s="1142"/>
      <c r="EAF158" s="1142"/>
      <c r="EAG158" s="1142"/>
      <c r="EAH158" s="1142"/>
      <c r="EAI158" s="1142"/>
      <c r="EAJ158" s="1142"/>
      <c r="EAK158" s="1142"/>
      <c r="EAL158" s="1142"/>
      <c r="EAM158" s="1142"/>
      <c r="EAN158" s="1142"/>
      <c r="EAO158" s="1142"/>
      <c r="EAP158" s="1142"/>
      <c r="EAQ158" s="1142"/>
      <c r="EAR158" s="1142"/>
      <c r="EAS158" s="1167"/>
      <c r="EAT158" s="1167"/>
      <c r="EAU158" s="1167"/>
      <c r="EAV158" s="1167"/>
      <c r="EAW158" s="1167"/>
      <c r="EAX158" s="1167"/>
      <c r="EAY158" s="1167"/>
      <c r="EAZ158" s="1167"/>
      <c r="EBA158" s="1167"/>
      <c r="EBB158" s="1142"/>
      <c r="EBC158" s="1142"/>
      <c r="EBD158" s="1142"/>
      <c r="EBE158" s="1142"/>
      <c r="EBF158" s="1142"/>
      <c r="EBG158" s="1142"/>
      <c r="EBH158" s="1142"/>
      <c r="EBI158" s="1142"/>
      <c r="EBJ158" s="1142"/>
      <c r="EBK158" s="1142"/>
      <c r="EBL158" s="1142"/>
      <c r="EBM158" s="1142"/>
      <c r="EBN158" s="1142"/>
      <c r="EBO158" s="1142"/>
      <c r="EBP158" s="1142"/>
      <c r="EBQ158" s="1142"/>
      <c r="EBR158" s="1142"/>
      <c r="EBS158" s="1142"/>
      <c r="EBT158" s="1142"/>
      <c r="EBU158" s="1142"/>
      <c r="EBV158" s="1142"/>
      <c r="EBW158" s="1142"/>
      <c r="EBX158" s="1142"/>
      <c r="EBY158" s="1167"/>
      <c r="EBZ158" s="1167"/>
      <c r="ECA158" s="1167"/>
      <c r="ECB158" s="1167"/>
      <c r="ECC158" s="1167"/>
      <c r="ECD158" s="1167"/>
      <c r="ECE158" s="1167"/>
      <c r="ECF158" s="1167"/>
      <c r="ECG158" s="1167"/>
      <c r="ECH158" s="1142"/>
      <c r="ECI158" s="1142"/>
      <c r="ECJ158" s="1142"/>
      <c r="ECK158" s="1142"/>
      <c r="ECL158" s="1142"/>
      <c r="ECM158" s="1142"/>
      <c r="ECN158" s="1142"/>
      <c r="ECO158" s="1142"/>
      <c r="ECP158" s="1142"/>
      <c r="ECQ158" s="1142"/>
      <c r="ECR158" s="1142"/>
      <c r="ECS158" s="1142"/>
      <c r="ECT158" s="1142"/>
      <c r="ECU158" s="1142"/>
      <c r="ECV158" s="1142"/>
      <c r="ECW158" s="1142"/>
      <c r="ECX158" s="1142"/>
      <c r="ECY158" s="1142"/>
      <c r="ECZ158" s="1142"/>
      <c r="EDA158" s="1142"/>
      <c r="EDB158" s="1142"/>
      <c r="EDC158" s="1142"/>
      <c r="EDD158" s="1142"/>
      <c r="EDE158" s="1167"/>
      <c r="EDF158" s="1167"/>
      <c r="EDG158" s="1167"/>
      <c r="EDH158" s="1167"/>
      <c r="EDI158" s="1167"/>
      <c r="EDJ158" s="1167"/>
      <c r="EDK158" s="1167"/>
      <c r="EDL158" s="1167"/>
      <c r="EDM158" s="1167"/>
      <c r="EDN158" s="1142"/>
      <c r="EDO158" s="1142"/>
      <c r="EDP158" s="1142"/>
      <c r="EDQ158" s="1142"/>
      <c r="EDR158" s="1142"/>
      <c r="EDS158" s="1142"/>
      <c r="EDT158" s="1142"/>
      <c r="EDU158" s="1142"/>
      <c r="EDV158" s="1142"/>
      <c r="EDW158" s="1142"/>
      <c r="EDX158" s="1142"/>
      <c r="EDY158" s="1142"/>
      <c r="EDZ158" s="1142"/>
      <c r="EEA158" s="1142"/>
      <c r="EEB158" s="1142"/>
      <c r="EEC158" s="1142"/>
      <c r="EED158" s="1142"/>
      <c r="EEE158" s="1142"/>
      <c r="EEF158" s="1142"/>
      <c r="EEG158" s="1142"/>
      <c r="EEH158" s="1142"/>
      <c r="EEI158" s="1142"/>
      <c r="EEJ158" s="1142"/>
      <c r="EEK158" s="1167"/>
      <c r="EEL158" s="1167"/>
      <c r="EEM158" s="1167"/>
      <c r="EEN158" s="1167"/>
      <c r="EEO158" s="1167"/>
      <c r="EEP158" s="1167"/>
      <c r="EEQ158" s="1167"/>
      <c r="EER158" s="1167"/>
      <c r="EES158" s="1167"/>
      <c r="EET158" s="1142"/>
      <c r="EEU158" s="1142"/>
      <c r="EEV158" s="1142"/>
      <c r="EEW158" s="1142"/>
      <c r="EEX158" s="1142"/>
      <c r="EEY158" s="1142"/>
      <c r="EEZ158" s="1142"/>
      <c r="EFA158" s="1142"/>
      <c r="EFB158" s="1142"/>
      <c r="EFC158" s="1142"/>
      <c r="EFD158" s="1142"/>
      <c r="EFE158" s="1142"/>
      <c r="EFF158" s="1142"/>
      <c r="EFG158" s="1142"/>
      <c r="EFH158" s="1142"/>
      <c r="EFI158" s="1142"/>
      <c r="EFJ158" s="1142"/>
      <c r="EFK158" s="1142"/>
      <c r="EFL158" s="1142"/>
      <c r="EFM158" s="1142"/>
      <c r="EFN158" s="1142"/>
      <c r="EFO158" s="1142"/>
      <c r="EFP158" s="1142"/>
      <c r="EFQ158" s="1167"/>
      <c r="EFR158" s="1167"/>
      <c r="EFS158" s="1167"/>
      <c r="EFT158" s="1167"/>
      <c r="EFU158" s="1167"/>
      <c r="EFV158" s="1167"/>
      <c r="EFW158" s="1167"/>
      <c r="EFX158" s="1167"/>
      <c r="EFY158" s="1167"/>
      <c r="EFZ158" s="1142"/>
      <c r="EGA158" s="1142"/>
      <c r="EGB158" s="1142"/>
      <c r="EGC158" s="1142"/>
      <c r="EGD158" s="1142"/>
      <c r="EGE158" s="1142"/>
      <c r="EGF158" s="1142"/>
      <c r="EGG158" s="1142"/>
      <c r="EGH158" s="1142"/>
      <c r="EGI158" s="1142"/>
      <c r="EGJ158" s="1142"/>
      <c r="EGK158" s="1142"/>
      <c r="EGL158" s="1142"/>
      <c r="EGM158" s="1142"/>
      <c r="EGN158" s="1142"/>
      <c r="EGO158" s="1142"/>
      <c r="EGP158" s="1142"/>
      <c r="EGQ158" s="1142"/>
      <c r="EGR158" s="1142"/>
      <c r="EGS158" s="1142"/>
      <c r="EGT158" s="1142"/>
      <c r="EGU158" s="1142"/>
      <c r="EGV158" s="1142"/>
      <c r="EGW158" s="1167"/>
      <c r="EGX158" s="1167"/>
      <c r="EGY158" s="1167"/>
      <c r="EGZ158" s="1167"/>
      <c r="EHA158" s="1167"/>
      <c r="EHB158" s="1167"/>
      <c r="EHC158" s="1167"/>
      <c r="EHD158" s="1167"/>
      <c r="EHE158" s="1167"/>
      <c r="EHF158" s="1142"/>
      <c r="EHG158" s="1142"/>
      <c r="EHH158" s="1142"/>
      <c r="EHI158" s="1142"/>
      <c r="EHJ158" s="1142"/>
      <c r="EHK158" s="1142"/>
      <c r="EHL158" s="1142"/>
      <c r="EHM158" s="1142"/>
      <c r="EHN158" s="1142"/>
      <c r="EHO158" s="1142"/>
      <c r="EHP158" s="1142"/>
      <c r="EHQ158" s="1142"/>
      <c r="EHR158" s="1142"/>
      <c r="EHS158" s="1142"/>
      <c r="EHT158" s="1142"/>
      <c r="EHU158" s="1142"/>
      <c r="EHV158" s="1142"/>
      <c r="EHW158" s="1142"/>
      <c r="EHX158" s="1142"/>
      <c r="EHY158" s="1142"/>
      <c r="EHZ158" s="1142"/>
      <c r="EIA158" s="1142"/>
      <c r="EIB158" s="1142"/>
      <c r="EIC158" s="1167"/>
      <c r="EID158" s="1167"/>
      <c r="EIE158" s="1167"/>
      <c r="EIF158" s="1167"/>
      <c r="EIG158" s="1167"/>
      <c r="EIH158" s="1167"/>
      <c r="EII158" s="1167"/>
      <c r="EIJ158" s="1167"/>
      <c r="EIK158" s="1167"/>
      <c r="EIL158" s="1142"/>
      <c r="EIM158" s="1142"/>
      <c r="EIN158" s="1142"/>
      <c r="EIO158" s="1142"/>
      <c r="EIP158" s="1142"/>
      <c r="EIQ158" s="1142"/>
      <c r="EIR158" s="1142"/>
      <c r="EIS158" s="1142"/>
      <c r="EIT158" s="1142"/>
      <c r="EIU158" s="1142"/>
      <c r="EIV158" s="1142"/>
      <c r="EIW158" s="1142"/>
      <c r="EIX158" s="1142"/>
      <c r="EIY158" s="1142"/>
      <c r="EIZ158" s="1142"/>
      <c r="EJA158" s="1142"/>
      <c r="EJB158" s="1142"/>
      <c r="EJC158" s="1142"/>
      <c r="EJD158" s="1142"/>
      <c r="EJE158" s="1142"/>
      <c r="EJF158" s="1142"/>
      <c r="EJG158" s="1142"/>
      <c r="EJH158" s="1142"/>
      <c r="EJI158" s="1167"/>
      <c r="EJJ158" s="1167"/>
      <c r="EJK158" s="1167"/>
      <c r="EJL158" s="1167"/>
      <c r="EJM158" s="1167"/>
      <c r="EJN158" s="1167"/>
      <c r="EJO158" s="1167"/>
      <c r="EJP158" s="1167"/>
      <c r="EJQ158" s="1167"/>
      <c r="EJR158" s="1142"/>
      <c r="EJS158" s="1142"/>
      <c r="EJT158" s="1142"/>
      <c r="EJU158" s="1142"/>
      <c r="EJV158" s="1142"/>
      <c r="EJW158" s="1142"/>
      <c r="EJX158" s="1142"/>
      <c r="EJY158" s="1142"/>
      <c r="EJZ158" s="1142"/>
      <c r="EKA158" s="1142"/>
      <c r="EKB158" s="1142"/>
      <c r="EKC158" s="1142"/>
      <c r="EKD158" s="1142"/>
      <c r="EKE158" s="1142"/>
      <c r="EKF158" s="1142"/>
      <c r="EKG158" s="1142"/>
      <c r="EKH158" s="1142"/>
      <c r="EKI158" s="1142"/>
      <c r="EKJ158" s="1142"/>
      <c r="EKK158" s="1142"/>
      <c r="EKL158" s="1142"/>
      <c r="EKM158" s="1142"/>
      <c r="EKN158" s="1142"/>
      <c r="EKO158" s="1167"/>
      <c r="EKP158" s="1167"/>
      <c r="EKQ158" s="1167"/>
      <c r="EKR158" s="1167"/>
      <c r="EKS158" s="1167"/>
      <c r="EKT158" s="1167"/>
      <c r="EKU158" s="1167"/>
      <c r="EKV158" s="1167"/>
      <c r="EKW158" s="1167"/>
      <c r="EKX158" s="1142"/>
      <c r="EKY158" s="1142"/>
      <c r="EKZ158" s="1142"/>
      <c r="ELA158" s="1142"/>
      <c r="ELB158" s="1142"/>
      <c r="ELC158" s="1142"/>
      <c r="ELD158" s="1142"/>
      <c r="ELE158" s="1142"/>
      <c r="ELF158" s="1142"/>
      <c r="ELG158" s="1142"/>
      <c r="ELH158" s="1142"/>
      <c r="ELI158" s="1142"/>
      <c r="ELJ158" s="1142"/>
      <c r="ELK158" s="1142"/>
      <c r="ELL158" s="1142"/>
      <c r="ELM158" s="1142"/>
      <c r="ELN158" s="1142"/>
      <c r="ELO158" s="1142"/>
      <c r="ELP158" s="1142"/>
      <c r="ELQ158" s="1142"/>
      <c r="ELR158" s="1142"/>
      <c r="ELS158" s="1142"/>
      <c r="ELT158" s="1142"/>
      <c r="ELU158" s="1167"/>
      <c r="ELV158" s="1167"/>
      <c r="ELW158" s="1167"/>
      <c r="ELX158" s="1167"/>
      <c r="ELY158" s="1167"/>
      <c r="ELZ158" s="1167"/>
      <c r="EMA158" s="1167"/>
      <c r="EMB158" s="1167"/>
      <c r="EMC158" s="1167"/>
      <c r="EMD158" s="1142"/>
      <c r="EME158" s="1142"/>
      <c r="EMF158" s="1142"/>
      <c r="EMG158" s="1142"/>
      <c r="EMH158" s="1142"/>
      <c r="EMI158" s="1142"/>
      <c r="EMJ158" s="1142"/>
      <c r="EMK158" s="1142"/>
      <c r="EML158" s="1142"/>
      <c r="EMM158" s="1142"/>
      <c r="EMN158" s="1142"/>
      <c r="EMO158" s="1142"/>
      <c r="EMP158" s="1142"/>
      <c r="EMQ158" s="1142"/>
      <c r="EMR158" s="1142"/>
      <c r="EMS158" s="1142"/>
      <c r="EMT158" s="1142"/>
      <c r="EMU158" s="1142"/>
      <c r="EMV158" s="1142"/>
      <c r="EMW158" s="1142"/>
      <c r="EMX158" s="1142"/>
      <c r="EMY158" s="1142"/>
      <c r="EMZ158" s="1142"/>
      <c r="ENA158" s="1167"/>
      <c r="ENB158" s="1167"/>
      <c r="ENC158" s="1167"/>
      <c r="END158" s="1167"/>
      <c r="ENE158" s="1167"/>
      <c r="ENF158" s="1167"/>
      <c r="ENG158" s="1167"/>
      <c r="ENH158" s="1167"/>
      <c r="ENI158" s="1167"/>
      <c r="ENJ158" s="1142"/>
      <c r="ENK158" s="1142"/>
      <c r="ENL158" s="1142"/>
      <c r="ENM158" s="1142"/>
      <c r="ENN158" s="1142"/>
      <c r="ENO158" s="1142"/>
      <c r="ENP158" s="1142"/>
      <c r="ENQ158" s="1142"/>
      <c r="ENR158" s="1142"/>
      <c r="ENS158" s="1142"/>
      <c r="ENT158" s="1142"/>
      <c r="ENU158" s="1142"/>
      <c r="ENV158" s="1142"/>
      <c r="ENW158" s="1142"/>
      <c r="ENX158" s="1142"/>
      <c r="ENY158" s="1142"/>
      <c r="ENZ158" s="1142"/>
      <c r="EOA158" s="1142"/>
      <c r="EOB158" s="1142"/>
      <c r="EOC158" s="1142"/>
      <c r="EOD158" s="1142"/>
      <c r="EOE158" s="1142"/>
      <c r="EOF158" s="1142"/>
      <c r="EOG158" s="1167"/>
      <c r="EOH158" s="1167"/>
      <c r="EOI158" s="1167"/>
      <c r="EOJ158" s="1167"/>
      <c r="EOK158" s="1167"/>
      <c r="EOL158" s="1167"/>
      <c r="EOM158" s="1167"/>
      <c r="EON158" s="1167"/>
      <c r="EOO158" s="1167"/>
      <c r="EOP158" s="1142"/>
      <c r="EOQ158" s="1142"/>
      <c r="EOR158" s="1142"/>
      <c r="EOS158" s="1142"/>
      <c r="EOT158" s="1142"/>
      <c r="EOU158" s="1142"/>
      <c r="EOV158" s="1142"/>
      <c r="EOW158" s="1142"/>
      <c r="EOX158" s="1142"/>
      <c r="EOY158" s="1142"/>
      <c r="EOZ158" s="1142"/>
      <c r="EPA158" s="1142"/>
      <c r="EPB158" s="1142"/>
      <c r="EPC158" s="1142"/>
      <c r="EPD158" s="1142"/>
      <c r="EPE158" s="1142"/>
      <c r="EPF158" s="1142"/>
      <c r="EPG158" s="1142"/>
      <c r="EPH158" s="1142"/>
      <c r="EPI158" s="1142"/>
      <c r="EPJ158" s="1142"/>
      <c r="EPK158" s="1142"/>
      <c r="EPL158" s="1142"/>
      <c r="EPM158" s="1167"/>
      <c r="EPN158" s="1167"/>
      <c r="EPO158" s="1167"/>
      <c r="EPP158" s="1167"/>
      <c r="EPQ158" s="1167"/>
      <c r="EPR158" s="1167"/>
      <c r="EPS158" s="1167"/>
      <c r="EPT158" s="1167"/>
      <c r="EPU158" s="1167"/>
      <c r="EPV158" s="1142"/>
      <c r="EPW158" s="1142"/>
      <c r="EPX158" s="1142"/>
      <c r="EPY158" s="1142"/>
      <c r="EPZ158" s="1142"/>
      <c r="EQA158" s="1142"/>
      <c r="EQB158" s="1142"/>
      <c r="EQC158" s="1142"/>
      <c r="EQD158" s="1142"/>
      <c r="EQE158" s="1142"/>
      <c r="EQF158" s="1142"/>
      <c r="EQG158" s="1142"/>
      <c r="EQH158" s="1142"/>
      <c r="EQI158" s="1142"/>
      <c r="EQJ158" s="1142"/>
      <c r="EQK158" s="1142"/>
      <c r="EQL158" s="1142"/>
      <c r="EQM158" s="1142"/>
      <c r="EQN158" s="1142"/>
      <c r="EQO158" s="1142"/>
      <c r="EQP158" s="1142"/>
      <c r="EQQ158" s="1142"/>
      <c r="EQR158" s="1142"/>
      <c r="EQS158" s="1167"/>
      <c r="EQT158" s="1167"/>
      <c r="EQU158" s="1167"/>
      <c r="EQV158" s="1167"/>
      <c r="EQW158" s="1167"/>
      <c r="EQX158" s="1167"/>
      <c r="EQY158" s="1167"/>
      <c r="EQZ158" s="1167"/>
      <c r="ERA158" s="1167"/>
      <c r="ERB158" s="1142"/>
      <c r="ERC158" s="1142"/>
      <c r="ERD158" s="1142"/>
      <c r="ERE158" s="1142"/>
      <c r="ERF158" s="1142"/>
      <c r="ERG158" s="1142"/>
      <c r="ERH158" s="1142"/>
      <c r="ERI158" s="1142"/>
      <c r="ERJ158" s="1142"/>
      <c r="ERK158" s="1142"/>
      <c r="ERL158" s="1142"/>
      <c r="ERM158" s="1142"/>
      <c r="ERN158" s="1142"/>
      <c r="ERO158" s="1142"/>
      <c r="ERP158" s="1142"/>
      <c r="ERQ158" s="1142"/>
      <c r="ERR158" s="1142"/>
      <c r="ERS158" s="1142"/>
      <c r="ERT158" s="1142"/>
      <c r="ERU158" s="1142"/>
      <c r="ERV158" s="1142"/>
      <c r="ERW158" s="1142"/>
      <c r="ERX158" s="1142"/>
      <c r="ERY158" s="1167"/>
      <c r="ERZ158" s="1167"/>
      <c r="ESA158" s="1167"/>
      <c r="ESB158" s="1167"/>
      <c r="ESC158" s="1167"/>
      <c r="ESD158" s="1167"/>
      <c r="ESE158" s="1167"/>
      <c r="ESF158" s="1167"/>
      <c r="ESG158" s="1167"/>
      <c r="ESH158" s="1142"/>
      <c r="ESI158" s="1142"/>
      <c r="ESJ158" s="1142"/>
      <c r="ESK158" s="1142"/>
      <c r="ESL158" s="1142"/>
      <c r="ESM158" s="1142"/>
      <c r="ESN158" s="1142"/>
      <c r="ESO158" s="1142"/>
      <c r="ESP158" s="1142"/>
      <c r="ESQ158" s="1142"/>
      <c r="ESR158" s="1142"/>
      <c r="ESS158" s="1142"/>
      <c r="EST158" s="1142"/>
      <c r="ESU158" s="1142"/>
      <c r="ESV158" s="1142"/>
      <c r="ESW158" s="1142"/>
      <c r="ESX158" s="1142"/>
      <c r="ESY158" s="1142"/>
      <c r="ESZ158" s="1142"/>
      <c r="ETA158" s="1142"/>
      <c r="ETB158" s="1142"/>
      <c r="ETC158" s="1142"/>
      <c r="ETD158" s="1142"/>
      <c r="ETE158" s="1167"/>
      <c r="ETF158" s="1167"/>
      <c r="ETG158" s="1167"/>
      <c r="ETH158" s="1167"/>
      <c r="ETI158" s="1167"/>
      <c r="ETJ158" s="1167"/>
      <c r="ETK158" s="1167"/>
      <c r="ETL158" s="1167"/>
      <c r="ETM158" s="1167"/>
      <c r="ETN158" s="1142"/>
      <c r="ETO158" s="1142"/>
      <c r="ETP158" s="1142"/>
      <c r="ETQ158" s="1142"/>
      <c r="ETR158" s="1142"/>
      <c r="ETS158" s="1142"/>
      <c r="ETT158" s="1142"/>
      <c r="ETU158" s="1142"/>
      <c r="ETV158" s="1142"/>
      <c r="ETW158" s="1142"/>
      <c r="ETX158" s="1142"/>
      <c r="ETY158" s="1142"/>
      <c r="ETZ158" s="1142"/>
      <c r="EUA158" s="1142"/>
      <c r="EUB158" s="1142"/>
      <c r="EUC158" s="1142"/>
      <c r="EUD158" s="1142"/>
      <c r="EUE158" s="1142"/>
      <c r="EUF158" s="1142"/>
      <c r="EUG158" s="1142"/>
      <c r="EUH158" s="1142"/>
      <c r="EUI158" s="1142"/>
      <c r="EUJ158" s="1142"/>
      <c r="EUK158" s="1167"/>
      <c r="EUL158" s="1167"/>
      <c r="EUM158" s="1167"/>
      <c r="EUN158" s="1167"/>
      <c r="EUO158" s="1167"/>
      <c r="EUP158" s="1167"/>
      <c r="EUQ158" s="1167"/>
      <c r="EUR158" s="1167"/>
      <c r="EUS158" s="1167"/>
      <c r="EUT158" s="1142"/>
      <c r="EUU158" s="1142"/>
      <c r="EUV158" s="1142"/>
      <c r="EUW158" s="1142"/>
      <c r="EUX158" s="1142"/>
      <c r="EUY158" s="1142"/>
      <c r="EUZ158" s="1142"/>
      <c r="EVA158" s="1142"/>
      <c r="EVB158" s="1142"/>
      <c r="EVC158" s="1142"/>
      <c r="EVD158" s="1142"/>
      <c r="EVE158" s="1142"/>
      <c r="EVF158" s="1142"/>
      <c r="EVG158" s="1142"/>
      <c r="EVH158" s="1142"/>
      <c r="EVI158" s="1142"/>
      <c r="EVJ158" s="1142"/>
      <c r="EVK158" s="1142"/>
      <c r="EVL158" s="1142"/>
      <c r="EVM158" s="1142"/>
      <c r="EVN158" s="1142"/>
      <c r="EVO158" s="1142"/>
      <c r="EVP158" s="1142"/>
      <c r="EVQ158" s="1167"/>
      <c r="EVR158" s="1167"/>
      <c r="EVS158" s="1167"/>
      <c r="EVT158" s="1167"/>
      <c r="EVU158" s="1167"/>
      <c r="EVV158" s="1167"/>
      <c r="EVW158" s="1167"/>
      <c r="EVX158" s="1167"/>
      <c r="EVY158" s="1167"/>
      <c r="EVZ158" s="1142"/>
      <c r="EWA158" s="1142"/>
      <c r="EWB158" s="1142"/>
      <c r="EWC158" s="1142"/>
      <c r="EWD158" s="1142"/>
      <c r="EWE158" s="1142"/>
      <c r="EWF158" s="1142"/>
      <c r="EWG158" s="1142"/>
      <c r="EWH158" s="1142"/>
      <c r="EWI158" s="1142"/>
      <c r="EWJ158" s="1142"/>
      <c r="EWK158" s="1142"/>
      <c r="EWL158" s="1142"/>
      <c r="EWM158" s="1142"/>
      <c r="EWN158" s="1142"/>
      <c r="EWO158" s="1142"/>
      <c r="EWP158" s="1142"/>
      <c r="EWQ158" s="1142"/>
      <c r="EWR158" s="1142"/>
      <c r="EWS158" s="1142"/>
      <c r="EWT158" s="1142"/>
      <c r="EWU158" s="1142"/>
      <c r="EWV158" s="1142"/>
      <c r="EWW158" s="1167"/>
      <c r="EWX158" s="1167"/>
      <c r="EWY158" s="1167"/>
      <c r="EWZ158" s="1167"/>
      <c r="EXA158" s="1167"/>
      <c r="EXB158" s="1167"/>
      <c r="EXC158" s="1167"/>
      <c r="EXD158" s="1167"/>
      <c r="EXE158" s="1167"/>
      <c r="EXF158" s="1142"/>
      <c r="EXG158" s="1142"/>
      <c r="EXH158" s="1142"/>
      <c r="EXI158" s="1142"/>
      <c r="EXJ158" s="1142"/>
      <c r="EXK158" s="1142"/>
      <c r="EXL158" s="1142"/>
      <c r="EXM158" s="1142"/>
      <c r="EXN158" s="1142"/>
      <c r="EXO158" s="1142"/>
      <c r="EXP158" s="1142"/>
      <c r="EXQ158" s="1142"/>
      <c r="EXR158" s="1142"/>
      <c r="EXS158" s="1142"/>
      <c r="EXT158" s="1142"/>
      <c r="EXU158" s="1142"/>
      <c r="EXV158" s="1142"/>
      <c r="EXW158" s="1142"/>
      <c r="EXX158" s="1142"/>
      <c r="EXY158" s="1142"/>
      <c r="EXZ158" s="1142"/>
      <c r="EYA158" s="1142"/>
      <c r="EYB158" s="1142"/>
      <c r="EYC158" s="1167"/>
      <c r="EYD158" s="1167"/>
      <c r="EYE158" s="1167"/>
      <c r="EYF158" s="1167"/>
      <c r="EYG158" s="1167"/>
      <c r="EYH158" s="1167"/>
      <c r="EYI158" s="1167"/>
      <c r="EYJ158" s="1167"/>
      <c r="EYK158" s="1167"/>
      <c r="EYL158" s="1142"/>
      <c r="EYM158" s="1142"/>
      <c r="EYN158" s="1142"/>
      <c r="EYO158" s="1142"/>
      <c r="EYP158" s="1142"/>
      <c r="EYQ158" s="1142"/>
      <c r="EYR158" s="1142"/>
      <c r="EYS158" s="1142"/>
      <c r="EYT158" s="1142"/>
      <c r="EYU158" s="1142"/>
      <c r="EYV158" s="1142"/>
      <c r="EYW158" s="1142"/>
      <c r="EYX158" s="1142"/>
      <c r="EYY158" s="1142"/>
      <c r="EYZ158" s="1142"/>
      <c r="EZA158" s="1142"/>
      <c r="EZB158" s="1142"/>
      <c r="EZC158" s="1142"/>
      <c r="EZD158" s="1142"/>
      <c r="EZE158" s="1142"/>
      <c r="EZF158" s="1142"/>
      <c r="EZG158" s="1142"/>
      <c r="EZH158" s="1142"/>
      <c r="EZI158" s="1167"/>
      <c r="EZJ158" s="1167"/>
      <c r="EZK158" s="1167"/>
      <c r="EZL158" s="1167"/>
      <c r="EZM158" s="1167"/>
      <c r="EZN158" s="1167"/>
      <c r="EZO158" s="1167"/>
      <c r="EZP158" s="1167"/>
      <c r="EZQ158" s="1167"/>
      <c r="EZR158" s="1142"/>
      <c r="EZS158" s="1142"/>
      <c r="EZT158" s="1142"/>
      <c r="EZU158" s="1142"/>
      <c r="EZV158" s="1142"/>
      <c r="EZW158" s="1142"/>
      <c r="EZX158" s="1142"/>
      <c r="EZY158" s="1142"/>
      <c r="EZZ158" s="1142"/>
      <c r="FAA158" s="1142"/>
      <c r="FAB158" s="1142"/>
      <c r="FAC158" s="1142"/>
      <c r="FAD158" s="1142"/>
      <c r="FAE158" s="1142"/>
      <c r="FAF158" s="1142"/>
      <c r="FAG158" s="1142"/>
      <c r="FAH158" s="1142"/>
      <c r="FAI158" s="1142"/>
      <c r="FAJ158" s="1142"/>
      <c r="FAK158" s="1142"/>
      <c r="FAL158" s="1142"/>
      <c r="FAM158" s="1142"/>
      <c r="FAN158" s="1142"/>
      <c r="FAO158" s="1167"/>
      <c r="FAP158" s="1167"/>
      <c r="FAQ158" s="1167"/>
      <c r="FAR158" s="1167"/>
      <c r="FAS158" s="1167"/>
      <c r="FAT158" s="1167"/>
      <c r="FAU158" s="1167"/>
      <c r="FAV158" s="1167"/>
      <c r="FAW158" s="1167"/>
      <c r="FAX158" s="1142"/>
      <c r="FAY158" s="1142"/>
      <c r="FAZ158" s="1142"/>
      <c r="FBA158" s="1142"/>
      <c r="FBB158" s="1142"/>
      <c r="FBC158" s="1142"/>
      <c r="FBD158" s="1142"/>
      <c r="FBE158" s="1142"/>
      <c r="FBF158" s="1142"/>
      <c r="FBG158" s="1142"/>
      <c r="FBH158" s="1142"/>
      <c r="FBI158" s="1142"/>
      <c r="FBJ158" s="1142"/>
      <c r="FBK158" s="1142"/>
      <c r="FBL158" s="1142"/>
      <c r="FBM158" s="1142"/>
      <c r="FBN158" s="1142"/>
      <c r="FBO158" s="1142"/>
      <c r="FBP158" s="1142"/>
      <c r="FBQ158" s="1142"/>
      <c r="FBR158" s="1142"/>
      <c r="FBS158" s="1142"/>
      <c r="FBT158" s="1142"/>
      <c r="FBU158" s="1167"/>
      <c r="FBV158" s="1167"/>
      <c r="FBW158" s="1167"/>
      <c r="FBX158" s="1167"/>
      <c r="FBY158" s="1167"/>
      <c r="FBZ158" s="1167"/>
      <c r="FCA158" s="1167"/>
      <c r="FCB158" s="1167"/>
      <c r="FCC158" s="1167"/>
      <c r="FCD158" s="1142"/>
      <c r="FCE158" s="1142"/>
      <c r="FCF158" s="1142"/>
      <c r="FCG158" s="1142"/>
      <c r="FCH158" s="1142"/>
      <c r="FCI158" s="1142"/>
      <c r="FCJ158" s="1142"/>
      <c r="FCK158" s="1142"/>
      <c r="FCL158" s="1142"/>
      <c r="FCM158" s="1142"/>
      <c r="FCN158" s="1142"/>
      <c r="FCO158" s="1142"/>
      <c r="FCP158" s="1142"/>
      <c r="FCQ158" s="1142"/>
      <c r="FCR158" s="1142"/>
      <c r="FCS158" s="1142"/>
      <c r="FCT158" s="1142"/>
      <c r="FCU158" s="1142"/>
      <c r="FCV158" s="1142"/>
      <c r="FCW158" s="1142"/>
      <c r="FCX158" s="1142"/>
      <c r="FCY158" s="1142"/>
      <c r="FCZ158" s="1142"/>
      <c r="FDA158" s="1167"/>
      <c r="FDB158" s="1167"/>
      <c r="FDC158" s="1167"/>
      <c r="FDD158" s="1167"/>
      <c r="FDE158" s="1167"/>
      <c r="FDF158" s="1167"/>
      <c r="FDG158" s="1167"/>
      <c r="FDH158" s="1167"/>
      <c r="FDI158" s="1167"/>
      <c r="FDJ158" s="1142"/>
      <c r="FDK158" s="1142"/>
      <c r="FDL158" s="1142"/>
      <c r="FDM158" s="1142"/>
      <c r="FDN158" s="1142"/>
      <c r="FDO158" s="1142"/>
      <c r="FDP158" s="1142"/>
      <c r="FDQ158" s="1142"/>
      <c r="FDR158" s="1142"/>
      <c r="FDS158" s="1142"/>
      <c r="FDT158" s="1142"/>
      <c r="FDU158" s="1142"/>
      <c r="FDV158" s="1142"/>
      <c r="FDW158" s="1142"/>
      <c r="FDX158" s="1142"/>
      <c r="FDY158" s="1142"/>
      <c r="FDZ158" s="1142"/>
      <c r="FEA158" s="1142"/>
      <c r="FEB158" s="1142"/>
      <c r="FEC158" s="1142"/>
      <c r="FED158" s="1142"/>
      <c r="FEE158" s="1142"/>
      <c r="FEF158" s="1142"/>
      <c r="FEG158" s="1167"/>
      <c r="FEH158" s="1167"/>
      <c r="FEI158" s="1167"/>
      <c r="FEJ158" s="1167"/>
      <c r="FEK158" s="1167"/>
      <c r="FEL158" s="1167"/>
      <c r="FEM158" s="1167"/>
      <c r="FEN158" s="1167"/>
      <c r="FEO158" s="1167"/>
      <c r="FEP158" s="1142"/>
      <c r="FEQ158" s="1142"/>
      <c r="FER158" s="1142"/>
      <c r="FES158" s="1142"/>
      <c r="FET158" s="1142"/>
      <c r="FEU158" s="1142"/>
      <c r="FEV158" s="1142"/>
      <c r="FEW158" s="1142"/>
      <c r="FEX158" s="1142"/>
      <c r="FEY158" s="1142"/>
      <c r="FEZ158" s="1142"/>
      <c r="FFA158" s="1142"/>
      <c r="FFB158" s="1142"/>
      <c r="FFC158" s="1142"/>
      <c r="FFD158" s="1142"/>
      <c r="FFE158" s="1142"/>
      <c r="FFF158" s="1142"/>
      <c r="FFG158" s="1142"/>
      <c r="FFH158" s="1142"/>
      <c r="FFI158" s="1142"/>
      <c r="FFJ158" s="1142"/>
      <c r="FFK158" s="1142"/>
      <c r="FFL158" s="1142"/>
      <c r="FFM158" s="1167"/>
      <c r="FFN158" s="1167"/>
      <c r="FFO158" s="1167"/>
      <c r="FFP158" s="1167"/>
      <c r="FFQ158" s="1167"/>
      <c r="FFR158" s="1167"/>
      <c r="FFS158" s="1167"/>
      <c r="FFT158" s="1167"/>
      <c r="FFU158" s="1167"/>
      <c r="FFV158" s="1142"/>
      <c r="FFW158" s="1142"/>
      <c r="FFX158" s="1142"/>
      <c r="FFY158" s="1142"/>
      <c r="FFZ158" s="1142"/>
      <c r="FGA158" s="1142"/>
      <c r="FGB158" s="1142"/>
      <c r="FGC158" s="1142"/>
      <c r="FGD158" s="1142"/>
      <c r="FGE158" s="1142"/>
      <c r="FGF158" s="1142"/>
      <c r="FGG158" s="1142"/>
      <c r="FGH158" s="1142"/>
      <c r="FGI158" s="1142"/>
      <c r="FGJ158" s="1142"/>
      <c r="FGK158" s="1142"/>
      <c r="FGL158" s="1142"/>
      <c r="FGM158" s="1142"/>
      <c r="FGN158" s="1142"/>
      <c r="FGO158" s="1142"/>
      <c r="FGP158" s="1142"/>
      <c r="FGQ158" s="1142"/>
      <c r="FGR158" s="1142"/>
      <c r="FGS158" s="1167"/>
      <c r="FGT158" s="1167"/>
      <c r="FGU158" s="1167"/>
      <c r="FGV158" s="1167"/>
      <c r="FGW158" s="1167"/>
      <c r="FGX158" s="1167"/>
      <c r="FGY158" s="1167"/>
      <c r="FGZ158" s="1167"/>
      <c r="FHA158" s="1167"/>
      <c r="FHB158" s="1142"/>
      <c r="FHC158" s="1142"/>
      <c r="FHD158" s="1142"/>
      <c r="FHE158" s="1142"/>
      <c r="FHF158" s="1142"/>
      <c r="FHG158" s="1142"/>
      <c r="FHH158" s="1142"/>
      <c r="FHI158" s="1142"/>
      <c r="FHJ158" s="1142"/>
      <c r="FHK158" s="1142"/>
      <c r="FHL158" s="1142"/>
      <c r="FHM158" s="1142"/>
      <c r="FHN158" s="1142"/>
      <c r="FHO158" s="1142"/>
      <c r="FHP158" s="1142"/>
      <c r="FHQ158" s="1142"/>
      <c r="FHR158" s="1142"/>
      <c r="FHS158" s="1142"/>
      <c r="FHT158" s="1142"/>
      <c r="FHU158" s="1142"/>
      <c r="FHV158" s="1142"/>
      <c r="FHW158" s="1142"/>
      <c r="FHX158" s="1142"/>
      <c r="FHY158" s="1167"/>
      <c r="FHZ158" s="1167"/>
      <c r="FIA158" s="1167"/>
      <c r="FIB158" s="1167"/>
      <c r="FIC158" s="1167"/>
      <c r="FID158" s="1167"/>
      <c r="FIE158" s="1167"/>
      <c r="FIF158" s="1167"/>
      <c r="FIG158" s="1167"/>
      <c r="FIH158" s="1142"/>
      <c r="FII158" s="1142"/>
      <c r="FIJ158" s="1142"/>
      <c r="FIK158" s="1142"/>
      <c r="FIL158" s="1142"/>
      <c r="FIM158" s="1142"/>
      <c r="FIN158" s="1142"/>
      <c r="FIO158" s="1142"/>
      <c r="FIP158" s="1142"/>
      <c r="FIQ158" s="1142"/>
      <c r="FIR158" s="1142"/>
      <c r="FIS158" s="1142"/>
      <c r="FIT158" s="1142"/>
      <c r="FIU158" s="1142"/>
      <c r="FIV158" s="1142"/>
      <c r="FIW158" s="1142"/>
      <c r="FIX158" s="1142"/>
      <c r="FIY158" s="1142"/>
      <c r="FIZ158" s="1142"/>
      <c r="FJA158" s="1142"/>
      <c r="FJB158" s="1142"/>
      <c r="FJC158" s="1142"/>
      <c r="FJD158" s="1142"/>
      <c r="FJE158" s="1167"/>
      <c r="FJF158" s="1167"/>
      <c r="FJG158" s="1167"/>
      <c r="FJH158" s="1167"/>
      <c r="FJI158" s="1167"/>
      <c r="FJJ158" s="1167"/>
      <c r="FJK158" s="1167"/>
      <c r="FJL158" s="1167"/>
      <c r="FJM158" s="1167"/>
      <c r="FJN158" s="1142"/>
      <c r="FJO158" s="1142"/>
      <c r="FJP158" s="1142"/>
      <c r="FJQ158" s="1142"/>
      <c r="FJR158" s="1142"/>
      <c r="FJS158" s="1142"/>
      <c r="FJT158" s="1142"/>
      <c r="FJU158" s="1142"/>
      <c r="FJV158" s="1142"/>
      <c r="FJW158" s="1142"/>
      <c r="FJX158" s="1142"/>
      <c r="FJY158" s="1142"/>
      <c r="FJZ158" s="1142"/>
      <c r="FKA158" s="1142"/>
      <c r="FKB158" s="1142"/>
      <c r="FKC158" s="1142"/>
      <c r="FKD158" s="1142"/>
      <c r="FKE158" s="1142"/>
      <c r="FKF158" s="1142"/>
      <c r="FKG158" s="1142"/>
      <c r="FKH158" s="1142"/>
      <c r="FKI158" s="1142"/>
      <c r="FKJ158" s="1142"/>
      <c r="FKK158" s="1167"/>
      <c r="FKL158" s="1167"/>
      <c r="FKM158" s="1167"/>
      <c r="FKN158" s="1167"/>
      <c r="FKO158" s="1167"/>
      <c r="FKP158" s="1167"/>
      <c r="FKQ158" s="1167"/>
      <c r="FKR158" s="1167"/>
      <c r="FKS158" s="1167"/>
      <c r="FKT158" s="1142"/>
      <c r="FKU158" s="1142"/>
      <c r="FKV158" s="1142"/>
      <c r="FKW158" s="1142"/>
      <c r="FKX158" s="1142"/>
      <c r="FKY158" s="1142"/>
      <c r="FKZ158" s="1142"/>
      <c r="FLA158" s="1142"/>
      <c r="FLB158" s="1142"/>
      <c r="FLC158" s="1142"/>
      <c r="FLD158" s="1142"/>
      <c r="FLE158" s="1142"/>
      <c r="FLF158" s="1142"/>
      <c r="FLG158" s="1142"/>
      <c r="FLH158" s="1142"/>
      <c r="FLI158" s="1142"/>
      <c r="FLJ158" s="1142"/>
      <c r="FLK158" s="1142"/>
      <c r="FLL158" s="1142"/>
      <c r="FLM158" s="1142"/>
      <c r="FLN158" s="1142"/>
      <c r="FLO158" s="1142"/>
      <c r="FLP158" s="1142"/>
      <c r="FLQ158" s="1167"/>
      <c r="FLR158" s="1167"/>
      <c r="FLS158" s="1167"/>
      <c r="FLT158" s="1167"/>
      <c r="FLU158" s="1167"/>
      <c r="FLV158" s="1167"/>
      <c r="FLW158" s="1167"/>
      <c r="FLX158" s="1167"/>
      <c r="FLY158" s="1167"/>
      <c r="FLZ158" s="1142"/>
      <c r="FMA158" s="1142"/>
      <c r="FMB158" s="1142"/>
      <c r="FMC158" s="1142"/>
      <c r="FMD158" s="1142"/>
      <c r="FME158" s="1142"/>
      <c r="FMF158" s="1142"/>
      <c r="FMG158" s="1142"/>
      <c r="FMH158" s="1142"/>
      <c r="FMI158" s="1142"/>
      <c r="FMJ158" s="1142"/>
      <c r="FMK158" s="1142"/>
      <c r="FML158" s="1142"/>
      <c r="FMM158" s="1142"/>
      <c r="FMN158" s="1142"/>
      <c r="FMO158" s="1142"/>
      <c r="FMP158" s="1142"/>
      <c r="FMQ158" s="1142"/>
      <c r="FMR158" s="1142"/>
      <c r="FMS158" s="1142"/>
      <c r="FMT158" s="1142"/>
      <c r="FMU158" s="1142"/>
      <c r="FMV158" s="1142"/>
      <c r="FMW158" s="1167"/>
      <c r="FMX158" s="1167"/>
      <c r="FMY158" s="1167"/>
      <c r="FMZ158" s="1167"/>
      <c r="FNA158" s="1167"/>
      <c r="FNB158" s="1167"/>
      <c r="FNC158" s="1167"/>
      <c r="FND158" s="1167"/>
      <c r="FNE158" s="1167"/>
      <c r="FNF158" s="1142"/>
      <c r="FNG158" s="1142"/>
      <c r="FNH158" s="1142"/>
      <c r="FNI158" s="1142"/>
      <c r="FNJ158" s="1142"/>
      <c r="FNK158" s="1142"/>
      <c r="FNL158" s="1142"/>
      <c r="FNM158" s="1142"/>
      <c r="FNN158" s="1142"/>
      <c r="FNO158" s="1142"/>
      <c r="FNP158" s="1142"/>
      <c r="FNQ158" s="1142"/>
      <c r="FNR158" s="1142"/>
      <c r="FNS158" s="1142"/>
      <c r="FNT158" s="1142"/>
      <c r="FNU158" s="1142"/>
      <c r="FNV158" s="1142"/>
      <c r="FNW158" s="1142"/>
      <c r="FNX158" s="1142"/>
      <c r="FNY158" s="1142"/>
      <c r="FNZ158" s="1142"/>
      <c r="FOA158" s="1142"/>
      <c r="FOB158" s="1142"/>
      <c r="FOC158" s="1167"/>
      <c r="FOD158" s="1167"/>
      <c r="FOE158" s="1167"/>
      <c r="FOF158" s="1167"/>
      <c r="FOG158" s="1167"/>
      <c r="FOH158" s="1167"/>
      <c r="FOI158" s="1167"/>
      <c r="FOJ158" s="1167"/>
      <c r="FOK158" s="1167"/>
      <c r="FOL158" s="1142"/>
      <c r="FOM158" s="1142"/>
      <c r="FON158" s="1142"/>
      <c r="FOO158" s="1142"/>
      <c r="FOP158" s="1142"/>
      <c r="FOQ158" s="1142"/>
      <c r="FOR158" s="1142"/>
      <c r="FOS158" s="1142"/>
      <c r="FOT158" s="1142"/>
      <c r="FOU158" s="1142"/>
      <c r="FOV158" s="1142"/>
      <c r="FOW158" s="1142"/>
      <c r="FOX158" s="1142"/>
      <c r="FOY158" s="1142"/>
      <c r="FOZ158" s="1142"/>
      <c r="FPA158" s="1142"/>
      <c r="FPB158" s="1142"/>
      <c r="FPC158" s="1142"/>
      <c r="FPD158" s="1142"/>
      <c r="FPE158" s="1142"/>
      <c r="FPF158" s="1142"/>
      <c r="FPG158" s="1142"/>
      <c r="FPH158" s="1142"/>
      <c r="FPI158" s="1167"/>
      <c r="FPJ158" s="1167"/>
      <c r="FPK158" s="1167"/>
      <c r="FPL158" s="1167"/>
      <c r="FPM158" s="1167"/>
      <c r="FPN158" s="1167"/>
      <c r="FPO158" s="1167"/>
      <c r="FPP158" s="1167"/>
      <c r="FPQ158" s="1167"/>
      <c r="FPR158" s="1142"/>
      <c r="FPS158" s="1142"/>
      <c r="FPT158" s="1142"/>
      <c r="FPU158" s="1142"/>
      <c r="FPV158" s="1142"/>
      <c r="FPW158" s="1142"/>
      <c r="FPX158" s="1142"/>
      <c r="FPY158" s="1142"/>
      <c r="FPZ158" s="1142"/>
      <c r="FQA158" s="1142"/>
      <c r="FQB158" s="1142"/>
      <c r="FQC158" s="1142"/>
      <c r="FQD158" s="1142"/>
      <c r="FQE158" s="1142"/>
      <c r="FQF158" s="1142"/>
      <c r="FQG158" s="1142"/>
      <c r="FQH158" s="1142"/>
      <c r="FQI158" s="1142"/>
      <c r="FQJ158" s="1142"/>
      <c r="FQK158" s="1142"/>
      <c r="FQL158" s="1142"/>
      <c r="FQM158" s="1142"/>
      <c r="FQN158" s="1142"/>
      <c r="FQO158" s="1167"/>
      <c r="FQP158" s="1167"/>
      <c r="FQQ158" s="1167"/>
      <c r="FQR158" s="1167"/>
      <c r="FQS158" s="1167"/>
      <c r="FQT158" s="1167"/>
      <c r="FQU158" s="1167"/>
      <c r="FQV158" s="1167"/>
      <c r="FQW158" s="1167"/>
      <c r="FQX158" s="1142"/>
      <c r="FQY158" s="1142"/>
      <c r="FQZ158" s="1142"/>
      <c r="FRA158" s="1142"/>
      <c r="FRB158" s="1142"/>
      <c r="FRC158" s="1142"/>
      <c r="FRD158" s="1142"/>
      <c r="FRE158" s="1142"/>
      <c r="FRF158" s="1142"/>
      <c r="FRG158" s="1142"/>
      <c r="FRH158" s="1142"/>
      <c r="FRI158" s="1142"/>
      <c r="FRJ158" s="1142"/>
      <c r="FRK158" s="1142"/>
      <c r="FRL158" s="1142"/>
      <c r="FRM158" s="1142"/>
      <c r="FRN158" s="1142"/>
      <c r="FRO158" s="1142"/>
      <c r="FRP158" s="1142"/>
      <c r="FRQ158" s="1142"/>
      <c r="FRR158" s="1142"/>
      <c r="FRS158" s="1142"/>
      <c r="FRT158" s="1142"/>
      <c r="FRU158" s="1167"/>
      <c r="FRV158" s="1167"/>
      <c r="FRW158" s="1167"/>
      <c r="FRX158" s="1167"/>
      <c r="FRY158" s="1167"/>
      <c r="FRZ158" s="1167"/>
      <c r="FSA158" s="1167"/>
      <c r="FSB158" s="1167"/>
      <c r="FSC158" s="1167"/>
      <c r="FSD158" s="1142"/>
      <c r="FSE158" s="1142"/>
      <c r="FSF158" s="1142"/>
      <c r="FSG158" s="1142"/>
      <c r="FSH158" s="1142"/>
      <c r="FSI158" s="1142"/>
      <c r="FSJ158" s="1142"/>
      <c r="FSK158" s="1142"/>
      <c r="FSL158" s="1142"/>
      <c r="FSM158" s="1142"/>
      <c r="FSN158" s="1142"/>
      <c r="FSO158" s="1142"/>
      <c r="FSP158" s="1142"/>
      <c r="FSQ158" s="1142"/>
      <c r="FSR158" s="1142"/>
      <c r="FSS158" s="1142"/>
      <c r="FST158" s="1142"/>
      <c r="FSU158" s="1142"/>
      <c r="FSV158" s="1142"/>
      <c r="FSW158" s="1142"/>
      <c r="FSX158" s="1142"/>
      <c r="FSY158" s="1142"/>
      <c r="FSZ158" s="1142"/>
      <c r="FTA158" s="1167"/>
      <c r="FTB158" s="1167"/>
      <c r="FTC158" s="1167"/>
      <c r="FTD158" s="1167"/>
      <c r="FTE158" s="1167"/>
      <c r="FTF158" s="1167"/>
      <c r="FTG158" s="1167"/>
      <c r="FTH158" s="1167"/>
      <c r="FTI158" s="1167"/>
      <c r="FTJ158" s="1142"/>
      <c r="FTK158" s="1142"/>
      <c r="FTL158" s="1142"/>
      <c r="FTM158" s="1142"/>
      <c r="FTN158" s="1142"/>
      <c r="FTO158" s="1142"/>
      <c r="FTP158" s="1142"/>
      <c r="FTQ158" s="1142"/>
      <c r="FTR158" s="1142"/>
      <c r="FTS158" s="1142"/>
      <c r="FTT158" s="1142"/>
      <c r="FTU158" s="1142"/>
      <c r="FTV158" s="1142"/>
      <c r="FTW158" s="1142"/>
      <c r="FTX158" s="1142"/>
      <c r="FTY158" s="1142"/>
      <c r="FTZ158" s="1142"/>
      <c r="FUA158" s="1142"/>
      <c r="FUB158" s="1142"/>
      <c r="FUC158" s="1142"/>
      <c r="FUD158" s="1142"/>
      <c r="FUE158" s="1142"/>
      <c r="FUF158" s="1142"/>
      <c r="FUG158" s="1167"/>
      <c r="FUH158" s="1167"/>
      <c r="FUI158" s="1167"/>
      <c r="FUJ158" s="1167"/>
      <c r="FUK158" s="1167"/>
      <c r="FUL158" s="1167"/>
      <c r="FUM158" s="1167"/>
      <c r="FUN158" s="1167"/>
      <c r="FUO158" s="1167"/>
      <c r="FUP158" s="1142"/>
      <c r="FUQ158" s="1142"/>
      <c r="FUR158" s="1142"/>
      <c r="FUS158" s="1142"/>
      <c r="FUT158" s="1142"/>
      <c r="FUU158" s="1142"/>
      <c r="FUV158" s="1142"/>
      <c r="FUW158" s="1142"/>
      <c r="FUX158" s="1142"/>
      <c r="FUY158" s="1142"/>
      <c r="FUZ158" s="1142"/>
      <c r="FVA158" s="1142"/>
      <c r="FVB158" s="1142"/>
      <c r="FVC158" s="1142"/>
      <c r="FVD158" s="1142"/>
      <c r="FVE158" s="1142"/>
      <c r="FVF158" s="1142"/>
      <c r="FVG158" s="1142"/>
      <c r="FVH158" s="1142"/>
      <c r="FVI158" s="1142"/>
      <c r="FVJ158" s="1142"/>
      <c r="FVK158" s="1142"/>
      <c r="FVL158" s="1142"/>
      <c r="FVM158" s="1167"/>
      <c r="FVN158" s="1167"/>
      <c r="FVO158" s="1167"/>
      <c r="FVP158" s="1167"/>
      <c r="FVQ158" s="1167"/>
      <c r="FVR158" s="1167"/>
      <c r="FVS158" s="1167"/>
      <c r="FVT158" s="1167"/>
      <c r="FVU158" s="1167"/>
      <c r="FVV158" s="1142"/>
      <c r="FVW158" s="1142"/>
      <c r="FVX158" s="1142"/>
      <c r="FVY158" s="1142"/>
      <c r="FVZ158" s="1142"/>
      <c r="FWA158" s="1142"/>
      <c r="FWB158" s="1142"/>
      <c r="FWC158" s="1142"/>
      <c r="FWD158" s="1142"/>
      <c r="FWE158" s="1142"/>
      <c r="FWF158" s="1142"/>
      <c r="FWG158" s="1142"/>
      <c r="FWH158" s="1142"/>
      <c r="FWI158" s="1142"/>
      <c r="FWJ158" s="1142"/>
      <c r="FWK158" s="1142"/>
      <c r="FWL158" s="1142"/>
      <c r="FWM158" s="1142"/>
      <c r="FWN158" s="1142"/>
      <c r="FWO158" s="1142"/>
      <c r="FWP158" s="1142"/>
      <c r="FWQ158" s="1142"/>
      <c r="FWR158" s="1142"/>
      <c r="FWS158" s="1167"/>
      <c r="FWT158" s="1167"/>
      <c r="FWU158" s="1167"/>
      <c r="FWV158" s="1167"/>
      <c r="FWW158" s="1167"/>
      <c r="FWX158" s="1167"/>
      <c r="FWY158" s="1167"/>
      <c r="FWZ158" s="1167"/>
      <c r="FXA158" s="1167"/>
      <c r="FXB158" s="1142"/>
      <c r="FXC158" s="1142"/>
      <c r="FXD158" s="1142"/>
      <c r="FXE158" s="1142"/>
      <c r="FXF158" s="1142"/>
      <c r="FXG158" s="1142"/>
      <c r="FXH158" s="1142"/>
      <c r="FXI158" s="1142"/>
      <c r="FXJ158" s="1142"/>
      <c r="FXK158" s="1142"/>
      <c r="FXL158" s="1142"/>
      <c r="FXM158" s="1142"/>
      <c r="FXN158" s="1142"/>
      <c r="FXO158" s="1142"/>
      <c r="FXP158" s="1142"/>
      <c r="FXQ158" s="1142"/>
      <c r="FXR158" s="1142"/>
      <c r="FXS158" s="1142"/>
      <c r="FXT158" s="1142"/>
      <c r="FXU158" s="1142"/>
      <c r="FXV158" s="1142"/>
      <c r="FXW158" s="1142"/>
      <c r="FXX158" s="1142"/>
      <c r="FXY158" s="1167"/>
      <c r="FXZ158" s="1167"/>
      <c r="FYA158" s="1167"/>
      <c r="FYB158" s="1167"/>
      <c r="FYC158" s="1167"/>
      <c r="FYD158" s="1167"/>
      <c r="FYE158" s="1167"/>
      <c r="FYF158" s="1167"/>
      <c r="FYG158" s="1167"/>
      <c r="FYH158" s="1142"/>
      <c r="FYI158" s="1142"/>
      <c r="FYJ158" s="1142"/>
      <c r="FYK158" s="1142"/>
      <c r="FYL158" s="1142"/>
      <c r="FYM158" s="1142"/>
      <c r="FYN158" s="1142"/>
      <c r="FYO158" s="1142"/>
      <c r="FYP158" s="1142"/>
      <c r="FYQ158" s="1142"/>
      <c r="FYR158" s="1142"/>
      <c r="FYS158" s="1142"/>
      <c r="FYT158" s="1142"/>
      <c r="FYU158" s="1142"/>
      <c r="FYV158" s="1142"/>
      <c r="FYW158" s="1142"/>
      <c r="FYX158" s="1142"/>
      <c r="FYY158" s="1142"/>
      <c r="FYZ158" s="1142"/>
      <c r="FZA158" s="1142"/>
      <c r="FZB158" s="1142"/>
      <c r="FZC158" s="1142"/>
      <c r="FZD158" s="1142"/>
      <c r="FZE158" s="1167"/>
      <c r="FZF158" s="1167"/>
      <c r="FZG158" s="1167"/>
      <c r="FZH158" s="1167"/>
      <c r="FZI158" s="1167"/>
      <c r="FZJ158" s="1167"/>
      <c r="FZK158" s="1167"/>
      <c r="FZL158" s="1167"/>
      <c r="FZM158" s="1167"/>
      <c r="FZN158" s="1142"/>
      <c r="FZO158" s="1142"/>
      <c r="FZP158" s="1142"/>
      <c r="FZQ158" s="1142"/>
      <c r="FZR158" s="1142"/>
      <c r="FZS158" s="1142"/>
      <c r="FZT158" s="1142"/>
      <c r="FZU158" s="1142"/>
      <c r="FZV158" s="1142"/>
      <c r="FZW158" s="1142"/>
      <c r="FZX158" s="1142"/>
      <c r="FZY158" s="1142"/>
      <c r="FZZ158" s="1142"/>
      <c r="GAA158" s="1142"/>
      <c r="GAB158" s="1142"/>
      <c r="GAC158" s="1142"/>
      <c r="GAD158" s="1142"/>
      <c r="GAE158" s="1142"/>
      <c r="GAF158" s="1142"/>
      <c r="GAG158" s="1142"/>
      <c r="GAH158" s="1142"/>
      <c r="GAI158" s="1142"/>
      <c r="GAJ158" s="1142"/>
      <c r="GAK158" s="1167"/>
      <c r="GAL158" s="1167"/>
      <c r="GAM158" s="1167"/>
      <c r="GAN158" s="1167"/>
      <c r="GAO158" s="1167"/>
      <c r="GAP158" s="1167"/>
      <c r="GAQ158" s="1167"/>
      <c r="GAR158" s="1167"/>
      <c r="GAS158" s="1167"/>
      <c r="GAT158" s="1142"/>
      <c r="GAU158" s="1142"/>
      <c r="GAV158" s="1142"/>
      <c r="GAW158" s="1142"/>
      <c r="GAX158" s="1142"/>
      <c r="GAY158" s="1142"/>
      <c r="GAZ158" s="1142"/>
      <c r="GBA158" s="1142"/>
      <c r="GBB158" s="1142"/>
      <c r="GBC158" s="1142"/>
      <c r="GBD158" s="1142"/>
      <c r="GBE158" s="1142"/>
      <c r="GBF158" s="1142"/>
      <c r="GBG158" s="1142"/>
      <c r="GBH158" s="1142"/>
      <c r="GBI158" s="1142"/>
      <c r="GBJ158" s="1142"/>
      <c r="GBK158" s="1142"/>
      <c r="GBL158" s="1142"/>
      <c r="GBM158" s="1142"/>
      <c r="GBN158" s="1142"/>
      <c r="GBO158" s="1142"/>
      <c r="GBP158" s="1142"/>
      <c r="GBQ158" s="1167"/>
      <c r="GBR158" s="1167"/>
      <c r="GBS158" s="1167"/>
      <c r="GBT158" s="1167"/>
      <c r="GBU158" s="1167"/>
      <c r="GBV158" s="1167"/>
      <c r="GBW158" s="1167"/>
      <c r="GBX158" s="1167"/>
      <c r="GBY158" s="1167"/>
      <c r="GBZ158" s="1142"/>
      <c r="GCA158" s="1142"/>
      <c r="GCB158" s="1142"/>
      <c r="GCC158" s="1142"/>
      <c r="GCD158" s="1142"/>
      <c r="GCE158" s="1142"/>
      <c r="GCF158" s="1142"/>
      <c r="GCG158" s="1142"/>
      <c r="GCH158" s="1142"/>
      <c r="GCI158" s="1142"/>
      <c r="GCJ158" s="1142"/>
      <c r="GCK158" s="1142"/>
      <c r="GCL158" s="1142"/>
      <c r="GCM158" s="1142"/>
      <c r="GCN158" s="1142"/>
      <c r="GCO158" s="1142"/>
      <c r="GCP158" s="1142"/>
      <c r="GCQ158" s="1142"/>
      <c r="GCR158" s="1142"/>
      <c r="GCS158" s="1142"/>
      <c r="GCT158" s="1142"/>
      <c r="GCU158" s="1142"/>
      <c r="GCV158" s="1142"/>
      <c r="GCW158" s="1167"/>
      <c r="GCX158" s="1167"/>
      <c r="GCY158" s="1167"/>
      <c r="GCZ158" s="1167"/>
      <c r="GDA158" s="1167"/>
      <c r="GDB158" s="1167"/>
      <c r="GDC158" s="1167"/>
      <c r="GDD158" s="1167"/>
      <c r="GDE158" s="1167"/>
      <c r="GDF158" s="1142"/>
      <c r="GDG158" s="1142"/>
      <c r="GDH158" s="1142"/>
      <c r="GDI158" s="1142"/>
      <c r="GDJ158" s="1142"/>
      <c r="GDK158" s="1142"/>
      <c r="GDL158" s="1142"/>
      <c r="GDM158" s="1142"/>
      <c r="GDN158" s="1142"/>
      <c r="GDO158" s="1142"/>
      <c r="GDP158" s="1142"/>
      <c r="GDQ158" s="1142"/>
      <c r="GDR158" s="1142"/>
      <c r="GDS158" s="1142"/>
      <c r="GDT158" s="1142"/>
      <c r="GDU158" s="1142"/>
      <c r="GDV158" s="1142"/>
      <c r="GDW158" s="1142"/>
      <c r="GDX158" s="1142"/>
      <c r="GDY158" s="1142"/>
      <c r="GDZ158" s="1142"/>
      <c r="GEA158" s="1142"/>
      <c r="GEB158" s="1142"/>
      <c r="GEC158" s="1167"/>
      <c r="GED158" s="1167"/>
      <c r="GEE158" s="1167"/>
      <c r="GEF158" s="1167"/>
      <c r="GEG158" s="1167"/>
      <c r="GEH158" s="1167"/>
      <c r="GEI158" s="1167"/>
      <c r="GEJ158" s="1167"/>
      <c r="GEK158" s="1167"/>
      <c r="GEL158" s="1142"/>
      <c r="GEM158" s="1142"/>
      <c r="GEN158" s="1142"/>
      <c r="GEO158" s="1142"/>
      <c r="GEP158" s="1142"/>
      <c r="GEQ158" s="1142"/>
      <c r="GER158" s="1142"/>
      <c r="GES158" s="1142"/>
      <c r="GET158" s="1142"/>
      <c r="GEU158" s="1142"/>
      <c r="GEV158" s="1142"/>
      <c r="GEW158" s="1142"/>
      <c r="GEX158" s="1142"/>
      <c r="GEY158" s="1142"/>
      <c r="GEZ158" s="1142"/>
      <c r="GFA158" s="1142"/>
      <c r="GFB158" s="1142"/>
      <c r="GFC158" s="1142"/>
      <c r="GFD158" s="1142"/>
      <c r="GFE158" s="1142"/>
      <c r="GFF158" s="1142"/>
      <c r="GFG158" s="1142"/>
      <c r="GFH158" s="1142"/>
      <c r="GFI158" s="1167"/>
      <c r="GFJ158" s="1167"/>
      <c r="GFK158" s="1167"/>
      <c r="GFL158" s="1167"/>
      <c r="GFM158" s="1167"/>
      <c r="GFN158" s="1167"/>
      <c r="GFO158" s="1167"/>
      <c r="GFP158" s="1167"/>
      <c r="GFQ158" s="1167"/>
      <c r="GFR158" s="1142"/>
      <c r="GFS158" s="1142"/>
      <c r="GFT158" s="1142"/>
      <c r="GFU158" s="1142"/>
      <c r="GFV158" s="1142"/>
      <c r="GFW158" s="1142"/>
      <c r="GFX158" s="1142"/>
      <c r="GFY158" s="1142"/>
      <c r="GFZ158" s="1142"/>
      <c r="GGA158" s="1142"/>
      <c r="GGB158" s="1142"/>
      <c r="GGC158" s="1142"/>
      <c r="GGD158" s="1142"/>
      <c r="GGE158" s="1142"/>
      <c r="GGF158" s="1142"/>
      <c r="GGG158" s="1142"/>
      <c r="GGH158" s="1142"/>
      <c r="GGI158" s="1142"/>
      <c r="GGJ158" s="1142"/>
      <c r="GGK158" s="1142"/>
      <c r="GGL158" s="1142"/>
      <c r="GGM158" s="1142"/>
      <c r="GGN158" s="1142"/>
      <c r="GGO158" s="1167"/>
      <c r="GGP158" s="1167"/>
      <c r="GGQ158" s="1167"/>
      <c r="GGR158" s="1167"/>
      <c r="GGS158" s="1167"/>
      <c r="GGT158" s="1167"/>
      <c r="GGU158" s="1167"/>
      <c r="GGV158" s="1167"/>
      <c r="GGW158" s="1167"/>
      <c r="GGX158" s="1142"/>
      <c r="GGY158" s="1142"/>
      <c r="GGZ158" s="1142"/>
      <c r="GHA158" s="1142"/>
      <c r="GHB158" s="1142"/>
      <c r="GHC158" s="1142"/>
      <c r="GHD158" s="1142"/>
      <c r="GHE158" s="1142"/>
      <c r="GHF158" s="1142"/>
      <c r="GHG158" s="1142"/>
      <c r="GHH158" s="1142"/>
      <c r="GHI158" s="1142"/>
      <c r="GHJ158" s="1142"/>
      <c r="GHK158" s="1142"/>
      <c r="GHL158" s="1142"/>
      <c r="GHM158" s="1142"/>
      <c r="GHN158" s="1142"/>
      <c r="GHO158" s="1142"/>
      <c r="GHP158" s="1142"/>
      <c r="GHQ158" s="1142"/>
      <c r="GHR158" s="1142"/>
      <c r="GHS158" s="1142"/>
      <c r="GHT158" s="1142"/>
      <c r="GHU158" s="1167"/>
      <c r="GHV158" s="1167"/>
      <c r="GHW158" s="1167"/>
      <c r="GHX158" s="1167"/>
      <c r="GHY158" s="1167"/>
      <c r="GHZ158" s="1167"/>
      <c r="GIA158" s="1167"/>
      <c r="GIB158" s="1167"/>
      <c r="GIC158" s="1167"/>
      <c r="GID158" s="1142"/>
      <c r="GIE158" s="1142"/>
      <c r="GIF158" s="1142"/>
      <c r="GIG158" s="1142"/>
      <c r="GIH158" s="1142"/>
      <c r="GII158" s="1142"/>
      <c r="GIJ158" s="1142"/>
      <c r="GIK158" s="1142"/>
      <c r="GIL158" s="1142"/>
      <c r="GIM158" s="1142"/>
      <c r="GIN158" s="1142"/>
      <c r="GIO158" s="1142"/>
      <c r="GIP158" s="1142"/>
      <c r="GIQ158" s="1142"/>
      <c r="GIR158" s="1142"/>
      <c r="GIS158" s="1142"/>
      <c r="GIT158" s="1142"/>
      <c r="GIU158" s="1142"/>
      <c r="GIV158" s="1142"/>
      <c r="GIW158" s="1142"/>
      <c r="GIX158" s="1142"/>
      <c r="GIY158" s="1142"/>
      <c r="GIZ158" s="1142"/>
      <c r="GJA158" s="1167"/>
      <c r="GJB158" s="1167"/>
      <c r="GJC158" s="1167"/>
      <c r="GJD158" s="1167"/>
      <c r="GJE158" s="1167"/>
      <c r="GJF158" s="1167"/>
      <c r="GJG158" s="1167"/>
      <c r="GJH158" s="1167"/>
      <c r="GJI158" s="1167"/>
      <c r="GJJ158" s="1142"/>
      <c r="GJK158" s="1142"/>
      <c r="GJL158" s="1142"/>
      <c r="GJM158" s="1142"/>
      <c r="GJN158" s="1142"/>
      <c r="GJO158" s="1142"/>
      <c r="GJP158" s="1142"/>
      <c r="GJQ158" s="1142"/>
      <c r="GJR158" s="1142"/>
      <c r="GJS158" s="1142"/>
      <c r="GJT158" s="1142"/>
      <c r="GJU158" s="1142"/>
      <c r="GJV158" s="1142"/>
      <c r="GJW158" s="1142"/>
      <c r="GJX158" s="1142"/>
      <c r="GJY158" s="1142"/>
      <c r="GJZ158" s="1142"/>
      <c r="GKA158" s="1142"/>
      <c r="GKB158" s="1142"/>
      <c r="GKC158" s="1142"/>
      <c r="GKD158" s="1142"/>
      <c r="GKE158" s="1142"/>
      <c r="GKF158" s="1142"/>
      <c r="GKG158" s="1167"/>
      <c r="GKH158" s="1167"/>
      <c r="GKI158" s="1167"/>
      <c r="GKJ158" s="1167"/>
      <c r="GKK158" s="1167"/>
      <c r="GKL158" s="1167"/>
      <c r="GKM158" s="1167"/>
      <c r="GKN158" s="1167"/>
      <c r="GKO158" s="1167"/>
      <c r="GKP158" s="1142"/>
      <c r="GKQ158" s="1142"/>
      <c r="GKR158" s="1142"/>
      <c r="GKS158" s="1142"/>
      <c r="GKT158" s="1142"/>
      <c r="GKU158" s="1142"/>
      <c r="GKV158" s="1142"/>
      <c r="GKW158" s="1142"/>
      <c r="GKX158" s="1142"/>
      <c r="GKY158" s="1142"/>
      <c r="GKZ158" s="1142"/>
      <c r="GLA158" s="1142"/>
      <c r="GLB158" s="1142"/>
      <c r="GLC158" s="1142"/>
      <c r="GLD158" s="1142"/>
      <c r="GLE158" s="1142"/>
      <c r="GLF158" s="1142"/>
      <c r="GLG158" s="1142"/>
      <c r="GLH158" s="1142"/>
      <c r="GLI158" s="1142"/>
      <c r="GLJ158" s="1142"/>
      <c r="GLK158" s="1142"/>
      <c r="GLL158" s="1142"/>
      <c r="GLM158" s="1167"/>
      <c r="GLN158" s="1167"/>
      <c r="GLO158" s="1167"/>
      <c r="GLP158" s="1167"/>
      <c r="GLQ158" s="1167"/>
      <c r="GLR158" s="1167"/>
      <c r="GLS158" s="1167"/>
      <c r="GLT158" s="1167"/>
      <c r="GLU158" s="1167"/>
      <c r="GLV158" s="1142"/>
      <c r="GLW158" s="1142"/>
      <c r="GLX158" s="1142"/>
      <c r="GLY158" s="1142"/>
      <c r="GLZ158" s="1142"/>
      <c r="GMA158" s="1142"/>
      <c r="GMB158" s="1142"/>
      <c r="GMC158" s="1142"/>
      <c r="GMD158" s="1142"/>
      <c r="GME158" s="1142"/>
      <c r="GMF158" s="1142"/>
      <c r="GMG158" s="1142"/>
      <c r="GMH158" s="1142"/>
      <c r="GMI158" s="1142"/>
      <c r="GMJ158" s="1142"/>
      <c r="GMK158" s="1142"/>
      <c r="GML158" s="1142"/>
      <c r="GMM158" s="1142"/>
      <c r="GMN158" s="1142"/>
      <c r="GMO158" s="1142"/>
      <c r="GMP158" s="1142"/>
      <c r="GMQ158" s="1142"/>
      <c r="GMR158" s="1142"/>
      <c r="GMS158" s="1167"/>
      <c r="GMT158" s="1167"/>
      <c r="GMU158" s="1167"/>
      <c r="GMV158" s="1167"/>
      <c r="GMW158" s="1167"/>
      <c r="GMX158" s="1167"/>
      <c r="GMY158" s="1167"/>
      <c r="GMZ158" s="1167"/>
      <c r="GNA158" s="1167"/>
      <c r="GNB158" s="1142"/>
      <c r="GNC158" s="1142"/>
      <c r="GND158" s="1142"/>
      <c r="GNE158" s="1142"/>
      <c r="GNF158" s="1142"/>
      <c r="GNG158" s="1142"/>
      <c r="GNH158" s="1142"/>
      <c r="GNI158" s="1142"/>
      <c r="GNJ158" s="1142"/>
      <c r="GNK158" s="1142"/>
      <c r="GNL158" s="1142"/>
      <c r="GNM158" s="1142"/>
      <c r="GNN158" s="1142"/>
      <c r="GNO158" s="1142"/>
      <c r="GNP158" s="1142"/>
      <c r="GNQ158" s="1142"/>
      <c r="GNR158" s="1142"/>
      <c r="GNS158" s="1142"/>
      <c r="GNT158" s="1142"/>
      <c r="GNU158" s="1142"/>
      <c r="GNV158" s="1142"/>
      <c r="GNW158" s="1142"/>
      <c r="GNX158" s="1142"/>
      <c r="GNY158" s="1167"/>
      <c r="GNZ158" s="1167"/>
      <c r="GOA158" s="1167"/>
      <c r="GOB158" s="1167"/>
      <c r="GOC158" s="1167"/>
      <c r="GOD158" s="1167"/>
      <c r="GOE158" s="1167"/>
      <c r="GOF158" s="1167"/>
      <c r="GOG158" s="1167"/>
      <c r="GOH158" s="1142"/>
      <c r="GOI158" s="1142"/>
      <c r="GOJ158" s="1142"/>
      <c r="GOK158" s="1142"/>
      <c r="GOL158" s="1142"/>
      <c r="GOM158" s="1142"/>
      <c r="GON158" s="1142"/>
      <c r="GOO158" s="1142"/>
      <c r="GOP158" s="1142"/>
      <c r="GOQ158" s="1142"/>
      <c r="GOR158" s="1142"/>
      <c r="GOS158" s="1142"/>
      <c r="GOT158" s="1142"/>
      <c r="GOU158" s="1142"/>
      <c r="GOV158" s="1142"/>
      <c r="GOW158" s="1142"/>
      <c r="GOX158" s="1142"/>
      <c r="GOY158" s="1142"/>
      <c r="GOZ158" s="1142"/>
      <c r="GPA158" s="1142"/>
      <c r="GPB158" s="1142"/>
      <c r="GPC158" s="1142"/>
      <c r="GPD158" s="1142"/>
      <c r="GPE158" s="1167"/>
      <c r="GPF158" s="1167"/>
      <c r="GPG158" s="1167"/>
      <c r="GPH158" s="1167"/>
      <c r="GPI158" s="1167"/>
      <c r="GPJ158" s="1167"/>
      <c r="GPK158" s="1167"/>
      <c r="GPL158" s="1167"/>
      <c r="GPM158" s="1167"/>
      <c r="GPN158" s="1142"/>
      <c r="GPO158" s="1142"/>
      <c r="GPP158" s="1142"/>
      <c r="GPQ158" s="1142"/>
      <c r="GPR158" s="1142"/>
      <c r="GPS158" s="1142"/>
      <c r="GPT158" s="1142"/>
      <c r="GPU158" s="1142"/>
      <c r="GPV158" s="1142"/>
      <c r="GPW158" s="1142"/>
      <c r="GPX158" s="1142"/>
      <c r="GPY158" s="1142"/>
      <c r="GPZ158" s="1142"/>
      <c r="GQA158" s="1142"/>
      <c r="GQB158" s="1142"/>
      <c r="GQC158" s="1142"/>
      <c r="GQD158" s="1142"/>
      <c r="GQE158" s="1142"/>
      <c r="GQF158" s="1142"/>
      <c r="GQG158" s="1142"/>
      <c r="GQH158" s="1142"/>
      <c r="GQI158" s="1142"/>
      <c r="GQJ158" s="1142"/>
      <c r="GQK158" s="1167"/>
      <c r="GQL158" s="1167"/>
      <c r="GQM158" s="1167"/>
      <c r="GQN158" s="1167"/>
      <c r="GQO158" s="1167"/>
      <c r="GQP158" s="1167"/>
      <c r="GQQ158" s="1167"/>
      <c r="GQR158" s="1167"/>
      <c r="GQS158" s="1167"/>
      <c r="GQT158" s="1142"/>
      <c r="GQU158" s="1142"/>
      <c r="GQV158" s="1142"/>
      <c r="GQW158" s="1142"/>
      <c r="GQX158" s="1142"/>
      <c r="GQY158" s="1142"/>
      <c r="GQZ158" s="1142"/>
      <c r="GRA158" s="1142"/>
      <c r="GRB158" s="1142"/>
      <c r="GRC158" s="1142"/>
      <c r="GRD158" s="1142"/>
      <c r="GRE158" s="1142"/>
      <c r="GRF158" s="1142"/>
      <c r="GRG158" s="1142"/>
      <c r="GRH158" s="1142"/>
      <c r="GRI158" s="1142"/>
      <c r="GRJ158" s="1142"/>
      <c r="GRK158" s="1142"/>
      <c r="GRL158" s="1142"/>
      <c r="GRM158" s="1142"/>
      <c r="GRN158" s="1142"/>
      <c r="GRO158" s="1142"/>
      <c r="GRP158" s="1142"/>
      <c r="GRQ158" s="1167"/>
      <c r="GRR158" s="1167"/>
      <c r="GRS158" s="1167"/>
      <c r="GRT158" s="1167"/>
      <c r="GRU158" s="1167"/>
      <c r="GRV158" s="1167"/>
      <c r="GRW158" s="1167"/>
      <c r="GRX158" s="1167"/>
      <c r="GRY158" s="1167"/>
      <c r="GRZ158" s="1142"/>
      <c r="GSA158" s="1142"/>
      <c r="GSB158" s="1142"/>
      <c r="GSC158" s="1142"/>
      <c r="GSD158" s="1142"/>
      <c r="GSE158" s="1142"/>
      <c r="GSF158" s="1142"/>
      <c r="GSG158" s="1142"/>
      <c r="GSH158" s="1142"/>
      <c r="GSI158" s="1142"/>
      <c r="GSJ158" s="1142"/>
      <c r="GSK158" s="1142"/>
      <c r="GSL158" s="1142"/>
      <c r="GSM158" s="1142"/>
      <c r="GSN158" s="1142"/>
      <c r="GSO158" s="1142"/>
      <c r="GSP158" s="1142"/>
      <c r="GSQ158" s="1142"/>
      <c r="GSR158" s="1142"/>
      <c r="GSS158" s="1142"/>
      <c r="GST158" s="1142"/>
      <c r="GSU158" s="1142"/>
      <c r="GSV158" s="1142"/>
      <c r="GSW158" s="1167"/>
      <c r="GSX158" s="1167"/>
      <c r="GSY158" s="1167"/>
      <c r="GSZ158" s="1167"/>
      <c r="GTA158" s="1167"/>
      <c r="GTB158" s="1167"/>
      <c r="GTC158" s="1167"/>
      <c r="GTD158" s="1167"/>
      <c r="GTE158" s="1167"/>
      <c r="GTF158" s="1142"/>
      <c r="GTG158" s="1142"/>
      <c r="GTH158" s="1142"/>
      <c r="GTI158" s="1142"/>
      <c r="GTJ158" s="1142"/>
      <c r="GTK158" s="1142"/>
      <c r="GTL158" s="1142"/>
      <c r="GTM158" s="1142"/>
      <c r="GTN158" s="1142"/>
      <c r="GTO158" s="1142"/>
      <c r="GTP158" s="1142"/>
      <c r="GTQ158" s="1142"/>
      <c r="GTR158" s="1142"/>
      <c r="GTS158" s="1142"/>
      <c r="GTT158" s="1142"/>
      <c r="GTU158" s="1142"/>
      <c r="GTV158" s="1142"/>
      <c r="GTW158" s="1142"/>
      <c r="GTX158" s="1142"/>
      <c r="GTY158" s="1142"/>
      <c r="GTZ158" s="1142"/>
      <c r="GUA158" s="1142"/>
      <c r="GUB158" s="1142"/>
      <c r="GUC158" s="1167"/>
      <c r="GUD158" s="1167"/>
      <c r="GUE158" s="1167"/>
      <c r="GUF158" s="1167"/>
      <c r="GUG158" s="1167"/>
      <c r="GUH158" s="1167"/>
      <c r="GUI158" s="1167"/>
      <c r="GUJ158" s="1167"/>
      <c r="GUK158" s="1167"/>
      <c r="GUL158" s="1142"/>
      <c r="GUM158" s="1142"/>
      <c r="GUN158" s="1142"/>
      <c r="GUO158" s="1142"/>
      <c r="GUP158" s="1142"/>
      <c r="GUQ158" s="1142"/>
      <c r="GUR158" s="1142"/>
      <c r="GUS158" s="1142"/>
      <c r="GUT158" s="1142"/>
      <c r="GUU158" s="1142"/>
      <c r="GUV158" s="1142"/>
      <c r="GUW158" s="1142"/>
      <c r="GUX158" s="1142"/>
      <c r="GUY158" s="1142"/>
      <c r="GUZ158" s="1142"/>
      <c r="GVA158" s="1142"/>
      <c r="GVB158" s="1142"/>
      <c r="GVC158" s="1142"/>
      <c r="GVD158" s="1142"/>
      <c r="GVE158" s="1142"/>
      <c r="GVF158" s="1142"/>
      <c r="GVG158" s="1142"/>
      <c r="GVH158" s="1142"/>
      <c r="GVI158" s="1167"/>
      <c r="GVJ158" s="1167"/>
      <c r="GVK158" s="1167"/>
      <c r="GVL158" s="1167"/>
      <c r="GVM158" s="1167"/>
      <c r="GVN158" s="1167"/>
      <c r="GVO158" s="1167"/>
      <c r="GVP158" s="1167"/>
      <c r="GVQ158" s="1167"/>
      <c r="GVR158" s="1142"/>
      <c r="GVS158" s="1142"/>
      <c r="GVT158" s="1142"/>
      <c r="GVU158" s="1142"/>
      <c r="GVV158" s="1142"/>
      <c r="GVW158" s="1142"/>
      <c r="GVX158" s="1142"/>
      <c r="GVY158" s="1142"/>
      <c r="GVZ158" s="1142"/>
      <c r="GWA158" s="1142"/>
      <c r="GWB158" s="1142"/>
      <c r="GWC158" s="1142"/>
      <c r="GWD158" s="1142"/>
      <c r="GWE158" s="1142"/>
      <c r="GWF158" s="1142"/>
      <c r="GWG158" s="1142"/>
      <c r="GWH158" s="1142"/>
      <c r="GWI158" s="1142"/>
      <c r="GWJ158" s="1142"/>
      <c r="GWK158" s="1142"/>
      <c r="GWL158" s="1142"/>
      <c r="GWM158" s="1142"/>
      <c r="GWN158" s="1142"/>
      <c r="GWO158" s="1167"/>
      <c r="GWP158" s="1167"/>
      <c r="GWQ158" s="1167"/>
      <c r="GWR158" s="1167"/>
      <c r="GWS158" s="1167"/>
      <c r="GWT158" s="1167"/>
      <c r="GWU158" s="1167"/>
      <c r="GWV158" s="1167"/>
      <c r="GWW158" s="1167"/>
      <c r="GWX158" s="1142"/>
      <c r="GWY158" s="1142"/>
      <c r="GWZ158" s="1142"/>
      <c r="GXA158" s="1142"/>
      <c r="GXB158" s="1142"/>
      <c r="GXC158" s="1142"/>
      <c r="GXD158" s="1142"/>
      <c r="GXE158" s="1142"/>
      <c r="GXF158" s="1142"/>
      <c r="GXG158" s="1142"/>
      <c r="GXH158" s="1142"/>
      <c r="GXI158" s="1142"/>
      <c r="GXJ158" s="1142"/>
      <c r="GXK158" s="1142"/>
      <c r="GXL158" s="1142"/>
      <c r="GXM158" s="1142"/>
      <c r="GXN158" s="1142"/>
      <c r="GXO158" s="1142"/>
      <c r="GXP158" s="1142"/>
      <c r="GXQ158" s="1142"/>
      <c r="GXR158" s="1142"/>
      <c r="GXS158" s="1142"/>
      <c r="GXT158" s="1142"/>
      <c r="GXU158" s="1167"/>
      <c r="GXV158" s="1167"/>
      <c r="GXW158" s="1167"/>
      <c r="GXX158" s="1167"/>
      <c r="GXY158" s="1167"/>
      <c r="GXZ158" s="1167"/>
      <c r="GYA158" s="1167"/>
      <c r="GYB158" s="1167"/>
      <c r="GYC158" s="1167"/>
      <c r="GYD158" s="1142"/>
      <c r="GYE158" s="1142"/>
      <c r="GYF158" s="1142"/>
      <c r="GYG158" s="1142"/>
      <c r="GYH158" s="1142"/>
      <c r="GYI158" s="1142"/>
      <c r="GYJ158" s="1142"/>
      <c r="GYK158" s="1142"/>
      <c r="GYL158" s="1142"/>
      <c r="GYM158" s="1142"/>
      <c r="GYN158" s="1142"/>
      <c r="GYO158" s="1142"/>
      <c r="GYP158" s="1142"/>
      <c r="GYQ158" s="1142"/>
      <c r="GYR158" s="1142"/>
      <c r="GYS158" s="1142"/>
      <c r="GYT158" s="1142"/>
      <c r="GYU158" s="1142"/>
      <c r="GYV158" s="1142"/>
      <c r="GYW158" s="1142"/>
      <c r="GYX158" s="1142"/>
      <c r="GYY158" s="1142"/>
      <c r="GYZ158" s="1142"/>
      <c r="GZA158" s="1167"/>
      <c r="GZB158" s="1167"/>
      <c r="GZC158" s="1167"/>
      <c r="GZD158" s="1167"/>
      <c r="GZE158" s="1167"/>
      <c r="GZF158" s="1167"/>
      <c r="GZG158" s="1167"/>
      <c r="GZH158" s="1167"/>
      <c r="GZI158" s="1167"/>
      <c r="GZJ158" s="1142"/>
      <c r="GZK158" s="1142"/>
      <c r="GZL158" s="1142"/>
      <c r="GZM158" s="1142"/>
      <c r="GZN158" s="1142"/>
      <c r="GZO158" s="1142"/>
      <c r="GZP158" s="1142"/>
      <c r="GZQ158" s="1142"/>
      <c r="GZR158" s="1142"/>
      <c r="GZS158" s="1142"/>
      <c r="GZT158" s="1142"/>
      <c r="GZU158" s="1142"/>
      <c r="GZV158" s="1142"/>
      <c r="GZW158" s="1142"/>
      <c r="GZX158" s="1142"/>
      <c r="GZY158" s="1142"/>
      <c r="GZZ158" s="1142"/>
      <c r="HAA158" s="1142"/>
      <c r="HAB158" s="1142"/>
      <c r="HAC158" s="1142"/>
      <c r="HAD158" s="1142"/>
      <c r="HAE158" s="1142"/>
      <c r="HAF158" s="1142"/>
      <c r="HAG158" s="1167"/>
      <c r="HAH158" s="1167"/>
      <c r="HAI158" s="1167"/>
      <c r="HAJ158" s="1167"/>
      <c r="HAK158" s="1167"/>
      <c r="HAL158" s="1167"/>
      <c r="HAM158" s="1167"/>
      <c r="HAN158" s="1167"/>
      <c r="HAO158" s="1167"/>
      <c r="HAP158" s="1142"/>
      <c r="HAQ158" s="1142"/>
      <c r="HAR158" s="1142"/>
      <c r="HAS158" s="1142"/>
      <c r="HAT158" s="1142"/>
      <c r="HAU158" s="1142"/>
      <c r="HAV158" s="1142"/>
      <c r="HAW158" s="1142"/>
      <c r="HAX158" s="1142"/>
      <c r="HAY158" s="1142"/>
      <c r="HAZ158" s="1142"/>
      <c r="HBA158" s="1142"/>
      <c r="HBB158" s="1142"/>
      <c r="HBC158" s="1142"/>
      <c r="HBD158" s="1142"/>
      <c r="HBE158" s="1142"/>
      <c r="HBF158" s="1142"/>
      <c r="HBG158" s="1142"/>
      <c r="HBH158" s="1142"/>
      <c r="HBI158" s="1142"/>
      <c r="HBJ158" s="1142"/>
      <c r="HBK158" s="1142"/>
      <c r="HBL158" s="1142"/>
      <c r="HBM158" s="1167"/>
      <c r="HBN158" s="1167"/>
      <c r="HBO158" s="1167"/>
      <c r="HBP158" s="1167"/>
      <c r="HBQ158" s="1167"/>
      <c r="HBR158" s="1167"/>
      <c r="HBS158" s="1167"/>
      <c r="HBT158" s="1167"/>
      <c r="HBU158" s="1167"/>
      <c r="HBV158" s="1142"/>
      <c r="HBW158" s="1142"/>
      <c r="HBX158" s="1142"/>
      <c r="HBY158" s="1142"/>
      <c r="HBZ158" s="1142"/>
      <c r="HCA158" s="1142"/>
      <c r="HCB158" s="1142"/>
      <c r="HCC158" s="1142"/>
      <c r="HCD158" s="1142"/>
      <c r="HCE158" s="1142"/>
      <c r="HCF158" s="1142"/>
      <c r="HCG158" s="1142"/>
      <c r="HCH158" s="1142"/>
      <c r="HCI158" s="1142"/>
      <c r="HCJ158" s="1142"/>
      <c r="HCK158" s="1142"/>
      <c r="HCL158" s="1142"/>
      <c r="HCM158" s="1142"/>
      <c r="HCN158" s="1142"/>
      <c r="HCO158" s="1142"/>
      <c r="HCP158" s="1142"/>
      <c r="HCQ158" s="1142"/>
      <c r="HCR158" s="1142"/>
      <c r="HCS158" s="1167"/>
      <c r="HCT158" s="1167"/>
      <c r="HCU158" s="1167"/>
      <c r="HCV158" s="1167"/>
      <c r="HCW158" s="1167"/>
      <c r="HCX158" s="1167"/>
      <c r="HCY158" s="1167"/>
      <c r="HCZ158" s="1167"/>
      <c r="HDA158" s="1167"/>
      <c r="HDB158" s="1142"/>
      <c r="HDC158" s="1142"/>
      <c r="HDD158" s="1142"/>
      <c r="HDE158" s="1142"/>
      <c r="HDF158" s="1142"/>
      <c r="HDG158" s="1142"/>
      <c r="HDH158" s="1142"/>
      <c r="HDI158" s="1142"/>
      <c r="HDJ158" s="1142"/>
      <c r="HDK158" s="1142"/>
      <c r="HDL158" s="1142"/>
      <c r="HDM158" s="1142"/>
      <c r="HDN158" s="1142"/>
      <c r="HDO158" s="1142"/>
      <c r="HDP158" s="1142"/>
      <c r="HDQ158" s="1142"/>
      <c r="HDR158" s="1142"/>
      <c r="HDS158" s="1142"/>
      <c r="HDT158" s="1142"/>
      <c r="HDU158" s="1142"/>
      <c r="HDV158" s="1142"/>
      <c r="HDW158" s="1142"/>
      <c r="HDX158" s="1142"/>
      <c r="HDY158" s="1167"/>
      <c r="HDZ158" s="1167"/>
      <c r="HEA158" s="1167"/>
      <c r="HEB158" s="1167"/>
      <c r="HEC158" s="1167"/>
      <c r="HED158" s="1167"/>
      <c r="HEE158" s="1167"/>
      <c r="HEF158" s="1167"/>
      <c r="HEG158" s="1167"/>
      <c r="HEH158" s="1142"/>
      <c r="HEI158" s="1142"/>
      <c r="HEJ158" s="1142"/>
      <c r="HEK158" s="1142"/>
      <c r="HEL158" s="1142"/>
      <c r="HEM158" s="1142"/>
      <c r="HEN158" s="1142"/>
      <c r="HEO158" s="1142"/>
      <c r="HEP158" s="1142"/>
      <c r="HEQ158" s="1142"/>
      <c r="HER158" s="1142"/>
      <c r="HES158" s="1142"/>
      <c r="HET158" s="1142"/>
      <c r="HEU158" s="1142"/>
      <c r="HEV158" s="1142"/>
      <c r="HEW158" s="1142"/>
      <c r="HEX158" s="1142"/>
      <c r="HEY158" s="1142"/>
      <c r="HEZ158" s="1142"/>
      <c r="HFA158" s="1142"/>
      <c r="HFB158" s="1142"/>
      <c r="HFC158" s="1142"/>
      <c r="HFD158" s="1142"/>
      <c r="HFE158" s="1167"/>
      <c r="HFF158" s="1167"/>
      <c r="HFG158" s="1167"/>
      <c r="HFH158" s="1167"/>
      <c r="HFI158" s="1167"/>
      <c r="HFJ158" s="1167"/>
      <c r="HFK158" s="1167"/>
      <c r="HFL158" s="1167"/>
      <c r="HFM158" s="1167"/>
      <c r="HFN158" s="1142"/>
      <c r="HFO158" s="1142"/>
      <c r="HFP158" s="1142"/>
      <c r="HFQ158" s="1142"/>
      <c r="HFR158" s="1142"/>
      <c r="HFS158" s="1142"/>
      <c r="HFT158" s="1142"/>
      <c r="HFU158" s="1142"/>
      <c r="HFV158" s="1142"/>
      <c r="HFW158" s="1142"/>
      <c r="HFX158" s="1142"/>
      <c r="HFY158" s="1142"/>
      <c r="HFZ158" s="1142"/>
      <c r="HGA158" s="1142"/>
      <c r="HGB158" s="1142"/>
      <c r="HGC158" s="1142"/>
      <c r="HGD158" s="1142"/>
      <c r="HGE158" s="1142"/>
      <c r="HGF158" s="1142"/>
      <c r="HGG158" s="1142"/>
      <c r="HGH158" s="1142"/>
      <c r="HGI158" s="1142"/>
      <c r="HGJ158" s="1142"/>
      <c r="HGK158" s="1167"/>
      <c r="HGL158" s="1167"/>
      <c r="HGM158" s="1167"/>
      <c r="HGN158" s="1167"/>
      <c r="HGO158" s="1167"/>
      <c r="HGP158" s="1167"/>
      <c r="HGQ158" s="1167"/>
      <c r="HGR158" s="1167"/>
      <c r="HGS158" s="1167"/>
      <c r="HGT158" s="1142"/>
      <c r="HGU158" s="1142"/>
      <c r="HGV158" s="1142"/>
      <c r="HGW158" s="1142"/>
      <c r="HGX158" s="1142"/>
      <c r="HGY158" s="1142"/>
      <c r="HGZ158" s="1142"/>
      <c r="HHA158" s="1142"/>
      <c r="HHB158" s="1142"/>
      <c r="HHC158" s="1142"/>
      <c r="HHD158" s="1142"/>
      <c r="HHE158" s="1142"/>
      <c r="HHF158" s="1142"/>
      <c r="HHG158" s="1142"/>
      <c r="HHH158" s="1142"/>
      <c r="HHI158" s="1142"/>
      <c r="HHJ158" s="1142"/>
      <c r="HHK158" s="1142"/>
      <c r="HHL158" s="1142"/>
      <c r="HHM158" s="1142"/>
      <c r="HHN158" s="1142"/>
      <c r="HHO158" s="1142"/>
      <c r="HHP158" s="1142"/>
      <c r="HHQ158" s="1167"/>
      <c r="HHR158" s="1167"/>
      <c r="HHS158" s="1167"/>
      <c r="HHT158" s="1167"/>
      <c r="HHU158" s="1167"/>
      <c r="HHV158" s="1167"/>
      <c r="HHW158" s="1167"/>
      <c r="HHX158" s="1167"/>
      <c r="HHY158" s="1167"/>
      <c r="HHZ158" s="1142"/>
      <c r="HIA158" s="1142"/>
      <c r="HIB158" s="1142"/>
      <c r="HIC158" s="1142"/>
      <c r="HID158" s="1142"/>
      <c r="HIE158" s="1142"/>
      <c r="HIF158" s="1142"/>
      <c r="HIG158" s="1142"/>
      <c r="HIH158" s="1142"/>
      <c r="HII158" s="1142"/>
      <c r="HIJ158" s="1142"/>
      <c r="HIK158" s="1142"/>
      <c r="HIL158" s="1142"/>
      <c r="HIM158" s="1142"/>
      <c r="HIN158" s="1142"/>
      <c r="HIO158" s="1142"/>
      <c r="HIP158" s="1142"/>
      <c r="HIQ158" s="1142"/>
      <c r="HIR158" s="1142"/>
      <c r="HIS158" s="1142"/>
      <c r="HIT158" s="1142"/>
      <c r="HIU158" s="1142"/>
      <c r="HIV158" s="1142"/>
      <c r="HIW158" s="1167"/>
      <c r="HIX158" s="1167"/>
      <c r="HIY158" s="1167"/>
      <c r="HIZ158" s="1167"/>
      <c r="HJA158" s="1167"/>
      <c r="HJB158" s="1167"/>
      <c r="HJC158" s="1167"/>
      <c r="HJD158" s="1167"/>
      <c r="HJE158" s="1167"/>
      <c r="HJF158" s="1142"/>
      <c r="HJG158" s="1142"/>
      <c r="HJH158" s="1142"/>
      <c r="HJI158" s="1142"/>
      <c r="HJJ158" s="1142"/>
      <c r="HJK158" s="1142"/>
      <c r="HJL158" s="1142"/>
      <c r="HJM158" s="1142"/>
      <c r="HJN158" s="1142"/>
      <c r="HJO158" s="1142"/>
      <c r="HJP158" s="1142"/>
      <c r="HJQ158" s="1142"/>
      <c r="HJR158" s="1142"/>
      <c r="HJS158" s="1142"/>
      <c r="HJT158" s="1142"/>
      <c r="HJU158" s="1142"/>
      <c r="HJV158" s="1142"/>
      <c r="HJW158" s="1142"/>
      <c r="HJX158" s="1142"/>
      <c r="HJY158" s="1142"/>
      <c r="HJZ158" s="1142"/>
      <c r="HKA158" s="1142"/>
      <c r="HKB158" s="1142"/>
      <c r="HKC158" s="1167"/>
      <c r="HKD158" s="1167"/>
      <c r="HKE158" s="1167"/>
      <c r="HKF158" s="1167"/>
      <c r="HKG158" s="1167"/>
      <c r="HKH158" s="1167"/>
      <c r="HKI158" s="1167"/>
      <c r="HKJ158" s="1167"/>
      <c r="HKK158" s="1167"/>
      <c r="HKL158" s="1142"/>
      <c r="HKM158" s="1142"/>
      <c r="HKN158" s="1142"/>
      <c r="HKO158" s="1142"/>
      <c r="HKP158" s="1142"/>
      <c r="HKQ158" s="1142"/>
      <c r="HKR158" s="1142"/>
      <c r="HKS158" s="1142"/>
      <c r="HKT158" s="1142"/>
      <c r="HKU158" s="1142"/>
      <c r="HKV158" s="1142"/>
      <c r="HKW158" s="1142"/>
      <c r="HKX158" s="1142"/>
      <c r="HKY158" s="1142"/>
      <c r="HKZ158" s="1142"/>
      <c r="HLA158" s="1142"/>
      <c r="HLB158" s="1142"/>
      <c r="HLC158" s="1142"/>
      <c r="HLD158" s="1142"/>
      <c r="HLE158" s="1142"/>
      <c r="HLF158" s="1142"/>
      <c r="HLG158" s="1142"/>
      <c r="HLH158" s="1142"/>
      <c r="HLI158" s="1167"/>
      <c r="HLJ158" s="1167"/>
      <c r="HLK158" s="1167"/>
      <c r="HLL158" s="1167"/>
      <c r="HLM158" s="1167"/>
      <c r="HLN158" s="1167"/>
      <c r="HLO158" s="1167"/>
      <c r="HLP158" s="1167"/>
      <c r="HLQ158" s="1167"/>
      <c r="HLR158" s="1142"/>
      <c r="HLS158" s="1142"/>
      <c r="HLT158" s="1142"/>
      <c r="HLU158" s="1142"/>
      <c r="HLV158" s="1142"/>
      <c r="HLW158" s="1142"/>
      <c r="HLX158" s="1142"/>
      <c r="HLY158" s="1142"/>
      <c r="HLZ158" s="1142"/>
      <c r="HMA158" s="1142"/>
      <c r="HMB158" s="1142"/>
      <c r="HMC158" s="1142"/>
      <c r="HMD158" s="1142"/>
      <c r="HME158" s="1142"/>
      <c r="HMF158" s="1142"/>
      <c r="HMG158" s="1142"/>
      <c r="HMH158" s="1142"/>
      <c r="HMI158" s="1142"/>
      <c r="HMJ158" s="1142"/>
      <c r="HMK158" s="1142"/>
      <c r="HML158" s="1142"/>
      <c r="HMM158" s="1142"/>
      <c r="HMN158" s="1142"/>
      <c r="HMO158" s="1167"/>
      <c r="HMP158" s="1167"/>
      <c r="HMQ158" s="1167"/>
      <c r="HMR158" s="1167"/>
      <c r="HMS158" s="1167"/>
      <c r="HMT158" s="1167"/>
      <c r="HMU158" s="1167"/>
      <c r="HMV158" s="1167"/>
      <c r="HMW158" s="1167"/>
      <c r="HMX158" s="1142"/>
      <c r="HMY158" s="1142"/>
      <c r="HMZ158" s="1142"/>
      <c r="HNA158" s="1142"/>
      <c r="HNB158" s="1142"/>
      <c r="HNC158" s="1142"/>
      <c r="HND158" s="1142"/>
      <c r="HNE158" s="1142"/>
      <c r="HNF158" s="1142"/>
      <c r="HNG158" s="1142"/>
      <c r="HNH158" s="1142"/>
      <c r="HNI158" s="1142"/>
      <c r="HNJ158" s="1142"/>
      <c r="HNK158" s="1142"/>
      <c r="HNL158" s="1142"/>
      <c r="HNM158" s="1142"/>
      <c r="HNN158" s="1142"/>
      <c r="HNO158" s="1142"/>
      <c r="HNP158" s="1142"/>
      <c r="HNQ158" s="1142"/>
      <c r="HNR158" s="1142"/>
      <c r="HNS158" s="1142"/>
      <c r="HNT158" s="1142"/>
      <c r="HNU158" s="1167"/>
      <c r="HNV158" s="1167"/>
      <c r="HNW158" s="1167"/>
      <c r="HNX158" s="1167"/>
      <c r="HNY158" s="1167"/>
      <c r="HNZ158" s="1167"/>
      <c r="HOA158" s="1167"/>
      <c r="HOB158" s="1167"/>
      <c r="HOC158" s="1167"/>
      <c r="HOD158" s="1142"/>
      <c r="HOE158" s="1142"/>
      <c r="HOF158" s="1142"/>
      <c r="HOG158" s="1142"/>
      <c r="HOH158" s="1142"/>
      <c r="HOI158" s="1142"/>
      <c r="HOJ158" s="1142"/>
      <c r="HOK158" s="1142"/>
      <c r="HOL158" s="1142"/>
      <c r="HOM158" s="1142"/>
      <c r="HON158" s="1142"/>
      <c r="HOO158" s="1142"/>
      <c r="HOP158" s="1142"/>
      <c r="HOQ158" s="1142"/>
      <c r="HOR158" s="1142"/>
      <c r="HOS158" s="1142"/>
      <c r="HOT158" s="1142"/>
      <c r="HOU158" s="1142"/>
      <c r="HOV158" s="1142"/>
      <c r="HOW158" s="1142"/>
      <c r="HOX158" s="1142"/>
      <c r="HOY158" s="1142"/>
      <c r="HOZ158" s="1142"/>
      <c r="HPA158" s="1167"/>
      <c r="HPB158" s="1167"/>
      <c r="HPC158" s="1167"/>
      <c r="HPD158" s="1167"/>
      <c r="HPE158" s="1167"/>
      <c r="HPF158" s="1167"/>
      <c r="HPG158" s="1167"/>
      <c r="HPH158" s="1167"/>
      <c r="HPI158" s="1167"/>
      <c r="HPJ158" s="1142"/>
      <c r="HPK158" s="1142"/>
      <c r="HPL158" s="1142"/>
      <c r="HPM158" s="1142"/>
      <c r="HPN158" s="1142"/>
      <c r="HPO158" s="1142"/>
      <c r="HPP158" s="1142"/>
      <c r="HPQ158" s="1142"/>
      <c r="HPR158" s="1142"/>
      <c r="HPS158" s="1142"/>
      <c r="HPT158" s="1142"/>
      <c r="HPU158" s="1142"/>
      <c r="HPV158" s="1142"/>
      <c r="HPW158" s="1142"/>
      <c r="HPX158" s="1142"/>
      <c r="HPY158" s="1142"/>
      <c r="HPZ158" s="1142"/>
      <c r="HQA158" s="1142"/>
      <c r="HQB158" s="1142"/>
      <c r="HQC158" s="1142"/>
      <c r="HQD158" s="1142"/>
      <c r="HQE158" s="1142"/>
      <c r="HQF158" s="1142"/>
      <c r="HQG158" s="1167"/>
      <c r="HQH158" s="1167"/>
      <c r="HQI158" s="1167"/>
      <c r="HQJ158" s="1167"/>
      <c r="HQK158" s="1167"/>
      <c r="HQL158" s="1167"/>
      <c r="HQM158" s="1167"/>
      <c r="HQN158" s="1167"/>
      <c r="HQO158" s="1167"/>
      <c r="HQP158" s="1142"/>
      <c r="HQQ158" s="1142"/>
      <c r="HQR158" s="1142"/>
      <c r="HQS158" s="1142"/>
      <c r="HQT158" s="1142"/>
      <c r="HQU158" s="1142"/>
      <c r="HQV158" s="1142"/>
      <c r="HQW158" s="1142"/>
      <c r="HQX158" s="1142"/>
      <c r="HQY158" s="1142"/>
      <c r="HQZ158" s="1142"/>
      <c r="HRA158" s="1142"/>
      <c r="HRB158" s="1142"/>
      <c r="HRC158" s="1142"/>
      <c r="HRD158" s="1142"/>
      <c r="HRE158" s="1142"/>
      <c r="HRF158" s="1142"/>
      <c r="HRG158" s="1142"/>
      <c r="HRH158" s="1142"/>
      <c r="HRI158" s="1142"/>
      <c r="HRJ158" s="1142"/>
      <c r="HRK158" s="1142"/>
      <c r="HRL158" s="1142"/>
      <c r="HRM158" s="1167"/>
      <c r="HRN158" s="1167"/>
      <c r="HRO158" s="1167"/>
      <c r="HRP158" s="1167"/>
      <c r="HRQ158" s="1167"/>
      <c r="HRR158" s="1167"/>
      <c r="HRS158" s="1167"/>
      <c r="HRT158" s="1167"/>
      <c r="HRU158" s="1167"/>
      <c r="HRV158" s="1142"/>
      <c r="HRW158" s="1142"/>
      <c r="HRX158" s="1142"/>
      <c r="HRY158" s="1142"/>
      <c r="HRZ158" s="1142"/>
      <c r="HSA158" s="1142"/>
      <c r="HSB158" s="1142"/>
      <c r="HSC158" s="1142"/>
      <c r="HSD158" s="1142"/>
      <c r="HSE158" s="1142"/>
      <c r="HSF158" s="1142"/>
      <c r="HSG158" s="1142"/>
      <c r="HSH158" s="1142"/>
      <c r="HSI158" s="1142"/>
      <c r="HSJ158" s="1142"/>
      <c r="HSK158" s="1142"/>
      <c r="HSL158" s="1142"/>
      <c r="HSM158" s="1142"/>
      <c r="HSN158" s="1142"/>
      <c r="HSO158" s="1142"/>
      <c r="HSP158" s="1142"/>
      <c r="HSQ158" s="1142"/>
      <c r="HSR158" s="1142"/>
      <c r="HSS158" s="1167"/>
      <c r="HST158" s="1167"/>
      <c r="HSU158" s="1167"/>
      <c r="HSV158" s="1167"/>
      <c r="HSW158" s="1167"/>
      <c r="HSX158" s="1167"/>
      <c r="HSY158" s="1167"/>
      <c r="HSZ158" s="1167"/>
      <c r="HTA158" s="1167"/>
      <c r="HTB158" s="1142"/>
      <c r="HTC158" s="1142"/>
      <c r="HTD158" s="1142"/>
      <c r="HTE158" s="1142"/>
      <c r="HTF158" s="1142"/>
      <c r="HTG158" s="1142"/>
      <c r="HTH158" s="1142"/>
      <c r="HTI158" s="1142"/>
      <c r="HTJ158" s="1142"/>
      <c r="HTK158" s="1142"/>
      <c r="HTL158" s="1142"/>
      <c r="HTM158" s="1142"/>
      <c r="HTN158" s="1142"/>
      <c r="HTO158" s="1142"/>
      <c r="HTP158" s="1142"/>
      <c r="HTQ158" s="1142"/>
      <c r="HTR158" s="1142"/>
      <c r="HTS158" s="1142"/>
      <c r="HTT158" s="1142"/>
      <c r="HTU158" s="1142"/>
      <c r="HTV158" s="1142"/>
      <c r="HTW158" s="1142"/>
      <c r="HTX158" s="1142"/>
      <c r="HTY158" s="1167"/>
      <c r="HTZ158" s="1167"/>
      <c r="HUA158" s="1167"/>
      <c r="HUB158" s="1167"/>
      <c r="HUC158" s="1167"/>
      <c r="HUD158" s="1167"/>
      <c r="HUE158" s="1167"/>
      <c r="HUF158" s="1167"/>
      <c r="HUG158" s="1167"/>
      <c r="HUH158" s="1142"/>
      <c r="HUI158" s="1142"/>
      <c r="HUJ158" s="1142"/>
      <c r="HUK158" s="1142"/>
      <c r="HUL158" s="1142"/>
      <c r="HUM158" s="1142"/>
      <c r="HUN158" s="1142"/>
      <c r="HUO158" s="1142"/>
      <c r="HUP158" s="1142"/>
      <c r="HUQ158" s="1142"/>
      <c r="HUR158" s="1142"/>
      <c r="HUS158" s="1142"/>
      <c r="HUT158" s="1142"/>
      <c r="HUU158" s="1142"/>
      <c r="HUV158" s="1142"/>
      <c r="HUW158" s="1142"/>
      <c r="HUX158" s="1142"/>
      <c r="HUY158" s="1142"/>
      <c r="HUZ158" s="1142"/>
      <c r="HVA158" s="1142"/>
      <c r="HVB158" s="1142"/>
      <c r="HVC158" s="1142"/>
      <c r="HVD158" s="1142"/>
      <c r="HVE158" s="1167"/>
      <c r="HVF158" s="1167"/>
      <c r="HVG158" s="1167"/>
      <c r="HVH158" s="1167"/>
      <c r="HVI158" s="1167"/>
      <c r="HVJ158" s="1167"/>
      <c r="HVK158" s="1167"/>
      <c r="HVL158" s="1167"/>
      <c r="HVM158" s="1167"/>
      <c r="HVN158" s="1142"/>
      <c r="HVO158" s="1142"/>
      <c r="HVP158" s="1142"/>
      <c r="HVQ158" s="1142"/>
      <c r="HVR158" s="1142"/>
      <c r="HVS158" s="1142"/>
      <c r="HVT158" s="1142"/>
      <c r="HVU158" s="1142"/>
      <c r="HVV158" s="1142"/>
      <c r="HVW158" s="1142"/>
      <c r="HVX158" s="1142"/>
      <c r="HVY158" s="1142"/>
      <c r="HVZ158" s="1142"/>
      <c r="HWA158" s="1142"/>
      <c r="HWB158" s="1142"/>
      <c r="HWC158" s="1142"/>
      <c r="HWD158" s="1142"/>
      <c r="HWE158" s="1142"/>
      <c r="HWF158" s="1142"/>
      <c r="HWG158" s="1142"/>
      <c r="HWH158" s="1142"/>
      <c r="HWI158" s="1142"/>
      <c r="HWJ158" s="1142"/>
      <c r="HWK158" s="1167"/>
      <c r="HWL158" s="1167"/>
      <c r="HWM158" s="1167"/>
      <c r="HWN158" s="1167"/>
      <c r="HWO158" s="1167"/>
      <c r="HWP158" s="1167"/>
      <c r="HWQ158" s="1167"/>
      <c r="HWR158" s="1167"/>
      <c r="HWS158" s="1167"/>
      <c r="HWT158" s="1142"/>
      <c r="HWU158" s="1142"/>
      <c r="HWV158" s="1142"/>
      <c r="HWW158" s="1142"/>
      <c r="HWX158" s="1142"/>
      <c r="HWY158" s="1142"/>
      <c r="HWZ158" s="1142"/>
      <c r="HXA158" s="1142"/>
      <c r="HXB158" s="1142"/>
      <c r="HXC158" s="1142"/>
      <c r="HXD158" s="1142"/>
      <c r="HXE158" s="1142"/>
      <c r="HXF158" s="1142"/>
      <c r="HXG158" s="1142"/>
      <c r="HXH158" s="1142"/>
      <c r="HXI158" s="1142"/>
      <c r="HXJ158" s="1142"/>
      <c r="HXK158" s="1142"/>
      <c r="HXL158" s="1142"/>
      <c r="HXM158" s="1142"/>
      <c r="HXN158" s="1142"/>
      <c r="HXO158" s="1142"/>
      <c r="HXP158" s="1142"/>
      <c r="HXQ158" s="1167"/>
      <c r="HXR158" s="1167"/>
      <c r="HXS158" s="1167"/>
      <c r="HXT158" s="1167"/>
      <c r="HXU158" s="1167"/>
      <c r="HXV158" s="1167"/>
      <c r="HXW158" s="1167"/>
      <c r="HXX158" s="1167"/>
      <c r="HXY158" s="1167"/>
      <c r="HXZ158" s="1142"/>
      <c r="HYA158" s="1142"/>
      <c r="HYB158" s="1142"/>
      <c r="HYC158" s="1142"/>
      <c r="HYD158" s="1142"/>
      <c r="HYE158" s="1142"/>
      <c r="HYF158" s="1142"/>
      <c r="HYG158" s="1142"/>
      <c r="HYH158" s="1142"/>
      <c r="HYI158" s="1142"/>
      <c r="HYJ158" s="1142"/>
      <c r="HYK158" s="1142"/>
      <c r="HYL158" s="1142"/>
      <c r="HYM158" s="1142"/>
      <c r="HYN158" s="1142"/>
      <c r="HYO158" s="1142"/>
      <c r="HYP158" s="1142"/>
      <c r="HYQ158" s="1142"/>
      <c r="HYR158" s="1142"/>
      <c r="HYS158" s="1142"/>
      <c r="HYT158" s="1142"/>
      <c r="HYU158" s="1142"/>
      <c r="HYV158" s="1142"/>
      <c r="HYW158" s="1167"/>
      <c r="HYX158" s="1167"/>
      <c r="HYY158" s="1167"/>
      <c r="HYZ158" s="1167"/>
      <c r="HZA158" s="1167"/>
      <c r="HZB158" s="1167"/>
      <c r="HZC158" s="1167"/>
      <c r="HZD158" s="1167"/>
      <c r="HZE158" s="1167"/>
      <c r="HZF158" s="1142"/>
      <c r="HZG158" s="1142"/>
      <c r="HZH158" s="1142"/>
      <c r="HZI158" s="1142"/>
      <c r="HZJ158" s="1142"/>
      <c r="HZK158" s="1142"/>
      <c r="HZL158" s="1142"/>
      <c r="HZM158" s="1142"/>
      <c r="HZN158" s="1142"/>
      <c r="HZO158" s="1142"/>
      <c r="HZP158" s="1142"/>
      <c r="HZQ158" s="1142"/>
      <c r="HZR158" s="1142"/>
      <c r="HZS158" s="1142"/>
      <c r="HZT158" s="1142"/>
      <c r="HZU158" s="1142"/>
      <c r="HZV158" s="1142"/>
      <c r="HZW158" s="1142"/>
      <c r="HZX158" s="1142"/>
      <c r="HZY158" s="1142"/>
      <c r="HZZ158" s="1142"/>
      <c r="IAA158" s="1142"/>
      <c r="IAB158" s="1142"/>
      <c r="IAC158" s="1167"/>
      <c r="IAD158" s="1167"/>
      <c r="IAE158" s="1167"/>
      <c r="IAF158" s="1167"/>
      <c r="IAG158" s="1167"/>
      <c r="IAH158" s="1167"/>
      <c r="IAI158" s="1167"/>
      <c r="IAJ158" s="1167"/>
      <c r="IAK158" s="1167"/>
      <c r="IAL158" s="1142"/>
      <c r="IAM158" s="1142"/>
      <c r="IAN158" s="1142"/>
      <c r="IAO158" s="1142"/>
      <c r="IAP158" s="1142"/>
      <c r="IAQ158" s="1142"/>
      <c r="IAR158" s="1142"/>
      <c r="IAS158" s="1142"/>
      <c r="IAT158" s="1142"/>
      <c r="IAU158" s="1142"/>
      <c r="IAV158" s="1142"/>
      <c r="IAW158" s="1142"/>
      <c r="IAX158" s="1142"/>
      <c r="IAY158" s="1142"/>
      <c r="IAZ158" s="1142"/>
      <c r="IBA158" s="1142"/>
      <c r="IBB158" s="1142"/>
      <c r="IBC158" s="1142"/>
      <c r="IBD158" s="1142"/>
      <c r="IBE158" s="1142"/>
      <c r="IBF158" s="1142"/>
      <c r="IBG158" s="1142"/>
      <c r="IBH158" s="1142"/>
      <c r="IBI158" s="1167"/>
      <c r="IBJ158" s="1167"/>
      <c r="IBK158" s="1167"/>
      <c r="IBL158" s="1167"/>
      <c r="IBM158" s="1167"/>
      <c r="IBN158" s="1167"/>
      <c r="IBO158" s="1167"/>
      <c r="IBP158" s="1167"/>
      <c r="IBQ158" s="1167"/>
      <c r="IBR158" s="1142"/>
      <c r="IBS158" s="1142"/>
      <c r="IBT158" s="1142"/>
      <c r="IBU158" s="1142"/>
      <c r="IBV158" s="1142"/>
      <c r="IBW158" s="1142"/>
      <c r="IBX158" s="1142"/>
      <c r="IBY158" s="1142"/>
      <c r="IBZ158" s="1142"/>
      <c r="ICA158" s="1142"/>
      <c r="ICB158" s="1142"/>
      <c r="ICC158" s="1142"/>
      <c r="ICD158" s="1142"/>
      <c r="ICE158" s="1142"/>
      <c r="ICF158" s="1142"/>
      <c r="ICG158" s="1142"/>
      <c r="ICH158" s="1142"/>
      <c r="ICI158" s="1142"/>
      <c r="ICJ158" s="1142"/>
      <c r="ICK158" s="1142"/>
      <c r="ICL158" s="1142"/>
      <c r="ICM158" s="1142"/>
      <c r="ICN158" s="1142"/>
      <c r="ICO158" s="1167"/>
      <c r="ICP158" s="1167"/>
      <c r="ICQ158" s="1167"/>
      <c r="ICR158" s="1167"/>
      <c r="ICS158" s="1167"/>
      <c r="ICT158" s="1167"/>
      <c r="ICU158" s="1167"/>
      <c r="ICV158" s="1167"/>
      <c r="ICW158" s="1167"/>
      <c r="ICX158" s="1142"/>
      <c r="ICY158" s="1142"/>
      <c r="ICZ158" s="1142"/>
      <c r="IDA158" s="1142"/>
      <c r="IDB158" s="1142"/>
      <c r="IDC158" s="1142"/>
      <c r="IDD158" s="1142"/>
      <c r="IDE158" s="1142"/>
      <c r="IDF158" s="1142"/>
      <c r="IDG158" s="1142"/>
      <c r="IDH158" s="1142"/>
      <c r="IDI158" s="1142"/>
      <c r="IDJ158" s="1142"/>
      <c r="IDK158" s="1142"/>
      <c r="IDL158" s="1142"/>
      <c r="IDM158" s="1142"/>
      <c r="IDN158" s="1142"/>
      <c r="IDO158" s="1142"/>
      <c r="IDP158" s="1142"/>
      <c r="IDQ158" s="1142"/>
      <c r="IDR158" s="1142"/>
      <c r="IDS158" s="1142"/>
      <c r="IDT158" s="1142"/>
      <c r="IDU158" s="1167"/>
      <c r="IDV158" s="1167"/>
      <c r="IDW158" s="1167"/>
      <c r="IDX158" s="1167"/>
      <c r="IDY158" s="1167"/>
      <c r="IDZ158" s="1167"/>
      <c r="IEA158" s="1167"/>
      <c r="IEB158" s="1167"/>
      <c r="IEC158" s="1167"/>
      <c r="IED158" s="1142"/>
      <c r="IEE158" s="1142"/>
      <c r="IEF158" s="1142"/>
      <c r="IEG158" s="1142"/>
      <c r="IEH158" s="1142"/>
      <c r="IEI158" s="1142"/>
      <c r="IEJ158" s="1142"/>
      <c r="IEK158" s="1142"/>
      <c r="IEL158" s="1142"/>
      <c r="IEM158" s="1142"/>
      <c r="IEN158" s="1142"/>
      <c r="IEO158" s="1142"/>
      <c r="IEP158" s="1142"/>
      <c r="IEQ158" s="1142"/>
      <c r="IER158" s="1142"/>
      <c r="IES158" s="1142"/>
      <c r="IET158" s="1142"/>
      <c r="IEU158" s="1142"/>
      <c r="IEV158" s="1142"/>
      <c r="IEW158" s="1142"/>
      <c r="IEX158" s="1142"/>
      <c r="IEY158" s="1142"/>
      <c r="IEZ158" s="1142"/>
      <c r="IFA158" s="1167"/>
      <c r="IFB158" s="1167"/>
      <c r="IFC158" s="1167"/>
      <c r="IFD158" s="1167"/>
      <c r="IFE158" s="1167"/>
      <c r="IFF158" s="1167"/>
      <c r="IFG158" s="1167"/>
      <c r="IFH158" s="1167"/>
      <c r="IFI158" s="1167"/>
      <c r="IFJ158" s="1142"/>
      <c r="IFK158" s="1142"/>
      <c r="IFL158" s="1142"/>
      <c r="IFM158" s="1142"/>
      <c r="IFN158" s="1142"/>
      <c r="IFO158" s="1142"/>
      <c r="IFP158" s="1142"/>
      <c r="IFQ158" s="1142"/>
      <c r="IFR158" s="1142"/>
      <c r="IFS158" s="1142"/>
      <c r="IFT158" s="1142"/>
      <c r="IFU158" s="1142"/>
      <c r="IFV158" s="1142"/>
      <c r="IFW158" s="1142"/>
      <c r="IFX158" s="1142"/>
      <c r="IFY158" s="1142"/>
      <c r="IFZ158" s="1142"/>
      <c r="IGA158" s="1142"/>
      <c r="IGB158" s="1142"/>
      <c r="IGC158" s="1142"/>
      <c r="IGD158" s="1142"/>
      <c r="IGE158" s="1142"/>
      <c r="IGF158" s="1142"/>
      <c r="IGG158" s="1167"/>
      <c r="IGH158" s="1167"/>
      <c r="IGI158" s="1167"/>
      <c r="IGJ158" s="1167"/>
      <c r="IGK158" s="1167"/>
      <c r="IGL158" s="1167"/>
      <c r="IGM158" s="1167"/>
      <c r="IGN158" s="1167"/>
      <c r="IGO158" s="1167"/>
      <c r="IGP158" s="1142"/>
      <c r="IGQ158" s="1142"/>
      <c r="IGR158" s="1142"/>
      <c r="IGS158" s="1142"/>
      <c r="IGT158" s="1142"/>
      <c r="IGU158" s="1142"/>
      <c r="IGV158" s="1142"/>
      <c r="IGW158" s="1142"/>
      <c r="IGX158" s="1142"/>
      <c r="IGY158" s="1142"/>
      <c r="IGZ158" s="1142"/>
      <c r="IHA158" s="1142"/>
      <c r="IHB158" s="1142"/>
      <c r="IHC158" s="1142"/>
      <c r="IHD158" s="1142"/>
      <c r="IHE158" s="1142"/>
      <c r="IHF158" s="1142"/>
      <c r="IHG158" s="1142"/>
      <c r="IHH158" s="1142"/>
      <c r="IHI158" s="1142"/>
      <c r="IHJ158" s="1142"/>
      <c r="IHK158" s="1142"/>
      <c r="IHL158" s="1142"/>
      <c r="IHM158" s="1167"/>
      <c r="IHN158" s="1167"/>
      <c r="IHO158" s="1167"/>
      <c r="IHP158" s="1167"/>
      <c r="IHQ158" s="1167"/>
      <c r="IHR158" s="1167"/>
      <c r="IHS158" s="1167"/>
      <c r="IHT158" s="1167"/>
      <c r="IHU158" s="1167"/>
      <c r="IHV158" s="1142"/>
      <c r="IHW158" s="1142"/>
      <c r="IHX158" s="1142"/>
      <c r="IHY158" s="1142"/>
      <c r="IHZ158" s="1142"/>
      <c r="IIA158" s="1142"/>
      <c r="IIB158" s="1142"/>
      <c r="IIC158" s="1142"/>
      <c r="IID158" s="1142"/>
      <c r="IIE158" s="1142"/>
      <c r="IIF158" s="1142"/>
      <c r="IIG158" s="1142"/>
      <c r="IIH158" s="1142"/>
      <c r="III158" s="1142"/>
      <c r="IIJ158" s="1142"/>
      <c r="IIK158" s="1142"/>
      <c r="IIL158" s="1142"/>
      <c r="IIM158" s="1142"/>
      <c r="IIN158" s="1142"/>
      <c r="IIO158" s="1142"/>
      <c r="IIP158" s="1142"/>
      <c r="IIQ158" s="1142"/>
      <c r="IIR158" s="1142"/>
      <c r="IIS158" s="1167"/>
      <c r="IIT158" s="1167"/>
      <c r="IIU158" s="1167"/>
      <c r="IIV158" s="1167"/>
      <c r="IIW158" s="1167"/>
      <c r="IIX158" s="1167"/>
      <c r="IIY158" s="1167"/>
      <c r="IIZ158" s="1167"/>
      <c r="IJA158" s="1167"/>
      <c r="IJB158" s="1142"/>
      <c r="IJC158" s="1142"/>
      <c r="IJD158" s="1142"/>
      <c r="IJE158" s="1142"/>
      <c r="IJF158" s="1142"/>
      <c r="IJG158" s="1142"/>
      <c r="IJH158" s="1142"/>
      <c r="IJI158" s="1142"/>
      <c r="IJJ158" s="1142"/>
      <c r="IJK158" s="1142"/>
      <c r="IJL158" s="1142"/>
      <c r="IJM158" s="1142"/>
      <c r="IJN158" s="1142"/>
      <c r="IJO158" s="1142"/>
      <c r="IJP158" s="1142"/>
      <c r="IJQ158" s="1142"/>
      <c r="IJR158" s="1142"/>
      <c r="IJS158" s="1142"/>
      <c r="IJT158" s="1142"/>
      <c r="IJU158" s="1142"/>
      <c r="IJV158" s="1142"/>
      <c r="IJW158" s="1142"/>
      <c r="IJX158" s="1142"/>
      <c r="IJY158" s="1167"/>
      <c r="IJZ158" s="1167"/>
      <c r="IKA158" s="1167"/>
      <c r="IKB158" s="1167"/>
      <c r="IKC158" s="1167"/>
      <c r="IKD158" s="1167"/>
      <c r="IKE158" s="1167"/>
      <c r="IKF158" s="1167"/>
      <c r="IKG158" s="1167"/>
      <c r="IKH158" s="1142"/>
      <c r="IKI158" s="1142"/>
      <c r="IKJ158" s="1142"/>
      <c r="IKK158" s="1142"/>
      <c r="IKL158" s="1142"/>
      <c r="IKM158" s="1142"/>
      <c r="IKN158" s="1142"/>
      <c r="IKO158" s="1142"/>
      <c r="IKP158" s="1142"/>
      <c r="IKQ158" s="1142"/>
      <c r="IKR158" s="1142"/>
      <c r="IKS158" s="1142"/>
      <c r="IKT158" s="1142"/>
      <c r="IKU158" s="1142"/>
      <c r="IKV158" s="1142"/>
      <c r="IKW158" s="1142"/>
      <c r="IKX158" s="1142"/>
      <c r="IKY158" s="1142"/>
      <c r="IKZ158" s="1142"/>
      <c r="ILA158" s="1142"/>
      <c r="ILB158" s="1142"/>
      <c r="ILC158" s="1142"/>
      <c r="ILD158" s="1142"/>
      <c r="ILE158" s="1167"/>
      <c r="ILF158" s="1167"/>
      <c r="ILG158" s="1167"/>
      <c r="ILH158" s="1167"/>
      <c r="ILI158" s="1167"/>
      <c r="ILJ158" s="1167"/>
      <c r="ILK158" s="1167"/>
      <c r="ILL158" s="1167"/>
      <c r="ILM158" s="1167"/>
      <c r="ILN158" s="1142"/>
      <c r="ILO158" s="1142"/>
      <c r="ILP158" s="1142"/>
      <c r="ILQ158" s="1142"/>
      <c r="ILR158" s="1142"/>
      <c r="ILS158" s="1142"/>
      <c r="ILT158" s="1142"/>
      <c r="ILU158" s="1142"/>
      <c r="ILV158" s="1142"/>
      <c r="ILW158" s="1142"/>
      <c r="ILX158" s="1142"/>
      <c r="ILY158" s="1142"/>
      <c r="ILZ158" s="1142"/>
      <c r="IMA158" s="1142"/>
      <c r="IMB158" s="1142"/>
      <c r="IMC158" s="1142"/>
      <c r="IMD158" s="1142"/>
      <c r="IME158" s="1142"/>
      <c r="IMF158" s="1142"/>
      <c r="IMG158" s="1142"/>
      <c r="IMH158" s="1142"/>
      <c r="IMI158" s="1142"/>
      <c r="IMJ158" s="1142"/>
      <c r="IMK158" s="1167"/>
      <c r="IML158" s="1167"/>
      <c r="IMM158" s="1167"/>
      <c r="IMN158" s="1167"/>
      <c r="IMO158" s="1167"/>
      <c r="IMP158" s="1167"/>
      <c r="IMQ158" s="1167"/>
      <c r="IMR158" s="1167"/>
      <c r="IMS158" s="1167"/>
      <c r="IMT158" s="1142"/>
      <c r="IMU158" s="1142"/>
      <c r="IMV158" s="1142"/>
      <c r="IMW158" s="1142"/>
      <c r="IMX158" s="1142"/>
      <c r="IMY158" s="1142"/>
      <c r="IMZ158" s="1142"/>
      <c r="INA158" s="1142"/>
      <c r="INB158" s="1142"/>
      <c r="INC158" s="1142"/>
      <c r="IND158" s="1142"/>
      <c r="INE158" s="1142"/>
      <c r="INF158" s="1142"/>
      <c r="ING158" s="1142"/>
      <c r="INH158" s="1142"/>
      <c r="INI158" s="1142"/>
      <c r="INJ158" s="1142"/>
      <c r="INK158" s="1142"/>
      <c r="INL158" s="1142"/>
      <c r="INM158" s="1142"/>
      <c r="INN158" s="1142"/>
      <c r="INO158" s="1142"/>
      <c r="INP158" s="1142"/>
      <c r="INQ158" s="1167"/>
      <c r="INR158" s="1167"/>
      <c r="INS158" s="1167"/>
      <c r="INT158" s="1167"/>
      <c r="INU158" s="1167"/>
      <c r="INV158" s="1167"/>
      <c r="INW158" s="1167"/>
      <c r="INX158" s="1167"/>
      <c r="INY158" s="1167"/>
      <c r="INZ158" s="1142"/>
      <c r="IOA158" s="1142"/>
      <c r="IOB158" s="1142"/>
      <c r="IOC158" s="1142"/>
      <c r="IOD158" s="1142"/>
      <c r="IOE158" s="1142"/>
      <c r="IOF158" s="1142"/>
      <c r="IOG158" s="1142"/>
      <c r="IOH158" s="1142"/>
      <c r="IOI158" s="1142"/>
      <c r="IOJ158" s="1142"/>
      <c r="IOK158" s="1142"/>
      <c r="IOL158" s="1142"/>
      <c r="IOM158" s="1142"/>
      <c r="ION158" s="1142"/>
      <c r="IOO158" s="1142"/>
      <c r="IOP158" s="1142"/>
      <c r="IOQ158" s="1142"/>
      <c r="IOR158" s="1142"/>
      <c r="IOS158" s="1142"/>
      <c r="IOT158" s="1142"/>
      <c r="IOU158" s="1142"/>
      <c r="IOV158" s="1142"/>
      <c r="IOW158" s="1167"/>
      <c r="IOX158" s="1167"/>
      <c r="IOY158" s="1167"/>
      <c r="IOZ158" s="1167"/>
      <c r="IPA158" s="1167"/>
      <c r="IPB158" s="1167"/>
      <c r="IPC158" s="1167"/>
      <c r="IPD158" s="1167"/>
      <c r="IPE158" s="1167"/>
      <c r="IPF158" s="1142"/>
      <c r="IPG158" s="1142"/>
      <c r="IPH158" s="1142"/>
      <c r="IPI158" s="1142"/>
      <c r="IPJ158" s="1142"/>
      <c r="IPK158" s="1142"/>
      <c r="IPL158" s="1142"/>
      <c r="IPM158" s="1142"/>
      <c r="IPN158" s="1142"/>
      <c r="IPO158" s="1142"/>
      <c r="IPP158" s="1142"/>
      <c r="IPQ158" s="1142"/>
      <c r="IPR158" s="1142"/>
      <c r="IPS158" s="1142"/>
      <c r="IPT158" s="1142"/>
      <c r="IPU158" s="1142"/>
      <c r="IPV158" s="1142"/>
      <c r="IPW158" s="1142"/>
      <c r="IPX158" s="1142"/>
      <c r="IPY158" s="1142"/>
      <c r="IPZ158" s="1142"/>
      <c r="IQA158" s="1142"/>
      <c r="IQB158" s="1142"/>
      <c r="IQC158" s="1167"/>
      <c r="IQD158" s="1167"/>
      <c r="IQE158" s="1167"/>
      <c r="IQF158" s="1167"/>
      <c r="IQG158" s="1167"/>
      <c r="IQH158" s="1167"/>
      <c r="IQI158" s="1167"/>
      <c r="IQJ158" s="1167"/>
      <c r="IQK158" s="1167"/>
      <c r="IQL158" s="1142"/>
      <c r="IQM158" s="1142"/>
      <c r="IQN158" s="1142"/>
      <c r="IQO158" s="1142"/>
      <c r="IQP158" s="1142"/>
      <c r="IQQ158" s="1142"/>
      <c r="IQR158" s="1142"/>
      <c r="IQS158" s="1142"/>
      <c r="IQT158" s="1142"/>
      <c r="IQU158" s="1142"/>
      <c r="IQV158" s="1142"/>
      <c r="IQW158" s="1142"/>
      <c r="IQX158" s="1142"/>
      <c r="IQY158" s="1142"/>
      <c r="IQZ158" s="1142"/>
      <c r="IRA158" s="1142"/>
      <c r="IRB158" s="1142"/>
      <c r="IRC158" s="1142"/>
      <c r="IRD158" s="1142"/>
      <c r="IRE158" s="1142"/>
      <c r="IRF158" s="1142"/>
      <c r="IRG158" s="1142"/>
      <c r="IRH158" s="1142"/>
      <c r="IRI158" s="1167"/>
      <c r="IRJ158" s="1167"/>
      <c r="IRK158" s="1167"/>
      <c r="IRL158" s="1167"/>
      <c r="IRM158" s="1167"/>
      <c r="IRN158" s="1167"/>
      <c r="IRO158" s="1167"/>
      <c r="IRP158" s="1167"/>
      <c r="IRQ158" s="1167"/>
      <c r="IRR158" s="1142"/>
      <c r="IRS158" s="1142"/>
      <c r="IRT158" s="1142"/>
      <c r="IRU158" s="1142"/>
      <c r="IRV158" s="1142"/>
      <c r="IRW158" s="1142"/>
      <c r="IRX158" s="1142"/>
      <c r="IRY158" s="1142"/>
      <c r="IRZ158" s="1142"/>
      <c r="ISA158" s="1142"/>
      <c r="ISB158" s="1142"/>
      <c r="ISC158" s="1142"/>
      <c r="ISD158" s="1142"/>
      <c r="ISE158" s="1142"/>
      <c r="ISF158" s="1142"/>
      <c r="ISG158" s="1142"/>
      <c r="ISH158" s="1142"/>
      <c r="ISI158" s="1142"/>
      <c r="ISJ158" s="1142"/>
      <c r="ISK158" s="1142"/>
      <c r="ISL158" s="1142"/>
      <c r="ISM158" s="1142"/>
      <c r="ISN158" s="1142"/>
      <c r="ISO158" s="1167"/>
      <c r="ISP158" s="1167"/>
      <c r="ISQ158" s="1167"/>
      <c r="ISR158" s="1167"/>
      <c r="ISS158" s="1167"/>
      <c r="IST158" s="1167"/>
      <c r="ISU158" s="1167"/>
      <c r="ISV158" s="1167"/>
      <c r="ISW158" s="1167"/>
      <c r="ISX158" s="1142"/>
      <c r="ISY158" s="1142"/>
      <c r="ISZ158" s="1142"/>
      <c r="ITA158" s="1142"/>
      <c r="ITB158" s="1142"/>
      <c r="ITC158" s="1142"/>
      <c r="ITD158" s="1142"/>
      <c r="ITE158" s="1142"/>
      <c r="ITF158" s="1142"/>
      <c r="ITG158" s="1142"/>
      <c r="ITH158" s="1142"/>
      <c r="ITI158" s="1142"/>
      <c r="ITJ158" s="1142"/>
      <c r="ITK158" s="1142"/>
      <c r="ITL158" s="1142"/>
      <c r="ITM158" s="1142"/>
      <c r="ITN158" s="1142"/>
      <c r="ITO158" s="1142"/>
      <c r="ITP158" s="1142"/>
      <c r="ITQ158" s="1142"/>
      <c r="ITR158" s="1142"/>
      <c r="ITS158" s="1142"/>
      <c r="ITT158" s="1142"/>
      <c r="ITU158" s="1167"/>
      <c r="ITV158" s="1167"/>
      <c r="ITW158" s="1167"/>
      <c r="ITX158" s="1167"/>
      <c r="ITY158" s="1167"/>
      <c r="ITZ158" s="1167"/>
      <c r="IUA158" s="1167"/>
      <c r="IUB158" s="1167"/>
      <c r="IUC158" s="1167"/>
      <c r="IUD158" s="1142"/>
      <c r="IUE158" s="1142"/>
      <c r="IUF158" s="1142"/>
      <c r="IUG158" s="1142"/>
      <c r="IUH158" s="1142"/>
      <c r="IUI158" s="1142"/>
      <c r="IUJ158" s="1142"/>
      <c r="IUK158" s="1142"/>
      <c r="IUL158" s="1142"/>
      <c r="IUM158" s="1142"/>
      <c r="IUN158" s="1142"/>
      <c r="IUO158" s="1142"/>
      <c r="IUP158" s="1142"/>
      <c r="IUQ158" s="1142"/>
      <c r="IUR158" s="1142"/>
      <c r="IUS158" s="1142"/>
      <c r="IUT158" s="1142"/>
      <c r="IUU158" s="1142"/>
      <c r="IUV158" s="1142"/>
      <c r="IUW158" s="1142"/>
      <c r="IUX158" s="1142"/>
      <c r="IUY158" s="1142"/>
      <c r="IUZ158" s="1142"/>
      <c r="IVA158" s="1167"/>
      <c r="IVB158" s="1167"/>
      <c r="IVC158" s="1167"/>
      <c r="IVD158" s="1167"/>
      <c r="IVE158" s="1167"/>
      <c r="IVF158" s="1167"/>
      <c r="IVG158" s="1167"/>
      <c r="IVH158" s="1167"/>
      <c r="IVI158" s="1167"/>
      <c r="IVJ158" s="1142"/>
      <c r="IVK158" s="1142"/>
      <c r="IVL158" s="1142"/>
      <c r="IVM158" s="1142"/>
      <c r="IVN158" s="1142"/>
      <c r="IVO158" s="1142"/>
      <c r="IVP158" s="1142"/>
      <c r="IVQ158" s="1142"/>
      <c r="IVR158" s="1142"/>
      <c r="IVS158" s="1142"/>
      <c r="IVT158" s="1142"/>
      <c r="IVU158" s="1142"/>
      <c r="IVV158" s="1142"/>
      <c r="IVW158" s="1142"/>
      <c r="IVX158" s="1142"/>
      <c r="IVY158" s="1142"/>
      <c r="IVZ158" s="1142"/>
      <c r="IWA158" s="1142"/>
      <c r="IWB158" s="1142"/>
      <c r="IWC158" s="1142"/>
      <c r="IWD158" s="1142"/>
      <c r="IWE158" s="1142"/>
      <c r="IWF158" s="1142"/>
      <c r="IWG158" s="1167"/>
      <c r="IWH158" s="1167"/>
      <c r="IWI158" s="1167"/>
      <c r="IWJ158" s="1167"/>
      <c r="IWK158" s="1167"/>
      <c r="IWL158" s="1167"/>
      <c r="IWM158" s="1167"/>
      <c r="IWN158" s="1167"/>
      <c r="IWO158" s="1167"/>
      <c r="IWP158" s="1142"/>
      <c r="IWQ158" s="1142"/>
      <c r="IWR158" s="1142"/>
      <c r="IWS158" s="1142"/>
      <c r="IWT158" s="1142"/>
      <c r="IWU158" s="1142"/>
      <c r="IWV158" s="1142"/>
      <c r="IWW158" s="1142"/>
      <c r="IWX158" s="1142"/>
      <c r="IWY158" s="1142"/>
      <c r="IWZ158" s="1142"/>
      <c r="IXA158" s="1142"/>
      <c r="IXB158" s="1142"/>
      <c r="IXC158" s="1142"/>
      <c r="IXD158" s="1142"/>
      <c r="IXE158" s="1142"/>
      <c r="IXF158" s="1142"/>
      <c r="IXG158" s="1142"/>
      <c r="IXH158" s="1142"/>
      <c r="IXI158" s="1142"/>
      <c r="IXJ158" s="1142"/>
      <c r="IXK158" s="1142"/>
      <c r="IXL158" s="1142"/>
      <c r="IXM158" s="1167"/>
      <c r="IXN158" s="1167"/>
      <c r="IXO158" s="1167"/>
      <c r="IXP158" s="1167"/>
      <c r="IXQ158" s="1167"/>
      <c r="IXR158" s="1167"/>
      <c r="IXS158" s="1167"/>
      <c r="IXT158" s="1167"/>
      <c r="IXU158" s="1167"/>
      <c r="IXV158" s="1142"/>
      <c r="IXW158" s="1142"/>
      <c r="IXX158" s="1142"/>
      <c r="IXY158" s="1142"/>
      <c r="IXZ158" s="1142"/>
      <c r="IYA158" s="1142"/>
      <c r="IYB158" s="1142"/>
      <c r="IYC158" s="1142"/>
      <c r="IYD158" s="1142"/>
      <c r="IYE158" s="1142"/>
      <c r="IYF158" s="1142"/>
      <c r="IYG158" s="1142"/>
      <c r="IYH158" s="1142"/>
      <c r="IYI158" s="1142"/>
      <c r="IYJ158" s="1142"/>
      <c r="IYK158" s="1142"/>
      <c r="IYL158" s="1142"/>
      <c r="IYM158" s="1142"/>
      <c r="IYN158" s="1142"/>
      <c r="IYO158" s="1142"/>
      <c r="IYP158" s="1142"/>
      <c r="IYQ158" s="1142"/>
      <c r="IYR158" s="1142"/>
      <c r="IYS158" s="1167"/>
      <c r="IYT158" s="1167"/>
      <c r="IYU158" s="1167"/>
      <c r="IYV158" s="1167"/>
      <c r="IYW158" s="1167"/>
      <c r="IYX158" s="1167"/>
      <c r="IYY158" s="1167"/>
      <c r="IYZ158" s="1167"/>
      <c r="IZA158" s="1167"/>
      <c r="IZB158" s="1142"/>
      <c r="IZC158" s="1142"/>
      <c r="IZD158" s="1142"/>
      <c r="IZE158" s="1142"/>
      <c r="IZF158" s="1142"/>
      <c r="IZG158" s="1142"/>
      <c r="IZH158" s="1142"/>
      <c r="IZI158" s="1142"/>
      <c r="IZJ158" s="1142"/>
      <c r="IZK158" s="1142"/>
      <c r="IZL158" s="1142"/>
      <c r="IZM158" s="1142"/>
      <c r="IZN158" s="1142"/>
      <c r="IZO158" s="1142"/>
      <c r="IZP158" s="1142"/>
      <c r="IZQ158" s="1142"/>
      <c r="IZR158" s="1142"/>
      <c r="IZS158" s="1142"/>
      <c r="IZT158" s="1142"/>
      <c r="IZU158" s="1142"/>
      <c r="IZV158" s="1142"/>
      <c r="IZW158" s="1142"/>
      <c r="IZX158" s="1142"/>
      <c r="IZY158" s="1167"/>
      <c r="IZZ158" s="1167"/>
      <c r="JAA158" s="1167"/>
      <c r="JAB158" s="1167"/>
      <c r="JAC158" s="1167"/>
      <c r="JAD158" s="1167"/>
      <c r="JAE158" s="1167"/>
      <c r="JAF158" s="1167"/>
      <c r="JAG158" s="1167"/>
      <c r="JAH158" s="1142"/>
      <c r="JAI158" s="1142"/>
      <c r="JAJ158" s="1142"/>
      <c r="JAK158" s="1142"/>
      <c r="JAL158" s="1142"/>
      <c r="JAM158" s="1142"/>
      <c r="JAN158" s="1142"/>
      <c r="JAO158" s="1142"/>
      <c r="JAP158" s="1142"/>
      <c r="JAQ158" s="1142"/>
      <c r="JAR158" s="1142"/>
      <c r="JAS158" s="1142"/>
      <c r="JAT158" s="1142"/>
      <c r="JAU158" s="1142"/>
      <c r="JAV158" s="1142"/>
      <c r="JAW158" s="1142"/>
      <c r="JAX158" s="1142"/>
      <c r="JAY158" s="1142"/>
      <c r="JAZ158" s="1142"/>
      <c r="JBA158" s="1142"/>
      <c r="JBB158" s="1142"/>
      <c r="JBC158" s="1142"/>
      <c r="JBD158" s="1142"/>
      <c r="JBE158" s="1167"/>
      <c r="JBF158" s="1167"/>
      <c r="JBG158" s="1167"/>
      <c r="JBH158" s="1167"/>
      <c r="JBI158" s="1167"/>
      <c r="JBJ158" s="1167"/>
      <c r="JBK158" s="1167"/>
      <c r="JBL158" s="1167"/>
      <c r="JBM158" s="1167"/>
      <c r="JBN158" s="1142"/>
      <c r="JBO158" s="1142"/>
      <c r="JBP158" s="1142"/>
      <c r="JBQ158" s="1142"/>
      <c r="JBR158" s="1142"/>
      <c r="JBS158" s="1142"/>
      <c r="JBT158" s="1142"/>
      <c r="JBU158" s="1142"/>
      <c r="JBV158" s="1142"/>
      <c r="JBW158" s="1142"/>
      <c r="JBX158" s="1142"/>
      <c r="JBY158" s="1142"/>
      <c r="JBZ158" s="1142"/>
      <c r="JCA158" s="1142"/>
      <c r="JCB158" s="1142"/>
      <c r="JCC158" s="1142"/>
      <c r="JCD158" s="1142"/>
      <c r="JCE158" s="1142"/>
      <c r="JCF158" s="1142"/>
      <c r="JCG158" s="1142"/>
      <c r="JCH158" s="1142"/>
      <c r="JCI158" s="1142"/>
      <c r="JCJ158" s="1142"/>
      <c r="JCK158" s="1167"/>
      <c r="JCL158" s="1167"/>
      <c r="JCM158" s="1167"/>
      <c r="JCN158" s="1167"/>
      <c r="JCO158" s="1167"/>
      <c r="JCP158" s="1167"/>
      <c r="JCQ158" s="1167"/>
      <c r="JCR158" s="1167"/>
      <c r="JCS158" s="1167"/>
      <c r="JCT158" s="1142"/>
      <c r="JCU158" s="1142"/>
      <c r="JCV158" s="1142"/>
      <c r="JCW158" s="1142"/>
      <c r="JCX158" s="1142"/>
      <c r="JCY158" s="1142"/>
      <c r="JCZ158" s="1142"/>
      <c r="JDA158" s="1142"/>
      <c r="JDB158" s="1142"/>
      <c r="JDC158" s="1142"/>
      <c r="JDD158" s="1142"/>
      <c r="JDE158" s="1142"/>
      <c r="JDF158" s="1142"/>
      <c r="JDG158" s="1142"/>
      <c r="JDH158" s="1142"/>
      <c r="JDI158" s="1142"/>
      <c r="JDJ158" s="1142"/>
      <c r="JDK158" s="1142"/>
      <c r="JDL158" s="1142"/>
      <c r="JDM158" s="1142"/>
      <c r="JDN158" s="1142"/>
      <c r="JDO158" s="1142"/>
      <c r="JDP158" s="1142"/>
      <c r="JDQ158" s="1167"/>
      <c r="JDR158" s="1167"/>
      <c r="JDS158" s="1167"/>
      <c r="JDT158" s="1167"/>
      <c r="JDU158" s="1167"/>
      <c r="JDV158" s="1167"/>
      <c r="JDW158" s="1167"/>
      <c r="JDX158" s="1167"/>
      <c r="JDY158" s="1167"/>
      <c r="JDZ158" s="1142"/>
      <c r="JEA158" s="1142"/>
      <c r="JEB158" s="1142"/>
      <c r="JEC158" s="1142"/>
      <c r="JED158" s="1142"/>
      <c r="JEE158" s="1142"/>
      <c r="JEF158" s="1142"/>
      <c r="JEG158" s="1142"/>
      <c r="JEH158" s="1142"/>
      <c r="JEI158" s="1142"/>
      <c r="JEJ158" s="1142"/>
      <c r="JEK158" s="1142"/>
      <c r="JEL158" s="1142"/>
      <c r="JEM158" s="1142"/>
      <c r="JEN158" s="1142"/>
      <c r="JEO158" s="1142"/>
      <c r="JEP158" s="1142"/>
      <c r="JEQ158" s="1142"/>
      <c r="JER158" s="1142"/>
      <c r="JES158" s="1142"/>
      <c r="JET158" s="1142"/>
      <c r="JEU158" s="1142"/>
      <c r="JEV158" s="1142"/>
      <c r="JEW158" s="1167"/>
      <c r="JEX158" s="1167"/>
      <c r="JEY158" s="1167"/>
      <c r="JEZ158" s="1167"/>
      <c r="JFA158" s="1167"/>
      <c r="JFB158" s="1167"/>
      <c r="JFC158" s="1167"/>
      <c r="JFD158" s="1167"/>
      <c r="JFE158" s="1167"/>
      <c r="JFF158" s="1142"/>
      <c r="JFG158" s="1142"/>
      <c r="JFH158" s="1142"/>
      <c r="JFI158" s="1142"/>
      <c r="JFJ158" s="1142"/>
      <c r="JFK158" s="1142"/>
      <c r="JFL158" s="1142"/>
      <c r="JFM158" s="1142"/>
      <c r="JFN158" s="1142"/>
      <c r="JFO158" s="1142"/>
      <c r="JFP158" s="1142"/>
      <c r="JFQ158" s="1142"/>
      <c r="JFR158" s="1142"/>
      <c r="JFS158" s="1142"/>
      <c r="JFT158" s="1142"/>
      <c r="JFU158" s="1142"/>
      <c r="JFV158" s="1142"/>
      <c r="JFW158" s="1142"/>
      <c r="JFX158" s="1142"/>
      <c r="JFY158" s="1142"/>
      <c r="JFZ158" s="1142"/>
      <c r="JGA158" s="1142"/>
      <c r="JGB158" s="1142"/>
      <c r="JGC158" s="1167"/>
      <c r="JGD158" s="1167"/>
      <c r="JGE158" s="1167"/>
      <c r="JGF158" s="1167"/>
      <c r="JGG158" s="1167"/>
      <c r="JGH158" s="1167"/>
      <c r="JGI158" s="1167"/>
      <c r="JGJ158" s="1167"/>
      <c r="JGK158" s="1167"/>
      <c r="JGL158" s="1142"/>
      <c r="JGM158" s="1142"/>
      <c r="JGN158" s="1142"/>
      <c r="JGO158" s="1142"/>
      <c r="JGP158" s="1142"/>
      <c r="JGQ158" s="1142"/>
      <c r="JGR158" s="1142"/>
      <c r="JGS158" s="1142"/>
      <c r="JGT158" s="1142"/>
      <c r="JGU158" s="1142"/>
      <c r="JGV158" s="1142"/>
      <c r="JGW158" s="1142"/>
      <c r="JGX158" s="1142"/>
      <c r="JGY158" s="1142"/>
      <c r="JGZ158" s="1142"/>
      <c r="JHA158" s="1142"/>
      <c r="JHB158" s="1142"/>
      <c r="JHC158" s="1142"/>
      <c r="JHD158" s="1142"/>
      <c r="JHE158" s="1142"/>
      <c r="JHF158" s="1142"/>
      <c r="JHG158" s="1142"/>
      <c r="JHH158" s="1142"/>
      <c r="JHI158" s="1167"/>
      <c r="JHJ158" s="1167"/>
      <c r="JHK158" s="1167"/>
      <c r="JHL158" s="1167"/>
      <c r="JHM158" s="1167"/>
      <c r="JHN158" s="1167"/>
      <c r="JHO158" s="1167"/>
      <c r="JHP158" s="1167"/>
      <c r="JHQ158" s="1167"/>
      <c r="JHR158" s="1142"/>
      <c r="JHS158" s="1142"/>
      <c r="JHT158" s="1142"/>
      <c r="JHU158" s="1142"/>
      <c r="JHV158" s="1142"/>
      <c r="JHW158" s="1142"/>
      <c r="JHX158" s="1142"/>
      <c r="JHY158" s="1142"/>
      <c r="JHZ158" s="1142"/>
      <c r="JIA158" s="1142"/>
      <c r="JIB158" s="1142"/>
      <c r="JIC158" s="1142"/>
      <c r="JID158" s="1142"/>
      <c r="JIE158" s="1142"/>
      <c r="JIF158" s="1142"/>
      <c r="JIG158" s="1142"/>
      <c r="JIH158" s="1142"/>
      <c r="JII158" s="1142"/>
      <c r="JIJ158" s="1142"/>
      <c r="JIK158" s="1142"/>
      <c r="JIL158" s="1142"/>
      <c r="JIM158" s="1142"/>
      <c r="JIN158" s="1142"/>
      <c r="JIO158" s="1167"/>
      <c r="JIP158" s="1167"/>
      <c r="JIQ158" s="1167"/>
      <c r="JIR158" s="1167"/>
      <c r="JIS158" s="1167"/>
      <c r="JIT158" s="1167"/>
      <c r="JIU158" s="1167"/>
      <c r="JIV158" s="1167"/>
      <c r="JIW158" s="1167"/>
      <c r="JIX158" s="1142"/>
      <c r="JIY158" s="1142"/>
      <c r="JIZ158" s="1142"/>
      <c r="JJA158" s="1142"/>
      <c r="JJB158" s="1142"/>
      <c r="JJC158" s="1142"/>
      <c r="JJD158" s="1142"/>
      <c r="JJE158" s="1142"/>
      <c r="JJF158" s="1142"/>
      <c r="JJG158" s="1142"/>
      <c r="JJH158" s="1142"/>
      <c r="JJI158" s="1142"/>
      <c r="JJJ158" s="1142"/>
      <c r="JJK158" s="1142"/>
      <c r="JJL158" s="1142"/>
      <c r="JJM158" s="1142"/>
      <c r="JJN158" s="1142"/>
      <c r="JJO158" s="1142"/>
      <c r="JJP158" s="1142"/>
      <c r="JJQ158" s="1142"/>
      <c r="JJR158" s="1142"/>
      <c r="JJS158" s="1142"/>
      <c r="JJT158" s="1142"/>
      <c r="JJU158" s="1167"/>
      <c r="JJV158" s="1167"/>
      <c r="JJW158" s="1167"/>
      <c r="JJX158" s="1167"/>
      <c r="JJY158" s="1167"/>
      <c r="JJZ158" s="1167"/>
      <c r="JKA158" s="1167"/>
      <c r="JKB158" s="1167"/>
      <c r="JKC158" s="1167"/>
      <c r="JKD158" s="1142"/>
      <c r="JKE158" s="1142"/>
      <c r="JKF158" s="1142"/>
      <c r="JKG158" s="1142"/>
      <c r="JKH158" s="1142"/>
      <c r="JKI158" s="1142"/>
      <c r="JKJ158" s="1142"/>
      <c r="JKK158" s="1142"/>
      <c r="JKL158" s="1142"/>
      <c r="JKM158" s="1142"/>
      <c r="JKN158" s="1142"/>
      <c r="JKO158" s="1142"/>
      <c r="JKP158" s="1142"/>
      <c r="JKQ158" s="1142"/>
      <c r="JKR158" s="1142"/>
      <c r="JKS158" s="1142"/>
      <c r="JKT158" s="1142"/>
      <c r="JKU158" s="1142"/>
      <c r="JKV158" s="1142"/>
      <c r="JKW158" s="1142"/>
      <c r="JKX158" s="1142"/>
      <c r="JKY158" s="1142"/>
      <c r="JKZ158" s="1142"/>
      <c r="JLA158" s="1167"/>
      <c r="JLB158" s="1167"/>
      <c r="JLC158" s="1167"/>
      <c r="JLD158" s="1167"/>
      <c r="JLE158" s="1167"/>
      <c r="JLF158" s="1167"/>
      <c r="JLG158" s="1167"/>
      <c r="JLH158" s="1167"/>
      <c r="JLI158" s="1167"/>
      <c r="JLJ158" s="1142"/>
      <c r="JLK158" s="1142"/>
      <c r="JLL158" s="1142"/>
      <c r="JLM158" s="1142"/>
      <c r="JLN158" s="1142"/>
      <c r="JLO158" s="1142"/>
      <c r="JLP158" s="1142"/>
      <c r="JLQ158" s="1142"/>
      <c r="JLR158" s="1142"/>
      <c r="JLS158" s="1142"/>
      <c r="JLT158" s="1142"/>
      <c r="JLU158" s="1142"/>
      <c r="JLV158" s="1142"/>
      <c r="JLW158" s="1142"/>
      <c r="JLX158" s="1142"/>
      <c r="JLY158" s="1142"/>
      <c r="JLZ158" s="1142"/>
      <c r="JMA158" s="1142"/>
      <c r="JMB158" s="1142"/>
      <c r="JMC158" s="1142"/>
      <c r="JMD158" s="1142"/>
      <c r="JME158" s="1142"/>
      <c r="JMF158" s="1142"/>
      <c r="JMG158" s="1167"/>
      <c r="JMH158" s="1167"/>
      <c r="JMI158" s="1167"/>
      <c r="JMJ158" s="1167"/>
      <c r="JMK158" s="1167"/>
      <c r="JML158" s="1167"/>
      <c r="JMM158" s="1167"/>
      <c r="JMN158" s="1167"/>
      <c r="JMO158" s="1167"/>
      <c r="JMP158" s="1142"/>
      <c r="JMQ158" s="1142"/>
      <c r="JMR158" s="1142"/>
      <c r="JMS158" s="1142"/>
      <c r="JMT158" s="1142"/>
      <c r="JMU158" s="1142"/>
      <c r="JMV158" s="1142"/>
      <c r="JMW158" s="1142"/>
      <c r="JMX158" s="1142"/>
      <c r="JMY158" s="1142"/>
      <c r="JMZ158" s="1142"/>
      <c r="JNA158" s="1142"/>
      <c r="JNB158" s="1142"/>
      <c r="JNC158" s="1142"/>
      <c r="JND158" s="1142"/>
      <c r="JNE158" s="1142"/>
      <c r="JNF158" s="1142"/>
      <c r="JNG158" s="1142"/>
      <c r="JNH158" s="1142"/>
      <c r="JNI158" s="1142"/>
      <c r="JNJ158" s="1142"/>
      <c r="JNK158" s="1142"/>
      <c r="JNL158" s="1142"/>
      <c r="JNM158" s="1167"/>
      <c r="JNN158" s="1167"/>
      <c r="JNO158" s="1167"/>
      <c r="JNP158" s="1167"/>
      <c r="JNQ158" s="1167"/>
      <c r="JNR158" s="1167"/>
      <c r="JNS158" s="1167"/>
      <c r="JNT158" s="1167"/>
      <c r="JNU158" s="1167"/>
      <c r="JNV158" s="1142"/>
      <c r="JNW158" s="1142"/>
      <c r="JNX158" s="1142"/>
      <c r="JNY158" s="1142"/>
      <c r="JNZ158" s="1142"/>
      <c r="JOA158" s="1142"/>
      <c r="JOB158" s="1142"/>
      <c r="JOC158" s="1142"/>
      <c r="JOD158" s="1142"/>
      <c r="JOE158" s="1142"/>
      <c r="JOF158" s="1142"/>
      <c r="JOG158" s="1142"/>
      <c r="JOH158" s="1142"/>
      <c r="JOI158" s="1142"/>
      <c r="JOJ158" s="1142"/>
      <c r="JOK158" s="1142"/>
      <c r="JOL158" s="1142"/>
      <c r="JOM158" s="1142"/>
      <c r="JON158" s="1142"/>
      <c r="JOO158" s="1142"/>
      <c r="JOP158" s="1142"/>
      <c r="JOQ158" s="1142"/>
      <c r="JOR158" s="1142"/>
      <c r="JOS158" s="1167"/>
      <c r="JOT158" s="1167"/>
      <c r="JOU158" s="1167"/>
      <c r="JOV158" s="1167"/>
      <c r="JOW158" s="1167"/>
      <c r="JOX158" s="1167"/>
      <c r="JOY158" s="1167"/>
      <c r="JOZ158" s="1167"/>
      <c r="JPA158" s="1167"/>
      <c r="JPB158" s="1142"/>
      <c r="JPC158" s="1142"/>
      <c r="JPD158" s="1142"/>
      <c r="JPE158" s="1142"/>
      <c r="JPF158" s="1142"/>
      <c r="JPG158" s="1142"/>
      <c r="JPH158" s="1142"/>
      <c r="JPI158" s="1142"/>
      <c r="JPJ158" s="1142"/>
      <c r="JPK158" s="1142"/>
      <c r="JPL158" s="1142"/>
      <c r="JPM158" s="1142"/>
      <c r="JPN158" s="1142"/>
      <c r="JPO158" s="1142"/>
      <c r="JPP158" s="1142"/>
      <c r="JPQ158" s="1142"/>
      <c r="JPR158" s="1142"/>
      <c r="JPS158" s="1142"/>
      <c r="JPT158" s="1142"/>
      <c r="JPU158" s="1142"/>
      <c r="JPV158" s="1142"/>
      <c r="JPW158" s="1142"/>
      <c r="JPX158" s="1142"/>
      <c r="JPY158" s="1167"/>
      <c r="JPZ158" s="1167"/>
      <c r="JQA158" s="1167"/>
      <c r="JQB158" s="1167"/>
      <c r="JQC158" s="1167"/>
      <c r="JQD158" s="1167"/>
      <c r="JQE158" s="1167"/>
      <c r="JQF158" s="1167"/>
      <c r="JQG158" s="1167"/>
      <c r="JQH158" s="1142"/>
      <c r="JQI158" s="1142"/>
      <c r="JQJ158" s="1142"/>
      <c r="JQK158" s="1142"/>
      <c r="JQL158" s="1142"/>
      <c r="JQM158" s="1142"/>
      <c r="JQN158" s="1142"/>
      <c r="JQO158" s="1142"/>
      <c r="JQP158" s="1142"/>
      <c r="JQQ158" s="1142"/>
      <c r="JQR158" s="1142"/>
      <c r="JQS158" s="1142"/>
      <c r="JQT158" s="1142"/>
      <c r="JQU158" s="1142"/>
      <c r="JQV158" s="1142"/>
      <c r="JQW158" s="1142"/>
      <c r="JQX158" s="1142"/>
      <c r="JQY158" s="1142"/>
      <c r="JQZ158" s="1142"/>
      <c r="JRA158" s="1142"/>
      <c r="JRB158" s="1142"/>
      <c r="JRC158" s="1142"/>
      <c r="JRD158" s="1142"/>
      <c r="JRE158" s="1167"/>
      <c r="JRF158" s="1167"/>
      <c r="JRG158" s="1167"/>
      <c r="JRH158" s="1167"/>
      <c r="JRI158" s="1167"/>
      <c r="JRJ158" s="1167"/>
      <c r="JRK158" s="1167"/>
      <c r="JRL158" s="1167"/>
      <c r="JRM158" s="1167"/>
      <c r="JRN158" s="1142"/>
      <c r="JRO158" s="1142"/>
      <c r="JRP158" s="1142"/>
      <c r="JRQ158" s="1142"/>
      <c r="JRR158" s="1142"/>
      <c r="JRS158" s="1142"/>
      <c r="JRT158" s="1142"/>
      <c r="JRU158" s="1142"/>
      <c r="JRV158" s="1142"/>
      <c r="JRW158" s="1142"/>
      <c r="JRX158" s="1142"/>
      <c r="JRY158" s="1142"/>
      <c r="JRZ158" s="1142"/>
      <c r="JSA158" s="1142"/>
      <c r="JSB158" s="1142"/>
      <c r="JSC158" s="1142"/>
      <c r="JSD158" s="1142"/>
      <c r="JSE158" s="1142"/>
      <c r="JSF158" s="1142"/>
      <c r="JSG158" s="1142"/>
      <c r="JSH158" s="1142"/>
      <c r="JSI158" s="1142"/>
      <c r="JSJ158" s="1142"/>
      <c r="JSK158" s="1167"/>
      <c r="JSL158" s="1167"/>
      <c r="JSM158" s="1167"/>
      <c r="JSN158" s="1167"/>
      <c r="JSO158" s="1167"/>
      <c r="JSP158" s="1167"/>
      <c r="JSQ158" s="1167"/>
      <c r="JSR158" s="1167"/>
      <c r="JSS158" s="1167"/>
      <c r="JST158" s="1142"/>
      <c r="JSU158" s="1142"/>
      <c r="JSV158" s="1142"/>
      <c r="JSW158" s="1142"/>
      <c r="JSX158" s="1142"/>
      <c r="JSY158" s="1142"/>
      <c r="JSZ158" s="1142"/>
      <c r="JTA158" s="1142"/>
      <c r="JTB158" s="1142"/>
      <c r="JTC158" s="1142"/>
      <c r="JTD158" s="1142"/>
      <c r="JTE158" s="1142"/>
      <c r="JTF158" s="1142"/>
      <c r="JTG158" s="1142"/>
      <c r="JTH158" s="1142"/>
      <c r="JTI158" s="1142"/>
      <c r="JTJ158" s="1142"/>
      <c r="JTK158" s="1142"/>
      <c r="JTL158" s="1142"/>
      <c r="JTM158" s="1142"/>
      <c r="JTN158" s="1142"/>
      <c r="JTO158" s="1142"/>
      <c r="JTP158" s="1142"/>
      <c r="JTQ158" s="1167"/>
      <c r="JTR158" s="1167"/>
      <c r="JTS158" s="1167"/>
      <c r="JTT158" s="1167"/>
      <c r="JTU158" s="1167"/>
      <c r="JTV158" s="1167"/>
      <c r="JTW158" s="1167"/>
      <c r="JTX158" s="1167"/>
      <c r="JTY158" s="1167"/>
      <c r="JTZ158" s="1142"/>
      <c r="JUA158" s="1142"/>
      <c r="JUB158" s="1142"/>
      <c r="JUC158" s="1142"/>
      <c r="JUD158" s="1142"/>
      <c r="JUE158" s="1142"/>
      <c r="JUF158" s="1142"/>
      <c r="JUG158" s="1142"/>
      <c r="JUH158" s="1142"/>
      <c r="JUI158" s="1142"/>
      <c r="JUJ158" s="1142"/>
      <c r="JUK158" s="1142"/>
      <c r="JUL158" s="1142"/>
      <c r="JUM158" s="1142"/>
      <c r="JUN158" s="1142"/>
      <c r="JUO158" s="1142"/>
      <c r="JUP158" s="1142"/>
      <c r="JUQ158" s="1142"/>
      <c r="JUR158" s="1142"/>
      <c r="JUS158" s="1142"/>
      <c r="JUT158" s="1142"/>
      <c r="JUU158" s="1142"/>
      <c r="JUV158" s="1142"/>
      <c r="JUW158" s="1167"/>
      <c r="JUX158" s="1167"/>
      <c r="JUY158" s="1167"/>
      <c r="JUZ158" s="1167"/>
      <c r="JVA158" s="1167"/>
      <c r="JVB158" s="1167"/>
      <c r="JVC158" s="1167"/>
      <c r="JVD158" s="1167"/>
      <c r="JVE158" s="1167"/>
      <c r="JVF158" s="1142"/>
      <c r="JVG158" s="1142"/>
      <c r="JVH158" s="1142"/>
      <c r="JVI158" s="1142"/>
      <c r="JVJ158" s="1142"/>
      <c r="JVK158" s="1142"/>
      <c r="JVL158" s="1142"/>
      <c r="JVM158" s="1142"/>
      <c r="JVN158" s="1142"/>
      <c r="JVO158" s="1142"/>
      <c r="JVP158" s="1142"/>
      <c r="JVQ158" s="1142"/>
      <c r="JVR158" s="1142"/>
      <c r="JVS158" s="1142"/>
      <c r="JVT158" s="1142"/>
      <c r="JVU158" s="1142"/>
      <c r="JVV158" s="1142"/>
      <c r="JVW158" s="1142"/>
      <c r="JVX158" s="1142"/>
      <c r="JVY158" s="1142"/>
      <c r="JVZ158" s="1142"/>
      <c r="JWA158" s="1142"/>
      <c r="JWB158" s="1142"/>
      <c r="JWC158" s="1167"/>
      <c r="JWD158" s="1167"/>
      <c r="JWE158" s="1167"/>
      <c r="JWF158" s="1167"/>
      <c r="JWG158" s="1167"/>
      <c r="JWH158" s="1167"/>
      <c r="JWI158" s="1167"/>
      <c r="JWJ158" s="1167"/>
      <c r="JWK158" s="1167"/>
      <c r="JWL158" s="1142"/>
      <c r="JWM158" s="1142"/>
      <c r="JWN158" s="1142"/>
      <c r="JWO158" s="1142"/>
      <c r="JWP158" s="1142"/>
      <c r="JWQ158" s="1142"/>
      <c r="JWR158" s="1142"/>
      <c r="JWS158" s="1142"/>
      <c r="JWT158" s="1142"/>
      <c r="JWU158" s="1142"/>
      <c r="JWV158" s="1142"/>
      <c r="JWW158" s="1142"/>
      <c r="JWX158" s="1142"/>
      <c r="JWY158" s="1142"/>
      <c r="JWZ158" s="1142"/>
      <c r="JXA158" s="1142"/>
      <c r="JXB158" s="1142"/>
      <c r="JXC158" s="1142"/>
      <c r="JXD158" s="1142"/>
      <c r="JXE158" s="1142"/>
      <c r="JXF158" s="1142"/>
      <c r="JXG158" s="1142"/>
      <c r="JXH158" s="1142"/>
      <c r="JXI158" s="1167"/>
      <c r="JXJ158" s="1167"/>
      <c r="JXK158" s="1167"/>
      <c r="JXL158" s="1167"/>
      <c r="JXM158" s="1167"/>
      <c r="JXN158" s="1167"/>
      <c r="JXO158" s="1167"/>
      <c r="JXP158" s="1167"/>
      <c r="JXQ158" s="1167"/>
      <c r="JXR158" s="1142"/>
      <c r="JXS158" s="1142"/>
      <c r="JXT158" s="1142"/>
      <c r="JXU158" s="1142"/>
      <c r="JXV158" s="1142"/>
      <c r="JXW158" s="1142"/>
      <c r="JXX158" s="1142"/>
      <c r="JXY158" s="1142"/>
      <c r="JXZ158" s="1142"/>
      <c r="JYA158" s="1142"/>
      <c r="JYB158" s="1142"/>
      <c r="JYC158" s="1142"/>
      <c r="JYD158" s="1142"/>
      <c r="JYE158" s="1142"/>
      <c r="JYF158" s="1142"/>
      <c r="JYG158" s="1142"/>
      <c r="JYH158" s="1142"/>
      <c r="JYI158" s="1142"/>
      <c r="JYJ158" s="1142"/>
      <c r="JYK158" s="1142"/>
      <c r="JYL158" s="1142"/>
      <c r="JYM158" s="1142"/>
      <c r="JYN158" s="1142"/>
      <c r="JYO158" s="1167"/>
      <c r="JYP158" s="1167"/>
      <c r="JYQ158" s="1167"/>
      <c r="JYR158" s="1167"/>
      <c r="JYS158" s="1167"/>
      <c r="JYT158" s="1167"/>
      <c r="JYU158" s="1167"/>
      <c r="JYV158" s="1167"/>
      <c r="JYW158" s="1167"/>
      <c r="JYX158" s="1142"/>
      <c r="JYY158" s="1142"/>
      <c r="JYZ158" s="1142"/>
      <c r="JZA158" s="1142"/>
      <c r="JZB158" s="1142"/>
      <c r="JZC158" s="1142"/>
      <c r="JZD158" s="1142"/>
      <c r="JZE158" s="1142"/>
      <c r="JZF158" s="1142"/>
      <c r="JZG158" s="1142"/>
      <c r="JZH158" s="1142"/>
      <c r="JZI158" s="1142"/>
      <c r="JZJ158" s="1142"/>
      <c r="JZK158" s="1142"/>
      <c r="JZL158" s="1142"/>
      <c r="JZM158" s="1142"/>
      <c r="JZN158" s="1142"/>
      <c r="JZO158" s="1142"/>
      <c r="JZP158" s="1142"/>
      <c r="JZQ158" s="1142"/>
      <c r="JZR158" s="1142"/>
      <c r="JZS158" s="1142"/>
      <c r="JZT158" s="1142"/>
      <c r="JZU158" s="1167"/>
      <c r="JZV158" s="1167"/>
      <c r="JZW158" s="1167"/>
      <c r="JZX158" s="1167"/>
      <c r="JZY158" s="1167"/>
      <c r="JZZ158" s="1167"/>
      <c r="KAA158" s="1167"/>
      <c r="KAB158" s="1167"/>
      <c r="KAC158" s="1167"/>
      <c r="KAD158" s="1142"/>
      <c r="KAE158" s="1142"/>
      <c r="KAF158" s="1142"/>
      <c r="KAG158" s="1142"/>
      <c r="KAH158" s="1142"/>
      <c r="KAI158" s="1142"/>
      <c r="KAJ158" s="1142"/>
      <c r="KAK158" s="1142"/>
      <c r="KAL158" s="1142"/>
      <c r="KAM158" s="1142"/>
      <c r="KAN158" s="1142"/>
      <c r="KAO158" s="1142"/>
      <c r="KAP158" s="1142"/>
      <c r="KAQ158" s="1142"/>
      <c r="KAR158" s="1142"/>
      <c r="KAS158" s="1142"/>
      <c r="KAT158" s="1142"/>
      <c r="KAU158" s="1142"/>
      <c r="KAV158" s="1142"/>
      <c r="KAW158" s="1142"/>
      <c r="KAX158" s="1142"/>
      <c r="KAY158" s="1142"/>
      <c r="KAZ158" s="1142"/>
      <c r="KBA158" s="1167"/>
      <c r="KBB158" s="1167"/>
      <c r="KBC158" s="1167"/>
      <c r="KBD158" s="1167"/>
      <c r="KBE158" s="1167"/>
      <c r="KBF158" s="1167"/>
      <c r="KBG158" s="1167"/>
      <c r="KBH158" s="1167"/>
      <c r="KBI158" s="1167"/>
      <c r="KBJ158" s="1142"/>
      <c r="KBK158" s="1142"/>
      <c r="KBL158" s="1142"/>
      <c r="KBM158" s="1142"/>
      <c r="KBN158" s="1142"/>
      <c r="KBO158" s="1142"/>
      <c r="KBP158" s="1142"/>
      <c r="KBQ158" s="1142"/>
      <c r="KBR158" s="1142"/>
      <c r="KBS158" s="1142"/>
      <c r="KBT158" s="1142"/>
      <c r="KBU158" s="1142"/>
      <c r="KBV158" s="1142"/>
      <c r="KBW158" s="1142"/>
      <c r="KBX158" s="1142"/>
      <c r="KBY158" s="1142"/>
      <c r="KBZ158" s="1142"/>
      <c r="KCA158" s="1142"/>
      <c r="KCB158" s="1142"/>
      <c r="KCC158" s="1142"/>
      <c r="KCD158" s="1142"/>
      <c r="KCE158" s="1142"/>
      <c r="KCF158" s="1142"/>
      <c r="KCG158" s="1167"/>
      <c r="KCH158" s="1167"/>
      <c r="KCI158" s="1167"/>
      <c r="KCJ158" s="1167"/>
      <c r="KCK158" s="1167"/>
      <c r="KCL158" s="1167"/>
      <c r="KCM158" s="1167"/>
      <c r="KCN158" s="1167"/>
      <c r="KCO158" s="1167"/>
      <c r="KCP158" s="1142"/>
      <c r="KCQ158" s="1142"/>
      <c r="KCR158" s="1142"/>
      <c r="KCS158" s="1142"/>
      <c r="KCT158" s="1142"/>
      <c r="KCU158" s="1142"/>
      <c r="KCV158" s="1142"/>
      <c r="KCW158" s="1142"/>
      <c r="KCX158" s="1142"/>
      <c r="KCY158" s="1142"/>
      <c r="KCZ158" s="1142"/>
      <c r="KDA158" s="1142"/>
      <c r="KDB158" s="1142"/>
      <c r="KDC158" s="1142"/>
      <c r="KDD158" s="1142"/>
      <c r="KDE158" s="1142"/>
      <c r="KDF158" s="1142"/>
      <c r="KDG158" s="1142"/>
      <c r="KDH158" s="1142"/>
      <c r="KDI158" s="1142"/>
      <c r="KDJ158" s="1142"/>
      <c r="KDK158" s="1142"/>
      <c r="KDL158" s="1142"/>
      <c r="KDM158" s="1167"/>
      <c r="KDN158" s="1167"/>
      <c r="KDO158" s="1167"/>
      <c r="KDP158" s="1167"/>
      <c r="KDQ158" s="1167"/>
      <c r="KDR158" s="1167"/>
      <c r="KDS158" s="1167"/>
      <c r="KDT158" s="1167"/>
      <c r="KDU158" s="1167"/>
      <c r="KDV158" s="1142"/>
      <c r="KDW158" s="1142"/>
      <c r="KDX158" s="1142"/>
      <c r="KDY158" s="1142"/>
      <c r="KDZ158" s="1142"/>
      <c r="KEA158" s="1142"/>
      <c r="KEB158" s="1142"/>
      <c r="KEC158" s="1142"/>
      <c r="KED158" s="1142"/>
      <c r="KEE158" s="1142"/>
      <c r="KEF158" s="1142"/>
      <c r="KEG158" s="1142"/>
      <c r="KEH158" s="1142"/>
      <c r="KEI158" s="1142"/>
      <c r="KEJ158" s="1142"/>
      <c r="KEK158" s="1142"/>
      <c r="KEL158" s="1142"/>
      <c r="KEM158" s="1142"/>
      <c r="KEN158" s="1142"/>
      <c r="KEO158" s="1142"/>
      <c r="KEP158" s="1142"/>
      <c r="KEQ158" s="1142"/>
      <c r="KER158" s="1142"/>
      <c r="KES158" s="1167"/>
      <c r="KET158" s="1167"/>
      <c r="KEU158" s="1167"/>
      <c r="KEV158" s="1167"/>
      <c r="KEW158" s="1167"/>
      <c r="KEX158" s="1167"/>
      <c r="KEY158" s="1167"/>
      <c r="KEZ158" s="1167"/>
      <c r="KFA158" s="1167"/>
      <c r="KFB158" s="1142"/>
      <c r="KFC158" s="1142"/>
      <c r="KFD158" s="1142"/>
      <c r="KFE158" s="1142"/>
      <c r="KFF158" s="1142"/>
      <c r="KFG158" s="1142"/>
      <c r="KFH158" s="1142"/>
      <c r="KFI158" s="1142"/>
      <c r="KFJ158" s="1142"/>
      <c r="KFK158" s="1142"/>
      <c r="KFL158" s="1142"/>
      <c r="KFM158" s="1142"/>
      <c r="KFN158" s="1142"/>
      <c r="KFO158" s="1142"/>
      <c r="KFP158" s="1142"/>
      <c r="KFQ158" s="1142"/>
      <c r="KFR158" s="1142"/>
      <c r="KFS158" s="1142"/>
      <c r="KFT158" s="1142"/>
      <c r="KFU158" s="1142"/>
      <c r="KFV158" s="1142"/>
      <c r="KFW158" s="1142"/>
      <c r="KFX158" s="1142"/>
      <c r="KFY158" s="1167"/>
      <c r="KFZ158" s="1167"/>
      <c r="KGA158" s="1167"/>
      <c r="KGB158" s="1167"/>
      <c r="KGC158" s="1167"/>
      <c r="KGD158" s="1167"/>
      <c r="KGE158" s="1167"/>
      <c r="KGF158" s="1167"/>
      <c r="KGG158" s="1167"/>
      <c r="KGH158" s="1142"/>
      <c r="KGI158" s="1142"/>
      <c r="KGJ158" s="1142"/>
      <c r="KGK158" s="1142"/>
      <c r="KGL158" s="1142"/>
      <c r="KGM158" s="1142"/>
      <c r="KGN158" s="1142"/>
      <c r="KGO158" s="1142"/>
      <c r="KGP158" s="1142"/>
      <c r="KGQ158" s="1142"/>
      <c r="KGR158" s="1142"/>
      <c r="KGS158" s="1142"/>
      <c r="KGT158" s="1142"/>
      <c r="KGU158" s="1142"/>
      <c r="KGV158" s="1142"/>
      <c r="KGW158" s="1142"/>
      <c r="KGX158" s="1142"/>
      <c r="KGY158" s="1142"/>
      <c r="KGZ158" s="1142"/>
      <c r="KHA158" s="1142"/>
      <c r="KHB158" s="1142"/>
      <c r="KHC158" s="1142"/>
      <c r="KHD158" s="1142"/>
      <c r="KHE158" s="1167"/>
      <c r="KHF158" s="1167"/>
      <c r="KHG158" s="1167"/>
      <c r="KHH158" s="1167"/>
      <c r="KHI158" s="1167"/>
      <c r="KHJ158" s="1167"/>
      <c r="KHK158" s="1167"/>
      <c r="KHL158" s="1167"/>
      <c r="KHM158" s="1167"/>
      <c r="KHN158" s="1142"/>
      <c r="KHO158" s="1142"/>
      <c r="KHP158" s="1142"/>
      <c r="KHQ158" s="1142"/>
      <c r="KHR158" s="1142"/>
      <c r="KHS158" s="1142"/>
      <c r="KHT158" s="1142"/>
      <c r="KHU158" s="1142"/>
      <c r="KHV158" s="1142"/>
      <c r="KHW158" s="1142"/>
      <c r="KHX158" s="1142"/>
      <c r="KHY158" s="1142"/>
      <c r="KHZ158" s="1142"/>
      <c r="KIA158" s="1142"/>
      <c r="KIB158" s="1142"/>
      <c r="KIC158" s="1142"/>
      <c r="KID158" s="1142"/>
      <c r="KIE158" s="1142"/>
      <c r="KIF158" s="1142"/>
      <c r="KIG158" s="1142"/>
      <c r="KIH158" s="1142"/>
      <c r="KII158" s="1142"/>
      <c r="KIJ158" s="1142"/>
      <c r="KIK158" s="1167"/>
      <c r="KIL158" s="1167"/>
      <c r="KIM158" s="1167"/>
      <c r="KIN158" s="1167"/>
      <c r="KIO158" s="1167"/>
      <c r="KIP158" s="1167"/>
      <c r="KIQ158" s="1167"/>
      <c r="KIR158" s="1167"/>
      <c r="KIS158" s="1167"/>
      <c r="KIT158" s="1142"/>
      <c r="KIU158" s="1142"/>
      <c r="KIV158" s="1142"/>
      <c r="KIW158" s="1142"/>
      <c r="KIX158" s="1142"/>
      <c r="KIY158" s="1142"/>
      <c r="KIZ158" s="1142"/>
      <c r="KJA158" s="1142"/>
      <c r="KJB158" s="1142"/>
      <c r="KJC158" s="1142"/>
      <c r="KJD158" s="1142"/>
      <c r="KJE158" s="1142"/>
      <c r="KJF158" s="1142"/>
      <c r="KJG158" s="1142"/>
      <c r="KJH158" s="1142"/>
      <c r="KJI158" s="1142"/>
      <c r="KJJ158" s="1142"/>
      <c r="KJK158" s="1142"/>
      <c r="KJL158" s="1142"/>
      <c r="KJM158" s="1142"/>
      <c r="KJN158" s="1142"/>
      <c r="KJO158" s="1142"/>
      <c r="KJP158" s="1142"/>
      <c r="KJQ158" s="1167"/>
      <c r="KJR158" s="1167"/>
      <c r="KJS158" s="1167"/>
      <c r="KJT158" s="1167"/>
      <c r="KJU158" s="1167"/>
      <c r="KJV158" s="1167"/>
      <c r="KJW158" s="1167"/>
      <c r="KJX158" s="1167"/>
      <c r="KJY158" s="1167"/>
      <c r="KJZ158" s="1142"/>
      <c r="KKA158" s="1142"/>
      <c r="KKB158" s="1142"/>
      <c r="KKC158" s="1142"/>
      <c r="KKD158" s="1142"/>
      <c r="KKE158" s="1142"/>
      <c r="KKF158" s="1142"/>
      <c r="KKG158" s="1142"/>
      <c r="KKH158" s="1142"/>
      <c r="KKI158" s="1142"/>
      <c r="KKJ158" s="1142"/>
      <c r="KKK158" s="1142"/>
      <c r="KKL158" s="1142"/>
      <c r="KKM158" s="1142"/>
      <c r="KKN158" s="1142"/>
      <c r="KKO158" s="1142"/>
      <c r="KKP158" s="1142"/>
      <c r="KKQ158" s="1142"/>
      <c r="KKR158" s="1142"/>
      <c r="KKS158" s="1142"/>
      <c r="KKT158" s="1142"/>
      <c r="KKU158" s="1142"/>
      <c r="KKV158" s="1142"/>
      <c r="KKW158" s="1167"/>
      <c r="KKX158" s="1167"/>
      <c r="KKY158" s="1167"/>
      <c r="KKZ158" s="1167"/>
      <c r="KLA158" s="1167"/>
      <c r="KLB158" s="1167"/>
      <c r="KLC158" s="1167"/>
      <c r="KLD158" s="1167"/>
      <c r="KLE158" s="1167"/>
      <c r="KLF158" s="1142"/>
      <c r="KLG158" s="1142"/>
      <c r="KLH158" s="1142"/>
      <c r="KLI158" s="1142"/>
      <c r="KLJ158" s="1142"/>
      <c r="KLK158" s="1142"/>
      <c r="KLL158" s="1142"/>
      <c r="KLM158" s="1142"/>
      <c r="KLN158" s="1142"/>
      <c r="KLO158" s="1142"/>
      <c r="KLP158" s="1142"/>
      <c r="KLQ158" s="1142"/>
      <c r="KLR158" s="1142"/>
      <c r="KLS158" s="1142"/>
      <c r="KLT158" s="1142"/>
      <c r="KLU158" s="1142"/>
      <c r="KLV158" s="1142"/>
      <c r="KLW158" s="1142"/>
      <c r="KLX158" s="1142"/>
      <c r="KLY158" s="1142"/>
      <c r="KLZ158" s="1142"/>
      <c r="KMA158" s="1142"/>
      <c r="KMB158" s="1142"/>
      <c r="KMC158" s="1167"/>
      <c r="KMD158" s="1167"/>
      <c r="KME158" s="1167"/>
      <c r="KMF158" s="1167"/>
      <c r="KMG158" s="1167"/>
      <c r="KMH158" s="1167"/>
      <c r="KMI158" s="1167"/>
      <c r="KMJ158" s="1167"/>
      <c r="KMK158" s="1167"/>
      <c r="KML158" s="1142"/>
      <c r="KMM158" s="1142"/>
      <c r="KMN158" s="1142"/>
      <c r="KMO158" s="1142"/>
      <c r="KMP158" s="1142"/>
      <c r="KMQ158" s="1142"/>
      <c r="KMR158" s="1142"/>
      <c r="KMS158" s="1142"/>
      <c r="KMT158" s="1142"/>
      <c r="KMU158" s="1142"/>
      <c r="KMV158" s="1142"/>
      <c r="KMW158" s="1142"/>
      <c r="KMX158" s="1142"/>
      <c r="KMY158" s="1142"/>
      <c r="KMZ158" s="1142"/>
      <c r="KNA158" s="1142"/>
      <c r="KNB158" s="1142"/>
      <c r="KNC158" s="1142"/>
      <c r="KND158" s="1142"/>
      <c r="KNE158" s="1142"/>
      <c r="KNF158" s="1142"/>
      <c r="KNG158" s="1142"/>
      <c r="KNH158" s="1142"/>
      <c r="KNI158" s="1167"/>
      <c r="KNJ158" s="1167"/>
      <c r="KNK158" s="1167"/>
      <c r="KNL158" s="1167"/>
      <c r="KNM158" s="1167"/>
      <c r="KNN158" s="1167"/>
      <c r="KNO158" s="1167"/>
      <c r="KNP158" s="1167"/>
      <c r="KNQ158" s="1167"/>
      <c r="KNR158" s="1142"/>
      <c r="KNS158" s="1142"/>
      <c r="KNT158" s="1142"/>
      <c r="KNU158" s="1142"/>
      <c r="KNV158" s="1142"/>
      <c r="KNW158" s="1142"/>
      <c r="KNX158" s="1142"/>
      <c r="KNY158" s="1142"/>
      <c r="KNZ158" s="1142"/>
      <c r="KOA158" s="1142"/>
      <c r="KOB158" s="1142"/>
      <c r="KOC158" s="1142"/>
      <c r="KOD158" s="1142"/>
      <c r="KOE158" s="1142"/>
      <c r="KOF158" s="1142"/>
      <c r="KOG158" s="1142"/>
      <c r="KOH158" s="1142"/>
      <c r="KOI158" s="1142"/>
      <c r="KOJ158" s="1142"/>
      <c r="KOK158" s="1142"/>
      <c r="KOL158" s="1142"/>
      <c r="KOM158" s="1142"/>
      <c r="KON158" s="1142"/>
      <c r="KOO158" s="1167"/>
      <c r="KOP158" s="1167"/>
      <c r="KOQ158" s="1167"/>
      <c r="KOR158" s="1167"/>
      <c r="KOS158" s="1167"/>
      <c r="KOT158" s="1167"/>
      <c r="KOU158" s="1167"/>
      <c r="KOV158" s="1167"/>
      <c r="KOW158" s="1167"/>
      <c r="KOX158" s="1142"/>
      <c r="KOY158" s="1142"/>
      <c r="KOZ158" s="1142"/>
      <c r="KPA158" s="1142"/>
      <c r="KPB158" s="1142"/>
      <c r="KPC158" s="1142"/>
      <c r="KPD158" s="1142"/>
      <c r="KPE158" s="1142"/>
      <c r="KPF158" s="1142"/>
      <c r="KPG158" s="1142"/>
      <c r="KPH158" s="1142"/>
      <c r="KPI158" s="1142"/>
      <c r="KPJ158" s="1142"/>
      <c r="KPK158" s="1142"/>
      <c r="KPL158" s="1142"/>
      <c r="KPM158" s="1142"/>
      <c r="KPN158" s="1142"/>
      <c r="KPO158" s="1142"/>
      <c r="KPP158" s="1142"/>
      <c r="KPQ158" s="1142"/>
      <c r="KPR158" s="1142"/>
      <c r="KPS158" s="1142"/>
      <c r="KPT158" s="1142"/>
      <c r="KPU158" s="1167"/>
      <c r="KPV158" s="1167"/>
      <c r="KPW158" s="1167"/>
      <c r="KPX158" s="1167"/>
      <c r="KPY158" s="1167"/>
      <c r="KPZ158" s="1167"/>
      <c r="KQA158" s="1167"/>
      <c r="KQB158" s="1167"/>
      <c r="KQC158" s="1167"/>
      <c r="KQD158" s="1142"/>
      <c r="KQE158" s="1142"/>
      <c r="KQF158" s="1142"/>
      <c r="KQG158" s="1142"/>
      <c r="KQH158" s="1142"/>
      <c r="KQI158" s="1142"/>
      <c r="KQJ158" s="1142"/>
      <c r="KQK158" s="1142"/>
      <c r="KQL158" s="1142"/>
      <c r="KQM158" s="1142"/>
      <c r="KQN158" s="1142"/>
      <c r="KQO158" s="1142"/>
      <c r="KQP158" s="1142"/>
      <c r="KQQ158" s="1142"/>
      <c r="KQR158" s="1142"/>
      <c r="KQS158" s="1142"/>
      <c r="KQT158" s="1142"/>
      <c r="KQU158" s="1142"/>
      <c r="KQV158" s="1142"/>
      <c r="KQW158" s="1142"/>
      <c r="KQX158" s="1142"/>
      <c r="KQY158" s="1142"/>
      <c r="KQZ158" s="1142"/>
      <c r="KRA158" s="1167"/>
      <c r="KRB158" s="1167"/>
      <c r="KRC158" s="1167"/>
      <c r="KRD158" s="1167"/>
      <c r="KRE158" s="1167"/>
      <c r="KRF158" s="1167"/>
      <c r="KRG158" s="1167"/>
      <c r="KRH158" s="1167"/>
      <c r="KRI158" s="1167"/>
      <c r="KRJ158" s="1142"/>
      <c r="KRK158" s="1142"/>
      <c r="KRL158" s="1142"/>
      <c r="KRM158" s="1142"/>
      <c r="KRN158" s="1142"/>
      <c r="KRO158" s="1142"/>
      <c r="KRP158" s="1142"/>
      <c r="KRQ158" s="1142"/>
      <c r="KRR158" s="1142"/>
      <c r="KRS158" s="1142"/>
      <c r="KRT158" s="1142"/>
      <c r="KRU158" s="1142"/>
      <c r="KRV158" s="1142"/>
      <c r="KRW158" s="1142"/>
      <c r="KRX158" s="1142"/>
      <c r="KRY158" s="1142"/>
      <c r="KRZ158" s="1142"/>
      <c r="KSA158" s="1142"/>
      <c r="KSB158" s="1142"/>
      <c r="KSC158" s="1142"/>
      <c r="KSD158" s="1142"/>
      <c r="KSE158" s="1142"/>
      <c r="KSF158" s="1142"/>
      <c r="KSG158" s="1167"/>
      <c r="KSH158" s="1167"/>
      <c r="KSI158" s="1167"/>
      <c r="KSJ158" s="1167"/>
      <c r="KSK158" s="1167"/>
      <c r="KSL158" s="1167"/>
      <c r="KSM158" s="1167"/>
      <c r="KSN158" s="1167"/>
      <c r="KSO158" s="1167"/>
      <c r="KSP158" s="1142"/>
      <c r="KSQ158" s="1142"/>
      <c r="KSR158" s="1142"/>
      <c r="KSS158" s="1142"/>
      <c r="KST158" s="1142"/>
      <c r="KSU158" s="1142"/>
      <c r="KSV158" s="1142"/>
      <c r="KSW158" s="1142"/>
      <c r="KSX158" s="1142"/>
      <c r="KSY158" s="1142"/>
      <c r="KSZ158" s="1142"/>
      <c r="KTA158" s="1142"/>
      <c r="KTB158" s="1142"/>
      <c r="KTC158" s="1142"/>
      <c r="KTD158" s="1142"/>
      <c r="KTE158" s="1142"/>
      <c r="KTF158" s="1142"/>
      <c r="KTG158" s="1142"/>
      <c r="KTH158" s="1142"/>
      <c r="KTI158" s="1142"/>
      <c r="KTJ158" s="1142"/>
      <c r="KTK158" s="1142"/>
      <c r="KTL158" s="1142"/>
      <c r="KTM158" s="1167"/>
      <c r="KTN158" s="1167"/>
      <c r="KTO158" s="1167"/>
      <c r="KTP158" s="1167"/>
      <c r="KTQ158" s="1167"/>
      <c r="KTR158" s="1167"/>
      <c r="KTS158" s="1167"/>
      <c r="KTT158" s="1167"/>
      <c r="KTU158" s="1167"/>
      <c r="KTV158" s="1142"/>
      <c r="KTW158" s="1142"/>
      <c r="KTX158" s="1142"/>
      <c r="KTY158" s="1142"/>
      <c r="KTZ158" s="1142"/>
      <c r="KUA158" s="1142"/>
      <c r="KUB158" s="1142"/>
      <c r="KUC158" s="1142"/>
      <c r="KUD158" s="1142"/>
      <c r="KUE158" s="1142"/>
      <c r="KUF158" s="1142"/>
      <c r="KUG158" s="1142"/>
      <c r="KUH158" s="1142"/>
      <c r="KUI158" s="1142"/>
      <c r="KUJ158" s="1142"/>
      <c r="KUK158" s="1142"/>
      <c r="KUL158" s="1142"/>
      <c r="KUM158" s="1142"/>
      <c r="KUN158" s="1142"/>
      <c r="KUO158" s="1142"/>
      <c r="KUP158" s="1142"/>
      <c r="KUQ158" s="1142"/>
      <c r="KUR158" s="1142"/>
      <c r="KUS158" s="1167"/>
      <c r="KUT158" s="1167"/>
      <c r="KUU158" s="1167"/>
      <c r="KUV158" s="1167"/>
      <c r="KUW158" s="1167"/>
      <c r="KUX158" s="1167"/>
      <c r="KUY158" s="1167"/>
      <c r="KUZ158" s="1167"/>
      <c r="KVA158" s="1167"/>
      <c r="KVB158" s="1142"/>
      <c r="KVC158" s="1142"/>
      <c r="KVD158" s="1142"/>
      <c r="KVE158" s="1142"/>
      <c r="KVF158" s="1142"/>
      <c r="KVG158" s="1142"/>
      <c r="KVH158" s="1142"/>
      <c r="KVI158" s="1142"/>
      <c r="KVJ158" s="1142"/>
      <c r="KVK158" s="1142"/>
      <c r="KVL158" s="1142"/>
      <c r="KVM158" s="1142"/>
      <c r="KVN158" s="1142"/>
      <c r="KVO158" s="1142"/>
      <c r="KVP158" s="1142"/>
      <c r="KVQ158" s="1142"/>
      <c r="KVR158" s="1142"/>
      <c r="KVS158" s="1142"/>
      <c r="KVT158" s="1142"/>
      <c r="KVU158" s="1142"/>
      <c r="KVV158" s="1142"/>
      <c r="KVW158" s="1142"/>
      <c r="KVX158" s="1142"/>
      <c r="KVY158" s="1167"/>
      <c r="KVZ158" s="1167"/>
      <c r="KWA158" s="1167"/>
      <c r="KWB158" s="1167"/>
      <c r="KWC158" s="1167"/>
      <c r="KWD158" s="1167"/>
      <c r="KWE158" s="1167"/>
      <c r="KWF158" s="1167"/>
      <c r="KWG158" s="1167"/>
      <c r="KWH158" s="1142"/>
      <c r="KWI158" s="1142"/>
      <c r="KWJ158" s="1142"/>
      <c r="KWK158" s="1142"/>
      <c r="KWL158" s="1142"/>
      <c r="KWM158" s="1142"/>
      <c r="KWN158" s="1142"/>
      <c r="KWO158" s="1142"/>
      <c r="KWP158" s="1142"/>
      <c r="KWQ158" s="1142"/>
      <c r="KWR158" s="1142"/>
      <c r="KWS158" s="1142"/>
      <c r="KWT158" s="1142"/>
      <c r="KWU158" s="1142"/>
      <c r="KWV158" s="1142"/>
      <c r="KWW158" s="1142"/>
      <c r="KWX158" s="1142"/>
      <c r="KWY158" s="1142"/>
      <c r="KWZ158" s="1142"/>
      <c r="KXA158" s="1142"/>
      <c r="KXB158" s="1142"/>
      <c r="KXC158" s="1142"/>
      <c r="KXD158" s="1142"/>
      <c r="KXE158" s="1167"/>
      <c r="KXF158" s="1167"/>
      <c r="KXG158" s="1167"/>
      <c r="KXH158" s="1167"/>
      <c r="KXI158" s="1167"/>
      <c r="KXJ158" s="1167"/>
      <c r="KXK158" s="1167"/>
      <c r="KXL158" s="1167"/>
      <c r="KXM158" s="1167"/>
      <c r="KXN158" s="1142"/>
      <c r="KXO158" s="1142"/>
      <c r="KXP158" s="1142"/>
      <c r="KXQ158" s="1142"/>
      <c r="KXR158" s="1142"/>
      <c r="KXS158" s="1142"/>
      <c r="KXT158" s="1142"/>
      <c r="KXU158" s="1142"/>
      <c r="KXV158" s="1142"/>
      <c r="KXW158" s="1142"/>
      <c r="KXX158" s="1142"/>
      <c r="KXY158" s="1142"/>
      <c r="KXZ158" s="1142"/>
      <c r="KYA158" s="1142"/>
      <c r="KYB158" s="1142"/>
      <c r="KYC158" s="1142"/>
      <c r="KYD158" s="1142"/>
      <c r="KYE158" s="1142"/>
      <c r="KYF158" s="1142"/>
      <c r="KYG158" s="1142"/>
      <c r="KYH158" s="1142"/>
      <c r="KYI158" s="1142"/>
      <c r="KYJ158" s="1142"/>
      <c r="KYK158" s="1167"/>
      <c r="KYL158" s="1167"/>
      <c r="KYM158" s="1167"/>
      <c r="KYN158" s="1167"/>
      <c r="KYO158" s="1167"/>
      <c r="KYP158" s="1167"/>
      <c r="KYQ158" s="1167"/>
      <c r="KYR158" s="1167"/>
      <c r="KYS158" s="1167"/>
      <c r="KYT158" s="1142"/>
      <c r="KYU158" s="1142"/>
      <c r="KYV158" s="1142"/>
      <c r="KYW158" s="1142"/>
      <c r="KYX158" s="1142"/>
      <c r="KYY158" s="1142"/>
      <c r="KYZ158" s="1142"/>
      <c r="KZA158" s="1142"/>
      <c r="KZB158" s="1142"/>
      <c r="KZC158" s="1142"/>
      <c r="KZD158" s="1142"/>
      <c r="KZE158" s="1142"/>
      <c r="KZF158" s="1142"/>
      <c r="KZG158" s="1142"/>
      <c r="KZH158" s="1142"/>
      <c r="KZI158" s="1142"/>
      <c r="KZJ158" s="1142"/>
      <c r="KZK158" s="1142"/>
      <c r="KZL158" s="1142"/>
      <c r="KZM158" s="1142"/>
      <c r="KZN158" s="1142"/>
      <c r="KZO158" s="1142"/>
      <c r="KZP158" s="1142"/>
      <c r="KZQ158" s="1167"/>
      <c r="KZR158" s="1167"/>
      <c r="KZS158" s="1167"/>
      <c r="KZT158" s="1167"/>
      <c r="KZU158" s="1167"/>
      <c r="KZV158" s="1167"/>
      <c r="KZW158" s="1167"/>
      <c r="KZX158" s="1167"/>
      <c r="KZY158" s="1167"/>
      <c r="KZZ158" s="1142"/>
      <c r="LAA158" s="1142"/>
      <c r="LAB158" s="1142"/>
      <c r="LAC158" s="1142"/>
      <c r="LAD158" s="1142"/>
      <c r="LAE158" s="1142"/>
      <c r="LAF158" s="1142"/>
      <c r="LAG158" s="1142"/>
      <c r="LAH158" s="1142"/>
      <c r="LAI158" s="1142"/>
      <c r="LAJ158" s="1142"/>
      <c r="LAK158" s="1142"/>
      <c r="LAL158" s="1142"/>
      <c r="LAM158" s="1142"/>
      <c r="LAN158" s="1142"/>
      <c r="LAO158" s="1142"/>
      <c r="LAP158" s="1142"/>
      <c r="LAQ158" s="1142"/>
      <c r="LAR158" s="1142"/>
      <c r="LAS158" s="1142"/>
      <c r="LAT158" s="1142"/>
      <c r="LAU158" s="1142"/>
      <c r="LAV158" s="1142"/>
      <c r="LAW158" s="1167"/>
      <c r="LAX158" s="1167"/>
      <c r="LAY158" s="1167"/>
      <c r="LAZ158" s="1167"/>
      <c r="LBA158" s="1167"/>
      <c r="LBB158" s="1167"/>
      <c r="LBC158" s="1167"/>
      <c r="LBD158" s="1167"/>
      <c r="LBE158" s="1167"/>
      <c r="LBF158" s="1142"/>
      <c r="LBG158" s="1142"/>
      <c r="LBH158" s="1142"/>
      <c r="LBI158" s="1142"/>
      <c r="LBJ158" s="1142"/>
      <c r="LBK158" s="1142"/>
      <c r="LBL158" s="1142"/>
      <c r="LBM158" s="1142"/>
      <c r="LBN158" s="1142"/>
      <c r="LBO158" s="1142"/>
      <c r="LBP158" s="1142"/>
      <c r="LBQ158" s="1142"/>
      <c r="LBR158" s="1142"/>
      <c r="LBS158" s="1142"/>
      <c r="LBT158" s="1142"/>
      <c r="LBU158" s="1142"/>
      <c r="LBV158" s="1142"/>
      <c r="LBW158" s="1142"/>
      <c r="LBX158" s="1142"/>
      <c r="LBY158" s="1142"/>
      <c r="LBZ158" s="1142"/>
      <c r="LCA158" s="1142"/>
      <c r="LCB158" s="1142"/>
      <c r="LCC158" s="1167"/>
      <c r="LCD158" s="1167"/>
      <c r="LCE158" s="1167"/>
      <c r="LCF158" s="1167"/>
      <c r="LCG158" s="1167"/>
      <c r="LCH158" s="1167"/>
      <c r="LCI158" s="1167"/>
      <c r="LCJ158" s="1167"/>
      <c r="LCK158" s="1167"/>
      <c r="LCL158" s="1142"/>
      <c r="LCM158" s="1142"/>
      <c r="LCN158" s="1142"/>
      <c r="LCO158" s="1142"/>
      <c r="LCP158" s="1142"/>
      <c r="LCQ158" s="1142"/>
      <c r="LCR158" s="1142"/>
      <c r="LCS158" s="1142"/>
      <c r="LCT158" s="1142"/>
      <c r="LCU158" s="1142"/>
      <c r="LCV158" s="1142"/>
      <c r="LCW158" s="1142"/>
      <c r="LCX158" s="1142"/>
      <c r="LCY158" s="1142"/>
      <c r="LCZ158" s="1142"/>
      <c r="LDA158" s="1142"/>
      <c r="LDB158" s="1142"/>
      <c r="LDC158" s="1142"/>
      <c r="LDD158" s="1142"/>
      <c r="LDE158" s="1142"/>
      <c r="LDF158" s="1142"/>
      <c r="LDG158" s="1142"/>
      <c r="LDH158" s="1142"/>
      <c r="LDI158" s="1167"/>
      <c r="LDJ158" s="1167"/>
      <c r="LDK158" s="1167"/>
      <c r="LDL158" s="1167"/>
      <c r="LDM158" s="1167"/>
      <c r="LDN158" s="1167"/>
      <c r="LDO158" s="1167"/>
      <c r="LDP158" s="1167"/>
      <c r="LDQ158" s="1167"/>
      <c r="LDR158" s="1142"/>
      <c r="LDS158" s="1142"/>
      <c r="LDT158" s="1142"/>
      <c r="LDU158" s="1142"/>
      <c r="LDV158" s="1142"/>
      <c r="LDW158" s="1142"/>
      <c r="LDX158" s="1142"/>
      <c r="LDY158" s="1142"/>
      <c r="LDZ158" s="1142"/>
      <c r="LEA158" s="1142"/>
      <c r="LEB158" s="1142"/>
      <c r="LEC158" s="1142"/>
      <c r="LED158" s="1142"/>
      <c r="LEE158" s="1142"/>
      <c r="LEF158" s="1142"/>
      <c r="LEG158" s="1142"/>
      <c r="LEH158" s="1142"/>
      <c r="LEI158" s="1142"/>
      <c r="LEJ158" s="1142"/>
      <c r="LEK158" s="1142"/>
      <c r="LEL158" s="1142"/>
      <c r="LEM158" s="1142"/>
      <c r="LEN158" s="1142"/>
      <c r="LEO158" s="1167"/>
      <c r="LEP158" s="1167"/>
      <c r="LEQ158" s="1167"/>
      <c r="LER158" s="1167"/>
      <c r="LES158" s="1167"/>
      <c r="LET158" s="1167"/>
      <c r="LEU158" s="1167"/>
      <c r="LEV158" s="1167"/>
      <c r="LEW158" s="1167"/>
      <c r="LEX158" s="1142"/>
      <c r="LEY158" s="1142"/>
      <c r="LEZ158" s="1142"/>
      <c r="LFA158" s="1142"/>
      <c r="LFB158" s="1142"/>
      <c r="LFC158" s="1142"/>
      <c r="LFD158" s="1142"/>
      <c r="LFE158" s="1142"/>
      <c r="LFF158" s="1142"/>
      <c r="LFG158" s="1142"/>
      <c r="LFH158" s="1142"/>
      <c r="LFI158" s="1142"/>
      <c r="LFJ158" s="1142"/>
      <c r="LFK158" s="1142"/>
      <c r="LFL158" s="1142"/>
      <c r="LFM158" s="1142"/>
      <c r="LFN158" s="1142"/>
      <c r="LFO158" s="1142"/>
      <c r="LFP158" s="1142"/>
      <c r="LFQ158" s="1142"/>
      <c r="LFR158" s="1142"/>
      <c r="LFS158" s="1142"/>
      <c r="LFT158" s="1142"/>
      <c r="LFU158" s="1167"/>
      <c r="LFV158" s="1167"/>
      <c r="LFW158" s="1167"/>
      <c r="LFX158" s="1167"/>
      <c r="LFY158" s="1167"/>
      <c r="LFZ158" s="1167"/>
      <c r="LGA158" s="1167"/>
      <c r="LGB158" s="1167"/>
      <c r="LGC158" s="1167"/>
      <c r="LGD158" s="1142"/>
      <c r="LGE158" s="1142"/>
      <c r="LGF158" s="1142"/>
      <c r="LGG158" s="1142"/>
      <c r="LGH158" s="1142"/>
      <c r="LGI158" s="1142"/>
      <c r="LGJ158" s="1142"/>
      <c r="LGK158" s="1142"/>
      <c r="LGL158" s="1142"/>
      <c r="LGM158" s="1142"/>
      <c r="LGN158" s="1142"/>
      <c r="LGO158" s="1142"/>
      <c r="LGP158" s="1142"/>
      <c r="LGQ158" s="1142"/>
      <c r="LGR158" s="1142"/>
      <c r="LGS158" s="1142"/>
      <c r="LGT158" s="1142"/>
      <c r="LGU158" s="1142"/>
      <c r="LGV158" s="1142"/>
      <c r="LGW158" s="1142"/>
      <c r="LGX158" s="1142"/>
      <c r="LGY158" s="1142"/>
      <c r="LGZ158" s="1142"/>
      <c r="LHA158" s="1167"/>
      <c r="LHB158" s="1167"/>
      <c r="LHC158" s="1167"/>
      <c r="LHD158" s="1167"/>
      <c r="LHE158" s="1167"/>
      <c r="LHF158" s="1167"/>
      <c r="LHG158" s="1167"/>
      <c r="LHH158" s="1167"/>
      <c r="LHI158" s="1167"/>
      <c r="LHJ158" s="1142"/>
      <c r="LHK158" s="1142"/>
      <c r="LHL158" s="1142"/>
      <c r="LHM158" s="1142"/>
      <c r="LHN158" s="1142"/>
      <c r="LHO158" s="1142"/>
      <c r="LHP158" s="1142"/>
      <c r="LHQ158" s="1142"/>
      <c r="LHR158" s="1142"/>
      <c r="LHS158" s="1142"/>
      <c r="LHT158" s="1142"/>
      <c r="LHU158" s="1142"/>
      <c r="LHV158" s="1142"/>
      <c r="LHW158" s="1142"/>
      <c r="LHX158" s="1142"/>
      <c r="LHY158" s="1142"/>
      <c r="LHZ158" s="1142"/>
      <c r="LIA158" s="1142"/>
      <c r="LIB158" s="1142"/>
      <c r="LIC158" s="1142"/>
      <c r="LID158" s="1142"/>
      <c r="LIE158" s="1142"/>
      <c r="LIF158" s="1142"/>
      <c r="LIG158" s="1167"/>
      <c r="LIH158" s="1167"/>
      <c r="LII158" s="1167"/>
      <c r="LIJ158" s="1167"/>
      <c r="LIK158" s="1167"/>
      <c r="LIL158" s="1167"/>
      <c r="LIM158" s="1167"/>
      <c r="LIN158" s="1167"/>
      <c r="LIO158" s="1167"/>
      <c r="LIP158" s="1142"/>
      <c r="LIQ158" s="1142"/>
      <c r="LIR158" s="1142"/>
      <c r="LIS158" s="1142"/>
      <c r="LIT158" s="1142"/>
      <c r="LIU158" s="1142"/>
      <c r="LIV158" s="1142"/>
      <c r="LIW158" s="1142"/>
      <c r="LIX158" s="1142"/>
      <c r="LIY158" s="1142"/>
      <c r="LIZ158" s="1142"/>
      <c r="LJA158" s="1142"/>
      <c r="LJB158" s="1142"/>
      <c r="LJC158" s="1142"/>
      <c r="LJD158" s="1142"/>
      <c r="LJE158" s="1142"/>
      <c r="LJF158" s="1142"/>
      <c r="LJG158" s="1142"/>
      <c r="LJH158" s="1142"/>
      <c r="LJI158" s="1142"/>
      <c r="LJJ158" s="1142"/>
      <c r="LJK158" s="1142"/>
      <c r="LJL158" s="1142"/>
      <c r="LJM158" s="1167"/>
      <c r="LJN158" s="1167"/>
      <c r="LJO158" s="1167"/>
      <c r="LJP158" s="1167"/>
      <c r="LJQ158" s="1167"/>
      <c r="LJR158" s="1167"/>
      <c r="LJS158" s="1167"/>
      <c r="LJT158" s="1167"/>
      <c r="LJU158" s="1167"/>
      <c r="LJV158" s="1142"/>
      <c r="LJW158" s="1142"/>
      <c r="LJX158" s="1142"/>
      <c r="LJY158" s="1142"/>
      <c r="LJZ158" s="1142"/>
      <c r="LKA158" s="1142"/>
      <c r="LKB158" s="1142"/>
      <c r="LKC158" s="1142"/>
      <c r="LKD158" s="1142"/>
      <c r="LKE158" s="1142"/>
      <c r="LKF158" s="1142"/>
      <c r="LKG158" s="1142"/>
      <c r="LKH158" s="1142"/>
      <c r="LKI158" s="1142"/>
      <c r="LKJ158" s="1142"/>
      <c r="LKK158" s="1142"/>
      <c r="LKL158" s="1142"/>
      <c r="LKM158" s="1142"/>
      <c r="LKN158" s="1142"/>
      <c r="LKO158" s="1142"/>
      <c r="LKP158" s="1142"/>
      <c r="LKQ158" s="1142"/>
      <c r="LKR158" s="1142"/>
      <c r="LKS158" s="1167"/>
      <c r="LKT158" s="1167"/>
      <c r="LKU158" s="1167"/>
      <c r="LKV158" s="1167"/>
      <c r="LKW158" s="1167"/>
      <c r="LKX158" s="1167"/>
      <c r="LKY158" s="1167"/>
      <c r="LKZ158" s="1167"/>
      <c r="LLA158" s="1167"/>
      <c r="LLB158" s="1142"/>
      <c r="LLC158" s="1142"/>
      <c r="LLD158" s="1142"/>
      <c r="LLE158" s="1142"/>
      <c r="LLF158" s="1142"/>
      <c r="LLG158" s="1142"/>
      <c r="LLH158" s="1142"/>
      <c r="LLI158" s="1142"/>
      <c r="LLJ158" s="1142"/>
      <c r="LLK158" s="1142"/>
      <c r="LLL158" s="1142"/>
      <c r="LLM158" s="1142"/>
      <c r="LLN158" s="1142"/>
      <c r="LLO158" s="1142"/>
      <c r="LLP158" s="1142"/>
      <c r="LLQ158" s="1142"/>
      <c r="LLR158" s="1142"/>
      <c r="LLS158" s="1142"/>
      <c r="LLT158" s="1142"/>
      <c r="LLU158" s="1142"/>
      <c r="LLV158" s="1142"/>
      <c r="LLW158" s="1142"/>
      <c r="LLX158" s="1142"/>
      <c r="LLY158" s="1167"/>
      <c r="LLZ158" s="1167"/>
      <c r="LMA158" s="1167"/>
      <c r="LMB158" s="1167"/>
      <c r="LMC158" s="1167"/>
      <c r="LMD158" s="1167"/>
      <c r="LME158" s="1167"/>
      <c r="LMF158" s="1167"/>
      <c r="LMG158" s="1167"/>
      <c r="LMH158" s="1142"/>
      <c r="LMI158" s="1142"/>
      <c r="LMJ158" s="1142"/>
      <c r="LMK158" s="1142"/>
      <c r="LML158" s="1142"/>
      <c r="LMM158" s="1142"/>
      <c r="LMN158" s="1142"/>
      <c r="LMO158" s="1142"/>
      <c r="LMP158" s="1142"/>
      <c r="LMQ158" s="1142"/>
      <c r="LMR158" s="1142"/>
      <c r="LMS158" s="1142"/>
      <c r="LMT158" s="1142"/>
      <c r="LMU158" s="1142"/>
      <c r="LMV158" s="1142"/>
      <c r="LMW158" s="1142"/>
      <c r="LMX158" s="1142"/>
      <c r="LMY158" s="1142"/>
      <c r="LMZ158" s="1142"/>
      <c r="LNA158" s="1142"/>
      <c r="LNB158" s="1142"/>
      <c r="LNC158" s="1142"/>
      <c r="LND158" s="1142"/>
      <c r="LNE158" s="1167"/>
      <c r="LNF158" s="1167"/>
      <c r="LNG158" s="1167"/>
      <c r="LNH158" s="1167"/>
      <c r="LNI158" s="1167"/>
      <c r="LNJ158" s="1167"/>
      <c r="LNK158" s="1167"/>
      <c r="LNL158" s="1167"/>
      <c r="LNM158" s="1167"/>
      <c r="LNN158" s="1142"/>
      <c r="LNO158" s="1142"/>
      <c r="LNP158" s="1142"/>
      <c r="LNQ158" s="1142"/>
      <c r="LNR158" s="1142"/>
      <c r="LNS158" s="1142"/>
      <c r="LNT158" s="1142"/>
      <c r="LNU158" s="1142"/>
      <c r="LNV158" s="1142"/>
      <c r="LNW158" s="1142"/>
      <c r="LNX158" s="1142"/>
      <c r="LNY158" s="1142"/>
      <c r="LNZ158" s="1142"/>
      <c r="LOA158" s="1142"/>
      <c r="LOB158" s="1142"/>
      <c r="LOC158" s="1142"/>
      <c r="LOD158" s="1142"/>
      <c r="LOE158" s="1142"/>
      <c r="LOF158" s="1142"/>
      <c r="LOG158" s="1142"/>
      <c r="LOH158" s="1142"/>
      <c r="LOI158" s="1142"/>
      <c r="LOJ158" s="1142"/>
      <c r="LOK158" s="1167"/>
      <c r="LOL158" s="1167"/>
      <c r="LOM158" s="1167"/>
      <c r="LON158" s="1167"/>
      <c r="LOO158" s="1167"/>
      <c r="LOP158" s="1167"/>
      <c r="LOQ158" s="1167"/>
      <c r="LOR158" s="1167"/>
      <c r="LOS158" s="1167"/>
      <c r="LOT158" s="1142"/>
      <c r="LOU158" s="1142"/>
      <c r="LOV158" s="1142"/>
      <c r="LOW158" s="1142"/>
      <c r="LOX158" s="1142"/>
      <c r="LOY158" s="1142"/>
      <c r="LOZ158" s="1142"/>
      <c r="LPA158" s="1142"/>
      <c r="LPB158" s="1142"/>
      <c r="LPC158" s="1142"/>
      <c r="LPD158" s="1142"/>
      <c r="LPE158" s="1142"/>
      <c r="LPF158" s="1142"/>
      <c r="LPG158" s="1142"/>
      <c r="LPH158" s="1142"/>
      <c r="LPI158" s="1142"/>
      <c r="LPJ158" s="1142"/>
      <c r="LPK158" s="1142"/>
      <c r="LPL158" s="1142"/>
      <c r="LPM158" s="1142"/>
      <c r="LPN158" s="1142"/>
      <c r="LPO158" s="1142"/>
      <c r="LPP158" s="1142"/>
      <c r="LPQ158" s="1167"/>
      <c r="LPR158" s="1167"/>
      <c r="LPS158" s="1167"/>
      <c r="LPT158" s="1167"/>
      <c r="LPU158" s="1167"/>
      <c r="LPV158" s="1167"/>
      <c r="LPW158" s="1167"/>
      <c r="LPX158" s="1167"/>
      <c r="LPY158" s="1167"/>
      <c r="LPZ158" s="1142"/>
      <c r="LQA158" s="1142"/>
      <c r="LQB158" s="1142"/>
      <c r="LQC158" s="1142"/>
      <c r="LQD158" s="1142"/>
      <c r="LQE158" s="1142"/>
      <c r="LQF158" s="1142"/>
      <c r="LQG158" s="1142"/>
      <c r="LQH158" s="1142"/>
      <c r="LQI158" s="1142"/>
      <c r="LQJ158" s="1142"/>
      <c r="LQK158" s="1142"/>
      <c r="LQL158" s="1142"/>
      <c r="LQM158" s="1142"/>
      <c r="LQN158" s="1142"/>
      <c r="LQO158" s="1142"/>
      <c r="LQP158" s="1142"/>
      <c r="LQQ158" s="1142"/>
      <c r="LQR158" s="1142"/>
      <c r="LQS158" s="1142"/>
      <c r="LQT158" s="1142"/>
      <c r="LQU158" s="1142"/>
      <c r="LQV158" s="1142"/>
      <c r="LQW158" s="1167"/>
      <c r="LQX158" s="1167"/>
      <c r="LQY158" s="1167"/>
      <c r="LQZ158" s="1167"/>
      <c r="LRA158" s="1167"/>
      <c r="LRB158" s="1167"/>
      <c r="LRC158" s="1167"/>
      <c r="LRD158" s="1167"/>
      <c r="LRE158" s="1167"/>
      <c r="LRF158" s="1142"/>
      <c r="LRG158" s="1142"/>
      <c r="LRH158" s="1142"/>
      <c r="LRI158" s="1142"/>
      <c r="LRJ158" s="1142"/>
      <c r="LRK158" s="1142"/>
      <c r="LRL158" s="1142"/>
      <c r="LRM158" s="1142"/>
      <c r="LRN158" s="1142"/>
      <c r="LRO158" s="1142"/>
      <c r="LRP158" s="1142"/>
      <c r="LRQ158" s="1142"/>
      <c r="LRR158" s="1142"/>
      <c r="LRS158" s="1142"/>
      <c r="LRT158" s="1142"/>
      <c r="LRU158" s="1142"/>
      <c r="LRV158" s="1142"/>
      <c r="LRW158" s="1142"/>
      <c r="LRX158" s="1142"/>
      <c r="LRY158" s="1142"/>
      <c r="LRZ158" s="1142"/>
      <c r="LSA158" s="1142"/>
      <c r="LSB158" s="1142"/>
      <c r="LSC158" s="1167"/>
      <c r="LSD158" s="1167"/>
      <c r="LSE158" s="1167"/>
      <c r="LSF158" s="1167"/>
      <c r="LSG158" s="1167"/>
      <c r="LSH158" s="1167"/>
      <c r="LSI158" s="1167"/>
      <c r="LSJ158" s="1167"/>
      <c r="LSK158" s="1167"/>
      <c r="LSL158" s="1142"/>
      <c r="LSM158" s="1142"/>
      <c r="LSN158" s="1142"/>
      <c r="LSO158" s="1142"/>
      <c r="LSP158" s="1142"/>
      <c r="LSQ158" s="1142"/>
      <c r="LSR158" s="1142"/>
      <c r="LSS158" s="1142"/>
      <c r="LST158" s="1142"/>
      <c r="LSU158" s="1142"/>
      <c r="LSV158" s="1142"/>
      <c r="LSW158" s="1142"/>
      <c r="LSX158" s="1142"/>
      <c r="LSY158" s="1142"/>
      <c r="LSZ158" s="1142"/>
      <c r="LTA158" s="1142"/>
      <c r="LTB158" s="1142"/>
      <c r="LTC158" s="1142"/>
      <c r="LTD158" s="1142"/>
      <c r="LTE158" s="1142"/>
      <c r="LTF158" s="1142"/>
      <c r="LTG158" s="1142"/>
      <c r="LTH158" s="1142"/>
      <c r="LTI158" s="1167"/>
      <c r="LTJ158" s="1167"/>
      <c r="LTK158" s="1167"/>
      <c r="LTL158" s="1167"/>
      <c r="LTM158" s="1167"/>
      <c r="LTN158" s="1167"/>
      <c r="LTO158" s="1167"/>
      <c r="LTP158" s="1167"/>
      <c r="LTQ158" s="1167"/>
      <c r="LTR158" s="1142"/>
      <c r="LTS158" s="1142"/>
      <c r="LTT158" s="1142"/>
      <c r="LTU158" s="1142"/>
      <c r="LTV158" s="1142"/>
      <c r="LTW158" s="1142"/>
      <c r="LTX158" s="1142"/>
      <c r="LTY158" s="1142"/>
      <c r="LTZ158" s="1142"/>
      <c r="LUA158" s="1142"/>
      <c r="LUB158" s="1142"/>
      <c r="LUC158" s="1142"/>
      <c r="LUD158" s="1142"/>
      <c r="LUE158" s="1142"/>
      <c r="LUF158" s="1142"/>
      <c r="LUG158" s="1142"/>
      <c r="LUH158" s="1142"/>
      <c r="LUI158" s="1142"/>
      <c r="LUJ158" s="1142"/>
      <c r="LUK158" s="1142"/>
      <c r="LUL158" s="1142"/>
      <c r="LUM158" s="1142"/>
      <c r="LUN158" s="1142"/>
      <c r="LUO158" s="1167"/>
      <c r="LUP158" s="1167"/>
      <c r="LUQ158" s="1167"/>
      <c r="LUR158" s="1167"/>
      <c r="LUS158" s="1167"/>
      <c r="LUT158" s="1167"/>
      <c r="LUU158" s="1167"/>
      <c r="LUV158" s="1167"/>
      <c r="LUW158" s="1167"/>
      <c r="LUX158" s="1142"/>
      <c r="LUY158" s="1142"/>
      <c r="LUZ158" s="1142"/>
      <c r="LVA158" s="1142"/>
      <c r="LVB158" s="1142"/>
      <c r="LVC158" s="1142"/>
      <c r="LVD158" s="1142"/>
      <c r="LVE158" s="1142"/>
      <c r="LVF158" s="1142"/>
      <c r="LVG158" s="1142"/>
      <c r="LVH158" s="1142"/>
      <c r="LVI158" s="1142"/>
      <c r="LVJ158" s="1142"/>
      <c r="LVK158" s="1142"/>
      <c r="LVL158" s="1142"/>
      <c r="LVM158" s="1142"/>
      <c r="LVN158" s="1142"/>
      <c r="LVO158" s="1142"/>
      <c r="LVP158" s="1142"/>
      <c r="LVQ158" s="1142"/>
      <c r="LVR158" s="1142"/>
      <c r="LVS158" s="1142"/>
      <c r="LVT158" s="1142"/>
      <c r="LVU158" s="1167"/>
      <c r="LVV158" s="1167"/>
      <c r="LVW158" s="1167"/>
      <c r="LVX158" s="1167"/>
      <c r="LVY158" s="1167"/>
      <c r="LVZ158" s="1167"/>
      <c r="LWA158" s="1167"/>
      <c r="LWB158" s="1167"/>
      <c r="LWC158" s="1167"/>
      <c r="LWD158" s="1142"/>
      <c r="LWE158" s="1142"/>
      <c r="LWF158" s="1142"/>
      <c r="LWG158" s="1142"/>
      <c r="LWH158" s="1142"/>
      <c r="LWI158" s="1142"/>
      <c r="LWJ158" s="1142"/>
      <c r="LWK158" s="1142"/>
      <c r="LWL158" s="1142"/>
      <c r="LWM158" s="1142"/>
      <c r="LWN158" s="1142"/>
      <c r="LWO158" s="1142"/>
      <c r="LWP158" s="1142"/>
      <c r="LWQ158" s="1142"/>
      <c r="LWR158" s="1142"/>
      <c r="LWS158" s="1142"/>
      <c r="LWT158" s="1142"/>
      <c r="LWU158" s="1142"/>
      <c r="LWV158" s="1142"/>
      <c r="LWW158" s="1142"/>
      <c r="LWX158" s="1142"/>
      <c r="LWY158" s="1142"/>
      <c r="LWZ158" s="1142"/>
      <c r="LXA158" s="1167"/>
      <c r="LXB158" s="1167"/>
      <c r="LXC158" s="1167"/>
      <c r="LXD158" s="1167"/>
      <c r="LXE158" s="1167"/>
      <c r="LXF158" s="1167"/>
      <c r="LXG158" s="1167"/>
      <c r="LXH158" s="1167"/>
      <c r="LXI158" s="1167"/>
      <c r="LXJ158" s="1142"/>
      <c r="LXK158" s="1142"/>
      <c r="LXL158" s="1142"/>
      <c r="LXM158" s="1142"/>
      <c r="LXN158" s="1142"/>
      <c r="LXO158" s="1142"/>
      <c r="LXP158" s="1142"/>
      <c r="LXQ158" s="1142"/>
      <c r="LXR158" s="1142"/>
      <c r="LXS158" s="1142"/>
      <c r="LXT158" s="1142"/>
      <c r="LXU158" s="1142"/>
      <c r="LXV158" s="1142"/>
      <c r="LXW158" s="1142"/>
      <c r="LXX158" s="1142"/>
      <c r="LXY158" s="1142"/>
      <c r="LXZ158" s="1142"/>
      <c r="LYA158" s="1142"/>
      <c r="LYB158" s="1142"/>
      <c r="LYC158" s="1142"/>
      <c r="LYD158" s="1142"/>
      <c r="LYE158" s="1142"/>
      <c r="LYF158" s="1142"/>
      <c r="LYG158" s="1167"/>
      <c r="LYH158" s="1167"/>
      <c r="LYI158" s="1167"/>
      <c r="LYJ158" s="1167"/>
      <c r="LYK158" s="1167"/>
      <c r="LYL158" s="1167"/>
      <c r="LYM158" s="1167"/>
      <c r="LYN158" s="1167"/>
      <c r="LYO158" s="1167"/>
      <c r="LYP158" s="1142"/>
      <c r="LYQ158" s="1142"/>
      <c r="LYR158" s="1142"/>
      <c r="LYS158" s="1142"/>
      <c r="LYT158" s="1142"/>
      <c r="LYU158" s="1142"/>
      <c r="LYV158" s="1142"/>
      <c r="LYW158" s="1142"/>
      <c r="LYX158" s="1142"/>
      <c r="LYY158" s="1142"/>
      <c r="LYZ158" s="1142"/>
      <c r="LZA158" s="1142"/>
      <c r="LZB158" s="1142"/>
      <c r="LZC158" s="1142"/>
      <c r="LZD158" s="1142"/>
      <c r="LZE158" s="1142"/>
      <c r="LZF158" s="1142"/>
      <c r="LZG158" s="1142"/>
      <c r="LZH158" s="1142"/>
      <c r="LZI158" s="1142"/>
      <c r="LZJ158" s="1142"/>
      <c r="LZK158" s="1142"/>
      <c r="LZL158" s="1142"/>
      <c r="LZM158" s="1167"/>
      <c r="LZN158" s="1167"/>
      <c r="LZO158" s="1167"/>
      <c r="LZP158" s="1167"/>
      <c r="LZQ158" s="1167"/>
      <c r="LZR158" s="1167"/>
      <c r="LZS158" s="1167"/>
      <c r="LZT158" s="1167"/>
      <c r="LZU158" s="1167"/>
      <c r="LZV158" s="1142"/>
      <c r="LZW158" s="1142"/>
      <c r="LZX158" s="1142"/>
      <c r="LZY158" s="1142"/>
      <c r="LZZ158" s="1142"/>
      <c r="MAA158" s="1142"/>
      <c r="MAB158" s="1142"/>
      <c r="MAC158" s="1142"/>
      <c r="MAD158" s="1142"/>
      <c r="MAE158" s="1142"/>
      <c r="MAF158" s="1142"/>
      <c r="MAG158" s="1142"/>
      <c r="MAH158" s="1142"/>
      <c r="MAI158" s="1142"/>
      <c r="MAJ158" s="1142"/>
      <c r="MAK158" s="1142"/>
      <c r="MAL158" s="1142"/>
      <c r="MAM158" s="1142"/>
      <c r="MAN158" s="1142"/>
      <c r="MAO158" s="1142"/>
      <c r="MAP158" s="1142"/>
      <c r="MAQ158" s="1142"/>
      <c r="MAR158" s="1142"/>
      <c r="MAS158" s="1167"/>
      <c r="MAT158" s="1167"/>
      <c r="MAU158" s="1167"/>
      <c r="MAV158" s="1167"/>
      <c r="MAW158" s="1167"/>
      <c r="MAX158" s="1167"/>
      <c r="MAY158" s="1167"/>
      <c r="MAZ158" s="1167"/>
      <c r="MBA158" s="1167"/>
      <c r="MBB158" s="1142"/>
      <c r="MBC158" s="1142"/>
      <c r="MBD158" s="1142"/>
      <c r="MBE158" s="1142"/>
      <c r="MBF158" s="1142"/>
      <c r="MBG158" s="1142"/>
      <c r="MBH158" s="1142"/>
      <c r="MBI158" s="1142"/>
      <c r="MBJ158" s="1142"/>
      <c r="MBK158" s="1142"/>
      <c r="MBL158" s="1142"/>
      <c r="MBM158" s="1142"/>
      <c r="MBN158" s="1142"/>
      <c r="MBO158" s="1142"/>
      <c r="MBP158" s="1142"/>
      <c r="MBQ158" s="1142"/>
      <c r="MBR158" s="1142"/>
      <c r="MBS158" s="1142"/>
      <c r="MBT158" s="1142"/>
      <c r="MBU158" s="1142"/>
      <c r="MBV158" s="1142"/>
      <c r="MBW158" s="1142"/>
      <c r="MBX158" s="1142"/>
      <c r="MBY158" s="1167"/>
      <c r="MBZ158" s="1167"/>
      <c r="MCA158" s="1167"/>
      <c r="MCB158" s="1167"/>
      <c r="MCC158" s="1167"/>
      <c r="MCD158" s="1167"/>
      <c r="MCE158" s="1167"/>
      <c r="MCF158" s="1167"/>
      <c r="MCG158" s="1167"/>
      <c r="MCH158" s="1142"/>
      <c r="MCI158" s="1142"/>
      <c r="MCJ158" s="1142"/>
      <c r="MCK158" s="1142"/>
      <c r="MCL158" s="1142"/>
      <c r="MCM158" s="1142"/>
      <c r="MCN158" s="1142"/>
      <c r="MCO158" s="1142"/>
      <c r="MCP158" s="1142"/>
      <c r="MCQ158" s="1142"/>
      <c r="MCR158" s="1142"/>
      <c r="MCS158" s="1142"/>
      <c r="MCT158" s="1142"/>
      <c r="MCU158" s="1142"/>
      <c r="MCV158" s="1142"/>
      <c r="MCW158" s="1142"/>
      <c r="MCX158" s="1142"/>
      <c r="MCY158" s="1142"/>
      <c r="MCZ158" s="1142"/>
      <c r="MDA158" s="1142"/>
      <c r="MDB158" s="1142"/>
      <c r="MDC158" s="1142"/>
      <c r="MDD158" s="1142"/>
      <c r="MDE158" s="1167"/>
      <c r="MDF158" s="1167"/>
      <c r="MDG158" s="1167"/>
      <c r="MDH158" s="1167"/>
      <c r="MDI158" s="1167"/>
      <c r="MDJ158" s="1167"/>
      <c r="MDK158" s="1167"/>
      <c r="MDL158" s="1167"/>
      <c r="MDM158" s="1167"/>
      <c r="MDN158" s="1142"/>
      <c r="MDO158" s="1142"/>
      <c r="MDP158" s="1142"/>
      <c r="MDQ158" s="1142"/>
      <c r="MDR158" s="1142"/>
      <c r="MDS158" s="1142"/>
      <c r="MDT158" s="1142"/>
      <c r="MDU158" s="1142"/>
      <c r="MDV158" s="1142"/>
      <c r="MDW158" s="1142"/>
      <c r="MDX158" s="1142"/>
      <c r="MDY158" s="1142"/>
      <c r="MDZ158" s="1142"/>
      <c r="MEA158" s="1142"/>
      <c r="MEB158" s="1142"/>
      <c r="MEC158" s="1142"/>
      <c r="MED158" s="1142"/>
      <c r="MEE158" s="1142"/>
      <c r="MEF158" s="1142"/>
      <c r="MEG158" s="1142"/>
      <c r="MEH158" s="1142"/>
      <c r="MEI158" s="1142"/>
      <c r="MEJ158" s="1142"/>
      <c r="MEK158" s="1167"/>
      <c r="MEL158" s="1167"/>
      <c r="MEM158" s="1167"/>
      <c r="MEN158" s="1167"/>
      <c r="MEO158" s="1167"/>
      <c r="MEP158" s="1167"/>
      <c r="MEQ158" s="1167"/>
      <c r="MER158" s="1167"/>
      <c r="MES158" s="1167"/>
      <c r="MET158" s="1142"/>
      <c r="MEU158" s="1142"/>
      <c r="MEV158" s="1142"/>
      <c r="MEW158" s="1142"/>
      <c r="MEX158" s="1142"/>
      <c r="MEY158" s="1142"/>
      <c r="MEZ158" s="1142"/>
      <c r="MFA158" s="1142"/>
      <c r="MFB158" s="1142"/>
      <c r="MFC158" s="1142"/>
      <c r="MFD158" s="1142"/>
      <c r="MFE158" s="1142"/>
      <c r="MFF158" s="1142"/>
      <c r="MFG158" s="1142"/>
      <c r="MFH158" s="1142"/>
      <c r="MFI158" s="1142"/>
      <c r="MFJ158" s="1142"/>
      <c r="MFK158" s="1142"/>
      <c r="MFL158" s="1142"/>
      <c r="MFM158" s="1142"/>
      <c r="MFN158" s="1142"/>
      <c r="MFO158" s="1142"/>
      <c r="MFP158" s="1142"/>
      <c r="MFQ158" s="1167"/>
      <c r="MFR158" s="1167"/>
      <c r="MFS158" s="1167"/>
      <c r="MFT158" s="1167"/>
      <c r="MFU158" s="1167"/>
      <c r="MFV158" s="1167"/>
      <c r="MFW158" s="1167"/>
      <c r="MFX158" s="1167"/>
      <c r="MFY158" s="1167"/>
      <c r="MFZ158" s="1142"/>
      <c r="MGA158" s="1142"/>
      <c r="MGB158" s="1142"/>
      <c r="MGC158" s="1142"/>
      <c r="MGD158" s="1142"/>
      <c r="MGE158" s="1142"/>
      <c r="MGF158" s="1142"/>
      <c r="MGG158" s="1142"/>
      <c r="MGH158" s="1142"/>
      <c r="MGI158" s="1142"/>
      <c r="MGJ158" s="1142"/>
      <c r="MGK158" s="1142"/>
      <c r="MGL158" s="1142"/>
      <c r="MGM158" s="1142"/>
      <c r="MGN158" s="1142"/>
      <c r="MGO158" s="1142"/>
      <c r="MGP158" s="1142"/>
      <c r="MGQ158" s="1142"/>
      <c r="MGR158" s="1142"/>
      <c r="MGS158" s="1142"/>
      <c r="MGT158" s="1142"/>
      <c r="MGU158" s="1142"/>
      <c r="MGV158" s="1142"/>
      <c r="MGW158" s="1167"/>
      <c r="MGX158" s="1167"/>
      <c r="MGY158" s="1167"/>
      <c r="MGZ158" s="1167"/>
      <c r="MHA158" s="1167"/>
      <c r="MHB158" s="1167"/>
      <c r="MHC158" s="1167"/>
      <c r="MHD158" s="1167"/>
      <c r="MHE158" s="1167"/>
      <c r="MHF158" s="1142"/>
      <c r="MHG158" s="1142"/>
      <c r="MHH158" s="1142"/>
      <c r="MHI158" s="1142"/>
      <c r="MHJ158" s="1142"/>
      <c r="MHK158" s="1142"/>
      <c r="MHL158" s="1142"/>
      <c r="MHM158" s="1142"/>
      <c r="MHN158" s="1142"/>
      <c r="MHO158" s="1142"/>
      <c r="MHP158" s="1142"/>
      <c r="MHQ158" s="1142"/>
      <c r="MHR158" s="1142"/>
      <c r="MHS158" s="1142"/>
      <c r="MHT158" s="1142"/>
      <c r="MHU158" s="1142"/>
      <c r="MHV158" s="1142"/>
      <c r="MHW158" s="1142"/>
      <c r="MHX158" s="1142"/>
      <c r="MHY158" s="1142"/>
      <c r="MHZ158" s="1142"/>
      <c r="MIA158" s="1142"/>
      <c r="MIB158" s="1142"/>
      <c r="MIC158" s="1167"/>
      <c r="MID158" s="1167"/>
      <c r="MIE158" s="1167"/>
      <c r="MIF158" s="1167"/>
      <c r="MIG158" s="1167"/>
      <c r="MIH158" s="1167"/>
      <c r="MII158" s="1167"/>
      <c r="MIJ158" s="1167"/>
      <c r="MIK158" s="1167"/>
      <c r="MIL158" s="1142"/>
      <c r="MIM158" s="1142"/>
      <c r="MIN158" s="1142"/>
      <c r="MIO158" s="1142"/>
      <c r="MIP158" s="1142"/>
      <c r="MIQ158" s="1142"/>
      <c r="MIR158" s="1142"/>
      <c r="MIS158" s="1142"/>
      <c r="MIT158" s="1142"/>
      <c r="MIU158" s="1142"/>
      <c r="MIV158" s="1142"/>
      <c r="MIW158" s="1142"/>
      <c r="MIX158" s="1142"/>
      <c r="MIY158" s="1142"/>
      <c r="MIZ158" s="1142"/>
      <c r="MJA158" s="1142"/>
      <c r="MJB158" s="1142"/>
      <c r="MJC158" s="1142"/>
      <c r="MJD158" s="1142"/>
      <c r="MJE158" s="1142"/>
      <c r="MJF158" s="1142"/>
      <c r="MJG158" s="1142"/>
      <c r="MJH158" s="1142"/>
      <c r="MJI158" s="1167"/>
      <c r="MJJ158" s="1167"/>
      <c r="MJK158" s="1167"/>
      <c r="MJL158" s="1167"/>
      <c r="MJM158" s="1167"/>
      <c r="MJN158" s="1167"/>
      <c r="MJO158" s="1167"/>
      <c r="MJP158" s="1167"/>
      <c r="MJQ158" s="1167"/>
      <c r="MJR158" s="1142"/>
      <c r="MJS158" s="1142"/>
      <c r="MJT158" s="1142"/>
      <c r="MJU158" s="1142"/>
      <c r="MJV158" s="1142"/>
      <c r="MJW158" s="1142"/>
      <c r="MJX158" s="1142"/>
      <c r="MJY158" s="1142"/>
      <c r="MJZ158" s="1142"/>
      <c r="MKA158" s="1142"/>
      <c r="MKB158" s="1142"/>
      <c r="MKC158" s="1142"/>
      <c r="MKD158" s="1142"/>
      <c r="MKE158" s="1142"/>
      <c r="MKF158" s="1142"/>
      <c r="MKG158" s="1142"/>
      <c r="MKH158" s="1142"/>
      <c r="MKI158" s="1142"/>
      <c r="MKJ158" s="1142"/>
      <c r="MKK158" s="1142"/>
      <c r="MKL158" s="1142"/>
      <c r="MKM158" s="1142"/>
      <c r="MKN158" s="1142"/>
      <c r="MKO158" s="1167"/>
      <c r="MKP158" s="1167"/>
      <c r="MKQ158" s="1167"/>
      <c r="MKR158" s="1167"/>
      <c r="MKS158" s="1167"/>
      <c r="MKT158" s="1167"/>
      <c r="MKU158" s="1167"/>
      <c r="MKV158" s="1167"/>
      <c r="MKW158" s="1167"/>
      <c r="MKX158" s="1142"/>
      <c r="MKY158" s="1142"/>
      <c r="MKZ158" s="1142"/>
      <c r="MLA158" s="1142"/>
      <c r="MLB158" s="1142"/>
      <c r="MLC158" s="1142"/>
      <c r="MLD158" s="1142"/>
      <c r="MLE158" s="1142"/>
      <c r="MLF158" s="1142"/>
      <c r="MLG158" s="1142"/>
      <c r="MLH158" s="1142"/>
      <c r="MLI158" s="1142"/>
      <c r="MLJ158" s="1142"/>
      <c r="MLK158" s="1142"/>
      <c r="MLL158" s="1142"/>
      <c r="MLM158" s="1142"/>
      <c r="MLN158" s="1142"/>
      <c r="MLO158" s="1142"/>
      <c r="MLP158" s="1142"/>
      <c r="MLQ158" s="1142"/>
      <c r="MLR158" s="1142"/>
      <c r="MLS158" s="1142"/>
      <c r="MLT158" s="1142"/>
      <c r="MLU158" s="1167"/>
      <c r="MLV158" s="1167"/>
      <c r="MLW158" s="1167"/>
      <c r="MLX158" s="1167"/>
      <c r="MLY158" s="1167"/>
      <c r="MLZ158" s="1167"/>
      <c r="MMA158" s="1167"/>
      <c r="MMB158" s="1167"/>
      <c r="MMC158" s="1167"/>
      <c r="MMD158" s="1142"/>
      <c r="MME158" s="1142"/>
      <c r="MMF158" s="1142"/>
      <c r="MMG158" s="1142"/>
      <c r="MMH158" s="1142"/>
      <c r="MMI158" s="1142"/>
      <c r="MMJ158" s="1142"/>
      <c r="MMK158" s="1142"/>
      <c r="MML158" s="1142"/>
      <c r="MMM158" s="1142"/>
      <c r="MMN158" s="1142"/>
      <c r="MMO158" s="1142"/>
      <c r="MMP158" s="1142"/>
      <c r="MMQ158" s="1142"/>
      <c r="MMR158" s="1142"/>
      <c r="MMS158" s="1142"/>
      <c r="MMT158" s="1142"/>
      <c r="MMU158" s="1142"/>
      <c r="MMV158" s="1142"/>
      <c r="MMW158" s="1142"/>
      <c r="MMX158" s="1142"/>
      <c r="MMY158" s="1142"/>
      <c r="MMZ158" s="1142"/>
      <c r="MNA158" s="1167"/>
      <c r="MNB158" s="1167"/>
      <c r="MNC158" s="1167"/>
      <c r="MND158" s="1167"/>
      <c r="MNE158" s="1167"/>
      <c r="MNF158" s="1167"/>
      <c r="MNG158" s="1167"/>
      <c r="MNH158" s="1167"/>
      <c r="MNI158" s="1167"/>
      <c r="MNJ158" s="1142"/>
      <c r="MNK158" s="1142"/>
      <c r="MNL158" s="1142"/>
      <c r="MNM158" s="1142"/>
      <c r="MNN158" s="1142"/>
      <c r="MNO158" s="1142"/>
      <c r="MNP158" s="1142"/>
      <c r="MNQ158" s="1142"/>
      <c r="MNR158" s="1142"/>
      <c r="MNS158" s="1142"/>
      <c r="MNT158" s="1142"/>
      <c r="MNU158" s="1142"/>
      <c r="MNV158" s="1142"/>
      <c r="MNW158" s="1142"/>
      <c r="MNX158" s="1142"/>
      <c r="MNY158" s="1142"/>
      <c r="MNZ158" s="1142"/>
      <c r="MOA158" s="1142"/>
      <c r="MOB158" s="1142"/>
      <c r="MOC158" s="1142"/>
      <c r="MOD158" s="1142"/>
      <c r="MOE158" s="1142"/>
      <c r="MOF158" s="1142"/>
      <c r="MOG158" s="1167"/>
      <c r="MOH158" s="1167"/>
      <c r="MOI158" s="1167"/>
      <c r="MOJ158" s="1167"/>
      <c r="MOK158" s="1167"/>
      <c r="MOL158" s="1167"/>
      <c r="MOM158" s="1167"/>
      <c r="MON158" s="1167"/>
      <c r="MOO158" s="1167"/>
      <c r="MOP158" s="1142"/>
      <c r="MOQ158" s="1142"/>
      <c r="MOR158" s="1142"/>
      <c r="MOS158" s="1142"/>
      <c r="MOT158" s="1142"/>
      <c r="MOU158" s="1142"/>
      <c r="MOV158" s="1142"/>
      <c r="MOW158" s="1142"/>
      <c r="MOX158" s="1142"/>
      <c r="MOY158" s="1142"/>
      <c r="MOZ158" s="1142"/>
      <c r="MPA158" s="1142"/>
      <c r="MPB158" s="1142"/>
      <c r="MPC158" s="1142"/>
      <c r="MPD158" s="1142"/>
      <c r="MPE158" s="1142"/>
      <c r="MPF158" s="1142"/>
      <c r="MPG158" s="1142"/>
      <c r="MPH158" s="1142"/>
      <c r="MPI158" s="1142"/>
      <c r="MPJ158" s="1142"/>
      <c r="MPK158" s="1142"/>
      <c r="MPL158" s="1142"/>
      <c r="MPM158" s="1167"/>
      <c r="MPN158" s="1167"/>
      <c r="MPO158" s="1167"/>
      <c r="MPP158" s="1167"/>
      <c r="MPQ158" s="1167"/>
      <c r="MPR158" s="1167"/>
      <c r="MPS158" s="1167"/>
      <c r="MPT158" s="1167"/>
      <c r="MPU158" s="1167"/>
      <c r="MPV158" s="1142"/>
      <c r="MPW158" s="1142"/>
      <c r="MPX158" s="1142"/>
      <c r="MPY158" s="1142"/>
      <c r="MPZ158" s="1142"/>
      <c r="MQA158" s="1142"/>
      <c r="MQB158" s="1142"/>
      <c r="MQC158" s="1142"/>
      <c r="MQD158" s="1142"/>
      <c r="MQE158" s="1142"/>
      <c r="MQF158" s="1142"/>
      <c r="MQG158" s="1142"/>
      <c r="MQH158" s="1142"/>
      <c r="MQI158" s="1142"/>
      <c r="MQJ158" s="1142"/>
      <c r="MQK158" s="1142"/>
      <c r="MQL158" s="1142"/>
      <c r="MQM158" s="1142"/>
      <c r="MQN158" s="1142"/>
      <c r="MQO158" s="1142"/>
      <c r="MQP158" s="1142"/>
      <c r="MQQ158" s="1142"/>
      <c r="MQR158" s="1142"/>
      <c r="MQS158" s="1167"/>
      <c r="MQT158" s="1167"/>
      <c r="MQU158" s="1167"/>
      <c r="MQV158" s="1167"/>
      <c r="MQW158" s="1167"/>
      <c r="MQX158" s="1167"/>
      <c r="MQY158" s="1167"/>
      <c r="MQZ158" s="1167"/>
      <c r="MRA158" s="1167"/>
      <c r="MRB158" s="1142"/>
      <c r="MRC158" s="1142"/>
      <c r="MRD158" s="1142"/>
      <c r="MRE158" s="1142"/>
      <c r="MRF158" s="1142"/>
      <c r="MRG158" s="1142"/>
      <c r="MRH158" s="1142"/>
      <c r="MRI158" s="1142"/>
      <c r="MRJ158" s="1142"/>
      <c r="MRK158" s="1142"/>
      <c r="MRL158" s="1142"/>
      <c r="MRM158" s="1142"/>
      <c r="MRN158" s="1142"/>
      <c r="MRO158" s="1142"/>
      <c r="MRP158" s="1142"/>
      <c r="MRQ158" s="1142"/>
      <c r="MRR158" s="1142"/>
      <c r="MRS158" s="1142"/>
      <c r="MRT158" s="1142"/>
      <c r="MRU158" s="1142"/>
      <c r="MRV158" s="1142"/>
      <c r="MRW158" s="1142"/>
      <c r="MRX158" s="1142"/>
      <c r="MRY158" s="1167"/>
      <c r="MRZ158" s="1167"/>
      <c r="MSA158" s="1167"/>
      <c r="MSB158" s="1167"/>
      <c r="MSC158" s="1167"/>
      <c r="MSD158" s="1167"/>
      <c r="MSE158" s="1167"/>
      <c r="MSF158" s="1167"/>
      <c r="MSG158" s="1167"/>
      <c r="MSH158" s="1142"/>
      <c r="MSI158" s="1142"/>
      <c r="MSJ158" s="1142"/>
      <c r="MSK158" s="1142"/>
      <c r="MSL158" s="1142"/>
      <c r="MSM158" s="1142"/>
      <c r="MSN158" s="1142"/>
      <c r="MSO158" s="1142"/>
      <c r="MSP158" s="1142"/>
      <c r="MSQ158" s="1142"/>
      <c r="MSR158" s="1142"/>
      <c r="MSS158" s="1142"/>
      <c r="MST158" s="1142"/>
      <c r="MSU158" s="1142"/>
      <c r="MSV158" s="1142"/>
      <c r="MSW158" s="1142"/>
      <c r="MSX158" s="1142"/>
      <c r="MSY158" s="1142"/>
      <c r="MSZ158" s="1142"/>
      <c r="MTA158" s="1142"/>
      <c r="MTB158" s="1142"/>
      <c r="MTC158" s="1142"/>
      <c r="MTD158" s="1142"/>
      <c r="MTE158" s="1167"/>
      <c r="MTF158" s="1167"/>
      <c r="MTG158" s="1167"/>
      <c r="MTH158" s="1167"/>
      <c r="MTI158" s="1167"/>
      <c r="MTJ158" s="1167"/>
      <c r="MTK158" s="1167"/>
      <c r="MTL158" s="1167"/>
      <c r="MTM158" s="1167"/>
      <c r="MTN158" s="1142"/>
      <c r="MTO158" s="1142"/>
      <c r="MTP158" s="1142"/>
      <c r="MTQ158" s="1142"/>
      <c r="MTR158" s="1142"/>
      <c r="MTS158" s="1142"/>
      <c r="MTT158" s="1142"/>
      <c r="MTU158" s="1142"/>
      <c r="MTV158" s="1142"/>
      <c r="MTW158" s="1142"/>
      <c r="MTX158" s="1142"/>
      <c r="MTY158" s="1142"/>
      <c r="MTZ158" s="1142"/>
      <c r="MUA158" s="1142"/>
      <c r="MUB158" s="1142"/>
      <c r="MUC158" s="1142"/>
      <c r="MUD158" s="1142"/>
      <c r="MUE158" s="1142"/>
      <c r="MUF158" s="1142"/>
      <c r="MUG158" s="1142"/>
      <c r="MUH158" s="1142"/>
      <c r="MUI158" s="1142"/>
      <c r="MUJ158" s="1142"/>
      <c r="MUK158" s="1167"/>
      <c r="MUL158" s="1167"/>
      <c r="MUM158" s="1167"/>
      <c r="MUN158" s="1167"/>
      <c r="MUO158" s="1167"/>
      <c r="MUP158" s="1167"/>
      <c r="MUQ158" s="1167"/>
      <c r="MUR158" s="1167"/>
      <c r="MUS158" s="1167"/>
      <c r="MUT158" s="1142"/>
      <c r="MUU158" s="1142"/>
      <c r="MUV158" s="1142"/>
      <c r="MUW158" s="1142"/>
      <c r="MUX158" s="1142"/>
      <c r="MUY158" s="1142"/>
      <c r="MUZ158" s="1142"/>
      <c r="MVA158" s="1142"/>
      <c r="MVB158" s="1142"/>
      <c r="MVC158" s="1142"/>
      <c r="MVD158" s="1142"/>
      <c r="MVE158" s="1142"/>
      <c r="MVF158" s="1142"/>
      <c r="MVG158" s="1142"/>
      <c r="MVH158" s="1142"/>
      <c r="MVI158" s="1142"/>
      <c r="MVJ158" s="1142"/>
      <c r="MVK158" s="1142"/>
      <c r="MVL158" s="1142"/>
      <c r="MVM158" s="1142"/>
      <c r="MVN158" s="1142"/>
      <c r="MVO158" s="1142"/>
      <c r="MVP158" s="1142"/>
      <c r="MVQ158" s="1167"/>
      <c r="MVR158" s="1167"/>
      <c r="MVS158" s="1167"/>
      <c r="MVT158" s="1167"/>
      <c r="MVU158" s="1167"/>
      <c r="MVV158" s="1167"/>
      <c r="MVW158" s="1167"/>
      <c r="MVX158" s="1167"/>
      <c r="MVY158" s="1167"/>
      <c r="MVZ158" s="1142"/>
      <c r="MWA158" s="1142"/>
      <c r="MWB158" s="1142"/>
      <c r="MWC158" s="1142"/>
      <c r="MWD158" s="1142"/>
      <c r="MWE158" s="1142"/>
      <c r="MWF158" s="1142"/>
      <c r="MWG158" s="1142"/>
      <c r="MWH158" s="1142"/>
      <c r="MWI158" s="1142"/>
      <c r="MWJ158" s="1142"/>
      <c r="MWK158" s="1142"/>
      <c r="MWL158" s="1142"/>
      <c r="MWM158" s="1142"/>
      <c r="MWN158" s="1142"/>
      <c r="MWO158" s="1142"/>
      <c r="MWP158" s="1142"/>
      <c r="MWQ158" s="1142"/>
      <c r="MWR158" s="1142"/>
      <c r="MWS158" s="1142"/>
      <c r="MWT158" s="1142"/>
      <c r="MWU158" s="1142"/>
      <c r="MWV158" s="1142"/>
      <c r="MWW158" s="1167"/>
      <c r="MWX158" s="1167"/>
      <c r="MWY158" s="1167"/>
      <c r="MWZ158" s="1167"/>
      <c r="MXA158" s="1167"/>
      <c r="MXB158" s="1167"/>
      <c r="MXC158" s="1167"/>
      <c r="MXD158" s="1167"/>
      <c r="MXE158" s="1167"/>
      <c r="MXF158" s="1142"/>
      <c r="MXG158" s="1142"/>
      <c r="MXH158" s="1142"/>
      <c r="MXI158" s="1142"/>
      <c r="MXJ158" s="1142"/>
      <c r="MXK158" s="1142"/>
      <c r="MXL158" s="1142"/>
      <c r="MXM158" s="1142"/>
      <c r="MXN158" s="1142"/>
      <c r="MXO158" s="1142"/>
      <c r="MXP158" s="1142"/>
      <c r="MXQ158" s="1142"/>
      <c r="MXR158" s="1142"/>
      <c r="MXS158" s="1142"/>
      <c r="MXT158" s="1142"/>
      <c r="MXU158" s="1142"/>
      <c r="MXV158" s="1142"/>
      <c r="MXW158" s="1142"/>
      <c r="MXX158" s="1142"/>
      <c r="MXY158" s="1142"/>
      <c r="MXZ158" s="1142"/>
      <c r="MYA158" s="1142"/>
      <c r="MYB158" s="1142"/>
      <c r="MYC158" s="1167"/>
      <c r="MYD158" s="1167"/>
      <c r="MYE158" s="1167"/>
      <c r="MYF158" s="1167"/>
      <c r="MYG158" s="1167"/>
      <c r="MYH158" s="1167"/>
      <c r="MYI158" s="1167"/>
      <c r="MYJ158" s="1167"/>
      <c r="MYK158" s="1167"/>
      <c r="MYL158" s="1142"/>
      <c r="MYM158" s="1142"/>
      <c r="MYN158" s="1142"/>
      <c r="MYO158" s="1142"/>
      <c r="MYP158" s="1142"/>
      <c r="MYQ158" s="1142"/>
      <c r="MYR158" s="1142"/>
      <c r="MYS158" s="1142"/>
      <c r="MYT158" s="1142"/>
      <c r="MYU158" s="1142"/>
      <c r="MYV158" s="1142"/>
      <c r="MYW158" s="1142"/>
      <c r="MYX158" s="1142"/>
      <c r="MYY158" s="1142"/>
      <c r="MYZ158" s="1142"/>
      <c r="MZA158" s="1142"/>
      <c r="MZB158" s="1142"/>
      <c r="MZC158" s="1142"/>
      <c r="MZD158" s="1142"/>
      <c r="MZE158" s="1142"/>
      <c r="MZF158" s="1142"/>
      <c r="MZG158" s="1142"/>
      <c r="MZH158" s="1142"/>
      <c r="MZI158" s="1167"/>
      <c r="MZJ158" s="1167"/>
      <c r="MZK158" s="1167"/>
      <c r="MZL158" s="1167"/>
      <c r="MZM158" s="1167"/>
      <c r="MZN158" s="1167"/>
      <c r="MZO158" s="1167"/>
      <c r="MZP158" s="1167"/>
      <c r="MZQ158" s="1167"/>
      <c r="MZR158" s="1142"/>
      <c r="MZS158" s="1142"/>
      <c r="MZT158" s="1142"/>
      <c r="MZU158" s="1142"/>
      <c r="MZV158" s="1142"/>
      <c r="MZW158" s="1142"/>
      <c r="MZX158" s="1142"/>
      <c r="MZY158" s="1142"/>
      <c r="MZZ158" s="1142"/>
      <c r="NAA158" s="1142"/>
      <c r="NAB158" s="1142"/>
      <c r="NAC158" s="1142"/>
      <c r="NAD158" s="1142"/>
      <c r="NAE158" s="1142"/>
      <c r="NAF158" s="1142"/>
      <c r="NAG158" s="1142"/>
      <c r="NAH158" s="1142"/>
      <c r="NAI158" s="1142"/>
      <c r="NAJ158" s="1142"/>
      <c r="NAK158" s="1142"/>
      <c r="NAL158" s="1142"/>
      <c r="NAM158" s="1142"/>
      <c r="NAN158" s="1142"/>
      <c r="NAO158" s="1167"/>
      <c r="NAP158" s="1167"/>
      <c r="NAQ158" s="1167"/>
      <c r="NAR158" s="1167"/>
      <c r="NAS158" s="1167"/>
      <c r="NAT158" s="1167"/>
      <c r="NAU158" s="1167"/>
      <c r="NAV158" s="1167"/>
      <c r="NAW158" s="1167"/>
      <c r="NAX158" s="1142"/>
      <c r="NAY158" s="1142"/>
      <c r="NAZ158" s="1142"/>
      <c r="NBA158" s="1142"/>
      <c r="NBB158" s="1142"/>
      <c r="NBC158" s="1142"/>
      <c r="NBD158" s="1142"/>
      <c r="NBE158" s="1142"/>
      <c r="NBF158" s="1142"/>
      <c r="NBG158" s="1142"/>
      <c r="NBH158" s="1142"/>
      <c r="NBI158" s="1142"/>
      <c r="NBJ158" s="1142"/>
      <c r="NBK158" s="1142"/>
      <c r="NBL158" s="1142"/>
      <c r="NBM158" s="1142"/>
      <c r="NBN158" s="1142"/>
      <c r="NBO158" s="1142"/>
      <c r="NBP158" s="1142"/>
      <c r="NBQ158" s="1142"/>
      <c r="NBR158" s="1142"/>
      <c r="NBS158" s="1142"/>
      <c r="NBT158" s="1142"/>
      <c r="NBU158" s="1167"/>
      <c r="NBV158" s="1167"/>
      <c r="NBW158" s="1167"/>
      <c r="NBX158" s="1167"/>
      <c r="NBY158" s="1167"/>
      <c r="NBZ158" s="1167"/>
      <c r="NCA158" s="1167"/>
      <c r="NCB158" s="1167"/>
      <c r="NCC158" s="1167"/>
      <c r="NCD158" s="1142"/>
      <c r="NCE158" s="1142"/>
      <c r="NCF158" s="1142"/>
      <c r="NCG158" s="1142"/>
      <c r="NCH158" s="1142"/>
      <c r="NCI158" s="1142"/>
      <c r="NCJ158" s="1142"/>
      <c r="NCK158" s="1142"/>
      <c r="NCL158" s="1142"/>
      <c r="NCM158" s="1142"/>
      <c r="NCN158" s="1142"/>
      <c r="NCO158" s="1142"/>
      <c r="NCP158" s="1142"/>
      <c r="NCQ158" s="1142"/>
      <c r="NCR158" s="1142"/>
      <c r="NCS158" s="1142"/>
      <c r="NCT158" s="1142"/>
      <c r="NCU158" s="1142"/>
      <c r="NCV158" s="1142"/>
      <c r="NCW158" s="1142"/>
      <c r="NCX158" s="1142"/>
      <c r="NCY158" s="1142"/>
      <c r="NCZ158" s="1142"/>
      <c r="NDA158" s="1167"/>
      <c r="NDB158" s="1167"/>
      <c r="NDC158" s="1167"/>
      <c r="NDD158" s="1167"/>
      <c r="NDE158" s="1167"/>
      <c r="NDF158" s="1167"/>
      <c r="NDG158" s="1167"/>
      <c r="NDH158" s="1167"/>
      <c r="NDI158" s="1167"/>
      <c r="NDJ158" s="1142"/>
      <c r="NDK158" s="1142"/>
      <c r="NDL158" s="1142"/>
      <c r="NDM158" s="1142"/>
      <c r="NDN158" s="1142"/>
      <c r="NDO158" s="1142"/>
      <c r="NDP158" s="1142"/>
      <c r="NDQ158" s="1142"/>
      <c r="NDR158" s="1142"/>
      <c r="NDS158" s="1142"/>
      <c r="NDT158" s="1142"/>
      <c r="NDU158" s="1142"/>
      <c r="NDV158" s="1142"/>
      <c r="NDW158" s="1142"/>
      <c r="NDX158" s="1142"/>
      <c r="NDY158" s="1142"/>
      <c r="NDZ158" s="1142"/>
      <c r="NEA158" s="1142"/>
      <c r="NEB158" s="1142"/>
      <c r="NEC158" s="1142"/>
      <c r="NED158" s="1142"/>
      <c r="NEE158" s="1142"/>
      <c r="NEF158" s="1142"/>
      <c r="NEG158" s="1167"/>
      <c r="NEH158" s="1167"/>
      <c r="NEI158" s="1167"/>
      <c r="NEJ158" s="1167"/>
      <c r="NEK158" s="1167"/>
      <c r="NEL158" s="1167"/>
      <c r="NEM158" s="1167"/>
      <c r="NEN158" s="1167"/>
      <c r="NEO158" s="1167"/>
      <c r="NEP158" s="1142"/>
      <c r="NEQ158" s="1142"/>
      <c r="NER158" s="1142"/>
      <c r="NES158" s="1142"/>
      <c r="NET158" s="1142"/>
      <c r="NEU158" s="1142"/>
      <c r="NEV158" s="1142"/>
      <c r="NEW158" s="1142"/>
      <c r="NEX158" s="1142"/>
      <c r="NEY158" s="1142"/>
      <c r="NEZ158" s="1142"/>
      <c r="NFA158" s="1142"/>
      <c r="NFB158" s="1142"/>
      <c r="NFC158" s="1142"/>
      <c r="NFD158" s="1142"/>
      <c r="NFE158" s="1142"/>
      <c r="NFF158" s="1142"/>
      <c r="NFG158" s="1142"/>
      <c r="NFH158" s="1142"/>
      <c r="NFI158" s="1142"/>
      <c r="NFJ158" s="1142"/>
      <c r="NFK158" s="1142"/>
      <c r="NFL158" s="1142"/>
      <c r="NFM158" s="1167"/>
      <c r="NFN158" s="1167"/>
      <c r="NFO158" s="1167"/>
      <c r="NFP158" s="1167"/>
      <c r="NFQ158" s="1167"/>
      <c r="NFR158" s="1167"/>
      <c r="NFS158" s="1167"/>
      <c r="NFT158" s="1167"/>
      <c r="NFU158" s="1167"/>
      <c r="NFV158" s="1142"/>
      <c r="NFW158" s="1142"/>
      <c r="NFX158" s="1142"/>
      <c r="NFY158" s="1142"/>
      <c r="NFZ158" s="1142"/>
      <c r="NGA158" s="1142"/>
      <c r="NGB158" s="1142"/>
      <c r="NGC158" s="1142"/>
      <c r="NGD158" s="1142"/>
      <c r="NGE158" s="1142"/>
      <c r="NGF158" s="1142"/>
      <c r="NGG158" s="1142"/>
      <c r="NGH158" s="1142"/>
      <c r="NGI158" s="1142"/>
      <c r="NGJ158" s="1142"/>
      <c r="NGK158" s="1142"/>
      <c r="NGL158" s="1142"/>
      <c r="NGM158" s="1142"/>
      <c r="NGN158" s="1142"/>
      <c r="NGO158" s="1142"/>
      <c r="NGP158" s="1142"/>
      <c r="NGQ158" s="1142"/>
      <c r="NGR158" s="1142"/>
      <c r="NGS158" s="1167"/>
      <c r="NGT158" s="1167"/>
      <c r="NGU158" s="1167"/>
      <c r="NGV158" s="1167"/>
      <c r="NGW158" s="1167"/>
      <c r="NGX158" s="1167"/>
      <c r="NGY158" s="1167"/>
      <c r="NGZ158" s="1167"/>
      <c r="NHA158" s="1167"/>
      <c r="NHB158" s="1142"/>
      <c r="NHC158" s="1142"/>
      <c r="NHD158" s="1142"/>
      <c r="NHE158" s="1142"/>
      <c r="NHF158" s="1142"/>
      <c r="NHG158" s="1142"/>
      <c r="NHH158" s="1142"/>
      <c r="NHI158" s="1142"/>
      <c r="NHJ158" s="1142"/>
      <c r="NHK158" s="1142"/>
      <c r="NHL158" s="1142"/>
      <c r="NHM158" s="1142"/>
      <c r="NHN158" s="1142"/>
      <c r="NHO158" s="1142"/>
      <c r="NHP158" s="1142"/>
      <c r="NHQ158" s="1142"/>
      <c r="NHR158" s="1142"/>
      <c r="NHS158" s="1142"/>
      <c r="NHT158" s="1142"/>
      <c r="NHU158" s="1142"/>
      <c r="NHV158" s="1142"/>
      <c r="NHW158" s="1142"/>
      <c r="NHX158" s="1142"/>
      <c r="NHY158" s="1167"/>
      <c r="NHZ158" s="1167"/>
      <c r="NIA158" s="1167"/>
      <c r="NIB158" s="1167"/>
      <c r="NIC158" s="1167"/>
      <c r="NID158" s="1167"/>
      <c r="NIE158" s="1167"/>
      <c r="NIF158" s="1167"/>
      <c r="NIG158" s="1167"/>
      <c r="NIH158" s="1142"/>
      <c r="NII158" s="1142"/>
      <c r="NIJ158" s="1142"/>
      <c r="NIK158" s="1142"/>
      <c r="NIL158" s="1142"/>
      <c r="NIM158" s="1142"/>
      <c r="NIN158" s="1142"/>
      <c r="NIO158" s="1142"/>
      <c r="NIP158" s="1142"/>
      <c r="NIQ158" s="1142"/>
      <c r="NIR158" s="1142"/>
      <c r="NIS158" s="1142"/>
      <c r="NIT158" s="1142"/>
      <c r="NIU158" s="1142"/>
      <c r="NIV158" s="1142"/>
      <c r="NIW158" s="1142"/>
      <c r="NIX158" s="1142"/>
      <c r="NIY158" s="1142"/>
      <c r="NIZ158" s="1142"/>
      <c r="NJA158" s="1142"/>
      <c r="NJB158" s="1142"/>
      <c r="NJC158" s="1142"/>
      <c r="NJD158" s="1142"/>
      <c r="NJE158" s="1167"/>
      <c r="NJF158" s="1167"/>
      <c r="NJG158" s="1167"/>
      <c r="NJH158" s="1167"/>
      <c r="NJI158" s="1167"/>
      <c r="NJJ158" s="1167"/>
      <c r="NJK158" s="1167"/>
      <c r="NJL158" s="1167"/>
      <c r="NJM158" s="1167"/>
      <c r="NJN158" s="1142"/>
      <c r="NJO158" s="1142"/>
      <c r="NJP158" s="1142"/>
      <c r="NJQ158" s="1142"/>
      <c r="NJR158" s="1142"/>
      <c r="NJS158" s="1142"/>
      <c r="NJT158" s="1142"/>
      <c r="NJU158" s="1142"/>
      <c r="NJV158" s="1142"/>
      <c r="NJW158" s="1142"/>
      <c r="NJX158" s="1142"/>
      <c r="NJY158" s="1142"/>
      <c r="NJZ158" s="1142"/>
      <c r="NKA158" s="1142"/>
      <c r="NKB158" s="1142"/>
      <c r="NKC158" s="1142"/>
      <c r="NKD158" s="1142"/>
      <c r="NKE158" s="1142"/>
      <c r="NKF158" s="1142"/>
      <c r="NKG158" s="1142"/>
      <c r="NKH158" s="1142"/>
      <c r="NKI158" s="1142"/>
      <c r="NKJ158" s="1142"/>
      <c r="NKK158" s="1167"/>
      <c r="NKL158" s="1167"/>
      <c r="NKM158" s="1167"/>
      <c r="NKN158" s="1167"/>
      <c r="NKO158" s="1167"/>
      <c r="NKP158" s="1167"/>
      <c r="NKQ158" s="1167"/>
      <c r="NKR158" s="1167"/>
      <c r="NKS158" s="1167"/>
      <c r="NKT158" s="1142"/>
      <c r="NKU158" s="1142"/>
      <c r="NKV158" s="1142"/>
      <c r="NKW158" s="1142"/>
      <c r="NKX158" s="1142"/>
      <c r="NKY158" s="1142"/>
      <c r="NKZ158" s="1142"/>
      <c r="NLA158" s="1142"/>
      <c r="NLB158" s="1142"/>
      <c r="NLC158" s="1142"/>
      <c r="NLD158" s="1142"/>
      <c r="NLE158" s="1142"/>
      <c r="NLF158" s="1142"/>
      <c r="NLG158" s="1142"/>
      <c r="NLH158" s="1142"/>
      <c r="NLI158" s="1142"/>
      <c r="NLJ158" s="1142"/>
      <c r="NLK158" s="1142"/>
      <c r="NLL158" s="1142"/>
      <c r="NLM158" s="1142"/>
      <c r="NLN158" s="1142"/>
      <c r="NLO158" s="1142"/>
      <c r="NLP158" s="1142"/>
      <c r="NLQ158" s="1167"/>
      <c r="NLR158" s="1167"/>
      <c r="NLS158" s="1167"/>
      <c r="NLT158" s="1167"/>
      <c r="NLU158" s="1167"/>
      <c r="NLV158" s="1167"/>
      <c r="NLW158" s="1167"/>
      <c r="NLX158" s="1167"/>
      <c r="NLY158" s="1167"/>
      <c r="NLZ158" s="1142"/>
      <c r="NMA158" s="1142"/>
      <c r="NMB158" s="1142"/>
      <c r="NMC158" s="1142"/>
      <c r="NMD158" s="1142"/>
      <c r="NME158" s="1142"/>
      <c r="NMF158" s="1142"/>
      <c r="NMG158" s="1142"/>
      <c r="NMH158" s="1142"/>
      <c r="NMI158" s="1142"/>
      <c r="NMJ158" s="1142"/>
      <c r="NMK158" s="1142"/>
      <c r="NML158" s="1142"/>
      <c r="NMM158" s="1142"/>
      <c r="NMN158" s="1142"/>
      <c r="NMO158" s="1142"/>
      <c r="NMP158" s="1142"/>
      <c r="NMQ158" s="1142"/>
      <c r="NMR158" s="1142"/>
      <c r="NMS158" s="1142"/>
      <c r="NMT158" s="1142"/>
      <c r="NMU158" s="1142"/>
      <c r="NMV158" s="1142"/>
      <c r="NMW158" s="1167"/>
      <c r="NMX158" s="1167"/>
      <c r="NMY158" s="1167"/>
      <c r="NMZ158" s="1167"/>
      <c r="NNA158" s="1167"/>
      <c r="NNB158" s="1167"/>
      <c r="NNC158" s="1167"/>
      <c r="NND158" s="1167"/>
      <c r="NNE158" s="1167"/>
      <c r="NNF158" s="1142"/>
      <c r="NNG158" s="1142"/>
      <c r="NNH158" s="1142"/>
      <c r="NNI158" s="1142"/>
      <c r="NNJ158" s="1142"/>
      <c r="NNK158" s="1142"/>
      <c r="NNL158" s="1142"/>
      <c r="NNM158" s="1142"/>
      <c r="NNN158" s="1142"/>
      <c r="NNO158" s="1142"/>
      <c r="NNP158" s="1142"/>
      <c r="NNQ158" s="1142"/>
      <c r="NNR158" s="1142"/>
      <c r="NNS158" s="1142"/>
      <c r="NNT158" s="1142"/>
      <c r="NNU158" s="1142"/>
      <c r="NNV158" s="1142"/>
      <c r="NNW158" s="1142"/>
      <c r="NNX158" s="1142"/>
      <c r="NNY158" s="1142"/>
      <c r="NNZ158" s="1142"/>
      <c r="NOA158" s="1142"/>
      <c r="NOB158" s="1142"/>
      <c r="NOC158" s="1167"/>
      <c r="NOD158" s="1167"/>
      <c r="NOE158" s="1167"/>
      <c r="NOF158" s="1167"/>
      <c r="NOG158" s="1167"/>
      <c r="NOH158" s="1167"/>
      <c r="NOI158" s="1167"/>
      <c r="NOJ158" s="1167"/>
      <c r="NOK158" s="1167"/>
      <c r="NOL158" s="1142"/>
      <c r="NOM158" s="1142"/>
      <c r="NON158" s="1142"/>
      <c r="NOO158" s="1142"/>
      <c r="NOP158" s="1142"/>
      <c r="NOQ158" s="1142"/>
      <c r="NOR158" s="1142"/>
      <c r="NOS158" s="1142"/>
      <c r="NOT158" s="1142"/>
      <c r="NOU158" s="1142"/>
      <c r="NOV158" s="1142"/>
      <c r="NOW158" s="1142"/>
      <c r="NOX158" s="1142"/>
      <c r="NOY158" s="1142"/>
      <c r="NOZ158" s="1142"/>
      <c r="NPA158" s="1142"/>
      <c r="NPB158" s="1142"/>
      <c r="NPC158" s="1142"/>
      <c r="NPD158" s="1142"/>
      <c r="NPE158" s="1142"/>
      <c r="NPF158" s="1142"/>
      <c r="NPG158" s="1142"/>
      <c r="NPH158" s="1142"/>
      <c r="NPI158" s="1167"/>
      <c r="NPJ158" s="1167"/>
      <c r="NPK158" s="1167"/>
      <c r="NPL158" s="1167"/>
      <c r="NPM158" s="1167"/>
      <c r="NPN158" s="1167"/>
      <c r="NPO158" s="1167"/>
      <c r="NPP158" s="1167"/>
      <c r="NPQ158" s="1167"/>
      <c r="NPR158" s="1142"/>
      <c r="NPS158" s="1142"/>
      <c r="NPT158" s="1142"/>
      <c r="NPU158" s="1142"/>
      <c r="NPV158" s="1142"/>
      <c r="NPW158" s="1142"/>
      <c r="NPX158" s="1142"/>
      <c r="NPY158" s="1142"/>
      <c r="NPZ158" s="1142"/>
      <c r="NQA158" s="1142"/>
      <c r="NQB158" s="1142"/>
      <c r="NQC158" s="1142"/>
      <c r="NQD158" s="1142"/>
      <c r="NQE158" s="1142"/>
      <c r="NQF158" s="1142"/>
      <c r="NQG158" s="1142"/>
      <c r="NQH158" s="1142"/>
      <c r="NQI158" s="1142"/>
      <c r="NQJ158" s="1142"/>
      <c r="NQK158" s="1142"/>
      <c r="NQL158" s="1142"/>
      <c r="NQM158" s="1142"/>
      <c r="NQN158" s="1142"/>
      <c r="NQO158" s="1167"/>
      <c r="NQP158" s="1167"/>
      <c r="NQQ158" s="1167"/>
      <c r="NQR158" s="1167"/>
      <c r="NQS158" s="1167"/>
      <c r="NQT158" s="1167"/>
      <c r="NQU158" s="1167"/>
      <c r="NQV158" s="1167"/>
      <c r="NQW158" s="1167"/>
      <c r="NQX158" s="1142"/>
      <c r="NQY158" s="1142"/>
      <c r="NQZ158" s="1142"/>
      <c r="NRA158" s="1142"/>
      <c r="NRB158" s="1142"/>
      <c r="NRC158" s="1142"/>
      <c r="NRD158" s="1142"/>
      <c r="NRE158" s="1142"/>
      <c r="NRF158" s="1142"/>
      <c r="NRG158" s="1142"/>
      <c r="NRH158" s="1142"/>
      <c r="NRI158" s="1142"/>
      <c r="NRJ158" s="1142"/>
      <c r="NRK158" s="1142"/>
      <c r="NRL158" s="1142"/>
      <c r="NRM158" s="1142"/>
      <c r="NRN158" s="1142"/>
      <c r="NRO158" s="1142"/>
      <c r="NRP158" s="1142"/>
      <c r="NRQ158" s="1142"/>
      <c r="NRR158" s="1142"/>
      <c r="NRS158" s="1142"/>
      <c r="NRT158" s="1142"/>
      <c r="NRU158" s="1167"/>
      <c r="NRV158" s="1167"/>
      <c r="NRW158" s="1167"/>
      <c r="NRX158" s="1167"/>
      <c r="NRY158" s="1167"/>
      <c r="NRZ158" s="1167"/>
      <c r="NSA158" s="1167"/>
      <c r="NSB158" s="1167"/>
      <c r="NSC158" s="1167"/>
      <c r="NSD158" s="1142"/>
      <c r="NSE158" s="1142"/>
      <c r="NSF158" s="1142"/>
      <c r="NSG158" s="1142"/>
      <c r="NSH158" s="1142"/>
      <c r="NSI158" s="1142"/>
      <c r="NSJ158" s="1142"/>
      <c r="NSK158" s="1142"/>
      <c r="NSL158" s="1142"/>
      <c r="NSM158" s="1142"/>
      <c r="NSN158" s="1142"/>
      <c r="NSO158" s="1142"/>
      <c r="NSP158" s="1142"/>
      <c r="NSQ158" s="1142"/>
      <c r="NSR158" s="1142"/>
      <c r="NSS158" s="1142"/>
      <c r="NST158" s="1142"/>
      <c r="NSU158" s="1142"/>
      <c r="NSV158" s="1142"/>
      <c r="NSW158" s="1142"/>
      <c r="NSX158" s="1142"/>
      <c r="NSY158" s="1142"/>
      <c r="NSZ158" s="1142"/>
      <c r="NTA158" s="1167"/>
      <c r="NTB158" s="1167"/>
      <c r="NTC158" s="1167"/>
      <c r="NTD158" s="1167"/>
      <c r="NTE158" s="1167"/>
      <c r="NTF158" s="1167"/>
      <c r="NTG158" s="1167"/>
      <c r="NTH158" s="1167"/>
      <c r="NTI158" s="1167"/>
      <c r="NTJ158" s="1142"/>
      <c r="NTK158" s="1142"/>
      <c r="NTL158" s="1142"/>
      <c r="NTM158" s="1142"/>
      <c r="NTN158" s="1142"/>
      <c r="NTO158" s="1142"/>
      <c r="NTP158" s="1142"/>
      <c r="NTQ158" s="1142"/>
      <c r="NTR158" s="1142"/>
      <c r="NTS158" s="1142"/>
      <c r="NTT158" s="1142"/>
      <c r="NTU158" s="1142"/>
      <c r="NTV158" s="1142"/>
      <c r="NTW158" s="1142"/>
      <c r="NTX158" s="1142"/>
      <c r="NTY158" s="1142"/>
      <c r="NTZ158" s="1142"/>
      <c r="NUA158" s="1142"/>
      <c r="NUB158" s="1142"/>
      <c r="NUC158" s="1142"/>
      <c r="NUD158" s="1142"/>
      <c r="NUE158" s="1142"/>
      <c r="NUF158" s="1142"/>
      <c r="NUG158" s="1167"/>
      <c r="NUH158" s="1167"/>
      <c r="NUI158" s="1167"/>
      <c r="NUJ158" s="1167"/>
      <c r="NUK158" s="1167"/>
      <c r="NUL158" s="1167"/>
      <c r="NUM158" s="1167"/>
      <c r="NUN158" s="1167"/>
      <c r="NUO158" s="1167"/>
      <c r="NUP158" s="1142"/>
      <c r="NUQ158" s="1142"/>
      <c r="NUR158" s="1142"/>
      <c r="NUS158" s="1142"/>
      <c r="NUT158" s="1142"/>
      <c r="NUU158" s="1142"/>
      <c r="NUV158" s="1142"/>
      <c r="NUW158" s="1142"/>
      <c r="NUX158" s="1142"/>
      <c r="NUY158" s="1142"/>
      <c r="NUZ158" s="1142"/>
      <c r="NVA158" s="1142"/>
      <c r="NVB158" s="1142"/>
      <c r="NVC158" s="1142"/>
      <c r="NVD158" s="1142"/>
      <c r="NVE158" s="1142"/>
      <c r="NVF158" s="1142"/>
      <c r="NVG158" s="1142"/>
      <c r="NVH158" s="1142"/>
      <c r="NVI158" s="1142"/>
      <c r="NVJ158" s="1142"/>
      <c r="NVK158" s="1142"/>
      <c r="NVL158" s="1142"/>
      <c r="NVM158" s="1167"/>
      <c r="NVN158" s="1167"/>
      <c r="NVO158" s="1167"/>
      <c r="NVP158" s="1167"/>
      <c r="NVQ158" s="1167"/>
      <c r="NVR158" s="1167"/>
      <c r="NVS158" s="1167"/>
      <c r="NVT158" s="1167"/>
      <c r="NVU158" s="1167"/>
      <c r="NVV158" s="1142"/>
      <c r="NVW158" s="1142"/>
      <c r="NVX158" s="1142"/>
      <c r="NVY158" s="1142"/>
      <c r="NVZ158" s="1142"/>
      <c r="NWA158" s="1142"/>
      <c r="NWB158" s="1142"/>
      <c r="NWC158" s="1142"/>
      <c r="NWD158" s="1142"/>
      <c r="NWE158" s="1142"/>
      <c r="NWF158" s="1142"/>
      <c r="NWG158" s="1142"/>
      <c r="NWH158" s="1142"/>
      <c r="NWI158" s="1142"/>
      <c r="NWJ158" s="1142"/>
      <c r="NWK158" s="1142"/>
      <c r="NWL158" s="1142"/>
      <c r="NWM158" s="1142"/>
      <c r="NWN158" s="1142"/>
      <c r="NWO158" s="1142"/>
      <c r="NWP158" s="1142"/>
      <c r="NWQ158" s="1142"/>
      <c r="NWR158" s="1142"/>
      <c r="NWS158" s="1167"/>
      <c r="NWT158" s="1167"/>
      <c r="NWU158" s="1167"/>
      <c r="NWV158" s="1167"/>
      <c r="NWW158" s="1167"/>
      <c r="NWX158" s="1167"/>
      <c r="NWY158" s="1167"/>
      <c r="NWZ158" s="1167"/>
      <c r="NXA158" s="1167"/>
      <c r="NXB158" s="1142"/>
      <c r="NXC158" s="1142"/>
      <c r="NXD158" s="1142"/>
      <c r="NXE158" s="1142"/>
      <c r="NXF158" s="1142"/>
      <c r="NXG158" s="1142"/>
      <c r="NXH158" s="1142"/>
      <c r="NXI158" s="1142"/>
      <c r="NXJ158" s="1142"/>
      <c r="NXK158" s="1142"/>
      <c r="NXL158" s="1142"/>
      <c r="NXM158" s="1142"/>
      <c r="NXN158" s="1142"/>
      <c r="NXO158" s="1142"/>
      <c r="NXP158" s="1142"/>
      <c r="NXQ158" s="1142"/>
      <c r="NXR158" s="1142"/>
      <c r="NXS158" s="1142"/>
      <c r="NXT158" s="1142"/>
      <c r="NXU158" s="1142"/>
      <c r="NXV158" s="1142"/>
      <c r="NXW158" s="1142"/>
      <c r="NXX158" s="1142"/>
      <c r="NXY158" s="1167"/>
      <c r="NXZ158" s="1167"/>
      <c r="NYA158" s="1167"/>
      <c r="NYB158" s="1167"/>
      <c r="NYC158" s="1167"/>
      <c r="NYD158" s="1167"/>
      <c r="NYE158" s="1167"/>
      <c r="NYF158" s="1167"/>
      <c r="NYG158" s="1167"/>
      <c r="NYH158" s="1142"/>
      <c r="NYI158" s="1142"/>
      <c r="NYJ158" s="1142"/>
      <c r="NYK158" s="1142"/>
      <c r="NYL158" s="1142"/>
      <c r="NYM158" s="1142"/>
      <c r="NYN158" s="1142"/>
      <c r="NYO158" s="1142"/>
      <c r="NYP158" s="1142"/>
      <c r="NYQ158" s="1142"/>
      <c r="NYR158" s="1142"/>
      <c r="NYS158" s="1142"/>
      <c r="NYT158" s="1142"/>
      <c r="NYU158" s="1142"/>
      <c r="NYV158" s="1142"/>
      <c r="NYW158" s="1142"/>
      <c r="NYX158" s="1142"/>
      <c r="NYY158" s="1142"/>
      <c r="NYZ158" s="1142"/>
      <c r="NZA158" s="1142"/>
      <c r="NZB158" s="1142"/>
      <c r="NZC158" s="1142"/>
      <c r="NZD158" s="1142"/>
      <c r="NZE158" s="1167"/>
      <c r="NZF158" s="1167"/>
      <c r="NZG158" s="1167"/>
      <c r="NZH158" s="1167"/>
      <c r="NZI158" s="1167"/>
      <c r="NZJ158" s="1167"/>
      <c r="NZK158" s="1167"/>
      <c r="NZL158" s="1167"/>
      <c r="NZM158" s="1167"/>
      <c r="NZN158" s="1142"/>
      <c r="NZO158" s="1142"/>
      <c r="NZP158" s="1142"/>
      <c r="NZQ158" s="1142"/>
      <c r="NZR158" s="1142"/>
      <c r="NZS158" s="1142"/>
      <c r="NZT158" s="1142"/>
      <c r="NZU158" s="1142"/>
      <c r="NZV158" s="1142"/>
      <c r="NZW158" s="1142"/>
      <c r="NZX158" s="1142"/>
      <c r="NZY158" s="1142"/>
      <c r="NZZ158" s="1142"/>
      <c r="OAA158" s="1142"/>
      <c r="OAB158" s="1142"/>
      <c r="OAC158" s="1142"/>
      <c r="OAD158" s="1142"/>
      <c r="OAE158" s="1142"/>
      <c r="OAF158" s="1142"/>
      <c r="OAG158" s="1142"/>
      <c r="OAH158" s="1142"/>
      <c r="OAI158" s="1142"/>
      <c r="OAJ158" s="1142"/>
      <c r="OAK158" s="1167"/>
      <c r="OAL158" s="1167"/>
      <c r="OAM158" s="1167"/>
      <c r="OAN158" s="1167"/>
      <c r="OAO158" s="1167"/>
      <c r="OAP158" s="1167"/>
      <c r="OAQ158" s="1167"/>
      <c r="OAR158" s="1167"/>
      <c r="OAS158" s="1167"/>
      <c r="OAT158" s="1142"/>
      <c r="OAU158" s="1142"/>
      <c r="OAV158" s="1142"/>
      <c r="OAW158" s="1142"/>
      <c r="OAX158" s="1142"/>
      <c r="OAY158" s="1142"/>
      <c r="OAZ158" s="1142"/>
      <c r="OBA158" s="1142"/>
      <c r="OBB158" s="1142"/>
      <c r="OBC158" s="1142"/>
      <c r="OBD158" s="1142"/>
      <c r="OBE158" s="1142"/>
      <c r="OBF158" s="1142"/>
      <c r="OBG158" s="1142"/>
      <c r="OBH158" s="1142"/>
      <c r="OBI158" s="1142"/>
      <c r="OBJ158" s="1142"/>
      <c r="OBK158" s="1142"/>
      <c r="OBL158" s="1142"/>
      <c r="OBM158" s="1142"/>
      <c r="OBN158" s="1142"/>
      <c r="OBO158" s="1142"/>
      <c r="OBP158" s="1142"/>
      <c r="OBQ158" s="1167"/>
      <c r="OBR158" s="1167"/>
      <c r="OBS158" s="1167"/>
      <c r="OBT158" s="1167"/>
      <c r="OBU158" s="1167"/>
      <c r="OBV158" s="1167"/>
      <c r="OBW158" s="1167"/>
      <c r="OBX158" s="1167"/>
      <c r="OBY158" s="1167"/>
      <c r="OBZ158" s="1142"/>
      <c r="OCA158" s="1142"/>
      <c r="OCB158" s="1142"/>
      <c r="OCC158" s="1142"/>
      <c r="OCD158" s="1142"/>
      <c r="OCE158" s="1142"/>
      <c r="OCF158" s="1142"/>
      <c r="OCG158" s="1142"/>
      <c r="OCH158" s="1142"/>
      <c r="OCI158" s="1142"/>
      <c r="OCJ158" s="1142"/>
      <c r="OCK158" s="1142"/>
      <c r="OCL158" s="1142"/>
      <c r="OCM158" s="1142"/>
      <c r="OCN158" s="1142"/>
      <c r="OCO158" s="1142"/>
      <c r="OCP158" s="1142"/>
      <c r="OCQ158" s="1142"/>
      <c r="OCR158" s="1142"/>
      <c r="OCS158" s="1142"/>
      <c r="OCT158" s="1142"/>
      <c r="OCU158" s="1142"/>
      <c r="OCV158" s="1142"/>
      <c r="OCW158" s="1167"/>
      <c r="OCX158" s="1167"/>
      <c r="OCY158" s="1167"/>
      <c r="OCZ158" s="1167"/>
      <c r="ODA158" s="1167"/>
      <c r="ODB158" s="1167"/>
      <c r="ODC158" s="1167"/>
      <c r="ODD158" s="1167"/>
      <c r="ODE158" s="1167"/>
      <c r="ODF158" s="1142"/>
      <c r="ODG158" s="1142"/>
      <c r="ODH158" s="1142"/>
      <c r="ODI158" s="1142"/>
      <c r="ODJ158" s="1142"/>
      <c r="ODK158" s="1142"/>
      <c r="ODL158" s="1142"/>
      <c r="ODM158" s="1142"/>
      <c r="ODN158" s="1142"/>
      <c r="ODO158" s="1142"/>
      <c r="ODP158" s="1142"/>
      <c r="ODQ158" s="1142"/>
      <c r="ODR158" s="1142"/>
      <c r="ODS158" s="1142"/>
      <c r="ODT158" s="1142"/>
      <c r="ODU158" s="1142"/>
      <c r="ODV158" s="1142"/>
      <c r="ODW158" s="1142"/>
      <c r="ODX158" s="1142"/>
      <c r="ODY158" s="1142"/>
      <c r="ODZ158" s="1142"/>
      <c r="OEA158" s="1142"/>
      <c r="OEB158" s="1142"/>
      <c r="OEC158" s="1167"/>
      <c r="OED158" s="1167"/>
      <c r="OEE158" s="1167"/>
      <c r="OEF158" s="1167"/>
      <c r="OEG158" s="1167"/>
      <c r="OEH158" s="1167"/>
      <c r="OEI158" s="1167"/>
      <c r="OEJ158" s="1167"/>
      <c r="OEK158" s="1167"/>
      <c r="OEL158" s="1142"/>
      <c r="OEM158" s="1142"/>
      <c r="OEN158" s="1142"/>
      <c r="OEO158" s="1142"/>
      <c r="OEP158" s="1142"/>
      <c r="OEQ158" s="1142"/>
      <c r="OER158" s="1142"/>
      <c r="OES158" s="1142"/>
      <c r="OET158" s="1142"/>
      <c r="OEU158" s="1142"/>
      <c r="OEV158" s="1142"/>
      <c r="OEW158" s="1142"/>
      <c r="OEX158" s="1142"/>
      <c r="OEY158" s="1142"/>
      <c r="OEZ158" s="1142"/>
      <c r="OFA158" s="1142"/>
      <c r="OFB158" s="1142"/>
      <c r="OFC158" s="1142"/>
      <c r="OFD158" s="1142"/>
      <c r="OFE158" s="1142"/>
      <c r="OFF158" s="1142"/>
      <c r="OFG158" s="1142"/>
      <c r="OFH158" s="1142"/>
      <c r="OFI158" s="1167"/>
      <c r="OFJ158" s="1167"/>
      <c r="OFK158" s="1167"/>
      <c r="OFL158" s="1167"/>
      <c r="OFM158" s="1167"/>
      <c r="OFN158" s="1167"/>
      <c r="OFO158" s="1167"/>
      <c r="OFP158" s="1167"/>
      <c r="OFQ158" s="1167"/>
      <c r="OFR158" s="1142"/>
      <c r="OFS158" s="1142"/>
      <c r="OFT158" s="1142"/>
      <c r="OFU158" s="1142"/>
      <c r="OFV158" s="1142"/>
      <c r="OFW158" s="1142"/>
      <c r="OFX158" s="1142"/>
      <c r="OFY158" s="1142"/>
      <c r="OFZ158" s="1142"/>
      <c r="OGA158" s="1142"/>
      <c r="OGB158" s="1142"/>
      <c r="OGC158" s="1142"/>
      <c r="OGD158" s="1142"/>
      <c r="OGE158" s="1142"/>
      <c r="OGF158" s="1142"/>
      <c r="OGG158" s="1142"/>
      <c r="OGH158" s="1142"/>
      <c r="OGI158" s="1142"/>
      <c r="OGJ158" s="1142"/>
      <c r="OGK158" s="1142"/>
      <c r="OGL158" s="1142"/>
      <c r="OGM158" s="1142"/>
      <c r="OGN158" s="1142"/>
      <c r="OGO158" s="1167"/>
      <c r="OGP158" s="1167"/>
      <c r="OGQ158" s="1167"/>
      <c r="OGR158" s="1167"/>
      <c r="OGS158" s="1167"/>
      <c r="OGT158" s="1167"/>
      <c r="OGU158" s="1167"/>
      <c r="OGV158" s="1167"/>
      <c r="OGW158" s="1167"/>
      <c r="OGX158" s="1142"/>
      <c r="OGY158" s="1142"/>
      <c r="OGZ158" s="1142"/>
      <c r="OHA158" s="1142"/>
      <c r="OHB158" s="1142"/>
      <c r="OHC158" s="1142"/>
      <c r="OHD158" s="1142"/>
      <c r="OHE158" s="1142"/>
      <c r="OHF158" s="1142"/>
      <c r="OHG158" s="1142"/>
      <c r="OHH158" s="1142"/>
      <c r="OHI158" s="1142"/>
      <c r="OHJ158" s="1142"/>
      <c r="OHK158" s="1142"/>
      <c r="OHL158" s="1142"/>
      <c r="OHM158" s="1142"/>
      <c r="OHN158" s="1142"/>
      <c r="OHO158" s="1142"/>
      <c r="OHP158" s="1142"/>
      <c r="OHQ158" s="1142"/>
      <c r="OHR158" s="1142"/>
      <c r="OHS158" s="1142"/>
      <c r="OHT158" s="1142"/>
      <c r="OHU158" s="1167"/>
      <c r="OHV158" s="1167"/>
      <c r="OHW158" s="1167"/>
      <c r="OHX158" s="1167"/>
      <c r="OHY158" s="1167"/>
      <c r="OHZ158" s="1167"/>
      <c r="OIA158" s="1167"/>
      <c r="OIB158" s="1167"/>
      <c r="OIC158" s="1167"/>
      <c r="OID158" s="1142"/>
      <c r="OIE158" s="1142"/>
      <c r="OIF158" s="1142"/>
      <c r="OIG158" s="1142"/>
      <c r="OIH158" s="1142"/>
      <c r="OII158" s="1142"/>
      <c r="OIJ158" s="1142"/>
      <c r="OIK158" s="1142"/>
      <c r="OIL158" s="1142"/>
      <c r="OIM158" s="1142"/>
      <c r="OIN158" s="1142"/>
      <c r="OIO158" s="1142"/>
      <c r="OIP158" s="1142"/>
      <c r="OIQ158" s="1142"/>
      <c r="OIR158" s="1142"/>
      <c r="OIS158" s="1142"/>
      <c r="OIT158" s="1142"/>
      <c r="OIU158" s="1142"/>
      <c r="OIV158" s="1142"/>
      <c r="OIW158" s="1142"/>
      <c r="OIX158" s="1142"/>
      <c r="OIY158" s="1142"/>
      <c r="OIZ158" s="1142"/>
      <c r="OJA158" s="1167"/>
      <c r="OJB158" s="1167"/>
      <c r="OJC158" s="1167"/>
      <c r="OJD158" s="1167"/>
      <c r="OJE158" s="1167"/>
      <c r="OJF158" s="1167"/>
      <c r="OJG158" s="1167"/>
      <c r="OJH158" s="1167"/>
      <c r="OJI158" s="1167"/>
      <c r="OJJ158" s="1142"/>
      <c r="OJK158" s="1142"/>
      <c r="OJL158" s="1142"/>
      <c r="OJM158" s="1142"/>
      <c r="OJN158" s="1142"/>
      <c r="OJO158" s="1142"/>
      <c r="OJP158" s="1142"/>
      <c r="OJQ158" s="1142"/>
      <c r="OJR158" s="1142"/>
      <c r="OJS158" s="1142"/>
      <c r="OJT158" s="1142"/>
      <c r="OJU158" s="1142"/>
      <c r="OJV158" s="1142"/>
      <c r="OJW158" s="1142"/>
      <c r="OJX158" s="1142"/>
      <c r="OJY158" s="1142"/>
      <c r="OJZ158" s="1142"/>
      <c r="OKA158" s="1142"/>
      <c r="OKB158" s="1142"/>
      <c r="OKC158" s="1142"/>
      <c r="OKD158" s="1142"/>
      <c r="OKE158" s="1142"/>
      <c r="OKF158" s="1142"/>
      <c r="OKG158" s="1167"/>
      <c r="OKH158" s="1167"/>
      <c r="OKI158" s="1167"/>
      <c r="OKJ158" s="1167"/>
      <c r="OKK158" s="1167"/>
      <c r="OKL158" s="1167"/>
      <c r="OKM158" s="1167"/>
      <c r="OKN158" s="1167"/>
      <c r="OKO158" s="1167"/>
      <c r="OKP158" s="1142"/>
      <c r="OKQ158" s="1142"/>
      <c r="OKR158" s="1142"/>
      <c r="OKS158" s="1142"/>
      <c r="OKT158" s="1142"/>
      <c r="OKU158" s="1142"/>
      <c r="OKV158" s="1142"/>
      <c r="OKW158" s="1142"/>
      <c r="OKX158" s="1142"/>
      <c r="OKY158" s="1142"/>
      <c r="OKZ158" s="1142"/>
      <c r="OLA158" s="1142"/>
      <c r="OLB158" s="1142"/>
      <c r="OLC158" s="1142"/>
      <c r="OLD158" s="1142"/>
      <c r="OLE158" s="1142"/>
      <c r="OLF158" s="1142"/>
      <c r="OLG158" s="1142"/>
      <c r="OLH158" s="1142"/>
      <c r="OLI158" s="1142"/>
      <c r="OLJ158" s="1142"/>
      <c r="OLK158" s="1142"/>
      <c r="OLL158" s="1142"/>
      <c r="OLM158" s="1167"/>
      <c r="OLN158" s="1167"/>
      <c r="OLO158" s="1167"/>
      <c r="OLP158" s="1167"/>
      <c r="OLQ158" s="1167"/>
      <c r="OLR158" s="1167"/>
      <c r="OLS158" s="1167"/>
      <c r="OLT158" s="1167"/>
      <c r="OLU158" s="1167"/>
      <c r="OLV158" s="1142"/>
      <c r="OLW158" s="1142"/>
      <c r="OLX158" s="1142"/>
      <c r="OLY158" s="1142"/>
      <c r="OLZ158" s="1142"/>
      <c r="OMA158" s="1142"/>
      <c r="OMB158" s="1142"/>
      <c r="OMC158" s="1142"/>
      <c r="OMD158" s="1142"/>
      <c r="OME158" s="1142"/>
      <c r="OMF158" s="1142"/>
      <c r="OMG158" s="1142"/>
      <c r="OMH158" s="1142"/>
      <c r="OMI158" s="1142"/>
      <c r="OMJ158" s="1142"/>
      <c r="OMK158" s="1142"/>
      <c r="OML158" s="1142"/>
      <c r="OMM158" s="1142"/>
      <c r="OMN158" s="1142"/>
      <c r="OMO158" s="1142"/>
      <c r="OMP158" s="1142"/>
      <c r="OMQ158" s="1142"/>
      <c r="OMR158" s="1142"/>
      <c r="OMS158" s="1167"/>
      <c r="OMT158" s="1167"/>
      <c r="OMU158" s="1167"/>
      <c r="OMV158" s="1167"/>
      <c r="OMW158" s="1167"/>
      <c r="OMX158" s="1167"/>
      <c r="OMY158" s="1167"/>
      <c r="OMZ158" s="1167"/>
      <c r="ONA158" s="1167"/>
      <c r="ONB158" s="1142"/>
      <c r="ONC158" s="1142"/>
      <c r="OND158" s="1142"/>
      <c r="ONE158" s="1142"/>
      <c r="ONF158" s="1142"/>
      <c r="ONG158" s="1142"/>
      <c r="ONH158" s="1142"/>
      <c r="ONI158" s="1142"/>
      <c r="ONJ158" s="1142"/>
      <c r="ONK158" s="1142"/>
      <c r="ONL158" s="1142"/>
      <c r="ONM158" s="1142"/>
      <c r="ONN158" s="1142"/>
      <c r="ONO158" s="1142"/>
      <c r="ONP158" s="1142"/>
      <c r="ONQ158" s="1142"/>
      <c r="ONR158" s="1142"/>
      <c r="ONS158" s="1142"/>
      <c r="ONT158" s="1142"/>
      <c r="ONU158" s="1142"/>
      <c r="ONV158" s="1142"/>
      <c r="ONW158" s="1142"/>
      <c r="ONX158" s="1142"/>
      <c r="ONY158" s="1167"/>
      <c r="ONZ158" s="1167"/>
      <c r="OOA158" s="1167"/>
      <c r="OOB158" s="1167"/>
      <c r="OOC158" s="1167"/>
      <c r="OOD158" s="1167"/>
      <c r="OOE158" s="1167"/>
      <c r="OOF158" s="1167"/>
      <c r="OOG158" s="1167"/>
      <c r="OOH158" s="1142"/>
      <c r="OOI158" s="1142"/>
      <c r="OOJ158" s="1142"/>
      <c r="OOK158" s="1142"/>
      <c r="OOL158" s="1142"/>
      <c r="OOM158" s="1142"/>
      <c r="OON158" s="1142"/>
      <c r="OOO158" s="1142"/>
      <c r="OOP158" s="1142"/>
      <c r="OOQ158" s="1142"/>
      <c r="OOR158" s="1142"/>
      <c r="OOS158" s="1142"/>
      <c r="OOT158" s="1142"/>
      <c r="OOU158" s="1142"/>
      <c r="OOV158" s="1142"/>
      <c r="OOW158" s="1142"/>
      <c r="OOX158" s="1142"/>
      <c r="OOY158" s="1142"/>
      <c r="OOZ158" s="1142"/>
      <c r="OPA158" s="1142"/>
      <c r="OPB158" s="1142"/>
      <c r="OPC158" s="1142"/>
      <c r="OPD158" s="1142"/>
      <c r="OPE158" s="1167"/>
      <c r="OPF158" s="1167"/>
      <c r="OPG158" s="1167"/>
      <c r="OPH158" s="1167"/>
      <c r="OPI158" s="1167"/>
      <c r="OPJ158" s="1167"/>
      <c r="OPK158" s="1167"/>
      <c r="OPL158" s="1167"/>
      <c r="OPM158" s="1167"/>
      <c r="OPN158" s="1142"/>
      <c r="OPO158" s="1142"/>
      <c r="OPP158" s="1142"/>
      <c r="OPQ158" s="1142"/>
      <c r="OPR158" s="1142"/>
      <c r="OPS158" s="1142"/>
      <c r="OPT158" s="1142"/>
      <c r="OPU158" s="1142"/>
      <c r="OPV158" s="1142"/>
      <c r="OPW158" s="1142"/>
      <c r="OPX158" s="1142"/>
      <c r="OPY158" s="1142"/>
      <c r="OPZ158" s="1142"/>
      <c r="OQA158" s="1142"/>
      <c r="OQB158" s="1142"/>
      <c r="OQC158" s="1142"/>
      <c r="OQD158" s="1142"/>
      <c r="OQE158" s="1142"/>
      <c r="OQF158" s="1142"/>
      <c r="OQG158" s="1142"/>
      <c r="OQH158" s="1142"/>
      <c r="OQI158" s="1142"/>
      <c r="OQJ158" s="1142"/>
      <c r="OQK158" s="1167"/>
      <c r="OQL158" s="1167"/>
      <c r="OQM158" s="1167"/>
      <c r="OQN158" s="1167"/>
      <c r="OQO158" s="1167"/>
      <c r="OQP158" s="1167"/>
      <c r="OQQ158" s="1167"/>
      <c r="OQR158" s="1167"/>
      <c r="OQS158" s="1167"/>
      <c r="OQT158" s="1142"/>
      <c r="OQU158" s="1142"/>
      <c r="OQV158" s="1142"/>
      <c r="OQW158" s="1142"/>
      <c r="OQX158" s="1142"/>
      <c r="OQY158" s="1142"/>
      <c r="OQZ158" s="1142"/>
      <c r="ORA158" s="1142"/>
      <c r="ORB158" s="1142"/>
      <c r="ORC158" s="1142"/>
      <c r="ORD158" s="1142"/>
      <c r="ORE158" s="1142"/>
      <c r="ORF158" s="1142"/>
      <c r="ORG158" s="1142"/>
      <c r="ORH158" s="1142"/>
      <c r="ORI158" s="1142"/>
      <c r="ORJ158" s="1142"/>
      <c r="ORK158" s="1142"/>
      <c r="ORL158" s="1142"/>
      <c r="ORM158" s="1142"/>
      <c r="ORN158" s="1142"/>
      <c r="ORO158" s="1142"/>
      <c r="ORP158" s="1142"/>
      <c r="ORQ158" s="1167"/>
      <c r="ORR158" s="1167"/>
      <c r="ORS158" s="1167"/>
      <c r="ORT158" s="1167"/>
      <c r="ORU158" s="1167"/>
      <c r="ORV158" s="1167"/>
      <c r="ORW158" s="1167"/>
      <c r="ORX158" s="1167"/>
      <c r="ORY158" s="1167"/>
      <c r="ORZ158" s="1142"/>
      <c r="OSA158" s="1142"/>
      <c r="OSB158" s="1142"/>
      <c r="OSC158" s="1142"/>
      <c r="OSD158" s="1142"/>
      <c r="OSE158" s="1142"/>
      <c r="OSF158" s="1142"/>
      <c r="OSG158" s="1142"/>
      <c r="OSH158" s="1142"/>
      <c r="OSI158" s="1142"/>
      <c r="OSJ158" s="1142"/>
      <c r="OSK158" s="1142"/>
      <c r="OSL158" s="1142"/>
      <c r="OSM158" s="1142"/>
      <c r="OSN158" s="1142"/>
      <c r="OSO158" s="1142"/>
      <c r="OSP158" s="1142"/>
      <c r="OSQ158" s="1142"/>
      <c r="OSR158" s="1142"/>
      <c r="OSS158" s="1142"/>
      <c r="OST158" s="1142"/>
      <c r="OSU158" s="1142"/>
      <c r="OSV158" s="1142"/>
      <c r="OSW158" s="1167"/>
      <c r="OSX158" s="1167"/>
      <c r="OSY158" s="1167"/>
      <c r="OSZ158" s="1167"/>
      <c r="OTA158" s="1167"/>
      <c r="OTB158" s="1167"/>
      <c r="OTC158" s="1167"/>
      <c r="OTD158" s="1167"/>
      <c r="OTE158" s="1167"/>
      <c r="OTF158" s="1142"/>
      <c r="OTG158" s="1142"/>
      <c r="OTH158" s="1142"/>
      <c r="OTI158" s="1142"/>
      <c r="OTJ158" s="1142"/>
      <c r="OTK158" s="1142"/>
      <c r="OTL158" s="1142"/>
      <c r="OTM158" s="1142"/>
      <c r="OTN158" s="1142"/>
      <c r="OTO158" s="1142"/>
      <c r="OTP158" s="1142"/>
      <c r="OTQ158" s="1142"/>
      <c r="OTR158" s="1142"/>
      <c r="OTS158" s="1142"/>
      <c r="OTT158" s="1142"/>
      <c r="OTU158" s="1142"/>
      <c r="OTV158" s="1142"/>
      <c r="OTW158" s="1142"/>
      <c r="OTX158" s="1142"/>
      <c r="OTY158" s="1142"/>
      <c r="OTZ158" s="1142"/>
      <c r="OUA158" s="1142"/>
      <c r="OUB158" s="1142"/>
      <c r="OUC158" s="1167"/>
      <c r="OUD158" s="1167"/>
      <c r="OUE158" s="1167"/>
      <c r="OUF158" s="1167"/>
      <c r="OUG158" s="1167"/>
      <c r="OUH158" s="1167"/>
      <c r="OUI158" s="1167"/>
      <c r="OUJ158" s="1167"/>
      <c r="OUK158" s="1167"/>
      <c r="OUL158" s="1142"/>
      <c r="OUM158" s="1142"/>
      <c r="OUN158" s="1142"/>
      <c r="OUO158" s="1142"/>
      <c r="OUP158" s="1142"/>
      <c r="OUQ158" s="1142"/>
      <c r="OUR158" s="1142"/>
      <c r="OUS158" s="1142"/>
      <c r="OUT158" s="1142"/>
      <c r="OUU158" s="1142"/>
      <c r="OUV158" s="1142"/>
      <c r="OUW158" s="1142"/>
      <c r="OUX158" s="1142"/>
      <c r="OUY158" s="1142"/>
      <c r="OUZ158" s="1142"/>
      <c r="OVA158" s="1142"/>
      <c r="OVB158" s="1142"/>
      <c r="OVC158" s="1142"/>
      <c r="OVD158" s="1142"/>
      <c r="OVE158" s="1142"/>
      <c r="OVF158" s="1142"/>
      <c r="OVG158" s="1142"/>
      <c r="OVH158" s="1142"/>
      <c r="OVI158" s="1167"/>
      <c r="OVJ158" s="1167"/>
      <c r="OVK158" s="1167"/>
      <c r="OVL158" s="1167"/>
      <c r="OVM158" s="1167"/>
      <c r="OVN158" s="1167"/>
      <c r="OVO158" s="1167"/>
      <c r="OVP158" s="1167"/>
      <c r="OVQ158" s="1167"/>
      <c r="OVR158" s="1142"/>
      <c r="OVS158" s="1142"/>
      <c r="OVT158" s="1142"/>
      <c r="OVU158" s="1142"/>
      <c r="OVV158" s="1142"/>
      <c r="OVW158" s="1142"/>
      <c r="OVX158" s="1142"/>
      <c r="OVY158" s="1142"/>
      <c r="OVZ158" s="1142"/>
      <c r="OWA158" s="1142"/>
      <c r="OWB158" s="1142"/>
      <c r="OWC158" s="1142"/>
      <c r="OWD158" s="1142"/>
      <c r="OWE158" s="1142"/>
      <c r="OWF158" s="1142"/>
      <c r="OWG158" s="1142"/>
      <c r="OWH158" s="1142"/>
      <c r="OWI158" s="1142"/>
      <c r="OWJ158" s="1142"/>
      <c r="OWK158" s="1142"/>
      <c r="OWL158" s="1142"/>
      <c r="OWM158" s="1142"/>
      <c r="OWN158" s="1142"/>
      <c r="OWO158" s="1167"/>
      <c r="OWP158" s="1167"/>
      <c r="OWQ158" s="1167"/>
      <c r="OWR158" s="1167"/>
      <c r="OWS158" s="1167"/>
      <c r="OWT158" s="1167"/>
      <c r="OWU158" s="1167"/>
      <c r="OWV158" s="1167"/>
      <c r="OWW158" s="1167"/>
      <c r="OWX158" s="1142"/>
      <c r="OWY158" s="1142"/>
      <c r="OWZ158" s="1142"/>
      <c r="OXA158" s="1142"/>
      <c r="OXB158" s="1142"/>
      <c r="OXC158" s="1142"/>
      <c r="OXD158" s="1142"/>
      <c r="OXE158" s="1142"/>
      <c r="OXF158" s="1142"/>
      <c r="OXG158" s="1142"/>
      <c r="OXH158" s="1142"/>
      <c r="OXI158" s="1142"/>
      <c r="OXJ158" s="1142"/>
      <c r="OXK158" s="1142"/>
      <c r="OXL158" s="1142"/>
      <c r="OXM158" s="1142"/>
      <c r="OXN158" s="1142"/>
      <c r="OXO158" s="1142"/>
      <c r="OXP158" s="1142"/>
      <c r="OXQ158" s="1142"/>
      <c r="OXR158" s="1142"/>
      <c r="OXS158" s="1142"/>
      <c r="OXT158" s="1142"/>
      <c r="OXU158" s="1167"/>
      <c r="OXV158" s="1167"/>
      <c r="OXW158" s="1167"/>
      <c r="OXX158" s="1167"/>
      <c r="OXY158" s="1167"/>
      <c r="OXZ158" s="1167"/>
      <c r="OYA158" s="1167"/>
      <c r="OYB158" s="1167"/>
      <c r="OYC158" s="1167"/>
      <c r="OYD158" s="1142"/>
      <c r="OYE158" s="1142"/>
      <c r="OYF158" s="1142"/>
      <c r="OYG158" s="1142"/>
      <c r="OYH158" s="1142"/>
      <c r="OYI158" s="1142"/>
      <c r="OYJ158" s="1142"/>
      <c r="OYK158" s="1142"/>
      <c r="OYL158" s="1142"/>
      <c r="OYM158" s="1142"/>
      <c r="OYN158" s="1142"/>
      <c r="OYO158" s="1142"/>
      <c r="OYP158" s="1142"/>
      <c r="OYQ158" s="1142"/>
      <c r="OYR158" s="1142"/>
      <c r="OYS158" s="1142"/>
      <c r="OYT158" s="1142"/>
      <c r="OYU158" s="1142"/>
      <c r="OYV158" s="1142"/>
      <c r="OYW158" s="1142"/>
      <c r="OYX158" s="1142"/>
      <c r="OYY158" s="1142"/>
      <c r="OYZ158" s="1142"/>
      <c r="OZA158" s="1167"/>
      <c r="OZB158" s="1167"/>
      <c r="OZC158" s="1167"/>
      <c r="OZD158" s="1167"/>
      <c r="OZE158" s="1167"/>
      <c r="OZF158" s="1167"/>
      <c r="OZG158" s="1167"/>
      <c r="OZH158" s="1167"/>
      <c r="OZI158" s="1167"/>
      <c r="OZJ158" s="1142"/>
      <c r="OZK158" s="1142"/>
      <c r="OZL158" s="1142"/>
      <c r="OZM158" s="1142"/>
      <c r="OZN158" s="1142"/>
      <c r="OZO158" s="1142"/>
      <c r="OZP158" s="1142"/>
      <c r="OZQ158" s="1142"/>
      <c r="OZR158" s="1142"/>
      <c r="OZS158" s="1142"/>
      <c r="OZT158" s="1142"/>
      <c r="OZU158" s="1142"/>
      <c r="OZV158" s="1142"/>
      <c r="OZW158" s="1142"/>
      <c r="OZX158" s="1142"/>
      <c r="OZY158" s="1142"/>
      <c r="OZZ158" s="1142"/>
      <c r="PAA158" s="1142"/>
      <c r="PAB158" s="1142"/>
      <c r="PAC158" s="1142"/>
      <c r="PAD158" s="1142"/>
      <c r="PAE158" s="1142"/>
      <c r="PAF158" s="1142"/>
      <c r="PAG158" s="1167"/>
      <c r="PAH158" s="1167"/>
      <c r="PAI158" s="1167"/>
      <c r="PAJ158" s="1167"/>
      <c r="PAK158" s="1167"/>
      <c r="PAL158" s="1167"/>
      <c r="PAM158" s="1167"/>
      <c r="PAN158" s="1167"/>
      <c r="PAO158" s="1167"/>
      <c r="PAP158" s="1142"/>
      <c r="PAQ158" s="1142"/>
      <c r="PAR158" s="1142"/>
      <c r="PAS158" s="1142"/>
      <c r="PAT158" s="1142"/>
      <c r="PAU158" s="1142"/>
      <c r="PAV158" s="1142"/>
      <c r="PAW158" s="1142"/>
      <c r="PAX158" s="1142"/>
      <c r="PAY158" s="1142"/>
      <c r="PAZ158" s="1142"/>
      <c r="PBA158" s="1142"/>
      <c r="PBB158" s="1142"/>
      <c r="PBC158" s="1142"/>
      <c r="PBD158" s="1142"/>
      <c r="PBE158" s="1142"/>
      <c r="PBF158" s="1142"/>
      <c r="PBG158" s="1142"/>
      <c r="PBH158" s="1142"/>
      <c r="PBI158" s="1142"/>
      <c r="PBJ158" s="1142"/>
      <c r="PBK158" s="1142"/>
      <c r="PBL158" s="1142"/>
      <c r="PBM158" s="1167"/>
      <c r="PBN158" s="1167"/>
      <c r="PBO158" s="1167"/>
      <c r="PBP158" s="1167"/>
      <c r="PBQ158" s="1167"/>
      <c r="PBR158" s="1167"/>
      <c r="PBS158" s="1167"/>
      <c r="PBT158" s="1167"/>
      <c r="PBU158" s="1167"/>
      <c r="PBV158" s="1142"/>
      <c r="PBW158" s="1142"/>
      <c r="PBX158" s="1142"/>
      <c r="PBY158" s="1142"/>
      <c r="PBZ158" s="1142"/>
      <c r="PCA158" s="1142"/>
      <c r="PCB158" s="1142"/>
      <c r="PCC158" s="1142"/>
      <c r="PCD158" s="1142"/>
      <c r="PCE158" s="1142"/>
      <c r="PCF158" s="1142"/>
      <c r="PCG158" s="1142"/>
      <c r="PCH158" s="1142"/>
      <c r="PCI158" s="1142"/>
      <c r="PCJ158" s="1142"/>
      <c r="PCK158" s="1142"/>
      <c r="PCL158" s="1142"/>
      <c r="PCM158" s="1142"/>
      <c r="PCN158" s="1142"/>
      <c r="PCO158" s="1142"/>
      <c r="PCP158" s="1142"/>
      <c r="PCQ158" s="1142"/>
      <c r="PCR158" s="1142"/>
      <c r="PCS158" s="1167"/>
      <c r="PCT158" s="1167"/>
      <c r="PCU158" s="1167"/>
      <c r="PCV158" s="1167"/>
      <c r="PCW158" s="1167"/>
      <c r="PCX158" s="1167"/>
      <c r="PCY158" s="1167"/>
      <c r="PCZ158" s="1167"/>
      <c r="PDA158" s="1167"/>
      <c r="PDB158" s="1142"/>
      <c r="PDC158" s="1142"/>
      <c r="PDD158" s="1142"/>
      <c r="PDE158" s="1142"/>
      <c r="PDF158" s="1142"/>
      <c r="PDG158" s="1142"/>
      <c r="PDH158" s="1142"/>
      <c r="PDI158" s="1142"/>
      <c r="PDJ158" s="1142"/>
      <c r="PDK158" s="1142"/>
      <c r="PDL158" s="1142"/>
      <c r="PDM158" s="1142"/>
      <c r="PDN158" s="1142"/>
      <c r="PDO158" s="1142"/>
      <c r="PDP158" s="1142"/>
      <c r="PDQ158" s="1142"/>
      <c r="PDR158" s="1142"/>
      <c r="PDS158" s="1142"/>
      <c r="PDT158" s="1142"/>
      <c r="PDU158" s="1142"/>
      <c r="PDV158" s="1142"/>
      <c r="PDW158" s="1142"/>
      <c r="PDX158" s="1142"/>
      <c r="PDY158" s="1167"/>
      <c r="PDZ158" s="1167"/>
      <c r="PEA158" s="1167"/>
      <c r="PEB158" s="1167"/>
      <c r="PEC158" s="1167"/>
      <c r="PED158" s="1167"/>
      <c r="PEE158" s="1167"/>
      <c r="PEF158" s="1167"/>
      <c r="PEG158" s="1167"/>
      <c r="PEH158" s="1142"/>
      <c r="PEI158" s="1142"/>
      <c r="PEJ158" s="1142"/>
      <c r="PEK158" s="1142"/>
      <c r="PEL158" s="1142"/>
      <c r="PEM158" s="1142"/>
      <c r="PEN158" s="1142"/>
      <c r="PEO158" s="1142"/>
      <c r="PEP158" s="1142"/>
      <c r="PEQ158" s="1142"/>
      <c r="PER158" s="1142"/>
      <c r="PES158" s="1142"/>
      <c r="PET158" s="1142"/>
      <c r="PEU158" s="1142"/>
      <c r="PEV158" s="1142"/>
      <c r="PEW158" s="1142"/>
      <c r="PEX158" s="1142"/>
      <c r="PEY158" s="1142"/>
      <c r="PEZ158" s="1142"/>
      <c r="PFA158" s="1142"/>
      <c r="PFB158" s="1142"/>
      <c r="PFC158" s="1142"/>
      <c r="PFD158" s="1142"/>
      <c r="PFE158" s="1167"/>
      <c r="PFF158" s="1167"/>
      <c r="PFG158" s="1167"/>
      <c r="PFH158" s="1167"/>
      <c r="PFI158" s="1167"/>
      <c r="PFJ158" s="1167"/>
      <c r="PFK158" s="1167"/>
      <c r="PFL158" s="1167"/>
      <c r="PFM158" s="1167"/>
      <c r="PFN158" s="1142"/>
      <c r="PFO158" s="1142"/>
      <c r="PFP158" s="1142"/>
      <c r="PFQ158" s="1142"/>
      <c r="PFR158" s="1142"/>
      <c r="PFS158" s="1142"/>
      <c r="PFT158" s="1142"/>
      <c r="PFU158" s="1142"/>
      <c r="PFV158" s="1142"/>
      <c r="PFW158" s="1142"/>
      <c r="PFX158" s="1142"/>
      <c r="PFY158" s="1142"/>
      <c r="PFZ158" s="1142"/>
      <c r="PGA158" s="1142"/>
      <c r="PGB158" s="1142"/>
      <c r="PGC158" s="1142"/>
      <c r="PGD158" s="1142"/>
      <c r="PGE158" s="1142"/>
      <c r="PGF158" s="1142"/>
      <c r="PGG158" s="1142"/>
      <c r="PGH158" s="1142"/>
      <c r="PGI158" s="1142"/>
      <c r="PGJ158" s="1142"/>
      <c r="PGK158" s="1167"/>
      <c r="PGL158" s="1167"/>
      <c r="PGM158" s="1167"/>
      <c r="PGN158" s="1167"/>
      <c r="PGO158" s="1167"/>
      <c r="PGP158" s="1167"/>
      <c r="PGQ158" s="1167"/>
      <c r="PGR158" s="1167"/>
      <c r="PGS158" s="1167"/>
      <c r="PGT158" s="1142"/>
      <c r="PGU158" s="1142"/>
      <c r="PGV158" s="1142"/>
      <c r="PGW158" s="1142"/>
      <c r="PGX158" s="1142"/>
      <c r="PGY158" s="1142"/>
      <c r="PGZ158" s="1142"/>
      <c r="PHA158" s="1142"/>
      <c r="PHB158" s="1142"/>
      <c r="PHC158" s="1142"/>
      <c r="PHD158" s="1142"/>
      <c r="PHE158" s="1142"/>
      <c r="PHF158" s="1142"/>
      <c r="PHG158" s="1142"/>
      <c r="PHH158" s="1142"/>
      <c r="PHI158" s="1142"/>
      <c r="PHJ158" s="1142"/>
      <c r="PHK158" s="1142"/>
      <c r="PHL158" s="1142"/>
      <c r="PHM158" s="1142"/>
      <c r="PHN158" s="1142"/>
      <c r="PHO158" s="1142"/>
      <c r="PHP158" s="1142"/>
      <c r="PHQ158" s="1167"/>
      <c r="PHR158" s="1167"/>
      <c r="PHS158" s="1167"/>
      <c r="PHT158" s="1167"/>
      <c r="PHU158" s="1167"/>
      <c r="PHV158" s="1167"/>
      <c r="PHW158" s="1167"/>
      <c r="PHX158" s="1167"/>
      <c r="PHY158" s="1167"/>
      <c r="PHZ158" s="1142"/>
      <c r="PIA158" s="1142"/>
      <c r="PIB158" s="1142"/>
      <c r="PIC158" s="1142"/>
      <c r="PID158" s="1142"/>
      <c r="PIE158" s="1142"/>
      <c r="PIF158" s="1142"/>
      <c r="PIG158" s="1142"/>
      <c r="PIH158" s="1142"/>
      <c r="PII158" s="1142"/>
      <c r="PIJ158" s="1142"/>
      <c r="PIK158" s="1142"/>
      <c r="PIL158" s="1142"/>
      <c r="PIM158" s="1142"/>
      <c r="PIN158" s="1142"/>
      <c r="PIO158" s="1142"/>
      <c r="PIP158" s="1142"/>
      <c r="PIQ158" s="1142"/>
      <c r="PIR158" s="1142"/>
      <c r="PIS158" s="1142"/>
      <c r="PIT158" s="1142"/>
      <c r="PIU158" s="1142"/>
      <c r="PIV158" s="1142"/>
      <c r="PIW158" s="1167"/>
      <c r="PIX158" s="1167"/>
      <c r="PIY158" s="1167"/>
      <c r="PIZ158" s="1167"/>
      <c r="PJA158" s="1167"/>
      <c r="PJB158" s="1167"/>
      <c r="PJC158" s="1167"/>
      <c r="PJD158" s="1167"/>
      <c r="PJE158" s="1167"/>
      <c r="PJF158" s="1142"/>
      <c r="PJG158" s="1142"/>
      <c r="PJH158" s="1142"/>
      <c r="PJI158" s="1142"/>
      <c r="PJJ158" s="1142"/>
      <c r="PJK158" s="1142"/>
      <c r="PJL158" s="1142"/>
      <c r="PJM158" s="1142"/>
      <c r="PJN158" s="1142"/>
      <c r="PJO158" s="1142"/>
      <c r="PJP158" s="1142"/>
      <c r="PJQ158" s="1142"/>
      <c r="PJR158" s="1142"/>
      <c r="PJS158" s="1142"/>
      <c r="PJT158" s="1142"/>
      <c r="PJU158" s="1142"/>
      <c r="PJV158" s="1142"/>
      <c r="PJW158" s="1142"/>
      <c r="PJX158" s="1142"/>
      <c r="PJY158" s="1142"/>
      <c r="PJZ158" s="1142"/>
      <c r="PKA158" s="1142"/>
      <c r="PKB158" s="1142"/>
      <c r="PKC158" s="1167"/>
      <c r="PKD158" s="1167"/>
      <c r="PKE158" s="1167"/>
      <c r="PKF158" s="1167"/>
      <c r="PKG158" s="1167"/>
      <c r="PKH158" s="1167"/>
      <c r="PKI158" s="1167"/>
      <c r="PKJ158" s="1167"/>
      <c r="PKK158" s="1167"/>
      <c r="PKL158" s="1142"/>
      <c r="PKM158" s="1142"/>
      <c r="PKN158" s="1142"/>
      <c r="PKO158" s="1142"/>
      <c r="PKP158" s="1142"/>
      <c r="PKQ158" s="1142"/>
      <c r="PKR158" s="1142"/>
      <c r="PKS158" s="1142"/>
      <c r="PKT158" s="1142"/>
      <c r="PKU158" s="1142"/>
      <c r="PKV158" s="1142"/>
      <c r="PKW158" s="1142"/>
      <c r="PKX158" s="1142"/>
      <c r="PKY158" s="1142"/>
      <c r="PKZ158" s="1142"/>
      <c r="PLA158" s="1142"/>
      <c r="PLB158" s="1142"/>
      <c r="PLC158" s="1142"/>
      <c r="PLD158" s="1142"/>
      <c r="PLE158" s="1142"/>
      <c r="PLF158" s="1142"/>
      <c r="PLG158" s="1142"/>
      <c r="PLH158" s="1142"/>
      <c r="PLI158" s="1167"/>
      <c r="PLJ158" s="1167"/>
      <c r="PLK158" s="1167"/>
      <c r="PLL158" s="1167"/>
      <c r="PLM158" s="1167"/>
      <c r="PLN158" s="1167"/>
      <c r="PLO158" s="1167"/>
      <c r="PLP158" s="1167"/>
      <c r="PLQ158" s="1167"/>
      <c r="PLR158" s="1142"/>
      <c r="PLS158" s="1142"/>
      <c r="PLT158" s="1142"/>
      <c r="PLU158" s="1142"/>
      <c r="PLV158" s="1142"/>
      <c r="PLW158" s="1142"/>
      <c r="PLX158" s="1142"/>
      <c r="PLY158" s="1142"/>
      <c r="PLZ158" s="1142"/>
      <c r="PMA158" s="1142"/>
      <c r="PMB158" s="1142"/>
      <c r="PMC158" s="1142"/>
      <c r="PMD158" s="1142"/>
      <c r="PME158" s="1142"/>
      <c r="PMF158" s="1142"/>
      <c r="PMG158" s="1142"/>
      <c r="PMH158" s="1142"/>
      <c r="PMI158" s="1142"/>
      <c r="PMJ158" s="1142"/>
      <c r="PMK158" s="1142"/>
      <c r="PML158" s="1142"/>
      <c r="PMM158" s="1142"/>
      <c r="PMN158" s="1142"/>
      <c r="PMO158" s="1167"/>
      <c r="PMP158" s="1167"/>
      <c r="PMQ158" s="1167"/>
      <c r="PMR158" s="1167"/>
      <c r="PMS158" s="1167"/>
      <c r="PMT158" s="1167"/>
      <c r="PMU158" s="1167"/>
      <c r="PMV158" s="1167"/>
      <c r="PMW158" s="1167"/>
      <c r="PMX158" s="1142"/>
      <c r="PMY158" s="1142"/>
      <c r="PMZ158" s="1142"/>
      <c r="PNA158" s="1142"/>
      <c r="PNB158" s="1142"/>
      <c r="PNC158" s="1142"/>
      <c r="PND158" s="1142"/>
      <c r="PNE158" s="1142"/>
      <c r="PNF158" s="1142"/>
      <c r="PNG158" s="1142"/>
      <c r="PNH158" s="1142"/>
      <c r="PNI158" s="1142"/>
      <c r="PNJ158" s="1142"/>
      <c r="PNK158" s="1142"/>
      <c r="PNL158" s="1142"/>
      <c r="PNM158" s="1142"/>
      <c r="PNN158" s="1142"/>
      <c r="PNO158" s="1142"/>
      <c r="PNP158" s="1142"/>
      <c r="PNQ158" s="1142"/>
      <c r="PNR158" s="1142"/>
      <c r="PNS158" s="1142"/>
      <c r="PNT158" s="1142"/>
      <c r="PNU158" s="1167"/>
      <c r="PNV158" s="1167"/>
      <c r="PNW158" s="1167"/>
      <c r="PNX158" s="1167"/>
      <c r="PNY158" s="1167"/>
      <c r="PNZ158" s="1167"/>
      <c r="POA158" s="1167"/>
      <c r="POB158" s="1167"/>
      <c r="POC158" s="1167"/>
      <c r="POD158" s="1142"/>
      <c r="POE158" s="1142"/>
      <c r="POF158" s="1142"/>
      <c r="POG158" s="1142"/>
      <c r="POH158" s="1142"/>
      <c r="POI158" s="1142"/>
      <c r="POJ158" s="1142"/>
      <c r="POK158" s="1142"/>
      <c r="POL158" s="1142"/>
      <c r="POM158" s="1142"/>
      <c r="PON158" s="1142"/>
      <c r="POO158" s="1142"/>
      <c r="POP158" s="1142"/>
      <c r="POQ158" s="1142"/>
      <c r="POR158" s="1142"/>
      <c r="POS158" s="1142"/>
      <c r="POT158" s="1142"/>
      <c r="POU158" s="1142"/>
      <c r="POV158" s="1142"/>
      <c r="POW158" s="1142"/>
      <c r="POX158" s="1142"/>
      <c r="POY158" s="1142"/>
      <c r="POZ158" s="1142"/>
      <c r="PPA158" s="1167"/>
      <c r="PPB158" s="1167"/>
      <c r="PPC158" s="1167"/>
      <c r="PPD158" s="1167"/>
      <c r="PPE158" s="1167"/>
      <c r="PPF158" s="1167"/>
      <c r="PPG158" s="1167"/>
      <c r="PPH158" s="1167"/>
      <c r="PPI158" s="1167"/>
      <c r="PPJ158" s="1142"/>
      <c r="PPK158" s="1142"/>
      <c r="PPL158" s="1142"/>
      <c r="PPM158" s="1142"/>
      <c r="PPN158" s="1142"/>
      <c r="PPO158" s="1142"/>
      <c r="PPP158" s="1142"/>
      <c r="PPQ158" s="1142"/>
      <c r="PPR158" s="1142"/>
      <c r="PPS158" s="1142"/>
      <c r="PPT158" s="1142"/>
      <c r="PPU158" s="1142"/>
      <c r="PPV158" s="1142"/>
      <c r="PPW158" s="1142"/>
      <c r="PPX158" s="1142"/>
      <c r="PPY158" s="1142"/>
      <c r="PPZ158" s="1142"/>
      <c r="PQA158" s="1142"/>
      <c r="PQB158" s="1142"/>
      <c r="PQC158" s="1142"/>
      <c r="PQD158" s="1142"/>
      <c r="PQE158" s="1142"/>
      <c r="PQF158" s="1142"/>
      <c r="PQG158" s="1167"/>
      <c r="PQH158" s="1167"/>
      <c r="PQI158" s="1167"/>
      <c r="PQJ158" s="1167"/>
      <c r="PQK158" s="1167"/>
      <c r="PQL158" s="1167"/>
      <c r="PQM158" s="1167"/>
      <c r="PQN158" s="1167"/>
      <c r="PQO158" s="1167"/>
      <c r="PQP158" s="1142"/>
      <c r="PQQ158" s="1142"/>
      <c r="PQR158" s="1142"/>
      <c r="PQS158" s="1142"/>
      <c r="PQT158" s="1142"/>
      <c r="PQU158" s="1142"/>
      <c r="PQV158" s="1142"/>
      <c r="PQW158" s="1142"/>
      <c r="PQX158" s="1142"/>
      <c r="PQY158" s="1142"/>
      <c r="PQZ158" s="1142"/>
      <c r="PRA158" s="1142"/>
      <c r="PRB158" s="1142"/>
      <c r="PRC158" s="1142"/>
      <c r="PRD158" s="1142"/>
      <c r="PRE158" s="1142"/>
      <c r="PRF158" s="1142"/>
      <c r="PRG158" s="1142"/>
      <c r="PRH158" s="1142"/>
      <c r="PRI158" s="1142"/>
      <c r="PRJ158" s="1142"/>
      <c r="PRK158" s="1142"/>
      <c r="PRL158" s="1142"/>
      <c r="PRM158" s="1167"/>
      <c r="PRN158" s="1167"/>
      <c r="PRO158" s="1167"/>
      <c r="PRP158" s="1167"/>
      <c r="PRQ158" s="1167"/>
      <c r="PRR158" s="1167"/>
      <c r="PRS158" s="1167"/>
      <c r="PRT158" s="1167"/>
      <c r="PRU158" s="1167"/>
      <c r="PRV158" s="1142"/>
      <c r="PRW158" s="1142"/>
      <c r="PRX158" s="1142"/>
      <c r="PRY158" s="1142"/>
      <c r="PRZ158" s="1142"/>
      <c r="PSA158" s="1142"/>
      <c r="PSB158" s="1142"/>
      <c r="PSC158" s="1142"/>
      <c r="PSD158" s="1142"/>
      <c r="PSE158" s="1142"/>
      <c r="PSF158" s="1142"/>
      <c r="PSG158" s="1142"/>
      <c r="PSH158" s="1142"/>
      <c r="PSI158" s="1142"/>
      <c r="PSJ158" s="1142"/>
      <c r="PSK158" s="1142"/>
      <c r="PSL158" s="1142"/>
      <c r="PSM158" s="1142"/>
      <c r="PSN158" s="1142"/>
      <c r="PSO158" s="1142"/>
      <c r="PSP158" s="1142"/>
      <c r="PSQ158" s="1142"/>
      <c r="PSR158" s="1142"/>
      <c r="PSS158" s="1167"/>
      <c r="PST158" s="1167"/>
      <c r="PSU158" s="1167"/>
      <c r="PSV158" s="1167"/>
      <c r="PSW158" s="1167"/>
      <c r="PSX158" s="1167"/>
      <c r="PSY158" s="1167"/>
      <c r="PSZ158" s="1167"/>
      <c r="PTA158" s="1167"/>
      <c r="PTB158" s="1142"/>
      <c r="PTC158" s="1142"/>
      <c r="PTD158" s="1142"/>
      <c r="PTE158" s="1142"/>
      <c r="PTF158" s="1142"/>
      <c r="PTG158" s="1142"/>
      <c r="PTH158" s="1142"/>
      <c r="PTI158" s="1142"/>
      <c r="PTJ158" s="1142"/>
      <c r="PTK158" s="1142"/>
      <c r="PTL158" s="1142"/>
      <c r="PTM158" s="1142"/>
      <c r="PTN158" s="1142"/>
      <c r="PTO158" s="1142"/>
      <c r="PTP158" s="1142"/>
      <c r="PTQ158" s="1142"/>
      <c r="PTR158" s="1142"/>
      <c r="PTS158" s="1142"/>
      <c r="PTT158" s="1142"/>
      <c r="PTU158" s="1142"/>
      <c r="PTV158" s="1142"/>
      <c r="PTW158" s="1142"/>
      <c r="PTX158" s="1142"/>
      <c r="PTY158" s="1167"/>
      <c r="PTZ158" s="1167"/>
      <c r="PUA158" s="1167"/>
      <c r="PUB158" s="1167"/>
      <c r="PUC158" s="1167"/>
      <c r="PUD158" s="1167"/>
      <c r="PUE158" s="1167"/>
      <c r="PUF158" s="1167"/>
      <c r="PUG158" s="1167"/>
      <c r="PUH158" s="1142"/>
      <c r="PUI158" s="1142"/>
      <c r="PUJ158" s="1142"/>
      <c r="PUK158" s="1142"/>
      <c r="PUL158" s="1142"/>
      <c r="PUM158" s="1142"/>
      <c r="PUN158" s="1142"/>
      <c r="PUO158" s="1142"/>
      <c r="PUP158" s="1142"/>
      <c r="PUQ158" s="1142"/>
      <c r="PUR158" s="1142"/>
      <c r="PUS158" s="1142"/>
      <c r="PUT158" s="1142"/>
      <c r="PUU158" s="1142"/>
      <c r="PUV158" s="1142"/>
      <c r="PUW158" s="1142"/>
      <c r="PUX158" s="1142"/>
      <c r="PUY158" s="1142"/>
      <c r="PUZ158" s="1142"/>
      <c r="PVA158" s="1142"/>
      <c r="PVB158" s="1142"/>
      <c r="PVC158" s="1142"/>
      <c r="PVD158" s="1142"/>
      <c r="PVE158" s="1167"/>
      <c r="PVF158" s="1167"/>
      <c r="PVG158" s="1167"/>
      <c r="PVH158" s="1167"/>
      <c r="PVI158" s="1167"/>
      <c r="PVJ158" s="1167"/>
      <c r="PVK158" s="1167"/>
      <c r="PVL158" s="1167"/>
      <c r="PVM158" s="1167"/>
      <c r="PVN158" s="1142"/>
      <c r="PVO158" s="1142"/>
      <c r="PVP158" s="1142"/>
      <c r="PVQ158" s="1142"/>
      <c r="PVR158" s="1142"/>
      <c r="PVS158" s="1142"/>
      <c r="PVT158" s="1142"/>
      <c r="PVU158" s="1142"/>
      <c r="PVV158" s="1142"/>
      <c r="PVW158" s="1142"/>
      <c r="PVX158" s="1142"/>
      <c r="PVY158" s="1142"/>
      <c r="PVZ158" s="1142"/>
      <c r="PWA158" s="1142"/>
      <c r="PWB158" s="1142"/>
      <c r="PWC158" s="1142"/>
      <c r="PWD158" s="1142"/>
      <c r="PWE158" s="1142"/>
      <c r="PWF158" s="1142"/>
      <c r="PWG158" s="1142"/>
      <c r="PWH158" s="1142"/>
      <c r="PWI158" s="1142"/>
      <c r="PWJ158" s="1142"/>
      <c r="PWK158" s="1167"/>
      <c r="PWL158" s="1167"/>
      <c r="PWM158" s="1167"/>
      <c r="PWN158" s="1167"/>
      <c r="PWO158" s="1167"/>
      <c r="PWP158" s="1167"/>
      <c r="PWQ158" s="1167"/>
      <c r="PWR158" s="1167"/>
      <c r="PWS158" s="1167"/>
      <c r="PWT158" s="1142"/>
      <c r="PWU158" s="1142"/>
      <c r="PWV158" s="1142"/>
      <c r="PWW158" s="1142"/>
      <c r="PWX158" s="1142"/>
      <c r="PWY158" s="1142"/>
      <c r="PWZ158" s="1142"/>
      <c r="PXA158" s="1142"/>
      <c r="PXB158" s="1142"/>
      <c r="PXC158" s="1142"/>
      <c r="PXD158" s="1142"/>
      <c r="PXE158" s="1142"/>
      <c r="PXF158" s="1142"/>
      <c r="PXG158" s="1142"/>
      <c r="PXH158" s="1142"/>
      <c r="PXI158" s="1142"/>
      <c r="PXJ158" s="1142"/>
      <c r="PXK158" s="1142"/>
      <c r="PXL158" s="1142"/>
      <c r="PXM158" s="1142"/>
      <c r="PXN158" s="1142"/>
      <c r="PXO158" s="1142"/>
      <c r="PXP158" s="1142"/>
      <c r="PXQ158" s="1167"/>
      <c r="PXR158" s="1167"/>
      <c r="PXS158" s="1167"/>
      <c r="PXT158" s="1167"/>
      <c r="PXU158" s="1167"/>
      <c r="PXV158" s="1167"/>
      <c r="PXW158" s="1167"/>
      <c r="PXX158" s="1167"/>
      <c r="PXY158" s="1167"/>
      <c r="PXZ158" s="1142"/>
      <c r="PYA158" s="1142"/>
      <c r="PYB158" s="1142"/>
      <c r="PYC158" s="1142"/>
      <c r="PYD158" s="1142"/>
      <c r="PYE158" s="1142"/>
      <c r="PYF158" s="1142"/>
      <c r="PYG158" s="1142"/>
      <c r="PYH158" s="1142"/>
      <c r="PYI158" s="1142"/>
      <c r="PYJ158" s="1142"/>
      <c r="PYK158" s="1142"/>
      <c r="PYL158" s="1142"/>
      <c r="PYM158" s="1142"/>
      <c r="PYN158" s="1142"/>
      <c r="PYO158" s="1142"/>
      <c r="PYP158" s="1142"/>
      <c r="PYQ158" s="1142"/>
      <c r="PYR158" s="1142"/>
      <c r="PYS158" s="1142"/>
      <c r="PYT158" s="1142"/>
      <c r="PYU158" s="1142"/>
      <c r="PYV158" s="1142"/>
      <c r="PYW158" s="1167"/>
      <c r="PYX158" s="1167"/>
      <c r="PYY158" s="1167"/>
      <c r="PYZ158" s="1167"/>
      <c r="PZA158" s="1167"/>
      <c r="PZB158" s="1167"/>
      <c r="PZC158" s="1167"/>
      <c r="PZD158" s="1167"/>
      <c r="PZE158" s="1167"/>
      <c r="PZF158" s="1142"/>
      <c r="PZG158" s="1142"/>
      <c r="PZH158" s="1142"/>
      <c r="PZI158" s="1142"/>
      <c r="PZJ158" s="1142"/>
      <c r="PZK158" s="1142"/>
      <c r="PZL158" s="1142"/>
      <c r="PZM158" s="1142"/>
      <c r="PZN158" s="1142"/>
      <c r="PZO158" s="1142"/>
      <c r="PZP158" s="1142"/>
      <c r="PZQ158" s="1142"/>
      <c r="PZR158" s="1142"/>
      <c r="PZS158" s="1142"/>
      <c r="PZT158" s="1142"/>
      <c r="PZU158" s="1142"/>
      <c r="PZV158" s="1142"/>
      <c r="PZW158" s="1142"/>
      <c r="PZX158" s="1142"/>
      <c r="PZY158" s="1142"/>
      <c r="PZZ158" s="1142"/>
      <c r="QAA158" s="1142"/>
      <c r="QAB158" s="1142"/>
      <c r="QAC158" s="1167"/>
      <c r="QAD158" s="1167"/>
      <c r="QAE158" s="1167"/>
      <c r="QAF158" s="1167"/>
      <c r="QAG158" s="1167"/>
      <c r="QAH158" s="1167"/>
      <c r="QAI158" s="1167"/>
      <c r="QAJ158" s="1167"/>
      <c r="QAK158" s="1167"/>
      <c r="QAL158" s="1142"/>
      <c r="QAM158" s="1142"/>
      <c r="QAN158" s="1142"/>
      <c r="QAO158" s="1142"/>
      <c r="QAP158" s="1142"/>
      <c r="QAQ158" s="1142"/>
      <c r="QAR158" s="1142"/>
      <c r="QAS158" s="1142"/>
      <c r="QAT158" s="1142"/>
      <c r="QAU158" s="1142"/>
      <c r="QAV158" s="1142"/>
      <c r="QAW158" s="1142"/>
      <c r="QAX158" s="1142"/>
      <c r="QAY158" s="1142"/>
      <c r="QAZ158" s="1142"/>
      <c r="QBA158" s="1142"/>
      <c r="QBB158" s="1142"/>
      <c r="QBC158" s="1142"/>
      <c r="QBD158" s="1142"/>
      <c r="QBE158" s="1142"/>
      <c r="QBF158" s="1142"/>
      <c r="QBG158" s="1142"/>
      <c r="QBH158" s="1142"/>
      <c r="QBI158" s="1167"/>
      <c r="QBJ158" s="1167"/>
      <c r="QBK158" s="1167"/>
      <c r="QBL158" s="1167"/>
      <c r="QBM158" s="1167"/>
      <c r="QBN158" s="1167"/>
      <c r="QBO158" s="1167"/>
      <c r="QBP158" s="1167"/>
      <c r="QBQ158" s="1167"/>
      <c r="QBR158" s="1142"/>
      <c r="QBS158" s="1142"/>
      <c r="QBT158" s="1142"/>
      <c r="QBU158" s="1142"/>
      <c r="QBV158" s="1142"/>
      <c r="QBW158" s="1142"/>
      <c r="QBX158" s="1142"/>
      <c r="QBY158" s="1142"/>
      <c r="QBZ158" s="1142"/>
      <c r="QCA158" s="1142"/>
      <c r="QCB158" s="1142"/>
      <c r="QCC158" s="1142"/>
      <c r="QCD158" s="1142"/>
      <c r="QCE158" s="1142"/>
      <c r="QCF158" s="1142"/>
      <c r="QCG158" s="1142"/>
      <c r="QCH158" s="1142"/>
      <c r="QCI158" s="1142"/>
      <c r="QCJ158" s="1142"/>
      <c r="QCK158" s="1142"/>
      <c r="QCL158" s="1142"/>
      <c r="QCM158" s="1142"/>
      <c r="QCN158" s="1142"/>
      <c r="QCO158" s="1167"/>
      <c r="QCP158" s="1167"/>
      <c r="QCQ158" s="1167"/>
      <c r="QCR158" s="1167"/>
      <c r="QCS158" s="1167"/>
      <c r="QCT158" s="1167"/>
      <c r="QCU158" s="1167"/>
      <c r="QCV158" s="1167"/>
      <c r="QCW158" s="1167"/>
      <c r="QCX158" s="1142"/>
      <c r="QCY158" s="1142"/>
      <c r="QCZ158" s="1142"/>
      <c r="QDA158" s="1142"/>
      <c r="QDB158" s="1142"/>
      <c r="QDC158" s="1142"/>
      <c r="QDD158" s="1142"/>
      <c r="QDE158" s="1142"/>
      <c r="QDF158" s="1142"/>
      <c r="QDG158" s="1142"/>
      <c r="QDH158" s="1142"/>
      <c r="QDI158" s="1142"/>
      <c r="QDJ158" s="1142"/>
      <c r="QDK158" s="1142"/>
      <c r="QDL158" s="1142"/>
      <c r="QDM158" s="1142"/>
      <c r="QDN158" s="1142"/>
      <c r="QDO158" s="1142"/>
      <c r="QDP158" s="1142"/>
      <c r="QDQ158" s="1142"/>
      <c r="QDR158" s="1142"/>
      <c r="QDS158" s="1142"/>
      <c r="QDT158" s="1142"/>
      <c r="QDU158" s="1167"/>
      <c r="QDV158" s="1167"/>
      <c r="QDW158" s="1167"/>
      <c r="QDX158" s="1167"/>
      <c r="QDY158" s="1167"/>
      <c r="QDZ158" s="1167"/>
      <c r="QEA158" s="1167"/>
      <c r="QEB158" s="1167"/>
      <c r="QEC158" s="1167"/>
      <c r="QED158" s="1142"/>
      <c r="QEE158" s="1142"/>
      <c r="QEF158" s="1142"/>
      <c r="QEG158" s="1142"/>
      <c r="QEH158" s="1142"/>
      <c r="QEI158" s="1142"/>
      <c r="QEJ158" s="1142"/>
      <c r="QEK158" s="1142"/>
      <c r="QEL158" s="1142"/>
      <c r="QEM158" s="1142"/>
      <c r="QEN158" s="1142"/>
      <c r="QEO158" s="1142"/>
      <c r="QEP158" s="1142"/>
      <c r="QEQ158" s="1142"/>
      <c r="QER158" s="1142"/>
      <c r="QES158" s="1142"/>
      <c r="QET158" s="1142"/>
      <c r="QEU158" s="1142"/>
      <c r="QEV158" s="1142"/>
      <c r="QEW158" s="1142"/>
      <c r="QEX158" s="1142"/>
      <c r="QEY158" s="1142"/>
      <c r="QEZ158" s="1142"/>
      <c r="QFA158" s="1167"/>
      <c r="QFB158" s="1167"/>
      <c r="QFC158" s="1167"/>
      <c r="QFD158" s="1167"/>
      <c r="QFE158" s="1167"/>
      <c r="QFF158" s="1167"/>
      <c r="QFG158" s="1167"/>
      <c r="QFH158" s="1167"/>
      <c r="QFI158" s="1167"/>
      <c r="QFJ158" s="1142"/>
      <c r="QFK158" s="1142"/>
      <c r="QFL158" s="1142"/>
      <c r="QFM158" s="1142"/>
      <c r="QFN158" s="1142"/>
      <c r="QFO158" s="1142"/>
      <c r="QFP158" s="1142"/>
      <c r="QFQ158" s="1142"/>
      <c r="QFR158" s="1142"/>
      <c r="QFS158" s="1142"/>
      <c r="QFT158" s="1142"/>
      <c r="QFU158" s="1142"/>
      <c r="QFV158" s="1142"/>
      <c r="QFW158" s="1142"/>
      <c r="QFX158" s="1142"/>
      <c r="QFY158" s="1142"/>
      <c r="QFZ158" s="1142"/>
      <c r="QGA158" s="1142"/>
      <c r="QGB158" s="1142"/>
      <c r="QGC158" s="1142"/>
      <c r="QGD158" s="1142"/>
      <c r="QGE158" s="1142"/>
      <c r="QGF158" s="1142"/>
      <c r="QGG158" s="1167"/>
      <c r="QGH158" s="1167"/>
      <c r="QGI158" s="1167"/>
      <c r="QGJ158" s="1167"/>
      <c r="QGK158" s="1167"/>
      <c r="QGL158" s="1167"/>
      <c r="QGM158" s="1167"/>
      <c r="QGN158" s="1167"/>
      <c r="QGO158" s="1167"/>
      <c r="QGP158" s="1142"/>
      <c r="QGQ158" s="1142"/>
      <c r="QGR158" s="1142"/>
      <c r="QGS158" s="1142"/>
      <c r="QGT158" s="1142"/>
      <c r="QGU158" s="1142"/>
      <c r="QGV158" s="1142"/>
      <c r="QGW158" s="1142"/>
      <c r="QGX158" s="1142"/>
      <c r="QGY158" s="1142"/>
      <c r="QGZ158" s="1142"/>
      <c r="QHA158" s="1142"/>
      <c r="QHB158" s="1142"/>
      <c r="QHC158" s="1142"/>
      <c r="QHD158" s="1142"/>
      <c r="QHE158" s="1142"/>
      <c r="QHF158" s="1142"/>
      <c r="QHG158" s="1142"/>
      <c r="QHH158" s="1142"/>
      <c r="QHI158" s="1142"/>
      <c r="QHJ158" s="1142"/>
      <c r="QHK158" s="1142"/>
      <c r="QHL158" s="1142"/>
      <c r="QHM158" s="1167"/>
      <c r="QHN158" s="1167"/>
      <c r="QHO158" s="1167"/>
      <c r="QHP158" s="1167"/>
      <c r="QHQ158" s="1167"/>
      <c r="QHR158" s="1167"/>
      <c r="QHS158" s="1167"/>
      <c r="QHT158" s="1167"/>
      <c r="QHU158" s="1167"/>
      <c r="QHV158" s="1142"/>
      <c r="QHW158" s="1142"/>
      <c r="QHX158" s="1142"/>
      <c r="QHY158" s="1142"/>
      <c r="QHZ158" s="1142"/>
      <c r="QIA158" s="1142"/>
      <c r="QIB158" s="1142"/>
      <c r="QIC158" s="1142"/>
      <c r="QID158" s="1142"/>
      <c r="QIE158" s="1142"/>
      <c r="QIF158" s="1142"/>
      <c r="QIG158" s="1142"/>
      <c r="QIH158" s="1142"/>
      <c r="QII158" s="1142"/>
      <c r="QIJ158" s="1142"/>
      <c r="QIK158" s="1142"/>
      <c r="QIL158" s="1142"/>
      <c r="QIM158" s="1142"/>
      <c r="QIN158" s="1142"/>
      <c r="QIO158" s="1142"/>
      <c r="QIP158" s="1142"/>
      <c r="QIQ158" s="1142"/>
      <c r="QIR158" s="1142"/>
      <c r="QIS158" s="1167"/>
      <c r="QIT158" s="1167"/>
      <c r="QIU158" s="1167"/>
      <c r="QIV158" s="1167"/>
      <c r="QIW158" s="1167"/>
      <c r="QIX158" s="1167"/>
      <c r="QIY158" s="1167"/>
      <c r="QIZ158" s="1167"/>
      <c r="QJA158" s="1167"/>
      <c r="QJB158" s="1142"/>
      <c r="QJC158" s="1142"/>
      <c r="QJD158" s="1142"/>
      <c r="QJE158" s="1142"/>
      <c r="QJF158" s="1142"/>
      <c r="QJG158" s="1142"/>
      <c r="QJH158" s="1142"/>
      <c r="QJI158" s="1142"/>
      <c r="QJJ158" s="1142"/>
      <c r="QJK158" s="1142"/>
      <c r="QJL158" s="1142"/>
      <c r="QJM158" s="1142"/>
      <c r="QJN158" s="1142"/>
      <c r="QJO158" s="1142"/>
      <c r="QJP158" s="1142"/>
      <c r="QJQ158" s="1142"/>
      <c r="QJR158" s="1142"/>
      <c r="QJS158" s="1142"/>
      <c r="QJT158" s="1142"/>
      <c r="QJU158" s="1142"/>
      <c r="QJV158" s="1142"/>
      <c r="QJW158" s="1142"/>
      <c r="QJX158" s="1142"/>
      <c r="QJY158" s="1167"/>
      <c r="QJZ158" s="1167"/>
      <c r="QKA158" s="1167"/>
      <c r="QKB158" s="1167"/>
      <c r="QKC158" s="1167"/>
      <c r="QKD158" s="1167"/>
      <c r="QKE158" s="1167"/>
      <c r="QKF158" s="1167"/>
      <c r="QKG158" s="1167"/>
      <c r="QKH158" s="1142"/>
      <c r="QKI158" s="1142"/>
      <c r="QKJ158" s="1142"/>
      <c r="QKK158" s="1142"/>
      <c r="QKL158" s="1142"/>
      <c r="QKM158" s="1142"/>
      <c r="QKN158" s="1142"/>
      <c r="QKO158" s="1142"/>
      <c r="QKP158" s="1142"/>
      <c r="QKQ158" s="1142"/>
      <c r="QKR158" s="1142"/>
      <c r="QKS158" s="1142"/>
      <c r="QKT158" s="1142"/>
      <c r="QKU158" s="1142"/>
      <c r="QKV158" s="1142"/>
      <c r="QKW158" s="1142"/>
      <c r="QKX158" s="1142"/>
      <c r="QKY158" s="1142"/>
      <c r="QKZ158" s="1142"/>
      <c r="QLA158" s="1142"/>
      <c r="QLB158" s="1142"/>
      <c r="QLC158" s="1142"/>
      <c r="QLD158" s="1142"/>
      <c r="QLE158" s="1167"/>
      <c r="QLF158" s="1167"/>
      <c r="QLG158" s="1167"/>
      <c r="QLH158" s="1167"/>
      <c r="QLI158" s="1167"/>
      <c r="QLJ158" s="1167"/>
      <c r="QLK158" s="1167"/>
      <c r="QLL158" s="1167"/>
      <c r="QLM158" s="1167"/>
      <c r="QLN158" s="1142"/>
      <c r="QLO158" s="1142"/>
      <c r="QLP158" s="1142"/>
      <c r="QLQ158" s="1142"/>
      <c r="QLR158" s="1142"/>
      <c r="QLS158" s="1142"/>
      <c r="QLT158" s="1142"/>
      <c r="QLU158" s="1142"/>
      <c r="QLV158" s="1142"/>
      <c r="QLW158" s="1142"/>
      <c r="QLX158" s="1142"/>
      <c r="QLY158" s="1142"/>
      <c r="QLZ158" s="1142"/>
      <c r="QMA158" s="1142"/>
      <c r="QMB158" s="1142"/>
      <c r="QMC158" s="1142"/>
      <c r="QMD158" s="1142"/>
      <c r="QME158" s="1142"/>
      <c r="QMF158" s="1142"/>
      <c r="QMG158" s="1142"/>
      <c r="QMH158" s="1142"/>
      <c r="QMI158" s="1142"/>
      <c r="QMJ158" s="1142"/>
      <c r="QMK158" s="1167"/>
      <c r="QML158" s="1167"/>
      <c r="QMM158" s="1167"/>
      <c r="QMN158" s="1167"/>
      <c r="QMO158" s="1167"/>
      <c r="QMP158" s="1167"/>
      <c r="QMQ158" s="1167"/>
      <c r="QMR158" s="1167"/>
      <c r="QMS158" s="1167"/>
      <c r="QMT158" s="1142"/>
      <c r="QMU158" s="1142"/>
      <c r="QMV158" s="1142"/>
      <c r="QMW158" s="1142"/>
      <c r="QMX158" s="1142"/>
      <c r="QMY158" s="1142"/>
      <c r="QMZ158" s="1142"/>
      <c r="QNA158" s="1142"/>
      <c r="QNB158" s="1142"/>
      <c r="QNC158" s="1142"/>
      <c r="QND158" s="1142"/>
      <c r="QNE158" s="1142"/>
      <c r="QNF158" s="1142"/>
      <c r="QNG158" s="1142"/>
      <c r="QNH158" s="1142"/>
      <c r="QNI158" s="1142"/>
      <c r="QNJ158" s="1142"/>
      <c r="QNK158" s="1142"/>
      <c r="QNL158" s="1142"/>
      <c r="QNM158" s="1142"/>
      <c r="QNN158" s="1142"/>
      <c r="QNO158" s="1142"/>
      <c r="QNP158" s="1142"/>
      <c r="QNQ158" s="1167"/>
      <c r="QNR158" s="1167"/>
      <c r="QNS158" s="1167"/>
      <c r="QNT158" s="1167"/>
      <c r="QNU158" s="1167"/>
      <c r="QNV158" s="1167"/>
      <c r="QNW158" s="1167"/>
      <c r="QNX158" s="1167"/>
      <c r="QNY158" s="1167"/>
      <c r="QNZ158" s="1142"/>
      <c r="QOA158" s="1142"/>
      <c r="QOB158" s="1142"/>
      <c r="QOC158" s="1142"/>
      <c r="QOD158" s="1142"/>
      <c r="QOE158" s="1142"/>
      <c r="QOF158" s="1142"/>
      <c r="QOG158" s="1142"/>
      <c r="QOH158" s="1142"/>
      <c r="QOI158" s="1142"/>
      <c r="QOJ158" s="1142"/>
      <c r="QOK158" s="1142"/>
      <c r="QOL158" s="1142"/>
      <c r="QOM158" s="1142"/>
      <c r="QON158" s="1142"/>
      <c r="QOO158" s="1142"/>
      <c r="QOP158" s="1142"/>
      <c r="QOQ158" s="1142"/>
      <c r="QOR158" s="1142"/>
      <c r="QOS158" s="1142"/>
      <c r="QOT158" s="1142"/>
      <c r="QOU158" s="1142"/>
      <c r="QOV158" s="1142"/>
      <c r="QOW158" s="1167"/>
      <c r="QOX158" s="1167"/>
      <c r="QOY158" s="1167"/>
      <c r="QOZ158" s="1167"/>
      <c r="QPA158" s="1167"/>
      <c r="QPB158" s="1167"/>
      <c r="QPC158" s="1167"/>
      <c r="QPD158" s="1167"/>
      <c r="QPE158" s="1167"/>
      <c r="QPF158" s="1142"/>
      <c r="QPG158" s="1142"/>
      <c r="QPH158" s="1142"/>
      <c r="QPI158" s="1142"/>
      <c r="QPJ158" s="1142"/>
      <c r="QPK158" s="1142"/>
      <c r="QPL158" s="1142"/>
      <c r="QPM158" s="1142"/>
      <c r="QPN158" s="1142"/>
      <c r="QPO158" s="1142"/>
      <c r="QPP158" s="1142"/>
      <c r="QPQ158" s="1142"/>
      <c r="QPR158" s="1142"/>
      <c r="QPS158" s="1142"/>
      <c r="QPT158" s="1142"/>
      <c r="QPU158" s="1142"/>
      <c r="QPV158" s="1142"/>
      <c r="QPW158" s="1142"/>
      <c r="QPX158" s="1142"/>
      <c r="QPY158" s="1142"/>
      <c r="QPZ158" s="1142"/>
      <c r="QQA158" s="1142"/>
      <c r="QQB158" s="1142"/>
      <c r="QQC158" s="1167"/>
      <c r="QQD158" s="1167"/>
      <c r="QQE158" s="1167"/>
      <c r="QQF158" s="1167"/>
      <c r="QQG158" s="1167"/>
      <c r="QQH158" s="1167"/>
      <c r="QQI158" s="1167"/>
      <c r="QQJ158" s="1167"/>
      <c r="QQK158" s="1167"/>
      <c r="QQL158" s="1142"/>
      <c r="QQM158" s="1142"/>
      <c r="QQN158" s="1142"/>
      <c r="QQO158" s="1142"/>
      <c r="QQP158" s="1142"/>
      <c r="QQQ158" s="1142"/>
      <c r="QQR158" s="1142"/>
      <c r="QQS158" s="1142"/>
      <c r="QQT158" s="1142"/>
      <c r="QQU158" s="1142"/>
      <c r="QQV158" s="1142"/>
      <c r="QQW158" s="1142"/>
      <c r="QQX158" s="1142"/>
      <c r="QQY158" s="1142"/>
      <c r="QQZ158" s="1142"/>
      <c r="QRA158" s="1142"/>
      <c r="QRB158" s="1142"/>
      <c r="QRC158" s="1142"/>
      <c r="QRD158" s="1142"/>
      <c r="QRE158" s="1142"/>
      <c r="QRF158" s="1142"/>
      <c r="QRG158" s="1142"/>
      <c r="QRH158" s="1142"/>
      <c r="QRI158" s="1167"/>
      <c r="QRJ158" s="1167"/>
      <c r="QRK158" s="1167"/>
      <c r="QRL158" s="1167"/>
      <c r="QRM158" s="1167"/>
      <c r="QRN158" s="1167"/>
      <c r="QRO158" s="1167"/>
      <c r="QRP158" s="1167"/>
      <c r="QRQ158" s="1167"/>
      <c r="QRR158" s="1142"/>
      <c r="QRS158" s="1142"/>
      <c r="QRT158" s="1142"/>
      <c r="QRU158" s="1142"/>
      <c r="QRV158" s="1142"/>
      <c r="QRW158" s="1142"/>
      <c r="QRX158" s="1142"/>
      <c r="QRY158" s="1142"/>
      <c r="QRZ158" s="1142"/>
      <c r="QSA158" s="1142"/>
      <c r="QSB158" s="1142"/>
      <c r="QSC158" s="1142"/>
      <c r="QSD158" s="1142"/>
      <c r="QSE158" s="1142"/>
      <c r="QSF158" s="1142"/>
      <c r="QSG158" s="1142"/>
      <c r="QSH158" s="1142"/>
      <c r="QSI158" s="1142"/>
      <c r="QSJ158" s="1142"/>
      <c r="QSK158" s="1142"/>
      <c r="QSL158" s="1142"/>
      <c r="QSM158" s="1142"/>
      <c r="QSN158" s="1142"/>
      <c r="QSO158" s="1167"/>
      <c r="QSP158" s="1167"/>
      <c r="QSQ158" s="1167"/>
      <c r="QSR158" s="1167"/>
      <c r="QSS158" s="1167"/>
      <c r="QST158" s="1167"/>
      <c r="QSU158" s="1167"/>
      <c r="QSV158" s="1167"/>
      <c r="QSW158" s="1167"/>
      <c r="QSX158" s="1142"/>
      <c r="QSY158" s="1142"/>
      <c r="QSZ158" s="1142"/>
      <c r="QTA158" s="1142"/>
      <c r="QTB158" s="1142"/>
      <c r="QTC158" s="1142"/>
      <c r="QTD158" s="1142"/>
      <c r="QTE158" s="1142"/>
      <c r="QTF158" s="1142"/>
      <c r="QTG158" s="1142"/>
      <c r="QTH158" s="1142"/>
      <c r="QTI158" s="1142"/>
      <c r="QTJ158" s="1142"/>
      <c r="QTK158" s="1142"/>
      <c r="QTL158" s="1142"/>
      <c r="QTM158" s="1142"/>
      <c r="QTN158" s="1142"/>
      <c r="QTO158" s="1142"/>
      <c r="QTP158" s="1142"/>
      <c r="QTQ158" s="1142"/>
      <c r="QTR158" s="1142"/>
      <c r="QTS158" s="1142"/>
      <c r="QTT158" s="1142"/>
      <c r="QTU158" s="1167"/>
      <c r="QTV158" s="1167"/>
      <c r="QTW158" s="1167"/>
      <c r="QTX158" s="1167"/>
      <c r="QTY158" s="1167"/>
      <c r="QTZ158" s="1167"/>
      <c r="QUA158" s="1167"/>
      <c r="QUB158" s="1167"/>
      <c r="QUC158" s="1167"/>
      <c r="QUD158" s="1142"/>
      <c r="QUE158" s="1142"/>
      <c r="QUF158" s="1142"/>
      <c r="QUG158" s="1142"/>
      <c r="QUH158" s="1142"/>
      <c r="QUI158" s="1142"/>
      <c r="QUJ158" s="1142"/>
      <c r="QUK158" s="1142"/>
      <c r="QUL158" s="1142"/>
      <c r="QUM158" s="1142"/>
      <c r="QUN158" s="1142"/>
      <c r="QUO158" s="1142"/>
      <c r="QUP158" s="1142"/>
      <c r="QUQ158" s="1142"/>
      <c r="QUR158" s="1142"/>
      <c r="QUS158" s="1142"/>
      <c r="QUT158" s="1142"/>
      <c r="QUU158" s="1142"/>
      <c r="QUV158" s="1142"/>
      <c r="QUW158" s="1142"/>
      <c r="QUX158" s="1142"/>
      <c r="QUY158" s="1142"/>
      <c r="QUZ158" s="1142"/>
      <c r="QVA158" s="1167"/>
      <c r="QVB158" s="1167"/>
      <c r="QVC158" s="1167"/>
      <c r="QVD158" s="1167"/>
      <c r="QVE158" s="1167"/>
      <c r="QVF158" s="1167"/>
      <c r="QVG158" s="1167"/>
      <c r="QVH158" s="1167"/>
      <c r="QVI158" s="1167"/>
      <c r="QVJ158" s="1142"/>
      <c r="QVK158" s="1142"/>
      <c r="QVL158" s="1142"/>
      <c r="QVM158" s="1142"/>
      <c r="QVN158" s="1142"/>
      <c r="QVO158" s="1142"/>
      <c r="QVP158" s="1142"/>
      <c r="QVQ158" s="1142"/>
      <c r="QVR158" s="1142"/>
      <c r="QVS158" s="1142"/>
      <c r="QVT158" s="1142"/>
      <c r="QVU158" s="1142"/>
      <c r="QVV158" s="1142"/>
      <c r="QVW158" s="1142"/>
      <c r="QVX158" s="1142"/>
      <c r="QVY158" s="1142"/>
      <c r="QVZ158" s="1142"/>
      <c r="QWA158" s="1142"/>
      <c r="QWB158" s="1142"/>
      <c r="QWC158" s="1142"/>
      <c r="QWD158" s="1142"/>
      <c r="QWE158" s="1142"/>
      <c r="QWF158" s="1142"/>
      <c r="QWG158" s="1167"/>
      <c r="QWH158" s="1167"/>
      <c r="QWI158" s="1167"/>
      <c r="QWJ158" s="1167"/>
      <c r="QWK158" s="1167"/>
      <c r="QWL158" s="1167"/>
      <c r="QWM158" s="1167"/>
      <c r="QWN158" s="1167"/>
      <c r="QWO158" s="1167"/>
      <c r="QWP158" s="1142"/>
      <c r="QWQ158" s="1142"/>
      <c r="QWR158" s="1142"/>
      <c r="QWS158" s="1142"/>
      <c r="QWT158" s="1142"/>
      <c r="QWU158" s="1142"/>
      <c r="QWV158" s="1142"/>
      <c r="QWW158" s="1142"/>
      <c r="QWX158" s="1142"/>
      <c r="QWY158" s="1142"/>
      <c r="QWZ158" s="1142"/>
      <c r="QXA158" s="1142"/>
      <c r="QXB158" s="1142"/>
      <c r="QXC158" s="1142"/>
      <c r="QXD158" s="1142"/>
      <c r="QXE158" s="1142"/>
      <c r="QXF158" s="1142"/>
      <c r="QXG158" s="1142"/>
      <c r="QXH158" s="1142"/>
      <c r="QXI158" s="1142"/>
      <c r="QXJ158" s="1142"/>
      <c r="QXK158" s="1142"/>
      <c r="QXL158" s="1142"/>
      <c r="QXM158" s="1167"/>
      <c r="QXN158" s="1167"/>
      <c r="QXO158" s="1167"/>
      <c r="QXP158" s="1167"/>
      <c r="QXQ158" s="1167"/>
      <c r="QXR158" s="1167"/>
      <c r="QXS158" s="1167"/>
      <c r="QXT158" s="1167"/>
      <c r="QXU158" s="1167"/>
      <c r="QXV158" s="1142"/>
      <c r="QXW158" s="1142"/>
      <c r="QXX158" s="1142"/>
      <c r="QXY158" s="1142"/>
      <c r="QXZ158" s="1142"/>
      <c r="QYA158" s="1142"/>
      <c r="QYB158" s="1142"/>
      <c r="QYC158" s="1142"/>
      <c r="QYD158" s="1142"/>
      <c r="QYE158" s="1142"/>
      <c r="QYF158" s="1142"/>
      <c r="QYG158" s="1142"/>
      <c r="QYH158" s="1142"/>
      <c r="QYI158" s="1142"/>
      <c r="QYJ158" s="1142"/>
      <c r="QYK158" s="1142"/>
      <c r="QYL158" s="1142"/>
      <c r="QYM158" s="1142"/>
      <c r="QYN158" s="1142"/>
      <c r="QYO158" s="1142"/>
      <c r="QYP158" s="1142"/>
      <c r="QYQ158" s="1142"/>
      <c r="QYR158" s="1142"/>
      <c r="QYS158" s="1167"/>
      <c r="QYT158" s="1167"/>
      <c r="QYU158" s="1167"/>
      <c r="QYV158" s="1167"/>
      <c r="QYW158" s="1167"/>
      <c r="QYX158" s="1167"/>
      <c r="QYY158" s="1167"/>
      <c r="QYZ158" s="1167"/>
      <c r="QZA158" s="1167"/>
      <c r="QZB158" s="1142"/>
      <c r="QZC158" s="1142"/>
      <c r="QZD158" s="1142"/>
      <c r="QZE158" s="1142"/>
      <c r="QZF158" s="1142"/>
      <c r="QZG158" s="1142"/>
      <c r="QZH158" s="1142"/>
      <c r="QZI158" s="1142"/>
      <c r="QZJ158" s="1142"/>
      <c r="QZK158" s="1142"/>
      <c r="QZL158" s="1142"/>
      <c r="QZM158" s="1142"/>
      <c r="QZN158" s="1142"/>
      <c r="QZO158" s="1142"/>
      <c r="QZP158" s="1142"/>
      <c r="QZQ158" s="1142"/>
      <c r="QZR158" s="1142"/>
      <c r="QZS158" s="1142"/>
      <c r="QZT158" s="1142"/>
      <c r="QZU158" s="1142"/>
      <c r="QZV158" s="1142"/>
      <c r="QZW158" s="1142"/>
      <c r="QZX158" s="1142"/>
      <c r="QZY158" s="1167"/>
      <c r="QZZ158" s="1167"/>
      <c r="RAA158" s="1167"/>
      <c r="RAB158" s="1167"/>
      <c r="RAC158" s="1167"/>
      <c r="RAD158" s="1167"/>
      <c r="RAE158" s="1167"/>
      <c r="RAF158" s="1167"/>
      <c r="RAG158" s="1167"/>
      <c r="RAH158" s="1142"/>
      <c r="RAI158" s="1142"/>
      <c r="RAJ158" s="1142"/>
      <c r="RAK158" s="1142"/>
      <c r="RAL158" s="1142"/>
      <c r="RAM158" s="1142"/>
      <c r="RAN158" s="1142"/>
      <c r="RAO158" s="1142"/>
      <c r="RAP158" s="1142"/>
      <c r="RAQ158" s="1142"/>
      <c r="RAR158" s="1142"/>
      <c r="RAS158" s="1142"/>
      <c r="RAT158" s="1142"/>
      <c r="RAU158" s="1142"/>
      <c r="RAV158" s="1142"/>
      <c r="RAW158" s="1142"/>
      <c r="RAX158" s="1142"/>
      <c r="RAY158" s="1142"/>
      <c r="RAZ158" s="1142"/>
      <c r="RBA158" s="1142"/>
      <c r="RBB158" s="1142"/>
      <c r="RBC158" s="1142"/>
      <c r="RBD158" s="1142"/>
      <c r="RBE158" s="1167"/>
      <c r="RBF158" s="1167"/>
      <c r="RBG158" s="1167"/>
      <c r="RBH158" s="1167"/>
      <c r="RBI158" s="1167"/>
      <c r="RBJ158" s="1167"/>
      <c r="RBK158" s="1167"/>
      <c r="RBL158" s="1167"/>
      <c r="RBM158" s="1167"/>
      <c r="RBN158" s="1142"/>
      <c r="RBO158" s="1142"/>
      <c r="RBP158" s="1142"/>
      <c r="RBQ158" s="1142"/>
      <c r="RBR158" s="1142"/>
      <c r="RBS158" s="1142"/>
      <c r="RBT158" s="1142"/>
      <c r="RBU158" s="1142"/>
      <c r="RBV158" s="1142"/>
      <c r="RBW158" s="1142"/>
      <c r="RBX158" s="1142"/>
      <c r="RBY158" s="1142"/>
      <c r="RBZ158" s="1142"/>
      <c r="RCA158" s="1142"/>
      <c r="RCB158" s="1142"/>
      <c r="RCC158" s="1142"/>
      <c r="RCD158" s="1142"/>
      <c r="RCE158" s="1142"/>
      <c r="RCF158" s="1142"/>
      <c r="RCG158" s="1142"/>
      <c r="RCH158" s="1142"/>
      <c r="RCI158" s="1142"/>
      <c r="RCJ158" s="1142"/>
      <c r="RCK158" s="1167"/>
      <c r="RCL158" s="1167"/>
      <c r="RCM158" s="1167"/>
      <c r="RCN158" s="1167"/>
      <c r="RCO158" s="1167"/>
      <c r="RCP158" s="1167"/>
      <c r="RCQ158" s="1167"/>
      <c r="RCR158" s="1167"/>
      <c r="RCS158" s="1167"/>
      <c r="RCT158" s="1142"/>
      <c r="RCU158" s="1142"/>
      <c r="RCV158" s="1142"/>
      <c r="RCW158" s="1142"/>
      <c r="RCX158" s="1142"/>
      <c r="RCY158" s="1142"/>
      <c r="RCZ158" s="1142"/>
      <c r="RDA158" s="1142"/>
      <c r="RDB158" s="1142"/>
      <c r="RDC158" s="1142"/>
      <c r="RDD158" s="1142"/>
      <c r="RDE158" s="1142"/>
      <c r="RDF158" s="1142"/>
      <c r="RDG158" s="1142"/>
      <c r="RDH158" s="1142"/>
      <c r="RDI158" s="1142"/>
      <c r="RDJ158" s="1142"/>
      <c r="RDK158" s="1142"/>
      <c r="RDL158" s="1142"/>
      <c r="RDM158" s="1142"/>
      <c r="RDN158" s="1142"/>
      <c r="RDO158" s="1142"/>
      <c r="RDP158" s="1142"/>
      <c r="RDQ158" s="1167"/>
      <c r="RDR158" s="1167"/>
      <c r="RDS158" s="1167"/>
      <c r="RDT158" s="1167"/>
      <c r="RDU158" s="1167"/>
      <c r="RDV158" s="1167"/>
      <c r="RDW158" s="1167"/>
      <c r="RDX158" s="1167"/>
      <c r="RDY158" s="1167"/>
      <c r="RDZ158" s="1142"/>
      <c r="REA158" s="1142"/>
      <c r="REB158" s="1142"/>
      <c r="REC158" s="1142"/>
      <c r="RED158" s="1142"/>
      <c r="REE158" s="1142"/>
      <c r="REF158" s="1142"/>
      <c r="REG158" s="1142"/>
      <c r="REH158" s="1142"/>
      <c r="REI158" s="1142"/>
      <c r="REJ158" s="1142"/>
      <c r="REK158" s="1142"/>
      <c r="REL158" s="1142"/>
      <c r="REM158" s="1142"/>
      <c r="REN158" s="1142"/>
      <c r="REO158" s="1142"/>
      <c r="REP158" s="1142"/>
      <c r="REQ158" s="1142"/>
      <c r="RER158" s="1142"/>
      <c r="RES158" s="1142"/>
      <c r="RET158" s="1142"/>
      <c r="REU158" s="1142"/>
      <c r="REV158" s="1142"/>
      <c r="REW158" s="1167"/>
      <c r="REX158" s="1167"/>
      <c r="REY158" s="1167"/>
      <c r="REZ158" s="1167"/>
      <c r="RFA158" s="1167"/>
      <c r="RFB158" s="1167"/>
      <c r="RFC158" s="1167"/>
      <c r="RFD158" s="1167"/>
      <c r="RFE158" s="1167"/>
      <c r="RFF158" s="1142"/>
      <c r="RFG158" s="1142"/>
      <c r="RFH158" s="1142"/>
      <c r="RFI158" s="1142"/>
      <c r="RFJ158" s="1142"/>
      <c r="RFK158" s="1142"/>
      <c r="RFL158" s="1142"/>
      <c r="RFM158" s="1142"/>
      <c r="RFN158" s="1142"/>
      <c r="RFO158" s="1142"/>
      <c r="RFP158" s="1142"/>
      <c r="RFQ158" s="1142"/>
      <c r="RFR158" s="1142"/>
      <c r="RFS158" s="1142"/>
      <c r="RFT158" s="1142"/>
      <c r="RFU158" s="1142"/>
      <c r="RFV158" s="1142"/>
      <c r="RFW158" s="1142"/>
      <c r="RFX158" s="1142"/>
      <c r="RFY158" s="1142"/>
      <c r="RFZ158" s="1142"/>
      <c r="RGA158" s="1142"/>
      <c r="RGB158" s="1142"/>
      <c r="RGC158" s="1167"/>
      <c r="RGD158" s="1167"/>
      <c r="RGE158" s="1167"/>
      <c r="RGF158" s="1167"/>
      <c r="RGG158" s="1167"/>
      <c r="RGH158" s="1167"/>
      <c r="RGI158" s="1167"/>
      <c r="RGJ158" s="1167"/>
      <c r="RGK158" s="1167"/>
      <c r="RGL158" s="1142"/>
      <c r="RGM158" s="1142"/>
      <c r="RGN158" s="1142"/>
      <c r="RGO158" s="1142"/>
      <c r="RGP158" s="1142"/>
      <c r="RGQ158" s="1142"/>
      <c r="RGR158" s="1142"/>
      <c r="RGS158" s="1142"/>
      <c r="RGT158" s="1142"/>
      <c r="RGU158" s="1142"/>
      <c r="RGV158" s="1142"/>
      <c r="RGW158" s="1142"/>
      <c r="RGX158" s="1142"/>
      <c r="RGY158" s="1142"/>
      <c r="RGZ158" s="1142"/>
      <c r="RHA158" s="1142"/>
      <c r="RHB158" s="1142"/>
      <c r="RHC158" s="1142"/>
      <c r="RHD158" s="1142"/>
      <c r="RHE158" s="1142"/>
      <c r="RHF158" s="1142"/>
      <c r="RHG158" s="1142"/>
      <c r="RHH158" s="1142"/>
      <c r="RHI158" s="1167"/>
      <c r="RHJ158" s="1167"/>
      <c r="RHK158" s="1167"/>
      <c r="RHL158" s="1167"/>
      <c r="RHM158" s="1167"/>
      <c r="RHN158" s="1167"/>
      <c r="RHO158" s="1167"/>
      <c r="RHP158" s="1167"/>
      <c r="RHQ158" s="1167"/>
      <c r="RHR158" s="1142"/>
      <c r="RHS158" s="1142"/>
      <c r="RHT158" s="1142"/>
      <c r="RHU158" s="1142"/>
      <c r="RHV158" s="1142"/>
      <c r="RHW158" s="1142"/>
      <c r="RHX158" s="1142"/>
      <c r="RHY158" s="1142"/>
      <c r="RHZ158" s="1142"/>
      <c r="RIA158" s="1142"/>
      <c r="RIB158" s="1142"/>
      <c r="RIC158" s="1142"/>
      <c r="RID158" s="1142"/>
      <c r="RIE158" s="1142"/>
      <c r="RIF158" s="1142"/>
      <c r="RIG158" s="1142"/>
      <c r="RIH158" s="1142"/>
      <c r="RII158" s="1142"/>
      <c r="RIJ158" s="1142"/>
      <c r="RIK158" s="1142"/>
      <c r="RIL158" s="1142"/>
      <c r="RIM158" s="1142"/>
      <c r="RIN158" s="1142"/>
      <c r="RIO158" s="1167"/>
      <c r="RIP158" s="1167"/>
      <c r="RIQ158" s="1167"/>
      <c r="RIR158" s="1167"/>
      <c r="RIS158" s="1167"/>
      <c r="RIT158" s="1167"/>
      <c r="RIU158" s="1167"/>
      <c r="RIV158" s="1167"/>
      <c r="RIW158" s="1167"/>
      <c r="RIX158" s="1142"/>
      <c r="RIY158" s="1142"/>
      <c r="RIZ158" s="1142"/>
      <c r="RJA158" s="1142"/>
      <c r="RJB158" s="1142"/>
      <c r="RJC158" s="1142"/>
      <c r="RJD158" s="1142"/>
      <c r="RJE158" s="1142"/>
      <c r="RJF158" s="1142"/>
      <c r="RJG158" s="1142"/>
      <c r="RJH158" s="1142"/>
      <c r="RJI158" s="1142"/>
      <c r="RJJ158" s="1142"/>
      <c r="RJK158" s="1142"/>
      <c r="RJL158" s="1142"/>
      <c r="RJM158" s="1142"/>
      <c r="RJN158" s="1142"/>
      <c r="RJO158" s="1142"/>
      <c r="RJP158" s="1142"/>
      <c r="RJQ158" s="1142"/>
      <c r="RJR158" s="1142"/>
      <c r="RJS158" s="1142"/>
      <c r="RJT158" s="1142"/>
      <c r="RJU158" s="1167"/>
      <c r="RJV158" s="1167"/>
      <c r="RJW158" s="1167"/>
      <c r="RJX158" s="1167"/>
      <c r="RJY158" s="1167"/>
      <c r="RJZ158" s="1167"/>
      <c r="RKA158" s="1167"/>
      <c r="RKB158" s="1167"/>
      <c r="RKC158" s="1167"/>
      <c r="RKD158" s="1142"/>
      <c r="RKE158" s="1142"/>
      <c r="RKF158" s="1142"/>
      <c r="RKG158" s="1142"/>
      <c r="RKH158" s="1142"/>
      <c r="RKI158" s="1142"/>
      <c r="RKJ158" s="1142"/>
      <c r="RKK158" s="1142"/>
      <c r="RKL158" s="1142"/>
      <c r="RKM158" s="1142"/>
      <c r="RKN158" s="1142"/>
      <c r="RKO158" s="1142"/>
      <c r="RKP158" s="1142"/>
      <c r="RKQ158" s="1142"/>
      <c r="RKR158" s="1142"/>
      <c r="RKS158" s="1142"/>
      <c r="RKT158" s="1142"/>
      <c r="RKU158" s="1142"/>
      <c r="RKV158" s="1142"/>
      <c r="RKW158" s="1142"/>
      <c r="RKX158" s="1142"/>
      <c r="RKY158" s="1142"/>
      <c r="RKZ158" s="1142"/>
      <c r="RLA158" s="1167"/>
      <c r="RLB158" s="1167"/>
      <c r="RLC158" s="1167"/>
      <c r="RLD158" s="1167"/>
      <c r="RLE158" s="1167"/>
      <c r="RLF158" s="1167"/>
      <c r="RLG158" s="1167"/>
      <c r="RLH158" s="1167"/>
      <c r="RLI158" s="1167"/>
      <c r="RLJ158" s="1142"/>
      <c r="RLK158" s="1142"/>
      <c r="RLL158" s="1142"/>
      <c r="RLM158" s="1142"/>
      <c r="RLN158" s="1142"/>
      <c r="RLO158" s="1142"/>
      <c r="RLP158" s="1142"/>
      <c r="RLQ158" s="1142"/>
      <c r="RLR158" s="1142"/>
      <c r="RLS158" s="1142"/>
      <c r="RLT158" s="1142"/>
      <c r="RLU158" s="1142"/>
      <c r="RLV158" s="1142"/>
      <c r="RLW158" s="1142"/>
      <c r="RLX158" s="1142"/>
      <c r="RLY158" s="1142"/>
      <c r="RLZ158" s="1142"/>
      <c r="RMA158" s="1142"/>
      <c r="RMB158" s="1142"/>
      <c r="RMC158" s="1142"/>
      <c r="RMD158" s="1142"/>
      <c r="RME158" s="1142"/>
      <c r="RMF158" s="1142"/>
      <c r="RMG158" s="1167"/>
      <c r="RMH158" s="1167"/>
      <c r="RMI158" s="1167"/>
      <c r="RMJ158" s="1167"/>
      <c r="RMK158" s="1167"/>
      <c r="RML158" s="1167"/>
      <c r="RMM158" s="1167"/>
      <c r="RMN158" s="1167"/>
      <c r="RMO158" s="1167"/>
      <c r="RMP158" s="1142"/>
      <c r="RMQ158" s="1142"/>
      <c r="RMR158" s="1142"/>
      <c r="RMS158" s="1142"/>
      <c r="RMT158" s="1142"/>
      <c r="RMU158" s="1142"/>
      <c r="RMV158" s="1142"/>
      <c r="RMW158" s="1142"/>
      <c r="RMX158" s="1142"/>
      <c r="RMY158" s="1142"/>
      <c r="RMZ158" s="1142"/>
      <c r="RNA158" s="1142"/>
      <c r="RNB158" s="1142"/>
      <c r="RNC158" s="1142"/>
      <c r="RND158" s="1142"/>
      <c r="RNE158" s="1142"/>
      <c r="RNF158" s="1142"/>
      <c r="RNG158" s="1142"/>
      <c r="RNH158" s="1142"/>
      <c r="RNI158" s="1142"/>
      <c r="RNJ158" s="1142"/>
      <c r="RNK158" s="1142"/>
      <c r="RNL158" s="1142"/>
      <c r="RNM158" s="1167"/>
      <c r="RNN158" s="1167"/>
      <c r="RNO158" s="1167"/>
      <c r="RNP158" s="1167"/>
      <c r="RNQ158" s="1167"/>
      <c r="RNR158" s="1167"/>
      <c r="RNS158" s="1167"/>
      <c r="RNT158" s="1167"/>
      <c r="RNU158" s="1167"/>
      <c r="RNV158" s="1142"/>
      <c r="RNW158" s="1142"/>
      <c r="RNX158" s="1142"/>
      <c r="RNY158" s="1142"/>
      <c r="RNZ158" s="1142"/>
      <c r="ROA158" s="1142"/>
      <c r="ROB158" s="1142"/>
      <c r="ROC158" s="1142"/>
      <c r="ROD158" s="1142"/>
      <c r="ROE158" s="1142"/>
      <c r="ROF158" s="1142"/>
      <c r="ROG158" s="1142"/>
      <c r="ROH158" s="1142"/>
      <c r="ROI158" s="1142"/>
      <c r="ROJ158" s="1142"/>
      <c r="ROK158" s="1142"/>
      <c r="ROL158" s="1142"/>
      <c r="ROM158" s="1142"/>
      <c r="RON158" s="1142"/>
      <c r="ROO158" s="1142"/>
      <c r="ROP158" s="1142"/>
      <c r="ROQ158" s="1142"/>
      <c r="ROR158" s="1142"/>
      <c r="ROS158" s="1167"/>
      <c r="ROT158" s="1167"/>
      <c r="ROU158" s="1167"/>
      <c r="ROV158" s="1167"/>
      <c r="ROW158" s="1167"/>
      <c r="ROX158" s="1167"/>
      <c r="ROY158" s="1167"/>
      <c r="ROZ158" s="1167"/>
      <c r="RPA158" s="1167"/>
      <c r="RPB158" s="1142"/>
      <c r="RPC158" s="1142"/>
      <c r="RPD158" s="1142"/>
      <c r="RPE158" s="1142"/>
      <c r="RPF158" s="1142"/>
      <c r="RPG158" s="1142"/>
      <c r="RPH158" s="1142"/>
      <c r="RPI158" s="1142"/>
      <c r="RPJ158" s="1142"/>
      <c r="RPK158" s="1142"/>
      <c r="RPL158" s="1142"/>
      <c r="RPM158" s="1142"/>
      <c r="RPN158" s="1142"/>
      <c r="RPO158" s="1142"/>
      <c r="RPP158" s="1142"/>
      <c r="RPQ158" s="1142"/>
      <c r="RPR158" s="1142"/>
      <c r="RPS158" s="1142"/>
      <c r="RPT158" s="1142"/>
      <c r="RPU158" s="1142"/>
      <c r="RPV158" s="1142"/>
      <c r="RPW158" s="1142"/>
      <c r="RPX158" s="1142"/>
      <c r="RPY158" s="1167"/>
      <c r="RPZ158" s="1167"/>
      <c r="RQA158" s="1167"/>
      <c r="RQB158" s="1167"/>
      <c r="RQC158" s="1167"/>
      <c r="RQD158" s="1167"/>
      <c r="RQE158" s="1167"/>
      <c r="RQF158" s="1167"/>
      <c r="RQG158" s="1167"/>
      <c r="RQH158" s="1142"/>
      <c r="RQI158" s="1142"/>
      <c r="RQJ158" s="1142"/>
      <c r="RQK158" s="1142"/>
      <c r="RQL158" s="1142"/>
      <c r="RQM158" s="1142"/>
      <c r="RQN158" s="1142"/>
      <c r="RQO158" s="1142"/>
      <c r="RQP158" s="1142"/>
      <c r="RQQ158" s="1142"/>
      <c r="RQR158" s="1142"/>
      <c r="RQS158" s="1142"/>
      <c r="RQT158" s="1142"/>
      <c r="RQU158" s="1142"/>
      <c r="RQV158" s="1142"/>
      <c r="RQW158" s="1142"/>
      <c r="RQX158" s="1142"/>
      <c r="RQY158" s="1142"/>
      <c r="RQZ158" s="1142"/>
      <c r="RRA158" s="1142"/>
      <c r="RRB158" s="1142"/>
      <c r="RRC158" s="1142"/>
      <c r="RRD158" s="1142"/>
      <c r="RRE158" s="1167"/>
      <c r="RRF158" s="1167"/>
      <c r="RRG158" s="1167"/>
      <c r="RRH158" s="1167"/>
      <c r="RRI158" s="1167"/>
      <c r="RRJ158" s="1167"/>
      <c r="RRK158" s="1167"/>
      <c r="RRL158" s="1167"/>
      <c r="RRM158" s="1167"/>
      <c r="RRN158" s="1142"/>
      <c r="RRO158" s="1142"/>
      <c r="RRP158" s="1142"/>
      <c r="RRQ158" s="1142"/>
      <c r="RRR158" s="1142"/>
      <c r="RRS158" s="1142"/>
      <c r="RRT158" s="1142"/>
      <c r="RRU158" s="1142"/>
      <c r="RRV158" s="1142"/>
      <c r="RRW158" s="1142"/>
      <c r="RRX158" s="1142"/>
      <c r="RRY158" s="1142"/>
      <c r="RRZ158" s="1142"/>
      <c r="RSA158" s="1142"/>
      <c r="RSB158" s="1142"/>
      <c r="RSC158" s="1142"/>
      <c r="RSD158" s="1142"/>
      <c r="RSE158" s="1142"/>
      <c r="RSF158" s="1142"/>
      <c r="RSG158" s="1142"/>
      <c r="RSH158" s="1142"/>
      <c r="RSI158" s="1142"/>
      <c r="RSJ158" s="1142"/>
      <c r="RSK158" s="1167"/>
      <c r="RSL158" s="1167"/>
      <c r="RSM158" s="1167"/>
      <c r="RSN158" s="1167"/>
      <c r="RSO158" s="1167"/>
      <c r="RSP158" s="1167"/>
      <c r="RSQ158" s="1167"/>
      <c r="RSR158" s="1167"/>
      <c r="RSS158" s="1167"/>
      <c r="RST158" s="1142"/>
      <c r="RSU158" s="1142"/>
      <c r="RSV158" s="1142"/>
      <c r="RSW158" s="1142"/>
      <c r="RSX158" s="1142"/>
      <c r="RSY158" s="1142"/>
      <c r="RSZ158" s="1142"/>
      <c r="RTA158" s="1142"/>
      <c r="RTB158" s="1142"/>
      <c r="RTC158" s="1142"/>
      <c r="RTD158" s="1142"/>
      <c r="RTE158" s="1142"/>
      <c r="RTF158" s="1142"/>
      <c r="RTG158" s="1142"/>
      <c r="RTH158" s="1142"/>
      <c r="RTI158" s="1142"/>
      <c r="RTJ158" s="1142"/>
      <c r="RTK158" s="1142"/>
      <c r="RTL158" s="1142"/>
      <c r="RTM158" s="1142"/>
      <c r="RTN158" s="1142"/>
      <c r="RTO158" s="1142"/>
      <c r="RTP158" s="1142"/>
      <c r="RTQ158" s="1167"/>
      <c r="RTR158" s="1167"/>
      <c r="RTS158" s="1167"/>
      <c r="RTT158" s="1167"/>
      <c r="RTU158" s="1167"/>
      <c r="RTV158" s="1167"/>
      <c r="RTW158" s="1167"/>
      <c r="RTX158" s="1167"/>
      <c r="RTY158" s="1167"/>
      <c r="RTZ158" s="1142"/>
      <c r="RUA158" s="1142"/>
      <c r="RUB158" s="1142"/>
      <c r="RUC158" s="1142"/>
      <c r="RUD158" s="1142"/>
      <c r="RUE158" s="1142"/>
      <c r="RUF158" s="1142"/>
      <c r="RUG158" s="1142"/>
      <c r="RUH158" s="1142"/>
      <c r="RUI158" s="1142"/>
      <c r="RUJ158" s="1142"/>
      <c r="RUK158" s="1142"/>
      <c r="RUL158" s="1142"/>
      <c r="RUM158" s="1142"/>
      <c r="RUN158" s="1142"/>
      <c r="RUO158" s="1142"/>
      <c r="RUP158" s="1142"/>
      <c r="RUQ158" s="1142"/>
      <c r="RUR158" s="1142"/>
      <c r="RUS158" s="1142"/>
      <c r="RUT158" s="1142"/>
      <c r="RUU158" s="1142"/>
      <c r="RUV158" s="1142"/>
      <c r="RUW158" s="1167"/>
      <c r="RUX158" s="1167"/>
      <c r="RUY158" s="1167"/>
      <c r="RUZ158" s="1167"/>
      <c r="RVA158" s="1167"/>
      <c r="RVB158" s="1167"/>
      <c r="RVC158" s="1167"/>
      <c r="RVD158" s="1167"/>
      <c r="RVE158" s="1167"/>
      <c r="RVF158" s="1142"/>
      <c r="RVG158" s="1142"/>
      <c r="RVH158" s="1142"/>
      <c r="RVI158" s="1142"/>
      <c r="RVJ158" s="1142"/>
      <c r="RVK158" s="1142"/>
      <c r="RVL158" s="1142"/>
      <c r="RVM158" s="1142"/>
      <c r="RVN158" s="1142"/>
      <c r="RVO158" s="1142"/>
      <c r="RVP158" s="1142"/>
      <c r="RVQ158" s="1142"/>
      <c r="RVR158" s="1142"/>
      <c r="RVS158" s="1142"/>
      <c r="RVT158" s="1142"/>
      <c r="RVU158" s="1142"/>
      <c r="RVV158" s="1142"/>
      <c r="RVW158" s="1142"/>
      <c r="RVX158" s="1142"/>
      <c r="RVY158" s="1142"/>
      <c r="RVZ158" s="1142"/>
      <c r="RWA158" s="1142"/>
      <c r="RWB158" s="1142"/>
      <c r="RWC158" s="1167"/>
      <c r="RWD158" s="1167"/>
      <c r="RWE158" s="1167"/>
      <c r="RWF158" s="1167"/>
      <c r="RWG158" s="1167"/>
      <c r="RWH158" s="1167"/>
      <c r="RWI158" s="1167"/>
      <c r="RWJ158" s="1167"/>
      <c r="RWK158" s="1167"/>
      <c r="RWL158" s="1142"/>
      <c r="RWM158" s="1142"/>
      <c r="RWN158" s="1142"/>
      <c r="RWO158" s="1142"/>
      <c r="RWP158" s="1142"/>
      <c r="RWQ158" s="1142"/>
      <c r="RWR158" s="1142"/>
      <c r="RWS158" s="1142"/>
      <c r="RWT158" s="1142"/>
      <c r="RWU158" s="1142"/>
      <c r="RWV158" s="1142"/>
      <c r="RWW158" s="1142"/>
      <c r="RWX158" s="1142"/>
      <c r="RWY158" s="1142"/>
      <c r="RWZ158" s="1142"/>
      <c r="RXA158" s="1142"/>
      <c r="RXB158" s="1142"/>
      <c r="RXC158" s="1142"/>
      <c r="RXD158" s="1142"/>
      <c r="RXE158" s="1142"/>
      <c r="RXF158" s="1142"/>
      <c r="RXG158" s="1142"/>
      <c r="RXH158" s="1142"/>
      <c r="RXI158" s="1167"/>
      <c r="RXJ158" s="1167"/>
      <c r="RXK158" s="1167"/>
      <c r="RXL158" s="1167"/>
      <c r="RXM158" s="1167"/>
      <c r="RXN158" s="1167"/>
      <c r="RXO158" s="1167"/>
      <c r="RXP158" s="1167"/>
      <c r="RXQ158" s="1167"/>
      <c r="RXR158" s="1142"/>
      <c r="RXS158" s="1142"/>
      <c r="RXT158" s="1142"/>
      <c r="RXU158" s="1142"/>
      <c r="RXV158" s="1142"/>
      <c r="RXW158" s="1142"/>
      <c r="RXX158" s="1142"/>
      <c r="RXY158" s="1142"/>
      <c r="RXZ158" s="1142"/>
      <c r="RYA158" s="1142"/>
      <c r="RYB158" s="1142"/>
      <c r="RYC158" s="1142"/>
      <c r="RYD158" s="1142"/>
      <c r="RYE158" s="1142"/>
      <c r="RYF158" s="1142"/>
      <c r="RYG158" s="1142"/>
      <c r="RYH158" s="1142"/>
      <c r="RYI158" s="1142"/>
      <c r="RYJ158" s="1142"/>
      <c r="RYK158" s="1142"/>
      <c r="RYL158" s="1142"/>
      <c r="RYM158" s="1142"/>
      <c r="RYN158" s="1142"/>
      <c r="RYO158" s="1167"/>
      <c r="RYP158" s="1167"/>
      <c r="RYQ158" s="1167"/>
      <c r="RYR158" s="1167"/>
      <c r="RYS158" s="1167"/>
      <c r="RYT158" s="1167"/>
      <c r="RYU158" s="1167"/>
      <c r="RYV158" s="1167"/>
      <c r="RYW158" s="1167"/>
      <c r="RYX158" s="1142"/>
      <c r="RYY158" s="1142"/>
      <c r="RYZ158" s="1142"/>
      <c r="RZA158" s="1142"/>
      <c r="RZB158" s="1142"/>
      <c r="RZC158" s="1142"/>
      <c r="RZD158" s="1142"/>
      <c r="RZE158" s="1142"/>
      <c r="RZF158" s="1142"/>
      <c r="RZG158" s="1142"/>
      <c r="RZH158" s="1142"/>
      <c r="RZI158" s="1142"/>
      <c r="RZJ158" s="1142"/>
      <c r="RZK158" s="1142"/>
      <c r="RZL158" s="1142"/>
      <c r="RZM158" s="1142"/>
      <c r="RZN158" s="1142"/>
      <c r="RZO158" s="1142"/>
      <c r="RZP158" s="1142"/>
      <c r="RZQ158" s="1142"/>
      <c r="RZR158" s="1142"/>
      <c r="RZS158" s="1142"/>
      <c r="RZT158" s="1142"/>
      <c r="RZU158" s="1167"/>
      <c r="RZV158" s="1167"/>
      <c r="RZW158" s="1167"/>
      <c r="RZX158" s="1167"/>
      <c r="RZY158" s="1167"/>
      <c r="RZZ158" s="1167"/>
      <c r="SAA158" s="1167"/>
      <c r="SAB158" s="1167"/>
      <c r="SAC158" s="1167"/>
      <c r="SAD158" s="1142"/>
      <c r="SAE158" s="1142"/>
      <c r="SAF158" s="1142"/>
      <c r="SAG158" s="1142"/>
      <c r="SAH158" s="1142"/>
      <c r="SAI158" s="1142"/>
      <c r="SAJ158" s="1142"/>
      <c r="SAK158" s="1142"/>
      <c r="SAL158" s="1142"/>
      <c r="SAM158" s="1142"/>
      <c r="SAN158" s="1142"/>
      <c r="SAO158" s="1142"/>
      <c r="SAP158" s="1142"/>
      <c r="SAQ158" s="1142"/>
      <c r="SAR158" s="1142"/>
      <c r="SAS158" s="1142"/>
      <c r="SAT158" s="1142"/>
      <c r="SAU158" s="1142"/>
      <c r="SAV158" s="1142"/>
      <c r="SAW158" s="1142"/>
      <c r="SAX158" s="1142"/>
      <c r="SAY158" s="1142"/>
      <c r="SAZ158" s="1142"/>
      <c r="SBA158" s="1167"/>
      <c r="SBB158" s="1167"/>
      <c r="SBC158" s="1167"/>
      <c r="SBD158" s="1167"/>
      <c r="SBE158" s="1167"/>
      <c r="SBF158" s="1167"/>
      <c r="SBG158" s="1167"/>
      <c r="SBH158" s="1167"/>
      <c r="SBI158" s="1167"/>
      <c r="SBJ158" s="1142"/>
      <c r="SBK158" s="1142"/>
      <c r="SBL158" s="1142"/>
      <c r="SBM158" s="1142"/>
      <c r="SBN158" s="1142"/>
      <c r="SBO158" s="1142"/>
      <c r="SBP158" s="1142"/>
      <c r="SBQ158" s="1142"/>
      <c r="SBR158" s="1142"/>
      <c r="SBS158" s="1142"/>
      <c r="SBT158" s="1142"/>
      <c r="SBU158" s="1142"/>
      <c r="SBV158" s="1142"/>
      <c r="SBW158" s="1142"/>
      <c r="SBX158" s="1142"/>
      <c r="SBY158" s="1142"/>
      <c r="SBZ158" s="1142"/>
      <c r="SCA158" s="1142"/>
      <c r="SCB158" s="1142"/>
      <c r="SCC158" s="1142"/>
      <c r="SCD158" s="1142"/>
      <c r="SCE158" s="1142"/>
      <c r="SCF158" s="1142"/>
      <c r="SCG158" s="1167"/>
      <c r="SCH158" s="1167"/>
      <c r="SCI158" s="1167"/>
      <c r="SCJ158" s="1167"/>
      <c r="SCK158" s="1167"/>
      <c r="SCL158" s="1167"/>
      <c r="SCM158" s="1167"/>
      <c r="SCN158" s="1167"/>
      <c r="SCO158" s="1167"/>
      <c r="SCP158" s="1142"/>
      <c r="SCQ158" s="1142"/>
      <c r="SCR158" s="1142"/>
      <c r="SCS158" s="1142"/>
      <c r="SCT158" s="1142"/>
      <c r="SCU158" s="1142"/>
      <c r="SCV158" s="1142"/>
      <c r="SCW158" s="1142"/>
      <c r="SCX158" s="1142"/>
      <c r="SCY158" s="1142"/>
      <c r="SCZ158" s="1142"/>
      <c r="SDA158" s="1142"/>
      <c r="SDB158" s="1142"/>
      <c r="SDC158" s="1142"/>
      <c r="SDD158" s="1142"/>
      <c r="SDE158" s="1142"/>
      <c r="SDF158" s="1142"/>
      <c r="SDG158" s="1142"/>
      <c r="SDH158" s="1142"/>
      <c r="SDI158" s="1142"/>
      <c r="SDJ158" s="1142"/>
      <c r="SDK158" s="1142"/>
      <c r="SDL158" s="1142"/>
      <c r="SDM158" s="1167"/>
      <c r="SDN158" s="1167"/>
      <c r="SDO158" s="1167"/>
      <c r="SDP158" s="1167"/>
      <c r="SDQ158" s="1167"/>
      <c r="SDR158" s="1167"/>
      <c r="SDS158" s="1167"/>
      <c r="SDT158" s="1167"/>
      <c r="SDU158" s="1167"/>
      <c r="SDV158" s="1142"/>
      <c r="SDW158" s="1142"/>
      <c r="SDX158" s="1142"/>
      <c r="SDY158" s="1142"/>
      <c r="SDZ158" s="1142"/>
      <c r="SEA158" s="1142"/>
      <c r="SEB158" s="1142"/>
      <c r="SEC158" s="1142"/>
      <c r="SED158" s="1142"/>
      <c r="SEE158" s="1142"/>
      <c r="SEF158" s="1142"/>
      <c r="SEG158" s="1142"/>
      <c r="SEH158" s="1142"/>
      <c r="SEI158" s="1142"/>
      <c r="SEJ158" s="1142"/>
      <c r="SEK158" s="1142"/>
      <c r="SEL158" s="1142"/>
      <c r="SEM158" s="1142"/>
      <c r="SEN158" s="1142"/>
      <c r="SEO158" s="1142"/>
      <c r="SEP158" s="1142"/>
      <c r="SEQ158" s="1142"/>
      <c r="SER158" s="1142"/>
      <c r="SES158" s="1167"/>
      <c r="SET158" s="1167"/>
      <c r="SEU158" s="1167"/>
      <c r="SEV158" s="1167"/>
      <c r="SEW158" s="1167"/>
      <c r="SEX158" s="1167"/>
      <c r="SEY158" s="1167"/>
      <c r="SEZ158" s="1167"/>
      <c r="SFA158" s="1167"/>
      <c r="SFB158" s="1142"/>
      <c r="SFC158" s="1142"/>
      <c r="SFD158" s="1142"/>
      <c r="SFE158" s="1142"/>
      <c r="SFF158" s="1142"/>
      <c r="SFG158" s="1142"/>
      <c r="SFH158" s="1142"/>
      <c r="SFI158" s="1142"/>
      <c r="SFJ158" s="1142"/>
      <c r="SFK158" s="1142"/>
      <c r="SFL158" s="1142"/>
      <c r="SFM158" s="1142"/>
      <c r="SFN158" s="1142"/>
      <c r="SFO158" s="1142"/>
      <c r="SFP158" s="1142"/>
      <c r="SFQ158" s="1142"/>
      <c r="SFR158" s="1142"/>
      <c r="SFS158" s="1142"/>
      <c r="SFT158" s="1142"/>
      <c r="SFU158" s="1142"/>
      <c r="SFV158" s="1142"/>
      <c r="SFW158" s="1142"/>
      <c r="SFX158" s="1142"/>
      <c r="SFY158" s="1167"/>
      <c r="SFZ158" s="1167"/>
      <c r="SGA158" s="1167"/>
      <c r="SGB158" s="1167"/>
      <c r="SGC158" s="1167"/>
      <c r="SGD158" s="1167"/>
      <c r="SGE158" s="1167"/>
      <c r="SGF158" s="1167"/>
      <c r="SGG158" s="1167"/>
      <c r="SGH158" s="1142"/>
      <c r="SGI158" s="1142"/>
      <c r="SGJ158" s="1142"/>
      <c r="SGK158" s="1142"/>
      <c r="SGL158" s="1142"/>
      <c r="SGM158" s="1142"/>
      <c r="SGN158" s="1142"/>
      <c r="SGO158" s="1142"/>
      <c r="SGP158" s="1142"/>
      <c r="SGQ158" s="1142"/>
      <c r="SGR158" s="1142"/>
      <c r="SGS158" s="1142"/>
      <c r="SGT158" s="1142"/>
      <c r="SGU158" s="1142"/>
      <c r="SGV158" s="1142"/>
      <c r="SGW158" s="1142"/>
      <c r="SGX158" s="1142"/>
      <c r="SGY158" s="1142"/>
      <c r="SGZ158" s="1142"/>
      <c r="SHA158" s="1142"/>
      <c r="SHB158" s="1142"/>
      <c r="SHC158" s="1142"/>
      <c r="SHD158" s="1142"/>
      <c r="SHE158" s="1167"/>
      <c r="SHF158" s="1167"/>
      <c r="SHG158" s="1167"/>
      <c r="SHH158" s="1167"/>
      <c r="SHI158" s="1167"/>
      <c r="SHJ158" s="1167"/>
      <c r="SHK158" s="1167"/>
      <c r="SHL158" s="1167"/>
      <c r="SHM158" s="1167"/>
      <c r="SHN158" s="1142"/>
      <c r="SHO158" s="1142"/>
      <c r="SHP158" s="1142"/>
      <c r="SHQ158" s="1142"/>
      <c r="SHR158" s="1142"/>
      <c r="SHS158" s="1142"/>
      <c r="SHT158" s="1142"/>
      <c r="SHU158" s="1142"/>
      <c r="SHV158" s="1142"/>
      <c r="SHW158" s="1142"/>
      <c r="SHX158" s="1142"/>
      <c r="SHY158" s="1142"/>
      <c r="SHZ158" s="1142"/>
      <c r="SIA158" s="1142"/>
      <c r="SIB158" s="1142"/>
      <c r="SIC158" s="1142"/>
      <c r="SID158" s="1142"/>
      <c r="SIE158" s="1142"/>
      <c r="SIF158" s="1142"/>
      <c r="SIG158" s="1142"/>
      <c r="SIH158" s="1142"/>
      <c r="SII158" s="1142"/>
      <c r="SIJ158" s="1142"/>
      <c r="SIK158" s="1167"/>
      <c r="SIL158" s="1167"/>
      <c r="SIM158" s="1167"/>
      <c r="SIN158" s="1167"/>
      <c r="SIO158" s="1167"/>
      <c r="SIP158" s="1167"/>
      <c r="SIQ158" s="1167"/>
      <c r="SIR158" s="1167"/>
      <c r="SIS158" s="1167"/>
      <c r="SIT158" s="1142"/>
      <c r="SIU158" s="1142"/>
      <c r="SIV158" s="1142"/>
      <c r="SIW158" s="1142"/>
      <c r="SIX158" s="1142"/>
      <c r="SIY158" s="1142"/>
      <c r="SIZ158" s="1142"/>
      <c r="SJA158" s="1142"/>
      <c r="SJB158" s="1142"/>
      <c r="SJC158" s="1142"/>
      <c r="SJD158" s="1142"/>
      <c r="SJE158" s="1142"/>
      <c r="SJF158" s="1142"/>
      <c r="SJG158" s="1142"/>
      <c r="SJH158" s="1142"/>
      <c r="SJI158" s="1142"/>
      <c r="SJJ158" s="1142"/>
      <c r="SJK158" s="1142"/>
      <c r="SJL158" s="1142"/>
      <c r="SJM158" s="1142"/>
      <c r="SJN158" s="1142"/>
      <c r="SJO158" s="1142"/>
      <c r="SJP158" s="1142"/>
      <c r="SJQ158" s="1167"/>
      <c r="SJR158" s="1167"/>
      <c r="SJS158" s="1167"/>
      <c r="SJT158" s="1167"/>
      <c r="SJU158" s="1167"/>
      <c r="SJV158" s="1167"/>
      <c r="SJW158" s="1167"/>
      <c r="SJX158" s="1167"/>
      <c r="SJY158" s="1167"/>
      <c r="SJZ158" s="1142"/>
      <c r="SKA158" s="1142"/>
      <c r="SKB158" s="1142"/>
      <c r="SKC158" s="1142"/>
      <c r="SKD158" s="1142"/>
      <c r="SKE158" s="1142"/>
      <c r="SKF158" s="1142"/>
      <c r="SKG158" s="1142"/>
      <c r="SKH158" s="1142"/>
      <c r="SKI158" s="1142"/>
      <c r="SKJ158" s="1142"/>
      <c r="SKK158" s="1142"/>
      <c r="SKL158" s="1142"/>
      <c r="SKM158" s="1142"/>
      <c r="SKN158" s="1142"/>
      <c r="SKO158" s="1142"/>
      <c r="SKP158" s="1142"/>
      <c r="SKQ158" s="1142"/>
      <c r="SKR158" s="1142"/>
      <c r="SKS158" s="1142"/>
      <c r="SKT158" s="1142"/>
      <c r="SKU158" s="1142"/>
      <c r="SKV158" s="1142"/>
      <c r="SKW158" s="1167"/>
      <c r="SKX158" s="1167"/>
      <c r="SKY158" s="1167"/>
      <c r="SKZ158" s="1167"/>
      <c r="SLA158" s="1167"/>
      <c r="SLB158" s="1167"/>
      <c r="SLC158" s="1167"/>
      <c r="SLD158" s="1167"/>
      <c r="SLE158" s="1167"/>
      <c r="SLF158" s="1142"/>
      <c r="SLG158" s="1142"/>
      <c r="SLH158" s="1142"/>
      <c r="SLI158" s="1142"/>
      <c r="SLJ158" s="1142"/>
      <c r="SLK158" s="1142"/>
      <c r="SLL158" s="1142"/>
      <c r="SLM158" s="1142"/>
      <c r="SLN158" s="1142"/>
      <c r="SLO158" s="1142"/>
      <c r="SLP158" s="1142"/>
      <c r="SLQ158" s="1142"/>
      <c r="SLR158" s="1142"/>
      <c r="SLS158" s="1142"/>
      <c r="SLT158" s="1142"/>
      <c r="SLU158" s="1142"/>
      <c r="SLV158" s="1142"/>
      <c r="SLW158" s="1142"/>
      <c r="SLX158" s="1142"/>
      <c r="SLY158" s="1142"/>
      <c r="SLZ158" s="1142"/>
      <c r="SMA158" s="1142"/>
      <c r="SMB158" s="1142"/>
      <c r="SMC158" s="1167"/>
      <c r="SMD158" s="1167"/>
      <c r="SME158" s="1167"/>
      <c r="SMF158" s="1167"/>
      <c r="SMG158" s="1167"/>
      <c r="SMH158" s="1167"/>
      <c r="SMI158" s="1167"/>
      <c r="SMJ158" s="1167"/>
      <c r="SMK158" s="1167"/>
      <c r="SML158" s="1142"/>
      <c r="SMM158" s="1142"/>
      <c r="SMN158" s="1142"/>
      <c r="SMO158" s="1142"/>
      <c r="SMP158" s="1142"/>
      <c r="SMQ158" s="1142"/>
      <c r="SMR158" s="1142"/>
      <c r="SMS158" s="1142"/>
      <c r="SMT158" s="1142"/>
      <c r="SMU158" s="1142"/>
      <c r="SMV158" s="1142"/>
      <c r="SMW158" s="1142"/>
      <c r="SMX158" s="1142"/>
      <c r="SMY158" s="1142"/>
      <c r="SMZ158" s="1142"/>
      <c r="SNA158" s="1142"/>
      <c r="SNB158" s="1142"/>
      <c r="SNC158" s="1142"/>
      <c r="SND158" s="1142"/>
      <c r="SNE158" s="1142"/>
      <c r="SNF158" s="1142"/>
      <c r="SNG158" s="1142"/>
      <c r="SNH158" s="1142"/>
      <c r="SNI158" s="1167"/>
      <c r="SNJ158" s="1167"/>
      <c r="SNK158" s="1167"/>
      <c r="SNL158" s="1167"/>
      <c r="SNM158" s="1167"/>
      <c r="SNN158" s="1167"/>
      <c r="SNO158" s="1167"/>
      <c r="SNP158" s="1167"/>
      <c r="SNQ158" s="1167"/>
      <c r="SNR158" s="1142"/>
      <c r="SNS158" s="1142"/>
      <c r="SNT158" s="1142"/>
      <c r="SNU158" s="1142"/>
      <c r="SNV158" s="1142"/>
      <c r="SNW158" s="1142"/>
      <c r="SNX158" s="1142"/>
      <c r="SNY158" s="1142"/>
      <c r="SNZ158" s="1142"/>
      <c r="SOA158" s="1142"/>
      <c r="SOB158" s="1142"/>
      <c r="SOC158" s="1142"/>
      <c r="SOD158" s="1142"/>
      <c r="SOE158" s="1142"/>
      <c r="SOF158" s="1142"/>
      <c r="SOG158" s="1142"/>
      <c r="SOH158" s="1142"/>
      <c r="SOI158" s="1142"/>
      <c r="SOJ158" s="1142"/>
      <c r="SOK158" s="1142"/>
      <c r="SOL158" s="1142"/>
      <c r="SOM158" s="1142"/>
      <c r="SON158" s="1142"/>
      <c r="SOO158" s="1167"/>
      <c r="SOP158" s="1167"/>
      <c r="SOQ158" s="1167"/>
      <c r="SOR158" s="1167"/>
      <c r="SOS158" s="1167"/>
      <c r="SOT158" s="1167"/>
      <c r="SOU158" s="1167"/>
      <c r="SOV158" s="1167"/>
      <c r="SOW158" s="1167"/>
      <c r="SOX158" s="1142"/>
      <c r="SOY158" s="1142"/>
      <c r="SOZ158" s="1142"/>
      <c r="SPA158" s="1142"/>
      <c r="SPB158" s="1142"/>
      <c r="SPC158" s="1142"/>
      <c r="SPD158" s="1142"/>
      <c r="SPE158" s="1142"/>
      <c r="SPF158" s="1142"/>
      <c r="SPG158" s="1142"/>
      <c r="SPH158" s="1142"/>
      <c r="SPI158" s="1142"/>
      <c r="SPJ158" s="1142"/>
      <c r="SPK158" s="1142"/>
      <c r="SPL158" s="1142"/>
      <c r="SPM158" s="1142"/>
      <c r="SPN158" s="1142"/>
      <c r="SPO158" s="1142"/>
      <c r="SPP158" s="1142"/>
      <c r="SPQ158" s="1142"/>
      <c r="SPR158" s="1142"/>
      <c r="SPS158" s="1142"/>
      <c r="SPT158" s="1142"/>
      <c r="SPU158" s="1167"/>
      <c r="SPV158" s="1167"/>
      <c r="SPW158" s="1167"/>
      <c r="SPX158" s="1167"/>
      <c r="SPY158" s="1167"/>
      <c r="SPZ158" s="1167"/>
      <c r="SQA158" s="1167"/>
      <c r="SQB158" s="1167"/>
      <c r="SQC158" s="1167"/>
      <c r="SQD158" s="1142"/>
      <c r="SQE158" s="1142"/>
      <c r="SQF158" s="1142"/>
      <c r="SQG158" s="1142"/>
      <c r="SQH158" s="1142"/>
      <c r="SQI158" s="1142"/>
      <c r="SQJ158" s="1142"/>
      <c r="SQK158" s="1142"/>
      <c r="SQL158" s="1142"/>
      <c r="SQM158" s="1142"/>
      <c r="SQN158" s="1142"/>
      <c r="SQO158" s="1142"/>
      <c r="SQP158" s="1142"/>
      <c r="SQQ158" s="1142"/>
      <c r="SQR158" s="1142"/>
      <c r="SQS158" s="1142"/>
      <c r="SQT158" s="1142"/>
      <c r="SQU158" s="1142"/>
      <c r="SQV158" s="1142"/>
      <c r="SQW158" s="1142"/>
      <c r="SQX158" s="1142"/>
      <c r="SQY158" s="1142"/>
      <c r="SQZ158" s="1142"/>
      <c r="SRA158" s="1167"/>
      <c r="SRB158" s="1167"/>
      <c r="SRC158" s="1167"/>
      <c r="SRD158" s="1167"/>
      <c r="SRE158" s="1167"/>
      <c r="SRF158" s="1167"/>
      <c r="SRG158" s="1167"/>
      <c r="SRH158" s="1167"/>
      <c r="SRI158" s="1167"/>
      <c r="SRJ158" s="1142"/>
      <c r="SRK158" s="1142"/>
      <c r="SRL158" s="1142"/>
      <c r="SRM158" s="1142"/>
      <c r="SRN158" s="1142"/>
      <c r="SRO158" s="1142"/>
      <c r="SRP158" s="1142"/>
      <c r="SRQ158" s="1142"/>
      <c r="SRR158" s="1142"/>
      <c r="SRS158" s="1142"/>
      <c r="SRT158" s="1142"/>
      <c r="SRU158" s="1142"/>
      <c r="SRV158" s="1142"/>
      <c r="SRW158" s="1142"/>
      <c r="SRX158" s="1142"/>
      <c r="SRY158" s="1142"/>
      <c r="SRZ158" s="1142"/>
      <c r="SSA158" s="1142"/>
      <c r="SSB158" s="1142"/>
      <c r="SSC158" s="1142"/>
      <c r="SSD158" s="1142"/>
      <c r="SSE158" s="1142"/>
      <c r="SSF158" s="1142"/>
      <c r="SSG158" s="1167"/>
      <c r="SSH158" s="1167"/>
      <c r="SSI158" s="1167"/>
      <c r="SSJ158" s="1167"/>
      <c r="SSK158" s="1167"/>
      <c r="SSL158" s="1167"/>
      <c r="SSM158" s="1167"/>
      <c r="SSN158" s="1167"/>
      <c r="SSO158" s="1167"/>
      <c r="SSP158" s="1142"/>
      <c r="SSQ158" s="1142"/>
      <c r="SSR158" s="1142"/>
      <c r="SSS158" s="1142"/>
      <c r="SST158" s="1142"/>
      <c r="SSU158" s="1142"/>
      <c r="SSV158" s="1142"/>
      <c r="SSW158" s="1142"/>
      <c r="SSX158" s="1142"/>
      <c r="SSY158" s="1142"/>
      <c r="SSZ158" s="1142"/>
      <c r="STA158" s="1142"/>
      <c r="STB158" s="1142"/>
      <c r="STC158" s="1142"/>
      <c r="STD158" s="1142"/>
      <c r="STE158" s="1142"/>
      <c r="STF158" s="1142"/>
      <c r="STG158" s="1142"/>
      <c r="STH158" s="1142"/>
      <c r="STI158" s="1142"/>
      <c r="STJ158" s="1142"/>
      <c r="STK158" s="1142"/>
      <c r="STL158" s="1142"/>
      <c r="STM158" s="1167"/>
      <c r="STN158" s="1167"/>
      <c r="STO158" s="1167"/>
      <c r="STP158" s="1167"/>
      <c r="STQ158" s="1167"/>
      <c r="STR158" s="1167"/>
      <c r="STS158" s="1167"/>
      <c r="STT158" s="1167"/>
      <c r="STU158" s="1167"/>
      <c r="STV158" s="1142"/>
      <c r="STW158" s="1142"/>
      <c r="STX158" s="1142"/>
      <c r="STY158" s="1142"/>
      <c r="STZ158" s="1142"/>
      <c r="SUA158" s="1142"/>
      <c r="SUB158" s="1142"/>
      <c r="SUC158" s="1142"/>
      <c r="SUD158" s="1142"/>
      <c r="SUE158" s="1142"/>
      <c r="SUF158" s="1142"/>
      <c r="SUG158" s="1142"/>
      <c r="SUH158" s="1142"/>
      <c r="SUI158" s="1142"/>
      <c r="SUJ158" s="1142"/>
      <c r="SUK158" s="1142"/>
      <c r="SUL158" s="1142"/>
      <c r="SUM158" s="1142"/>
      <c r="SUN158" s="1142"/>
      <c r="SUO158" s="1142"/>
      <c r="SUP158" s="1142"/>
      <c r="SUQ158" s="1142"/>
      <c r="SUR158" s="1142"/>
      <c r="SUS158" s="1167"/>
      <c r="SUT158" s="1167"/>
      <c r="SUU158" s="1167"/>
      <c r="SUV158" s="1167"/>
      <c r="SUW158" s="1167"/>
      <c r="SUX158" s="1167"/>
      <c r="SUY158" s="1167"/>
      <c r="SUZ158" s="1167"/>
      <c r="SVA158" s="1167"/>
      <c r="SVB158" s="1142"/>
      <c r="SVC158" s="1142"/>
      <c r="SVD158" s="1142"/>
      <c r="SVE158" s="1142"/>
      <c r="SVF158" s="1142"/>
      <c r="SVG158" s="1142"/>
      <c r="SVH158" s="1142"/>
      <c r="SVI158" s="1142"/>
      <c r="SVJ158" s="1142"/>
      <c r="SVK158" s="1142"/>
      <c r="SVL158" s="1142"/>
      <c r="SVM158" s="1142"/>
      <c r="SVN158" s="1142"/>
      <c r="SVO158" s="1142"/>
      <c r="SVP158" s="1142"/>
      <c r="SVQ158" s="1142"/>
      <c r="SVR158" s="1142"/>
      <c r="SVS158" s="1142"/>
      <c r="SVT158" s="1142"/>
      <c r="SVU158" s="1142"/>
      <c r="SVV158" s="1142"/>
      <c r="SVW158" s="1142"/>
      <c r="SVX158" s="1142"/>
      <c r="SVY158" s="1167"/>
      <c r="SVZ158" s="1167"/>
      <c r="SWA158" s="1167"/>
      <c r="SWB158" s="1167"/>
      <c r="SWC158" s="1167"/>
      <c r="SWD158" s="1167"/>
      <c r="SWE158" s="1167"/>
      <c r="SWF158" s="1167"/>
      <c r="SWG158" s="1167"/>
      <c r="SWH158" s="1142"/>
      <c r="SWI158" s="1142"/>
      <c r="SWJ158" s="1142"/>
      <c r="SWK158" s="1142"/>
      <c r="SWL158" s="1142"/>
      <c r="SWM158" s="1142"/>
      <c r="SWN158" s="1142"/>
      <c r="SWO158" s="1142"/>
      <c r="SWP158" s="1142"/>
      <c r="SWQ158" s="1142"/>
      <c r="SWR158" s="1142"/>
      <c r="SWS158" s="1142"/>
      <c r="SWT158" s="1142"/>
      <c r="SWU158" s="1142"/>
      <c r="SWV158" s="1142"/>
      <c r="SWW158" s="1142"/>
      <c r="SWX158" s="1142"/>
      <c r="SWY158" s="1142"/>
      <c r="SWZ158" s="1142"/>
      <c r="SXA158" s="1142"/>
      <c r="SXB158" s="1142"/>
      <c r="SXC158" s="1142"/>
      <c r="SXD158" s="1142"/>
      <c r="SXE158" s="1167"/>
      <c r="SXF158" s="1167"/>
      <c r="SXG158" s="1167"/>
      <c r="SXH158" s="1167"/>
      <c r="SXI158" s="1167"/>
      <c r="SXJ158" s="1167"/>
      <c r="SXK158" s="1167"/>
      <c r="SXL158" s="1167"/>
      <c r="SXM158" s="1167"/>
      <c r="SXN158" s="1142"/>
      <c r="SXO158" s="1142"/>
      <c r="SXP158" s="1142"/>
      <c r="SXQ158" s="1142"/>
      <c r="SXR158" s="1142"/>
      <c r="SXS158" s="1142"/>
      <c r="SXT158" s="1142"/>
      <c r="SXU158" s="1142"/>
      <c r="SXV158" s="1142"/>
      <c r="SXW158" s="1142"/>
      <c r="SXX158" s="1142"/>
      <c r="SXY158" s="1142"/>
      <c r="SXZ158" s="1142"/>
      <c r="SYA158" s="1142"/>
      <c r="SYB158" s="1142"/>
      <c r="SYC158" s="1142"/>
      <c r="SYD158" s="1142"/>
      <c r="SYE158" s="1142"/>
      <c r="SYF158" s="1142"/>
      <c r="SYG158" s="1142"/>
      <c r="SYH158" s="1142"/>
      <c r="SYI158" s="1142"/>
      <c r="SYJ158" s="1142"/>
      <c r="SYK158" s="1167"/>
      <c r="SYL158" s="1167"/>
      <c r="SYM158" s="1167"/>
      <c r="SYN158" s="1167"/>
      <c r="SYO158" s="1167"/>
      <c r="SYP158" s="1167"/>
      <c r="SYQ158" s="1167"/>
      <c r="SYR158" s="1167"/>
      <c r="SYS158" s="1167"/>
      <c r="SYT158" s="1142"/>
      <c r="SYU158" s="1142"/>
      <c r="SYV158" s="1142"/>
      <c r="SYW158" s="1142"/>
      <c r="SYX158" s="1142"/>
      <c r="SYY158" s="1142"/>
      <c r="SYZ158" s="1142"/>
      <c r="SZA158" s="1142"/>
      <c r="SZB158" s="1142"/>
      <c r="SZC158" s="1142"/>
      <c r="SZD158" s="1142"/>
      <c r="SZE158" s="1142"/>
      <c r="SZF158" s="1142"/>
      <c r="SZG158" s="1142"/>
      <c r="SZH158" s="1142"/>
      <c r="SZI158" s="1142"/>
      <c r="SZJ158" s="1142"/>
      <c r="SZK158" s="1142"/>
      <c r="SZL158" s="1142"/>
      <c r="SZM158" s="1142"/>
      <c r="SZN158" s="1142"/>
      <c r="SZO158" s="1142"/>
      <c r="SZP158" s="1142"/>
      <c r="SZQ158" s="1167"/>
      <c r="SZR158" s="1167"/>
      <c r="SZS158" s="1167"/>
      <c r="SZT158" s="1167"/>
      <c r="SZU158" s="1167"/>
      <c r="SZV158" s="1167"/>
      <c r="SZW158" s="1167"/>
      <c r="SZX158" s="1167"/>
      <c r="SZY158" s="1167"/>
      <c r="SZZ158" s="1142"/>
      <c r="TAA158" s="1142"/>
      <c r="TAB158" s="1142"/>
      <c r="TAC158" s="1142"/>
      <c r="TAD158" s="1142"/>
      <c r="TAE158" s="1142"/>
      <c r="TAF158" s="1142"/>
      <c r="TAG158" s="1142"/>
      <c r="TAH158" s="1142"/>
      <c r="TAI158" s="1142"/>
      <c r="TAJ158" s="1142"/>
      <c r="TAK158" s="1142"/>
      <c r="TAL158" s="1142"/>
      <c r="TAM158" s="1142"/>
      <c r="TAN158" s="1142"/>
      <c r="TAO158" s="1142"/>
      <c r="TAP158" s="1142"/>
      <c r="TAQ158" s="1142"/>
      <c r="TAR158" s="1142"/>
      <c r="TAS158" s="1142"/>
      <c r="TAT158" s="1142"/>
      <c r="TAU158" s="1142"/>
      <c r="TAV158" s="1142"/>
      <c r="TAW158" s="1167"/>
      <c r="TAX158" s="1167"/>
      <c r="TAY158" s="1167"/>
      <c r="TAZ158" s="1167"/>
      <c r="TBA158" s="1167"/>
      <c r="TBB158" s="1167"/>
      <c r="TBC158" s="1167"/>
      <c r="TBD158" s="1167"/>
      <c r="TBE158" s="1167"/>
      <c r="TBF158" s="1142"/>
      <c r="TBG158" s="1142"/>
      <c r="TBH158" s="1142"/>
      <c r="TBI158" s="1142"/>
      <c r="TBJ158" s="1142"/>
      <c r="TBK158" s="1142"/>
      <c r="TBL158" s="1142"/>
      <c r="TBM158" s="1142"/>
      <c r="TBN158" s="1142"/>
      <c r="TBO158" s="1142"/>
      <c r="TBP158" s="1142"/>
      <c r="TBQ158" s="1142"/>
      <c r="TBR158" s="1142"/>
      <c r="TBS158" s="1142"/>
      <c r="TBT158" s="1142"/>
      <c r="TBU158" s="1142"/>
      <c r="TBV158" s="1142"/>
      <c r="TBW158" s="1142"/>
      <c r="TBX158" s="1142"/>
      <c r="TBY158" s="1142"/>
      <c r="TBZ158" s="1142"/>
      <c r="TCA158" s="1142"/>
      <c r="TCB158" s="1142"/>
      <c r="TCC158" s="1167"/>
      <c r="TCD158" s="1167"/>
      <c r="TCE158" s="1167"/>
      <c r="TCF158" s="1167"/>
      <c r="TCG158" s="1167"/>
      <c r="TCH158" s="1167"/>
      <c r="TCI158" s="1167"/>
      <c r="TCJ158" s="1167"/>
      <c r="TCK158" s="1167"/>
      <c r="TCL158" s="1142"/>
      <c r="TCM158" s="1142"/>
      <c r="TCN158" s="1142"/>
      <c r="TCO158" s="1142"/>
      <c r="TCP158" s="1142"/>
      <c r="TCQ158" s="1142"/>
      <c r="TCR158" s="1142"/>
      <c r="TCS158" s="1142"/>
      <c r="TCT158" s="1142"/>
      <c r="TCU158" s="1142"/>
      <c r="TCV158" s="1142"/>
      <c r="TCW158" s="1142"/>
      <c r="TCX158" s="1142"/>
      <c r="TCY158" s="1142"/>
      <c r="TCZ158" s="1142"/>
      <c r="TDA158" s="1142"/>
      <c r="TDB158" s="1142"/>
      <c r="TDC158" s="1142"/>
      <c r="TDD158" s="1142"/>
      <c r="TDE158" s="1142"/>
      <c r="TDF158" s="1142"/>
      <c r="TDG158" s="1142"/>
      <c r="TDH158" s="1142"/>
      <c r="TDI158" s="1167"/>
      <c r="TDJ158" s="1167"/>
      <c r="TDK158" s="1167"/>
      <c r="TDL158" s="1167"/>
      <c r="TDM158" s="1167"/>
      <c r="TDN158" s="1167"/>
      <c r="TDO158" s="1167"/>
      <c r="TDP158" s="1167"/>
      <c r="TDQ158" s="1167"/>
      <c r="TDR158" s="1142"/>
      <c r="TDS158" s="1142"/>
      <c r="TDT158" s="1142"/>
      <c r="TDU158" s="1142"/>
      <c r="TDV158" s="1142"/>
      <c r="TDW158" s="1142"/>
      <c r="TDX158" s="1142"/>
      <c r="TDY158" s="1142"/>
      <c r="TDZ158" s="1142"/>
      <c r="TEA158" s="1142"/>
      <c r="TEB158" s="1142"/>
      <c r="TEC158" s="1142"/>
      <c r="TED158" s="1142"/>
      <c r="TEE158" s="1142"/>
      <c r="TEF158" s="1142"/>
      <c r="TEG158" s="1142"/>
      <c r="TEH158" s="1142"/>
      <c r="TEI158" s="1142"/>
      <c r="TEJ158" s="1142"/>
      <c r="TEK158" s="1142"/>
      <c r="TEL158" s="1142"/>
      <c r="TEM158" s="1142"/>
      <c r="TEN158" s="1142"/>
      <c r="TEO158" s="1167"/>
      <c r="TEP158" s="1167"/>
      <c r="TEQ158" s="1167"/>
      <c r="TER158" s="1167"/>
      <c r="TES158" s="1167"/>
      <c r="TET158" s="1167"/>
      <c r="TEU158" s="1167"/>
      <c r="TEV158" s="1167"/>
      <c r="TEW158" s="1167"/>
      <c r="TEX158" s="1142"/>
      <c r="TEY158" s="1142"/>
      <c r="TEZ158" s="1142"/>
      <c r="TFA158" s="1142"/>
      <c r="TFB158" s="1142"/>
      <c r="TFC158" s="1142"/>
      <c r="TFD158" s="1142"/>
      <c r="TFE158" s="1142"/>
      <c r="TFF158" s="1142"/>
      <c r="TFG158" s="1142"/>
      <c r="TFH158" s="1142"/>
      <c r="TFI158" s="1142"/>
      <c r="TFJ158" s="1142"/>
      <c r="TFK158" s="1142"/>
      <c r="TFL158" s="1142"/>
      <c r="TFM158" s="1142"/>
      <c r="TFN158" s="1142"/>
      <c r="TFO158" s="1142"/>
      <c r="TFP158" s="1142"/>
      <c r="TFQ158" s="1142"/>
      <c r="TFR158" s="1142"/>
      <c r="TFS158" s="1142"/>
      <c r="TFT158" s="1142"/>
      <c r="TFU158" s="1167"/>
      <c r="TFV158" s="1167"/>
      <c r="TFW158" s="1167"/>
      <c r="TFX158" s="1167"/>
      <c r="TFY158" s="1167"/>
      <c r="TFZ158" s="1167"/>
      <c r="TGA158" s="1167"/>
      <c r="TGB158" s="1167"/>
      <c r="TGC158" s="1167"/>
      <c r="TGD158" s="1142"/>
      <c r="TGE158" s="1142"/>
      <c r="TGF158" s="1142"/>
      <c r="TGG158" s="1142"/>
      <c r="TGH158" s="1142"/>
      <c r="TGI158" s="1142"/>
      <c r="TGJ158" s="1142"/>
      <c r="TGK158" s="1142"/>
      <c r="TGL158" s="1142"/>
      <c r="TGM158" s="1142"/>
      <c r="TGN158" s="1142"/>
      <c r="TGO158" s="1142"/>
      <c r="TGP158" s="1142"/>
      <c r="TGQ158" s="1142"/>
      <c r="TGR158" s="1142"/>
      <c r="TGS158" s="1142"/>
      <c r="TGT158" s="1142"/>
      <c r="TGU158" s="1142"/>
      <c r="TGV158" s="1142"/>
      <c r="TGW158" s="1142"/>
      <c r="TGX158" s="1142"/>
      <c r="TGY158" s="1142"/>
      <c r="TGZ158" s="1142"/>
      <c r="THA158" s="1167"/>
      <c r="THB158" s="1167"/>
      <c r="THC158" s="1167"/>
      <c r="THD158" s="1167"/>
      <c r="THE158" s="1167"/>
      <c r="THF158" s="1167"/>
      <c r="THG158" s="1167"/>
      <c r="THH158" s="1167"/>
      <c r="THI158" s="1167"/>
      <c r="THJ158" s="1142"/>
      <c r="THK158" s="1142"/>
      <c r="THL158" s="1142"/>
      <c r="THM158" s="1142"/>
      <c r="THN158" s="1142"/>
      <c r="THO158" s="1142"/>
      <c r="THP158" s="1142"/>
      <c r="THQ158" s="1142"/>
      <c r="THR158" s="1142"/>
      <c r="THS158" s="1142"/>
      <c r="THT158" s="1142"/>
      <c r="THU158" s="1142"/>
      <c r="THV158" s="1142"/>
      <c r="THW158" s="1142"/>
      <c r="THX158" s="1142"/>
      <c r="THY158" s="1142"/>
      <c r="THZ158" s="1142"/>
      <c r="TIA158" s="1142"/>
      <c r="TIB158" s="1142"/>
      <c r="TIC158" s="1142"/>
      <c r="TID158" s="1142"/>
      <c r="TIE158" s="1142"/>
      <c r="TIF158" s="1142"/>
      <c r="TIG158" s="1167"/>
      <c r="TIH158" s="1167"/>
      <c r="TII158" s="1167"/>
      <c r="TIJ158" s="1167"/>
      <c r="TIK158" s="1167"/>
      <c r="TIL158" s="1167"/>
      <c r="TIM158" s="1167"/>
      <c r="TIN158" s="1167"/>
      <c r="TIO158" s="1167"/>
      <c r="TIP158" s="1142"/>
      <c r="TIQ158" s="1142"/>
      <c r="TIR158" s="1142"/>
      <c r="TIS158" s="1142"/>
      <c r="TIT158" s="1142"/>
      <c r="TIU158" s="1142"/>
      <c r="TIV158" s="1142"/>
      <c r="TIW158" s="1142"/>
      <c r="TIX158" s="1142"/>
      <c r="TIY158" s="1142"/>
      <c r="TIZ158" s="1142"/>
      <c r="TJA158" s="1142"/>
      <c r="TJB158" s="1142"/>
      <c r="TJC158" s="1142"/>
      <c r="TJD158" s="1142"/>
      <c r="TJE158" s="1142"/>
      <c r="TJF158" s="1142"/>
      <c r="TJG158" s="1142"/>
      <c r="TJH158" s="1142"/>
      <c r="TJI158" s="1142"/>
      <c r="TJJ158" s="1142"/>
      <c r="TJK158" s="1142"/>
      <c r="TJL158" s="1142"/>
      <c r="TJM158" s="1167"/>
      <c r="TJN158" s="1167"/>
      <c r="TJO158" s="1167"/>
      <c r="TJP158" s="1167"/>
      <c r="TJQ158" s="1167"/>
      <c r="TJR158" s="1167"/>
      <c r="TJS158" s="1167"/>
      <c r="TJT158" s="1167"/>
      <c r="TJU158" s="1167"/>
      <c r="TJV158" s="1142"/>
      <c r="TJW158" s="1142"/>
      <c r="TJX158" s="1142"/>
      <c r="TJY158" s="1142"/>
      <c r="TJZ158" s="1142"/>
      <c r="TKA158" s="1142"/>
      <c r="TKB158" s="1142"/>
      <c r="TKC158" s="1142"/>
      <c r="TKD158" s="1142"/>
      <c r="TKE158" s="1142"/>
      <c r="TKF158" s="1142"/>
      <c r="TKG158" s="1142"/>
      <c r="TKH158" s="1142"/>
      <c r="TKI158" s="1142"/>
      <c r="TKJ158" s="1142"/>
      <c r="TKK158" s="1142"/>
      <c r="TKL158" s="1142"/>
      <c r="TKM158" s="1142"/>
      <c r="TKN158" s="1142"/>
      <c r="TKO158" s="1142"/>
      <c r="TKP158" s="1142"/>
      <c r="TKQ158" s="1142"/>
      <c r="TKR158" s="1142"/>
      <c r="TKS158" s="1167"/>
      <c r="TKT158" s="1167"/>
      <c r="TKU158" s="1167"/>
      <c r="TKV158" s="1167"/>
      <c r="TKW158" s="1167"/>
      <c r="TKX158" s="1167"/>
      <c r="TKY158" s="1167"/>
      <c r="TKZ158" s="1167"/>
      <c r="TLA158" s="1167"/>
      <c r="TLB158" s="1142"/>
      <c r="TLC158" s="1142"/>
      <c r="TLD158" s="1142"/>
      <c r="TLE158" s="1142"/>
      <c r="TLF158" s="1142"/>
      <c r="TLG158" s="1142"/>
      <c r="TLH158" s="1142"/>
      <c r="TLI158" s="1142"/>
      <c r="TLJ158" s="1142"/>
      <c r="TLK158" s="1142"/>
      <c r="TLL158" s="1142"/>
      <c r="TLM158" s="1142"/>
      <c r="TLN158" s="1142"/>
      <c r="TLO158" s="1142"/>
      <c r="TLP158" s="1142"/>
      <c r="TLQ158" s="1142"/>
      <c r="TLR158" s="1142"/>
      <c r="TLS158" s="1142"/>
      <c r="TLT158" s="1142"/>
      <c r="TLU158" s="1142"/>
      <c r="TLV158" s="1142"/>
      <c r="TLW158" s="1142"/>
      <c r="TLX158" s="1142"/>
      <c r="TLY158" s="1167"/>
      <c r="TLZ158" s="1167"/>
      <c r="TMA158" s="1167"/>
      <c r="TMB158" s="1167"/>
      <c r="TMC158" s="1167"/>
      <c r="TMD158" s="1167"/>
      <c r="TME158" s="1167"/>
      <c r="TMF158" s="1167"/>
      <c r="TMG158" s="1167"/>
      <c r="TMH158" s="1142"/>
      <c r="TMI158" s="1142"/>
      <c r="TMJ158" s="1142"/>
      <c r="TMK158" s="1142"/>
      <c r="TML158" s="1142"/>
      <c r="TMM158" s="1142"/>
      <c r="TMN158" s="1142"/>
      <c r="TMO158" s="1142"/>
      <c r="TMP158" s="1142"/>
      <c r="TMQ158" s="1142"/>
      <c r="TMR158" s="1142"/>
      <c r="TMS158" s="1142"/>
      <c r="TMT158" s="1142"/>
      <c r="TMU158" s="1142"/>
      <c r="TMV158" s="1142"/>
      <c r="TMW158" s="1142"/>
      <c r="TMX158" s="1142"/>
      <c r="TMY158" s="1142"/>
      <c r="TMZ158" s="1142"/>
      <c r="TNA158" s="1142"/>
      <c r="TNB158" s="1142"/>
      <c r="TNC158" s="1142"/>
      <c r="TND158" s="1142"/>
      <c r="TNE158" s="1167"/>
      <c r="TNF158" s="1167"/>
      <c r="TNG158" s="1167"/>
      <c r="TNH158" s="1167"/>
      <c r="TNI158" s="1167"/>
      <c r="TNJ158" s="1167"/>
      <c r="TNK158" s="1167"/>
      <c r="TNL158" s="1167"/>
      <c r="TNM158" s="1167"/>
      <c r="TNN158" s="1142"/>
      <c r="TNO158" s="1142"/>
      <c r="TNP158" s="1142"/>
      <c r="TNQ158" s="1142"/>
      <c r="TNR158" s="1142"/>
      <c r="TNS158" s="1142"/>
      <c r="TNT158" s="1142"/>
      <c r="TNU158" s="1142"/>
      <c r="TNV158" s="1142"/>
      <c r="TNW158" s="1142"/>
      <c r="TNX158" s="1142"/>
      <c r="TNY158" s="1142"/>
      <c r="TNZ158" s="1142"/>
      <c r="TOA158" s="1142"/>
      <c r="TOB158" s="1142"/>
      <c r="TOC158" s="1142"/>
      <c r="TOD158" s="1142"/>
      <c r="TOE158" s="1142"/>
      <c r="TOF158" s="1142"/>
      <c r="TOG158" s="1142"/>
      <c r="TOH158" s="1142"/>
      <c r="TOI158" s="1142"/>
      <c r="TOJ158" s="1142"/>
      <c r="TOK158" s="1167"/>
      <c r="TOL158" s="1167"/>
      <c r="TOM158" s="1167"/>
      <c r="TON158" s="1167"/>
      <c r="TOO158" s="1167"/>
      <c r="TOP158" s="1167"/>
      <c r="TOQ158" s="1167"/>
      <c r="TOR158" s="1167"/>
      <c r="TOS158" s="1167"/>
      <c r="TOT158" s="1142"/>
      <c r="TOU158" s="1142"/>
      <c r="TOV158" s="1142"/>
      <c r="TOW158" s="1142"/>
      <c r="TOX158" s="1142"/>
      <c r="TOY158" s="1142"/>
      <c r="TOZ158" s="1142"/>
      <c r="TPA158" s="1142"/>
      <c r="TPB158" s="1142"/>
      <c r="TPC158" s="1142"/>
      <c r="TPD158" s="1142"/>
      <c r="TPE158" s="1142"/>
      <c r="TPF158" s="1142"/>
      <c r="TPG158" s="1142"/>
      <c r="TPH158" s="1142"/>
      <c r="TPI158" s="1142"/>
      <c r="TPJ158" s="1142"/>
      <c r="TPK158" s="1142"/>
      <c r="TPL158" s="1142"/>
      <c r="TPM158" s="1142"/>
      <c r="TPN158" s="1142"/>
      <c r="TPO158" s="1142"/>
      <c r="TPP158" s="1142"/>
      <c r="TPQ158" s="1167"/>
      <c r="TPR158" s="1167"/>
      <c r="TPS158" s="1167"/>
      <c r="TPT158" s="1167"/>
      <c r="TPU158" s="1167"/>
      <c r="TPV158" s="1167"/>
      <c r="TPW158" s="1167"/>
      <c r="TPX158" s="1167"/>
      <c r="TPY158" s="1167"/>
      <c r="TPZ158" s="1142"/>
      <c r="TQA158" s="1142"/>
      <c r="TQB158" s="1142"/>
      <c r="TQC158" s="1142"/>
      <c r="TQD158" s="1142"/>
      <c r="TQE158" s="1142"/>
      <c r="TQF158" s="1142"/>
      <c r="TQG158" s="1142"/>
      <c r="TQH158" s="1142"/>
      <c r="TQI158" s="1142"/>
      <c r="TQJ158" s="1142"/>
      <c r="TQK158" s="1142"/>
      <c r="TQL158" s="1142"/>
      <c r="TQM158" s="1142"/>
      <c r="TQN158" s="1142"/>
      <c r="TQO158" s="1142"/>
      <c r="TQP158" s="1142"/>
      <c r="TQQ158" s="1142"/>
      <c r="TQR158" s="1142"/>
      <c r="TQS158" s="1142"/>
      <c r="TQT158" s="1142"/>
      <c r="TQU158" s="1142"/>
      <c r="TQV158" s="1142"/>
      <c r="TQW158" s="1167"/>
      <c r="TQX158" s="1167"/>
      <c r="TQY158" s="1167"/>
      <c r="TQZ158" s="1167"/>
      <c r="TRA158" s="1167"/>
      <c r="TRB158" s="1167"/>
      <c r="TRC158" s="1167"/>
      <c r="TRD158" s="1167"/>
      <c r="TRE158" s="1167"/>
      <c r="TRF158" s="1142"/>
      <c r="TRG158" s="1142"/>
      <c r="TRH158" s="1142"/>
      <c r="TRI158" s="1142"/>
      <c r="TRJ158" s="1142"/>
      <c r="TRK158" s="1142"/>
      <c r="TRL158" s="1142"/>
      <c r="TRM158" s="1142"/>
      <c r="TRN158" s="1142"/>
      <c r="TRO158" s="1142"/>
      <c r="TRP158" s="1142"/>
      <c r="TRQ158" s="1142"/>
      <c r="TRR158" s="1142"/>
      <c r="TRS158" s="1142"/>
      <c r="TRT158" s="1142"/>
      <c r="TRU158" s="1142"/>
      <c r="TRV158" s="1142"/>
      <c r="TRW158" s="1142"/>
      <c r="TRX158" s="1142"/>
      <c r="TRY158" s="1142"/>
      <c r="TRZ158" s="1142"/>
      <c r="TSA158" s="1142"/>
      <c r="TSB158" s="1142"/>
      <c r="TSC158" s="1167"/>
      <c r="TSD158" s="1167"/>
      <c r="TSE158" s="1167"/>
      <c r="TSF158" s="1167"/>
      <c r="TSG158" s="1167"/>
      <c r="TSH158" s="1167"/>
      <c r="TSI158" s="1167"/>
      <c r="TSJ158" s="1167"/>
      <c r="TSK158" s="1167"/>
      <c r="TSL158" s="1142"/>
      <c r="TSM158" s="1142"/>
      <c r="TSN158" s="1142"/>
      <c r="TSO158" s="1142"/>
      <c r="TSP158" s="1142"/>
      <c r="TSQ158" s="1142"/>
      <c r="TSR158" s="1142"/>
      <c r="TSS158" s="1142"/>
      <c r="TST158" s="1142"/>
      <c r="TSU158" s="1142"/>
      <c r="TSV158" s="1142"/>
      <c r="TSW158" s="1142"/>
      <c r="TSX158" s="1142"/>
      <c r="TSY158" s="1142"/>
      <c r="TSZ158" s="1142"/>
      <c r="TTA158" s="1142"/>
      <c r="TTB158" s="1142"/>
      <c r="TTC158" s="1142"/>
      <c r="TTD158" s="1142"/>
      <c r="TTE158" s="1142"/>
      <c r="TTF158" s="1142"/>
      <c r="TTG158" s="1142"/>
      <c r="TTH158" s="1142"/>
      <c r="TTI158" s="1167"/>
      <c r="TTJ158" s="1167"/>
      <c r="TTK158" s="1167"/>
      <c r="TTL158" s="1167"/>
      <c r="TTM158" s="1167"/>
      <c r="TTN158" s="1167"/>
      <c r="TTO158" s="1167"/>
      <c r="TTP158" s="1167"/>
      <c r="TTQ158" s="1167"/>
      <c r="TTR158" s="1142"/>
      <c r="TTS158" s="1142"/>
      <c r="TTT158" s="1142"/>
      <c r="TTU158" s="1142"/>
      <c r="TTV158" s="1142"/>
      <c r="TTW158" s="1142"/>
      <c r="TTX158" s="1142"/>
      <c r="TTY158" s="1142"/>
      <c r="TTZ158" s="1142"/>
      <c r="TUA158" s="1142"/>
      <c r="TUB158" s="1142"/>
      <c r="TUC158" s="1142"/>
      <c r="TUD158" s="1142"/>
      <c r="TUE158" s="1142"/>
      <c r="TUF158" s="1142"/>
      <c r="TUG158" s="1142"/>
      <c r="TUH158" s="1142"/>
      <c r="TUI158" s="1142"/>
      <c r="TUJ158" s="1142"/>
      <c r="TUK158" s="1142"/>
      <c r="TUL158" s="1142"/>
      <c r="TUM158" s="1142"/>
      <c r="TUN158" s="1142"/>
      <c r="TUO158" s="1167"/>
      <c r="TUP158" s="1167"/>
      <c r="TUQ158" s="1167"/>
      <c r="TUR158" s="1167"/>
      <c r="TUS158" s="1167"/>
      <c r="TUT158" s="1167"/>
      <c r="TUU158" s="1167"/>
      <c r="TUV158" s="1167"/>
      <c r="TUW158" s="1167"/>
      <c r="TUX158" s="1142"/>
      <c r="TUY158" s="1142"/>
      <c r="TUZ158" s="1142"/>
      <c r="TVA158" s="1142"/>
      <c r="TVB158" s="1142"/>
      <c r="TVC158" s="1142"/>
      <c r="TVD158" s="1142"/>
      <c r="TVE158" s="1142"/>
      <c r="TVF158" s="1142"/>
      <c r="TVG158" s="1142"/>
      <c r="TVH158" s="1142"/>
      <c r="TVI158" s="1142"/>
      <c r="TVJ158" s="1142"/>
      <c r="TVK158" s="1142"/>
      <c r="TVL158" s="1142"/>
      <c r="TVM158" s="1142"/>
      <c r="TVN158" s="1142"/>
      <c r="TVO158" s="1142"/>
      <c r="TVP158" s="1142"/>
      <c r="TVQ158" s="1142"/>
      <c r="TVR158" s="1142"/>
      <c r="TVS158" s="1142"/>
      <c r="TVT158" s="1142"/>
      <c r="TVU158" s="1167"/>
      <c r="TVV158" s="1167"/>
      <c r="TVW158" s="1167"/>
      <c r="TVX158" s="1167"/>
      <c r="TVY158" s="1167"/>
      <c r="TVZ158" s="1167"/>
      <c r="TWA158" s="1167"/>
      <c r="TWB158" s="1167"/>
      <c r="TWC158" s="1167"/>
      <c r="TWD158" s="1142"/>
      <c r="TWE158" s="1142"/>
      <c r="TWF158" s="1142"/>
      <c r="TWG158" s="1142"/>
      <c r="TWH158" s="1142"/>
      <c r="TWI158" s="1142"/>
      <c r="TWJ158" s="1142"/>
      <c r="TWK158" s="1142"/>
      <c r="TWL158" s="1142"/>
      <c r="TWM158" s="1142"/>
      <c r="TWN158" s="1142"/>
      <c r="TWO158" s="1142"/>
      <c r="TWP158" s="1142"/>
      <c r="TWQ158" s="1142"/>
      <c r="TWR158" s="1142"/>
      <c r="TWS158" s="1142"/>
      <c r="TWT158" s="1142"/>
      <c r="TWU158" s="1142"/>
      <c r="TWV158" s="1142"/>
      <c r="TWW158" s="1142"/>
      <c r="TWX158" s="1142"/>
      <c r="TWY158" s="1142"/>
      <c r="TWZ158" s="1142"/>
      <c r="TXA158" s="1167"/>
      <c r="TXB158" s="1167"/>
      <c r="TXC158" s="1167"/>
      <c r="TXD158" s="1167"/>
      <c r="TXE158" s="1167"/>
      <c r="TXF158" s="1167"/>
      <c r="TXG158" s="1167"/>
      <c r="TXH158" s="1167"/>
      <c r="TXI158" s="1167"/>
      <c r="TXJ158" s="1142"/>
      <c r="TXK158" s="1142"/>
      <c r="TXL158" s="1142"/>
      <c r="TXM158" s="1142"/>
      <c r="TXN158" s="1142"/>
      <c r="TXO158" s="1142"/>
      <c r="TXP158" s="1142"/>
      <c r="TXQ158" s="1142"/>
      <c r="TXR158" s="1142"/>
      <c r="TXS158" s="1142"/>
      <c r="TXT158" s="1142"/>
      <c r="TXU158" s="1142"/>
      <c r="TXV158" s="1142"/>
      <c r="TXW158" s="1142"/>
      <c r="TXX158" s="1142"/>
      <c r="TXY158" s="1142"/>
      <c r="TXZ158" s="1142"/>
      <c r="TYA158" s="1142"/>
      <c r="TYB158" s="1142"/>
      <c r="TYC158" s="1142"/>
      <c r="TYD158" s="1142"/>
      <c r="TYE158" s="1142"/>
      <c r="TYF158" s="1142"/>
      <c r="TYG158" s="1167"/>
      <c r="TYH158" s="1167"/>
      <c r="TYI158" s="1167"/>
      <c r="TYJ158" s="1167"/>
      <c r="TYK158" s="1167"/>
      <c r="TYL158" s="1167"/>
      <c r="TYM158" s="1167"/>
      <c r="TYN158" s="1167"/>
      <c r="TYO158" s="1167"/>
      <c r="TYP158" s="1142"/>
      <c r="TYQ158" s="1142"/>
      <c r="TYR158" s="1142"/>
      <c r="TYS158" s="1142"/>
      <c r="TYT158" s="1142"/>
      <c r="TYU158" s="1142"/>
      <c r="TYV158" s="1142"/>
      <c r="TYW158" s="1142"/>
      <c r="TYX158" s="1142"/>
      <c r="TYY158" s="1142"/>
      <c r="TYZ158" s="1142"/>
      <c r="TZA158" s="1142"/>
      <c r="TZB158" s="1142"/>
      <c r="TZC158" s="1142"/>
      <c r="TZD158" s="1142"/>
      <c r="TZE158" s="1142"/>
      <c r="TZF158" s="1142"/>
      <c r="TZG158" s="1142"/>
      <c r="TZH158" s="1142"/>
      <c r="TZI158" s="1142"/>
      <c r="TZJ158" s="1142"/>
      <c r="TZK158" s="1142"/>
      <c r="TZL158" s="1142"/>
      <c r="TZM158" s="1167"/>
      <c r="TZN158" s="1167"/>
      <c r="TZO158" s="1167"/>
      <c r="TZP158" s="1167"/>
      <c r="TZQ158" s="1167"/>
      <c r="TZR158" s="1167"/>
      <c r="TZS158" s="1167"/>
      <c r="TZT158" s="1167"/>
      <c r="TZU158" s="1167"/>
      <c r="TZV158" s="1142"/>
      <c r="TZW158" s="1142"/>
      <c r="TZX158" s="1142"/>
      <c r="TZY158" s="1142"/>
      <c r="TZZ158" s="1142"/>
      <c r="UAA158" s="1142"/>
      <c r="UAB158" s="1142"/>
      <c r="UAC158" s="1142"/>
      <c r="UAD158" s="1142"/>
      <c r="UAE158" s="1142"/>
      <c r="UAF158" s="1142"/>
      <c r="UAG158" s="1142"/>
      <c r="UAH158" s="1142"/>
      <c r="UAI158" s="1142"/>
      <c r="UAJ158" s="1142"/>
      <c r="UAK158" s="1142"/>
      <c r="UAL158" s="1142"/>
      <c r="UAM158" s="1142"/>
      <c r="UAN158" s="1142"/>
      <c r="UAO158" s="1142"/>
      <c r="UAP158" s="1142"/>
      <c r="UAQ158" s="1142"/>
      <c r="UAR158" s="1142"/>
      <c r="UAS158" s="1167"/>
      <c r="UAT158" s="1167"/>
      <c r="UAU158" s="1167"/>
      <c r="UAV158" s="1167"/>
      <c r="UAW158" s="1167"/>
      <c r="UAX158" s="1167"/>
      <c r="UAY158" s="1167"/>
      <c r="UAZ158" s="1167"/>
      <c r="UBA158" s="1167"/>
      <c r="UBB158" s="1142"/>
      <c r="UBC158" s="1142"/>
      <c r="UBD158" s="1142"/>
      <c r="UBE158" s="1142"/>
      <c r="UBF158" s="1142"/>
      <c r="UBG158" s="1142"/>
      <c r="UBH158" s="1142"/>
      <c r="UBI158" s="1142"/>
      <c r="UBJ158" s="1142"/>
      <c r="UBK158" s="1142"/>
      <c r="UBL158" s="1142"/>
      <c r="UBM158" s="1142"/>
      <c r="UBN158" s="1142"/>
      <c r="UBO158" s="1142"/>
      <c r="UBP158" s="1142"/>
      <c r="UBQ158" s="1142"/>
      <c r="UBR158" s="1142"/>
      <c r="UBS158" s="1142"/>
      <c r="UBT158" s="1142"/>
      <c r="UBU158" s="1142"/>
      <c r="UBV158" s="1142"/>
      <c r="UBW158" s="1142"/>
      <c r="UBX158" s="1142"/>
      <c r="UBY158" s="1167"/>
      <c r="UBZ158" s="1167"/>
      <c r="UCA158" s="1167"/>
      <c r="UCB158" s="1167"/>
      <c r="UCC158" s="1167"/>
      <c r="UCD158" s="1167"/>
      <c r="UCE158" s="1167"/>
      <c r="UCF158" s="1167"/>
      <c r="UCG158" s="1167"/>
      <c r="UCH158" s="1142"/>
      <c r="UCI158" s="1142"/>
      <c r="UCJ158" s="1142"/>
      <c r="UCK158" s="1142"/>
      <c r="UCL158" s="1142"/>
      <c r="UCM158" s="1142"/>
      <c r="UCN158" s="1142"/>
      <c r="UCO158" s="1142"/>
      <c r="UCP158" s="1142"/>
      <c r="UCQ158" s="1142"/>
      <c r="UCR158" s="1142"/>
      <c r="UCS158" s="1142"/>
      <c r="UCT158" s="1142"/>
      <c r="UCU158" s="1142"/>
      <c r="UCV158" s="1142"/>
      <c r="UCW158" s="1142"/>
      <c r="UCX158" s="1142"/>
      <c r="UCY158" s="1142"/>
      <c r="UCZ158" s="1142"/>
      <c r="UDA158" s="1142"/>
      <c r="UDB158" s="1142"/>
      <c r="UDC158" s="1142"/>
      <c r="UDD158" s="1142"/>
      <c r="UDE158" s="1167"/>
      <c r="UDF158" s="1167"/>
      <c r="UDG158" s="1167"/>
      <c r="UDH158" s="1167"/>
      <c r="UDI158" s="1167"/>
      <c r="UDJ158" s="1167"/>
      <c r="UDK158" s="1167"/>
      <c r="UDL158" s="1167"/>
      <c r="UDM158" s="1167"/>
      <c r="UDN158" s="1142"/>
      <c r="UDO158" s="1142"/>
      <c r="UDP158" s="1142"/>
      <c r="UDQ158" s="1142"/>
      <c r="UDR158" s="1142"/>
      <c r="UDS158" s="1142"/>
      <c r="UDT158" s="1142"/>
      <c r="UDU158" s="1142"/>
      <c r="UDV158" s="1142"/>
      <c r="UDW158" s="1142"/>
      <c r="UDX158" s="1142"/>
      <c r="UDY158" s="1142"/>
      <c r="UDZ158" s="1142"/>
      <c r="UEA158" s="1142"/>
      <c r="UEB158" s="1142"/>
      <c r="UEC158" s="1142"/>
      <c r="UED158" s="1142"/>
      <c r="UEE158" s="1142"/>
      <c r="UEF158" s="1142"/>
      <c r="UEG158" s="1142"/>
      <c r="UEH158" s="1142"/>
      <c r="UEI158" s="1142"/>
      <c r="UEJ158" s="1142"/>
      <c r="UEK158" s="1167"/>
      <c r="UEL158" s="1167"/>
      <c r="UEM158" s="1167"/>
      <c r="UEN158" s="1167"/>
      <c r="UEO158" s="1167"/>
      <c r="UEP158" s="1167"/>
      <c r="UEQ158" s="1167"/>
      <c r="UER158" s="1167"/>
      <c r="UES158" s="1167"/>
      <c r="UET158" s="1142"/>
      <c r="UEU158" s="1142"/>
      <c r="UEV158" s="1142"/>
      <c r="UEW158" s="1142"/>
      <c r="UEX158" s="1142"/>
      <c r="UEY158" s="1142"/>
      <c r="UEZ158" s="1142"/>
      <c r="UFA158" s="1142"/>
      <c r="UFB158" s="1142"/>
      <c r="UFC158" s="1142"/>
      <c r="UFD158" s="1142"/>
      <c r="UFE158" s="1142"/>
      <c r="UFF158" s="1142"/>
      <c r="UFG158" s="1142"/>
      <c r="UFH158" s="1142"/>
      <c r="UFI158" s="1142"/>
      <c r="UFJ158" s="1142"/>
      <c r="UFK158" s="1142"/>
      <c r="UFL158" s="1142"/>
      <c r="UFM158" s="1142"/>
      <c r="UFN158" s="1142"/>
      <c r="UFO158" s="1142"/>
      <c r="UFP158" s="1142"/>
      <c r="UFQ158" s="1167"/>
      <c r="UFR158" s="1167"/>
      <c r="UFS158" s="1167"/>
      <c r="UFT158" s="1167"/>
      <c r="UFU158" s="1167"/>
      <c r="UFV158" s="1167"/>
      <c r="UFW158" s="1167"/>
      <c r="UFX158" s="1167"/>
      <c r="UFY158" s="1167"/>
      <c r="UFZ158" s="1142"/>
      <c r="UGA158" s="1142"/>
      <c r="UGB158" s="1142"/>
      <c r="UGC158" s="1142"/>
      <c r="UGD158" s="1142"/>
      <c r="UGE158" s="1142"/>
      <c r="UGF158" s="1142"/>
      <c r="UGG158" s="1142"/>
      <c r="UGH158" s="1142"/>
      <c r="UGI158" s="1142"/>
      <c r="UGJ158" s="1142"/>
      <c r="UGK158" s="1142"/>
      <c r="UGL158" s="1142"/>
      <c r="UGM158" s="1142"/>
      <c r="UGN158" s="1142"/>
      <c r="UGO158" s="1142"/>
      <c r="UGP158" s="1142"/>
      <c r="UGQ158" s="1142"/>
      <c r="UGR158" s="1142"/>
      <c r="UGS158" s="1142"/>
      <c r="UGT158" s="1142"/>
      <c r="UGU158" s="1142"/>
      <c r="UGV158" s="1142"/>
      <c r="UGW158" s="1167"/>
      <c r="UGX158" s="1167"/>
      <c r="UGY158" s="1167"/>
      <c r="UGZ158" s="1167"/>
      <c r="UHA158" s="1167"/>
      <c r="UHB158" s="1167"/>
      <c r="UHC158" s="1167"/>
      <c r="UHD158" s="1167"/>
      <c r="UHE158" s="1167"/>
      <c r="UHF158" s="1142"/>
      <c r="UHG158" s="1142"/>
      <c r="UHH158" s="1142"/>
      <c r="UHI158" s="1142"/>
      <c r="UHJ158" s="1142"/>
      <c r="UHK158" s="1142"/>
      <c r="UHL158" s="1142"/>
      <c r="UHM158" s="1142"/>
      <c r="UHN158" s="1142"/>
      <c r="UHO158" s="1142"/>
      <c r="UHP158" s="1142"/>
      <c r="UHQ158" s="1142"/>
      <c r="UHR158" s="1142"/>
      <c r="UHS158" s="1142"/>
      <c r="UHT158" s="1142"/>
      <c r="UHU158" s="1142"/>
      <c r="UHV158" s="1142"/>
      <c r="UHW158" s="1142"/>
      <c r="UHX158" s="1142"/>
      <c r="UHY158" s="1142"/>
      <c r="UHZ158" s="1142"/>
      <c r="UIA158" s="1142"/>
      <c r="UIB158" s="1142"/>
      <c r="UIC158" s="1167"/>
      <c r="UID158" s="1167"/>
      <c r="UIE158" s="1167"/>
      <c r="UIF158" s="1167"/>
      <c r="UIG158" s="1167"/>
      <c r="UIH158" s="1167"/>
      <c r="UII158" s="1167"/>
      <c r="UIJ158" s="1167"/>
      <c r="UIK158" s="1167"/>
      <c r="UIL158" s="1142"/>
      <c r="UIM158" s="1142"/>
      <c r="UIN158" s="1142"/>
      <c r="UIO158" s="1142"/>
      <c r="UIP158" s="1142"/>
      <c r="UIQ158" s="1142"/>
      <c r="UIR158" s="1142"/>
      <c r="UIS158" s="1142"/>
      <c r="UIT158" s="1142"/>
      <c r="UIU158" s="1142"/>
      <c r="UIV158" s="1142"/>
      <c r="UIW158" s="1142"/>
      <c r="UIX158" s="1142"/>
      <c r="UIY158" s="1142"/>
      <c r="UIZ158" s="1142"/>
      <c r="UJA158" s="1142"/>
      <c r="UJB158" s="1142"/>
      <c r="UJC158" s="1142"/>
      <c r="UJD158" s="1142"/>
      <c r="UJE158" s="1142"/>
      <c r="UJF158" s="1142"/>
      <c r="UJG158" s="1142"/>
      <c r="UJH158" s="1142"/>
      <c r="UJI158" s="1167"/>
      <c r="UJJ158" s="1167"/>
      <c r="UJK158" s="1167"/>
      <c r="UJL158" s="1167"/>
      <c r="UJM158" s="1167"/>
      <c r="UJN158" s="1167"/>
      <c r="UJO158" s="1167"/>
      <c r="UJP158" s="1167"/>
      <c r="UJQ158" s="1167"/>
      <c r="UJR158" s="1142"/>
      <c r="UJS158" s="1142"/>
      <c r="UJT158" s="1142"/>
      <c r="UJU158" s="1142"/>
      <c r="UJV158" s="1142"/>
      <c r="UJW158" s="1142"/>
      <c r="UJX158" s="1142"/>
      <c r="UJY158" s="1142"/>
      <c r="UJZ158" s="1142"/>
      <c r="UKA158" s="1142"/>
      <c r="UKB158" s="1142"/>
      <c r="UKC158" s="1142"/>
      <c r="UKD158" s="1142"/>
      <c r="UKE158" s="1142"/>
      <c r="UKF158" s="1142"/>
      <c r="UKG158" s="1142"/>
      <c r="UKH158" s="1142"/>
      <c r="UKI158" s="1142"/>
      <c r="UKJ158" s="1142"/>
      <c r="UKK158" s="1142"/>
      <c r="UKL158" s="1142"/>
      <c r="UKM158" s="1142"/>
      <c r="UKN158" s="1142"/>
      <c r="UKO158" s="1167"/>
      <c r="UKP158" s="1167"/>
      <c r="UKQ158" s="1167"/>
      <c r="UKR158" s="1167"/>
      <c r="UKS158" s="1167"/>
      <c r="UKT158" s="1167"/>
      <c r="UKU158" s="1167"/>
      <c r="UKV158" s="1167"/>
      <c r="UKW158" s="1167"/>
      <c r="UKX158" s="1142"/>
      <c r="UKY158" s="1142"/>
      <c r="UKZ158" s="1142"/>
      <c r="ULA158" s="1142"/>
      <c r="ULB158" s="1142"/>
      <c r="ULC158" s="1142"/>
      <c r="ULD158" s="1142"/>
      <c r="ULE158" s="1142"/>
      <c r="ULF158" s="1142"/>
      <c r="ULG158" s="1142"/>
      <c r="ULH158" s="1142"/>
      <c r="ULI158" s="1142"/>
      <c r="ULJ158" s="1142"/>
      <c r="ULK158" s="1142"/>
      <c r="ULL158" s="1142"/>
      <c r="ULM158" s="1142"/>
      <c r="ULN158" s="1142"/>
      <c r="ULO158" s="1142"/>
      <c r="ULP158" s="1142"/>
      <c r="ULQ158" s="1142"/>
      <c r="ULR158" s="1142"/>
      <c r="ULS158" s="1142"/>
      <c r="ULT158" s="1142"/>
      <c r="ULU158" s="1167"/>
      <c r="ULV158" s="1167"/>
      <c r="ULW158" s="1167"/>
      <c r="ULX158" s="1167"/>
      <c r="ULY158" s="1167"/>
      <c r="ULZ158" s="1167"/>
      <c r="UMA158" s="1167"/>
      <c r="UMB158" s="1167"/>
      <c r="UMC158" s="1167"/>
      <c r="UMD158" s="1142"/>
      <c r="UME158" s="1142"/>
      <c r="UMF158" s="1142"/>
      <c r="UMG158" s="1142"/>
      <c r="UMH158" s="1142"/>
      <c r="UMI158" s="1142"/>
      <c r="UMJ158" s="1142"/>
      <c r="UMK158" s="1142"/>
      <c r="UML158" s="1142"/>
      <c r="UMM158" s="1142"/>
      <c r="UMN158" s="1142"/>
      <c r="UMO158" s="1142"/>
      <c r="UMP158" s="1142"/>
      <c r="UMQ158" s="1142"/>
      <c r="UMR158" s="1142"/>
      <c r="UMS158" s="1142"/>
      <c r="UMT158" s="1142"/>
      <c r="UMU158" s="1142"/>
      <c r="UMV158" s="1142"/>
      <c r="UMW158" s="1142"/>
      <c r="UMX158" s="1142"/>
      <c r="UMY158" s="1142"/>
      <c r="UMZ158" s="1142"/>
      <c r="UNA158" s="1167"/>
      <c r="UNB158" s="1167"/>
      <c r="UNC158" s="1167"/>
      <c r="UND158" s="1167"/>
      <c r="UNE158" s="1167"/>
      <c r="UNF158" s="1167"/>
      <c r="UNG158" s="1167"/>
      <c r="UNH158" s="1167"/>
      <c r="UNI158" s="1167"/>
      <c r="UNJ158" s="1142"/>
      <c r="UNK158" s="1142"/>
      <c r="UNL158" s="1142"/>
      <c r="UNM158" s="1142"/>
      <c r="UNN158" s="1142"/>
      <c r="UNO158" s="1142"/>
      <c r="UNP158" s="1142"/>
      <c r="UNQ158" s="1142"/>
      <c r="UNR158" s="1142"/>
      <c r="UNS158" s="1142"/>
      <c r="UNT158" s="1142"/>
      <c r="UNU158" s="1142"/>
      <c r="UNV158" s="1142"/>
      <c r="UNW158" s="1142"/>
      <c r="UNX158" s="1142"/>
      <c r="UNY158" s="1142"/>
      <c r="UNZ158" s="1142"/>
      <c r="UOA158" s="1142"/>
      <c r="UOB158" s="1142"/>
      <c r="UOC158" s="1142"/>
      <c r="UOD158" s="1142"/>
      <c r="UOE158" s="1142"/>
      <c r="UOF158" s="1142"/>
      <c r="UOG158" s="1167"/>
      <c r="UOH158" s="1167"/>
      <c r="UOI158" s="1167"/>
      <c r="UOJ158" s="1167"/>
      <c r="UOK158" s="1167"/>
      <c r="UOL158" s="1167"/>
      <c r="UOM158" s="1167"/>
      <c r="UON158" s="1167"/>
      <c r="UOO158" s="1167"/>
      <c r="UOP158" s="1142"/>
      <c r="UOQ158" s="1142"/>
      <c r="UOR158" s="1142"/>
      <c r="UOS158" s="1142"/>
      <c r="UOT158" s="1142"/>
      <c r="UOU158" s="1142"/>
      <c r="UOV158" s="1142"/>
      <c r="UOW158" s="1142"/>
      <c r="UOX158" s="1142"/>
      <c r="UOY158" s="1142"/>
      <c r="UOZ158" s="1142"/>
      <c r="UPA158" s="1142"/>
      <c r="UPB158" s="1142"/>
      <c r="UPC158" s="1142"/>
      <c r="UPD158" s="1142"/>
      <c r="UPE158" s="1142"/>
      <c r="UPF158" s="1142"/>
      <c r="UPG158" s="1142"/>
      <c r="UPH158" s="1142"/>
      <c r="UPI158" s="1142"/>
      <c r="UPJ158" s="1142"/>
      <c r="UPK158" s="1142"/>
      <c r="UPL158" s="1142"/>
      <c r="UPM158" s="1167"/>
      <c r="UPN158" s="1167"/>
      <c r="UPO158" s="1167"/>
      <c r="UPP158" s="1167"/>
      <c r="UPQ158" s="1167"/>
      <c r="UPR158" s="1167"/>
      <c r="UPS158" s="1167"/>
      <c r="UPT158" s="1167"/>
      <c r="UPU158" s="1167"/>
      <c r="UPV158" s="1142"/>
      <c r="UPW158" s="1142"/>
      <c r="UPX158" s="1142"/>
      <c r="UPY158" s="1142"/>
      <c r="UPZ158" s="1142"/>
      <c r="UQA158" s="1142"/>
      <c r="UQB158" s="1142"/>
      <c r="UQC158" s="1142"/>
      <c r="UQD158" s="1142"/>
      <c r="UQE158" s="1142"/>
      <c r="UQF158" s="1142"/>
      <c r="UQG158" s="1142"/>
      <c r="UQH158" s="1142"/>
      <c r="UQI158" s="1142"/>
      <c r="UQJ158" s="1142"/>
      <c r="UQK158" s="1142"/>
      <c r="UQL158" s="1142"/>
      <c r="UQM158" s="1142"/>
      <c r="UQN158" s="1142"/>
      <c r="UQO158" s="1142"/>
      <c r="UQP158" s="1142"/>
      <c r="UQQ158" s="1142"/>
      <c r="UQR158" s="1142"/>
      <c r="UQS158" s="1167"/>
      <c r="UQT158" s="1167"/>
      <c r="UQU158" s="1167"/>
      <c r="UQV158" s="1167"/>
      <c r="UQW158" s="1167"/>
      <c r="UQX158" s="1167"/>
      <c r="UQY158" s="1167"/>
      <c r="UQZ158" s="1167"/>
      <c r="URA158" s="1167"/>
      <c r="URB158" s="1142"/>
      <c r="URC158" s="1142"/>
      <c r="URD158" s="1142"/>
      <c r="URE158" s="1142"/>
      <c r="URF158" s="1142"/>
      <c r="URG158" s="1142"/>
      <c r="URH158" s="1142"/>
      <c r="URI158" s="1142"/>
      <c r="URJ158" s="1142"/>
      <c r="URK158" s="1142"/>
      <c r="URL158" s="1142"/>
      <c r="URM158" s="1142"/>
      <c r="URN158" s="1142"/>
      <c r="URO158" s="1142"/>
      <c r="URP158" s="1142"/>
      <c r="URQ158" s="1142"/>
      <c r="URR158" s="1142"/>
      <c r="URS158" s="1142"/>
      <c r="URT158" s="1142"/>
      <c r="URU158" s="1142"/>
      <c r="URV158" s="1142"/>
      <c r="URW158" s="1142"/>
      <c r="URX158" s="1142"/>
      <c r="URY158" s="1167"/>
      <c r="URZ158" s="1167"/>
      <c r="USA158" s="1167"/>
      <c r="USB158" s="1167"/>
      <c r="USC158" s="1167"/>
      <c r="USD158" s="1167"/>
      <c r="USE158" s="1167"/>
      <c r="USF158" s="1167"/>
      <c r="USG158" s="1167"/>
      <c r="USH158" s="1142"/>
      <c r="USI158" s="1142"/>
      <c r="USJ158" s="1142"/>
      <c r="USK158" s="1142"/>
      <c r="USL158" s="1142"/>
      <c r="USM158" s="1142"/>
      <c r="USN158" s="1142"/>
      <c r="USO158" s="1142"/>
      <c r="USP158" s="1142"/>
      <c r="USQ158" s="1142"/>
      <c r="USR158" s="1142"/>
      <c r="USS158" s="1142"/>
      <c r="UST158" s="1142"/>
      <c r="USU158" s="1142"/>
      <c r="USV158" s="1142"/>
      <c r="USW158" s="1142"/>
      <c r="USX158" s="1142"/>
      <c r="USY158" s="1142"/>
      <c r="USZ158" s="1142"/>
      <c r="UTA158" s="1142"/>
      <c r="UTB158" s="1142"/>
      <c r="UTC158" s="1142"/>
      <c r="UTD158" s="1142"/>
      <c r="UTE158" s="1167"/>
      <c r="UTF158" s="1167"/>
      <c r="UTG158" s="1167"/>
      <c r="UTH158" s="1167"/>
      <c r="UTI158" s="1167"/>
      <c r="UTJ158" s="1167"/>
      <c r="UTK158" s="1167"/>
      <c r="UTL158" s="1167"/>
      <c r="UTM158" s="1167"/>
      <c r="UTN158" s="1142"/>
      <c r="UTO158" s="1142"/>
      <c r="UTP158" s="1142"/>
      <c r="UTQ158" s="1142"/>
      <c r="UTR158" s="1142"/>
      <c r="UTS158" s="1142"/>
      <c r="UTT158" s="1142"/>
      <c r="UTU158" s="1142"/>
      <c r="UTV158" s="1142"/>
      <c r="UTW158" s="1142"/>
      <c r="UTX158" s="1142"/>
      <c r="UTY158" s="1142"/>
      <c r="UTZ158" s="1142"/>
      <c r="UUA158" s="1142"/>
      <c r="UUB158" s="1142"/>
      <c r="UUC158" s="1142"/>
      <c r="UUD158" s="1142"/>
      <c r="UUE158" s="1142"/>
      <c r="UUF158" s="1142"/>
      <c r="UUG158" s="1142"/>
      <c r="UUH158" s="1142"/>
      <c r="UUI158" s="1142"/>
      <c r="UUJ158" s="1142"/>
      <c r="UUK158" s="1167"/>
      <c r="UUL158" s="1167"/>
      <c r="UUM158" s="1167"/>
      <c r="UUN158" s="1167"/>
      <c r="UUO158" s="1167"/>
      <c r="UUP158" s="1167"/>
      <c r="UUQ158" s="1167"/>
      <c r="UUR158" s="1167"/>
      <c r="UUS158" s="1167"/>
      <c r="UUT158" s="1142"/>
      <c r="UUU158" s="1142"/>
      <c r="UUV158" s="1142"/>
      <c r="UUW158" s="1142"/>
      <c r="UUX158" s="1142"/>
      <c r="UUY158" s="1142"/>
      <c r="UUZ158" s="1142"/>
      <c r="UVA158" s="1142"/>
      <c r="UVB158" s="1142"/>
      <c r="UVC158" s="1142"/>
      <c r="UVD158" s="1142"/>
      <c r="UVE158" s="1142"/>
      <c r="UVF158" s="1142"/>
      <c r="UVG158" s="1142"/>
      <c r="UVH158" s="1142"/>
      <c r="UVI158" s="1142"/>
      <c r="UVJ158" s="1142"/>
      <c r="UVK158" s="1142"/>
      <c r="UVL158" s="1142"/>
      <c r="UVM158" s="1142"/>
      <c r="UVN158" s="1142"/>
      <c r="UVO158" s="1142"/>
      <c r="UVP158" s="1142"/>
      <c r="UVQ158" s="1167"/>
      <c r="UVR158" s="1167"/>
      <c r="UVS158" s="1167"/>
      <c r="UVT158" s="1167"/>
      <c r="UVU158" s="1167"/>
      <c r="UVV158" s="1167"/>
      <c r="UVW158" s="1167"/>
      <c r="UVX158" s="1167"/>
      <c r="UVY158" s="1167"/>
      <c r="UVZ158" s="1142"/>
      <c r="UWA158" s="1142"/>
      <c r="UWB158" s="1142"/>
      <c r="UWC158" s="1142"/>
      <c r="UWD158" s="1142"/>
      <c r="UWE158" s="1142"/>
      <c r="UWF158" s="1142"/>
      <c r="UWG158" s="1142"/>
      <c r="UWH158" s="1142"/>
      <c r="UWI158" s="1142"/>
      <c r="UWJ158" s="1142"/>
      <c r="UWK158" s="1142"/>
      <c r="UWL158" s="1142"/>
      <c r="UWM158" s="1142"/>
      <c r="UWN158" s="1142"/>
      <c r="UWO158" s="1142"/>
      <c r="UWP158" s="1142"/>
      <c r="UWQ158" s="1142"/>
      <c r="UWR158" s="1142"/>
      <c r="UWS158" s="1142"/>
      <c r="UWT158" s="1142"/>
      <c r="UWU158" s="1142"/>
      <c r="UWV158" s="1142"/>
      <c r="UWW158" s="1167"/>
      <c r="UWX158" s="1167"/>
      <c r="UWY158" s="1167"/>
      <c r="UWZ158" s="1167"/>
      <c r="UXA158" s="1167"/>
      <c r="UXB158" s="1167"/>
      <c r="UXC158" s="1167"/>
      <c r="UXD158" s="1167"/>
      <c r="UXE158" s="1167"/>
      <c r="UXF158" s="1142"/>
      <c r="UXG158" s="1142"/>
      <c r="UXH158" s="1142"/>
      <c r="UXI158" s="1142"/>
      <c r="UXJ158" s="1142"/>
      <c r="UXK158" s="1142"/>
      <c r="UXL158" s="1142"/>
      <c r="UXM158" s="1142"/>
      <c r="UXN158" s="1142"/>
      <c r="UXO158" s="1142"/>
      <c r="UXP158" s="1142"/>
      <c r="UXQ158" s="1142"/>
      <c r="UXR158" s="1142"/>
      <c r="UXS158" s="1142"/>
      <c r="UXT158" s="1142"/>
      <c r="UXU158" s="1142"/>
      <c r="UXV158" s="1142"/>
      <c r="UXW158" s="1142"/>
      <c r="UXX158" s="1142"/>
      <c r="UXY158" s="1142"/>
      <c r="UXZ158" s="1142"/>
      <c r="UYA158" s="1142"/>
      <c r="UYB158" s="1142"/>
      <c r="UYC158" s="1167"/>
      <c r="UYD158" s="1167"/>
      <c r="UYE158" s="1167"/>
      <c r="UYF158" s="1167"/>
      <c r="UYG158" s="1167"/>
      <c r="UYH158" s="1167"/>
      <c r="UYI158" s="1167"/>
      <c r="UYJ158" s="1167"/>
      <c r="UYK158" s="1167"/>
      <c r="UYL158" s="1142"/>
      <c r="UYM158" s="1142"/>
      <c r="UYN158" s="1142"/>
      <c r="UYO158" s="1142"/>
      <c r="UYP158" s="1142"/>
      <c r="UYQ158" s="1142"/>
      <c r="UYR158" s="1142"/>
      <c r="UYS158" s="1142"/>
      <c r="UYT158" s="1142"/>
      <c r="UYU158" s="1142"/>
      <c r="UYV158" s="1142"/>
      <c r="UYW158" s="1142"/>
      <c r="UYX158" s="1142"/>
      <c r="UYY158" s="1142"/>
      <c r="UYZ158" s="1142"/>
      <c r="UZA158" s="1142"/>
      <c r="UZB158" s="1142"/>
      <c r="UZC158" s="1142"/>
      <c r="UZD158" s="1142"/>
      <c r="UZE158" s="1142"/>
      <c r="UZF158" s="1142"/>
      <c r="UZG158" s="1142"/>
      <c r="UZH158" s="1142"/>
      <c r="UZI158" s="1167"/>
      <c r="UZJ158" s="1167"/>
      <c r="UZK158" s="1167"/>
      <c r="UZL158" s="1167"/>
      <c r="UZM158" s="1167"/>
      <c r="UZN158" s="1167"/>
      <c r="UZO158" s="1167"/>
      <c r="UZP158" s="1167"/>
      <c r="UZQ158" s="1167"/>
      <c r="UZR158" s="1142"/>
      <c r="UZS158" s="1142"/>
      <c r="UZT158" s="1142"/>
      <c r="UZU158" s="1142"/>
      <c r="UZV158" s="1142"/>
      <c r="UZW158" s="1142"/>
      <c r="UZX158" s="1142"/>
      <c r="UZY158" s="1142"/>
      <c r="UZZ158" s="1142"/>
      <c r="VAA158" s="1142"/>
      <c r="VAB158" s="1142"/>
      <c r="VAC158" s="1142"/>
      <c r="VAD158" s="1142"/>
      <c r="VAE158" s="1142"/>
      <c r="VAF158" s="1142"/>
      <c r="VAG158" s="1142"/>
      <c r="VAH158" s="1142"/>
      <c r="VAI158" s="1142"/>
      <c r="VAJ158" s="1142"/>
      <c r="VAK158" s="1142"/>
      <c r="VAL158" s="1142"/>
      <c r="VAM158" s="1142"/>
      <c r="VAN158" s="1142"/>
      <c r="VAO158" s="1167"/>
      <c r="VAP158" s="1167"/>
      <c r="VAQ158" s="1167"/>
      <c r="VAR158" s="1167"/>
      <c r="VAS158" s="1167"/>
      <c r="VAT158" s="1167"/>
      <c r="VAU158" s="1167"/>
      <c r="VAV158" s="1167"/>
      <c r="VAW158" s="1167"/>
      <c r="VAX158" s="1142"/>
      <c r="VAY158" s="1142"/>
      <c r="VAZ158" s="1142"/>
      <c r="VBA158" s="1142"/>
      <c r="VBB158" s="1142"/>
      <c r="VBC158" s="1142"/>
      <c r="VBD158" s="1142"/>
      <c r="VBE158" s="1142"/>
      <c r="VBF158" s="1142"/>
      <c r="VBG158" s="1142"/>
      <c r="VBH158" s="1142"/>
      <c r="VBI158" s="1142"/>
      <c r="VBJ158" s="1142"/>
      <c r="VBK158" s="1142"/>
      <c r="VBL158" s="1142"/>
      <c r="VBM158" s="1142"/>
      <c r="VBN158" s="1142"/>
      <c r="VBO158" s="1142"/>
      <c r="VBP158" s="1142"/>
      <c r="VBQ158" s="1142"/>
      <c r="VBR158" s="1142"/>
      <c r="VBS158" s="1142"/>
      <c r="VBT158" s="1142"/>
      <c r="VBU158" s="1167"/>
      <c r="VBV158" s="1167"/>
      <c r="VBW158" s="1167"/>
      <c r="VBX158" s="1167"/>
      <c r="VBY158" s="1167"/>
      <c r="VBZ158" s="1167"/>
      <c r="VCA158" s="1167"/>
      <c r="VCB158" s="1167"/>
      <c r="VCC158" s="1167"/>
      <c r="VCD158" s="1142"/>
      <c r="VCE158" s="1142"/>
      <c r="VCF158" s="1142"/>
      <c r="VCG158" s="1142"/>
      <c r="VCH158" s="1142"/>
      <c r="VCI158" s="1142"/>
      <c r="VCJ158" s="1142"/>
      <c r="VCK158" s="1142"/>
      <c r="VCL158" s="1142"/>
      <c r="VCM158" s="1142"/>
      <c r="VCN158" s="1142"/>
      <c r="VCO158" s="1142"/>
      <c r="VCP158" s="1142"/>
      <c r="VCQ158" s="1142"/>
      <c r="VCR158" s="1142"/>
      <c r="VCS158" s="1142"/>
      <c r="VCT158" s="1142"/>
      <c r="VCU158" s="1142"/>
      <c r="VCV158" s="1142"/>
      <c r="VCW158" s="1142"/>
      <c r="VCX158" s="1142"/>
      <c r="VCY158" s="1142"/>
      <c r="VCZ158" s="1142"/>
      <c r="VDA158" s="1167"/>
      <c r="VDB158" s="1167"/>
      <c r="VDC158" s="1167"/>
      <c r="VDD158" s="1167"/>
      <c r="VDE158" s="1167"/>
      <c r="VDF158" s="1167"/>
      <c r="VDG158" s="1167"/>
      <c r="VDH158" s="1167"/>
      <c r="VDI158" s="1167"/>
      <c r="VDJ158" s="1142"/>
      <c r="VDK158" s="1142"/>
      <c r="VDL158" s="1142"/>
      <c r="VDM158" s="1142"/>
      <c r="VDN158" s="1142"/>
      <c r="VDO158" s="1142"/>
      <c r="VDP158" s="1142"/>
      <c r="VDQ158" s="1142"/>
      <c r="VDR158" s="1142"/>
      <c r="VDS158" s="1142"/>
      <c r="VDT158" s="1142"/>
      <c r="VDU158" s="1142"/>
      <c r="VDV158" s="1142"/>
      <c r="VDW158" s="1142"/>
      <c r="VDX158" s="1142"/>
      <c r="VDY158" s="1142"/>
      <c r="VDZ158" s="1142"/>
      <c r="VEA158" s="1142"/>
      <c r="VEB158" s="1142"/>
      <c r="VEC158" s="1142"/>
      <c r="VED158" s="1142"/>
      <c r="VEE158" s="1142"/>
      <c r="VEF158" s="1142"/>
      <c r="VEG158" s="1167"/>
      <c r="VEH158" s="1167"/>
      <c r="VEI158" s="1167"/>
      <c r="VEJ158" s="1167"/>
      <c r="VEK158" s="1167"/>
      <c r="VEL158" s="1167"/>
      <c r="VEM158" s="1167"/>
      <c r="VEN158" s="1167"/>
      <c r="VEO158" s="1167"/>
      <c r="VEP158" s="1142"/>
      <c r="VEQ158" s="1142"/>
      <c r="VER158" s="1142"/>
      <c r="VES158" s="1142"/>
      <c r="VET158" s="1142"/>
      <c r="VEU158" s="1142"/>
      <c r="VEV158" s="1142"/>
      <c r="VEW158" s="1142"/>
      <c r="VEX158" s="1142"/>
      <c r="VEY158" s="1142"/>
      <c r="VEZ158" s="1142"/>
      <c r="VFA158" s="1142"/>
      <c r="VFB158" s="1142"/>
      <c r="VFC158" s="1142"/>
      <c r="VFD158" s="1142"/>
      <c r="VFE158" s="1142"/>
      <c r="VFF158" s="1142"/>
      <c r="VFG158" s="1142"/>
      <c r="VFH158" s="1142"/>
      <c r="VFI158" s="1142"/>
      <c r="VFJ158" s="1142"/>
      <c r="VFK158" s="1142"/>
      <c r="VFL158" s="1142"/>
      <c r="VFM158" s="1167"/>
      <c r="VFN158" s="1167"/>
      <c r="VFO158" s="1167"/>
      <c r="VFP158" s="1167"/>
      <c r="VFQ158" s="1167"/>
      <c r="VFR158" s="1167"/>
      <c r="VFS158" s="1167"/>
      <c r="VFT158" s="1167"/>
      <c r="VFU158" s="1167"/>
      <c r="VFV158" s="1142"/>
      <c r="VFW158" s="1142"/>
      <c r="VFX158" s="1142"/>
      <c r="VFY158" s="1142"/>
      <c r="VFZ158" s="1142"/>
      <c r="VGA158" s="1142"/>
      <c r="VGB158" s="1142"/>
      <c r="VGC158" s="1142"/>
      <c r="VGD158" s="1142"/>
      <c r="VGE158" s="1142"/>
      <c r="VGF158" s="1142"/>
      <c r="VGG158" s="1142"/>
      <c r="VGH158" s="1142"/>
      <c r="VGI158" s="1142"/>
      <c r="VGJ158" s="1142"/>
      <c r="VGK158" s="1142"/>
      <c r="VGL158" s="1142"/>
      <c r="VGM158" s="1142"/>
      <c r="VGN158" s="1142"/>
      <c r="VGO158" s="1142"/>
      <c r="VGP158" s="1142"/>
      <c r="VGQ158" s="1142"/>
      <c r="VGR158" s="1142"/>
      <c r="VGS158" s="1167"/>
      <c r="VGT158" s="1167"/>
      <c r="VGU158" s="1167"/>
      <c r="VGV158" s="1167"/>
      <c r="VGW158" s="1167"/>
      <c r="VGX158" s="1167"/>
      <c r="VGY158" s="1167"/>
      <c r="VGZ158" s="1167"/>
      <c r="VHA158" s="1167"/>
      <c r="VHB158" s="1142"/>
      <c r="VHC158" s="1142"/>
      <c r="VHD158" s="1142"/>
      <c r="VHE158" s="1142"/>
      <c r="VHF158" s="1142"/>
      <c r="VHG158" s="1142"/>
      <c r="VHH158" s="1142"/>
      <c r="VHI158" s="1142"/>
      <c r="VHJ158" s="1142"/>
      <c r="VHK158" s="1142"/>
      <c r="VHL158" s="1142"/>
      <c r="VHM158" s="1142"/>
      <c r="VHN158" s="1142"/>
      <c r="VHO158" s="1142"/>
      <c r="VHP158" s="1142"/>
      <c r="VHQ158" s="1142"/>
      <c r="VHR158" s="1142"/>
      <c r="VHS158" s="1142"/>
      <c r="VHT158" s="1142"/>
      <c r="VHU158" s="1142"/>
      <c r="VHV158" s="1142"/>
      <c r="VHW158" s="1142"/>
      <c r="VHX158" s="1142"/>
      <c r="VHY158" s="1167"/>
      <c r="VHZ158" s="1167"/>
      <c r="VIA158" s="1167"/>
      <c r="VIB158" s="1167"/>
      <c r="VIC158" s="1167"/>
      <c r="VID158" s="1167"/>
      <c r="VIE158" s="1167"/>
      <c r="VIF158" s="1167"/>
      <c r="VIG158" s="1167"/>
      <c r="VIH158" s="1142"/>
      <c r="VII158" s="1142"/>
      <c r="VIJ158" s="1142"/>
      <c r="VIK158" s="1142"/>
      <c r="VIL158" s="1142"/>
      <c r="VIM158" s="1142"/>
      <c r="VIN158" s="1142"/>
      <c r="VIO158" s="1142"/>
      <c r="VIP158" s="1142"/>
      <c r="VIQ158" s="1142"/>
      <c r="VIR158" s="1142"/>
      <c r="VIS158" s="1142"/>
      <c r="VIT158" s="1142"/>
      <c r="VIU158" s="1142"/>
      <c r="VIV158" s="1142"/>
      <c r="VIW158" s="1142"/>
      <c r="VIX158" s="1142"/>
      <c r="VIY158" s="1142"/>
      <c r="VIZ158" s="1142"/>
      <c r="VJA158" s="1142"/>
      <c r="VJB158" s="1142"/>
      <c r="VJC158" s="1142"/>
      <c r="VJD158" s="1142"/>
      <c r="VJE158" s="1167"/>
      <c r="VJF158" s="1167"/>
      <c r="VJG158" s="1167"/>
      <c r="VJH158" s="1167"/>
      <c r="VJI158" s="1167"/>
      <c r="VJJ158" s="1167"/>
      <c r="VJK158" s="1167"/>
      <c r="VJL158" s="1167"/>
      <c r="VJM158" s="1167"/>
      <c r="VJN158" s="1142"/>
      <c r="VJO158" s="1142"/>
      <c r="VJP158" s="1142"/>
      <c r="VJQ158" s="1142"/>
      <c r="VJR158" s="1142"/>
      <c r="VJS158" s="1142"/>
      <c r="VJT158" s="1142"/>
      <c r="VJU158" s="1142"/>
      <c r="VJV158" s="1142"/>
      <c r="VJW158" s="1142"/>
      <c r="VJX158" s="1142"/>
      <c r="VJY158" s="1142"/>
      <c r="VJZ158" s="1142"/>
      <c r="VKA158" s="1142"/>
      <c r="VKB158" s="1142"/>
      <c r="VKC158" s="1142"/>
      <c r="VKD158" s="1142"/>
      <c r="VKE158" s="1142"/>
      <c r="VKF158" s="1142"/>
      <c r="VKG158" s="1142"/>
      <c r="VKH158" s="1142"/>
      <c r="VKI158" s="1142"/>
      <c r="VKJ158" s="1142"/>
      <c r="VKK158" s="1167"/>
      <c r="VKL158" s="1167"/>
      <c r="VKM158" s="1167"/>
      <c r="VKN158" s="1167"/>
      <c r="VKO158" s="1167"/>
      <c r="VKP158" s="1167"/>
      <c r="VKQ158" s="1167"/>
      <c r="VKR158" s="1167"/>
      <c r="VKS158" s="1167"/>
      <c r="VKT158" s="1142"/>
      <c r="VKU158" s="1142"/>
      <c r="VKV158" s="1142"/>
      <c r="VKW158" s="1142"/>
      <c r="VKX158" s="1142"/>
      <c r="VKY158" s="1142"/>
      <c r="VKZ158" s="1142"/>
      <c r="VLA158" s="1142"/>
      <c r="VLB158" s="1142"/>
      <c r="VLC158" s="1142"/>
      <c r="VLD158" s="1142"/>
      <c r="VLE158" s="1142"/>
      <c r="VLF158" s="1142"/>
      <c r="VLG158" s="1142"/>
      <c r="VLH158" s="1142"/>
      <c r="VLI158" s="1142"/>
      <c r="VLJ158" s="1142"/>
      <c r="VLK158" s="1142"/>
      <c r="VLL158" s="1142"/>
      <c r="VLM158" s="1142"/>
      <c r="VLN158" s="1142"/>
      <c r="VLO158" s="1142"/>
      <c r="VLP158" s="1142"/>
      <c r="VLQ158" s="1167"/>
      <c r="VLR158" s="1167"/>
      <c r="VLS158" s="1167"/>
      <c r="VLT158" s="1167"/>
      <c r="VLU158" s="1167"/>
      <c r="VLV158" s="1167"/>
      <c r="VLW158" s="1167"/>
      <c r="VLX158" s="1167"/>
      <c r="VLY158" s="1167"/>
      <c r="VLZ158" s="1142"/>
      <c r="VMA158" s="1142"/>
      <c r="VMB158" s="1142"/>
      <c r="VMC158" s="1142"/>
      <c r="VMD158" s="1142"/>
      <c r="VME158" s="1142"/>
      <c r="VMF158" s="1142"/>
      <c r="VMG158" s="1142"/>
      <c r="VMH158" s="1142"/>
      <c r="VMI158" s="1142"/>
      <c r="VMJ158" s="1142"/>
      <c r="VMK158" s="1142"/>
      <c r="VML158" s="1142"/>
      <c r="VMM158" s="1142"/>
      <c r="VMN158" s="1142"/>
      <c r="VMO158" s="1142"/>
      <c r="VMP158" s="1142"/>
      <c r="VMQ158" s="1142"/>
      <c r="VMR158" s="1142"/>
      <c r="VMS158" s="1142"/>
      <c r="VMT158" s="1142"/>
      <c r="VMU158" s="1142"/>
      <c r="VMV158" s="1142"/>
      <c r="VMW158" s="1167"/>
      <c r="VMX158" s="1167"/>
      <c r="VMY158" s="1167"/>
      <c r="VMZ158" s="1167"/>
      <c r="VNA158" s="1167"/>
      <c r="VNB158" s="1167"/>
      <c r="VNC158" s="1167"/>
      <c r="VND158" s="1167"/>
      <c r="VNE158" s="1167"/>
      <c r="VNF158" s="1142"/>
      <c r="VNG158" s="1142"/>
      <c r="VNH158" s="1142"/>
      <c r="VNI158" s="1142"/>
      <c r="VNJ158" s="1142"/>
      <c r="VNK158" s="1142"/>
      <c r="VNL158" s="1142"/>
      <c r="VNM158" s="1142"/>
      <c r="VNN158" s="1142"/>
      <c r="VNO158" s="1142"/>
      <c r="VNP158" s="1142"/>
      <c r="VNQ158" s="1142"/>
      <c r="VNR158" s="1142"/>
      <c r="VNS158" s="1142"/>
      <c r="VNT158" s="1142"/>
      <c r="VNU158" s="1142"/>
      <c r="VNV158" s="1142"/>
      <c r="VNW158" s="1142"/>
      <c r="VNX158" s="1142"/>
      <c r="VNY158" s="1142"/>
      <c r="VNZ158" s="1142"/>
      <c r="VOA158" s="1142"/>
      <c r="VOB158" s="1142"/>
      <c r="VOC158" s="1167"/>
      <c r="VOD158" s="1167"/>
      <c r="VOE158" s="1167"/>
      <c r="VOF158" s="1167"/>
      <c r="VOG158" s="1167"/>
      <c r="VOH158" s="1167"/>
      <c r="VOI158" s="1167"/>
      <c r="VOJ158" s="1167"/>
      <c r="VOK158" s="1167"/>
      <c r="VOL158" s="1142"/>
      <c r="VOM158" s="1142"/>
      <c r="VON158" s="1142"/>
      <c r="VOO158" s="1142"/>
      <c r="VOP158" s="1142"/>
      <c r="VOQ158" s="1142"/>
      <c r="VOR158" s="1142"/>
      <c r="VOS158" s="1142"/>
      <c r="VOT158" s="1142"/>
      <c r="VOU158" s="1142"/>
      <c r="VOV158" s="1142"/>
      <c r="VOW158" s="1142"/>
      <c r="VOX158" s="1142"/>
      <c r="VOY158" s="1142"/>
      <c r="VOZ158" s="1142"/>
      <c r="VPA158" s="1142"/>
      <c r="VPB158" s="1142"/>
      <c r="VPC158" s="1142"/>
      <c r="VPD158" s="1142"/>
      <c r="VPE158" s="1142"/>
      <c r="VPF158" s="1142"/>
      <c r="VPG158" s="1142"/>
      <c r="VPH158" s="1142"/>
      <c r="VPI158" s="1167"/>
      <c r="VPJ158" s="1167"/>
      <c r="VPK158" s="1167"/>
      <c r="VPL158" s="1167"/>
      <c r="VPM158" s="1167"/>
      <c r="VPN158" s="1167"/>
      <c r="VPO158" s="1167"/>
      <c r="VPP158" s="1167"/>
      <c r="VPQ158" s="1167"/>
      <c r="VPR158" s="1142"/>
      <c r="VPS158" s="1142"/>
      <c r="VPT158" s="1142"/>
      <c r="VPU158" s="1142"/>
      <c r="VPV158" s="1142"/>
      <c r="VPW158" s="1142"/>
      <c r="VPX158" s="1142"/>
      <c r="VPY158" s="1142"/>
      <c r="VPZ158" s="1142"/>
      <c r="VQA158" s="1142"/>
      <c r="VQB158" s="1142"/>
      <c r="VQC158" s="1142"/>
      <c r="VQD158" s="1142"/>
      <c r="VQE158" s="1142"/>
      <c r="VQF158" s="1142"/>
      <c r="VQG158" s="1142"/>
      <c r="VQH158" s="1142"/>
      <c r="VQI158" s="1142"/>
      <c r="VQJ158" s="1142"/>
      <c r="VQK158" s="1142"/>
      <c r="VQL158" s="1142"/>
      <c r="VQM158" s="1142"/>
      <c r="VQN158" s="1142"/>
      <c r="VQO158" s="1167"/>
      <c r="VQP158" s="1167"/>
      <c r="VQQ158" s="1167"/>
      <c r="VQR158" s="1167"/>
      <c r="VQS158" s="1167"/>
      <c r="VQT158" s="1167"/>
      <c r="VQU158" s="1167"/>
      <c r="VQV158" s="1167"/>
      <c r="VQW158" s="1167"/>
      <c r="VQX158" s="1142"/>
      <c r="VQY158" s="1142"/>
      <c r="VQZ158" s="1142"/>
      <c r="VRA158" s="1142"/>
      <c r="VRB158" s="1142"/>
      <c r="VRC158" s="1142"/>
      <c r="VRD158" s="1142"/>
      <c r="VRE158" s="1142"/>
      <c r="VRF158" s="1142"/>
      <c r="VRG158" s="1142"/>
      <c r="VRH158" s="1142"/>
      <c r="VRI158" s="1142"/>
      <c r="VRJ158" s="1142"/>
      <c r="VRK158" s="1142"/>
      <c r="VRL158" s="1142"/>
      <c r="VRM158" s="1142"/>
      <c r="VRN158" s="1142"/>
      <c r="VRO158" s="1142"/>
      <c r="VRP158" s="1142"/>
      <c r="VRQ158" s="1142"/>
      <c r="VRR158" s="1142"/>
      <c r="VRS158" s="1142"/>
      <c r="VRT158" s="1142"/>
      <c r="VRU158" s="1167"/>
      <c r="VRV158" s="1167"/>
      <c r="VRW158" s="1167"/>
      <c r="VRX158" s="1167"/>
      <c r="VRY158" s="1167"/>
      <c r="VRZ158" s="1167"/>
      <c r="VSA158" s="1167"/>
      <c r="VSB158" s="1167"/>
      <c r="VSC158" s="1167"/>
      <c r="VSD158" s="1142"/>
      <c r="VSE158" s="1142"/>
      <c r="VSF158" s="1142"/>
      <c r="VSG158" s="1142"/>
      <c r="VSH158" s="1142"/>
      <c r="VSI158" s="1142"/>
      <c r="VSJ158" s="1142"/>
      <c r="VSK158" s="1142"/>
      <c r="VSL158" s="1142"/>
      <c r="VSM158" s="1142"/>
      <c r="VSN158" s="1142"/>
      <c r="VSO158" s="1142"/>
      <c r="VSP158" s="1142"/>
      <c r="VSQ158" s="1142"/>
      <c r="VSR158" s="1142"/>
      <c r="VSS158" s="1142"/>
      <c r="VST158" s="1142"/>
      <c r="VSU158" s="1142"/>
      <c r="VSV158" s="1142"/>
      <c r="VSW158" s="1142"/>
      <c r="VSX158" s="1142"/>
      <c r="VSY158" s="1142"/>
      <c r="VSZ158" s="1142"/>
      <c r="VTA158" s="1167"/>
      <c r="VTB158" s="1167"/>
      <c r="VTC158" s="1167"/>
      <c r="VTD158" s="1167"/>
      <c r="VTE158" s="1167"/>
      <c r="VTF158" s="1167"/>
      <c r="VTG158" s="1167"/>
      <c r="VTH158" s="1167"/>
      <c r="VTI158" s="1167"/>
      <c r="VTJ158" s="1142"/>
      <c r="VTK158" s="1142"/>
      <c r="VTL158" s="1142"/>
      <c r="VTM158" s="1142"/>
      <c r="VTN158" s="1142"/>
      <c r="VTO158" s="1142"/>
      <c r="VTP158" s="1142"/>
      <c r="VTQ158" s="1142"/>
      <c r="VTR158" s="1142"/>
      <c r="VTS158" s="1142"/>
      <c r="VTT158" s="1142"/>
      <c r="VTU158" s="1142"/>
      <c r="VTV158" s="1142"/>
      <c r="VTW158" s="1142"/>
      <c r="VTX158" s="1142"/>
      <c r="VTY158" s="1142"/>
      <c r="VTZ158" s="1142"/>
      <c r="VUA158" s="1142"/>
      <c r="VUB158" s="1142"/>
      <c r="VUC158" s="1142"/>
      <c r="VUD158" s="1142"/>
      <c r="VUE158" s="1142"/>
      <c r="VUF158" s="1142"/>
      <c r="VUG158" s="1167"/>
      <c r="VUH158" s="1167"/>
      <c r="VUI158" s="1167"/>
      <c r="VUJ158" s="1167"/>
      <c r="VUK158" s="1167"/>
      <c r="VUL158" s="1167"/>
      <c r="VUM158" s="1167"/>
      <c r="VUN158" s="1167"/>
      <c r="VUO158" s="1167"/>
      <c r="VUP158" s="1142"/>
      <c r="VUQ158" s="1142"/>
      <c r="VUR158" s="1142"/>
      <c r="VUS158" s="1142"/>
      <c r="VUT158" s="1142"/>
      <c r="VUU158" s="1142"/>
      <c r="VUV158" s="1142"/>
      <c r="VUW158" s="1142"/>
      <c r="VUX158" s="1142"/>
      <c r="VUY158" s="1142"/>
      <c r="VUZ158" s="1142"/>
      <c r="VVA158" s="1142"/>
      <c r="VVB158" s="1142"/>
      <c r="VVC158" s="1142"/>
      <c r="VVD158" s="1142"/>
      <c r="VVE158" s="1142"/>
      <c r="VVF158" s="1142"/>
      <c r="VVG158" s="1142"/>
      <c r="VVH158" s="1142"/>
      <c r="VVI158" s="1142"/>
      <c r="VVJ158" s="1142"/>
      <c r="VVK158" s="1142"/>
      <c r="VVL158" s="1142"/>
      <c r="VVM158" s="1167"/>
      <c r="VVN158" s="1167"/>
      <c r="VVO158" s="1167"/>
      <c r="VVP158" s="1167"/>
      <c r="VVQ158" s="1167"/>
      <c r="VVR158" s="1167"/>
      <c r="VVS158" s="1167"/>
      <c r="VVT158" s="1167"/>
      <c r="VVU158" s="1167"/>
      <c r="VVV158" s="1142"/>
      <c r="VVW158" s="1142"/>
      <c r="VVX158" s="1142"/>
      <c r="VVY158" s="1142"/>
      <c r="VVZ158" s="1142"/>
      <c r="VWA158" s="1142"/>
      <c r="VWB158" s="1142"/>
      <c r="VWC158" s="1142"/>
      <c r="VWD158" s="1142"/>
      <c r="VWE158" s="1142"/>
      <c r="VWF158" s="1142"/>
      <c r="VWG158" s="1142"/>
      <c r="VWH158" s="1142"/>
      <c r="VWI158" s="1142"/>
      <c r="VWJ158" s="1142"/>
      <c r="VWK158" s="1142"/>
      <c r="VWL158" s="1142"/>
      <c r="VWM158" s="1142"/>
      <c r="VWN158" s="1142"/>
      <c r="VWO158" s="1142"/>
      <c r="VWP158" s="1142"/>
      <c r="VWQ158" s="1142"/>
      <c r="VWR158" s="1142"/>
      <c r="VWS158" s="1167"/>
      <c r="VWT158" s="1167"/>
      <c r="VWU158" s="1167"/>
      <c r="VWV158" s="1167"/>
      <c r="VWW158" s="1167"/>
      <c r="VWX158" s="1167"/>
      <c r="VWY158" s="1167"/>
      <c r="VWZ158" s="1167"/>
      <c r="VXA158" s="1167"/>
      <c r="VXB158" s="1142"/>
      <c r="VXC158" s="1142"/>
      <c r="VXD158" s="1142"/>
      <c r="VXE158" s="1142"/>
      <c r="VXF158" s="1142"/>
      <c r="VXG158" s="1142"/>
      <c r="VXH158" s="1142"/>
      <c r="VXI158" s="1142"/>
      <c r="VXJ158" s="1142"/>
      <c r="VXK158" s="1142"/>
      <c r="VXL158" s="1142"/>
      <c r="VXM158" s="1142"/>
      <c r="VXN158" s="1142"/>
      <c r="VXO158" s="1142"/>
      <c r="VXP158" s="1142"/>
      <c r="VXQ158" s="1142"/>
      <c r="VXR158" s="1142"/>
      <c r="VXS158" s="1142"/>
      <c r="VXT158" s="1142"/>
      <c r="VXU158" s="1142"/>
      <c r="VXV158" s="1142"/>
      <c r="VXW158" s="1142"/>
      <c r="VXX158" s="1142"/>
      <c r="VXY158" s="1167"/>
      <c r="VXZ158" s="1167"/>
      <c r="VYA158" s="1167"/>
      <c r="VYB158" s="1167"/>
      <c r="VYC158" s="1167"/>
      <c r="VYD158" s="1167"/>
      <c r="VYE158" s="1167"/>
      <c r="VYF158" s="1167"/>
      <c r="VYG158" s="1167"/>
      <c r="VYH158" s="1142"/>
      <c r="VYI158" s="1142"/>
      <c r="VYJ158" s="1142"/>
      <c r="VYK158" s="1142"/>
      <c r="VYL158" s="1142"/>
      <c r="VYM158" s="1142"/>
      <c r="VYN158" s="1142"/>
      <c r="VYO158" s="1142"/>
      <c r="VYP158" s="1142"/>
      <c r="VYQ158" s="1142"/>
      <c r="VYR158" s="1142"/>
      <c r="VYS158" s="1142"/>
      <c r="VYT158" s="1142"/>
      <c r="VYU158" s="1142"/>
      <c r="VYV158" s="1142"/>
      <c r="VYW158" s="1142"/>
      <c r="VYX158" s="1142"/>
      <c r="VYY158" s="1142"/>
      <c r="VYZ158" s="1142"/>
      <c r="VZA158" s="1142"/>
      <c r="VZB158" s="1142"/>
      <c r="VZC158" s="1142"/>
      <c r="VZD158" s="1142"/>
      <c r="VZE158" s="1167"/>
      <c r="VZF158" s="1167"/>
      <c r="VZG158" s="1167"/>
      <c r="VZH158" s="1167"/>
      <c r="VZI158" s="1167"/>
      <c r="VZJ158" s="1167"/>
      <c r="VZK158" s="1167"/>
      <c r="VZL158" s="1167"/>
      <c r="VZM158" s="1167"/>
      <c r="VZN158" s="1142"/>
      <c r="VZO158" s="1142"/>
      <c r="VZP158" s="1142"/>
      <c r="VZQ158" s="1142"/>
      <c r="VZR158" s="1142"/>
      <c r="VZS158" s="1142"/>
      <c r="VZT158" s="1142"/>
      <c r="VZU158" s="1142"/>
      <c r="VZV158" s="1142"/>
      <c r="VZW158" s="1142"/>
      <c r="VZX158" s="1142"/>
      <c r="VZY158" s="1142"/>
      <c r="VZZ158" s="1142"/>
      <c r="WAA158" s="1142"/>
      <c r="WAB158" s="1142"/>
      <c r="WAC158" s="1142"/>
      <c r="WAD158" s="1142"/>
      <c r="WAE158" s="1142"/>
      <c r="WAF158" s="1142"/>
      <c r="WAG158" s="1142"/>
      <c r="WAH158" s="1142"/>
      <c r="WAI158" s="1142"/>
      <c r="WAJ158" s="1142"/>
      <c r="WAK158" s="1167"/>
      <c r="WAL158" s="1167"/>
      <c r="WAM158" s="1167"/>
      <c r="WAN158" s="1167"/>
      <c r="WAO158" s="1167"/>
      <c r="WAP158" s="1167"/>
      <c r="WAQ158" s="1167"/>
      <c r="WAR158" s="1167"/>
      <c r="WAS158" s="1167"/>
      <c r="WAT158" s="1142"/>
      <c r="WAU158" s="1142"/>
      <c r="WAV158" s="1142"/>
      <c r="WAW158" s="1142"/>
      <c r="WAX158" s="1142"/>
      <c r="WAY158" s="1142"/>
      <c r="WAZ158" s="1142"/>
      <c r="WBA158" s="1142"/>
      <c r="WBB158" s="1142"/>
      <c r="WBC158" s="1142"/>
      <c r="WBD158" s="1142"/>
      <c r="WBE158" s="1142"/>
      <c r="WBF158" s="1142"/>
      <c r="WBG158" s="1142"/>
      <c r="WBH158" s="1142"/>
      <c r="WBI158" s="1142"/>
      <c r="WBJ158" s="1142"/>
      <c r="WBK158" s="1142"/>
      <c r="WBL158" s="1142"/>
      <c r="WBM158" s="1142"/>
      <c r="WBN158" s="1142"/>
      <c r="WBO158" s="1142"/>
      <c r="WBP158" s="1142"/>
      <c r="WBQ158" s="1167"/>
      <c r="WBR158" s="1167"/>
      <c r="WBS158" s="1167"/>
      <c r="WBT158" s="1167"/>
      <c r="WBU158" s="1167"/>
      <c r="WBV158" s="1167"/>
      <c r="WBW158" s="1167"/>
      <c r="WBX158" s="1167"/>
      <c r="WBY158" s="1167"/>
      <c r="WBZ158" s="1142"/>
      <c r="WCA158" s="1142"/>
      <c r="WCB158" s="1142"/>
      <c r="WCC158" s="1142"/>
      <c r="WCD158" s="1142"/>
      <c r="WCE158" s="1142"/>
      <c r="WCF158" s="1142"/>
      <c r="WCG158" s="1142"/>
      <c r="WCH158" s="1142"/>
      <c r="WCI158" s="1142"/>
      <c r="WCJ158" s="1142"/>
      <c r="WCK158" s="1142"/>
      <c r="WCL158" s="1142"/>
      <c r="WCM158" s="1142"/>
      <c r="WCN158" s="1142"/>
      <c r="WCO158" s="1142"/>
      <c r="WCP158" s="1142"/>
      <c r="WCQ158" s="1142"/>
      <c r="WCR158" s="1142"/>
      <c r="WCS158" s="1142"/>
      <c r="WCT158" s="1142"/>
      <c r="WCU158" s="1142"/>
      <c r="WCV158" s="1142"/>
      <c r="WCW158" s="1167"/>
      <c r="WCX158" s="1167"/>
      <c r="WCY158" s="1167"/>
      <c r="WCZ158" s="1167"/>
      <c r="WDA158" s="1167"/>
      <c r="WDB158" s="1167"/>
      <c r="WDC158" s="1167"/>
      <c r="WDD158" s="1167"/>
      <c r="WDE158" s="1167"/>
      <c r="WDF158" s="1142"/>
      <c r="WDG158" s="1142"/>
      <c r="WDH158" s="1142"/>
      <c r="WDI158" s="1142"/>
      <c r="WDJ158" s="1142"/>
      <c r="WDK158" s="1142"/>
      <c r="WDL158" s="1142"/>
      <c r="WDM158" s="1142"/>
      <c r="WDN158" s="1142"/>
      <c r="WDO158" s="1142"/>
      <c r="WDP158" s="1142"/>
      <c r="WDQ158" s="1142"/>
      <c r="WDR158" s="1142"/>
      <c r="WDS158" s="1142"/>
      <c r="WDT158" s="1142"/>
      <c r="WDU158" s="1142"/>
      <c r="WDV158" s="1142"/>
      <c r="WDW158" s="1142"/>
      <c r="WDX158" s="1142"/>
      <c r="WDY158" s="1142"/>
      <c r="WDZ158" s="1142"/>
      <c r="WEA158" s="1142"/>
      <c r="WEB158" s="1142"/>
      <c r="WEC158" s="1167"/>
      <c r="WED158" s="1167"/>
      <c r="WEE158" s="1167"/>
      <c r="WEF158" s="1167"/>
      <c r="WEG158" s="1167"/>
      <c r="WEH158" s="1167"/>
      <c r="WEI158" s="1167"/>
      <c r="WEJ158" s="1167"/>
      <c r="WEK158" s="1167"/>
      <c r="WEL158" s="1142"/>
      <c r="WEM158" s="1142"/>
      <c r="WEN158" s="1142"/>
      <c r="WEO158" s="1142"/>
      <c r="WEP158" s="1142"/>
      <c r="WEQ158" s="1142"/>
      <c r="WER158" s="1142"/>
      <c r="WES158" s="1142"/>
      <c r="WET158" s="1142"/>
      <c r="WEU158" s="1142"/>
      <c r="WEV158" s="1142"/>
      <c r="WEW158" s="1142"/>
      <c r="WEX158" s="1142"/>
      <c r="WEY158" s="1142"/>
      <c r="WEZ158" s="1142"/>
      <c r="WFA158" s="1142"/>
      <c r="WFB158" s="1142"/>
      <c r="WFC158" s="1142"/>
      <c r="WFD158" s="1142"/>
      <c r="WFE158" s="1142"/>
      <c r="WFF158" s="1142"/>
      <c r="WFG158" s="1142"/>
      <c r="WFH158" s="1142"/>
      <c r="WFI158" s="1167"/>
      <c r="WFJ158" s="1167"/>
      <c r="WFK158" s="1167"/>
      <c r="WFL158" s="1167"/>
      <c r="WFM158" s="1167"/>
      <c r="WFN158" s="1167"/>
      <c r="WFO158" s="1167"/>
      <c r="WFP158" s="1167"/>
      <c r="WFQ158" s="1167"/>
      <c r="WFR158" s="1142"/>
      <c r="WFS158" s="1142"/>
      <c r="WFT158" s="1142"/>
      <c r="WFU158" s="1142"/>
      <c r="WFV158" s="1142"/>
      <c r="WFW158" s="1142"/>
      <c r="WFX158" s="1142"/>
      <c r="WFY158" s="1142"/>
      <c r="WFZ158" s="1142"/>
      <c r="WGA158" s="1142"/>
      <c r="WGB158" s="1142"/>
      <c r="WGC158" s="1142"/>
      <c r="WGD158" s="1142"/>
      <c r="WGE158" s="1142"/>
      <c r="WGF158" s="1142"/>
      <c r="WGG158" s="1142"/>
      <c r="WGH158" s="1142"/>
      <c r="WGI158" s="1142"/>
      <c r="WGJ158" s="1142"/>
      <c r="WGK158" s="1142"/>
      <c r="WGL158" s="1142"/>
      <c r="WGM158" s="1142"/>
      <c r="WGN158" s="1142"/>
      <c r="WGO158" s="1167"/>
      <c r="WGP158" s="1167"/>
      <c r="WGQ158" s="1167"/>
      <c r="WGR158" s="1167"/>
      <c r="WGS158" s="1167"/>
      <c r="WGT158" s="1167"/>
      <c r="WGU158" s="1167"/>
      <c r="WGV158" s="1167"/>
      <c r="WGW158" s="1167"/>
      <c r="WGX158" s="1142"/>
      <c r="WGY158" s="1142"/>
      <c r="WGZ158" s="1142"/>
      <c r="WHA158" s="1142"/>
      <c r="WHB158" s="1142"/>
      <c r="WHC158" s="1142"/>
      <c r="WHD158" s="1142"/>
      <c r="WHE158" s="1142"/>
      <c r="WHF158" s="1142"/>
      <c r="WHG158" s="1142"/>
      <c r="WHH158" s="1142"/>
      <c r="WHI158" s="1142"/>
      <c r="WHJ158" s="1142"/>
      <c r="WHK158" s="1142"/>
      <c r="WHL158" s="1142"/>
      <c r="WHM158" s="1142"/>
      <c r="WHN158" s="1142"/>
      <c r="WHO158" s="1142"/>
      <c r="WHP158" s="1142"/>
      <c r="WHQ158" s="1142"/>
      <c r="WHR158" s="1142"/>
      <c r="WHS158" s="1142"/>
      <c r="WHT158" s="1142"/>
      <c r="WHU158" s="1167"/>
      <c r="WHV158" s="1167"/>
      <c r="WHW158" s="1167"/>
      <c r="WHX158" s="1167"/>
      <c r="WHY158" s="1167"/>
      <c r="WHZ158" s="1167"/>
      <c r="WIA158" s="1167"/>
      <c r="WIB158" s="1167"/>
      <c r="WIC158" s="1167"/>
      <c r="WID158" s="1142"/>
      <c r="WIE158" s="1142"/>
      <c r="WIF158" s="1142"/>
      <c r="WIG158" s="1142"/>
      <c r="WIH158" s="1142"/>
      <c r="WII158" s="1142"/>
      <c r="WIJ158" s="1142"/>
      <c r="WIK158" s="1142"/>
      <c r="WIL158" s="1142"/>
      <c r="WIM158" s="1142"/>
      <c r="WIN158" s="1142"/>
      <c r="WIO158" s="1142"/>
      <c r="WIP158" s="1142"/>
      <c r="WIQ158" s="1142"/>
      <c r="WIR158" s="1142"/>
      <c r="WIS158" s="1142"/>
      <c r="WIT158" s="1142"/>
      <c r="WIU158" s="1142"/>
      <c r="WIV158" s="1142"/>
      <c r="WIW158" s="1142"/>
      <c r="WIX158" s="1142"/>
      <c r="WIY158" s="1142"/>
      <c r="WIZ158" s="1142"/>
      <c r="WJA158" s="1167"/>
      <c r="WJB158" s="1167"/>
      <c r="WJC158" s="1167"/>
      <c r="WJD158" s="1167"/>
      <c r="WJE158" s="1167"/>
      <c r="WJF158" s="1167"/>
      <c r="WJG158" s="1167"/>
      <c r="WJH158" s="1167"/>
      <c r="WJI158" s="1167"/>
      <c r="WJJ158" s="1142"/>
      <c r="WJK158" s="1142"/>
      <c r="WJL158" s="1142"/>
      <c r="WJM158" s="1142"/>
      <c r="WJN158" s="1142"/>
      <c r="WJO158" s="1142"/>
      <c r="WJP158" s="1142"/>
      <c r="WJQ158" s="1142"/>
      <c r="WJR158" s="1142"/>
      <c r="WJS158" s="1142"/>
      <c r="WJT158" s="1142"/>
      <c r="WJU158" s="1142"/>
      <c r="WJV158" s="1142"/>
      <c r="WJW158" s="1142"/>
      <c r="WJX158" s="1142"/>
      <c r="WJY158" s="1142"/>
      <c r="WJZ158" s="1142"/>
      <c r="WKA158" s="1142"/>
      <c r="WKB158" s="1142"/>
      <c r="WKC158" s="1142"/>
      <c r="WKD158" s="1142"/>
      <c r="WKE158" s="1142"/>
      <c r="WKF158" s="1142"/>
      <c r="WKG158" s="1167"/>
      <c r="WKH158" s="1167"/>
      <c r="WKI158" s="1167"/>
      <c r="WKJ158" s="1167"/>
      <c r="WKK158" s="1167"/>
      <c r="WKL158" s="1167"/>
      <c r="WKM158" s="1167"/>
      <c r="WKN158" s="1167"/>
      <c r="WKO158" s="1167"/>
      <c r="WKP158" s="1142"/>
      <c r="WKQ158" s="1142"/>
      <c r="WKR158" s="1142"/>
      <c r="WKS158" s="1142"/>
      <c r="WKT158" s="1142"/>
      <c r="WKU158" s="1142"/>
      <c r="WKV158" s="1142"/>
      <c r="WKW158" s="1142"/>
      <c r="WKX158" s="1142"/>
      <c r="WKY158" s="1142"/>
      <c r="WKZ158" s="1142"/>
      <c r="WLA158" s="1142"/>
      <c r="WLB158" s="1142"/>
      <c r="WLC158" s="1142"/>
      <c r="WLD158" s="1142"/>
      <c r="WLE158" s="1142"/>
      <c r="WLF158" s="1142"/>
      <c r="WLG158" s="1142"/>
      <c r="WLH158" s="1142"/>
      <c r="WLI158" s="1142"/>
      <c r="WLJ158" s="1142"/>
      <c r="WLK158" s="1142"/>
      <c r="WLL158" s="1142"/>
      <c r="WLM158" s="1167"/>
      <c r="WLN158" s="1167"/>
      <c r="WLO158" s="1167"/>
      <c r="WLP158" s="1167"/>
      <c r="WLQ158" s="1167"/>
      <c r="WLR158" s="1167"/>
      <c r="WLS158" s="1167"/>
      <c r="WLT158" s="1167"/>
      <c r="WLU158" s="1167"/>
      <c r="WLV158" s="1142"/>
      <c r="WLW158" s="1142"/>
      <c r="WLX158" s="1142"/>
      <c r="WLY158" s="1142"/>
      <c r="WLZ158" s="1142"/>
      <c r="WMA158" s="1142"/>
      <c r="WMB158" s="1142"/>
      <c r="WMC158" s="1142"/>
      <c r="WMD158" s="1142"/>
      <c r="WME158" s="1142"/>
      <c r="WMF158" s="1142"/>
      <c r="WMG158" s="1142"/>
      <c r="WMH158" s="1142"/>
      <c r="WMI158" s="1142"/>
      <c r="WMJ158" s="1142"/>
      <c r="WMK158" s="1142"/>
      <c r="WML158" s="1142"/>
      <c r="WMM158" s="1142"/>
      <c r="WMN158" s="1142"/>
      <c r="WMO158" s="1142"/>
      <c r="WMP158" s="1142"/>
      <c r="WMQ158" s="1142"/>
      <c r="WMR158" s="1142"/>
      <c r="WMS158" s="1167"/>
      <c r="WMT158" s="1167"/>
      <c r="WMU158" s="1167"/>
      <c r="WMV158" s="1167"/>
      <c r="WMW158" s="1167"/>
      <c r="WMX158" s="1167"/>
      <c r="WMY158" s="1167"/>
      <c r="WMZ158" s="1167"/>
      <c r="WNA158" s="1167"/>
      <c r="WNB158" s="1142"/>
      <c r="WNC158" s="1142"/>
      <c r="WND158" s="1142"/>
      <c r="WNE158" s="1142"/>
      <c r="WNF158" s="1142"/>
      <c r="WNG158" s="1142"/>
      <c r="WNH158" s="1142"/>
      <c r="WNI158" s="1142"/>
      <c r="WNJ158" s="1142"/>
      <c r="WNK158" s="1142"/>
      <c r="WNL158" s="1142"/>
      <c r="WNM158" s="1142"/>
      <c r="WNN158" s="1142"/>
      <c r="WNO158" s="1142"/>
      <c r="WNP158" s="1142"/>
      <c r="WNQ158" s="1142"/>
      <c r="WNR158" s="1142"/>
      <c r="WNS158" s="1142"/>
      <c r="WNT158" s="1142"/>
      <c r="WNU158" s="1142"/>
      <c r="WNV158" s="1142"/>
      <c r="WNW158" s="1142"/>
      <c r="WNX158" s="1142"/>
      <c r="WNY158" s="1167"/>
      <c r="WNZ158" s="1167"/>
      <c r="WOA158" s="1167"/>
      <c r="WOB158" s="1167"/>
      <c r="WOC158" s="1167"/>
      <c r="WOD158" s="1167"/>
      <c r="WOE158" s="1167"/>
      <c r="WOF158" s="1167"/>
      <c r="WOG158" s="1167"/>
      <c r="WOH158" s="1142"/>
      <c r="WOI158" s="1142"/>
      <c r="WOJ158" s="1142"/>
      <c r="WOK158" s="1142"/>
      <c r="WOL158" s="1142"/>
      <c r="WOM158" s="1142"/>
      <c r="WON158" s="1142"/>
      <c r="WOO158" s="1142"/>
      <c r="WOP158" s="1142"/>
      <c r="WOQ158" s="1142"/>
      <c r="WOR158" s="1142"/>
      <c r="WOS158" s="1142"/>
      <c r="WOT158" s="1142"/>
      <c r="WOU158" s="1142"/>
      <c r="WOV158" s="1142"/>
      <c r="WOW158" s="1142"/>
      <c r="WOX158" s="1142"/>
      <c r="WOY158" s="1142"/>
      <c r="WOZ158" s="1142"/>
      <c r="WPA158" s="1142"/>
      <c r="WPB158" s="1142"/>
      <c r="WPC158" s="1142"/>
      <c r="WPD158" s="1142"/>
      <c r="WPE158" s="1167"/>
      <c r="WPF158" s="1167"/>
      <c r="WPG158" s="1167"/>
      <c r="WPH158" s="1167"/>
      <c r="WPI158" s="1167"/>
      <c r="WPJ158" s="1167"/>
      <c r="WPK158" s="1167"/>
      <c r="WPL158" s="1167"/>
      <c r="WPM158" s="1167"/>
      <c r="WPN158" s="1142"/>
      <c r="WPO158" s="1142"/>
      <c r="WPP158" s="1142"/>
      <c r="WPQ158" s="1142"/>
      <c r="WPR158" s="1142"/>
      <c r="WPS158" s="1142"/>
      <c r="WPT158" s="1142"/>
      <c r="WPU158" s="1142"/>
      <c r="WPV158" s="1142"/>
      <c r="WPW158" s="1142"/>
      <c r="WPX158" s="1142"/>
      <c r="WPY158" s="1142"/>
      <c r="WPZ158" s="1142"/>
      <c r="WQA158" s="1142"/>
      <c r="WQB158" s="1142"/>
      <c r="WQC158" s="1142"/>
      <c r="WQD158" s="1142"/>
      <c r="WQE158" s="1142"/>
      <c r="WQF158" s="1142"/>
      <c r="WQG158" s="1142"/>
      <c r="WQH158" s="1142"/>
      <c r="WQI158" s="1142"/>
      <c r="WQJ158" s="1142"/>
      <c r="WQK158" s="1167"/>
      <c r="WQL158" s="1167"/>
      <c r="WQM158" s="1167"/>
      <c r="WQN158" s="1167"/>
      <c r="WQO158" s="1167"/>
      <c r="WQP158" s="1167"/>
      <c r="WQQ158" s="1167"/>
      <c r="WQR158" s="1167"/>
      <c r="WQS158" s="1167"/>
      <c r="WQT158" s="1142"/>
      <c r="WQU158" s="1142"/>
      <c r="WQV158" s="1142"/>
      <c r="WQW158" s="1142"/>
      <c r="WQX158" s="1142"/>
      <c r="WQY158" s="1142"/>
      <c r="WQZ158" s="1142"/>
      <c r="WRA158" s="1142"/>
      <c r="WRB158" s="1142"/>
      <c r="WRC158" s="1142"/>
      <c r="WRD158" s="1142"/>
      <c r="WRE158" s="1142"/>
      <c r="WRF158" s="1142"/>
      <c r="WRG158" s="1142"/>
      <c r="WRH158" s="1142"/>
      <c r="WRI158" s="1142"/>
      <c r="WRJ158" s="1142"/>
      <c r="WRK158" s="1142"/>
      <c r="WRL158" s="1142"/>
      <c r="WRM158" s="1142"/>
      <c r="WRN158" s="1142"/>
      <c r="WRO158" s="1142"/>
      <c r="WRP158" s="1142"/>
      <c r="WRQ158" s="1167"/>
      <c r="WRR158" s="1167"/>
      <c r="WRS158" s="1167"/>
      <c r="WRT158" s="1167"/>
      <c r="WRU158" s="1167"/>
      <c r="WRV158" s="1167"/>
      <c r="WRW158" s="1167"/>
      <c r="WRX158" s="1167"/>
      <c r="WRY158" s="1167"/>
      <c r="WRZ158" s="1142"/>
      <c r="WSA158" s="1142"/>
      <c r="WSB158" s="1142"/>
      <c r="WSC158" s="1142"/>
      <c r="WSD158" s="1142"/>
      <c r="WSE158" s="1142"/>
      <c r="WSF158" s="1142"/>
      <c r="WSG158" s="1142"/>
      <c r="WSH158" s="1142"/>
      <c r="WSI158" s="1142"/>
      <c r="WSJ158" s="1142"/>
      <c r="WSK158" s="1142"/>
      <c r="WSL158" s="1142"/>
      <c r="WSM158" s="1142"/>
      <c r="WSN158" s="1142"/>
      <c r="WSO158" s="1142"/>
      <c r="WSP158" s="1142"/>
      <c r="WSQ158" s="1142"/>
      <c r="WSR158" s="1142"/>
      <c r="WSS158" s="1142"/>
      <c r="WST158" s="1142"/>
      <c r="WSU158" s="1142"/>
      <c r="WSV158" s="1142"/>
      <c r="WSW158" s="1167"/>
      <c r="WSX158" s="1167"/>
      <c r="WSY158" s="1167"/>
      <c r="WSZ158" s="1167"/>
      <c r="WTA158" s="1167"/>
      <c r="WTB158" s="1167"/>
      <c r="WTC158" s="1167"/>
      <c r="WTD158" s="1167"/>
      <c r="WTE158" s="1167"/>
      <c r="WTF158" s="1142"/>
      <c r="WTG158" s="1142"/>
      <c r="WTH158" s="1142"/>
      <c r="WTI158" s="1142"/>
      <c r="WTJ158" s="1142"/>
      <c r="WTK158" s="1142"/>
      <c r="WTL158" s="1142"/>
      <c r="WTM158" s="1142"/>
      <c r="WTN158" s="1142"/>
      <c r="WTO158" s="1142"/>
      <c r="WTP158" s="1142"/>
      <c r="WTQ158" s="1142"/>
      <c r="WTR158" s="1142"/>
      <c r="WTS158" s="1142"/>
      <c r="WTT158" s="1142"/>
      <c r="WTU158" s="1142"/>
      <c r="WTV158" s="1142"/>
      <c r="WTW158" s="1142"/>
      <c r="WTX158" s="1142"/>
      <c r="WTY158" s="1142"/>
      <c r="WTZ158" s="1142"/>
      <c r="WUA158" s="1142"/>
      <c r="WUB158" s="1142"/>
      <c r="WUC158" s="1167"/>
      <c r="WUD158" s="1167"/>
      <c r="WUE158" s="1167"/>
      <c r="WUF158" s="1167"/>
      <c r="WUG158" s="1167"/>
      <c r="WUH158" s="1167"/>
      <c r="WUI158" s="1167"/>
      <c r="WUJ158" s="1167"/>
      <c r="WUK158" s="1167"/>
      <c r="WUL158" s="1142"/>
      <c r="WUM158" s="1142"/>
      <c r="WUN158" s="1142"/>
      <c r="WUO158" s="1142"/>
      <c r="WUP158" s="1142"/>
      <c r="WUQ158" s="1142"/>
      <c r="WUR158" s="1142"/>
      <c r="WUS158" s="1142"/>
      <c r="WUT158" s="1142"/>
      <c r="WUU158" s="1142"/>
      <c r="WUV158" s="1142"/>
      <c r="WUW158" s="1142"/>
      <c r="WUX158" s="1142"/>
      <c r="WUY158" s="1142"/>
      <c r="WUZ158" s="1142"/>
      <c r="WVA158" s="1142"/>
      <c r="WVB158" s="1142"/>
      <c r="WVC158" s="1142"/>
      <c r="WVD158" s="1142"/>
      <c r="WVE158" s="1142"/>
      <c r="WVF158" s="1142"/>
      <c r="WVG158" s="1142"/>
      <c r="WVH158" s="1142"/>
      <c r="WVI158" s="1167"/>
      <c r="WVJ158" s="1167"/>
      <c r="WVK158" s="1167"/>
      <c r="WVL158" s="1167"/>
      <c r="WVM158" s="1167"/>
      <c r="WVN158" s="1167"/>
      <c r="WVO158" s="1167"/>
      <c r="WVP158" s="1167"/>
      <c r="WVQ158" s="1167"/>
      <c r="WVR158" s="1142"/>
      <c r="WVS158" s="1142"/>
      <c r="WVT158" s="1142"/>
      <c r="WVU158" s="1142"/>
      <c r="WVV158" s="1142"/>
      <c r="WVW158" s="1142"/>
      <c r="WVX158" s="1142"/>
      <c r="WVY158" s="1142"/>
      <c r="WVZ158" s="1142"/>
      <c r="WWA158" s="1142"/>
      <c r="WWB158" s="1142"/>
      <c r="WWC158" s="1142"/>
      <c r="WWD158" s="1142"/>
      <c r="WWE158" s="1142"/>
      <c r="WWF158" s="1142"/>
      <c r="WWG158" s="1142"/>
      <c r="WWH158" s="1142"/>
      <c r="WWI158" s="1142"/>
      <c r="WWJ158" s="1142"/>
      <c r="WWK158" s="1142"/>
      <c r="WWL158" s="1142"/>
      <c r="WWM158" s="1142"/>
      <c r="WWN158" s="1142"/>
      <c r="WWO158" s="1167"/>
      <c r="WWP158" s="1167"/>
      <c r="WWQ158" s="1167"/>
      <c r="WWR158" s="1167"/>
      <c r="WWS158" s="1167"/>
      <c r="WWT158" s="1167"/>
      <c r="WWU158" s="1167"/>
      <c r="WWV158" s="1167"/>
      <c r="WWW158" s="1167"/>
      <c r="WWX158" s="1142"/>
      <c r="WWY158" s="1142"/>
      <c r="WWZ158" s="1142"/>
      <c r="WXA158" s="1142"/>
      <c r="WXB158" s="1142"/>
      <c r="WXC158" s="1142"/>
      <c r="WXD158" s="1142"/>
      <c r="WXE158" s="1142"/>
      <c r="WXF158" s="1142"/>
      <c r="WXG158" s="1142"/>
      <c r="WXH158" s="1142"/>
      <c r="WXI158" s="1142"/>
      <c r="WXJ158" s="1142"/>
      <c r="WXK158" s="1142"/>
      <c r="WXL158" s="1142"/>
      <c r="WXM158" s="1142"/>
      <c r="WXN158" s="1142"/>
      <c r="WXO158" s="1142"/>
      <c r="WXP158" s="1142"/>
      <c r="WXQ158" s="1142"/>
      <c r="WXR158" s="1142"/>
      <c r="WXS158" s="1142"/>
      <c r="WXT158" s="1142"/>
      <c r="WXU158" s="1167"/>
      <c r="WXV158" s="1167"/>
      <c r="WXW158" s="1167"/>
      <c r="WXX158" s="1167"/>
      <c r="WXY158" s="1167"/>
      <c r="WXZ158" s="1167"/>
      <c r="WYA158" s="1167"/>
      <c r="WYB158" s="1167"/>
      <c r="WYC158" s="1167"/>
      <c r="WYD158" s="1142"/>
      <c r="WYE158" s="1142"/>
      <c r="WYF158" s="1142"/>
      <c r="WYG158" s="1142"/>
      <c r="WYH158" s="1142"/>
      <c r="WYI158" s="1142"/>
      <c r="WYJ158" s="1142"/>
      <c r="WYK158" s="1142"/>
      <c r="WYL158" s="1142"/>
      <c r="WYM158" s="1142"/>
      <c r="WYN158" s="1142"/>
      <c r="WYO158" s="1142"/>
      <c r="WYP158" s="1142"/>
      <c r="WYQ158" s="1142"/>
      <c r="WYR158" s="1142"/>
      <c r="WYS158" s="1142"/>
      <c r="WYT158" s="1142"/>
      <c r="WYU158" s="1142"/>
      <c r="WYV158" s="1142"/>
      <c r="WYW158" s="1142"/>
      <c r="WYX158" s="1142"/>
      <c r="WYY158" s="1142"/>
      <c r="WYZ158" s="1142"/>
      <c r="WZA158" s="1167"/>
      <c r="WZB158" s="1167"/>
      <c r="WZC158" s="1167"/>
      <c r="WZD158" s="1167"/>
      <c r="WZE158" s="1167"/>
      <c r="WZF158" s="1167"/>
      <c r="WZG158" s="1167"/>
      <c r="WZH158" s="1167"/>
      <c r="WZI158" s="1167"/>
      <c r="WZJ158" s="1142"/>
      <c r="WZK158" s="1142"/>
      <c r="WZL158" s="1142"/>
      <c r="WZM158" s="1142"/>
      <c r="WZN158" s="1142"/>
      <c r="WZO158" s="1142"/>
      <c r="WZP158" s="1142"/>
      <c r="WZQ158" s="1142"/>
      <c r="WZR158" s="1142"/>
      <c r="WZS158" s="1142"/>
      <c r="WZT158" s="1142"/>
      <c r="WZU158" s="1142"/>
      <c r="WZV158" s="1142"/>
      <c r="WZW158" s="1142"/>
      <c r="WZX158" s="1142"/>
      <c r="WZY158" s="1142"/>
      <c r="WZZ158" s="1142"/>
      <c r="XAA158" s="1142"/>
      <c r="XAB158" s="1142"/>
      <c r="XAC158" s="1142"/>
      <c r="XAD158" s="1142"/>
      <c r="XAE158" s="1142"/>
      <c r="XAF158" s="1142"/>
      <c r="XAG158" s="1167"/>
      <c r="XAH158" s="1167"/>
      <c r="XAI158" s="1167"/>
      <c r="XAJ158" s="1167"/>
      <c r="XAK158" s="1167"/>
      <c r="XAL158" s="1167"/>
      <c r="XAM158" s="1167"/>
      <c r="XAN158" s="1167"/>
      <c r="XAO158" s="1167"/>
      <c r="XAP158" s="1142"/>
      <c r="XAQ158" s="1142"/>
      <c r="XAR158" s="1142"/>
      <c r="XAS158" s="1142"/>
      <c r="XAT158" s="1142"/>
      <c r="XAU158" s="1142"/>
      <c r="XAV158" s="1142"/>
      <c r="XAW158" s="1142"/>
      <c r="XAX158" s="1142"/>
      <c r="XAY158" s="1142"/>
      <c r="XAZ158" s="1142"/>
      <c r="XBA158" s="1142"/>
      <c r="XBB158" s="1142"/>
      <c r="XBC158" s="1142"/>
      <c r="XBD158" s="1142"/>
      <c r="XBE158" s="1142"/>
      <c r="XBF158" s="1142"/>
      <c r="XBG158" s="1142"/>
      <c r="XBH158" s="1142"/>
      <c r="XBI158" s="1142"/>
      <c r="XBJ158" s="1142"/>
      <c r="XBK158" s="1142"/>
      <c r="XBL158" s="1142"/>
      <c r="XBM158" s="1167"/>
      <c r="XBN158" s="1167"/>
      <c r="XBO158" s="1167"/>
      <c r="XBP158" s="1167"/>
      <c r="XBQ158" s="1167"/>
      <c r="XBR158" s="1167"/>
      <c r="XBS158" s="1167"/>
      <c r="XBT158" s="1167"/>
      <c r="XBU158" s="1167"/>
      <c r="XBV158" s="1142"/>
      <c r="XBW158" s="1142"/>
      <c r="XBX158" s="1142"/>
      <c r="XBY158" s="1142"/>
      <c r="XBZ158" s="1142"/>
      <c r="XCA158" s="1142"/>
      <c r="XCB158" s="1142"/>
      <c r="XCC158" s="1142"/>
      <c r="XCD158" s="1142"/>
      <c r="XCE158" s="1142"/>
      <c r="XCF158" s="1142"/>
      <c r="XCG158" s="1142"/>
      <c r="XCH158" s="1142"/>
      <c r="XCI158" s="1142"/>
      <c r="XCJ158" s="1142"/>
      <c r="XCK158" s="1142"/>
      <c r="XCL158" s="1142"/>
      <c r="XCM158" s="1142"/>
      <c r="XCN158" s="1142"/>
      <c r="XCO158" s="1142"/>
      <c r="XCP158" s="1142"/>
      <c r="XCQ158" s="1142"/>
      <c r="XCR158" s="1142"/>
      <c r="XCS158" s="1167"/>
      <c r="XCT158" s="1167"/>
      <c r="XCU158" s="1167"/>
      <c r="XCV158" s="1167"/>
      <c r="XCW158" s="1167"/>
      <c r="XCX158" s="1167"/>
      <c r="XCY158" s="1167"/>
      <c r="XCZ158" s="1167"/>
      <c r="XDA158" s="1167"/>
      <c r="XDB158" s="1142"/>
      <c r="XDC158" s="1142"/>
      <c r="XDD158" s="1142"/>
      <c r="XDE158" s="1142"/>
      <c r="XDF158" s="1142"/>
      <c r="XDG158" s="1142"/>
      <c r="XDH158" s="1142"/>
      <c r="XDI158" s="1142"/>
      <c r="XDJ158" s="1142"/>
      <c r="XDK158" s="1142"/>
      <c r="XDL158" s="1142"/>
      <c r="XDM158" s="1142"/>
      <c r="XDN158" s="1142"/>
      <c r="XDO158" s="1142"/>
      <c r="XDP158" s="1142"/>
      <c r="XDQ158" s="1142"/>
      <c r="XDR158" s="1142"/>
      <c r="XDS158" s="1142"/>
      <c r="XDT158" s="1142"/>
      <c r="XDU158" s="1142"/>
      <c r="XDV158" s="1142"/>
      <c r="XDW158" s="1142"/>
      <c r="XDX158" s="1142"/>
      <c r="XDY158" s="1167"/>
      <c r="XDZ158" s="1167"/>
      <c r="XEA158" s="1167"/>
      <c r="XEB158" s="1167"/>
      <c r="XEC158" s="1167"/>
      <c r="XED158" s="1167"/>
      <c r="XEE158" s="1167"/>
      <c r="XEF158" s="1167"/>
      <c r="XEG158" s="1167"/>
      <c r="XEH158" s="1142"/>
      <c r="XEI158" s="1142"/>
      <c r="XEJ158" s="1142"/>
      <c r="XEK158" s="1142"/>
      <c r="XEL158" s="1142"/>
      <c r="XEM158" s="1142"/>
      <c r="XEN158" s="1142"/>
      <c r="XEO158" s="1142"/>
      <c r="XEP158" s="1142"/>
      <c r="XEQ158" s="1142"/>
      <c r="XER158" s="1142"/>
      <c r="XES158" s="1142"/>
      <c r="XET158" s="1142"/>
      <c r="XEU158" s="1142"/>
      <c r="XEV158" s="1142"/>
      <c r="XEW158" s="1142"/>
      <c r="XEX158" s="1142"/>
      <c r="XEY158" s="1142"/>
      <c r="XEZ158" s="1142"/>
      <c r="XFA158" s="1142"/>
      <c r="XFB158" s="1142"/>
      <c r="XFC158" s="1142"/>
      <c r="XFD158" s="1142"/>
    </row>
    <row r="160" spans="1:16384" s="272" customFormat="1" ht="53.25" customHeight="1" x14ac:dyDescent="0.25">
      <c r="A160" s="1167" t="s">
        <v>2640</v>
      </c>
      <c r="B160" s="1167"/>
      <c r="C160" s="1167"/>
      <c r="D160" s="1167"/>
      <c r="E160" s="1167"/>
      <c r="F160" s="1167"/>
      <c r="G160" s="1167"/>
      <c r="H160" s="1167"/>
      <c r="I160" s="1167"/>
      <c r="J160" s="1142" t="s">
        <v>2641</v>
      </c>
      <c r="K160" s="1142"/>
      <c r="L160" s="1142"/>
      <c r="M160" s="1142"/>
      <c r="N160" s="1142"/>
      <c r="O160" s="1142"/>
      <c r="P160" s="1142"/>
      <c r="Q160" s="1142"/>
      <c r="R160" s="1142"/>
      <c r="S160" s="1142"/>
      <c r="T160" s="1142"/>
      <c r="U160" s="1142"/>
      <c r="V160" s="1142"/>
      <c r="W160" s="1142"/>
      <c r="X160" s="1142"/>
      <c r="Y160" s="1142"/>
      <c r="Z160" s="1142"/>
      <c r="AA160" s="1142"/>
      <c r="AB160" s="1142"/>
      <c r="AC160" s="1142"/>
      <c r="AD160" s="1142"/>
      <c r="AE160" s="1142"/>
      <c r="AF160" s="1142"/>
    </row>
    <row r="162" spans="1:32" ht="73.5" customHeight="1" x14ac:dyDescent="0.25">
      <c r="A162" s="1167" t="s">
        <v>2642</v>
      </c>
      <c r="B162" s="1167"/>
      <c r="C162" s="1167"/>
      <c r="D162" s="1167"/>
      <c r="E162" s="1167"/>
      <c r="F162" s="1167"/>
      <c r="G162" s="1167"/>
      <c r="H162" s="1167"/>
      <c r="I162" s="1167"/>
      <c r="J162" s="1142" t="s">
        <v>2643</v>
      </c>
      <c r="K162" s="1142"/>
      <c r="L162" s="1142"/>
      <c r="M162" s="1142"/>
      <c r="N162" s="1142"/>
      <c r="O162" s="1142"/>
      <c r="P162" s="1142"/>
      <c r="Q162" s="1142"/>
      <c r="R162" s="1142"/>
      <c r="S162" s="1142"/>
      <c r="T162" s="1142"/>
      <c r="U162" s="1142"/>
      <c r="V162" s="1142"/>
      <c r="W162" s="1142"/>
      <c r="X162" s="1142"/>
      <c r="Y162" s="1142"/>
      <c r="Z162" s="1142"/>
      <c r="AA162" s="1142"/>
      <c r="AB162" s="1142"/>
      <c r="AC162" s="1142"/>
      <c r="AD162" s="1142"/>
      <c r="AE162" s="1142"/>
      <c r="AF162" s="1142"/>
    </row>
    <row r="164" spans="1:32" ht="51" customHeight="1" x14ac:dyDescent="0.25">
      <c r="A164" s="1167" t="s">
        <v>2644</v>
      </c>
      <c r="B164" s="1167"/>
      <c r="C164" s="1167"/>
      <c r="D164" s="1167"/>
      <c r="E164" s="1167"/>
      <c r="F164" s="1167"/>
      <c r="G164" s="1167"/>
      <c r="H164" s="1167"/>
      <c r="I164" s="1167"/>
      <c r="J164" s="1142" t="s">
        <v>1033</v>
      </c>
      <c r="K164" s="1142"/>
      <c r="L164" s="1142"/>
      <c r="M164" s="1142"/>
      <c r="N164" s="1142"/>
      <c r="O164" s="1142"/>
      <c r="P164" s="1142"/>
      <c r="Q164" s="1142"/>
      <c r="R164" s="1142"/>
      <c r="S164" s="1142"/>
      <c r="T164" s="1142"/>
      <c r="U164" s="1142"/>
      <c r="V164" s="1142"/>
      <c r="W164" s="1142"/>
      <c r="X164" s="1142"/>
      <c r="Y164" s="1142"/>
      <c r="Z164" s="1142"/>
      <c r="AA164" s="1142"/>
      <c r="AB164" s="1142"/>
      <c r="AC164" s="1142"/>
      <c r="AD164" s="1142"/>
      <c r="AE164" s="1142"/>
      <c r="AF164" s="1142"/>
    </row>
    <row r="166" spans="1:32" ht="69" customHeight="1" x14ac:dyDescent="0.25">
      <c r="A166" s="1167" t="s">
        <v>2645</v>
      </c>
      <c r="B166" s="1167"/>
      <c r="C166" s="1167"/>
      <c r="D166" s="1167"/>
      <c r="E166" s="1167"/>
      <c r="F166" s="1167"/>
      <c r="G166" s="1167"/>
      <c r="H166" s="1167"/>
      <c r="I166" s="1167"/>
      <c r="J166" s="1142" t="s">
        <v>1034</v>
      </c>
      <c r="K166" s="1142"/>
      <c r="L166" s="1142"/>
      <c r="M166" s="1142"/>
      <c r="N166" s="1142"/>
      <c r="O166" s="1142"/>
      <c r="P166" s="1142"/>
      <c r="Q166" s="1142"/>
      <c r="R166" s="1142"/>
      <c r="S166" s="1142"/>
      <c r="T166" s="1142"/>
      <c r="U166" s="1142"/>
      <c r="V166" s="1142"/>
      <c r="W166" s="1142"/>
      <c r="X166" s="1142"/>
      <c r="Y166" s="1142"/>
      <c r="Z166" s="1142"/>
      <c r="AA166" s="1142"/>
      <c r="AB166" s="1142"/>
      <c r="AC166" s="1142"/>
      <c r="AD166" s="1142"/>
      <c r="AE166" s="1142"/>
      <c r="AF166" s="1142"/>
    </row>
    <row r="168" spans="1:32" x14ac:dyDescent="0.25">
      <c r="A168" s="1167"/>
      <c r="B168" s="1167"/>
      <c r="C168" s="1167"/>
      <c r="D168" s="1167"/>
      <c r="E168" s="1167"/>
      <c r="F168" s="1167"/>
      <c r="G168" s="1167"/>
      <c r="H168" s="1167"/>
      <c r="I168" s="1167"/>
      <c r="J168" s="1142"/>
      <c r="K168" s="1142"/>
      <c r="L168" s="1142"/>
      <c r="M168" s="1142"/>
      <c r="N168" s="1142"/>
      <c r="O168" s="1142"/>
      <c r="P168" s="1142"/>
      <c r="Q168" s="1142"/>
      <c r="R168" s="1142"/>
      <c r="S168" s="1142"/>
      <c r="T168" s="1142"/>
      <c r="U168" s="1142"/>
      <c r="V168" s="1142"/>
      <c r="W168" s="1142"/>
      <c r="X168" s="1142"/>
      <c r="Y168" s="1142"/>
      <c r="Z168" s="1142"/>
      <c r="AA168" s="1142"/>
      <c r="AB168" s="1142"/>
      <c r="AC168" s="1142"/>
      <c r="AD168" s="1142"/>
      <c r="AE168" s="1142"/>
      <c r="AF168" s="1142"/>
    </row>
    <row r="170" spans="1:32" x14ac:dyDescent="0.25">
      <c r="A170" s="1167"/>
      <c r="B170" s="1167"/>
      <c r="C170" s="1167"/>
      <c r="D170" s="1167"/>
      <c r="E170" s="1167"/>
      <c r="F170" s="1167"/>
      <c r="G170" s="1167"/>
      <c r="H170" s="1167"/>
      <c r="I170" s="1167"/>
      <c r="J170" s="1142"/>
      <c r="K170" s="1142"/>
      <c r="L170" s="1142"/>
      <c r="M170" s="1142"/>
      <c r="N170" s="1142"/>
      <c r="O170" s="1142"/>
      <c r="P170" s="1142"/>
      <c r="Q170" s="1142"/>
      <c r="R170" s="1142"/>
      <c r="S170" s="1142"/>
      <c r="T170" s="1142"/>
      <c r="U170" s="1142"/>
      <c r="V170" s="1142"/>
      <c r="W170" s="1142"/>
      <c r="X170" s="1142"/>
      <c r="Y170" s="1142"/>
      <c r="Z170" s="1142"/>
      <c r="AA170" s="1142"/>
      <c r="AB170" s="1142"/>
      <c r="AC170" s="1142"/>
      <c r="AD170" s="1142"/>
      <c r="AE170" s="1142"/>
      <c r="AF170" s="1142"/>
    </row>
    <row r="172" spans="1:32" x14ac:dyDescent="0.25">
      <c r="A172" s="1167"/>
      <c r="B172" s="1167"/>
      <c r="C172" s="1167"/>
      <c r="D172" s="1167"/>
      <c r="E172" s="1167"/>
      <c r="F172" s="1167"/>
      <c r="G172" s="1167"/>
      <c r="H172" s="1167"/>
      <c r="I172" s="1167"/>
      <c r="J172" s="1142"/>
      <c r="K172" s="1142"/>
      <c r="L172" s="1142"/>
      <c r="M172" s="1142"/>
      <c r="N172" s="1142"/>
      <c r="O172" s="1142"/>
      <c r="P172" s="1142"/>
      <c r="Q172" s="1142"/>
      <c r="R172" s="1142"/>
      <c r="S172" s="1142"/>
      <c r="T172" s="1142"/>
      <c r="U172" s="1142"/>
      <c r="V172" s="1142"/>
      <c r="W172" s="1142"/>
      <c r="X172" s="1142"/>
      <c r="Y172" s="1142"/>
      <c r="Z172" s="1142"/>
      <c r="AA172" s="1142"/>
      <c r="AB172" s="1142"/>
      <c r="AC172" s="1142"/>
      <c r="AD172" s="1142"/>
      <c r="AE172" s="1142"/>
      <c r="AF172" s="1142"/>
    </row>
    <row r="174" spans="1:32" x14ac:dyDescent="0.25">
      <c r="A174" s="1167"/>
      <c r="B174" s="1167"/>
      <c r="C174" s="1167"/>
      <c r="D174" s="1167"/>
      <c r="E174" s="1167"/>
      <c r="F174" s="1167"/>
      <c r="G174" s="1167"/>
      <c r="H174" s="1167"/>
      <c r="I174" s="1167"/>
      <c r="J174" s="1142"/>
      <c r="K174" s="1142"/>
      <c r="L174" s="1142"/>
      <c r="M174" s="1142"/>
      <c r="N174" s="1142"/>
      <c r="O174" s="1142"/>
      <c r="P174" s="1142"/>
      <c r="Q174" s="1142"/>
      <c r="R174" s="1142"/>
      <c r="S174" s="1142"/>
      <c r="T174" s="1142"/>
      <c r="U174" s="1142"/>
      <c r="V174" s="1142"/>
      <c r="W174" s="1142"/>
      <c r="X174" s="1142"/>
      <c r="Y174" s="1142"/>
      <c r="Z174" s="1142"/>
      <c r="AA174" s="1142"/>
      <c r="AB174" s="1142"/>
      <c r="AC174" s="1142"/>
      <c r="AD174" s="1142"/>
      <c r="AE174" s="1142"/>
      <c r="AF174" s="1142"/>
    </row>
  </sheetData>
  <sheetProtection algorithmName="SHA-512" hashValue="NT/a/uFMIdk3Z/Sus56SydSVB+CPey+/dWLTVfSwSw/kEmeDDjFQVljCjA0FBwBMXInZTXb4VMtxYm35eKRf5A==" saltValue="QyxX0zCL3TBOCu4SJHfjuw==" spinCount="100000" sheet="1" objects="1" scenarios="1"/>
  <mergeCells count="4268">
    <mergeCell ref="A1:AF1"/>
    <mergeCell ref="A29:I29"/>
    <mergeCell ref="A9:I9"/>
    <mergeCell ref="A11:I11"/>
    <mergeCell ref="A13:I13"/>
    <mergeCell ref="A15:I15"/>
    <mergeCell ref="A17:I17"/>
    <mergeCell ref="A19:I19"/>
    <mergeCell ref="A21:I21"/>
    <mergeCell ref="A25:I25"/>
    <mergeCell ref="J29:AF29"/>
    <mergeCell ref="A27:I27"/>
    <mergeCell ref="J9:AF9"/>
    <mergeCell ref="J11:AF11"/>
    <mergeCell ref="J13:AF13"/>
    <mergeCell ref="J15:AF15"/>
    <mergeCell ref="A23:I23"/>
    <mergeCell ref="J23:AF23"/>
    <mergeCell ref="A39:I39"/>
    <mergeCell ref="J39:AF39"/>
    <mergeCell ref="A40:I40"/>
    <mergeCell ref="J40:AF40"/>
    <mergeCell ref="A42:I42"/>
    <mergeCell ref="J42:AF42"/>
    <mergeCell ref="A41:I41"/>
    <mergeCell ref="J41:AF41"/>
    <mergeCell ref="A3:AF3"/>
    <mergeCell ref="B5:AF5"/>
    <mergeCell ref="A7:I7"/>
    <mergeCell ref="J7:AF7"/>
    <mergeCell ref="J17:AF17"/>
    <mergeCell ref="J19:AF19"/>
    <mergeCell ref="J21:AF21"/>
    <mergeCell ref="J25:AF25"/>
    <mergeCell ref="J27:AF27"/>
    <mergeCell ref="A33:I33"/>
    <mergeCell ref="J33:AF33"/>
    <mergeCell ref="KC42:KK42"/>
    <mergeCell ref="KL42:LH42"/>
    <mergeCell ref="LI42:LQ42"/>
    <mergeCell ref="LR42:MN42"/>
    <mergeCell ref="GK42:GS42"/>
    <mergeCell ref="GT42:HP42"/>
    <mergeCell ref="HQ42:HY42"/>
    <mergeCell ref="HZ42:IV42"/>
    <mergeCell ref="IW42:JE42"/>
    <mergeCell ref="DB42:DX42"/>
    <mergeCell ref="DY42:EG42"/>
    <mergeCell ref="EH42:FD42"/>
    <mergeCell ref="FE42:FM42"/>
    <mergeCell ref="FN42:GJ42"/>
    <mergeCell ref="AG42:AO42"/>
    <mergeCell ref="AP42:BL42"/>
    <mergeCell ref="BM42:BU42"/>
    <mergeCell ref="BV42:CR42"/>
    <mergeCell ref="CS42:DA42"/>
    <mergeCell ref="YW42:ZE42"/>
    <mergeCell ref="ZF42:AAB42"/>
    <mergeCell ref="AAC42:AAK42"/>
    <mergeCell ref="AAL42:ABH42"/>
    <mergeCell ref="ABI42:ABQ42"/>
    <mergeCell ref="VN42:WJ42"/>
    <mergeCell ref="WK42:WS42"/>
    <mergeCell ref="WT42:XP42"/>
    <mergeCell ref="XQ42:XY42"/>
    <mergeCell ref="XZ42:YV42"/>
    <mergeCell ref="A31:I31"/>
    <mergeCell ref="J31:AF31"/>
    <mergeCell ref="A35:I35"/>
    <mergeCell ref="J35:AF35"/>
    <mergeCell ref="A37:I37"/>
    <mergeCell ref="J37:AF37"/>
    <mergeCell ref="SS42:TA42"/>
    <mergeCell ref="TB42:TX42"/>
    <mergeCell ref="TY42:UG42"/>
    <mergeCell ref="UH42:VD42"/>
    <mergeCell ref="VE42:VM42"/>
    <mergeCell ref="PJ42:QF42"/>
    <mergeCell ref="QG42:QO42"/>
    <mergeCell ref="QP42:RL42"/>
    <mergeCell ref="RM42:RU42"/>
    <mergeCell ref="RV42:SR42"/>
    <mergeCell ref="MO42:MW42"/>
    <mergeCell ref="MX42:NT42"/>
    <mergeCell ref="NU42:OC42"/>
    <mergeCell ref="OD42:OZ42"/>
    <mergeCell ref="PA42:PI42"/>
    <mergeCell ref="JF42:KB42"/>
    <mergeCell ref="ALE42:ALM42"/>
    <mergeCell ref="ALN42:AMJ42"/>
    <mergeCell ref="AMK42:AMS42"/>
    <mergeCell ref="AMT42:ANP42"/>
    <mergeCell ref="ANQ42:ANY42"/>
    <mergeCell ref="AHV42:AIR42"/>
    <mergeCell ref="AIS42:AJA42"/>
    <mergeCell ref="AJB42:AJX42"/>
    <mergeCell ref="AJY42:AKG42"/>
    <mergeCell ref="AKH42:ALD42"/>
    <mergeCell ref="AFA42:AFI42"/>
    <mergeCell ref="AFJ42:AGF42"/>
    <mergeCell ref="AGG42:AGO42"/>
    <mergeCell ref="AGP42:AHL42"/>
    <mergeCell ref="AHM42:AHU42"/>
    <mergeCell ref="ABR42:ACN42"/>
    <mergeCell ref="ACO42:ACW42"/>
    <mergeCell ref="ACX42:ADT42"/>
    <mergeCell ref="ADU42:AEC42"/>
    <mergeCell ref="AED42:AEZ42"/>
    <mergeCell ref="AXM42:AXU42"/>
    <mergeCell ref="AXV42:AYR42"/>
    <mergeCell ref="AYS42:AZA42"/>
    <mergeCell ref="AZB42:AZX42"/>
    <mergeCell ref="AZY42:BAG42"/>
    <mergeCell ref="AUD42:AUZ42"/>
    <mergeCell ref="AVA42:AVI42"/>
    <mergeCell ref="AVJ42:AWF42"/>
    <mergeCell ref="AWG42:AWO42"/>
    <mergeCell ref="AWP42:AXL42"/>
    <mergeCell ref="ARI42:ARQ42"/>
    <mergeCell ref="ARR42:ASN42"/>
    <mergeCell ref="ASO42:ASW42"/>
    <mergeCell ref="ASX42:ATT42"/>
    <mergeCell ref="ATU42:AUC42"/>
    <mergeCell ref="ANZ42:AOV42"/>
    <mergeCell ref="AOW42:APE42"/>
    <mergeCell ref="APF42:AQB42"/>
    <mergeCell ref="AQC42:AQK42"/>
    <mergeCell ref="AQL42:ARH42"/>
    <mergeCell ref="BJU42:BKC42"/>
    <mergeCell ref="BKD42:BKZ42"/>
    <mergeCell ref="BLA42:BLI42"/>
    <mergeCell ref="BLJ42:BMF42"/>
    <mergeCell ref="BMG42:BMO42"/>
    <mergeCell ref="BGL42:BHH42"/>
    <mergeCell ref="BHI42:BHQ42"/>
    <mergeCell ref="BHR42:BIN42"/>
    <mergeCell ref="BIO42:BIW42"/>
    <mergeCell ref="BIX42:BJT42"/>
    <mergeCell ref="BDQ42:BDY42"/>
    <mergeCell ref="BDZ42:BEV42"/>
    <mergeCell ref="BEW42:BFE42"/>
    <mergeCell ref="BFF42:BGB42"/>
    <mergeCell ref="BGC42:BGK42"/>
    <mergeCell ref="BAH42:BBD42"/>
    <mergeCell ref="BBE42:BBM42"/>
    <mergeCell ref="BBN42:BCJ42"/>
    <mergeCell ref="BCK42:BCS42"/>
    <mergeCell ref="BCT42:BDP42"/>
    <mergeCell ref="BWC42:BWK42"/>
    <mergeCell ref="BWL42:BXH42"/>
    <mergeCell ref="BXI42:BXQ42"/>
    <mergeCell ref="BXR42:BYN42"/>
    <mergeCell ref="BYO42:BYW42"/>
    <mergeCell ref="BST42:BTP42"/>
    <mergeCell ref="BTQ42:BTY42"/>
    <mergeCell ref="BTZ42:BUV42"/>
    <mergeCell ref="BUW42:BVE42"/>
    <mergeCell ref="BVF42:BWB42"/>
    <mergeCell ref="BPY42:BQG42"/>
    <mergeCell ref="BQH42:BRD42"/>
    <mergeCell ref="BRE42:BRM42"/>
    <mergeCell ref="BRN42:BSJ42"/>
    <mergeCell ref="BSK42:BSS42"/>
    <mergeCell ref="BMP42:BNL42"/>
    <mergeCell ref="BNM42:BNU42"/>
    <mergeCell ref="BNV42:BOR42"/>
    <mergeCell ref="BOS42:BPA42"/>
    <mergeCell ref="BPB42:BPX42"/>
    <mergeCell ref="CIK42:CIS42"/>
    <mergeCell ref="CIT42:CJP42"/>
    <mergeCell ref="CJQ42:CJY42"/>
    <mergeCell ref="CJZ42:CKV42"/>
    <mergeCell ref="CKW42:CLE42"/>
    <mergeCell ref="CFB42:CFX42"/>
    <mergeCell ref="CFY42:CGG42"/>
    <mergeCell ref="CGH42:CHD42"/>
    <mergeCell ref="CHE42:CHM42"/>
    <mergeCell ref="CHN42:CIJ42"/>
    <mergeCell ref="CCG42:CCO42"/>
    <mergeCell ref="CCP42:CDL42"/>
    <mergeCell ref="CDM42:CDU42"/>
    <mergeCell ref="CDV42:CER42"/>
    <mergeCell ref="CES42:CFA42"/>
    <mergeCell ref="BYX42:BZT42"/>
    <mergeCell ref="BZU42:CAC42"/>
    <mergeCell ref="CAD42:CAZ42"/>
    <mergeCell ref="CBA42:CBI42"/>
    <mergeCell ref="CBJ42:CCF42"/>
    <mergeCell ref="CUS42:CVA42"/>
    <mergeCell ref="CVB42:CVX42"/>
    <mergeCell ref="CVY42:CWG42"/>
    <mergeCell ref="CWH42:CXD42"/>
    <mergeCell ref="CXE42:CXM42"/>
    <mergeCell ref="CRJ42:CSF42"/>
    <mergeCell ref="CSG42:CSO42"/>
    <mergeCell ref="CSP42:CTL42"/>
    <mergeCell ref="CTM42:CTU42"/>
    <mergeCell ref="CTV42:CUR42"/>
    <mergeCell ref="COO42:COW42"/>
    <mergeCell ref="COX42:CPT42"/>
    <mergeCell ref="CPU42:CQC42"/>
    <mergeCell ref="CQD42:CQZ42"/>
    <mergeCell ref="CRA42:CRI42"/>
    <mergeCell ref="CLF42:CMB42"/>
    <mergeCell ref="CMC42:CMK42"/>
    <mergeCell ref="CML42:CNH42"/>
    <mergeCell ref="CNI42:CNQ42"/>
    <mergeCell ref="CNR42:CON42"/>
    <mergeCell ref="DHA42:DHI42"/>
    <mergeCell ref="DHJ42:DIF42"/>
    <mergeCell ref="DIG42:DIO42"/>
    <mergeCell ref="DIP42:DJL42"/>
    <mergeCell ref="DJM42:DJU42"/>
    <mergeCell ref="DDR42:DEN42"/>
    <mergeCell ref="DEO42:DEW42"/>
    <mergeCell ref="DEX42:DFT42"/>
    <mergeCell ref="DFU42:DGC42"/>
    <mergeCell ref="DGD42:DGZ42"/>
    <mergeCell ref="DAW42:DBE42"/>
    <mergeCell ref="DBF42:DCB42"/>
    <mergeCell ref="DCC42:DCK42"/>
    <mergeCell ref="DCL42:DDH42"/>
    <mergeCell ref="DDI42:DDQ42"/>
    <mergeCell ref="CXN42:CYJ42"/>
    <mergeCell ref="CYK42:CYS42"/>
    <mergeCell ref="CYT42:CZP42"/>
    <mergeCell ref="CZQ42:CZY42"/>
    <mergeCell ref="CZZ42:DAV42"/>
    <mergeCell ref="DTI42:DTQ42"/>
    <mergeCell ref="DTR42:DUN42"/>
    <mergeCell ref="DUO42:DUW42"/>
    <mergeCell ref="DUX42:DVT42"/>
    <mergeCell ref="DVU42:DWC42"/>
    <mergeCell ref="DPZ42:DQV42"/>
    <mergeCell ref="DQW42:DRE42"/>
    <mergeCell ref="DRF42:DSB42"/>
    <mergeCell ref="DSC42:DSK42"/>
    <mergeCell ref="DSL42:DTH42"/>
    <mergeCell ref="DNE42:DNM42"/>
    <mergeCell ref="DNN42:DOJ42"/>
    <mergeCell ref="DOK42:DOS42"/>
    <mergeCell ref="DOT42:DPP42"/>
    <mergeCell ref="DPQ42:DPY42"/>
    <mergeCell ref="DJV42:DKR42"/>
    <mergeCell ref="DKS42:DLA42"/>
    <mergeCell ref="DLB42:DLX42"/>
    <mergeCell ref="DLY42:DMG42"/>
    <mergeCell ref="DMH42:DND42"/>
    <mergeCell ref="EFQ42:EFY42"/>
    <mergeCell ref="EFZ42:EGV42"/>
    <mergeCell ref="EGW42:EHE42"/>
    <mergeCell ref="EHF42:EIB42"/>
    <mergeCell ref="EIC42:EIK42"/>
    <mergeCell ref="ECH42:EDD42"/>
    <mergeCell ref="EDE42:EDM42"/>
    <mergeCell ref="EDN42:EEJ42"/>
    <mergeCell ref="EEK42:EES42"/>
    <mergeCell ref="EET42:EFP42"/>
    <mergeCell ref="DZM42:DZU42"/>
    <mergeCell ref="DZV42:EAR42"/>
    <mergeCell ref="EAS42:EBA42"/>
    <mergeCell ref="EBB42:EBX42"/>
    <mergeCell ref="EBY42:ECG42"/>
    <mergeCell ref="DWD42:DWZ42"/>
    <mergeCell ref="DXA42:DXI42"/>
    <mergeCell ref="DXJ42:DYF42"/>
    <mergeCell ref="DYG42:DYO42"/>
    <mergeCell ref="DYP42:DZL42"/>
    <mergeCell ref="ERY42:ESG42"/>
    <mergeCell ref="ESH42:ETD42"/>
    <mergeCell ref="ETE42:ETM42"/>
    <mergeCell ref="ETN42:EUJ42"/>
    <mergeCell ref="EUK42:EUS42"/>
    <mergeCell ref="EOP42:EPL42"/>
    <mergeCell ref="EPM42:EPU42"/>
    <mergeCell ref="EPV42:EQR42"/>
    <mergeCell ref="EQS42:ERA42"/>
    <mergeCell ref="ERB42:ERX42"/>
    <mergeCell ref="ELU42:EMC42"/>
    <mergeCell ref="EMD42:EMZ42"/>
    <mergeCell ref="ENA42:ENI42"/>
    <mergeCell ref="ENJ42:EOF42"/>
    <mergeCell ref="EOG42:EOO42"/>
    <mergeCell ref="EIL42:EJH42"/>
    <mergeCell ref="EJI42:EJQ42"/>
    <mergeCell ref="EJR42:EKN42"/>
    <mergeCell ref="EKO42:EKW42"/>
    <mergeCell ref="EKX42:ELT42"/>
    <mergeCell ref="FEG42:FEO42"/>
    <mergeCell ref="FEP42:FFL42"/>
    <mergeCell ref="FFM42:FFU42"/>
    <mergeCell ref="FFV42:FGR42"/>
    <mergeCell ref="FGS42:FHA42"/>
    <mergeCell ref="FAX42:FBT42"/>
    <mergeCell ref="FBU42:FCC42"/>
    <mergeCell ref="FCD42:FCZ42"/>
    <mergeCell ref="FDA42:FDI42"/>
    <mergeCell ref="FDJ42:FEF42"/>
    <mergeCell ref="EYC42:EYK42"/>
    <mergeCell ref="EYL42:EZH42"/>
    <mergeCell ref="EZI42:EZQ42"/>
    <mergeCell ref="EZR42:FAN42"/>
    <mergeCell ref="FAO42:FAW42"/>
    <mergeCell ref="EUT42:EVP42"/>
    <mergeCell ref="EVQ42:EVY42"/>
    <mergeCell ref="EVZ42:EWV42"/>
    <mergeCell ref="EWW42:EXE42"/>
    <mergeCell ref="EXF42:EYB42"/>
    <mergeCell ref="FQO42:FQW42"/>
    <mergeCell ref="FQX42:FRT42"/>
    <mergeCell ref="FRU42:FSC42"/>
    <mergeCell ref="FSD42:FSZ42"/>
    <mergeCell ref="FTA42:FTI42"/>
    <mergeCell ref="FNF42:FOB42"/>
    <mergeCell ref="FOC42:FOK42"/>
    <mergeCell ref="FOL42:FPH42"/>
    <mergeCell ref="FPI42:FPQ42"/>
    <mergeCell ref="FPR42:FQN42"/>
    <mergeCell ref="FKK42:FKS42"/>
    <mergeCell ref="FKT42:FLP42"/>
    <mergeCell ref="FLQ42:FLY42"/>
    <mergeCell ref="FLZ42:FMV42"/>
    <mergeCell ref="FMW42:FNE42"/>
    <mergeCell ref="FHB42:FHX42"/>
    <mergeCell ref="FHY42:FIG42"/>
    <mergeCell ref="FIH42:FJD42"/>
    <mergeCell ref="FJE42:FJM42"/>
    <mergeCell ref="FJN42:FKJ42"/>
    <mergeCell ref="GCW42:GDE42"/>
    <mergeCell ref="GDF42:GEB42"/>
    <mergeCell ref="GEC42:GEK42"/>
    <mergeCell ref="GEL42:GFH42"/>
    <mergeCell ref="GFI42:GFQ42"/>
    <mergeCell ref="FZN42:GAJ42"/>
    <mergeCell ref="GAK42:GAS42"/>
    <mergeCell ref="GAT42:GBP42"/>
    <mergeCell ref="GBQ42:GBY42"/>
    <mergeCell ref="GBZ42:GCV42"/>
    <mergeCell ref="FWS42:FXA42"/>
    <mergeCell ref="FXB42:FXX42"/>
    <mergeCell ref="FXY42:FYG42"/>
    <mergeCell ref="FYH42:FZD42"/>
    <mergeCell ref="FZE42:FZM42"/>
    <mergeCell ref="FTJ42:FUF42"/>
    <mergeCell ref="FUG42:FUO42"/>
    <mergeCell ref="FUP42:FVL42"/>
    <mergeCell ref="FVM42:FVU42"/>
    <mergeCell ref="FVV42:FWR42"/>
    <mergeCell ref="GPE42:GPM42"/>
    <mergeCell ref="GPN42:GQJ42"/>
    <mergeCell ref="GQK42:GQS42"/>
    <mergeCell ref="GQT42:GRP42"/>
    <mergeCell ref="GRQ42:GRY42"/>
    <mergeCell ref="GLV42:GMR42"/>
    <mergeCell ref="GMS42:GNA42"/>
    <mergeCell ref="GNB42:GNX42"/>
    <mergeCell ref="GNY42:GOG42"/>
    <mergeCell ref="GOH42:GPD42"/>
    <mergeCell ref="GJA42:GJI42"/>
    <mergeCell ref="GJJ42:GKF42"/>
    <mergeCell ref="GKG42:GKO42"/>
    <mergeCell ref="GKP42:GLL42"/>
    <mergeCell ref="GLM42:GLU42"/>
    <mergeCell ref="GFR42:GGN42"/>
    <mergeCell ref="GGO42:GGW42"/>
    <mergeCell ref="GGX42:GHT42"/>
    <mergeCell ref="GHU42:GIC42"/>
    <mergeCell ref="GID42:GIZ42"/>
    <mergeCell ref="HBM42:HBU42"/>
    <mergeCell ref="HBV42:HCR42"/>
    <mergeCell ref="HCS42:HDA42"/>
    <mergeCell ref="HDB42:HDX42"/>
    <mergeCell ref="HDY42:HEG42"/>
    <mergeCell ref="GYD42:GYZ42"/>
    <mergeCell ref="GZA42:GZI42"/>
    <mergeCell ref="GZJ42:HAF42"/>
    <mergeCell ref="HAG42:HAO42"/>
    <mergeCell ref="HAP42:HBL42"/>
    <mergeCell ref="GVI42:GVQ42"/>
    <mergeCell ref="GVR42:GWN42"/>
    <mergeCell ref="GWO42:GWW42"/>
    <mergeCell ref="GWX42:GXT42"/>
    <mergeCell ref="GXU42:GYC42"/>
    <mergeCell ref="GRZ42:GSV42"/>
    <mergeCell ref="GSW42:GTE42"/>
    <mergeCell ref="GTF42:GUB42"/>
    <mergeCell ref="GUC42:GUK42"/>
    <mergeCell ref="GUL42:GVH42"/>
    <mergeCell ref="HNU42:HOC42"/>
    <mergeCell ref="HOD42:HOZ42"/>
    <mergeCell ref="HPA42:HPI42"/>
    <mergeCell ref="HPJ42:HQF42"/>
    <mergeCell ref="HQG42:HQO42"/>
    <mergeCell ref="HKL42:HLH42"/>
    <mergeCell ref="HLI42:HLQ42"/>
    <mergeCell ref="HLR42:HMN42"/>
    <mergeCell ref="HMO42:HMW42"/>
    <mergeCell ref="HMX42:HNT42"/>
    <mergeCell ref="HHQ42:HHY42"/>
    <mergeCell ref="HHZ42:HIV42"/>
    <mergeCell ref="HIW42:HJE42"/>
    <mergeCell ref="HJF42:HKB42"/>
    <mergeCell ref="HKC42:HKK42"/>
    <mergeCell ref="HEH42:HFD42"/>
    <mergeCell ref="HFE42:HFM42"/>
    <mergeCell ref="HFN42:HGJ42"/>
    <mergeCell ref="HGK42:HGS42"/>
    <mergeCell ref="HGT42:HHP42"/>
    <mergeCell ref="IAC42:IAK42"/>
    <mergeCell ref="IAL42:IBH42"/>
    <mergeCell ref="IBI42:IBQ42"/>
    <mergeCell ref="IBR42:ICN42"/>
    <mergeCell ref="ICO42:ICW42"/>
    <mergeCell ref="HWT42:HXP42"/>
    <mergeCell ref="HXQ42:HXY42"/>
    <mergeCell ref="HXZ42:HYV42"/>
    <mergeCell ref="HYW42:HZE42"/>
    <mergeCell ref="HZF42:IAB42"/>
    <mergeCell ref="HTY42:HUG42"/>
    <mergeCell ref="HUH42:HVD42"/>
    <mergeCell ref="HVE42:HVM42"/>
    <mergeCell ref="HVN42:HWJ42"/>
    <mergeCell ref="HWK42:HWS42"/>
    <mergeCell ref="HQP42:HRL42"/>
    <mergeCell ref="HRM42:HRU42"/>
    <mergeCell ref="HRV42:HSR42"/>
    <mergeCell ref="HSS42:HTA42"/>
    <mergeCell ref="HTB42:HTX42"/>
    <mergeCell ref="IMK42:IMS42"/>
    <mergeCell ref="IMT42:INP42"/>
    <mergeCell ref="INQ42:INY42"/>
    <mergeCell ref="INZ42:IOV42"/>
    <mergeCell ref="IOW42:IPE42"/>
    <mergeCell ref="IJB42:IJX42"/>
    <mergeCell ref="IJY42:IKG42"/>
    <mergeCell ref="IKH42:ILD42"/>
    <mergeCell ref="ILE42:ILM42"/>
    <mergeCell ref="ILN42:IMJ42"/>
    <mergeCell ref="IGG42:IGO42"/>
    <mergeCell ref="IGP42:IHL42"/>
    <mergeCell ref="IHM42:IHU42"/>
    <mergeCell ref="IHV42:IIR42"/>
    <mergeCell ref="IIS42:IJA42"/>
    <mergeCell ref="ICX42:IDT42"/>
    <mergeCell ref="IDU42:IEC42"/>
    <mergeCell ref="IED42:IEZ42"/>
    <mergeCell ref="IFA42:IFI42"/>
    <mergeCell ref="IFJ42:IGF42"/>
    <mergeCell ref="IYS42:IZA42"/>
    <mergeCell ref="IZB42:IZX42"/>
    <mergeCell ref="IZY42:JAG42"/>
    <mergeCell ref="JAH42:JBD42"/>
    <mergeCell ref="JBE42:JBM42"/>
    <mergeCell ref="IVJ42:IWF42"/>
    <mergeCell ref="IWG42:IWO42"/>
    <mergeCell ref="IWP42:IXL42"/>
    <mergeCell ref="IXM42:IXU42"/>
    <mergeCell ref="IXV42:IYR42"/>
    <mergeCell ref="ISO42:ISW42"/>
    <mergeCell ref="ISX42:ITT42"/>
    <mergeCell ref="ITU42:IUC42"/>
    <mergeCell ref="IUD42:IUZ42"/>
    <mergeCell ref="IVA42:IVI42"/>
    <mergeCell ref="IPF42:IQB42"/>
    <mergeCell ref="IQC42:IQK42"/>
    <mergeCell ref="IQL42:IRH42"/>
    <mergeCell ref="IRI42:IRQ42"/>
    <mergeCell ref="IRR42:ISN42"/>
    <mergeCell ref="JLA42:JLI42"/>
    <mergeCell ref="JLJ42:JMF42"/>
    <mergeCell ref="JMG42:JMO42"/>
    <mergeCell ref="JMP42:JNL42"/>
    <mergeCell ref="JNM42:JNU42"/>
    <mergeCell ref="JHR42:JIN42"/>
    <mergeCell ref="JIO42:JIW42"/>
    <mergeCell ref="JIX42:JJT42"/>
    <mergeCell ref="JJU42:JKC42"/>
    <mergeCell ref="JKD42:JKZ42"/>
    <mergeCell ref="JEW42:JFE42"/>
    <mergeCell ref="JFF42:JGB42"/>
    <mergeCell ref="JGC42:JGK42"/>
    <mergeCell ref="JGL42:JHH42"/>
    <mergeCell ref="JHI42:JHQ42"/>
    <mergeCell ref="JBN42:JCJ42"/>
    <mergeCell ref="JCK42:JCS42"/>
    <mergeCell ref="JCT42:JDP42"/>
    <mergeCell ref="JDQ42:JDY42"/>
    <mergeCell ref="JDZ42:JEV42"/>
    <mergeCell ref="JXI42:JXQ42"/>
    <mergeCell ref="JXR42:JYN42"/>
    <mergeCell ref="JYO42:JYW42"/>
    <mergeCell ref="JYX42:JZT42"/>
    <mergeCell ref="JZU42:KAC42"/>
    <mergeCell ref="JTZ42:JUV42"/>
    <mergeCell ref="JUW42:JVE42"/>
    <mergeCell ref="JVF42:JWB42"/>
    <mergeCell ref="JWC42:JWK42"/>
    <mergeCell ref="JWL42:JXH42"/>
    <mergeCell ref="JRE42:JRM42"/>
    <mergeCell ref="JRN42:JSJ42"/>
    <mergeCell ref="JSK42:JSS42"/>
    <mergeCell ref="JST42:JTP42"/>
    <mergeCell ref="JTQ42:JTY42"/>
    <mergeCell ref="JNV42:JOR42"/>
    <mergeCell ref="JOS42:JPA42"/>
    <mergeCell ref="JPB42:JPX42"/>
    <mergeCell ref="JPY42:JQG42"/>
    <mergeCell ref="JQH42:JRD42"/>
    <mergeCell ref="KJQ42:KJY42"/>
    <mergeCell ref="KJZ42:KKV42"/>
    <mergeCell ref="KKW42:KLE42"/>
    <mergeCell ref="KLF42:KMB42"/>
    <mergeCell ref="KMC42:KMK42"/>
    <mergeCell ref="KGH42:KHD42"/>
    <mergeCell ref="KHE42:KHM42"/>
    <mergeCell ref="KHN42:KIJ42"/>
    <mergeCell ref="KIK42:KIS42"/>
    <mergeCell ref="KIT42:KJP42"/>
    <mergeCell ref="KDM42:KDU42"/>
    <mergeCell ref="KDV42:KER42"/>
    <mergeCell ref="KES42:KFA42"/>
    <mergeCell ref="KFB42:KFX42"/>
    <mergeCell ref="KFY42:KGG42"/>
    <mergeCell ref="KAD42:KAZ42"/>
    <mergeCell ref="KBA42:KBI42"/>
    <mergeCell ref="KBJ42:KCF42"/>
    <mergeCell ref="KCG42:KCO42"/>
    <mergeCell ref="KCP42:KDL42"/>
    <mergeCell ref="KVY42:KWG42"/>
    <mergeCell ref="KWH42:KXD42"/>
    <mergeCell ref="KXE42:KXM42"/>
    <mergeCell ref="KXN42:KYJ42"/>
    <mergeCell ref="KYK42:KYS42"/>
    <mergeCell ref="KSP42:KTL42"/>
    <mergeCell ref="KTM42:KTU42"/>
    <mergeCell ref="KTV42:KUR42"/>
    <mergeCell ref="KUS42:KVA42"/>
    <mergeCell ref="KVB42:KVX42"/>
    <mergeCell ref="KPU42:KQC42"/>
    <mergeCell ref="KQD42:KQZ42"/>
    <mergeCell ref="KRA42:KRI42"/>
    <mergeCell ref="KRJ42:KSF42"/>
    <mergeCell ref="KSG42:KSO42"/>
    <mergeCell ref="KML42:KNH42"/>
    <mergeCell ref="KNI42:KNQ42"/>
    <mergeCell ref="KNR42:KON42"/>
    <mergeCell ref="KOO42:KOW42"/>
    <mergeCell ref="KOX42:KPT42"/>
    <mergeCell ref="LIG42:LIO42"/>
    <mergeCell ref="LIP42:LJL42"/>
    <mergeCell ref="LJM42:LJU42"/>
    <mergeCell ref="LJV42:LKR42"/>
    <mergeCell ref="LKS42:LLA42"/>
    <mergeCell ref="LEX42:LFT42"/>
    <mergeCell ref="LFU42:LGC42"/>
    <mergeCell ref="LGD42:LGZ42"/>
    <mergeCell ref="LHA42:LHI42"/>
    <mergeCell ref="LHJ42:LIF42"/>
    <mergeCell ref="LCC42:LCK42"/>
    <mergeCell ref="LCL42:LDH42"/>
    <mergeCell ref="LDI42:LDQ42"/>
    <mergeCell ref="LDR42:LEN42"/>
    <mergeCell ref="LEO42:LEW42"/>
    <mergeCell ref="KYT42:KZP42"/>
    <mergeCell ref="KZQ42:KZY42"/>
    <mergeCell ref="KZZ42:LAV42"/>
    <mergeCell ref="LAW42:LBE42"/>
    <mergeCell ref="LBF42:LCB42"/>
    <mergeCell ref="LUO42:LUW42"/>
    <mergeCell ref="LUX42:LVT42"/>
    <mergeCell ref="LVU42:LWC42"/>
    <mergeCell ref="LWD42:LWZ42"/>
    <mergeCell ref="LXA42:LXI42"/>
    <mergeCell ref="LRF42:LSB42"/>
    <mergeCell ref="LSC42:LSK42"/>
    <mergeCell ref="LSL42:LTH42"/>
    <mergeCell ref="LTI42:LTQ42"/>
    <mergeCell ref="LTR42:LUN42"/>
    <mergeCell ref="LOK42:LOS42"/>
    <mergeCell ref="LOT42:LPP42"/>
    <mergeCell ref="LPQ42:LPY42"/>
    <mergeCell ref="LPZ42:LQV42"/>
    <mergeCell ref="LQW42:LRE42"/>
    <mergeCell ref="LLB42:LLX42"/>
    <mergeCell ref="LLY42:LMG42"/>
    <mergeCell ref="LMH42:LND42"/>
    <mergeCell ref="LNE42:LNM42"/>
    <mergeCell ref="LNN42:LOJ42"/>
    <mergeCell ref="MGW42:MHE42"/>
    <mergeCell ref="MHF42:MIB42"/>
    <mergeCell ref="MIC42:MIK42"/>
    <mergeCell ref="MIL42:MJH42"/>
    <mergeCell ref="MJI42:MJQ42"/>
    <mergeCell ref="MDN42:MEJ42"/>
    <mergeCell ref="MEK42:MES42"/>
    <mergeCell ref="MET42:MFP42"/>
    <mergeCell ref="MFQ42:MFY42"/>
    <mergeCell ref="MFZ42:MGV42"/>
    <mergeCell ref="MAS42:MBA42"/>
    <mergeCell ref="MBB42:MBX42"/>
    <mergeCell ref="MBY42:MCG42"/>
    <mergeCell ref="MCH42:MDD42"/>
    <mergeCell ref="MDE42:MDM42"/>
    <mergeCell ref="LXJ42:LYF42"/>
    <mergeCell ref="LYG42:LYO42"/>
    <mergeCell ref="LYP42:LZL42"/>
    <mergeCell ref="LZM42:LZU42"/>
    <mergeCell ref="LZV42:MAR42"/>
    <mergeCell ref="MTE42:MTM42"/>
    <mergeCell ref="MTN42:MUJ42"/>
    <mergeCell ref="MUK42:MUS42"/>
    <mergeCell ref="MUT42:MVP42"/>
    <mergeCell ref="MVQ42:MVY42"/>
    <mergeCell ref="MPV42:MQR42"/>
    <mergeCell ref="MQS42:MRA42"/>
    <mergeCell ref="MRB42:MRX42"/>
    <mergeCell ref="MRY42:MSG42"/>
    <mergeCell ref="MSH42:MTD42"/>
    <mergeCell ref="MNA42:MNI42"/>
    <mergeCell ref="MNJ42:MOF42"/>
    <mergeCell ref="MOG42:MOO42"/>
    <mergeCell ref="MOP42:MPL42"/>
    <mergeCell ref="MPM42:MPU42"/>
    <mergeCell ref="MJR42:MKN42"/>
    <mergeCell ref="MKO42:MKW42"/>
    <mergeCell ref="MKX42:MLT42"/>
    <mergeCell ref="MLU42:MMC42"/>
    <mergeCell ref="MMD42:MMZ42"/>
    <mergeCell ref="NFM42:NFU42"/>
    <mergeCell ref="NFV42:NGR42"/>
    <mergeCell ref="NGS42:NHA42"/>
    <mergeCell ref="NHB42:NHX42"/>
    <mergeCell ref="NHY42:NIG42"/>
    <mergeCell ref="NCD42:NCZ42"/>
    <mergeCell ref="NDA42:NDI42"/>
    <mergeCell ref="NDJ42:NEF42"/>
    <mergeCell ref="NEG42:NEO42"/>
    <mergeCell ref="NEP42:NFL42"/>
    <mergeCell ref="MZI42:MZQ42"/>
    <mergeCell ref="MZR42:NAN42"/>
    <mergeCell ref="NAO42:NAW42"/>
    <mergeCell ref="NAX42:NBT42"/>
    <mergeCell ref="NBU42:NCC42"/>
    <mergeCell ref="MVZ42:MWV42"/>
    <mergeCell ref="MWW42:MXE42"/>
    <mergeCell ref="MXF42:MYB42"/>
    <mergeCell ref="MYC42:MYK42"/>
    <mergeCell ref="MYL42:MZH42"/>
    <mergeCell ref="NRU42:NSC42"/>
    <mergeCell ref="NSD42:NSZ42"/>
    <mergeCell ref="NTA42:NTI42"/>
    <mergeCell ref="NTJ42:NUF42"/>
    <mergeCell ref="NUG42:NUO42"/>
    <mergeCell ref="NOL42:NPH42"/>
    <mergeCell ref="NPI42:NPQ42"/>
    <mergeCell ref="NPR42:NQN42"/>
    <mergeCell ref="NQO42:NQW42"/>
    <mergeCell ref="NQX42:NRT42"/>
    <mergeCell ref="NLQ42:NLY42"/>
    <mergeCell ref="NLZ42:NMV42"/>
    <mergeCell ref="NMW42:NNE42"/>
    <mergeCell ref="NNF42:NOB42"/>
    <mergeCell ref="NOC42:NOK42"/>
    <mergeCell ref="NIH42:NJD42"/>
    <mergeCell ref="NJE42:NJM42"/>
    <mergeCell ref="NJN42:NKJ42"/>
    <mergeCell ref="NKK42:NKS42"/>
    <mergeCell ref="NKT42:NLP42"/>
    <mergeCell ref="OEC42:OEK42"/>
    <mergeCell ref="OEL42:OFH42"/>
    <mergeCell ref="OFI42:OFQ42"/>
    <mergeCell ref="OFR42:OGN42"/>
    <mergeCell ref="OGO42:OGW42"/>
    <mergeCell ref="OAT42:OBP42"/>
    <mergeCell ref="OBQ42:OBY42"/>
    <mergeCell ref="OBZ42:OCV42"/>
    <mergeCell ref="OCW42:ODE42"/>
    <mergeCell ref="ODF42:OEB42"/>
    <mergeCell ref="NXY42:NYG42"/>
    <mergeCell ref="NYH42:NZD42"/>
    <mergeCell ref="NZE42:NZM42"/>
    <mergeCell ref="NZN42:OAJ42"/>
    <mergeCell ref="OAK42:OAS42"/>
    <mergeCell ref="NUP42:NVL42"/>
    <mergeCell ref="NVM42:NVU42"/>
    <mergeCell ref="NVV42:NWR42"/>
    <mergeCell ref="NWS42:NXA42"/>
    <mergeCell ref="NXB42:NXX42"/>
    <mergeCell ref="OQK42:OQS42"/>
    <mergeCell ref="OQT42:ORP42"/>
    <mergeCell ref="ORQ42:ORY42"/>
    <mergeCell ref="ORZ42:OSV42"/>
    <mergeCell ref="OSW42:OTE42"/>
    <mergeCell ref="ONB42:ONX42"/>
    <mergeCell ref="ONY42:OOG42"/>
    <mergeCell ref="OOH42:OPD42"/>
    <mergeCell ref="OPE42:OPM42"/>
    <mergeCell ref="OPN42:OQJ42"/>
    <mergeCell ref="OKG42:OKO42"/>
    <mergeCell ref="OKP42:OLL42"/>
    <mergeCell ref="OLM42:OLU42"/>
    <mergeCell ref="OLV42:OMR42"/>
    <mergeCell ref="OMS42:ONA42"/>
    <mergeCell ref="OGX42:OHT42"/>
    <mergeCell ref="OHU42:OIC42"/>
    <mergeCell ref="OID42:OIZ42"/>
    <mergeCell ref="OJA42:OJI42"/>
    <mergeCell ref="OJJ42:OKF42"/>
    <mergeCell ref="PCS42:PDA42"/>
    <mergeCell ref="PDB42:PDX42"/>
    <mergeCell ref="PDY42:PEG42"/>
    <mergeCell ref="PEH42:PFD42"/>
    <mergeCell ref="PFE42:PFM42"/>
    <mergeCell ref="OZJ42:PAF42"/>
    <mergeCell ref="PAG42:PAO42"/>
    <mergeCell ref="PAP42:PBL42"/>
    <mergeCell ref="PBM42:PBU42"/>
    <mergeCell ref="PBV42:PCR42"/>
    <mergeCell ref="OWO42:OWW42"/>
    <mergeCell ref="OWX42:OXT42"/>
    <mergeCell ref="OXU42:OYC42"/>
    <mergeCell ref="OYD42:OYZ42"/>
    <mergeCell ref="OZA42:OZI42"/>
    <mergeCell ref="OTF42:OUB42"/>
    <mergeCell ref="OUC42:OUK42"/>
    <mergeCell ref="OUL42:OVH42"/>
    <mergeCell ref="OVI42:OVQ42"/>
    <mergeCell ref="OVR42:OWN42"/>
    <mergeCell ref="PPA42:PPI42"/>
    <mergeCell ref="PPJ42:PQF42"/>
    <mergeCell ref="PQG42:PQO42"/>
    <mergeCell ref="PQP42:PRL42"/>
    <mergeCell ref="PRM42:PRU42"/>
    <mergeCell ref="PLR42:PMN42"/>
    <mergeCell ref="PMO42:PMW42"/>
    <mergeCell ref="PMX42:PNT42"/>
    <mergeCell ref="PNU42:POC42"/>
    <mergeCell ref="POD42:POZ42"/>
    <mergeCell ref="PIW42:PJE42"/>
    <mergeCell ref="PJF42:PKB42"/>
    <mergeCell ref="PKC42:PKK42"/>
    <mergeCell ref="PKL42:PLH42"/>
    <mergeCell ref="PLI42:PLQ42"/>
    <mergeCell ref="PFN42:PGJ42"/>
    <mergeCell ref="PGK42:PGS42"/>
    <mergeCell ref="PGT42:PHP42"/>
    <mergeCell ref="PHQ42:PHY42"/>
    <mergeCell ref="PHZ42:PIV42"/>
    <mergeCell ref="QBI42:QBQ42"/>
    <mergeCell ref="QBR42:QCN42"/>
    <mergeCell ref="QCO42:QCW42"/>
    <mergeCell ref="QCX42:QDT42"/>
    <mergeCell ref="QDU42:QEC42"/>
    <mergeCell ref="PXZ42:PYV42"/>
    <mergeCell ref="PYW42:PZE42"/>
    <mergeCell ref="PZF42:QAB42"/>
    <mergeCell ref="QAC42:QAK42"/>
    <mergeCell ref="QAL42:QBH42"/>
    <mergeCell ref="PVE42:PVM42"/>
    <mergeCell ref="PVN42:PWJ42"/>
    <mergeCell ref="PWK42:PWS42"/>
    <mergeCell ref="PWT42:PXP42"/>
    <mergeCell ref="PXQ42:PXY42"/>
    <mergeCell ref="PRV42:PSR42"/>
    <mergeCell ref="PSS42:PTA42"/>
    <mergeCell ref="PTB42:PTX42"/>
    <mergeCell ref="PTY42:PUG42"/>
    <mergeCell ref="PUH42:PVD42"/>
    <mergeCell ref="QNQ42:QNY42"/>
    <mergeCell ref="QNZ42:QOV42"/>
    <mergeCell ref="QOW42:QPE42"/>
    <mergeCell ref="QPF42:QQB42"/>
    <mergeCell ref="QQC42:QQK42"/>
    <mergeCell ref="QKH42:QLD42"/>
    <mergeCell ref="QLE42:QLM42"/>
    <mergeCell ref="QLN42:QMJ42"/>
    <mergeCell ref="QMK42:QMS42"/>
    <mergeCell ref="QMT42:QNP42"/>
    <mergeCell ref="QHM42:QHU42"/>
    <mergeCell ref="QHV42:QIR42"/>
    <mergeCell ref="QIS42:QJA42"/>
    <mergeCell ref="QJB42:QJX42"/>
    <mergeCell ref="QJY42:QKG42"/>
    <mergeCell ref="QED42:QEZ42"/>
    <mergeCell ref="QFA42:QFI42"/>
    <mergeCell ref="QFJ42:QGF42"/>
    <mergeCell ref="QGG42:QGO42"/>
    <mergeCell ref="QGP42:QHL42"/>
    <mergeCell ref="QZY42:RAG42"/>
    <mergeCell ref="RAH42:RBD42"/>
    <mergeCell ref="RBE42:RBM42"/>
    <mergeCell ref="RBN42:RCJ42"/>
    <mergeCell ref="RCK42:RCS42"/>
    <mergeCell ref="QWP42:QXL42"/>
    <mergeCell ref="QXM42:QXU42"/>
    <mergeCell ref="QXV42:QYR42"/>
    <mergeCell ref="QYS42:QZA42"/>
    <mergeCell ref="QZB42:QZX42"/>
    <mergeCell ref="QTU42:QUC42"/>
    <mergeCell ref="QUD42:QUZ42"/>
    <mergeCell ref="QVA42:QVI42"/>
    <mergeCell ref="QVJ42:QWF42"/>
    <mergeCell ref="QWG42:QWO42"/>
    <mergeCell ref="QQL42:QRH42"/>
    <mergeCell ref="QRI42:QRQ42"/>
    <mergeCell ref="QRR42:QSN42"/>
    <mergeCell ref="QSO42:QSW42"/>
    <mergeCell ref="QSX42:QTT42"/>
    <mergeCell ref="RMG42:RMO42"/>
    <mergeCell ref="RMP42:RNL42"/>
    <mergeCell ref="RNM42:RNU42"/>
    <mergeCell ref="RNV42:ROR42"/>
    <mergeCell ref="ROS42:RPA42"/>
    <mergeCell ref="RIX42:RJT42"/>
    <mergeCell ref="RJU42:RKC42"/>
    <mergeCell ref="RKD42:RKZ42"/>
    <mergeCell ref="RLA42:RLI42"/>
    <mergeCell ref="RLJ42:RMF42"/>
    <mergeCell ref="RGC42:RGK42"/>
    <mergeCell ref="RGL42:RHH42"/>
    <mergeCell ref="RHI42:RHQ42"/>
    <mergeCell ref="RHR42:RIN42"/>
    <mergeCell ref="RIO42:RIW42"/>
    <mergeCell ref="RCT42:RDP42"/>
    <mergeCell ref="RDQ42:RDY42"/>
    <mergeCell ref="RDZ42:REV42"/>
    <mergeCell ref="REW42:RFE42"/>
    <mergeCell ref="RFF42:RGB42"/>
    <mergeCell ref="RYO42:RYW42"/>
    <mergeCell ref="RYX42:RZT42"/>
    <mergeCell ref="RZU42:SAC42"/>
    <mergeCell ref="SAD42:SAZ42"/>
    <mergeCell ref="SBA42:SBI42"/>
    <mergeCell ref="RVF42:RWB42"/>
    <mergeCell ref="RWC42:RWK42"/>
    <mergeCell ref="RWL42:RXH42"/>
    <mergeCell ref="RXI42:RXQ42"/>
    <mergeCell ref="RXR42:RYN42"/>
    <mergeCell ref="RSK42:RSS42"/>
    <mergeCell ref="RST42:RTP42"/>
    <mergeCell ref="RTQ42:RTY42"/>
    <mergeCell ref="RTZ42:RUV42"/>
    <mergeCell ref="RUW42:RVE42"/>
    <mergeCell ref="RPB42:RPX42"/>
    <mergeCell ref="RPY42:RQG42"/>
    <mergeCell ref="RQH42:RRD42"/>
    <mergeCell ref="RRE42:RRM42"/>
    <mergeCell ref="RRN42:RSJ42"/>
    <mergeCell ref="SKW42:SLE42"/>
    <mergeCell ref="SLF42:SMB42"/>
    <mergeCell ref="SMC42:SMK42"/>
    <mergeCell ref="SML42:SNH42"/>
    <mergeCell ref="SNI42:SNQ42"/>
    <mergeCell ref="SHN42:SIJ42"/>
    <mergeCell ref="SIK42:SIS42"/>
    <mergeCell ref="SIT42:SJP42"/>
    <mergeCell ref="SJQ42:SJY42"/>
    <mergeCell ref="SJZ42:SKV42"/>
    <mergeCell ref="SES42:SFA42"/>
    <mergeCell ref="SFB42:SFX42"/>
    <mergeCell ref="SFY42:SGG42"/>
    <mergeCell ref="SGH42:SHD42"/>
    <mergeCell ref="SHE42:SHM42"/>
    <mergeCell ref="SBJ42:SCF42"/>
    <mergeCell ref="SCG42:SCO42"/>
    <mergeCell ref="SCP42:SDL42"/>
    <mergeCell ref="SDM42:SDU42"/>
    <mergeCell ref="SDV42:SER42"/>
    <mergeCell ref="SXE42:SXM42"/>
    <mergeCell ref="SXN42:SYJ42"/>
    <mergeCell ref="SYK42:SYS42"/>
    <mergeCell ref="SYT42:SZP42"/>
    <mergeCell ref="SZQ42:SZY42"/>
    <mergeCell ref="STV42:SUR42"/>
    <mergeCell ref="SUS42:SVA42"/>
    <mergeCell ref="SVB42:SVX42"/>
    <mergeCell ref="SVY42:SWG42"/>
    <mergeCell ref="SWH42:SXD42"/>
    <mergeCell ref="SRA42:SRI42"/>
    <mergeCell ref="SRJ42:SSF42"/>
    <mergeCell ref="SSG42:SSO42"/>
    <mergeCell ref="SSP42:STL42"/>
    <mergeCell ref="STM42:STU42"/>
    <mergeCell ref="SNR42:SON42"/>
    <mergeCell ref="SOO42:SOW42"/>
    <mergeCell ref="SOX42:SPT42"/>
    <mergeCell ref="SPU42:SQC42"/>
    <mergeCell ref="SQD42:SQZ42"/>
    <mergeCell ref="TJM42:TJU42"/>
    <mergeCell ref="TJV42:TKR42"/>
    <mergeCell ref="TKS42:TLA42"/>
    <mergeCell ref="TLB42:TLX42"/>
    <mergeCell ref="TLY42:TMG42"/>
    <mergeCell ref="TGD42:TGZ42"/>
    <mergeCell ref="THA42:THI42"/>
    <mergeCell ref="THJ42:TIF42"/>
    <mergeCell ref="TIG42:TIO42"/>
    <mergeCell ref="TIP42:TJL42"/>
    <mergeCell ref="TDI42:TDQ42"/>
    <mergeCell ref="TDR42:TEN42"/>
    <mergeCell ref="TEO42:TEW42"/>
    <mergeCell ref="TEX42:TFT42"/>
    <mergeCell ref="TFU42:TGC42"/>
    <mergeCell ref="SZZ42:TAV42"/>
    <mergeCell ref="TAW42:TBE42"/>
    <mergeCell ref="TBF42:TCB42"/>
    <mergeCell ref="TCC42:TCK42"/>
    <mergeCell ref="TCL42:TDH42"/>
    <mergeCell ref="TVU42:TWC42"/>
    <mergeCell ref="TWD42:TWZ42"/>
    <mergeCell ref="TXA42:TXI42"/>
    <mergeCell ref="TXJ42:TYF42"/>
    <mergeCell ref="TYG42:TYO42"/>
    <mergeCell ref="TSL42:TTH42"/>
    <mergeCell ref="TTI42:TTQ42"/>
    <mergeCell ref="TTR42:TUN42"/>
    <mergeCell ref="TUO42:TUW42"/>
    <mergeCell ref="TUX42:TVT42"/>
    <mergeCell ref="TPQ42:TPY42"/>
    <mergeCell ref="TPZ42:TQV42"/>
    <mergeCell ref="TQW42:TRE42"/>
    <mergeCell ref="TRF42:TSB42"/>
    <mergeCell ref="TSC42:TSK42"/>
    <mergeCell ref="TMH42:TND42"/>
    <mergeCell ref="TNE42:TNM42"/>
    <mergeCell ref="TNN42:TOJ42"/>
    <mergeCell ref="TOK42:TOS42"/>
    <mergeCell ref="TOT42:TPP42"/>
    <mergeCell ref="UIC42:UIK42"/>
    <mergeCell ref="UIL42:UJH42"/>
    <mergeCell ref="UJI42:UJQ42"/>
    <mergeCell ref="UJR42:UKN42"/>
    <mergeCell ref="UKO42:UKW42"/>
    <mergeCell ref="UET42:UFP42"/>
    <mergeCell ref="UFQ42:UFY42"/>
    <mergeCell ref="UFZ42:UGV42"/>
    <mergeCell ref="UGW42:UHE42"/>
    <mergeCell ref="UHF42:UIB42"/>
    <mergeCell ref="UBY42:UCG42"/>
    <mergeCell ref="UCH42:UDD42"/>
    <mergeCell ref="UDE42:UDM42"/>
    <mergeCell ref="UDN42:UEJ42"/>
    <mergeCell ref="UEK42:UES42"/>
    <mergeCell ref="TYP42:TZL42"/>
    <mergeCell ref="TZM42:TZU42"/>
    <mergeCell ref="TZV42:UAR42"/>
    <mergeCell ref="UAS42:UBA42"/>
    <mergeCell ref="UBB42:UBX42"/>
    <mergeCell ref="UUK42:UUS42"/>
    <mergeCell ref="UUT42:UVP42"/>
    <mergeCell ref="UVQ42:UVY42"/>
    <mergeCell ref="UVZ42:UWV42"/>
    <mergeCell ref="UWW42:UXE42"/>
    <mergeCell ref="URB42:URX42"/>
    <mergeCell ref="URY42:USG42"/>
    <mergeCell ref="USH42:UTD42"/>
    <mergeCell ref="UTE42:UTM42"/>
    <mergeCell ref="UTN42:UUJ42"/>
    <mergeCell ref="UOG42:UOO42"/>
    <mergeCell ref="UOP42:UPL42"/>
    <mergeCell ref="UPM42:UPU42"/>
    <mergeCell ref="UPV42:UQR42"/>
    <mergeCell ref="UQS42:URA42"/>
    <mergeCell ref="UKX42:ULT42"/>
    <mergeCell ref="ULU42:UMC42"/>
    <mergeCell ref="UMD42:UMZ42"/>
    <mergeCell ref="UNA42:UNI42"/>
    <mergeCell ref="UNJ42:UOF42"/>
    <mergeCell ref="VGS42:VHA42"/>
    <mergeCell ref="VHB42:VHX42"/>
    <mergeCell ref="VHY42:VIG42"/>
    <mergeCell ref="VIH42:VJD42"/>
    <mergeCell ref="VJE42:VJM42"/>
    <mergeCell ref="VDJ42:VEF42"/>
    <mergeCell ref="VEG42:VEO42"/>
    <mergeCell ref="VEP42:VFL42"/>
    <mergeCell ref="VFM42:VFU42"/>
    <mergeCell ref="VFV42:VGR42"/>
    <mergeCell ref="VAO42:VAW42"/>
    <mergeCell ref="VAX42:VBT42"/>
    <mergeCell ref="VBU42:VCC42"/>
    <mergeCell ref="VCD42:VCZ42"/>
    <mergeCell ref="VDA42:VDI42"/>
    <mergeCell ref="UXF42:UYB42"/>
    <mergeCell ref="UYC42:UYK42"/>
    <mergeCell ref="UYL42:UZH42"/>
    <mergeCell ref="UZI42:UZQ42"/>
    <mergeCell ref="UZR42:VAN42"/>
    <mergeCell ref="VTA42:VTI42"/>
    <mergeCell ref="VTJ42:VUF42"/>
    <mergeCell ref="VUG42:VUO42"/>
    <mergeCell ref="VUP42:VVL42"/>
    <mergeCell ref="VVM42:VVU42"/>
    <mergeCell ref="VPR42:VQN42"/>
    <mergeCell ref="VQO42:VQW42"/>
    <mergeCell ref="VQX42:VRT42"/>
    <mergeCell ref="VRU42:VSC42"/>
    <mergeCell ref="VSD42:VSZ42"/>
    <mergeCell ref="VMW42:VNE42"/>
    <mergeCell ref="VNF42:VOB42"/>
    <mergeCell ref="VOC42:VOK42"/>
    <mergeCell ref="VOL42:VPH42"/>
    <mergeCell ref="VPI42:VPQ42"/>
    <mergeCell ref="VJN42:VKJ42"/>
    <mergeCell ref="VKK42:VKS42"/>
    <mergeCell ref="VKT42:VLP42"/>
    <mergeCell ref="VLQ42:VLY42"/>
    <mergeCell ref="VLZ42:VMV42"/>
    <mergeCell ref="WFI42:WFQ42"/>
    <mergeCell ref="WFR42:WGN42"/>
    <mergeCell ref="WGO42:WGW42"/>
    <mergeCell ref="WGX42:WHT42"/>
    <mergeCell ref="WHU42:WIC42"/>
    <mergeCell ref="WBZ42:WCV42"/>
    <mergeCell ref="WCW42:WDE42"/>
    <mergeCell ref="WDF42:WEB42"/>
    <mergeCell ref="WEC42:WEK42"/>
    <mergeCell ref="WEL42:WFH42"/>
    <mergeCell ref="VZE42:VZM42"/>
    <mergeCell ref="VZN42:WAJ42"/>
    <mergeCell ref="WAK42:WAS42"/>
    <mergeCell ref="WAT42:WBP42"/>
    <mergeCell ref="WBQ42:WBY42"/>
    <mergeCell ref="VVV42:VWR42"/>
    <mergeCell ref="VWS42:VXA42"/>
    <mergeCell ref="VXB42:VXX42"/>
    <mergeCell ref="VXY42:VYG42"/>
    <mergeCell ref="VYH42:VZD42"/>
    <mergeCell ref="WWX42:WXT42"/>
    <mergeCell ref="WRQ42:WRY42"/>
    <mergeCell ref="WRZ42:WSV42"/>
    <mergeCell ref="WSW42:WTE42"/>
    <mergeCell ref="WTF42:WUB42"/>
    <mergeCell ref="WUC42:WUK42"/>
    <mergeCell ref="WOH42:WPD42"/>
    <mergeCell ref="WPE42:WPM42"/>
    <mergeCell ref="WPN42:WQJ42"/>
    <mergeCell ref="WQK42:WQS42"/>
    <mergeCell ref="WQT42:WRP42"/>
    <mergeCell ref="WLM42:WLU42"/>
    <mergeCell ref="WLV42:WMR42"/>
    <mergeCell ref="WMS42:WNA42"/>
    <mergeCell ref="WNB42:WNX42"/>
    <mergeCell ref="WNY42:WOG42"/>
    <mergeCell ref="WID42:WIZ42"/>
    <mergeCell ref="WJA42:WJI42"/>
    <mergeCell ref="WJJ42:WKF42"/>
    <mergeCell ref="WKG42:WKO42"/>
    <mergeCell ref="WKP42:WLL42"/>
    <mergeCell ref="A60:I60"/>
    <mergeCell ref="J60:AF60"/>
    <mergeCell ref="A52:I52"/>
    <mergeCell ref="J52:AF52"/>
    <mergeCell ref="A46:I46"/>
    <mergeCell ref="J46:AF46"/>
    <mergeCell ref="A48:I48"/>
    <mergeCell ref="J48:AF48"/>
    <mergeCell ref="A50:I50"/>
    <mergeCell ref="J50:AF50"/>
    <mergeCell ref="J58:AF58"/>
    <mergeCell ref="A58:I58"/>
    <mergeCell ref="XDY42:XEG42"/>
    <mergeCell ref="XEH42:XFD42"/>
    <mergeCell ref="A43:I43"/>
    <mergeCell ref="J43:AF43"/>
    <mergeCell ref="A44:I44"/>
    <mergeCell ref="J44:AF44"/>
    <mergeCell ref="XAP42:XBL42"/>
    <mergeCell ref="XBM42:XBU42"/>
    <mergeCell ref="XBV42:XCR42"/>
    <mergeCell ref="XCS42:XDA42"/>
    <mergeCell ref="XDB42:XDX42"/>
    <mergeCell ref="WXU42:WYC42"/>
    <mergeCell ref="WYD42:WYZ42"/>
    <mergeCell ref="WZA42:WZI42"/>
    <mergeCell ref="WZJ42:XAF42"/>
    <mergeCell ref="XAG42:XAO42"/>
    <mergeCell ref="WUL42:WVH42"/>
    <mergeCell ref="WVI42:WVQ42"/>
    <mergeCell ref="WVR42:WWN42"/>
    <mergeCell ref="WWO42:WWW42"/>
    <mergeCell ref="GK52:GS52"/>
    <mergeCell ref="GT52:HP52"/>
    <mergeCell ref="HQ52:HY52"/>
    <mergeCell ref="HZ52:IV52"/>
    <mergeCell ref="IW52:JE52"/>
    <mergeCell ref="DB52:DX52"/>
    <mergeCell ref="DY52:EG52"/>
    <mergeCell ref="EH52:FD52"/>
    <mergeCell ref="FE52:FM52"/>
    <mergeCell ref="FN52:GJ52"/>
    <mergeCell ref="AG52:AO52"/>
    <mergeCell ref="AP52:BL52"/>
    <mergeCell ref="BM52:BU52"/>
    <mergeCell ref="BV52:CR52"/>
    <mergeCell ref="CS52:DA52"/>
    <mergeCell ref="A56:I56"/>
    <mergeCell ref="J56:AF56"/>
    <mergeCell ref="SS52:TA52"/>
    <mergeCell ref="TB52:TX52"/>
    <mergeCell ref="TY52:UG52"/>
    <mergeCell ref="UH52:VD52"/>
    <mergeCell ref="VE52:VM52"/>
    <mergeCell ref="PJ52:QF52"/>
    <mergeCell ref="QG52:QO52"/>
    <mergeCell ref="QP52:RL52"/>
    <mergeCell ref="RM52:RU52"/>
    <mergeCell ref="RV52:SR52"/>
    <mergeCell ref="MO52:MW52"/>
    <mergeCell ref="MX52:NT52"/>
    <mergeCell ref="NU52:OC52"/>
    <mergeCell ref="OD52:OZ52"/>
    <mergeCell ref="PA52:PI52"/>
    <mergeCell ref="JF52:KB52"/>
    <mergeCell ref="KC52:KK52"/>
    <mergeCell ref="KL52:LH52"/>
    <mergeCell ref="LI52:LQ52"/>
    <mergeCell ref="LR52:MN52"/>
    <mergeCell ref="AFA52:AFI52"/>
    <mergeCell ref="AFJ52:AGF52"/>
    <mergeCell ref="AGG52:AGO52"/>
    <mergeCell ref="AGP52:AHL52"/>
    <mergeCell ref="AHM52:AHU52"/>
    <mergeCell ref="ABR52:ACN52"/>
    <mergeCell ref="ACO52:ACW52"/>
    <mergeCell ref="ACX52:ADT52"/>
    <mergeCell ref="ADU52:AEC52"/>
    <mergeCell ref="AED52:AEZ52"/>
    <mergeCell ref="YW52:ZE52"/>
    <mergeCell ref="ZF52:AAB52"/>
    <mergeCell ref="AAC52:AAK52"/>
    <mergeCell ref="AAL52:ABH52"/>
    <mergeCell ref="ABI52:ABQ52"/>
    <mergeCell ref="VN52:WJ52"/>
    <mergeCell ref="WK52:WS52"/>
    <mergeCell ref="WT52:XP52"/>
    <mergeCell ref="XQ52:XY52"/>
    <mergeCell ref="XZ52:YV52"/>
    <mergeCell ref="ARI52:ARQ52"/>
    <mergeCell ref="ARR52:ASN52"/>
    <mergeCell ref="ASO52:ASW52"/>
    <mergeCell ref="ASX52:ATT52"/>
    <mergeCell ref="ATU52:AUC52"/>
    <mergeCell ref="ANZ52:AOV52"/>
    <mergeCell ref="AOW52:APE52"/>
    <mergeCell ref="APF52:AQB52"/>
    <mergeCell ref="AQC52:AQK52"/>
    <mergeCell ref="AQL52:ARH52"/>
    <mergeCell ref="ALE52:ALM52"/>
    <mergeCell ref="ALN52:AMJ52"/>
    <mergeCell ref="AMK52:AMS52"/>
    <mergeCell ref="AMT52:ANP52"/>
    <mergeCell ref="ANQ52:ANY52"/>
    <mergeCell ref="AHV52:AIR52"/>
    <mergeCell ref="AIS52:AJA52"/>
    <mergeCell ref="AJB52:AJX52"/>
    <mergeCell ref="AJY52:AKG52"/>
    <mergeCell ref="AKH52:ALD52"/>
    <mergeCell ref="BDQ52:BDY52"/>
    <mergeCell ref="BDZ52:BEV52"/>
    <mergeCell ref="BEW52:BFE52"/>
    <mergeCell ref="BFF52:BGB52"/>
    <mergeCell ref="BGC52:BGK52"/>
    <mergeCell ref="BAH52:BBD52"/>
    <mergeCell ref="BBE52:BBM52"/>
    <mergeCell ref="BBN52:BCJ52"/>
    <mergeCell ref="BCK52:BCS52"/>
    <mergeCell ref="BCT52:BDP52"/>
    <mergeCell ref="AXM52:AXU52"/>
    <mergeCell ref="AXV52:AYR52"/>
    <mergeCell ref="AYS52:AZA52"/>
    <mergeCell ref="AZB52:AZX52"/>
    <mergeCell ref="AZY52:BAG52"/>
    <mergeCell ref="AUD52:AUZ52"/>
    <mergeCell ref="AVA52:AVI52"/>
    <mergeCell ref="AVJ52:AWF52"/>
    <mergeCell ref="AWG52:AWO52"/>
    <mergeCell ref="AWP52:AXL52"/>
    <mergeCell ref="BPY52:BQG52"/>
    <mergeCell ref="BQH52:BRD52"/>
    <mergeCell ref="BRE52:BRM52"/>
    <mergeCell ref="BRN52:BSJ52"/>
    <mergeCell ref="BSK52:BSS52"/>
    <mergeCell ref="BMP52:BNL52"/>
    <mergeCell ref="BNM52:BNU52"/>
    <mergeCell ref="BNV52:BOR52"/>
    <mergeCell ref="BOS52:BPA52"/>
    <mergeCell ref="BPB52:BPX52"/>
    <mergeCell ref="BJU52:BKC52"/>
    <mergeCell ref="BKD52:BKZ52"/>
    <mergeCell ref="BLA52:BLI52"/>
    <mergeCell ref="BLJ52:BMF52"/>
    <mergeCell ref="BMG52:BMO52"/>
    <mergeCell ref="BGL52:BHH52"/>
    <mergeCell ref="BHI52:BHQ52"/>
    <mergeCell ref="BHR52:BIN52"/>
    <mergeCell ref="BIO52:BIW52"/>
    <mergeCell ref="BIX52:BJT52"/>
    <mergeCell ref="CCG52:CCO52"/>
    <mergeCell ref="CCP52:CDL52"/>
    <mergeCell ref="CDM52:CDU52"/>
    <mergeCell ref="CDV52:CER52"/>
    <mergeCell ref="CES52:CFA52"/>
    <mergeCell ref="BYX52:BZT52"/>
    <mergeCell ref="BZU52:CAC52"/>
    <mergeCell ref="CAD52:CAZ52"/>
    <mergeCell ref="CBA52:CBI52"/>
    <mergeCell ref="CBJ52:CCF52"/>
    <mergeCell ref="BWC52:BWK52"/>
    <mergeCell ref="BWL52:BXH52"/>
    <mergeCell ref="BXI52:BXQ52"/>
    <mergeCell ref="BXR52:BYN52"/>
    <mergeCell ref="BYO52:BYW52"/>
    <mergeCell ref="BST52:BTP52"/>
    <mergeCell ref="BTQ52:BTY52"/>
    <mergeCell ref="BTZ52:BUV52"/>
    <mergeCell ref="BUW52:BVE52"/>
    <mergeCell ref="BVF52:BWB52"/>
    <mergeCell ref="COO52:COW52"/>
    <mergeCell ref="COX52:CPT52"/>
    <mergeCell ref="CPU52:CQC52"/>
    <mergeCell ref="CQD52:CQZ52"/>
    <mergeCell ref="CRA52:CRI52"/>
    <mergeCell ref="CLF52:CMB52"/>
    <mergeCell ref="CMC52:CMK52"/>
    <mergeCell ref="CML52:CNH52"/>
    <mergeCell ref="CNI52:CNQ52"/>
    <mergeCell ref="CNR52:CON52"/>
    <mergeCell ref="CIK52:CIS52"/>
    <mergeCell ref="CIT52:CJP52"/>
    <mergeCell ref="CJQ52:CJY52"/>
    <mergeCell ref="CJZ52:CKV52"/>
    <mergeCell ref="CKW52:CLE52"/>
    <mergeCell ref="CFB52:CFX52"/>
    <mergeCell ref="CFY52:CGG52"/>
    <mergeCell ref="CGH52:CHD52"/>
    <mergeCell ref="CHE52:CHM52"/>
    <mergeCell ref="CHN52:CIJ52"/>
    <mergeCell ref="DAW52:DBE52"/>
    <mergeCell ref="DBF52:DCB52"/>
    <mergeCell ref="DCC52:DCK52"/>
    <mergeCell ref="DCL52:DDH52"/>
    <mergeCell ref="DDI52:DDQ52"/>
    <mergeCell ref="CXN52:CYJ52"/>
    <mergeCell ref="CYK52:CYS52"/>
    <mergeCell ref="CYT52:CZP52"/>
    <mergeCell ref="CZQ52:CZY52"/>
    <mergeCell ref="CZZ52:DAV52"/>
    <mergeCell ref="CUS52:CVA52"/>
    <mergeCell ref="CVB52:CVX52"/>
    <mergeCell ref="CVY52:CWG52"/>
    <mergeCell ref="CWH52:CXD52"/>
    <mergeCell ref="CXE52:CXM52"/>
    <mergeCell ref="CRJ52:CSF52"/>
    <mergeCell ref="CSG52:CSO52"/>
    <mergeCell ref="CSP52:CTL52"/>
    <mergeCell ref="CTM52:CTU52"/>
    <mergeCell ref="CTV52:CUR52"/>
    <mergeCell ref="DNE52:DNM52"/>
    <mergeCell ref="DNN52:DOJ52"/>
    <mergeCell ref="DOK52:DOS52"/>
    <mergeCell ref="DOT52:DPP52"/>
    <mergeCell ref="DPQ52:DPY52"/>
    <mergeCell ref="DJV52:DKR52"/>
    <mergeCell ref="DKS52:DLA52"/>
    <mergeCell ref="DLB52:DLX52"/>
    <mergeCell ref="DLY52:DMG52"/>
    <mergeCell ref="DMH52:DND52"/>
    <mergeCell ref="DHA52:DHI52"/>
    <mergeCell ref="DHJ52:DIF52"/>
    <mergeCell ref="DIG52:DIO52"/>
    <mergeCell ref="DIP52:DJL52"/>
    <mergeCell ref="DJM52:DJU52"/>
    <mergeCell ref="DDR52:DEN52"/>
    <mergeCell ref="DEO52:DEW52"/>
    <mergeCell ref="DEX52:DFT52"/>
    <mergeCell ref="DFU52:DGC52"/>
    <mergeCell ref="DGD52:DGZ52"/>
    <mergeCell ref="DZM52:DZU52"/>
    <mergeCell ref="DZV52:EAR52"/>
    <mergeCell ref="EAS52:EBA52"/>
    <mergeCell ref="EBB52:EBX52"/>
    <mergeCell ref="EBY52:ECG52"/>
    <mergeCell ref="DWD52:DWZ52"/>
    <mergeCell ref="DXA52:DXI52"/>
    <mergeCell ref="DXJ52:DYF52"/>
    <mergeCell ref="DYG52:DYO52"/>
    <mergeCell ref="DYP52:DZL52"/>
    <mergeCell ref="DTI52:DTQ52"/>
    <mergeCell ref="DTR52:DUN52"/>
    <mergeCell ref="DUO52:DUW52"/>
    <mergeCell ref="DUX52:DVT52"/>
    <mergeCell ref="DVU52:DWC52"/>
    <mergeCell ref="DPZ52:DQV52"/>
    <mergeCell ref="DQW52:DRE52"/>
    <mergeCell ref="DRF52:DSB52"/>
    <mergeCell ref="DSC52:DSK52"/>
    <mergeCell ref="DSL52:DTH52"/>
    <mergeCell ref="ELU52:EMC52"/>
    <mergeCell ref="EMD52:EMZ52"/>
    <mergeCell ref="ENA52:ENI52"/>
    <mergeCell ref="ENJ52:EOF52"/>
    <mergeCell ref="EOG52:EOO52"/>
    <mergeCell ref="EIL52:EJH52"/>
    <mergeCell ref="EJI52:EJQ52"/>
    <mergeCell ref="EJR52:EKN52"/>
    <mergeCell ref="EKO52:EKW52"/>
    <mergeCell ref="EKX52:ELT52"/>
    <mergeCell ref="EFQ52:EFY52"/>
    <mergeCell ref="EFZ52:EGV52"/>
    <mergeCell ref="EGW52:EHE52"/>
    <mergeCell ref="EHF52:EIB52"/>
    <mergeCell ref="EIC52:EIK52"/>
    <mergeCell ref="ECH52:EDD52"/>
    <mergeCell ref="EDE52:EDM52"/>
    <mergeCell ref="EDN52:EEJ52"/>
    <mergeCell ref="EEK52:EES52"/>
    <mergeCell ref="EET52:EFP52"/>
    <mergeCell ref="EYC52:EYK52"/>
    <mergeCell ref="EYL52:EZH52"/>
    <mergeCell ref="EZI52:EZQ52"/>
    <mergeCell ref="EZR52:FAN52"/>
    <mergeCell ref="FAO52:FAW52"/>
    <mergeCell ref="EUT52:EVP52"/>
    <mergeCell ref="EVQ52:EVY52"/>
    <mergeCell ref="EVZ52:EWV52"/>
    <mergeCell ref="EWW52:EXE52"/>
    <mergeCell ref="EXF52:EYB52"/>
    <mergeCell ref="ERY52:ESG52"/>
    <mergeCell ref="ESH52:ETD52"/>
    <mergeCell ref="ETE52:ETM52"/>
    <mergeCell ref="ETN52:EUJ52"/>
    <mergeCell ref="EUK52:EUS52"/>
    <mergeCell ref="EOP52:EPL52"/>
    <mergeCell ref="EPM52:EPU52"/>
    <mergeCell ref="EPV52:EQR52"/>
    <mergeCell ref="EQS52:ERA52"/>
    <mergeCell ref="ERB52:ERX52"/>
    <mergeCell ref="FKK52:FKS52"/>
    <mergeCell ref="FKT52:FLP52"/>
    <mergeCell ref="FLQ52:FLY52"/>
    <mergeCell ref="FLZ52:FMV52"/>
    <mergeCell ref="FMW52:FNE52"/>
    <mergeCell ref="FHB52:FHX52"/>
    <mergeCell ref="FHY52:FIG52"/>
    <mergeCell ref="FIH52:FJD52"/>
    <mergeCell ref="FJE52:FJM52"/>
    <mergeCell ref="FJN52:FKJ52"/>
    <mergeCell ref="FEG52:FEO52"/>
    <mergeCell ref="FEP52:FFL52"/>
    <mergeCell ref="FFM52:FFU52"/>
    <mergeCell ref="FFV52:FGR52"/>
    <mergeCell ref="FGS52:FHA52"/>
    <mergeCell ref="FAX52:FBT52"/>
    <mergeCell ref="FBU52:FCC52"/>
    <mergeCell ref="FCD52:FCZ52"/>
    <mergeCell ref="FDA52:FDI52"/>
    <mergeCell ref="FDJ52:FEF52"/>
    <mergeCell ref="FWS52:FXA52"/>
    <mergeCell ref="FXB52:FXX52"/>
    <mergeCell ref="FXY52:FYG52"/>
    <mergeCell ref="FYH52:FZD52"/>
    <mergeCell ref="FZE52:FZM52"/>
    <mergeCell ref="FTJ52:FUF52"/>
    <mergeCell ref="FUG52:FUO52"/>
    <mergeCell ref="FUP52:FVL52"/>
    <mergeCell ref="FVM52:FVU52"/>
    <mergeCell ref="FVV52:FWR52"/>
    <mergeCell ref="FQO52:FQW52"/>
    <mergeCell ref="FQX52:FRT52"/>
    <mergeCell ref="FRU52:FSC52"/>
    <mergeCell ref="FSD52:FSZ52"/>
    <mergeCell ref="FTA52:FTI52"/>
    <mergeCell ref="FNF52:FOB52"/>
    <mergeCell ref="FOC52:FOK52"/>
    <mergeCell ref="FOL52:FPH52"/>
    <mergeCell ref="FPI52:FPQ52"/>
    <mergeCell ref="FPR52:FQN52"/>
    <mergeCell ref="GJA52:GJI52"/>
    <mergeCell ref="GJJ52:GKF52"/>
    <mergeCell ref="GKG52:GKO52"/>
    <mergeCell ref="GKP52:GLL52"/>
    <mergeCell ref="GLM52:GLU52"/>
    <mergeCell ref="GFR52:GGN52"/>
    <mergeCell ref="GGO52:GGW52"/>
    <mergeCell ref="GGX52:GHT52"/>
    <mergeCell ref="GHU52:GIC52"/>
    <mergeCell ref="GID52:GIZ52"/>
    <mergeCell ref="GCW52:GDE52"/>
    <mergeCell ref="GDF52:GEB52"/>
    <mergeCell ref="GEC52:GEK52"/>
    <mergeCell ref="GEL52:GFH52"/>
    <mergeCell ref="GFI52:GFQ52"/>
    <mergeCell ref="FZN52:GAJ52"/>
    <mergeCell ref="GAK52:GAS52"/>
    <mergeCell ref="GAT52:GBP52"/>
    <mergeCell ref="GBQ52:GBY52"/>
    <mergeCell ref="GBZ52:GCV52"/>
    <mergeCell ref="GVI52:GVQ52"/>
    <mergeCell ref="GVR52:GWN52"/>
    <mergeCell ref="GWO52:GWW52"/>
    <mergeCell ref="GWX52:GXT52"/>
    <mergeCell ref="GXU52:GYC52"/>
    <mergeCell ref="GRZ52:GSV52"/>
    <mergeCell ref="GSW52:GTE52"/>
    <mergeCell ref="GTF52:GUB52"/>
    <mergeCell ref="GUC52:GUK52"/>
    <mergeCell ref="GUL52:GVH52"/>
    <mergeCell ref="GPE52:GPM52"/>
    <mergeCell ref="GPN52:GQJ52"/>
    <mergeCell ref="GQK52:GQS52"/>
    <mergeCell ref="GQT52:GRP52"/>
    <mergeCell ref="GRQ52:GRY52"/>
    <mergeCell ref="GLV52:GMR52"/>
    <mergeCell ref="GMS52:GNA52"/>
    <mergeCell ref="GNB52:GNX52"/>
    <mergeCell ref="GNY52:GOG52"/>
    <mergeCell ref="GOH52:GPD52"/>
    <mergeCell ref="HHQ52:HHY52"/>
    <mergeCell ref="HHZ52:HIV52"/>
    <mergeCell ref="HIW52:HJE52"/>
    <mergeCell ref="HJF52:HKB52"/>
    <mergeCell ref="HKC52:HKK52"/>
    <mergeCell ref="HEH52:HFD52"/>
    <mergeCell ref="HFE52:HFM52"/>
    <mergeCell ref="HFN52:HGJ52"/>
    <mergeCell ref="HGK52:HGS52"/>
    <mergeCell ref="HGT52:HHP52"/>
    <mergeCell ref="HBM52:HBU52"/>
    <mergeCell ref="HBV52:HCR52"/>
    <mergeCell ref="HCS52:HDA52"/>
    <mergeCell ref="HDB52:HDX52"/>
    <mergeCell ref="HDY52:HEG52"/>
    <mergeCell ref="GYD52:GYZ52"/>
    <mergeCell ref="GZA52:GZI52"/>
    <mergeCell ref="GZJ52:HAF52"/>
    <mergeCell ref="HAG52:HAO52"/>
    <mergeCell ref="HAP52:HBL52"/>
    <mergeCell ref="HTY52:HUG52"/>
    <mergeCell ref="HUH52:HVD52"/>
    <mergeCell ref="HVE52:HVM52"/>
    <mergeCell ref="HVN52:HWJ52"/>
    <mergeCell ref="HWK52:HWS52"/>
    <mergeCell ref="HQP52:HRL52"/>
    <mergeCell ref="HRM52:HRU52"/>
    <mergeCell ref="HRV52:HSR52"/>
    <mergeCell ref="HSS52:HTA52"/>
    <mergeCell ref="HTB52:HTX52"/>
    <mergeCell ref="HNU52:HOC52"/>
    <mergeCell ref="HOD52:HOZ52"/>
    <mergeCell ref="HPA52:HPI52"/>
    <mergeCell ref="HPJ52:HQF52"/>
    <mergeCell ref="HQG52:HQO52"/>
    <mergeCell ref="HKL52:HLH52"/>
    <mergeCell ref="HLI52:HLQ52"/>
    <mergeCell ref="HLR52:HMN52"/>
    <mergeCell ref="HMO52:HMW52"/>
    <mergeCell ref="HMX52:HNT52"/>
    <mergeCell ref="IGG52:IGO52"/>
    <mergeCell ref="IGP52:IHL52"/>
    <mergeCell ref="IHM52:IHU52"/>
    <mergeCell ref="IHV52:IIR52"/>
    <mergeCell ref="IIS52:IJA52"/>
    <mergeCell ref="ICX52:IDT52"/>
    <mergeCell ref="IDU52:IEC52"/>
    <mergeCell ref="IED52:IEZ52"/>
    <mergeCell ref="IFA52:IFI52"/>
    <mergeCell ref="IFJ52:IGF52"/>
    <mergeCell ref="IAC52:IAK52"/>
    <mergeCell ref="IAL52:IBH52"/>
    <mergeCell ref="IBI52:IBQ52"/>
    <mergeCell ref="IBR52:ICN52"/>
    <mergeCell ref="ICO52:ICW52"/>
    <mergeCell ref="HWT52:HXP52"/>
    <mergeCell ref="HXQ52:HXY52"/>
    <mergeCell ref="HXZ52:HYV52"/>
    <mergeCell ref="HYW52:HZE52"/>
    <mergeCell ref="HZF52:IAB52"/>
    <mergeCell ref="ISO52:ISW52"/>
    <mergeCell ref="ISX52:ITT52"/>
    <mergeCell ref="ITU52:IUC52"/>
    <mergeCell ref="IUD52:IUZ52"/>
    <mergeCell ref="IVA52:IVI52"/>
    <mergeCell ref="IPF52:IQB52"/>
    <mergeCell ref="IQC52:IQK52"/>
    <mergeCell ref="IQL52:IRH52"/>
    <mergeCell ref="IRI52:IRQ52"/>
    <mergeCell ref="IRR52:ISN52"/>
    <mergeCell ref="IMK52:IMS52"/>
    <mergeCell ref="IMT52:INP52"/>
    <mergeCell ref="INQ52:INY52"/>
    <mergeCell ref="INZ52:IOV52"/>
    <mergeCell ref="IOW52:IPE52"/>
    <mergeCell ref="IJB52:IJX52"/>
    <mergeCell ref="IJY52:IKG52"/>
    <mergeCell ref="IKH52:ILD52"/>
    <mergeCell ref="ILE52:ILM52"/>
    <mergeCell ref="ILN52:IMJ52"/>
    <mergeCell ref="JEW52:JFE52"/>
    <mergeCell ref="JFF52:JGB52"/>
    <mergeCell ref="JGC52:JGK52"/>
    <mergeCell ref="JGL52:JHH52"/>
    <mergeCell ref="JHI52:JHQ52"/>
    <mergeCell ref="JBN52:JCJ52"/>
    <mergeCell ref="JCK52:JCS52"/>
    <mergeCell ref="JCT52:JDP52"/>
    <mergeCell ref="JDQ52:JDY52"/>
    <mergeCell ref="JDZ52:JEV52"/>
    <mergeCell ref="IYS52:IZA52"/>
    <mergeCell ref="IZB52:IZX52"/>
    <mergeCell ref="IZY52:JAG52"/>
    <mergeCell ref="JAH52:JBD52"/>
    <mergeCell ref="JBE52:JBM52"/>
    <mergeCell ref="IVJ52:IWF52"/>
    <mergeCell ref="IWG52:IWO52"/>
    <mergeCell ref="IWP52:IXL52"/>
    <mergeCell ref="IXM52:IXU52"/>
    <mergeCell ref="IXV52:IYR52"/>
    <mergeCell ref="JRE52:JRM52"/>
    <mergeCell ref="JRN52:JSJ52"/>
    <mergeCell ref="JSK52:JSS52"/>
    <mergeCell ref="JST52:JTP52"/>
    <mergeCell ref="JTQ52:JTY52"/>
    <mergeCell ref="JNV52:JOR52"/>
    <mergeCell ref="JOS52:JPA52"/>
    <mergeCell ref="JPB52:JPX52"/>
    <mergeCell ref="JPY52:JQG52"/>
    <mergeCell ref="JQH52:JRD52"/>
    <mergeCell ref="JLA52:JLI52"/>
    <mergeCell ref="JLJ52:JMF52"/>
    <mergeCell ref="JMG52:JMO52"/>
    <mergeCell ref="JMP52:JNL52"/>
    <mergeCell ref="JNM52:JNU52"/>
    <mergeCell ref="JHR52:JIN52"/>
    <mergeCell ref="JIO52:JIW52"/>
    <mergeCell ref="JIX52:JJT52"/>
    <mergeCell ref="JJU52:JKC52"/>
    <mergeCell ref="JKD52:JKZ52"/>
    <mergeCell ref="KDM52:KDU52"/>
    <mergeCell ref="KDV52:KER52"/>
    <mergeCell ref="KES52:KFA52"/>
    <mergeCell ref="KFB52:KFX52"/>
    <mergeCell ref="KFY52:KGG52"/>
    <mergeCell ref="KAD52:KAZ52"/>
    <mergeCell ref="KBA52:KBI52"/>
    <mergeCell ref="KBJ52:KCF52"/>
    <mergeCell ref="KCG52:KCO52"/>
    <mergeCell ref="KCP52:KDL52"/>
    <mergeCell ref="JXI52:JXQ52"/>
    <mergeCell ref="JXR52:JYN52"/>
    <mergeCell ref="JYO52:JYW52"/>
    <mergeCell ref="JYX52:JZT52"/>
    <mergeCell ref="JZU52:KAC52"/>
    <mergeCell ref="JTZ52:JUV52"/>
    <mergeCell ref="JUW52:JVE52"/>
    <mergeCell ref="JVF52:JWB52"/>
    <mergeCell ref="JWC52:JWK52"/>
    <mergeCell ref="JWL52:JXH52"/>
    <mergeCell ref="KPU52:KQC52"/>
    <mergeCell ref="KQD52:KQZ52"/>
    <mergeCell ref="KRA52:KRI52"/>
    <mergeCell ref="KRJ52:KSF52"/>
    <mergeCell ref="KSG52:KSO52"/>
    <mergeCell ref="KML52:KNH52"/>
    <mergeCell ref="KNI52:KNQ52"/>
    <mergeCell ref="KNR52:KON52"/>
    <mergeCell ref="KOO52:KOW52"/>
    <mergeCell ref="KOX52:KPT52"/>
    <mergeCell ref="KJQ52:KJY52"/>
    <mergeCell ref="KJZ52:KKV52"/>
    <mergeCell ref="KKW52:KLE52"/>
    <mergeCell ref="KLF52:KMB52"/>
    <mergeCell ref="KMC52:KMK52"/>
    <mergeCell ref="KGH52:KHD52"/>
    <mergeCell ref="KHE52:KHM52"/>
    <mergeCell ref="KHN52:KIJ52"/>
    <mergeCell ref="KIK52:KIS52"/>
    <mergeCell ref="KIT52:KJP52"/>
    <mergeCell ref="LCC52:LCK52"/>
    <mergeCell ref="LCL52:LDH52"/>
    <mergeCell ref="LDI52:LDQ52"/>
    <mergeCell ref="LDR52:LEN52"/>
    <mergeCell ref="LEO52:LEW52"/>
    <mergeCell ref="KYT52:KZP52"/>
    <mergeCell ref="KZQ52:KZY52"/>
    <mergeCell ref="KZZ52:LAV52"/>
    <mergeCell ref="LAW52:LBE52"/>
    <mergeCell ref="LBF52:LCB52"/>
    <mergeCell ref="KVY52:KWG52"/>
    <mergeCell ref="KWH52:KXD52"/>
    <mergeCell ref="KXE52:KXM52"/>
    <mergeCell ref="KXN52:KYJ52"/>
    <mergeCell ref="KYK52:KYS52"/>
    <mergeCell ref="KSP52:KTL52"/>
    <mergeCell ref="KTM52:KTU52"/>
    <mergeCell ref="KTV52:KUR52"/>
    <mergeCell ref="KUS52:KVA52"/>
    <mergeCell ref="KVB52:KVX52"/>
    <mergeCell ref="LOK52:LOS52"/>
    <mergeCell ref="LOT52:LPP52"/>
    <mergeCell ref="LPQ52:LPY52"/>
    <mergeCell ref="LPZ52:LQV52"/>
    <mergeCell ref="LQW52:LRE52"/>
    <mergeCell ref="LLB52:LLX52"/>
    <mergeCell ref="LLY52:LMG52"/>
    <mergeCell ref="LMH52:LND52"/>
    <mergeCell ref="LNE52:LNM52"/>
    <mergeCell ref="LNN52:LOJ52"/>
    <mergeCell ref="LIG52:LIO52"/>
    <mergeCell ref="LIP52:LJL52"/>
    <mergeCell ref="LJM52:LJU52"/>
    <mergeCell ref="LJV52:LKR52"/>
    <mergeCell ref="LKS52:LLA52"/>
    <mergeCell ref="LEX52:LFT52"/>
    <mergeCell ref="LFU52:LGC52"/>
    <mergeCell ref="LGD52:LGZ52"/>
    <mergeCell ref="LHA52:LHI52"/>
    <mergeCell ref="LHJ52:LIF52"/>
    <mergeCell ref="MAS52:MBA52"/>
    <mergeCell ref="MBB52:MBX52"/>
    <mergeCell ref="MBY52:MCG52"/>
    <mergeCell ref="MCH52:MDD52"/>
    <mergeCell ref="MDE52:MDM52"/>
    <mergeCell ref="LXJ52:LYF52"/>
    <mergeCell ref="LYG52:LYO52"/>
    <mergeCell ref="LYP52:LZL52"/>
    <mergeCell ref="LZM52:LZU52"/>
    <mergeCell ref="LZV52:MAR52"/>
    <mergeCell ref="LUO52:LUW52"/>
    <mergeCell ref="LUX52:LVT52"/>
    <mergeCell ref="LVU52:LWC52"/>
    <mergeCell ref="LWD52:LWZ52"/>
    <mergeCell ref="LXA52:LXI52"/>
    <mergeCell ref="LRF52:LSB52"/>
    <mergeCell ref="LSC52:LSK52"/>
    <mergeCell ref="LSL52:LTH52"/>
    <mergeCell ref="LTI52:LTQ52"/>
    <mergeCell ref="LTR52:LUN52"/>
    <mergeCell ref="MNA52:MNI52"/>
    <mergeCell ref="MNJ52:MOF52"/>
    <mergeCell ref="MOG52:MOO52"/>
    <mergeCell ref="MOP52:MPL52"/>
    <mergeCell ref="MPM52:MPU52"/>
    <mergeCell ref="MJR52:MKN52"/>
    <mergeCell ref="MKO52:MKW52"/>
    <mergeCell ref="MKX52:MLT52"/>
    <mergeCell ref="MLU52:MMC52"/>
    <mergeCell ref="MMD52:MMZ52"/>
    <mergeCell ref="MGW52:MHE52"/>
    <mergeCell ref="MHF52:MIB52"/>
    <mergeCell ref="MIC52:MIK52"/>
    <mergeCell ref="MIL52:MJH52"/>
    <mergeCell ref="MJI52:MJQ52"/>
    <mergeCell ref="MDN52:MEJ52"/>
    <mergeCell ref="MEK52:MES52"/>
    <mergeCell ref="MET52:MFP52"/>
    <mergeCell ref="MFQ52:MFY52"/>
    <mergeCell ref="MFZ52:MGV52"/>
    <mergeCell ref="MZI52:MZQ52"/>
    <mergeCell ref="MZR52:NAN52"/>
    <mergeCell ref="NAO52:NAW52"/>
    <mergeCell ref="NAX52:NBT52"/>
    <mergeCell ref="NBU52:NCC52"/>
    <mergeCell ref="MVZ52:MWV52"/>
    <mergeCell ref="MWW52:MXE52"/>
    <mergeCell ref="MXF52:MYB52"/>
    <mergeCell ref="MYC52:MYK52"/>
    <mergeCell ref="MYL52:MZH52"/>
    <mergeCell ref="MTE52:MTM52"/>
    <mergeCell ref="MTN52:MUJ52"/>
    <mergeCell ref="MUK52:MUS52"/>
    <mergeCell ref="MUT52:MVP52"/>
    <mergeCell ref="MVQ52:MVY52"/>
    <mergeCell ref="MPV52:MQR52"/>
    <mergeCell ref="MQS52:MRA52"/>
    <mergeCell ref="MRB52:MRX52"/>
    <mergeCell ref="MRY52:MSG52"/>
    <mergeCell ref="MSH52:MTD52"/>
    <mergeCell ref="NLQ52:NLY52"/>
    <mergeCell ref="NLZ52:NMV52"/>
    <mergeCell ref="NMW52:NNE52"/>
    <mergeCell ref="NNF52:NOB52"/>
    <mergeCell ref="NOC52:NOK52"/>
    <mergeCell ref="NIH52:NJD52"/>
    <mergeCell ref="NJE52:NJM52"/>
    <mergeCell ref="NJN52:NKJ52"/>
    <mergeCell ref="NKK52:NKS52"/>
    <mergeCell ref="NKT52:NLP52"/>
    <mergeCell ref="NFM52:NFU52"/>
    <mergeCell ref="NFV52:NGR52"/>
    <mergeCell ref="NGS52:NHA52"/>
    <mergeCell ref="NHB52:NHX52"/>
    <mergeCell ref="NHY52:NIG52"/>
    <mergeCell ref="NCD52:NCZ52"/>
    <mergeCell ref="NDA52:NDI52"/>
    <mergeCell ref="NDJ52:NEF52"/>
    <mergeCell ref="NEG52:NEO52"/>
    <mergeCell ref="NEP52:NFL52"/>
    <mergeCell ref="NXY52:NYG52"/>
    <mergeCell ref="NYH52:NZD52"/>
    <mergeCell ref="NZE52:NZM52"/>
    <mergeCell ref="NZN52:OAJ52"/>
    <mergeCell ref="OAK52:OAS52"/>
    <mergeCell ref="NUP52:NVL52"/>
    <mergeCell ref="NVM52:NVU52"/>
    <mergeCell ref="NVV52:NWR52"/>
    <mergeCell ref="NWS52:NXA52"/>
    <mergeCell ref="NXB52:NXX52"/>
    <mergeCell ref="NRU52:NSC52"/>
    <mergeCell ref="NSD52:NSZ52"/>
    <mergeCell ref="NTA52:NTI52"/>
    <mergeCell ref="NTJ52:NUF52"/>
    <mergeCell ref="NUG52:NUO52"/>
    <mergeCell ref="NOL52:NPH52"/>
    <mergeCell ref="NPI52:NPQ52"/>
    <mergeCell ref="NPR52:NQN52"/>
    <mergeCell ref="NQO52:NQW52"/>
    <mergeCell ref="NQX52:NRT52"/>
    <mergeCell ref="OKG52:OKO52"/>
    <mergeCell ref="OKP52:OLL52"/>
    <mergeCell ref="OLM52:OLU52"/>
    <mergeCell ref="OLV52:OMR52"/>
    <mergeCell ref="OMS52:ONA52"/>
    <mergeCell ref="OGX52:OHT52"/>
    <mergeCell ref="OHU52:OIC52"/>
    <mergeCell ref="OID52:OIZ52"/>
    <mergeCell ref="OJA52:OJI52"/>
    <mergeCell ref="OJJ52:OKF52"/>
    <mergeCell ref="OEC52:OEK52"/>
    <mergeCell ref="OEL52:OFH52"/>
    <mergeCell ref="OFI52:OFQ52"/>
    <mergeCell ref="OFR52:OGN52"/>
    <mergeCell ref="OGO52:OGW52"/>
    <mergeCell ref="OAT52:OBP52"/>
    <mergeCell ref="OBQ52:OBY52"/>
    <mergeCell ref="OBZ52:OCV52"/>
    <mergeCell ref="OCW52:ODE52"/>
    <mergeCell ref="ODF52:OEB52"/>
    <mergeCell ref="OWO52:OWW52"/>
    <mergeCell ref="OWX52:OXT52"/>
    <mergeCell ref="OXU52:OYC52"/>
    <mergeCell ref="OYD52:OYZ52"/>
    <mergeCell ref="OZA52:OZI52"/>
    <mergeCell ref="OTF52:OUB52"/>
    <mergeCell ref="OUC52:OUK52"/>
    <mergeCell ref="OUL52:OVH52"/>
    <mergeCell ref="OVI52:OVQ52"/>
    <mergeCell ref="OVR52:OWN52"/>
    <mergeCell ref="OQK52:OQS52"/>
    <mergeCell ref="OQT52:ORP52"/>
    <mergeCell ref="ORQ52:ORY52"/>
    <mergeCell ref="ORZ52:OSV52"/>
    <mergeCell ref="OSW52:OTE52"/>
    <mergeCell ref="ONB52:ONX52"/>
    <mergeCell ref="ONY52:OOG52"/>
    <mergeCell ref="OOH52:OPD52"/>
    <mergeCell ref="OPE52:OPM52"/>
    <mergeCell ref="OPN52:OQJ52"/>
    <mergeCell ref="PIW52:PJE52"/>
    <mergeCell ref="PJF52:PKB52"/>
    <mergeCell ref="PKC52:PKK52"/>
    <mergeCell ref="PKL52:PLH52"/>
    <mergeCell ref="PLI52:PLQ52"/>
    <mergeCell ref="PFN52:PGJ52"/>
    <mergeCell ref="PGK52:PGS52"/>
    <mergeCell ref="PGT52:PHP52"/>
    <mergeCell ref="PHQ52:PHY52"/>
    <mergeCell ref="PHZ52:PIV52"/>
    <mergeCell ref="PCS52:PDA52"/>
    <mergeCell ref="PDB52:PDX52"/>
    <mergeCell ref="PDY52:PEG52"/>
    <mergeCell ref="PEH52:PFD52"/>
    <mergeCell ref="PFE52:PFM52"/>
    <mergeCell ref="OZJ52:PAF52"/>
    <mergeCell ref="PAG52:PAO52"/>
    <mergeCell ref="PAP52:PBL52"/>
    <mergeCell ref="PBM52:PBU52"/>
    <mergeCell ref="PBV52:PCR52"/>
    <mergeCell ref="PVE52:PVM52"/>
    <mergeCell ref="PVN52:PWJ52"/>
    <mergeCell ref="PWK52:PWS52"/>
    <mergeCell ref="PWT52:PXP52"/>
    <mergeCell ref="PXQ52:PXY52"/>
    <mergeCell ref="PRV52:PSR52"/>
    <mergeCell ref="PSS52:PTA52"/>
    <mergeCell ref="PTB52:PTX52"/>
    <mergeCell ref="PTY52:PUG52"/>
    <mergeCell ref="PUH52:PVD52"/>
    <mergeCell ref="PPA52:PPI52"/>
    <mergeCell ref="PPJ52:PQF52"/>
    <mergeCell ref="PQG52:PQO52"/>
    <mergeCell ref="PQP52:PRL52"/>
    <mergeCell ref="PRM52:PRU52"/>
    <mergeCell ref="PLR52:PMN52"/>
    <mergeCell ref="PMO52:PMW52"/>
    <mergeCell ref="PMX52:PNT52"/>
    <mergeCell ref="PNU52:POC52"/>
    <mergeCell ref="POD52:POZ52"/>
    <mergeCell ref="QHM52:QHU52"/>
    <mergeCell ref="QHV52:QIR52"/>
    <mergeCell ref="QIS52:QJA52"/>
    <mergeCell ref="QJB52:QJX52"/>
    <mergeCell ref="QJY52:QKG52"/>
    <mergeCell ref="QED52:QEZ52"/>
    <mergeCell ref="QFA52:QFI52"/>
    <mergeCell ref="QFJ52:QGF52"/>
    <mergeCell ref="QGG52:QGO52"/>
    <mergeCell ref="QGP52:QHL52"/>
    <mergeCell ref="QBI52:QBQ52"/>
    <mergeCell ref="QBR52:QCN52"/>
    <mergeCell ref="QCO52:QCW52"/>
    <mergeCell ref="QCX52:QDT52"/>
    <mergeCell ref="QDU52:QEC52"/>
    <mergeCell ref="PXZ52:PYV52"/>
    <mergeCell ref="PYW52:PZE52"/>
    <mergeCell ref="PZF52:QAB52"/>
    <mergeCell ref="QAC52:QAK52"/>
    <mergeCell ref="QAL52:QBH52"/>
    <mergeCell ref="QTU52:QUC52"/>
    <mergeCell ref="QUD52:QUZ52"/>
    <mergeCell ref="QVA52:QVI52"/>
    <mergeCell ref="QVJ52:QWF52"/>
    <mergeCell ref="QWG52:QWO52"/>
    <mergeCell ref="QQL52:QRH52"/>
    <mergeCell ref="QRI52:QRQ52"/>
    <mergeCell ref="QRR52:QSN52"/>
    <mergeCell ref="QSO52:QSW52"/>
    <mergeCell ref="QSX52:QTT52"/>
    <mergeCell ref="QNQ52:QNY52"/>
    <mergeCell ref="QNZ52:QOV52"/>
    <mergeCell ref="QOW52:QPE52"/>
    <mergeCell ref="QPF52:QQB52"/>
    <mergeCell ref="QQC52:QQK52"/>
    <mergeCell ref="QKH52:QLD52"/>
    <mergeCell ref="QLE52:QLM52"/>
    <mergeCell ref="QLN52:QMJ52"/>
    <mergeCell ref="QMK52:QMS52"/>
    <mergeCell ref="QMT52:QNP52"/>
    <mergeCell ref="RGC52:RGK52"/>
    <mergeCell ref="RGL52:RHH52"/>
    <mergeCell ref="RHI52:RHQ52"/>
    <mergeCell ref="RHR52:RIN52"/>
    <mergeCell ref="RIO52:RIW52"/>
    <mergeCell ref="RCT52:RDP52"/>
    <mergeCell ref="RDQ52:RDY52"/>
    <mergeCell ref="RDZ52:REV52"/>
    <mergeCell ref="REW52:RFE52"/>
    <mergeCell ref="RFF52:RGB52"/>
    <mergeCell ref="QZY52:RAG52"/>
    <mergeCell ref="RAH52:RBD52"/>
    <mergeCell ref="RBE52:RBM52"/>
    <mergeCell ref="RBN52:RCJ52"/>
    <mergeCell ref="RCK52:RCS52"/>
    <mergeCell ref="QWP52:QXL52"/>
    <mergeCell ref="QXM52:QXU52"/>
    <mergeCell ref="QXV52:QYR52"/>
    <mergeCell ref="QYS52:QZA52"/>
    <mergeCell ref="QZB52:QZX52"/>
    <mergeCell ref="RSK52:RSS52"/>
    <mergeCell ref="RST52:RTP52"/>
    <mergeCell ref="RTQ52:RTY52"/>
    <mergeCell ref="RTZ52:RUV52"/>
    <mergeCell ref="RUW52:RVE52"/>
    <mergeCell ref="RPB52:RPX52"/>
    <mergeCell ref="RPY52:RQG52"/>
    <mergeCell ref="RQH52:RRD52"/>
    <mergeCell ref="RRE52:RRM52"/>
    <mergeCell ref="RRN52:RSJ52"/>
    <mergeCell ref="RMG52:RMO52"/>
    <mergeCell ref="RMP52:RNL52"/>
    <mergeCell ref="RNM52:RNU52"/>
    <mergeCell ref="RNV52:ROR52"/>
    <mergeCell ref="ROS52:RPA52"/>
    <mergeCell ref="RIX52:RJT52"/>
    <mergeCell ref="RJU52:RKC52"/>
    <mergeCell ref="RKD52:RKZ52"/>
    <mergeCell ref="RLA52:RLI52"/>
    <mergeCell ref="RLJ52:RMF52"/>
    <mergeCell ref="SES52:SFA52"/>
    <mergeCell ref="SFB52:SFX52"/>
    <mergeCell ref="SFY52:SGG52"/>
    <mergeCell ref="SGH52:SHD52"/>
    <mergeCell ref="SHE52:SHM52"/>
    <mergeCell ref="SBJ52:SCF52"/>
    <mergeCell ref="SCG52:SCO52"/>
    <mergeCell ref="SCP52:SDL52"/>
    <mergeCell ref="SDM52:SDU52"/>
    <mergeCell ref="SDV52:SER52"/>
    <mergeCell ref="RYO52:RYW52"/>
    <mergeCell ref="RYX52:RZT52"/>
    <mergeCell ref="RZU52:SAC52"/>
    <mergeCell ref="SAD52:SAZ52"/>
    <mergeCell ref="SBA52:SBI52"/>
    <mergeCell ref="RVF52:RWB52"/>
    <mergeCell ref="RWC52:RWK52"/>
    <mergeCell ref="RWL52:RXH52"/>
    <mergeCell ref="RXI52:RXQ52"/>
    <mergeCell ref="RXR52:RYN52"/>
    <mergeCell ref="SRA52:SRI52"/>
    <mergeCell ref="SRJ52:SSF52"/>
    <mergeCell ref="SSG52:SSO52"/>
    <mergeCell ref="SSP52:STL52"/>
    <mergeCell ref="STM52:STU52"/>
    <mergeCell ref="SNR52:SON52"/>
    <mergeCell ref="SOO52:SOW52"/>
    <mergeCell ref="SOX52:SPT52"/>
    <mergeCell ref="SPU52:SQC52"/>
    <mergeCell ref="SQD52:SQZ52"/>
    <mergeCell ref="SKW52:SLE52"/>
    <mergeCell ref="SLF52:SMB52"/>
    <mergeCell ref="SMC52:SMK52"/>
    <mergeCell ref="SML52:SNH52"/>
    <mergeCell ref="SNI52:SNQ52"/>
    <mergeCell ref="SHN52:SIJ52"/>
    <mergeCell ref="SIK52:SIS52"/>
    <mergeCell ref="SIT52:SJP52"/>
    <mergeCell ref="SJQ52:SJY52"/>
    <mergeCell ref="SJZ52:SKV52"/>
    <mergeCell ref="TDI52:TDQ52"/>
    <mergeCell ref="TDR52:TEN52"/>
    <mergeCell ref="TEO52:TEW52"/>
    <mergeCell ref="TEX52:TFT52"/>
    <mergeCell ref="TFU52:TGC52"/>
    <mergeCell ref="SZZ52:TAV52"/>
    <mergeCell ref="TAW52:TBE52"/>
    <mergeCell ref="TBF52:TCB52"/>
    <mergeCell ref="TCC52:TCK52"/>
    <mergeCell ref="TCL52:TDH52"/>
    <mergeCell ref="SXE52:SXM52"/>
    <mergeCell ref="SXN52:SYJ52"/>
    <mergeCell ref="SYK52:SYS52"/>
    <mergeCell ref="SYT52:SZP52"/>
    <mergeCell ref="SZQ52:SZY52"/>
    <mergeCell ref="STV52:SUR52"/>
    <mergeCell ref="SUS52:SVA52"/>
    <mergeCell ref="SVB52:SVX52"/>
    <mergeCell ref="SVY52:SWG52"/>
    <mergeCell ref="SWH52:SXD52"/>
    <mergeCell ref="TPQ52:TPY52"/>
    <mergeCell ref="TPZ52:TQV52"/>
    <mergeCell ref="TQW52:TRE52"/>
    <mergeCell ref="TRF52:TSB52"/>
    <mergeCell ref="TSC52:TSK52"/>
    <mergeCell ref="TMH52:TND52"/>
    <mergeCell ref="TNE52:TNM52"/>
    <mergeCell ref="TNN52:TOJ52"/>
    <mergeCell ref="TOK52:TOS52"/>
    <mergeCell ref="TOT52:TPP52"/>
    <mergeCell ref="TJM52:TJU52"/>
    <mergeCell ref="TJV52:TKR52"/>
    <mergeCell ref="TKS52:TLA52"/>
    <mergeCell ref="TLB52:TLX52"/>
    <mergeCell ref="TLY52:TMG52"/>
    <mergeCell ref="TGD52:TGZ52"/>
    <mergeCell ref="THA52:THI52"/>
    <mergeCell ref="THJ52:TIF52"/>
    <mergeCell ref="TIG52:TIO52"/>
    <mergeCell ref="TIP52:TJL52"/>
    <mergeCell ref="UBY52:UCG52"/>
    <mergeCell ref="UCH52:UDD52"/>
    <mergeCell ref="UDE52:UDM52"/>
    <mergeCell ref="UDN52:UEJ52"/>
    <mergeCell ref="UEK52:UES52"/>
    <mergeCell ref="TYP52:TZL52"/>
    <mergeCell ref="TZM52:TZU52"/>
    <mergeCell ref="TZV52:UAR52"/>
    <mergeCell ref="UAS52:UBA52"/>
    <mergeCell ref="UBB52:UBX52"/>
    <mergeCell ref="TVU52:TWC52"/>
    <mergeCell ref="TWD52:TWZ52"/>
    <mergeCell ref="TXA52:TXI52"/>
    <mergeCell ref="TXJ52:TYF52"/>
    <mergeCell ref="TYG52:TYO52"/>
    <mergeCell ref="TSL52:TTH52"/>
    <mergeCell ref="TTI52:TTQ52"/>
    <mergeCell ref="TTR52:TUN52"/>
    <mergeCell ref="TUO52:TUW52"/>
    <mergeCell ref="TUX52:TVT52"/>
    <mergeCell ref="UOG52:UOO52"/>
    <mergeCell ref="UOP52:UPL52"/>
    <mergeCell ref="UPM52:UPU52"/>
    <mergeCell ref="UPV52:UQR52"/>
    <mergeCell ref="UQS52:URA52"/>
    <mergeCell ref="UKX52:ULT52"/>
    <mergeCell ref="ULU52:UMC52"/>
    <mergeCell ref="UMD52:UMZ52"/>
    <mergeCell ref="UNA52:UNI52"/>
    <mergeCell ref="UNJ52:UOF52"/>
    <mergeCell ref="UIC52:UIK52"/>
    <mergeCell ref="UIL52:UJH52"/>
    <mergeCell ref="UJI52:UJQ52"/>
    <mergeCell ref="UJR52:UKN52"/>
    <mergeCell ref="UKO52:UKW52"/>
    <mergeCell ref="UET52:UFP52"/>
    <mergeCell ref="UFQ52:UFY52"/>
    <mergeCell ref="UFZ52:UGV52"/>
    <mergeCell ref="UGW52:UHE52"/>
    <mergeCell ref="UHF52:UIB52"/>
    <mergeCell ref="VAO52:VAW52"/>
    <mergeCell ref="VAX52:VBT52"/>
    <mergeCell ref="VBU52:VCC52"/>
    <mergeCell ref="VCD52:VCZ52"/>
    <mergeCell ref="VDA52:VDI52"/>
    <mergeCell ref="UXF52:UYB52"/>
    <mergeCell ref="UYC52:UYK52"/>
    <mergeCell ref="UYL52:UZH52"/>
    <mergeCell ref="UZI52:UZQ52"/>
    <mergeCell ref="UZR52:VAN52"/>
    <mergeCell ref="UUK52:UUS52"/>
    <mergeCell ref="UUT52:UVP52"/>
    <mergeCell ref="UVQ52:UVY52"/>
    <mergeCell ref="UVZ52:UWV52"/>
    <mergeCell ref="UWW52:UXE52"/>
    <mergeCell ref="URB52:URX52"/>
    <mergeCell ref="URY52:USG52"/>
    <mergeCell ref="USH52:UTD52"/>
    <mergeCell ref="UTE52:UTM52"/>
    <mergeCell ref="UTN52:UUJ52"/>
    <mergeCell ref="VMW52:VNE52"/>
    <mergeCell ref="VNF52:VOB52"/>
    <mergeCell ref="VOC52:VOK52"/>
    <mergeCell ref="VOL52:VPH52"/>
    <mergeCell ref="VPI52:VPQ52"/>
    <mergeCell ref="VJN52:VKJ52"/>
    <mergeCell ref="VKK52:VKS52"/>
    <mergeCell ref="VKT52:VLP52"/>
    <mergeCell ref="VLQ52:VLY52"/>
    <mergeCell ref="VLZ52:VMV52"/>
    <mergeCell ref="VGS52:VHA52"/>
    <mergeCell ref="VHB52:VHX52"/>
    <mergeCell ref="VHY52:VIG52"/>
    <mergeCell ref="VIH52:VJD52"/>
    <mergeCell ref="VJE52:VJM52"/>
    <mergeCell ref="VDJ52:VEF52"/>
    <mergeCell ref="VEG52:VEO52"/>
    <mergeCell ref="VEP52:VFL52"/>
    <mergeCell ref="VFM52:VFU52"/>
    <mergeCell ref="VFV52:VGR52"/>
    <mergeCell ref="VZE52:VZM52"/>
    <mergeCell ref="VZN52:WAJ52"/>
    <mergeCell ref="WAK52:WAS52"/>
    <mergeCell ref="WAT52:WBP52"/>
    <mergeCell ref="WBQ52:WBY52"/>
    <mergeCell ref="VVV52:VWR52"/>
    <mergeCell ref="VWS52:VXA52"/>
    <mergeCell ref="VXB52:VXX52"/>
    <mergeCell ref="VXY52:VYG52"/>
    <mergeCell ref="VYH52:VZD52"/>
    <mergeCell ref="VTA52:VTI52"/>
    <mergeCell ref="VTJ52:VUF52"/>
    <mergeCell ref="VUG52:VUO52"/>
    <mergeCell ref="VUP52:VVL52"/>
    <mergeCell ref="VVM52:VVU52"/>
    <mergeCell ref="VPR52:VQN52"/>
    <mergeCell ref="VQO52:VQW52"/>
    <mergeCell ref="VQX52:VRT52"/>
    <mergeCell ref="VRU52:VSC52"/>
    <mergeCell ref="VSD52:VSZ52"/>
    <mergeCell ref="WQT52:WRP52"/>
    <mergeCell ref="WLM52:WLU52"/>
    <mergeCell ref="WLV52:WMR52"/>
    <mergeCell ref="WMS52:WNA52"/>
    <mergeCell ref="WNB52:WNX52"/>
    <mergeCell ref="WNY52:WOG52"/>
    <mergeCell ref="WID52:WIZ52"/>
    <mergeCell ref="WJA52:WJI52"/>
    <mergeCell ref="WJJ52:WKF52"/>
    <mergeCell ref="WKG52:WKO52"/>
    <mergeCell ref="WKP52:WLL52"/>
    <mergeCell ref="WFI52:WFQ52"/>
    <mergeCell ref="WFR52:WGN52"/>
    <mergeCell ref="WGO52:WGW52"/>
    <mergeCell ref="WGX52:WHT52"/>
    <mergeCell ref="WHU52:WIC52"/>
    <mergeCell ref="WBZ52:WCV52"/>
    <mergeCell ref="WCW52:WDE52"/>
    <mergeCell ref="WDF52:WEB52"/>
    <mergeCell ref="WEC52:WEK52"/>
    <mergeCell ref="WEL52:WFH52"/>
    <mergeCell ref="XDY52:XEG52"/>
    <mergeCell ref="XEH52:XFD52"/>
    <mergeCell ref="A54:I54"/>
    <mergeCell ref="J54:AF54"/>
    <mergeCell ref="A62:I62"/>
    <mergeCell ref="J62:AF62"/>
    <mergeCell ref="A53:I53"/>
    <mergeCell ref="J53:AF53"/>
    <mergeCell ref="XAP52:XBL52"/>
    <mergeCell ref="XBM52:XBU52"/>
    <mergeCell ref="XBV52:XCR52"/>
    <mergeCell ref="XCS52:XDA52"/>
    <mergeCell ref="XDB52:XDX52"/>
    <mergeCell ref="WXU52:WYC52"/>
    <mergeCell ref="WYD52:WYZ52"/>
    <mergeCell ref="WZA52:WZI52"/>
    <mergeCell ref="WZJ52:XAF52"/>
    <mergeCell ref="XAG52:XAO52"/>
    <mergeCell ref="WUL52:WVH52"/>
    <mergeCell ref="WVI52:WVQ52"/>
    <mergeCell ref="WVR52:WWN52"/>
    <mergeCell ref="WWO52:WWW52"/>
    <mergeCell ref="WWX52:WXT52"/>
    <mergeCell ref="WRQ52:WRY52"/>
    <mergeCell ref="WRZ52:WSV52"/>
    <mergeCell ref="WSW52:WTE52"/>
    <mergeCell ref="WTF52:WUB52"/>
    <mergeCell ref="WUC52:WUK52"/>
    <mergeCell ref="WOH52:WPD52"/>
    <mergeCell ref="WPE52:WPM52"/>
    <mergeCell ref="WPN52:WQJ52"/>
    <mergeCell ref="WQK52:WQS52"/>
    <mergeCell ref="A78:I78"/>
    <mergeCell ref="J78:AF78"/>
    <mergeCell ref="A80:I80"/>
    <mergeCell ref="J80:AF80"/>
    <mergeCell ref="A82:I82"/>
    <mergeCell ref="J82:AF82"/>
    <mergeCell ref="A64:I64"/>
    <mergeCell ref="J64:AF64"/>
    <mergeCell ref="A68:I68"/>
    <mergeCell ref="J68:AF68"/>
    <mergeCell ref="A70:I70"/>
    <mergeCell ref="J70:AF70"/>
    <mergeCell ref="J69:AF69"/>
    <mergeCell ref="J66:AF66"/>
    <mergeCell ref="A66:I66"/>
    <mergeCell ref="A76:I76"/>
    <mergeCell ref="J76:AF76"/>
    <mergeCell ref="A74:I74"/>
    <mergeCell ref="J74:AF74"/>
    <mergeCell ref="A72:I72"/>
    <mergeCell ref="J72:AF72"/>
    <mergeCell ref="A102:I102"/>
    <mergeCell ref="J102:AF102"/>
    <mergeCell ref="A104:I104"/>
    <mergeCell ref="J104:AF104"/>
    <mergeCell ref="A106:I106"/>
    <mergeCell ref="J106:AF106"/>
    <mergeCell ref="A96:I96"/>
    <mergeCell ref="J96:AF96"/>
    <mergeCell ref="A98:I98"/>
    <mergeCell ref="J98:AF98"/>
    <mergeCell ref="A100:I100"/>
    <mergeCell ref="J100:AF100"/>
    <mergeCell ref="A92:I92"/>
    <mergeCell ref="J92:AF92"/>
    <mergeCell ref="A94:I94"/>
    <mergeCell ref="J94:AF94"/>
    <mergeCell ref="A84:I84"/>
    <mergeCell ref="J84:AF84"/>
    <mergeCell ref="A86:I86"/>
    <mergeCell ref="J86:AF86"/>
    <mergeCell ref="A90:I90"/>
    <mergeCell ref="J90:AF90"/>
    <mergeCell ref="GK112:GS112"/>
    <mergeCell ref="GT112:HP112"/>
    <mergeCell ref="HQ112:HY112"/>
    <mergeCell ref="HZ112:IV112"/>
    <mergeCell ref="IW112:JE112"/>
    <mergeCell ref="DB112:DX112"/>
    <mergeCell ref="DY112:EG112"/>
    <mergeCell ref="EH112:FD112"/>
    <mergeCell ref="FE112:FM112"/>
    <mergeCell ref="FN112:GJ112"/>
    <mergeCell ref="AG112:AO112"/>
    <mergeCell ref="AP112:BL112"/>
    <mergeCell ref="BM112:BU112"/>
    <mergeCell ref="BV112:CR112"/>
    <mergeCell ref="CS112:DA112"/>
    <mergeCell ref="A108:I108"/>
    <mergeCell ref="J108:AF108"/>
    <mergeCell ref="A110:I110"/>
    <mergeCell ref="J110:AF110"/>
    <mergeCell ref="A112:I112"/>
    <mergeCell ref="J112:AF112"/>
    <mergeCell ref="SS112:TA112"/>
    <mergeCell ref="TB112:TX112"/>
    <mergeCell ref="TY112:UG112"/>
    <mergeCell ref="UH112:VD112"/>
    <mergeCell ref="VE112:VM112"/>
    <mergeCell ref="PJ112:QF112"/>
    <mergeCell ref="QG112:QO112"/>
    <mergeCell ref="QP112:RL112"/>
    <mergeCell ref="RM112:RU112"/>
    <mergeCell ref="RV112:SR112"/>
    <mergeCell ref="MO112:MW112"/>
    <mergeCell ref="MX112:NT112"/>
    <mergeCell ref="NU112:OC112"/>
    <mergeCell ref="OD112:OZ112"/>
    <mergeCell ref="PA112:PI112"/>
    <mergeCell ref="JF112:KB112"/>
    <mergeCell ref="KC112:KK112"/>
    <mergeCell ref="KL112:LH112"/>
    <mergeCell ref="LI112:LQ112"/>
    <mergeCell ref="LR112:MN112"/>
    <mergeCell ref="AFA112:AFI112"/>
    <mergeCell ref="AFJ112:AGF112"/>
    <mergeCell ref="AGG112:AGO112"/>
    <mergeCell ref="AGP112:AHL112"/>
    <mergeCell ref="AHM112:AHU112"/>
    <mergeCell ref="ABR112:ACN112"/>
    <mergeCell ref="ACO112:ACW112"/>
    <mergeCell ref="ACX112:ADT112"/>
    <mergeCell ref="ADU112:AEC112"/>
    <mergeCell ref="AED112:AEZ112"/>
    <mergeCell ref="YW112:ZE112"/>
    <mergeCell ref="ZF112:AAB112"/>
    <mergeCell ref="AAC112:AAK112"/>
    <mergeCell ref="AAL112:ABH112"/>
    <mergeCell ref="ABI112:ABQ112"/>
    <mergeCell ref="VN112:WJ112"/>
    <mergeCell ref="WK112:WS112"/>
    <mergeCell ref="WT112:XP112"/>
    <mergeCell ref="XQ112:XY112"/>
    <mergeCell ref="XZ112:YV112"/>
    <mergeCell ref="ARI112:ARQ112"/>
    <mergeCell ref="ARR112:ASN112"/>
    <mergeCell ref="ASO112:ASW112"/>
    <mergeCell ref="ASX112:ATT112"/>
    <mergeCell ref="ATU112:AUC112"/>
    <mergeCell ref="ANZ112:AOV112"/>
    <mergeCell ref="AOW112:APE112"/>
    <mergeCell ref="APF112:AQB112"/>
    <mergeCell ref="AQC112:AQK112"/>
    <mergeCell ref="AQL112:ARH112"/>
    <mergeCell ref="ALE112:ALM112"/>
    <mergeCell ref="ALN112:AMJ112"/>
    <mergeCell ref="AMK112:AMS112"/>
    <mergeCell ref="AMT112:ANP112"/>
    <mergeCell ref="ANQ112:ANY112"/>
    <mergeCell ref="AHV112:AIR112"/>
    <mergeCell ref="AIS112:AJA112"/>
    <mergeCell ref="AJB112:AJX112"/>
    <mergeCell ref="AJY112:AKG112"/>
    <mergeCell ref="AKH112:ALD112"/>
    <mergeCell ref="BDQ112:BDY112"/>
    <mergeCell ref="BDZ112:BEV112"/>
    <mergeCell ref="BEW112:BFE112"/>
    <mergeCell ref="BFF112:BGB112"/>
    <mergeCell ref="BGC112:BGK112"/>
    <mergeCell ref="BAH112:BBD112"/>
    <mergeCell ref="BBE112:BBM112"/>
    <mergeCell ref="BBN112:BCJ112"/>
    <mergeCell ref="BCK112:BCS112"/>
    <mergeCell ref="BCT112:BDP112"/>
    <mergeCell ref="AXM112:AXU112"/>
    <mergeCell ref="AXV112:AYR112"/>
    <mergeCell ref="AYS112:AZA112"/>
    <mergeCell ref="AZB112:AZX112"/>
    <mergeCell ref="AZY112:BAG112"/>
    <mergeCell ref="AUD112:AUZ112"/>
    <mergeCell ref="AVA112:AVI112"/>
    <mergeCell ref="AVJ112:AWF112"/>
    <mergeCell ref="AWG112:AWO112"/>
    <mergeCell ref="AWP112:AXL112"/>
    <mergeCell ref="BPY112:BQG112"/>
    <mergeCell ref="BQH112:BRD112"/>
    <mergeCell ref="BRE112:BRM112"/>
    <mergeCell ref="BRN112:BSJ112"/>
    <mergeCell ref="BSK112:BSS112"/>
    <mergeCell ref="BMP112:BNL112"/>
    <mergeCell ref="BNM112:BNU112"/>
    <mergeCell ref="BNV112:BOR112"/>
    <mergeCell ref="BOS112:BPA112"/>
    <mergeCell ref="BPB112:BPX112"/>
    <mergeCell ref="BJU112:BKC112"/>
    <mergeCell ref="BKD112:BKZ112"/>
    <mergeCell ref="BLA112:BLI112"/>
    <mergeCell ref="BLJ112:BMF112"/>
    <mergeCell ref="BMG112:BMO112"/>
    <mergeCell ref="BGL112:BHH112"/>
    <mergeCell ref="BHI112:BHQ112"/>
    <mergeCell ref="BHR112:BIN112"/>
    <mergeCell ref="BIO112:BIW112"/>
    <mergeCell ref="BIX112:BJT112"/>
    <mergeCell ref="CCG112:CCO112"/>
    <mergeCell ref="CCP112:CDL112"/>
    <mergeCell ref="CDM112:CDU112"/>
    <mergeCell ref="CDV112:CER112"/>
    <mergeCell ref="CES112:CFA112"/>
    <mergeCell ref="BYX112:BZT112"/>
    <mergeCell ref="BZU112:CAC112"/>
    <mergeCell ref="CAD112:CAZ112"/>
    <mergeCell ref="CBA112:CBI112"/>
    <mergeCell ref="CBJ112:CCF112"/>
    <mergeCell ref="BWC112:BWK112"/>
    <mergeCell ref="BWL112:BXH112"/>
    <mergeCell ref="BXI112:BXQ112"/>
    <mergeCell ref="BXR112:BYN112"/>
    <mergeCell ref="BYO112:BYW112"/>
    <mergeCell ref="BST112:BTP112"/>
    <mergeCell ref="BTQ112:BTY112"/>
    <mergeCell ref="BTZ112:BUV112"/>
    <mergeCell ref="BUW112:BVE112"/>
    <mergeCell ref="BVF112:BWB112"/>
    <mergeCell ref="COO112:COW112"/>
    <mergeCell ref="COX112:CPT112"/>
    <mergeCell ref="CPU112:CQC112"/>
    <mergeCell ref="CQD112:CQZ112"/>
    <mergeCell ref="CRA112:CRI112"/>
    <mergeCell ref="CLF112:CMB112"/>
    <mergeCell ref="CMC112:CMK112"/>
    <mergeCell ref="CML112:CNH112"/>
    <mergeCell ref="CNI112:CNQ112"/>
    <mergeCell ref="CNR112:CON112"/>
    <mergeCell ref="CIK112:CIS112"/>
    <mergeCell ref="CIT112:CJP112"/>
    <mergeCell ref="CJQ112:CJY112"/>
    <mergeCell ref="CJZ112:CKV112"/>
    <mergeCell ref="CKW112:CLE112"/>
    <mergeCell ref="CFB112:CFX112"/>
    <mergeCell ref="CFY112:CGG112"/>
    <mergeCell ref="CGH112:CHD112"/>
    <mergeCell ref="CHE112:CHM112"/>
    <mergeCell ref="CHN112:CIJ112"/>
    <mergeCell ref="DAW112:DBE112"/>
    <mergeCell ref="DBF112:DCB112"/>
    <mergeCell ref="DCC112:DCK112"/>
    <mergeCell ref="DCL112:DDH112"/>
    <mergeCell ref="DDI112:DDQ112"/>
    <mergeCell ref="CXN112:CYJ112"/>
    <mergeCell ref="CYK112:CYS112"/>
    <mergeCell ref="CYT112:CZP112"/>
    <mergeCell ref="CZQ112:CZY112"/>
    <mergeCell ref="CZZ112:DAV112"/>
    <mergeCell ref="CUS112:CVA112"/>
    <mergeCell ref="CVB112:CVX112"/>
    <mergeCell ref="CVY112:CWG112"/>
    <mergeCell ref="CWH112:CXD112"/>
    <mergeCell ref="CXE112:CXM112"/>
    <mergeCell ref="CRJ112:CSF112"/>
    <mergeCell ref="CSG112:CSO112"/>
    <mergeCell ref="CSP112:CTL112"/>
    <mergeCell ref="CTM112:CTU112"/>
    <mergeCell ref="CTV112:CUR112"/>
    <mergeCell ref="DNE112:DNM112"/>
    <mergeCell ref="DNN112:DOJ112"/>
    <mergeCell ref="DOK112:DOS112"/>
    <mergeCell ref="DOT112:DPP112"/>
    <mergeCell ref="DPQ112:DPY112"/>
    <mergeCell ref="DJV112:DKR112"/>
    <mergeCell ref="DKS112:DLA112"/>
    <mergeCell ref="DLB112:DLX112"/>
    <mergeCell ref="DLY112:DMG112"/>
    <mergeCell ref="DMH112:DND112"/>
    <mergeCell ref="DHA112:DHI112"/>
    <mergeCell ref="DHJ112:DIF112"/>
    <mergeCell ref="DIG112:DIO112"/>
    <mergeCell ref="DIP112:DJL112"/>
    <mergeCell ref="DJM112:DJU112"/>
    <mergeCell ref="DDR112:DEN112"/>
    <mergeCell ref="DEO112:DEW112"/>
    <mergeCell ref="DEX112:DFT112"/>
    <mergeCell ref="DFU112:DGC112"/>
    <mergeCell ref="DGD112:DGZ112"/>
    <mergeCell ref="DZM112:DZU112"/>
    <mergeCell ref="DZV112:EAR112"/>
    <mergeCell ref="EAS112:EBA112"/>
    <mergeCell ref="EBB112:EBX112"/>
    <mergeCell ref="EBY112:ECG112"/>
    <mergeCell ref="DWD112:DWZ112"/>
    <mergeCell ref="DXA112:DXI112"/>
    <mergeCell ref="DXJ112:DYF112"/>
    <mergeCell ref="DYG112:DYO112"/>
    <mergeCell ref="DYP112:DZL112"/>
    <mergeCell ref="DTI112:DTQ112"/>
    <mergeCell ref="DTR112:DUN112"/>
    <mergeCell ref="DUO112:DUW112"/>
    <mergeCell ref="DUX112:DVT112"/>
    <mergeCell ref="DVU112:DWC112"/>
    <mergeCell ref="DPZ112:DQV112"/>
    <mergeCell ref="DQW112:DRE112"/>
    <mergeCell ref="DRF112:DSB112"/>
    <mergeCell ref="DSC112:DSK112"/>
    <mergeCell ref="DSL112:DTH112"/>
    <mergeCell ref="ELU112:EMC112"/>
    <mergeCell ref="EMD112:EMZ112"/>
    <mergeCell ref="ENA112:ENI112"/>
    <mergeCell ref="ENJ112:EOF112"/>
    <mergeCell ref="EOG112:EOO112"/>
    <mergeCell ref="EIL112:EJH112"/>
    <mergeCell ref="EJI112:EJQ112"/>
    <mergeCell ref="EJR112:EKN112"/>
    <mergeCell ref="EKO112:EKW112"/>
    <mergeCell ref="EKX112:ELT112"/>
    <mergeCell ref="EFQ112:EFY112"/>
    <mergeCell ref="EFZ112:EGV112"/>
    <mergeCell ref="EGW112:EHE112"/>
    <mergeCell ref="EHF112:EIB112"/>
    <mergeCell ref="EIC112:EIK112"/>
    <mergeCell ref="ECH112:EDD112"/>
    <mergeCell ref="EDE112:EDM112"/>
    <mergeCell ref="EDN112:EEJ112"/>
    <mergeCell ref="EEK112:EES112"/>
    <mergeCell ref="EET112:EFP112"/>
    <mergeCell ref="EYC112:EYK112"/>
    <mergeCell ref="EYL112:EZH112"/>
    <mergeCell ref="EZI112:EZQ112"/>
    <mergeCell ref="EZR112:FAN112"/>
    <mergeCell ref="FAO112:FAW112"/>
    <mergeCell ref="EUT112:EVP112"/>
    <mergeCell ref="EVQ112:EVY112"/>
    <mergeCell ref="EVZ112:EWV112"/>
    <mergeCell ref="EWW112:EXE112"/>
    <mergeCell ref="EXF112:EYB112"/>
    <mergeCell ref="ERY112:ESG112"/>
    <mergeCell ref="ESH112:ETD112"/>
    <mergeCell ref="ETE112:ETM112"/>
    <mergeCell ref="ETN112:EUJ112"/>
    <mergeCell ref="EUK112:EUS112"/>
    <mergeCell ref="EOP112:EPL112"/>
    <mergeCell ref="EPM112:EPU112"/>
    <mergeCell ref="EPV112:EQR112"/>
    <mergeCell ref="EQS112:ERA112"/>
    <mergeCell ref="ERB112:ERX112"/>
    <mergeCell ref="FKK112:FKS112"/>
    <mergeCell ref="FKT112:FLP112"/>
    <mergeCell ref="FLQ112:FLY112"/>
    <mergeCell ref="FLZ112:FMV112"/>
    <mergeCell ref="FMW112:FNE112"/>
    <mergeCell ref="FHB112:FHX112"/>
    <mergeCell ref="FHY112:FIG112"/>
    <mergeCell ref="FIH112:FJD112"/>
    <mergeCell ref="FJE112:FJM112"/>
    <mergeCell ref="FJN112:FKJ112"/>
    <mergeCell ref="FEG112:FEO112"/>
    <mergeCell ref="FEP112:FFL112"/>
    <mergeCell ref="FFM112:FFU112"/>
    <mergeCell ref="FFV112:FGR112"/>
    <mergeCell ref="FGS112:FHA112"/>
    <mergeCell ref="FAX112:FBT112"/>
    <mergeCell ref="FBU112:FCC112"/>
    <mergeCell ref="FCD112:FCZ112"/>
    <mergeCell ref="FDA112:FDI112"/>
    <mergeCell ref="FDJ112:FEF112"/>
    <mergeCell ref="FWS112:FXA112"/>
    <mergeCell ref="FXB112:FXX112"/>
    <mergeCell ref="FXY112:FYG112"/>
    <mergeCell ref="FYH112:FZD112"/>
    <mergeCell ref="FZE112:FZM112"/>
    <mergeCell ref="FTJ112:FUF112"/>
    <mergeCell ref="FUG112:FUO112"/>
    <mergeCell ref="FUP112:FVL112"/>
    <mergeCell ref="FVM112:FVU112"/>
    <mergeCell ref="FVV112:FWR112"/>
    <mergeCell ref="FQO112:FQW112"/>
    <mergeCell ref="FQX112:FRT112"/>
    <mergeCell ref="FRU112:FSC112"/>
    <mergeCell ref="FSD112:FSZ112"/>
    <mergeCell ref="FTA112:FTI112"/>
    <mergeCell ref="FNF112:FOB112"/>
    <mergeCell ref="FOC112:FOK112"/>
    <mergeCell ref="FOL112:FPH112"/>
    <mergeCell ref="FPI112:FPQ112"/>
    <mergeCell ref="FPR112:FQN112"/>
    <mergeCell ref="GJA112:GJI112"/>
    <mergeCell ref="GJJ112:GKF112"/>
    <mergeCell ref="GKG112:GKO112"/>
    <mergeCell ref="GKP112:GLL112"/>
    <mergeCell ref="GLM112:GLU112"/>
    <mergeCell ref="GFR112:GGN112"/>
    <mergeCell ref="GGO112:GGW112"/>
    <mergeCell ref="GGX112:GHT112"/>
    <mergeCell ref="GHU112:GIC112"/>
    <mergeCell ref="GID112:GIZ112"/>
    <mergeCell ref="GCW112:GDE112"/>
    <mergeCell ref="GDF112:GEB112"/>
    <mergeCell ref="GEC112:GEK112"/>
    <mergeCell ref="GEL112:GFH112"/>
    <mergeCell ref="GFI112:GFQ112"/>
    <mergeCell ref="FZN112:GAJ112"/>
    <mergeCell ref="GAK112:GAS112"/>
    <mergeCell ref="GAT112:GBP112"/>
    <mergeCell ref="GBQ112:GBY112"/>
    <mergeCell ref="GBZ112:GCV112"/>
    <mergeCell ref="GVI112:GVQ112"/>
    <mergeCell ref="GVR112:GWN112"/>
    <mergeCell ref="GWO112:GWW112"/>
    <mergeCell ref="GWX112:GXT112"/>
    <mergeCell ref="GXU112:GYC112"/>
    <mergeCell ref="GRZ112:GSV112"/>
    <mergeCell ref="GSW112:GTE112"/>
    <mergeCell ref="GTF112:GUB112"/>
    <mergeCell ref="GUC112:GUK112"/>
    <mergeCell ref="GUL112:GVH112"/>
    <mergeCell ref="GPE112:GPM112"/>
    <mergeCell ref="GPN112:GQJ112"/>
    <mergeCell ref="GQK112:GQS112"/>
    <mergeCell ref="GQT112:GRP112"/>
    <mergeCell ref="GRQ112:GRY112"/>
    <mergeCell ref="GLV112:GMR112"/>
    <mergeCell ref="GMS112:GNA112"/>
    <mergeCell ref="GNB112:GNX112"/>
    <mergeCell ref="GNY112:GOG112"/>
    <mergeCell ref="GOH112:GPD112"/>
    <mergeCell ref="HHQ112:HHY112"/>
    <mergeCell ref="HHZ112:HIV112"/>
    <mergeCell ref="HIW112:HJE112"/>
    <mergeCell ref="HJF112:HKB112"/>
    <mergeCell ref="HKC112:HKK112"/>
    <mergeCell ref="HEH112:HFD112"/>
    <mergeCell ref="HFE112:HFM112"/>
    <mergeCell ref="HFN112:HGJ112"/>
    <mergeCell ref="HGK112:HGS112"/>
    <mergeCell ref="HGT112:HHP112"/>
    <mergeCell ref="HBM112:HBU112"/>
    <mergeCell ref="HBV112:HCR112"/>
    <mergeCell ref="HCS112:HDA112"/>
    <mergeCell ref="HDB112:HDX112"/>
    <mergeCell ref="HDY112:HEG112"/>
    <mergeCell ref="GYD112:GYZ112"/>
    <mergeCell ref="GZA112:GZI112"/>
    <mergeCell ref="GZJ112:HAF112"/>
    <mergeCell ref="HAG112:HAO112"/>
    <mergeCell ref="HAP112:HBL112"/>
    <mergeCell ref="HTY112:HUG112"/>
    <mergeCell ref="HUH112:HVD112"/>
    <mergeCell ref="HVE112:HVM112"/>
    <mergeCell ref="HVN112:HWJ112"/>
    <mergeCell ref="HWK112:HWS112"/>
    <mergeCell ref="HQP112:HRL112"/>
    <mergeCell ref="HRM112:HRU112"/>
    <mergeCell ref="HRV112:HSR112"/>
    <mergeCell ref="HSS112:HTA112"/>
    <mergeCell ref="HTB112:HTX112"/>
    <mergeCell ref="HNU112:HOC112"/>
    <mergeCell ref="HOD112:HOZ112"/>
    <mergeCell ref="HPA112:HPI112"/>
    <mergeCell ref="HPJ112:HQF112"/>
    <mergeCell ref="HQG112:HQO112"/>
    <mergeCell ref="HKL112:HLH112"/>
    <mergeCell ref="HLI112:HLQ112"/>
    <mergeCell ref="HLR112:HMN112"/>
    <mergeCell ref="HMO112:HMW112"/>
    <mergeCell ref="HMX112:HNT112"/>
    <mergeCell ref="IGG112:IGO112"/>
    <mergeCell ref="IGP112:IHL112"/>
    <mergeCell ref="IHM112:IHU112"/>
    <mergeCell ref="IHV112:IIR112"/>
    <mergeCell ref="IIS112:IJA112"/>
    <mergeCell ref="ICX112:IDT112"/>
    <mergeCell ref="IDU112:IEC112"/>
    <mergeCell ref="IED112:IEZ112"/>
    <mergeCell ref="IFA112:IFI112"/>
    <mergeCell ref="IFJ112:IGF112"/>
    <mergeCell ref="IAC112:IAK112"/>
    <mergeCell ref="IAL112:IBH112"/>
    <mergeCell ref="IBI112:IBQ112"/>
    <mergeCell ref="IBR112:ICN112"/>
    <mergeCell ref="ICO112:ICW112"/>
    <mergeCell ref="HWT112:HXP112"/>
    <mergeCell ref="HXQ112:HXY112"/>
    <mergeCell ref="HXZ112:HYV112"/>
    <mergeCell ref="HYW112:HZE112"/>
    <mergeCell ref="HZF112:IAB112"/>
    <mergeCell ref="ISO112:ISW112"/>
    <mergeCell ref="ISX112:ITT112"/>
    <mergeCell ref="ITU112:IUC112"/>
    <mergeCell ref="IUD112:IUZ112"/>
    <mergeCell ref="IVA112:IVI112"/>
    <mergeCell ref="IPF112:IQB112"/>
    <mergeCell ref="IQC112:IQK112"/>
    <mergeCell ref="IQL112:IRH112"/>
    <mergeCell ref="IRI112:IRQ112"/>
    <mergeCell ref="IRR112:ISN112"/>
    <mergeCell ref="IMK112:IMS112"/>
    <mergeCell ref="IMT112:INP112"/>
    <mergeCell ref="INQ112:INY112"/>
    <mergeCell ref="INZ112:IOV112"/>
    <mergeCell ref="IOW112:IPE112"/>
    <mergeCell ref="IJB112:IJX112"/>
    <mergeCell ref="IJY112:IKG112"/>
    <mergeCell ref="IKH112:ILD112"/>
    <mergeCell ref="ILE112:ILM112"/>
    <mergeCell ref="ILN112:IMJ112"/>
    <mergeCell ref="JEW112:JFE112"/>
    <mergeCell ref="JFF112:JGB112"/>
    <mergeCell ref="JGC112:JGK112"/>
    <mergeCell ref="JGL112:JHH112"/>
    <mergeCell ref="JHI112:JHQ112"/>
    <mergeCell ref="JBN112:JCJ112"/>
    <mergeCell ref="JCK112:JCS112"/>
    <mergeCell ref="JCT112:JDP112"/>
    <mergeCell ref="JDQ112:JDY112"/>
    <mergeCell ref="JDZ112:JEV112"/>
    <mergeCell ref="IYS112:IZA112"/>
    <mergeCell ref="IZB112:IZX112"/>
    <mergeCell ref="IZY112:JAG112"/>
    <mergeCell ref="JAH112:JBD112"/>
    <mergeCell ref="JBE112:JBM112"/>
    <mergeCell ref="IVJ112:IWF112"/>
    <mergeCell ref="IWG112:IWO112"/>
    <mergeCell ref="IWP112:IXL112"/>
    <mergeCell ref="IXM112:IXU112"/>
    <mergeCell ref="IXV112:IYR112"/>
    <mergeCell ref="JRE112:JRM112"/>
    <mergeCell ref="JRN112:JSJ112"/>
    <mergeCell ref="JSK112:JSS112"/>
    <mergeCell ref="JST112:JTP112"/>
    <mergeCell ref="JTQ112:JTY112"/>
    <mergeCell ref="JNV112:JOR112"/>
    <mergeCell ref="JOS112:JPA112"/>
    <mergeCell ref="JPB112:JPX112"/>
    <mergeCell ref="JPY112:JQG112"/>
    <mergeCell ref="JQH112:JRD112"/>
    <mergeCell ref="JLA112:JLI112"/>
    <mergeCell ref="JLJ112:JMF112"/>
    <mergeCell ref="JMG112:JMO112"/>
    <mergeCell ref="JMP112:JNL112"/>
    <mergeCell ref="JNM112:JNU112"/>
    <mergeCell ref="JHR112:JIN112"/>
    <mergeCell ref="JIO112:JIW112"/>
    <mergeCell ref="JIX112:JJT112"/>
    <mergeCell ref="JJU112:JKC112"/>
    <mergeCell ref="JKD112:JKZ112"/>
    <mergeCell ref="KDM112:KDU112"/>
    <mergeCell ref="KDV112:KER112"/>
    <mergeCell ref="KES112:KFA112"/>
    <mergeCell ref="KFB112:KFX112"/>
    <mergeCell ref="KFY112:KGG112"/>
    <mergeCell ref="KAD112:KAZ112"/>
    <mergeCell ref="KBA112:KBI112"/>
    <mergeCell ref="KBJ112:KCF112"/>
    <mergeCell ref="KCG112:KCO112"/>
    <mergeCell ref="KCP112:KDL112"/>
    <mergeCell ref="JXI112:JXQ112"/>
    <mergeCell ref="JXR112:JYN112"/>
    <mergeCell ref="JYO112:JYW112"/>
    <mergeCell ref="JYX112:JZT112"/>
    <mergeCell ref="JZU112:KAC112"/>
    <mergeCell ref="JTZ112:JUV112"/>
    <mergeCell ref="JUW112:JVE112"/>
    <mergeCell ref="JVF112:JWB112"/>
    <mergeCell ref="JWC112:JWK112"/>
    <mergeCell ref="JWL112:JXH112"/>
    <mergeCell ref="KPU112:KQC112"/>
    <mergeCell ref="KQD112:KQZ112"/>
    <mergeCell ref="KRA112:KRI112"/>
    <mergeCell ref="KRJ112:KSF112"/>
    <mergeCell ref="KSG112:KSO112"/>
    <mergeCell ref="KML112:KNH112"/>
    <mergeCell ref="KNI112:KNQ112"/>
    <mergeCell ref="KNR112:KON112"/>
    <mergeCell ref="KOO112:KOW112"/>
    <mergeCell ref="KOX112:KPT112"/>
    <mergeCell ref="KJQ112:KJY112"/>
    <mergeCell ref="KJZ112:KKV112"/>
    <mergeCell ref="KKW112:KLE112"/>
    <mergeCell ref="KLF112:KMB112"/>
    <mergeCell ref="KMC112:KMK112"/>
    <mergeCell ref="KGH112:KHD112"/>
    <mergeCell ref="KHE112:KHM112"/>
    <mergeCell ref="KHN112:KIJ112"/>
    <mergeCell ref="KIK112:KIS112"/>
    <mergeCell ref="KIT112:KJP112"/>
    <mergeCell ref="LCC112:LCK112"/>
    <mergeCell ref="LCL112:LDH112"/>
    <mergeCell ref="LDI112:LDQ112"/>
    <mergeCell ref="LDR112:LEN112"/>
    <mergeCell ref="LEO112:LEW112"/>
    <mergeCell ref="KYT112:KZP112"/>
    <mergeCell ref="KZQ112:KZY112"/>
    <mergeCell ref="KZZ112:LAV112"/>
    <mergeCell ref="LAW112:LBE112"/>
    <mergeCell ref="LBF112:LCB112"/>
    <mergeCell ref="KVY112:KWG112"/>
    <mergeCell ref="KWH112:KXD112"/>
    <mergeCell ref="KXE112:KXM112"/>
    <mergeCell ref="KXN112:KYJ112"/>
    <mergeCell ref="KYK112:KYS112"/>
    <mergeCell ref="KSP112:KTL112"/>
    <mergeCell ref="KTM112:KTU112"/>
    <mergeCell ref="KTV112:KUR112"/>
    <mergeCell ref="KUS112:KVA112"/>
    <mergeCell ref="KVB112:KVX112"/>
    <mergeCell ref="LOK112:LOS112"/>
    <mergeCell ref="LOT112:LPP112"/>
    <mergeCell ref="LPQ112:LPY112"/>
    <mergeCell ref="LPZ112:LQV112"/>
    <mergeCell ref="LQW112:LRE112"/>
    <mergeCell ref="LLB112:LLX112"/>
    <mergeCell ref="LLY112:LMG112"/>
    <mergeCell ref="LMH112:LND112"/>
    <mergeCell ref="LNE112:LNM112"/>
    <mergeCell ref="LNN112:LOJ112"/>
    <mergeCell ref="LIG112:LIO112"/>
    <mergeCell ref="LIP112:LJL112"/>
    <mergeCell ref="LJM112:LJU112"/>
    <mergeCell ref="LJV112:LKR112"/>
    <mergeCell ref="LKS112:LLA112"/>
    <mergeCell ref="LEX112:LFT112"/>
    <mergeCell ref="LFU112:LGC112"/>
    <mergeCell ref="LGD112:LGZ112"/>
    <mergeCell ref="LHA112:LHI112"/>
    <mergeCell ref="LHJ112:LIF112"/>
    <mergeCell ref="MAS112:MBA112"/>
    <mergeCell ref="MBB112:MBX112"/>
    <mergeCell ref="MBY112:MCG112"/>
    <mergeCell ref="MCH112:MDD112"/>
    <mergeCell ref="MDE112:MDM112"/>
    <mergeCell ref="LXJ112:LYF112"/>
    <mergeCell ref="LYG112:LYO112"/>
    <mergeCell ref="LYP112:LZL112"/>
    <mergeCell ref="LZM112:LZU112"/>
    <mergeCell ref="LZV112:MAR112"/>
    <mergeCell ref="LUO112:LUW112"/>
    <mergeCell ref="LUX112:LVT112"/>
    <mergeCell ref="LVU112:LWC112"/>
    <mergeCell ref="LWD112:LWZ112"/>
    <mergeCell ref="LXA112:LXI112"/>
    <mergeCell ref="LRF112:LSB112"/>
    <mergeCell ref="LSC112:LSK112"/>
    <mergeCell ref="LSL112:LTH112"/>
    <mergeCell ref="LTI112:LTQ112"/>
    <mergeCell ref="LTR112:LUN112"/>
    <mergeCell ref="MNA112:MNI112"/>
    <mergeCell ref="MNJ112:MOF112"/>
    <mergeCell ref="MOG112:MOO112"/>
    <mergeCell ref="MOP112:MPL112"/>
    <mergeCell ref="MPM112:MPU112"/>
    <mergeCell ref="MJR112:MKN112"/>
    <mergeCell ref="MKO112:MKW112"/>
    <mergeCell ref="MKX112:MLT112"/>
    <mergeCell ref="MLU112:MMC112"/>
    <mergeCell ref="MMD112:MMZ112"/>
    <mergeCell ref="MGW112:MHE112"/>
    <mergeCell ref="MHF112:MIB112"/>
    <mergeCell ref="MIC112:MIK112"/>
    <mergeCell ref="MIL112:MJH112"/>
    <mergeCell ref="MJI112:MJQ112"/>
    <mergeCell ref="MDN112:MEJ112"/>
    <mergeCell ref="MEK112:MES112"/>
    <mergeCell ref="MET112:MFP112"/>
    <mergeCell ref="MFQ112:MFY112"/>
    <mergeCell ref="MFZ112:MGV112"/>
    <mergeCell ref="MZI112:MZQ112"/>
    <mergeCell ref="MZR112:NAN112"/>
    <mergeCell ref="NAO112:NAW112"/>
    <mergeCell ref="NAX112:NBT112"/>
    <mergeCell ref="NBU112:NCC112"/>
    <mergeCell ref="MVZ112:MWV112"/>
    <mergeCell ref="MWW112:MXE112"/>
    <mergeCell ref="MXF112:MYB112"/>
    <mergeCell ref="MYC112:MYK112"/>
    <mergeCell ref="MYL112:MZH112"/>
    <mergeCell ref="MTE112:MTM112"/>
    <mergeCell ref="MTN112:MUJ112"/>
    <mergeCell ref="MUK112:MUS112"/>
    <mergeCell ref="MUT112:MVP112"/>
    <mergeCell ref="MVQ112:MVY112"/>
    <mergeCell ref="MPV112:MQR112"/>
    <mergeCell ref="MQS112:MRA112"/>
    <mergeCell ref="MRB112:MRX112"/>
    <mergeCell ref="MRY112:MSG112"/>
    <mergeCell ref="MSH112:MTD112"/>
    <mergeCell ref="NLQ112:NLY112"/>
    <mergeCell ref="NLZ112:NMV112"/>
    <mergeCell ref="NMW112:NNE112"/>
    <mergeCell ref="NNF112:NOB112"/>
    <mergeCell ref="NOC112:NOK112"/>
    <mergeCell ref="NIH112:NJD112"/>
    <mergeCell ref="NJE112:NJM112"/>
    <mergeCell ref="NJN112:NKJ112"/>
    <mergeCell ref="NKK112:NKS112"/>
    <mergeCell ref="NKT112:NLP112"/>
    <mergeCell ref="NFM112:NFU112"/>
    <mergeCell ref="NFV112:NGR112"/>
    <mergeCell ref="NGS112:NHA112"/>
    <mergeCell ref="NHB112:NHX112"/>
    <mergeCell ref="NHY112:NIG112"/>
    <mergeCell ref="NCD112:NCZ112"/>
    <mergeCell ref="NDA112:NDI112"/>
    <mergeCell ref="NDJ112:NEF112"/>
    <mergeCell ref="NEG112:NEO112"/>
    <mergeCell ref="NEP112:NFL112"/>
    <mergeCell ref="NXY112:NYG112"/>
    <mergeCell ref="NYH112:NZD112"/>
    <mergeCell ref="NZE112:NZM112"/>
    <mergeCell ref="NZN112:OAJ112"/>
    <mergeCell ref="OAK112:OAS112"/>
    <mergeCell ref="NUP112:NVL112"/>
    <mergeCell ref="NVM112:NVU112"/>
    <mergeCell ref="NVV112:NWR112"/>
    <mergeCell ref="NWS112:NXA112"/>
    <mergeCell ref="NXB112:NXX112"/>
    <mergeCell ref="NRU112:NSC112"/>
    <mergeCell ref="NSD112:NSZ112"/>
    <mergeCell ref="NTA112:NTI112"/>
    <mergeCell ref="NTJ112:NUF112"/>
    <mergeCell ref="NUG112:NUO112"/>
    <mergeCell ref="NOL112:NPH112"/>
    <mergeCell ref="NPI112:NPQ112"/>
    <mergeCell ref="NPR112:NQN112"/>
    <mergeCell ref="NQO112:NQW112"/>
    <mergeCell ref="NQX112:NRT112"/>
    <mergeCell ref="OKG112:OKO112"/>
    <mergeCell ref="OKP112:OLL112"/>
    <mergeCell ref="OLM112:OLU112"/>
    <mergeCell ref="OLV112:OMR112"/>
    <mergeCell ref="OMS112:ONA112"/>
    <mergeCell ref="OGX112:OHT112"/>
    <mergeCell ref="OHU112:OIC112"/>
    <mergeCell ref="OID112:OIZ112"/>
    <mergeCell ref="OJA112:OJI112"/>
    <mergeCell ref="OJJ112:OKF112"/>
    <mergeCell ref="OEC112:OEK112"/>
    <mergeCell ref="OEL112:OFH112"/>
    <mergeCell ref="OFI112:OFQ112"/>
    <mergeCell ref="OFR112:OGN112"/>
    <mergeCell ref="OGO112:OGW112"/>
    <mergeCell ref="OAT112:OBP112"/>
    <mergeCell ref="OBQ112:OBY112"/>
    <mergeCell ref="OBZ112:OCV112"/>
    <mergeCell ref="OCW112:ODE112"/>
    <mergeCell ref="ODF112:OEB112"/>
    <mergeCell ref="OWO112:OWW112"/>
    <mergeCell ref="OWX112:OXT112"/>
    <mergeCell ref="OXU112:OYC112"/>
    <mergeCell ref="OYD112:OYZ112"/>
    <mergeCell ref="OZA112:OZI112"/>
    <mergeCell ref="OTF112:OUB112"/>
    <mergeCell ref="OUC112:OUK112"/>
    <mergeCell ref="OUL112:OVH112"/>
    <mergeCell ref="OVI112:OVQ112"/>
    <mergeCell ref="OVR112:OWN112"/>
    <mergeCell ref="OQK112:OQS112"/>
    <mergeCell ref="OQT112:ORP112"/>
    <mergeCell ref="ORQ112:ORY112"/>
    <mergeCell ref="ORZ112:OSV112"/>
    <mergeCell ref="OSW112:OTE112"/>
    <mergeCell ref="ONB112:ONX112"/>
    <mergeCell ref="ONY112:OOG112"/>
    <mergeCell ref="OOH112:OPD112"/>
    <mergeCell ref="OPE112:OPM112"/>
    <mergeCell ref="OPN112:OQJ112"/>
    <mergeCell ref="PIW112:PJE112"/>
    <mergeCell ref="PJF112:PKB112"/>
    <mergeCell ref="PKC112:PKK112"/>
    <mergeCell ref="PKL112:PLH112"/>
    <mergeCell ref="PLI112:PLQ112"/>
    <mergeCell ref="PFN112:PGJ112"/>
    <mergeCell ref="PGK112:PGS112"/>
    <mergeCell ref="PGT112:PHP112"/>
    <mergeCell ref="PHQ112:PHY112"/>
    <mergeCell ref="PHZ112:PIV112"/>
    <mergeCell ref="PCS112:PDA112"/>
    <mergeCell ref="PDB112:PDX112"/>
    <mergeCell ref="PDY112:PEG112"/>
    <mergeCell ref="PEH112:PFD112"/>
    <mergeCell ref="PFE112:PFM112"/>
    <mergeCell ref="OZJ112:PAF112"/>
    <mergeCell ref="PAG112:PAO112"/>
    <mergeCell ref="PAP112:PBL112"/>
    <mergeCell ref="PBM112:PBU112"/>
    <mergeCell ref="PBV112:PCR112"/>
    <mergeCell ref="PVE112:PVM112"/>
    <mergeCell ref="PVN112:PWJ112"/>
    <mergeCell ref="PWK112:PWS112"/>
    <mergeCell ref="PWT112:PXP112"/>
    <mergeCell ref="PXQ112:PXY112"/>
    <mergeCell ref="PRV112:PSR112"/>
    <mergeCell ref="PSS112:PTA112"/>
    <mergeCell ref="PTB112:PTX112"/>
    <mergeCell ref="PTY112:PUG112"/>
    <mergeCell ref="PUH112:PVD112"/>
    <mergeCell ref="PPA112:PPI112"/>
    <mergeCell ref="PPJ112:PQF112"/>
    <mergeCell ref="PQG112:PQO112"/>
    <mergeCell ref="PQP112:PRL112"/>
    <mergeCell ref="PRM112:PRU112"/>
    <mergeCell ref="PLR112:PMN112"/>
    <mergeCell ref="PMO112:PMW112"/>
    <mergeCell ref="PMX112:PNT112"/>
    <mergeCell ref="PNU112:POC112"/>
    <mergeCell ref="POD112:POZ112"/>
    <mergeCell ref="QHM112:QHU112"/>
    <mergeCell ref="QHV112:QIR112"/>
    <mergeCell ref="QIS112:QJA112"/>
    <mergeCell ref="QJB112:QJX112"/>
    <mergeCell ref="QJY112:QKG112"/>
    <mergeCell ref="QED112:QEZ112"/>
    <mergeCell ref="QFA112:QFI112"/>
    <mergeCell ref="QFJ112:QGF112"/>
    <mergeCell ref="QGG112:QGO112"/>
    <mergeCell ref="QGP112:QHL112"/>
    <mergeCell ref="QBI112:QBQ112"/>
    <mergeCell ref="QBR112:QCN112"/>
    <mergeCell ref="QCO112:QCW112"/>
    <mergeCell ref="QCX112:QDT112"/>
    <mergeCell ref="QDU112:QEC112"/>
    <mergeCell ref="PXZ112:PYV112"/>
    <mergeCell ref="PYW112:PZE112"/>
    <mergeCell ref="PZF112:QAB112"/>
    <mergeCell ref="QAC112:QAK112"/>
    <mergeCell ref="QAL112:QBH112"/>
    <mergeCell ref="QTU112:QUC112"/>
    <mergeCell ref="QUD112:QUZ112"/>
    <mergeCell ref="QVA112:QVI112"/>
    <mergeCell ref="QVJ112:QWF112"/>
    <mergeCell ref="QWG112:QWO112"/>
    <mergeCell ref="QQL112:QRH112"/>
    <mergeCell ref="QRI112:QRQ112"/>
    <mergeCell ref="QRR112:QSN112"/>
    <mergeCell ref="QSO112:QSW112"/>
    <mergeCell ref="QSX112:QTT112"/>
    <mergeCell ref="QNQ112:QNY112"/>
    <mergeCell ref="QNZ112:QOV112"/>
    <mergeCell ref="QOW112:QPE112"/>
    <mergeCell ref="QPF112:QQB112"/>
    <mergeCell ref="QQC112:QQK112"/>
    <mergeCell ref="QKH112:QLD112"/>
    <mergeCell ref="QLE112:QLM112"/>
    <mergeCell ref="QLN112:QMJ112"/>
    <mergeCell ref="QMK112:QMS112"/>
    <mergeCell ref="QMT112:QNP112"/>
    <mergeCell ref="RGC112:RGK112"/>
    <mergeCell ref="RGL112:RHH112"/>
    <mergeCell ref="RHI112:RHQ112"/>
    <mergeCell ref="RHR112:RIN112"/>
    <mergeCell ref="RIO112:RIW112"/>
    <mergeCell ref="RCT112:RDP112"/>
    <mergeCell ref="RDQ112:RDY112"/>
    <mergeCell ref="RDZ112:REV112"/>
    <mergeCell ref="REW112:RFE112"/>
    <mergeCell ref="RFF112:RGB112"/>
    <mergeCell ref="QZY112:RAG112"/>
    <mergeCell ref="RAH112:RBD112"/>
    <mergeCell ref="RBE112:RBM112"/>
    <mergeCell ref="RBN112:RCJ112"/>
    <mergeCell ref="RCK112:RCS112"/>
    <mergeCell ref="QWP112:QXL112"/>
    <mergeCell ref="QXM112:QXU112"/>
    <mergeCell ref="QXV112:QYR112"/>
    <mergeCell ref="QYS112:QZA112"/>
    <mergeCell ref="QZB112:QZX112"/>
    <mergeCell ref="RSK112:RSS112"/>
    <mergeCell ref="RST112:RTP112"/>
    <mergeCell ref="RTQ112:RTY112"/>
    <mergeCell ref="RTZ112:RUV112"/>
    <mergeCell ref="RUW112:RVE112"/>
    <mergeCell ref="RPB112:RPX112"/>
    <mergeCell ref="RPY112:RQG112"/>
    <mergeCell ref="RQH112:RRD112"/>
    <mergeCell ref="RRE112:RRM112"/>
    <mergeCell ref="RRN112:RSJ112"/>
    <mergeCell ref="RMG112:RMO112"/>
    <mergeCell ref="RMP112:RNL112"/>
    <mergeCell ref="RNM112:RNU112"/>
    <mergeCell ref="RNV112:ROR112"/>
    <mergeCell ref="ROS112:RPA112"/>
    <mergeCell ref="RIX112:RJT112"/>
    <mergeCell ref="RJU112:RKC112"/>
    <mergeCell ref="RKD112:RKZ112"/>
    <mergeCell ref="RLA112:RLI112"/>
    <mergeCell ref="RLJ112:RMF112"/>
    <mergeCell ref="SES112:SFA112"/>
    <mergeCell ref="SFB112:SFX112"/>
    <mergeCell ref="SFY112:SGG112"/>
    <mergeCell ref="SGH112:SHD112"/>
    <mergeCell ref="SHE112:SHM112"/>
    <mergeCell ref="SBJ112:SCF112"/>
    <mergeCell ref="SCG112:SCO112"/>
    <mergeCell ref="SCP112:SDL112"/>
    <mergeCell ref="SDM112:SDU112"/>
    <mergeCell ref="SDV112:SER112"/>
    <mergeCell ref="RYO112:RYW112"/>
    <mergeCell ref="RYX112:RZT112"/>
    <mergeCell ref="RZU112:SAC112"/>
    <mergeCell ref="SAD112:SAZ112"/>
    <mergeCell ref="SBA112:SBI112"/>
    <mergeCell ref="RVF112:RWB112"/>
    <mergeCell ref="RWC112:RWK112"/>
    <mergeCell ref="RWL112:RXH112"/>
    <mergeCell ref="RXI112:RXQ112"/>
    <mergeCell ref="RXR112:RYN112"/>
    <mergeCell ref="SRA112:SRI112"/>
    <mergeCell ref="SRJ112:SSF112"/>
    <mergeCell ref="SSG112:SSO112"/>
    <mergeCell ref="SSP112:STL112"/>
    <mergeCell ref="STM112:STU112"/>
    <mergeCell ref="SNR112:SON112"/>
    <mergeCell ref="SOO112:SOW112"/>
    <mergeCell ref="SOX112:SPT112"/>
    <mergeCell ref="SPU112:SQC112"/>
    <mergeCell ref="SQD112:SQZ112"/>
    <mergeCell ref="SKW112:SLE112"/>
    <mergeCell ref="SLF112:SMB112"/>
    <mergeCell ref="SMC112:SMK112"/>
    <mergeCell ref="SML112:SNH112"/>
    <mergeCell ref="SNI112:SNQ112"/>
    <mergeCell ref="SHN112:SIJ112"/>
    <mergeCell ref="SIK112:SIS112"/>
    <mergeCell ref="SIT112:SJP112"/>
    <mergeCell ref="SJQ112:SJY112"/>
    <mergeCell ref="SJZ112:SKV112"/>
    <mergeCell ref="TDI112:TDQ112"/>
    <mergeCell ref="TDR112:TEN112"/>
    <mergeCell ref="TEO112:TEW112"/>
    <mergeCell ref="TEX112:TFT112"/>
    <mergeCell ref="TFU112:TGC112"/>
    <mergeCell ref="SZZ112:TAV112"/>
    <mergeCell ref="TAW112:TBE112"/>
    <mergeCell ref="TBF112:TCB112"/>
    <mergeCell ref="TCC112:TCK112"/>
    <mergeCell ref="TCL112:TDH112"/>
    <mergeCell ref="SXE112:SXM112"/>
    <mergeCell ref="SXN112:SYJ112"/>
    <mergeCell ref="SYK112:SYS112"/>
    <mergeCell ref="SYT112:SZP112"/>
    <mergeCell ref="SZQ112:SZY112"/>
    <mergeCell ref="STV112:SUR112"/>
    <mergeCell ref="SUS112:SVA112"/>
    <mergeCell ref="SVB112:SVX112"/>
    <mergeCell ref="SVY112:SWG112"/>
    <mergeCell ref="SWH112:SXD112"/>
    <mergeCell ref="TPQ112:TPY112"/>
    <mergeCell ref="TPZ112:TQV112"/>
    <mergeCell ref="TQW112:TRE112"/>
    <mergeCell ref="TRF112:TSB112"/>
    <mergeCell ref="TSC112:TSK112"/>
    <mergeCell ref="TMH112:TND112"/>
    <mergeCell ref="TNE112:TNM112"/>
    <mergeCell ref="TNN112:TOJ112"/>
    <mergeCell ref="TOK112:TOS112"/>
    <mergeCell ref="TOT112:TPP112"/>
    <mergeCell ref="TJM112:TJU112"/>
    <mergeCell ref="TJV112:TKR112"/>
    <mergeCell ref="TKS112:TLA112"/>
    <mergeCell ref="TLB112:TLX112"/>
    <mergeCell ref="TLY112:TMG112"/>
    <mergeCell ref="TGD112:TGZ112"/>
    <mergeCell ref="THA112:THI112"/>
    <mergeCell ref="THJ112:TIF112"/>
    <mergeCell ref="TIG112:TIO112"/>
    <mergeCell ref="TIP112:TJL112"/>
    <mergeCell ref="UBY112:UCG112"/>
    <mergeCell ref="UCH112:UDD112"/>
    <mergeCell ref="UDE112:UDM112"/>
    <mergeCell ref="UDN112:UEJ112"/>
    <mergeCell ref="UEK112:UES112"/>
    <mergeCell ref="TYP112:TZL112"/>
    <mergeCell ref="TZM112:TZU112"/>
    <mergeCell ref="TZV112:UAR112"/>
    <mergeCell ref="UAS112:UBA112"/>
    <mergeCell ref="UBB112:UBX112"/>
    <mergeCell ref="TVU112:TWC112"/>
    <mergeCell ref="TWD112:TWZ112"/>
    <mergeCell ref="TXA112:TXI112"/>
    <mergeCell ref="TXJ112:TYF112"/>
    <mergeCell ref="TYG112:TYO112"/>
    <mergeCell ref="TSL112:TTH112"/>
    <mergeCell ref="TTI112:TTQ112"/>
    <mergeCell ref="TTR112:TUN112"/>
    <mergeCell ref="TUO112:TUW112"/>
    <mergeCell ref="TUX112:TVT112"/>
    <mergeCell ref="UOG112:UOO112"/>
    <mergeCell ref="UOP112:UPL112"/>
    <mergeCell ref="UPM112:UPU112"/>
    <mergeCell ref="UPV112:UQR112"/>
    <mergeCell ref="UQS112:URA112"/>
    <mergeCell ref="UKX112:ULT112"/>
    <mergeCell ref="ULU112:UMC112"/>
    <mergeCell ref="UMD112:UMZ112"/>
    <mergeCell ref="UNA112:UNI112"/>
    <mergeCell ref="UNJ112:UOF112"/>
    <mergeCell ref="UIC112:UIK112"/>
    <mergeCell ref="UIL112:UJH112"/>
    <mergeCell ref="UJI112:UJQ112"/>
    <mergeCell ref="UJR112:UKN112"/>
    <mergeCell ref="UKO112:UKW112"/>
    <mergeCell ref="UET112:UFP112"/>
    <mergeCell ref="UFQ112:UFY112"/>
    <mergeCell ref="UFZ112:UGV112"/>
    <mergeCell ref="UGW112:UHE112"/>
    <mergeCell ref="UHF112:UIB112"/>
    <mergeCell ref="VAO112:VAW112"/>
    <mergeCell ref="VAX112:VBT112"/>
    <mergeCell ref="VBU112:VCC112"/>
    <mergeCell ref="VCD112:VCZ112"/>
    <mergeCell ref="VDA112:VDI112"/>
    <mergeCell ref="UXF112:UYB112"/>
    <mergeCell ref="UYC112:UYK112"/>
    <mergeCell ref="UYL112:UZH112"/>
    <mergeCell ref="UZI112:UZQ112"/>
    <mergeCell ref="UZR112:VAN112"/>
    <mergeCell ref="UUK112:UUS112"/>
    <mergeCell ref="UUT112:UVP112"/>
    <mergeCell ref="UVQ112:UVY112"/>
    <mergeCell ref="UVZ112:UWV112"/>
    <mergeCell ref="UWW112:UXE112"/>
    <mergeCell ref="URB112:URX112"/>
    <mergeCell ref="URY112:USG112"/>
    <mergeCell ref="USH112:UTD112"/>
    <mergeCell ref="UTE112:UTM112"/>
    <mergeCell ref="UTN112:UUJ112"/>
    <mergeCell ref="VMW112:VNE112"/>
    <mergeCell ref="VNF112:VOB112"/>
    <mergeCell ref="VOC112:VOK112"/>
    <mergeCell ref="VOL112:VPH112"/>
    <mergeCell ref="VPI112:VPQ112"/>
    <mergeCell ref="VJN112:VKJ112"/>
    <mergeCell ref="VKK112:VKS112"/>
    <mergeCell ref="VKT112:VLP112"/>
    <mergeCell ref="VLQ112:VLY112"/>
    <mergeCell ref="VLZ112:VMV112"/>
    <mergeCell ref="VGS112:VHA112"/>
    <mergeCell ref="VHB112:VHX112"/>
    <mergeCell ref="VHY112:VIG112"/>
    <mergeCell ref="VIH112:VJD112"/>
    <mergeCell ref="VJE112:VJM112"/>
    <mergeCell ref="VDJ112:VEF112"/>
    <mergeCell ref="VEG112:VEO112"/>
    <mergeCell ref="VEP112:VFL112"/>
    <mergeCell ref="VFM112:VFU112"/>
    <mergeCell ref="VFV112:VGR112"/>
    <mergeCell ref="VZE112:VZM112"/>
    <mergeCell ref="VZN112:WAJ112"/>
    <mergeCell ref="WAK112:WAS112"/>
    <mergeCell ref="WAT112:WBP112"/>
    <mergeCell ref="WBQ112:WBY112"/>
    <mergeCell ref="VVV112:VWR112"/>
    <mergeCell ref="VWS112:VXA112"/>
    <mergeCell ref="VXB112:VXX112"/>
    <mergeCell ref="VXY112:VYG112"/>
    <mergeCell ref="VYH112:VZD112"/>
    <mergeCell ref="VTA112:VTI112"/>
    <mergeCell ref="VTJ112:VUF112"/>
    <mergeCell ref="VUG112:VUO112"/>
    <mergeCell ref="VUP112:VVL112"/>
    <mergeCell ref="VVM112:VVU112"/>
    <mergeCell ref="VPR112:VQN112"/>
    <mergeCell ref="VQO112:VQW112"/>
    <mergeCell ref="VQX112:VRT112"/>
    <mergeCell ref="VRU112:VSC112"/>
    <mergeCell ref="VSD112:VSZ112"/>
    <mergeCell ref="WLV112:WMR112"/>
    <mergeCell ref="WMS112:WNA112"/>
    <mergeCell ref="WNB112:WNX112"/>
    <mergeCell ref="WNY112:WOG112"/>
    <mergeCell ref="WID112:WIZ112"/>
    <mergeCell ref="WJA112:WJI112"/>
    <mergeCell ref="WJJ112:WKF112"/>
    <mergeCell ref="WKG112:WKO112"/>
    <mergeCell ref="WKP112:WLL112"/>
    <mergeCell ref="WFI112:WFQ112"/>
    <mergeCell ref="WFR112:WGN112"/>
    <mergeCell ref="WGO112:WGW112"/>
    <mergeCell ref="WGX112:WHT112"/>
    <mergeCell ref="WHU112:WIC112"/>
    <mergeCell ref="WBZ112:WCV112"/>
    <mergeCell ref="WCW112:WDE112"/>
    <mergeCell ref="WDF112:WEB112"/>
    <mergeCell ref="WEC112:WEK112"/>
    <mergeCell ref="WEL112:WFH112"/>
    <mergeCell ref="XDY112:XEG112"/>
    <mergeCell ref="XEH112:XFD112"/>
    <mergeCell ref="A114:I114"/>
    <mergeCell ref="J114:AF114"/>
    <mergeCell ref="A118:I118"/>
    <mergeCell ref="J118:AF118"/>
    <mergeCell ref="XAP112:XBL112"/>
    <mergeCell ref="XBM112:XBU112"/>
    <mergeCell ref="XBV112:XCR112"/>
    <mergeCell ref="XCS112:XDA112"/>
    <mergeCell ref="XDB112:XDX112"/>
    <mergeCell ref="WXU112:WYC112"/>
    <mergeCell ref="WYD112:WYZ112"/>
    <mergeCell ref="WZA112:WZI112"/>
    <mergeCell ref="WZJ112:XAF112"/>
    <mergeCell ref="XAG112:XAO112"/>
    <mergeCell ref="WUL112:WVH112"/>
    <mergeCell ref="WVI112:WVQ112"/>
    <mergeCell ref="WVR112:WWN112"/>
    <mergeCell ref="WWO112:WWW112"/>
    <mergeCell ref="WWX112:WXT112"/>
    <mergeCell ref="WRQ112:WRY112"/>
    <mergeCell ref="WRZ112:WSV112"/>
    <mergeCell ref="WSW112:WTE112"/>
    <mergeCell ref="WTF112:WUB112"/>
    <mergeCell ref="WUC112:WUK112"/>
    <mergeCell ref="WOH112:WPD112"/>
    <mergeCell ref="WPE112:WPM112"/>
    <mergeCell ref="WPN112:WQJ112"/>
    <mergeCell ref="WQK112:WQS112"/>
    <mergeCell ref="WQT112:WRP112"/>
    <mergeCell ref="WLM112:WLU112"/>
    <mergeCell ref="A138:I138"/>
    <mergeCell ref="J138:AF138"/>
    <mergeCell ref="A140:I140"/>
    <mergeCell ref="J140:AF140"/>
    <mergeCell ref="A120:I120"/>
    <mergeCell ref="J120:AF120"/>
    <mergeCell ref="A122:I122"/>
    <mergeCell ref="J122:AF122"/>
    <mergeCell ref="A132:I132"/>
    <mergeCell ref="J132:AF132"/>
    <mergeCell ref="A134:I134"/>
    <mergeCell ref="J134:AF134"/>
    <mergeCell ref="A124:I124"/>
    <mergeCell ref="J124:AF124"/>
    <mergeCell ref="A136:I136"/>
    <mergeCell ref="J136:AF136"/>
    <mergeCell ref="A152:I152"/>
    <mergeCell ref="J152:AF152"/>
    <mergeCell ref="FE158:FM158"/>
    <mergeCell ref="FN158:GJ158"/>
    <mergeCell ref="GK158:GS158"/>
    <mergeCell ref="GT158:HP158"/>
    <mergeCell ref="HQ158:HY158"/>
    <mergeCell ref="BV158:CR158"/>
    <mergeCell ref="CS158:DA158"/>
    <mergeCell ref="DB158:DX158"/>
    <mergeCell ref="DY158:EG158"/>
    <mergeCell ref="EH158:FD158"/>
    <mergeCell ref="A158:I158"/>
    <mergeCell ref="J158:AF158"/>
    <mergeCell ref="AG158:AO158"/>
    <mergeCell ref="AP158:BL158"/>
    <mergeCell ref="BM158:BU158"/>
    <mergeCell ref="A150:I150"/>
    <mergeCell ref="J150:AF150"/>
    <mergeCell ref="A154:I154"/>
    <mergeCell ref="J154:AF154"/>
    <mergeCell ref="A156:I156"/>
    <mergeCell ref="J156:AF156"/>
    <mergeCell ref="RM158:RU158"/>
    <mergeCell ref="RV158:SR158"/>
    <mergeCell ref="SS158:TA158"/>
    <mergeCell ref="TB158:TX158"/>
    <mergeCell ref="TY158:UG158"/>
    <mergeCell ref="OD158:OZ158"/>
    <mergeCell ref="PA158:PI158"/>
    <mergeCell ref="PJ158:QF158"/>
    <mergeCell ref="QG158:QO158"/>
    <mergeCell ref="QP158:RL158"/>
    <mergeCell ref="LI158:LQ158"/>
    <mergeCell ref="LR158:MN158"/>
    <mergeCell ref="MO158:MW158"/>
    <mergeCell ref="MX158:NT158"/>
    <mergeCell ref="NU158:OC158"/>
    <mergeCell ref="HZ158:IV158"/>
    <mergeCell ref="IW158:JE158"/>
    <mergeCell ref="JF158:KB158"/>
    <mergeCell ref="KC158:KK158"/>
    <mergeCell ref="KL158:LH158"/>
    <mergeCell ref="ADU158:AEC158"/>
    <mergeCell ref="AED158:AEZ158"/>
    <mergeCell ref="AFA158:AFI158"/>
    <mergeCell ref="AFJ158:AGF158"/>
    <mergeCell ref="AGG158:AGO158"/>
    <mergeCell ref="AAL158:ABH158"/>
    <mergeCell ref="ABI158:ABQ158"/>
    <mergeCell ref="ABR158:ACN158"/>
    <mergeCell ref="ACO158:ACW158"/>
    <mergeCell ref="ACX158:ADT158"/>
    <mergeCell ref="XQ158:XY158"/>
    <mergeCell ref="XZ158:YV158"/>
    <mergeCell ref="YW158:ZE158"/>
    <mergeCell ref="ZF158:AAB158"/>
    <mergeCell ref="AAC158:AAK158"/>
    <mergeCell ref="UH158:VD158"/>
    <mergeCell ref="VE158:VM158"/>
    <mergeCell ref="VN158:WJ158"/>
    <mergeCell ref="WK158:WS158"/>
    <mergeCell ref="WT158:XP158"/>
    <mergeCell ref="AQC158:AQK158"/>
    <mergeCell ref="AQL158:ARH158"/>
    <mergeCell ref="ARI158:ARQ158"/>
    <mergeCell ref="ARR158:ASN158"/>
    <mergeCell ref="ASO158:ASW158"/>
    <mergeCell ref="AMT158:ANP158"/>
    <mergeCell ref="ANQ158:ANY158"/>
    <mergeCell ref="ANZ158:AOV158"/>
    <mergeCell ref="AOW158:APE158"/>
    <mergeCell ref="APF158:AQB158"/>
    <mergeCell ref="AJY158:AKG158"/>
    <mergeCell ref="AKH158:ALD158"/>
    <mergeCell ref="ALE158:ALM158"/>
    <mergeCell ref="ALN158:AMJ158"/>
    <mergeCell ref="AMK158:AMS158"/>
    <mergeCell ref="AGP158:AHL158"/>
    <mergeCell ref="AHM158:AHU158"/>
    <mergeCell ref="AHV158:AIR158"/>
    <mergeCell ref="AIS158:AJA158"/>
    <mergeCell ref="AJB158:AJX158"/>
    <mergeCell ref="BCK158:BCS158"/>
    <mergeCell ref="BCT158:BDP158"/>
    <mergeCell ref="BDQ158:BDY158"/>
    <mergeCell ref="BDZ158:BEV158"/>
    <mergeCell ref="BEW158:BFE158"/>
    <mergeCell ref="AZB158:AZX158"/>
    <mergeCell ref="AZY158:BAG158"/>
    <mergeCell ref="BAH158:BBD158"/>
    <mergeCell ref="BBE158:BBM158"/>
    <mergeCell ref="BBN158:BCJ158"/>
    <mergeCell ref="AWG158:AWO158"/>
    <mergeCell ref="AWP158:AXL158"/>
    <mergeCell ref="AXM158:AXU158"/>
    <mergeCell ref="AXV158:AYR158"/>
    <mergeCell ref="AYS158:AZA158"/>
    <mergeCell ref="ASX158:ATT158"/>
    <mergeCell ref="ATU158:AUC158"/>
    <mergeCell ref="AUD158:AUZ158"/>
    <mergeCell ref="AVA158:AVI158"/>
    <mergeCell ref="AVJ158:AWF158"/>
    <mergeCell ref="BOS158:BPA158"/>
    <mergeCell ref="BPB158:BPX158"/>
    <mergeCell ref="BPY158:BQG158"/>
    <mergeCell ref="BQH158:BRD158"/>
    <mergeCell ref="BRE158:BRM158"/>
    <mergeCell ref="BLJ158:BMF158"/>
    <mergeCell ref="BMG158:BMO158"/>
    <mergeCell ref="BMP158:BNL158"/>
    <mergeCell ref="BNM158:BNU158"/>
    <mergeCell ref="BNV158:BOR158"/>
    <mergeCell ref="BIO158:BIW158"/>
    <mergeCell ref="BIX158:BJT158"/>
    <mergeCell ref="BJU158:BKC158"/>
    <mergeCell ref="BKD158:BKZ158"/>
    <mergeCell ref="BLA158:BLI158"/>
    <mergeCell ref="BFF158:BGB158"/>
    <mergeCell ref="BGC158:BGK158"/>
    <mergeCell ref="BGL158:BHH158"/>
    <mergeCell ref="BHI158:BHQ158"/>
    <mergeCell ref="BHR158:BIN158"/>
    <mergeCell ref="CBA158:CBI158"/>
    <mergeCell ref="CBJ158:CCF158"/>
    <mergeCell ref="CCG158:CCO158"/>
    <mergeCell ref="CCP158:CDL158"/>
    <mergeCell ref="CDM158:CDU158"/>
    <mergeCell ref="BXR158:BYN158"/>
    <mergeCell ref="BYO158:BYW158"/>
    <mergeCell ref="BYX158:BZT158"/>
    <mergeCell ref="BZU158:CAC158"/>
    <mergeCell ref="CAD158:CAZ158"/>
    <mergeCell ref="BUW158:BVE158"/>
    <mergeCell ref="BVF158:BWB158"/>
    <mergeCell ref="BWC158:BWK158"/>
    <mergeCell ref="BWL158:BXH158"/>
    <mergeCell ref="BXI158:BXQ158"/>
    <mergeCell ref="BRN158:BSJ158"/>
    <mergeCell ref="BSK158:BSS158"/>
    <mergeCell ref="BST158:BTP158"/>
    <mergeCell ref="BTQ158:BTY158"/>
    <mergeCell ref="BTZ158:BUV158"/>
    <mergeCell ref="CNI158:CNQ158"/>
    <mergeCell ref="CNR158:CON158"/>
    <mergeCell ref="COO158:COW158"/>
    <mergeCell ref="COX158:CPT158"/>
    <mergeCell ref="CPU158:CQC158"/>
    <mergeCell ref="CJZ158:CKV158"/>
    <mergeCell ref="CKW158:CLE158"/>
    <mergeCell ref="CLF158:CMB158"/>
    <mergeCell ref="CMC158:CMK158"/>
    <mergeCell ref="CML158:CNH158"/>
    <mergeCell ref="CHE158:CHM158"/>
    <mergeCell ref="CHN158:CIJ158"/>
    <mergeCell ref="CIK158:CIS158"/>
    <mergeCell ref="CIT158:CJP158"/>
    <mergeCell ref="CJQ158:CJY158"/>
    <mergeCell ref="CDV158:CER158"/>
    <mergeCell ref="CES158:CFA158"/>
    <mergeCell ref="CFB158:CFX158"/>
    <mergeCell ref="CFY158:CGG158"/>
    <mergeCell ref="CGH158:CHD158"/>
    <mergeCell ref="CZQ158:CZY158"/>
    <mergeCell ref="CZZ158:DAV158"/>
    <mergeCell ref="DAW158:DBE158"/>
    <mergeCell ref="DBF158:DCB158"/>
    <mergeCell ref="DCC158:DCK158"/>
    <mergeCell ref="CWH158:CXD158"/>
    <mergeCell ref="CXE158:CXM158"/>
    <mergeCell ref="CXN158:CYJ158"/>
    <mergeCell ref="CYK158:CYS158"/>
    <mergeCell ref="CYT158:CZP158"/>
    <mergeCell ref="CTM158:CTU158"/>
    <mergeCell ref="CTV158:CUR158"/>
    <mergeCell ref="CUS158:CVA158"/>
    <mergeCell ref="CVB158:CVX158"/>
    <mergeCell ref="CVY158:CWG158"/>
    <mergeCell ref="CQD158:CQZ158"/>
    <mergeCell ref="CRA158:CRI158"/>
    <mergeCell ref="CRJ158:CSF158"/>
    <mergeCell ref="CSG158:CSO158"/>
    <mergeCell ref="CSP158:CTL158"/>
    <mergeCell ref="DLY158:DMG158"/>
    <mergeCell ref="DMH158:DND158"/>
    <mergeCell ref="DNE158:DNM158"/>
    <mergeCell ref="DNN158:DOJ158"/>
    <mergeCell ref="DOK158:DOS158"/>
    <mergeCell ref="DIP158:DJL158"/>
    <mergeCell ref="DJM158:DJU158"/>
    <mergeCell ref="DJV158:DKR158"/>
    <mergeCell ref="DKS158:DLA158"/>
    <mergeCell ref="DLB158:DLX158"/>
    <mergeCell ref="DFU158:DGC158"/>
    <mergeCell ref="DGD158:DGZ158"/>
    <mergeCell ref="DHA158:DHI158"/>
    <mergeCell ref="DHJ158:DIF158"/>
    <mergeCell ref="DIG158:DIO158"/>
    <mergeCell ref="DCL158:DDH158"/>
    <mergeCell ref="DDI158:DDQ158"/>
    <mergeCell ref="DDR158:DEN158"/>
    <mergeCell ref="DEO158:DEW158"/>
    <mergeCell ref="DEX158:DFT158"/>
    <mergeCell ref="DYG158:DYO158"/>
    <mergeCell ref="DYP158:DZL158"/>
    <mergeCell ref="DZM158:DZU158"/>
    <mergeCell ref="DZV158:EAR158"/>
    <mergeCell ref="EAS158:EBA158"/>
    <mergeCell ref="DUX158:DVT158"/>
    <mergeCell ref="DVU158:DWC158"/>
    <mergeCell ref="DWD158:DWZ158"/>
    <mergeCell ref="DXA158:DXI158"/>
    <mergeCell ref="DXJ158:DYF158"/>
    <mergeCell ref="DSC158:DSK158"/>
    <mergeCell ref="DSL158:DTH158"/>
    <mergeCell ref="DTI158:DTQ158"/>
    <mergeCell ref="DTR158:DUN158"/>
    <mergeCell ref="DUO158:DUW158"/>
    <mergeCell ref="DOT158:DPP158"/>
    <mergeCell ref="DPQ158:DPY158"/>
    <mergeCell ref="DPZ158:DQV158"/>
    <mergeCell ref="DQW158:DRE158"/>
    <mergeCell ref="DRF158:DSB158"/>
    <mergeCell ref="EKO158:EKW158"/>
    <mergeCell ref="EKX158:ELT158"/>
    <mergeCell ref="ELU158:EMC158"/>
    <mergeCell ref="EMD158:EMZ158"/>
    <mergeCell ref="ENA158:ENI158"/>
    <mergeCell ref="EHF158:EIB158"/>
    <mergeCell ref="EIC158:EIK158"/>
    <mergeCell ref="EIL158:EJH158"/>
    <mergeCell ref="EJI158:EJQ158"/>
    <mergeCell ref="EJR158:EKN158"/>
    <mergeCell ref="EEK158:EES158"/>
    <mergeCell ref="EET158:EFP158"/>
    <mergeCell ref="EFQ158:EFY158"/>
    <mergeCell ref="EFZ158:EGV158"/>
    <mergeCell ref="EGW158:EHE158"/>
    <mergeCell ref="EBB158:EBX158"/>
    <mergeCell ref="EBY158:ECG158"/>
    <mergeCell ref="ECH158:EDD158"/>
    <mergeCell ref="EDE158:EDM158"/>
    <mergeCell ref="EDN158:EEJ158"/>
    <mergeCell ref="EWW158:EXE158"/>
    <mergeCell ref="EXF158:EYB158"/>
    <mergeCell ref="EYC158:EYK158"/>
    <mergeCell ref="EYL158:EZH158"/>
    <mergeCell ref="EZI158:EZQ158"/>
    <mergeCell ref="ETN158:EUJ158"/>
    <mergeCell ref="EUK158:EUS158"/>
    <mergeCell ref="EUT158:EVP158"/>
    <mergeCell ref="EVQ158:EVY158"/>
    <mergeCell ref="EVZ158:EWV158"/>
    <mergeCell ref="EQS158:ERA158"/>
    <mergeCell ref="ERB158:ERX158"/>
    <mergeCell ref="ERY158:ESG158"/>
    <mergeCell ref="ESH158:ETD158"/>
    <mergeCell ref="ETE158:ETM158"/>
    <mergeCell ref="ENJ158:EOF158"/>
    <mergeCell ref="EOG158:EOO158"/>
    <mergeCell ref="EOP158:EPL158"/>
    <mergeCell ref="EPM158:EPU158"/>
    <mergeCell ref="EPV158:EQR158"/>
    <mergeCell ref="FJE158:FJM158"/>
    <mergeCell ref="FJN158:FKJ158"/>
    <mergeCell ref="FKK158:FKS158"/>
    <mergeCell ref="FKT158:FLP158"/>
    <mergeCell ref="FLQ158:FLY158"/>
    <mergeCell ref="FFV158:FGR158"/>
    <mergeCell ref="FGS158:FHA158"/>
    <mergeCell ref="FHB158:FHX158"/>
    <mergeCell ref="FHY158:FIG158"/>
    <mergeCell ref="FIH158:FJD158"/>
    <mergeCell ref="FDA158:FDI158"/>
    <mergeCell ref="FDJ158:FEF158"/>
    <mergeCell ref="FEG158:FEO158"/>
    <mergeCell ref="FEP158:FFL158"/>
    <mergeCell ref="FFM158:FFU158"/>
    <mergeCell ref="EZR158:FAN158"/>
    <mergeCell ref="FAO158:FAW158"/>
    <mergeCell ref="FAX158:FBT158"/>
    <mergeCell ref="FBU158:FCC158"/>
    <mergeCell ref="FCD158:FCZ158"/>
    <mergeCell ref="FVM158:FVU158"/>
    <mergeCell ref="FVV158:FWR158"/>
    <mergeCell ref="FWS158:FXA158"/>
    <mergeCell ref="FXB158:FXX158"/>
    <mergeCell ref="FXY158:FYG158"/>
    <mergeCell ref="FSD158:FSZ158"/>
    <mergeCell ref="FTA158:FTI158"/>
    <mergeCell ref="FTJ158:FUF158"/>
    <mergeCell ref="FUG158:FUO158"/>
    <mergeCell ref="FUP158:FVL158"/>
    <mergeCell ref="FPI158:FPQ158"/>
    <mergeCell ref="FPR158:FQN158"/>
    <mergeCell ref="FQO158:FQW158"/>
    <mergeCell ref="FQX158:FRT158"/>
    <mergeCell ref="FRU158:FSC158"/>
    <mergeCell ref="FLZ158:FMV158"/>
    <mergeCell ref="FMW158:FNE158"/>
    <mergeCell ref="FNF158:FOB158"/>
    <mergeCell ref="FOC158:FOK158"/>
    <mergeCell ref="FOL158:FPH158"/>
    <mergeCell ref="GHU158:GIC158"/>
    <mergeCell ref="GID158:GIZ158"/>
    <mergeCell ref="GJA158:GJI158"/>
    <mergeCell ref="GJJ158:GKF158"/>
    <mergeCell ref="GKG158:GKO158"/>
    <mergeCell ref="GEL158:GFH158"/>
    <mergeCell ref="GFI158:GFQ158"/>
    <mergeCell ref="GFR158:GGN158"/>
    <mergeCell ref="GGO158:GGW158"/>
    <mergeCell ref="GGX158:GHT158"/>
    <mergeCell ref="GBQ158:GBY158"/>
    <mergeCell ref="GBZ158:GCV158"/>
    <mergeCell ref="GCW158:GDE158"/>
    <mergeCell ref="GDF158:GEB158"/>
    <mergeCell ref="GEC158:GEK158"/>
    <mergeCell ref="FYH158:FZD158"/>
    <mergeCell ref="FZE158:FZM158"/>
    <mergeCell ref="FZN158:GAJ158"/>
    <mergeCell ref="GAK158:GAS158"/>
    <mergeCell ref="GAT158:GBP158"/>
    <mergeCell ref="GUC158:GUK158"/>
    <mergeCell ref="GUL158:GVH158"/>
    <mergeCell ref="GVI158:GVQ158"/>
    <mergeCell ref="GVR158:GWN158"/>
    <mergeCell ref="GWO158:GWW158"/>
    <mergeCell ref="GQT158:GRP158"/>
    <mergeCell ref="GRQ158:GRY158"/>
    <mergeCell ref="GRZ158:GSV158"/>
    <mergeCell ref="GSW158:GTE158"/>
    <mergeCell ref="GTF158:GUB158"/>
    <mergeCell ref="GNY158:GOG158"/>
    <mergeCell ref="GOH158:GPD158"/>
    <mergeCell ref="GPE158:GPM158"/>
    <mergeCell ref="GPN158:GQJ158"/>
    <mergeCell ref="GQK158:GQS158"/>
    <mergeCell ref="GKP158:GLL158"/>
    <mergeCell ref="GLM158:GLU158"/>
    <mergeCell ref="GLV158:GMR158"/>
    <mergeCell ref="GMS158:GNA158"/>
    <mergeCell ref="GNB158:GNX158"/>
    <mergeCell ref="HGK158:HGS158"/>
    <mergeCell ref="HGT158:HHP158"/>
    <mergeCell ref="HHQ158:HHY158"/>
    <mergeCell ref="HHZ158:HIV158"/>
    <mergeCell ref="HIW158:HJE158"/>
    <mergeCell ref="HDB158:HDX158"/>
    <mergeCell ref="HDY158:HEG158"/>
    <mergeCell ref="HEH158:HFD158"/>
    <mergeCell ref="HFE158:HFM158"/>
    <mergeCell ref="HFN158:HGJ158"/>
    <mergeCell ref="HAG158:HAO158"/>
    <mergeCell ref="HAP158:HBL158"/>
    <mergeCell ref="HBM158:HBU158"/>
    <mergeCell ref="HBV158:HCR158"/>
    <mergeCell ref="HCS158:HDA158"/>
    <mergeCell ref="GWX158:GXT158"/>
    <mergeCell ref="GXU158:GYC158"/>
    <mergeCell ref="GYD158:GYZ158"/>
    <mergeCell ref="GZA158:GZI158"/>
    <mergeCell ref="GZJ158:HAF158"/>
    <mergeCell ref="HSS158:HTA158"/>
    <mergeCell ref="HTB158:HTX158"/>
    <mergeCell ref="HTY158:HUG158"/>
    <mergeCell ref="HUH158:HVD158"/>
    <mergeCell ref="HVE158:HVM158"/>
    <mergeCell ref="HPJ158:HQF158"/>
    <mergeCell ref="HQG158:HQO158"/>
    <mergeCell ref="HQP158:HRL158"/>
    <mergeCell ref="HRM158:HRU158"/>
    <mergeCell ref="HRV158:HSR158"/>
    <mergeCell ref="HMO158:HMW158"/>
    <mergeCell ref="HMX158:HNT158"/>
    <mergeCell ref="HNU158:HOC158"/>
    <mergeCell ref="HOD158:HOZ158"/>
    <mergeCell ref="HPA158:HPI158"/>
    <mergeCell ref="HJF158:HKB158"/>
    <mergeCell ref="HKC158:HKK158"/>
    <mergeCell ref="HKL158:HLH158"/>
    <mergeCell ref="HLI158:HLQ158"/>
    <mergeCell ref="HLR158:HMN158"/>
    <mergeCell ref="IFA158:IFI158"/>
    <mergeCell ref="IFJ158:IGF158"/>
    <mergeCell ref="IGG158:IGO158"/>
    <mergeCell ref="IGP158:IHL158"/>
    <mergeCell ref="IHM158:IHU158"/>
    <mergeCell ref="IBR158:ICN158"/>
    <mergeCell ref="ICO158:ICW158"/>
    <mergeCell ref="ICX158:IDT158"/>
    <mergeCell ref="IDU158:IEC158"/>
    <mergeCell ref="IED158:IEZ158"/>
    <mergeCell ref="HYW158:HZE158"/>
    <mergeCell ref="HZF158:IAB158"/>
    <mergeCell ref="IAC158:IAK158"/>
    <mergeCell ref="IAL158:IBH158"/>
    <mergeCell ref="IBI158:IBQ158"/>
    <mergeCell ref="HVN158:HWJ158"/>
    <mergeCell ref="HWK158:HWS158"/>
    <mergeCell ref="HWT158:HXP158"/>
    <mergeCell ref="HXQ158:HXY158"/>
    <mergeCell ref="HXZ158:HYV158"/>
    <mergeCell ref="IRI158:IRQ158"/>
    <mergeCell ref="IRR158:ISN158"/>
    <mergeCell ref="ISO158:ISW158"/>
    <mergeCell ref="ISX158:ITT158"/>
    <mergeCell ref="ITU158:IUC158"/>
    <mergeCell ref="INZ158:IOV158"/>
    <mergeCell ref="IOW158:IPE158"/>
    <mergeCell ref="IPF158:IQB158"/>
    <mergeCell ref="IQC158:IQK158"/>
    <mergeCell ref="IQL158:IRH158"/>
    <mergeCell ref="ILE158:ILM158"/>
    <mergeCell ref="ILN158:IMJ158"/>
    <mergeCell ref="IMK158:IMS158"/>
    <mergeCell ref="IMT158:INP158"/>
    <mergeCell ref="INQ158:INY158"/>
    <mergeCell ref="IHV158:IIR158"/>
    <mergeCell ref="IIS158:IJA158"/>
    <mergeCell ref="IJB158:IJX158"/>
    <mergeCell ref="IJY158:IKG158"/>
    <mergeCell ref="IKH158:ILD158"/>
    <mergeCell ref="JDQ158:JDY158"/>
    <mergeCell ref="JDZ158:JEV158"/>
    <mergeCell ref="JEW158:JFE158"/>
    <mergeCell ref="JFF158:JGB158"/>
    <mergeCell ref="JGC158:JGK158"/>
    <mergeCell ref="JAH158:JBD158"/>
    <mergeCell ref="JBE158:JBM158"/>
    <mergeCell ref="JBN158:JCJ158"/>
    <mergeCell ref="JCK158:JCS158"/>
    <mergeCell ref="JCT158:JDP158"/>
    <mergeCell ref="IXM158:IXU158"/>
    <mergeCell ref="IXV158:IYR158"/>
    <mergeCell ref="IYS158:IZA158"/>
    <mergeCell ref="IZB158:IZX158"/>
    <mergeCell ref="IZY158:JAG158"/>
    <mergeCell ref="IUD158:IUZ158"/>
    <mergeCell ref="IVA158:IVI158"/>
    <mergeCell ref="IVJ158:IWF158"/>
    <mergeCell ref="IWG158:IWO158"/>
    <mergeCell ref="IWP158:IXL158"/>
    <mergeCell ref="JPY158:JQG158"/>
    <mergeCell ref="JQH158:JRD158"/>
    <mergeCell ref="JRE158:JRM158"/>
    <mergeCell ref="JRN158:JSJ158"/>
    <mergeCell ref="JSK158:JSS158"/>
    <mergeCell ref="JMP158:JNL158"/>
    <mergeCell ref="JNM158:JNU158"/>
    <mergeCell ref="JNV158:JOR158"/>
    <mergeCell ref="JOS158:JPA158"/>
    <mergeCell ref="JPB158:JPX158"/>
    <mergeCell ref="JJU158:JKC158"/>
    <mergeCell ref="JKD158:JKZ158"/>
    <mergeCell ref="JLA158:JLI158"/>
    <mergeCell ref="JLJ158:JMF158"/>
    <mergeCell ref="JMG158:JMO158"/>
    <mergeCell ref="JGL158:JHH158"/>
    <mergeCell ref="JHI158:JHQ158"/>
    <mergeCell ref="JHR158:JIN158"/>
    <mergeCell ref="JIO158:JIW158"/>
    <mergeCell ref="JIX158:JJT158"/>
    <mergeCell ref="KCG158:KCO158"/>
    <mergeCell ref="KCP158:KDL158"/>
    <mergeCell ref="KDM158:KDU158"/>
    <mergeCell ref="KDV158:KER158"/>
    <mergeCell ref="KES158:KFA158"/>
    <mergeCell ref="JYX158:JZT158"/>
    <mergeCell ref="JZU158:KAC158"/>
    <mergeCell ref="KAD158:KAZ158"/>
    <mergeCell ref="KBA158:KBI158"/>
    <mergeCell ref="KBJ158:KCF158"/>
    <mergeCell ref="JWC158:JWK158"/>
    <mergeCell ref="JWL158:JXH158"/>
    <mergeCell ref="JXI158:JXQ158"/>
    <mergeCell ref="JXR158:JYN158"/>
    <mergeCell ref="JYO158:JYW158"/>
    <mergeCell ref="JST158:JTP158"/>
    <mergeCell ref="JTQ158:JTY158"/>
    <mergeCell ref="JTZ158:JUV158"/>
    <mergeCell ref="JUW158:JVE158"/>
    <mergeCell ref="JVF158:JWB158"/>
    <mergeCell ref="KOO158:KOW158"/>
    <mergeCell ref="KOX158:KPT158"/>
    <mergeCell ref="KPU158:KQC158"/>
    <mergeCell ref="KQD158:KQZ158"/>
    <mergeCell ref="KRA158:KRI158"/>
    <mergeCell ref="KLF158:KMB158"/>
    <mergeCell ref="KMC158:KMK158"/>
    <mergeCell ref="KML158:KNH158"/>
    <mergeCell ref="KNI158:KNQ158"/>
    <mergeCell ref="KNR158:KON158"/>
    <mergeCell ref="KIK158:KIS158"/>
    <mergeCell ref="KIT158:KJP158"/>
    <mergeCell ref="KJQ158:KJY158"/>
    <mergeCell ref="KJZ158:KKV158"/>
    <mergeCell ref="KKW158:KLE158"/>
    <mergeCell ref="KFB158:KFX158"/>
    <mergeCell ref="KFY158:KGG158"/>
    <mergeCell ref="KGH158:KHD158"/>
    <mergeCell ref="KHE158:KHM158"/>
    <mergeCell ref="KHN158:KIJ158"/>
    <mergeCell ref="LAW158:LBE158"/>
    <mergeCell ref="LBF158:LCB158"/>
    <mergeCell ref="LCC158:LCK158"/>
    <mergeCell ref="LCL158:LDH158"/>
    <mergeCell ref="LDI158:LDQ158"/>
    <mergeCell ref="KXN158:KYJ158"/>
    <mergeCell ref="KYK158:KYS158"/>
    <mergeCell ref="KYT158:KZP158"/>
    <mergeCell ref="KZQ158:KZY158"/>
    <mergeCell ref="KZZ158:LAV158"/>
    <mergeCell ref="KUS158:KVA158"/>
    <mergeCell ref="KVB158:KVX158"/>
    <mergeCell ref="KVY158:KWG158"/>
    <mergeCell ref="KWH158:KXD158"/>
    <mergeCell ref="KXE158:KXM158"/>
    <mergeCell ref="KRJ158:KSF158"/>
    <mergeCell ref="KSG158:KSO158"/>
    <mergeCell ref="KSP158:KTL158"/>
    <mergeCell ref="KTM158:KTU158"/>
    <mergeCell ref="KTV158:KUR158"/>
    <mergeCell ref="LNE158:LNM158"/>
    <mergeCell ref="LNN158:LOJ158"/>
    <mergeCell ref="LOK158:LOS158"/>
    <mergeCell ref="LOT158:LPP158"/>
    <mergeCell ref="LPQ158:LPY158"/>
    <mergeCell ref="LJV158:LKR158"/>
    <mergeCell ref="LKS158:LLA158"/>
    <mergeCell ref="LLB158:LLX158"/>
    <mergeCell ref="LLY158:LMG158"/>
    <mergeCell ref="LMH158:LND158"/>
    <mergeCell ref="LHA158:LHI158"/>
    <mergeCell ref="LHJ158:LIF158"/>
    <mergeCell ref="LIG158:LIO158"/>
    <mergeCell ref="LIP158:LJL158"/>
    <mergeCell ref="LJM158:LJU158"/>
    <mergeCell ref="LDR158:LEN158"/>
    <mergeCell ref="LEO158:LEW158"/>
    <mergeCell ref="LEX158:LFT158"/>
    <mergeCell ref="LFU158:LGC158"/>
    <mergeCell ref="LGD158:LGZ158"/>
    <mergeCell ref="LZM158:LZU158"/>
    <mergeCell ref="LZV158:MAR158"/>
    <mergeCell ref="MAS158:MBA158"/>
    <mergeCell ref="MBB158:MBX158"/>
    <mergeCell ref="MBY158:MCG158"/>
    <mergeCell ref="LWD158:LWZ158"/>
    <mergeCell ref="LXA158:LXI158"/>
    <mergeCell ref="LXJ158:LYF158"/>
    <mergeCell ref="LYG158:LYO158"/>
    <mergeCell ref="LYP158:LZL158"/>
    <mergeCell ref="LTI158:LTQ158"/>
    <mergeCell ref="LTR158:LUN158"/>
    <mergeCell ref="LUO158:LUW158"/>
    <mergeCell ref="LUX158:LVT158"/>
    <mergeCell ref="LVU158:LWC158"/>
    <mergeCell ref="LPZ158:LQV158"/>
    <mergeCell ref="LQW158:LRE158"/>
    <mergeCell ref="LRF158:LSB158"/>
    <mergeCell ref="LSC158:LSK158"/>
    <mergeCell ref="LSL158:LTH158"/>
    <mergeCell ref="MLU158:MMC158"/>
    <mergeCell ref="MMD158:MMZ158"/>
    <mergeCell ref="MNA158:MNI158"/>
    <mergeCell ref="MNJ158:MOF158"/>
    <mergeCell ref="MOG158:MOO158"/>
    <mergeCell ref="MIL158:MJH158"/>
    <mergeCell ref="MJI158:MJQ158"/>
    <mergeCell ref="MJR158:MKN158"/>
    <mergeCell ref="MKO158:MKW158"/>
    <mergeCell ref="MKX158:MLT158"/>
    <mergeCell ref="MFQ158:MFY158"/>
    <mergeCell ref="MFZ158:MGV158"/>
    <mergeCell ref="MGW158:MHE158"/>
    <mergeCell ref="MHF158:MIB158"/>
    <mergeCell ref="MIC158:MIK158"/>
    <mergeCell ref="MCH158:MDD158"/>
    <mergeCell ref="MDE158:MDM158"/>
    <mergeCell ref="MDN158:MEJ158"/>
    <mergeCell ref="MEK158:MES158"/>
    <mergeCell ref="MET158:MFP158"/>
    <mergeCell ref="MYC158:MYK158"/>
    <mergeCell ref="MYL158:MZH158"/>
    <mergeCell ref="MZI158:MZQ158"/>
    <mergeCell ref="MZR158:NAN158"/>
    <mergeCell ref="NAO158:NAW158"/>
    <mergeCell ref="MUT158:MVP158"/>
    <mergeCell ref="MVQ158:MVY158"/>
    <mergeCell ref="MVZ158:MWV158"/>
    <mergeCell ref="MWW158:MXE158"/>
    <mergeCell ref="MXF158:MYB158"/>
    <mergeCell ref="MRY158:MSG158"/>
    <mergeCell ref="MSH158:MTD158"/>
    <mergeCell ref="MTE158:MTM158"/>
    <mergeCell ref="MTN158:MUJ158"/>
    <mergeCell ref="MUK158:MUS158"/>
    <mergeCell ref="MOP158:MPL158"/>
    <mergeCell ref="MPM158:MPU158"/>
    <mergeCell ref="MPV158:MQR158"/>
    <mergeCell ref="MQS158:MRA158"/>
    <mergeCell ref="MRB158:MRX158"/>
    <mergeCell ref="NKK158:NKS158"/>
    <mergeCell ref="NKT158:NLP158"/>
    <mergeCell ref="NLQ158:NLY158"/>
    <mergeCell ref="NLZ158:NMV158"/>
    <mergeCell ref="NMW158:NNE158"/>
    <mergeCell ref="NHB158:NHX158"/>
    <mergeCell ref="NHY158:NIG158"/>
    <mergeCell ref="NIH158:NJD158"/>
    <mergeCell ref="NJE158:NJM158"/>
    <mergeCell ref="NJN158:NKJ158"/>
    <mergeCell ref="NEG158:NEO158"/>
    <mergeCell ref="NEP158:NFL158"/>
    <mergeCell ref="NFM158:NFU158"/>
    <mergeCell ref="NFV158:NGR158"/>
    <mergeCell ref="NGS158:NHA158"/>
    <mergeCell ref="NAX158:NBT158"/>
    <mergeCell ref="NBU158:NCC158"/>
    <mergeCell ref="NCD158:NCZ158"/>
    <mergeCell ref="NDA158:NDI158"/>
    <mergeCell ref="NDJ158:NEF158"/>
    <mergeCell ref="NWS158:NXA158"/>
    <mergeCell ref="NXB158:NXX158"/>
    <mergeCell ref="NXY158:NYG158"/>
    <mergeCell ref="NYH158:NZD158"/>
    <mergeCell ref="NZE158:NZM158"/>
    <mergeCell ref="NTJ158:NUF158"/>
    <mergeCell ref="NUG158:NUO158"/>
    <mergeCell ref="NUP158:NVL158"/>
    <mergeCell ref="NVM158:NVU158"/>
    <mergeCell ref="NVV158:NWR158"/>
    <mergeCell ref="NQO158:NQW158"/>
    <mergeCell ref="NQX158:NRT158"/>
    <mergeCell ref="NRU158:NSC158"/>
    <mergeCell ref="NSD158:NSZ158"/>
    <mergeCell ref="NTA158:NTI158"/>
    <mergeCell ref="NNF158:NOB158"/>
    <mergeCell ref="NOC158:NOK158"/>
    <mergeCell ref="NOL158:NPH158"/>
    <mergeCell ref="NPI158:NPQ158"/>
    <mergeCell ref="NPR158:NQN158"/>
    <mergeCell ref="OJA158:OJI158"/>
    <mergeCell ref="OJJ158:OKF158"/>
    <mergeCell ref="OKG158:OKO158"/>
    <mergeCell ref="OKP158:OLL158"/>
    <mergeCell ref="OLM158:OLU158"/>
    <mergeCell ref="OFR158:OGN158"/>
    <mergeCell ref="OGO158:OGW158"/>
    <mergeCell ref="OGX158:OHT158"/>
    <mergeCell ref="OHU158:OIC158"/>
    <mergeCell ref="OID158:OIZ158"/>
    <mergeCell ref="OCW158:ODE158"/>
    <mergeCell ref="ODF158:OEB158"/>
    <mergeCell ref="OEC158:OEK158"/>
    <mergeCell ref="OEL158:OFH158"/>
    <mergeCell ref="OFI158:OFQ158"/>
    <mergeCell ref="NZN158:OAJ158"/>
    <mergeCell ref="OAK158:OAS158"/>
    <mergeCell ref="OAT158:OBP158"/>
    <mergeCell ref="OBQ158:OBY158"/>
    <mergeCell ref="OBZ158:OCV158"/>
    <mergeCell ref="OVI158:OVQ158"/>
    <mergeCell ref="OVR158:OWN158"/>
    <mergeCell ref="OWO158:OWW158"/>
    <mergeCell ref="OWX158:OXT158"/>
    <mergeCell ref="OXU158:OYC158"/>
    <mergeCell ref="ORZ158:OSV158"/>
    <mergeCell ref="OSW158:OTE158"/>
    <mergeCell ref="OTF158:OUB158"/>
    <mergeCell ref="OUC158:OUK158"/>
    <mergeCell ref="OUL158:OVH158"/>
    <mergeCell ref="OPE158:OPM158"/>
    <mergeCell ref="OPN158:OQJ158"/>
    <mergeCell ref="OQK158:OQS158"/>
    <mergeCell ref="OQT158:ORP158"/>
    <mergeCell ref="ORQ158:ORY158"/>
    <mergeCell ref="OLV158:OMR158"/>
    <mergeCell ref="OMS158:ONA158"/>
    <mergeCell ref="ONB158:ONX158"/>
    <mergeCell ref="ONY158:OOG158"/>
    <mergeCell ref="OOH158:OPD158"/>
    <mergeCell ref="PHQ158:PHY158"/>
    <mergeCell ref="PHZ158:PIV158"/>
    <mergeCell ref="PIW158:PJE158"/>
    <mergeCell ref="PJF158:PKB158"/>
    <mergeCell ref="PKC158:PKK158"/>
    <mergeCell ref="PEH158:PFD158"/>
    <mergeCell ref="PFE158:PFM158"/>
    <mergeCell ref="PFN158:PGJ158"/>
    <mergeCell ref="PGK158:PGS158"/>
    <mergeCell ref="PGT158:PHP158"/>
    <mergeCell ref="PBM158:PBU158"/>
    <mergeCell ref="PBV158:PCR158"/>
    <mergeCell ref="PCS158:PDA158"/>
    <mergeCell ref="PDB158:PDX158"/>
    <mergeCell ref="PDY158:PEG158"/>
    <mergeCell ref="OYD158:OYZ158"/>
    <mergeCell ref="OZA158:OZI158"/>
    <mergeCell ref="OZJ158:PAF158"/>
    <mergeCell ref="PAG158:PAO158"/>
    <mergeCell ref="PAP158:PBL158"/>
    <mergeCell ref="PTY158:PUG158"/>
    <mergeCell ref="PUH158:PVD158"/>
    <mergeCell ref="PVE158:PVM158"/>
    <mergeCell ref="PVN158:PWJ158"/>
    <mergeCell ref="PWK158:PWS158"/>
    <mergeCell ref="PQP158:PRL158"/>
    <mergeCell ref="PRM158:PRU158"/>
    <mergeCell ref="PRV158:PSR158"/>
    <mergeCell ref="PSS158:PTA158"/>
    <mergeCell ref="PTB158:PTX158"/>
    <mergeCell ref="PNU158:POC158"/>
    <mergeCell ref="POD158:POZ158"/>
    <mergeCell ref="PPA158:PPI158"/>
    <mergeCell ref="PPJ158:PQF158"/>
    <mergeCell ref="PQG158:PQO158"/>
    <mergeCell ref="PKL158:PLH158"/>
    <mergeCell ref="PLI158:PLQ158"/>
    <mergeCell ref="PLR158:PMN158"/>
    <mergeCell ref="PMO158:PMW158"/>
    <mergeCell ref="PMX158:PNT158"/>
    <mergeCell ref="QGG158:QGO158"/>
    <mergeCell ref="QGP158:QHL158"/>
    <mergeCell ref="QHM158:QHU158"/>
    <mergeCell ref="QHV158:QIR158"/>
    <mergeCell ref="QIS158:QJA158"/>
    <mergeCell ref="QCX158:QDT158"/>
    <mergeCell ref="QDU158:QEC158"/>
    <mergeCell ref="QED158:QEZ158"/>
    <mergeCell ref="QFA158:QFI158"/>
    <mergeCell ref="QFJ158:QGF158"/>
    <mergeCell ref="QAC158:QAK158"/>
    <mergeCell ref="QAL158:QBH158"/>
    <mergeCell ref="QBI158:QBQ158"/>
    <mergeCell ref="QBR158:QCN158"/>
    <mergeCell ref="QCO158:QCW158"/>
    <mergeCell ref="PWT158:PXP158"/>
    <mergeCell ref="PXQ158:PXY158"/>
    <mergeCell ref="PXZ158:PYV158"/>
    <mergeCell ref="PYW158:PZE158"/>
    <mergeCell ref="PZF158:QAB158"/>
    <mergeCell ref="QSO158:QSW158"/>
    <mergeCell ref="QSX158:QTT158"/>
    <mergeCell ref="QTU158:QUC158"/>
    <mergeCell ref="QUD158:QUZ158"/>
    <mergeCell ref="QVA158:QVI158"/>
    <mergeCell ref="QPF158:QQB158"/>
    <mergeCell ref="QQC158:QQK158"/>
    <mergeCell ref="QQL158:QRH158"/>
    <mergeCell ref="QRI158:QRQ158"/>
    <mergeCell ref="QRR158:QSN158"/>
    <mergeCell ref="QMK158:QMS158"/>
    <mergeCell ref="QMT158:QNP158"/>
    <mergeCell ref="QNQ158:QNY158"/>
    <mergeCell ref="QNZ158:QOV158"/>
    <mergeCell ref="QOW158:QPE158"/>
    <mergeCell ref="QJB158:QJX158"/>
    <mergeCell ref="QJY158:QKG158"/>
    <mergeCell ref="QKH158:QLD158"/>
    <mergeCell ref="QLE158:QLM158"/>
    <mergeCell ref="QLN158:QMJ158"/>
    <mergeCell ref="REW158:RFE158"/>
    <mergeCell ref="RFF158:RGB158"/>
    <mergeCell ref="RGC158:RGK158"/>
    <mergeCell ref="RGL158:RHH158"/>
    <mergeCell ref="RHI158:RHQ158"/>
    <mergeCell ref="RBN158:RCJ158"/>
    <mergeCell ref="RCK158:RCS158"/>
    <mergeCell ref="RCT158:RDP158"/>
    <mergeCell ref="RDQ158:RDY158"/>
    <mergeCell ref="RDZ158:REV158"/>
    <mergeCell ref="QYS158:QZA158"/>
    <mergeCell ref="QZB158:QZX158"/>
    <mergeCell ref="QZY158:RAG158"/>
    <mergeCell ref="RAH158:RBD158"/>
    <mergeCell ref="RBE158:RBM158"/>
    <mergeCell ref="QVJ158:QWF158"/>
    <mergeCell ref="QWG158:QWO158"/>
    <mergeCell ref="QWP158:QXL158"/>
    <mergeCell ref="QXM158:QXU158"/>
    <mergeCell ref="QXV158:QYR158"/>
    <mergeCell ref="RRE158:RRM158"/>
    <mergeCell ref="RRN158:RSJ158"/>
    <mergeCell ref="RSK158:RSS158"/>
    <mergeCell ref="RST158:RTP158"/>
    <mergeCell ref="RTQ158:RTY158"/>
    <mergeCell ref="RNV158:ROR158"/>
    <mergeCell ref="ROS158:RPA158"/>
    <mergeCell ref="RPB158:RPX158"/>
    <mergeCell ref="RPY158:RQG158"/>
    <mergeCell ref="RQH158:RRD158"/>
    <mergeCell ref="RLA158:RLI158"/>
    <mergeCell ref="RLJ158:RMF158"/>
    <mergeCell ref="RMG158:RMO158"/>
    <mergeCell ref="RMP158:RNL158"/>
    <mergeCell ref="RNM158:RNU158"/>
    <mergeCell ref="RHR158:RIN158"/>
    <mergeCell ref="RIO158:RIW158"/>
    <mergeCell ref="RIX158:RJT158"/>
    <mergeCell ref="RJU158:RKC158"/>
    <mergeCell ref="RKD158:RKZ158"/>
    <mergeCell ref="SDM158:SDU158"/>
    <mergeCell ref="SDV158:SER158"/>
    <mergeCell ref="SES158:SFA158"/>
    <mergeCell ref="SFB158:SFX158"/>
    <mergeCell ref="SFY158:SGG158"/>
    <mergeCell ref="SAD158:SAZ158"/>
    <mergeCell ref="SBA158:SBI158"/>
    <mergeCell ref="SBJ158:SCF158"/>
    <mergeCell ref="SCG158:SCO158"/>
    <mergeCell ref="SCP158:SDL158"/>
    <mergeCell ref="RXI158:RXQ158"/>
    <mergeCell ref="RXR158:RYN158"/>
    <mergeCell ref="RYO158:RYW158"/>
    <mergeCell ref="RYX158:RZT158"/>
    <mergeCell ref="RZU158:SAC158"/>
    <mergeCell ref="RTZ158:RUV158"/>
    <mergeCell ref="RUW158:RVE158"/>
    <mergeCell ref="RVF158:RWB158"/>
    <mergeCell ref="RWC158:RWK158"/>
    <mergeCell ref="RWL158:RXH158"/>
    <mergeCell ref="SPU158:SQC158"/>
    <mergeCell ref="SQD158:SQZ158"/>
    <mergeCell ref="SRA158:SRI158"/>
    <mergeCell ref="SRJ158:SSF158"/>
    <mergeCell ref="SSG158:SSO158"/>
    <mergeCell ref="SML158:SNH158"/>
    <mergeCell ref="SNI158:SNQ158"/>
    <mergeCell ref="SNR158:SON158"/>
    <mergeCell ref="SOO158:SOW158"/>
    <mergeCell ref="SOX158:SPT158"/>
    <mergeCell ref="SJQ158:SJY158"/>
    <mergeCell ref="SJZ158:SKV158"/>
    <mergeCell ref="SKW158:SLE158"/>
    <mergeCell ref="SLF158:SMB158"/>
    <mergeCell ref="SMC158:SMK158"/>
    <mergeCell ref="SGH158:SHD158"/>
    <mergeCell ref="SHE158:SHM158"/>
    <mergeCell ref="SHN158:SIJ158"/>
    <mergeCell ref="SIK158:SIS158"/>
    <mergeCell ref="SIT158:SJP158"/>
    <mergeCell ref="TCC158:TCK158"/>
    <mergeCell ref="TCL158:TDH158"/>
    <mergeCell ref="TDI158:TDQ158"/>
    <mergeCell ref="TDR158:TEN158"/>
    <mergeCell ref="TEO158:TEW158"/>
    <mergeCell ref="SYT158:SZP158"/>
    <mergeCell ref="SZQ158:SZY158"/>
    <mergeCell ref="SZZ158:TAV158"/>
    <mergeCell ref="TAW158:TBE158"/>
    <mergeCell ref="TBF158:TCB158"/>
    <mergeCell ref="SVY158:SWG158"/>
    <mergeCell ref="SWH158:SXD158"/>
    <mergeCell ref="SXE158:SXM158"/>
    <mergeCell ref="SXN158:SYJ158"/>
    <mergeCell ref="SYK158:SYS158"/>
    <mergeCell ref="SSP158:STL158"/>
    <mergeCell ref="STM158:STU158"/>
    <mergeCell ref="STV158:SUR158"/>
    <mergeCell ref="SUS158:SVA158"/>
    <mergeCell ref="SVB158:SVX158"/>
    <mergeCell ref="TOK158:TOS158"/>
    <mergeCell ref="TOT158:TPP158"/>
    <mergeCell ref="TPQ158:TPY158"/>
    <mergeCell ref="TPZ158:TQV158"/>
    <mergeCell ref="TQW158:TRE158"/>
    <mergeCell ref="TLB158:TLX158"/>
    <mergeCell ref="TLY158:TMG158"/>
    <mergeCell ref="TMH158:TND158"/>
    <mergeCell ref="TNE158:TNM158"/>
    <mergeCell ref="TNN158:TOJ158"/>
    <mergeCell ref="TIG158:TIO158"/>
    <mergeCell ref="TIP158:TJL158"/>
    <mergeCell ref="TJM158:TJU158"/>
    <mergeCell ref="TJV158:TKR158"/>
    <mergeCell ref="TKS158:TLA158"/>
    <mergeCell ref="TEX158:TFT158"/>
    <mergeCell ref="TFU158:TGC158"/>
    <mergeCell ref="TGD158:TGZ158"/>
    <mergeCell ref="THA158:THI158"/>
    <mergeCell ref="THJ158:TIF158"/>
    <mergeCell ref="UAS158:UBA158"/>
    <mergeCell ref="UBB158:UBX158"/>
    <mergeCell ref="UBY158:UCG158"/>
    <mergeCell ref="UCH158:UDD158"/>
    <mergeCell ref="UDE158:UDM158"/>
    <mergeCell ref="TXJ158:TYF158"/>
    <mergeCell ref="TYG158:TYO158"/>
    <mergeCell ref="TYP158:TZL158"/>
    <mergeCell ref="TZM158:TZU158"/>
    <mergeCell ref="TZV158:UAR158"/>
    <mergeCell ref="TUO158:TUW158"/>
    <mergeCell ref="TUX158:TVT158"/>
    <mergeCell ref="TVU158:TWC158"/>
    <mergeCell ref="TWD158:TWZ158"/>
    <mergeCell ref="TXA158:TXI158"/>
    <mergeCell ref="TRF158:TSB158"/>
    <mergeCell ref="TSC158:TSK158"/>
    <mergeCell ref="TSL158:TTH158"/>
    <mergeCell ref="TTI158:TTQ158"/>
    <mergeCell ref="TTR158:TUN158"/>
    <mergeCell ref="UNA158:UNI158"/>
    <mergeCell ref="UNJ158:UOF158"/>
    <mergeCell ref="UOG158:UOO158"/>
    <mergeCell ref="UOP158:UPL158"/>
    <mergeCell ref="UPM158:UPU158"/>
    <mergeCell ref="UJR158:UKN158"/>
    <mergeCell ref="UKO158:UKW158"/>
    <mergeCell ref="UKX158:ULT158"/>
    <mergeCell ref="ULU158:UMC158"/>
    <mergeCell ref="UMD158:UMZ158"/>
    <mergeCell ref="UGW158:UHE158"/>
    <mergeCell ref="UHF158:UIB158"/>
    <mergeCell ref="UIC158:UIK158"/>
    <mergeCell ref="UIL158:UJH158"/>
    <mergeCell ref="UJI158:UJQ158"/>
    <mergeCell ref="UDN158:UEJ158"/>
    <mergeCell ref="UEK158:UES158"/>
    <mergeCell ref="UET158:UFP158"/>
    <mergeCell ref="UFQ158:UFY158"/>
    <mergeCell ref="UFZ158:UGV158"/>
    <mergeCell ref="UZI158:UZQ158"/>
    <mergeCell ref="UZR158:VAN158"/>
    <mergeCell ref="VAO158:VAW158"/>
    <mergeCell ref="VAX158:VBT158"/>
    <mergeCell ref="VBU158:VCC158"/>
    <mergeCell ref="UVZ158:UWV158"/>
    <mergeCell ref="UWW158:UXE158"/>
    <mergeCell ref="UXF158:UYB158"/>
    <mergeCell ref="UYC158:UYK158"/>
    <mergeCell ref="UYL158:UZH158"/>
    <mergeCell ref="UTE158:UTM158"/>
    <mergeCell ref="UTN158:UUJ158"/>
    <mergeCell ref="UUK158:UUS158"/>
    <mergeCell ref="UUT158:UVP158"/>
    <mergeCell ref="UVQ158:UVY158"/>
    <mergeCell ref="UPV158:UQR158"/>
    <mergeCell ref="UQS158:URA158"/>
    <mergeCell ref="URB158:URX158"/>
    <mergeCell ref="URY158:USG158"/>
    <mergeCell ref="USH158:UTD158"/>
    <mergeCell ref="VLQ158:VLY158"/>
    <mergeCell ref="VLZ158:VMV158"/>
    <mergeCell ref="VMW158:VNE158"/>
    <mergeCell ref="VNF158:VOB158"/>
    <mergeCell ref="VOC158:VOK158"/>
    <mergeCell ref="VIH158:VJD158"/>
    <mergeCell ref="VJE158:VJM158"/>
    <mergeCell ref="VJN158:VKJ158"/>
    <mergeCell ref="VKK158:VKS158"/>
    <mergeCell ref="VKT158:VLP158"/>
    <mergeCell ref="VFM158:VFU158"/>
    <mergeCell ref="VFV158:VGR158"/>
    <mergeCell ref="VGS158:VHA158"/>
    <mergeCell ref="VHB158:VHX158"/>
    <mergeCell ref="VHY158:VIG158"/>
    <mergeCell ref="VCD158:VCZ158"/>
    <mergeCell ref="VDA158:VDI158"/>
    <mergeCell ref="VDJ158:VEF158"/>
    <mergeCell ref="VEG158:VEO158"/>
    <mergeCell ref="VEP158:VFL158"/>
    <mergeCell ref="VXY158:VYG158"/>
    <mergeCell ref="VYH158:VZD158"/>
    <mergeCell ref="VZE158:VZM158"/>
    <mergeCell ref="VZN158:WAJ158"/>
    <mergeCell ref="WAK158:WAS158"/>
    <mergeCell ref="VUP158:VVL158"/>
    <mergeCell ref="VVM158:VVU158"/>
    <mergeCell ref="VVV158:VWR158"/>
    <mergeCell ref="VWS158:VXA158"/>
    <mergeCell ref="VXB158:VXX158"/>
    <mergeCell ref="VRU158:VSC158"/>
    <mergeCell ref="VSD158:VSZ158"/>
    <mergeCell ref="VTA158:VTI158"/>
    <mergeCell ref="VTJ158:VUF158"/>
    <mergeCell ref="VUG158:VUO158"/>
    <mergeCell ref="VOL158:VPH158"/>
    <mergeCell ref="VPI158:VPQ158"/>
    <mergeCell ref="VPR158:VQN158"/>
    <mergeCell ref="VQO158:VQW158"/>
    <mergeCell ref="VQX158:VRT158"/>
    <mergeCell ref="WKP158:WLL158"/>
    <mergeCell ref="WLM158:WLU158"/>
    <mergeCell ref="WLV158:WMR158"/>
    <mergeCell ref="WMS158:WNA158"/>
    <mergeCell ref="WGX158:WHT158"/>
    <mergeCell ref="WHU158:WIC158"/>
    <mergeCell ref="WID158:WIZ158"/>
    <mergeCell ref="WJA158:WJI158"/>
    <mergeCell ref="WJJ158:WKF158"/>
    <mergeCell ref="WEC158:WEK158"/>
    <mergeCell ref="WEL158:WFH158"/>
    <mergeCell ref="WFI158:WFQ158"/>
    <mergeCell ref="WFR158:WGN158"/>
    <mergeCell ref="WGO158:WGW158"/>
    <mergeCell ref="WAT158:WBP158"/>
    <mergeCell ref="WBQ158:WBY158"/>
    <mergeCell ref="WBZ158:WCV158"/>
    <mergeCell ref="WCW158:WDE158"/>
    <mergeCell ref="WDF158:WEB158"/>
    <mergeCell ref="XCS158:XDA158"/>
    <mergeCell ref="XDB158:XDX158"/>
    <mergeCell ref="XDY158:XEG158"/>
    <mergeCell ref="XEH158:XFD158"/>
    <mergeCell ref="A160:I160"/>
    <mergeCell ref="J160:AF160"/>
    <mergeCell ref="WZJ158:XAF158"/>
    <mergeCell ref="XAG158:XAO158"/>
    <mergeCell ref="XAP158:XBL158"/>
    <mergeCell ref="XBM158:XBU158"/>
    <mergeCell ref="XBV158:XCR158"/>
    <mergeCell ref="WWO158:WWW158"/>
    <mergeCell ref="WWX158:WXT158"/>
    <mergeCell ref="WXU158:WYC158"/>
    <mergeCell ref="WYD158:WYZ158"/>
    <mergeCell ref="WZA158:WZI158"/>
    <mergeCell ref="WTF158:WUB158"/>
    <mergeCell ref="WUC158:WUK158"/>
    <mergeCell ref="WUL158:WVH158"/>
    <mergeCell ref="WVI158:WVQ158"/>
    <mergeCell ref="WVR158:WWN158"/>
    <mergeCell ref="WQK158:WQS158"/>
    <mergeCell ref="WQT158:WRP158"/>
    <mergeCell ref="WRQ158:WRY158"/>
    <mergeCell ref="WRZ158:WSV158"/>
    <mergeCell ref="WSW158:WTE158"/>
    <mergeCell ref="WNB158:WNX158"/>
    <mergeCell ref="WNY158:WOG158"/>
    <mergeCell ref="WOH158:WPD158"/>
    <mergeCell ref="WPE158:WPM158"/>
    <mergeCell ref="WPN158:WQJ158"/>
    <mergeCell ref="WKG158:WKO158"/>
    <mergeCell ref="A174:I174"/>
    <mergeCell ref="J174:AF174"/>
    <mergeCell ref="A88:I88"/>
    <mergeCell ref="J88:AF88"/>
    <mergeCell ref="A116:I116"/>
    <mergeCell ref="J116:AF116"/>
    <mergeCell ref="A168:I168"/>
    <mergeCell ref="J168:AF168"/>
    <mergeCell ref="A170:I170"/>
    <mergeCell ref="J170:AF170"/>
    <mergeCell ref="A172:I172"/>
    <mergeCell ref="J172:AF172"/>
    <mergeCell ref="A162:I162"/>
    <mergeCell ref="J162:AF162"/>
    <mergeCell ref="A164:I164"/>
    <mergeCell ref="J164:AF164"/>
    <mergeCell ref="A166:I166"/>
    <mergeCell ref="J166:AF166"/>
    <mergeCell ref="A144:I144"/>
    <mergeCell ref="J144:AF144"/>
    <mergeCell ref="A146:I146"/>
    <mergeCell ref="J146:AF146"/>
    <mergeCell ref="A142:I142"/>
    <mergeCell ref="J142:AF142"/>
    <mergeCell ref="A130:I130"/>
    <mergeCell ref="J130:AF130"/>
    <mergeCell ref="A126:I126"/>
    <mergeCell ref="J126:AF126"/>
    <mergeCell ref="A128:I128"/>
    <mergeCell ref="J128:AF128"/>
    <mergeCell ref="A148:I148"/>
    <mergeCell ref="J148:AF148"/>
  </mergeCells>
  <hyperlinks>
    <hyperlink ref="A2" location="TOC!A1" display="Return to TOC" xr:uid="{00000000-0004-0000-0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FE17F-9C92-43DE-B062-2A7845D38F7F}">
  <sheetPr>
    <tabColor theme="5" tint="0.39997558519241921"/>
  </sheetPr>
  <dimension ref="A1:CX123"/>
  <sheetViews>
    <sheetView workbookViewId="0">
      <selection sqref="A1:AF1"/>
    </sheetView>
  </sheetViews>
  <sheetFormatPr defaultColWidth="2.7109375" defaultRowHeight="15" x14ac:dyDescent="0.25"/>
  <cols>
    <col min="1" max="32" width="2.7109375" style="1"/>
    <col min="34" max="102" width="2.7109375" style="227"/>
  </cols>
  <sheetData>
    <row r="1" spans="1:102" s="1" customFormat="1" ht="18.75" x14ac:dyDescent="0.25">
      <c r="A1" s="1464" t="s">
        <v>6905</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row>
    <row r="2" spans="1:102" s="1" customFormat="1"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102"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10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102" x14ac:dyDescent="0.25">
      <c r="A5" s="262"/>
      <c r="B5" s="1151" t="s">
        <v>6906</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102" s="1" customFormat="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H6" s="262"/>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2"/>
      <c r="BG6" s="262"/>
      <c r="BH6" s="262"/>
      <c r="BI6" s="262"/>
      <c r="BJ6" s="262"/>
      <c r="BK6" s="262"/>
      <c r="BL6" s="262"/>
      <c r="BM6" s="262"/>
      <c r="BN6" s="262"/>
      <c r="BO6" s="262"/>
      <c r="BP6" s="262"/>
      <c r="BQ6" s="262"/>
      <c r="BR6" s="262"/>
      <c r="BS6" s="262"/>
      <c r="BT6" s="262"/>
      <c r="BU6" s="262"/>
      <c r="BV6" s="262"/>
      <c r="BW6" s="262"/>
      <c r="BX6" s="262"/>
      <c r="BY6" s="262"/>
      <c r="BZ6" s="262"/>
      <c r="CA6" s="262"/>
      <c r="CB6" s="262"/>
      <c r="CC6" s="262"/>
      <c r="CD6" s="262"/>
      <c r="CE6" s="262"/>
      <c r="CF6" s="262"/>
      <c r="CG6" s="262"/>
      <c r="CH6" s="262"/>
      <c r="CI6" s="262"/>
      <c r="CJ6" s="262"/>
      <c r="CK6" s="262"/>
      <c r="CL6" s="262"/>
      <c r="CM6" s="262"/>
      <c r="CN6" s="262"/>
      <c r="CO6" s="262"/>
      <c r="CP6" s="262"/>
      <c r="CQ6" s="262"/>
      <c r="CR6" s="262"/>
      <c r="CS6" s="262"/>
      <c r="CT6" s="262"/>
      <c r="CU6" s="262"/>
      <c r="CV6" s="262"/>
      <c r="CW6" s="262"/>
      <c r="CX6" s="262"/>
    </row>
    <row r="7" spans="1:102" s="1" customFormat="1"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c r="CT7" s="262"/>
      <c r="CU7" s="262"/>
      <c r="CV7" s="262"/>
      <c r="CW7" s="262"/>
      <c r="CX7" s="262"/>
    </row>
    <row r="8" spans="1:102" s="1" customForma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H8" s="262"/>
      <c r="AI8" s="262"/>
      <c r="AJ8" s="262"/>
      <c r="AK8" s="262"/>
      <c r="AL8" s="262"/>
      <c r="AM8" s="262"/>
      <c r="AN8" s="262"/>
      <c r="AO8" s="262"/>
      <c r="AP8" s="262"/>
      <c r="AQ8" s="262"/>
      <c r="AR8" s="262"/>
      <c r="AS8" s="262"/>
      <c r="AT8" s="262"/>
      <c r="AU8" s="262"/>
      <c r="AV8" s="262"/>
      <c r="AW8" s="262"/>
      <c r="AX8" s="262"/>
      <c r="AY8" s="262"/>
      <c r="AZ8" s="262"/>
      <c r="BA8" s="262"/>
      <c r="BB8" s="262"/>
      <c r="BC8" s="262"/>
      <c r="BD8" s="262"/>
      <c r="BE8" s="262"/>
      <c r="BF8" s="262"/>
      <c r="BG8" s="262"/>
      <c r="BH8" s="262"/>
      <c r="BI8" s="262"/>
      <c r="BJ8" s="262"/>
      <c r="BK8" s="262"/>
      <c r="BL8" s="262"/>
      <c r="BM8" s="262"/>
      <c r="BN8" s="262"/>
      <c r="BO8" s="262"/>
      <c r="BP8" s="262"/>
      <c r="BQ8" s="262"/>
      <c r="BR8" s="262"/>
      <c r="BS8" s="262"/>
      <c r="BT8" s="262"/>
      <c r="BU8" s="262"/>
      <c r="BV8" s="262"/>
      <c r="BW8" s="262"/>
      <c r="BX8" s="262"/>
      <c r="BY8" s="262"/>
      <c r="BZ8" s="262"/>
      <c r="CA8" s="262"/>
      <c r="CB8" s="262"/>
      <c r="CC8" s="262"/>
      <c r="CD8" s="262"/>
      <c r="CE8" s="262"/>
      <c r="CF8" s="262"/>
      <c r="CG8" s="262"/>
      <c r="CH8" s="262"/>
      <c r="CI8" s="262"/>
      <c r="CJ8" s="262"/>
      <c r="CK8" s="262"/>
      <c r="CL8" s="262"/>
      <c r="CM8" s="262"/>
      <c r="CN8" s="262"/>
      <c r="CO8" s="262"/>
      <c r="CP8" s="262"/>
      <c r="CQ8" s="262"/>
      <c r="CR8" s="262"/>
      <c r="CS8" s="262"/>
      <c r="CT8" s="262"/>
      <c r="CU8" s="262"/>
      <c r="CV8" s="262"/>
      <c r="CW8" s="262"/>
      <c r="CX8" s="262"/>
    </row>
    <row r="9" spans="1:102" s="1" customFormat="1" x14ac:dyDescent="0.25">
      <c r="B9" s="171" t="s">
        <v>10</v>
      </c>
      <c r="C9" s="171"/>
      <c r="D9" s="171"/>
      <c r="E9" s="171"/>
      <c r="F9" s="171"/>
      <c r="G9" s="171"/>
      <c r="H9" s="171"/>
      <c r="I9" s="171"/>
      <c r="AH9" s="262"/>
      <c r="AI9" s="262"/>
      <c r="AJ9" s="262"/>
      <c r="AK9" s="262"/>
      <c r="AL9" s="262"/>
      <c r="AM9" s="262"/>
      <c r="AN9" s="262"/>
      <c r="AO9" s="262"/>
      <c r="AP9" s="262"/>
      <c r="AQ9" s="262"/>
      <c r="AR9" s="262"/>
      <c r="AS9" s="262"/>
      <c r="AT9" s="262"/>
      <c r="AU9" s="262"/>
      <c r="AV9" s="262"/>
      <c r="AW9" s="262"/>
      <c r="AX9" s="262"/>
      <c r="AY9" s="262"/>
      <c r="AZ9" s="262"/>
      <c r="BA9" s="262"/>
      <c r="BB9" s="262"/>
      <c r="BC9" s="262"/>
      <c r="BD9" s="262"/>
      <c r="BE9" s="262"/>
      <c r="BF9" s="262"/>
      <c r="BG9" s="262"/>
      <c r="BH9" s="262"/>
      <c r="BI9" s="262"/>
      <c r="BJ9" s="262"/>
      <c r="BK9" s="262"/>
      <c r="BL9" s="262"/>
      <c r="BM9" s="262"/>
      <c r="BN9" s="262"/>
      <c r="BO9" s="262"/>
      <c r="BP9" s="262"/>
      <c r="BQ9" s="262"/>
      <c r="BR9" s="262"/>
      <c r="BS9" s="262"/>
      <c r="BT9" s="262"/>
      <c r="BU9" s="262"/>
      <c r="BV9" s="262"/>
      <c r="BW9" s="262"/>
      <c r="BX9" s="262"/>
      <c r="BY9" s="262"/>
      <c r="BZ9" s="262"/>
      <c r="CA9" s="262"/>
      <c r="CB9" s="262"/>
      <c r="CC9" s="262"/>
      <c r="CD9" s="262"/>
      <c r="CE9" s="262"/>
      <c r="CF9" s="262"/>
      <c r="CG9" s="262"/>
      <c r="CH9" s="262"/>
      <c r="CI9" s="262"/>
      <c r="CJ9" s="262"/>
      <c r="CK9" s="262"/>
      <c r="CL9" s="262"/>
      <c r="CM9" s="262"/>
      <c r="CN9" s="262"/>
      <c r="CO9" s="262"/>
      <c r="CP9" s="262"/>
      <c r="CQ9" s="262"/>
      <c r="CR9" s="262"/>
      <c r="CS9" s="262"/>
      <c r="CT9" s="262"/>
      <c r="CU9" s="262"/>
      <c r="CV9" s="262"/>
      <c r="CW9" s="262"/>
      <c r="CX9" s="262"/>
    </row>
    <row r="10" spans="1:102" s="1" customFormat="1" ht="46.5" customHeight="1" x14ac:dyDescent="0.25">
      <c r="B10" s="1247" t="s">
        <v>6907</v>
      </c>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c r="AE10" s="1247"/>
      <c r="AF10" s="1247"/>
      <c r="AH10" s="647"/>
      <c r="AI10" s="262"/>
      <c r="AJ10" s="262"/>
      <c r="AK10" s="262"/>
      <c r="AL10" s="262"/>
      <c r="AM10" s="262"/>
      <c r="AN10" s="262"/>
      <c r="AO10" s="262"/>
      <c r="AP10" s="262"/>
      <c r="AQ10" s="262"/>
      <c r="AR10" s="262"/>
      <c r="AS10" s="262"/>
      <c r="AT10" s="262"/>
      <c r="AU10" s="262"/>
      <c r="AV10" s="262"/>
      <c r="AW10" s="262"/>
      <c r="AX10" s="262"/>
      <c r="AY10" s="262"/>
      <c r="AZ10" s="262"/>
      <c r="BA10" s="262"/>
      <c r="BB10" s="262"/>
      <c r="BC10" s="262"/>
      <c r="BD10" s="262"/>
      <c r="BE10" s="262"/>
      <c r="BF10" s="262"/>
      <c r="BG10" s="262"/>
      <c r="BH10" s="262"/>
      <c r="BI10" s="262"/>
      <c r="BJ10" s="262"/>
      <c r="BK10" s="262"/>
      <c r="BL10" s="262"/>
      <c r="BM10" s="262"/>
      <c r="BN10" s="262"/>
      <c r="BO10" s="262"/>
      <c r="BP10" s="262"/>
      <c r="BQ10" s="262"/>
      <c r="BR10" s="262"/>
      <c r="BS10" s="262"/>
      <c r="BT10" s="262"/>
      <c r="BU10" s="262"/>
      <c r="BV10" s="262"/>
      <c r="BW10" s="262"/>
      <c r="BX10" s="262"/>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2"/>
      <c r="CV10" s="262"/>
      <c r="CW10" s="262"/>
      <c r="CX10" s="262"/>
    </row>
    <row r="11" spans="1:102" s="1" customFormat="1" ht="15" customHeight="1" x14ac:dyDescent="0.25">
      <c r="AH11" s="647"/>
      <c r="AI11" s="262"/>
      <c r="AJ11" s="262"/>
      <c r="AK11" s="262"/>
      <c r="AL11" s="262"/>
      <c r="AM11" s="262"/>
      <c r="AN11" s="262"/>
      <c r="AO11" s="262"/>
      <c r="AP11" s="262"/>
      <c r="AQ11" s="262"/>
      <c r="AR11" s="262"/>
      <c r="AS11" s="262"/>
      <c r="AT11" s="262"/>
      <c r="AU11" s="262"/>
      <c r="AV11" s="262"/>
      <c r="AW11" s="262"/>
      <c r="AX11" s="262"/>
      <c r="AY11" s="262"/>
      <c r="AZ11" s="262"/>
      <c r="BA11" s="262"/>
      <c r="BB11" s="262"/>
      <c r="BC11" s="262"/>
      <c r="BD11" s="262"/>
      <c r="BE11" s="262"/>
      <c r="BF11" s="262"/>
      <c r="BG11" s="262"/>
      <c r="BH11" s="262"/>
      <c r="BI11" s="262"/>
      <c r="BJ11" s="262"/>
      <c r="BK11" s="262"/>
      <c r="BL11" s="262"/>
      <c r="BM11" s="262"/>
      <c r="BN11" s="262"/>
      <c r="BO11" s="262"/>
      <c r="BP11" s="262"/>
      <c r="BQ11" s="262"/>
      <c r="BR11" s="262"/>
      <c r="BS11" s="262"/>
      <c r="BT11" s="262"/>
      <c r="BU11" s="262"/>
      <c r="BV11" s="262"/>
      <c r="BW11" s="262"/>
      <c r="BX11" s="262"/>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2"/>
      <c r="CV11" s="262"/>
      <c r="CW11" s="262"/>
      <c r="CX11" s="262"/>
    </row>
    <row r="12" spans="1:102" s="1" customFormat="1" x14ac:dyDescent="0.25">
      <c r="B12" s="171" t="s">
        <v>11</v>
      </c>
      <c r="C12" s="171"/>
      <c r="D12" s="171"/>
      <c r="E12" s="171"/>
      <c r="F12" s="171"/>
      <c r="G12" s="171"/>
      <c r="H12" s="171"/>
      <c r="I12" s="171"/>
      <c r="AH12" s="647"/>
      <c r="AI12" s="262"/>
      <c r="AJ12" s="262"/>
      <c r="AK12" s="262"/>
      <c r="AL12" s="262"/>
      <c r="AM12" s="262"/>
      <c r="AN12" s="262"/>
      <c r="AO12" s="262"/>
      <c r="AP12" s="262"/>
      <c r="AQ12" s="262"/>
      <c r="AR12" s="262"/>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c r="BO12" s="262"/>
      <c r="BP12" s="262"/>
      <c r="BQ12" s="262"/>
      <c r="BR12" s="262"/>
      <c r="BS12" s="262"/>
      <c r="BT12" s="262"/>
      <c r="BU12" s="262"/>
      <c r="BV12" s="262"/>
      <c r="BW12" s="262"/>
      <c r="BX12" s="262"/>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2"/>
      <c r="CV12" s="262"/>
      <c r="CW12" s="262"/>
      <c r="CX12" s="262"/>
    </row>
    <row r="13" spans="1:102" s="1" customFormat="1" ht="30" customHeight="1" x14ac:dyDescent="0.25">
      <c r="B13" s="1734" t="s">
        <v>6908</v>
      </c>
      <c r="C13" s="1734"/>
      <c r="D13" s="1734"/>
      <c r="E13" s="1734"/>
      <c r="F13" s="1734"/>
      <c r="G13" s="1734"/>
      <c r="H13" s="1734"/>
      <c r="I13" s="1734"/>
      <c r="J13" s="1734"/>
      <c r="K13" s="1734"/>
      <c r="L13" s="1734"/>
      <c r="M13" s="1734"/>
      <c r="N13" s="1734"/>
      <c r="O13" s="1734"/>
      <c r="P13" s="1734"/>
      <c r="Q13" s="1734"/>
      <c r="R13" s="1734"/>
      <c r="S13" s="1734"/>
      <c r="T13" s="1734"/>
      <c r="U13" s="1734"/>
      <c r="V13" s="1734"/>
      <c r="W13" s="1734"/>
      <c r="X13" s="1734"/>
      <c r="Y13" s="1734"/>
      <c r="Z13" s="1734"/>
      <c r="AA13" s="1734"/>
      <c r="AB13" s="1734"/>
      <c r="AC13" s="1734"/>
      <c r="AD13" s="1734"/>
      <c r="AE13" s="1734"/>
      <c r="AF13" s="1734"/>
      <c r="AH13" s="647"/>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2"/>
      <c r="CV13" s="262"/>
      <c r="CW13" s="262"/>
      <c r="CX13" s="262"/>
    </row>
    <row r="14" spans="1:102" s="1" customFormat="1" x14ac:dyDescent="0.25">
      <c r="B14" s="1734" t="s">
        <v>6909</v>
      </c>
      <c r="C14" s="1734"/>
      <c r="D14" s="1734"/>
      <c r="E14" s="1734"/>
      <c r="F14" s="1734"/>
      <c r="G14" s="1734"/>
      <c r="H14" s="1734"/>
      <c r="I14" s="1734"/>
      <c r="J14" s="1734"/>
      <c r="K14" s="1734"/>
      <c r="L14" s="1734"/>
      <c r="M14" s="1734"/>
      <c r="N14" s="1734"/>
      <c r="O14" s="1734"/>
      <c r="P14" s="1734"/>
      <c r="Q14" s="1734"/>
      <c r="R14" s="1734"/>
      <c r="S14" s="1734"/>
      <c r="T14" s="1734"/>
      <c r="U14" s="1734"/>
      <c r="V14" s="1734"/>
      <c r="W14" s="1734"/>
      <c r="X14" s="1734"/>
      <c r="Y14" s="1734"/>
      <c r="Z14" s="1734"/>
      <c r="AA14" s="1734"/>
      <c r="AB14" s="1734"/>
      <c r="AC14" s="1734"/>
      <c r="AD14" s="1734"/>
      <c r="AE14" s="1734"/>
      <c r="AF14" s="1734"/>
      <c r="AH14" s="647"/>
      <c r="AI14" s="262"/>
      <c r="AJ14" s="262"/>
      <c r="AK14" s="262"/>
      <c r="AL14" s="262"/>
      <c r="AM14" s="262"/>
      <c r="AN14" s="262"/>
      <c r="AO14" s="262"/>
      <c r="AP14" s="262"/>
      <c r="AQ14" s="262"/>
      <c r="AR14" s="262"/>
      <c r="AS14" s="262"/>
      <c r="AT14" s="262"/>
      <c r="AU14" s="262"/>
      <c r="AV14" s="262"/>
      <c r="AW14" s="262"/>
      <c r="AX14" s="262"/>
      <c r="AY14" s="262"/>
      <c r="AZ14" s="262"/>
      <c r="BA14" s="262"/>
      <c r="BB14" s="262"/>
      <c r="BC14" s="262"/>
      <c r="BD14" s="262"/>
      <c r="BE14" s="262"/>
      <c r="BF14" s="262"/>
      <c r="BG14" s="262"/>
      <c r="BH14" s="262"/>
      <c r="BI14" s="262"/>
      <c r="BJ14" s="262"/>
      <c r="BK14" s="262"/>
      <c r="BL14" s="262"/>
      <c r="BM14" s="262"/>
      <c r="BN14" s="262"/>
      <c r="BO14" s="262"/>
      <c r="BP14" s="262"/>
      <c r="BQ14" s="262"/>
      <c r="BR14" s="262"/>
      <c r="BS14" s="262"/>
      <c r="BT14" s="262"/>
      <c r="BU14" s="262"/>
      <c r="BV14" s="262"/>
      <c r="BW14" s="262"/>
      <c r="BX14" s="262"/>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2"/>
      <c r="CV14" s="262"/>
      <c r="CW14" s="262"/>
      <c r="CX14" s="262"/>
    </row>
    <row r="15" spans="1:102" s="1" customFormat="1" ht="46.5" customHeight="1" x14ac:dyDescent="0.25">
      <c r="B15" s="1323" t="s">
        <v>6910</v>
      </c>
      <c r="C15" s="1323"/>
      <c r="D15" s="1323"/>
      <c r="E15" s="1323"/>
      <c r="F15" s="1323"/>
      <c r="G15" s="1323"/>
      <c r="H15" s="1323"/>
      <c r="I15" s="1323"/>
      <c r="J15" s="1323"/>
      <c r="K15" s="1323"/>
      <c r="L15" s="1323"/>
      <c r="M15" s="1323"/>
      <c r="N15" s="1323"/>
      <c r="O15" s="1323"/>
      <c r="P15" s="1323"/>
      <c r="Q15" s="1323"/>
      <c r="R15" s="1323"/>
      <c r="S15" s="1323"/>
      <c r="T15" s="1323"/>
      <c r="U15" s="1323"/>
      <c r="V15" s="1323"/>
      <c r="W15" s="1323"/>
      <c r="X15" s="1323"/>
      <c r="Y15" s="1323"/>
      <c r="Z15" s="1323"/>
      <c r="AA15" s="1323"/>
      <c r="AB15" s="1323"/>
      <c r="AC15" s="1323"/>
      <c r="AD15" s="1323"/>
      <c r="AE15" s="1323"/>
      <c r="AF15" s="1323"/>
      <c r="AH15" s="647"/>
      <c r="AI15" s="262"/>
      <c r="AJ15" s="262"/>
      <c r="AK15" s="262"/>
      <c r="AL15" s="262"/>
      <c r="AM15" s="262"/>
      <c r="AN15" s="262"/>
      <c r="AO15" s="262"/>
      <c r="AP15" s="262"/>
      <c r="AQ15" s="262"/>
      <c r="AR15" s="262"/>
      <c r="AS15" s="262"/>
      <c r="AT15" s="262"/>
      <c r="AU15" s="262"/>
      <c r="AV15" s="262"/>
      <c r="AW15" s="262"/>
      <c r="AX15" s="262"/>
      <c r="AY15" s="262"/>
      <c r="AZ15" s="262"/>
      <c r="BA15" s="262"/>
      <c r="BB15" s="262"/>
      <c r="BC15" s="262"/>
      <c r="BD15" s="262"/>
      <c r="BE15" s="262"/>
      <c r="BF15" s="262"/>
      <c r="BG15" s="262"/>
      <c r="BH15" s="262"/>
      <c r="BI15" s="262"/>
      <c r="BJ15" s="262"/>
      <c r="BK15" s="262"/>
      <c r="BL15" s="262"/>
      <c r="BM15" s="262"/>
      <c r="BN15" s="262"/>
      <c r="BO15" s="262"/>
      <c r="BP15" s="262"/>
      <c r="BQ15" s="262"/>
      <c r="BR15" s="262"/>
      <c r="BS15" s="262"/>
      <c r="BT15" s="262"/>
      <c r="BU15" s="262"/>
      <c r="BV15" s="262"/>
      <c r="BW15" s="262"/>
      <c r="BX15" s="262"/>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2"/>
      <c r="CV15" s="262"/>
      <c r="CW15" s="262"/>
      <c r="CX15" s="262"/>
    </row>
    <row r="16" spans="1:102" s="1" customFormat="1" ht="30" customHeight="1" x14ac:dyDescent="0.25">
      <c r="B16" s="1734" t="s">
        <v>6911</v>
      </c>
      <c r="C16" s="1734"/>
      <c r="D16" s="1734"/>
      <c r="E16" s="1734"/>
      <c r="F16" s="1734"/>
      <c r="G16" s="1734"/>
      <c r="H16" s="1734"/>
      <c r="I16" s="1734"/>
      <c r="J16" s="1734"/>
      <c r="K16" s="1734"/>
      <c r="L16" s="1734"/>
      <c r="M16" s="1734"/>
      <c r="N16" s="1734"/>
      <c r="O16" s="1734"/>
      <c r="P16" s="1734"/>
      <c r="Q16" s="1734"/>
      <c r="R16" s="1734"/>
      <c r="S16" s="1734"/>
      <c r="T16" s="1734"/>
      <c r="U16" s="1734"/>
      <c r="V16" s="1734"/>
      <c r="W16" s="1734"/>
      <c r="X16" s="1734"/>
      <c r="Y16" s="1734"/>
      <c r="Z16" s="1734"/>
      <c r="AA16" s="1734"/>
      <c r="AB16" s="1734"/>
      <c r="AC16" s="1734"/>
      <c r="AD16" s="1734"/>
      <c r="AE16" s="1734"/>
      <c r="AF16" s="1734"/>
      <c r="AH16" s="262"/>
      <c r="AI16" s="262"/>
      <c r="AJ16" s="262"/>
      <c r="AK16" s="262"/>
      <c r="AL16" s="262"/>
      <c r="AM16" s="262"/>
      <c r="AN16" s="262"/>
      <c r="AO16" s="262"/>
      <c r="AP16" s="262"/>
      <c r="AQ16" s="262"/>
      <c r="AR16" s="262"/>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262"/>
      <c r="BT16" s="262"/>
      <c r="BU16" s="262"/>
      <c r="BV16" s="262"/>
      <c r="BW16" s="262"/>
      <c r="BX16" s="262"/>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2"/>
      <c r="CV16" s="262"/>
      <c r="CW16" s="262"/>
      <c r="CX16" s="262"/>
    </row>
    <row r="17" spans="1:102" s="1" customFormat="1" ht="30" customHeight="1" x14ac:dyDescent="0.25">
      <c r="B17" s="1734" t="s">
        <v>6912</v>
      </c>
      <c r="C17" s="1734"/>
      <c r="D17" s="1734"/>
      <c r="E17" s="1734"/>
      <c r="F17" s="1734"/>
      <c r="G17" s="1734"/>
      <c r="H17" s="1734"/>
      <c r="I17" s="1734"/>
      <c r="J17" s="1734"/>
      <c r="K17" s="1734"/>
      <c r="L17" s="1734"/>
      <c r="M17" s="1734"/>
      <c r="N17" s="1734"/>
      <c r="O17" s="1734"/>
      <c r="P17" s="1734"/>
      <c r="Q17" s="1734"/>
      <c r="R17" s="1734"/>
      <c r="S17" s="1734"/>
      <c r="T17" s="1734"/>
      <c r="U17" s="1734"/>
      <c r="V17" s="1734"/>
      <c r="W17" s="1734"/>
      <c r="X17" s="1734"/>
      <c r="Y17" s="1734"/>
      <c r="Z17" s="1734"/>
      <c r="AA17" s="1734"/>
      <c r="AB17" s="1734"/>
      <c r="AC17" s="1734"/>
      <c r="AD17" s="1734"/>
      <c r="AE17" s="1734"/>
      <c r="AF17" s="1734"/>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row>
    <row r="18" spans="1:102" s="1" customFormat="1" x14ac:dyDescent="0.25">
      <c r="B18" s="31"/>
      <c r="C18" s="1470" t="s">
        <v>6913</v>
      </c>
      <c r="D18" s="1466"/>
      <c r="E18" s="1466"/>
      <c r="F18" s="1466"/>
      <c r="G18" s="1466"/>
      <c r="H18" s="1466"/>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262"/>
      <c r="BT18" s="262"/>
      <c r="BU18" s="262"/>
      <c r="BV18" s="262"/>
      <c r="BW18" s="262"/>
      <c r="BX18" s="262"/>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2"/>
      <c r="CV18" s="262"/>
      <c r="CW18" s="262"/>
      <c r="CX18" s="262"/>
    </row>
    <row r="19" spans="1:102" s="1" customFormat="1" ht="15" customHeight="1" x14ac:dyDescent="0.25">
      <c r="B19" s="31"/>
      <c r="C19" s="1466" t="s">
        <v>6914</v>
      </c>
      <c r="D19" s="1466"/>
      <c r="E19" s="1466"/>
      <c r="F19" s="1466"/>
      <c r="G19" s="1466"/>
      <c r="H19" s="1466"/>
      <c r="I19" s="1466"/>
      <c r="J19" s="1466"/>
      <c r="K19" s="1466"/>
      <c r="L19" s="1466"/>
      <c r="M19" s="1466"/>
      <c r="N19" s="1466"/>
      <c r="O19" s="1466"/>
      <c r="P19" s="1466"/>
      <c r="Q19" s="1466"/>
      <c r="R19" s="1466"/>
      <c r="S19" s="1466"/>
      <c r="T19" s="1466"/>
      <c r="U19" s="1466"/>
      <c r="V19" s="1466"/>
      <c r="W19" s="1466"/>
      <c r="X19" s="1466"/>
      <c r="Y19" s="1466"/>
      <c r="Z19" s="1466"/>
      <c r="AA19" s="1466"/>
      <c r="AB19" s="1466"/>
      <c r="AC19" s="1466"/>
      <c r="AD19" s="1466"/>
      <c r="AE19" s="1466"/>
      <c r="AF19" s="1466"/>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2"/>
      <c r="BG19" s="262"/>
      <c r="BH19" s="262"/>
      <c r="BI19" s="262"/>
      <c r="BJ19" s="262"/>
      <c r="BK19" s="262"/>
      <c r="BL19" s="262"/>
      <c r="BM19" s="262"/>
      <c r="BN19" s="262"/>
      <c r="BO19" s="262"/>
      <c r="BP19" s="262"/>
      <c r="BQ19" s="262"/>
      <c r="BR19" s="262"/>
      <c r="BS19" s="262"/>
      <c r="BT19" s="262"/>
      <c r="BU19" s="262"/>
      <c r="BV19" s="262"/>
      <c r="BW19" s="262"/>
      <c r="BX19" s="262"/>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2"/>
      <c r="CV19" s="262"/>
      <c r="CW19" s="262"/>
      <c r="CX19" s="262"/>
    </row>
    <row r="20" spans="1:102" s="1" customFormat="1" x14ac:dyDescent="0.25">
      <c r="B20" s="31"/>
      <c r="C20" s="1466" t="s">
        <v>6915</v>
      </c>
      <c r="D20" s="1466"/>
      <c r="E20" s="1466"/>
      <c r="F20" s="1466"/>
      <c r="G20" s="1466"/>
      <c r="H20" s="1466"/>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262"/>
      <c r="BT20" s="262"/>
      <c r="BU20" s="262"/>
      <c r="BV20" s="262"/>
      <c r="BW20" s="262"/>
      <c r="BX20" s="262"/>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2"/>
      <c r="CV20" s="262"/>
      <c r="CW20" s="262"/>
      <c r="CX20" s="262"/>
    </row>
    <row r="21" spans="1:102" s="266" customFormat="1" ht="31.5" customHeight="1" x14ac:dyDescent="0.25">
      <c r="A21" s="647"/>
      <c r="C21" s="1466" t="s">
        <v>6916</v>
      </c>
      <c r="D21" s="1466"/>
      <c r="E21" s="1466"/>
      <c r="F21" s="1466"/>
      <c r="G21" s="1466"/>
      <c r="H21" s="1466"/>
      <c r="I21" s="1466"/>
      <c r="J21" s="1466"/>
      <c r="K21" s="1466"/>
      <c r="L21" s="1466"/>
      <c r="M21" s="1466"/>
      <c r="N21" s="1466"/>
      <c r="O21" s="1466"/>
      <c r="P21" s="1466"/>
      <c r="Q21" s="1466"/>
      <c r="R21" s="1466"/>
      <c r="S21" s="1466"/>
      <c r="T21" s="1466"/>
      <c r="U21" s="1466"/>
      <c r="V21" s="1466"/>
      <c r="W21" s="1466"/>
      <c r="X21" s="1466"/>
      <c r="Y21" s="1466"/>
      <c r="Z21" s="1466"/>
      <c r="AA21" s="1466"/>
      <c r="AB21" s="1466"/>
      <c r="AC21" s="1466"/>
      <c r="AD21" s="1466"/>
      <c r="AE21" s="1466"/>
      <c r="AF21" s="1466"/>
      <c r="AG21" s="647"/>
      <c r="AH21" s="638"/>
      <c r="AI21" s="638"/>
      <c r="AJ21" s="638"/>
      <c r="AK21" s="638"/>
      <c r="AL21" s="638"/>
      <c r="AM21" s="638"/>
      <c r="AN21" s="638"/>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638"/>
      <c r="BL21" s="638"/>
      <c r="BM21" s="638"/>
      <c r="BN21" s="638"/>
      <c r="BO21" s="638"/>
      <c r="BP21" s="638"/>
      <c r="BQ21" s="638"/>
      <c r="BR21" s="638"/>
      <c r="BS21" s="638"/>
      <c r="BT21" s="638"/>
      <c r="BU21" s="638"/>
      <c r="BV21" s="638"/>
      <c r="BW21" s="638"/>
      <c r="BX21" s="638"/>
      <c r="BY21" s="638"/>
      <c r="BZ21" s="638"/>
      <c r="CA21" s="638"/>
      <c r="CB21" s="638"/>
      <c r="CC21" s="638"/>
      <c r="CD21" s="638"/>
      <c r="CE21" s="638"/>
      <c r="CF21" s="638"/>
      <c r="CG21" s="638"/>
      <c r="CH21" s="638"/>
      <c r="CI21" s="638"/>
      <c r="CJ21" s="638"/>
      <c r="CK21" s="638"/>
      <c r="CL21" s="638"/>
      <c r="CM21" s="638"/>
      <c r="CN21" s="638"/>
      <c r="CO21" s="638"/>
      <c r="CP21" s="638"/>
      <c r="CQ21" s="638"/>
      <c r="CR21" s="638"/>
      <c r="CS21" s="638"/>
      <c r="CT21" s="638"/>
      <c r="CU21" s="638"/>
      <c r="CV21" s="638"/>
      <c r="CW21" s="638"/>
      <c r="CX21" s="638"/>
    </row>
    <row r="22" spans="1:102" s="1" customFormat="1" x14ac:dyDescent="0.25">
      <c r="B22"/>
      <c r="C22"/>
      <c r="D22"/>
      <c r="E22"/>
      <c r="F22"/>
      <c r="G22"/>
      <c r="H22"/>
      <c r="I22"/>
      <c r="J22"/>
      <c r="K22"/>
      <c r="L22"/>
      <c r="M22"/>
      <c r="N22"/>
      <c r="O22"/>
      <c r="P22"/>
      <c r="Q22"/>
      <c r="R22"/>
      <c r="S22"/>
      <c r="T22"/>
      <c r="U22"/>
      <c r="V22"/>
      <c r="W22"/>
      <c r="X22"/>
      <c r="Y22"/>
      <c r="Z22"/>
      <c r="AA22"/>
      <c r="AB22"/>
      <c r="AC22"/>
      <c r="AD22"/>
      <c r="AE22"/>
      <c r="AF22"/>
      <c r="AH22" s="262"/>
      <c r="AI22" s="262"/>
      <c r="AJ22" s="262"/>
      <c r="AK22" s="262"/>
      <c r="AL22" s="262"/>
      <c r="AM22" s="262"/>
      <c r="AN22" s="262"/>
      <c r="AO22" s="262"/>
      <c r="AP22" s="262"/>
      <c r="AQ22" s="262"/>
      <c r="AR22" s="262"/>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262"/>
      <c r="BT22" s="262"/>
      <c r="BU22" s="262"/>
      <c r="BV22" s="262"/>
      <c r="BW22" s="262"/>
      <c r="BX22" s="262"/>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2"/>
      <c r="CV22" s="262"/>
      <c r="CW22" s="262"/>
      <c r="CX22" s="262"/>
    </row>
    <row r="23" spans="1:102" s="1" customFormat="1" x14ac:dyDescent="0.25">
      <c r="B23" s="171" t="s">
        <v>12</v>
      </c>
      <c r="C23" s="171"/>
      <c r="D23" s="171"/>
      <c r="E23" s="171"/>
      <c r="F23" s="171"/>
      <c r="G23" s="171"/>
      <c r="H23" s="171"/>
      <c r="I23" s="171"/>
      <c r="AH23" s="262"/>
      <c r="AI23" s="262"/>
      <c r="AJ23" s="262"/>
      <c r="AK23" s="262"/>
      <c r="AL23" s="262"/>
      <c r="AM23" s="262"/>
      <c r="AN23" s="262"/>
      <c r="AO23" s="262"/>
      <c r="AP23" s="262"/>
      <c r="AQ23" s="262"/>
      <c r="AR23" s="262"/>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262"/>
      <c r="BT23" s="262"/>
      <c r="BU23" s="262"/>
      <c r="BV23" s="262"/>
      <c r="BW23" s="262"/>
      <c r="BX23" s="262"/>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2"/>
      <c r="CV23" s="262"/>
      <c r="CW23" s="262"/>
      <c r="CX23" s="262"/>
    </row>
    <row r="24" spans="1:102" s="1" customFormat="1" x14ac:dyDescent="0.25">
      <c r="B24" s="1473" t="s">
        <v>698</v>
      </c>
      <c r="C24" s="1473"/>
      <c r="D24" s="1473"/>
      <c r="E24" s="1473"/>
      <c r="F24" s="1473"/>
      <c r="G24" s="1473"/>
      <c r="H24" s="1473"/>
      <c r="I24" s="1473"/>
      <c r="J24" s="1473"/>
      <c r="K24" s="1473"/>
      <c r="L24" s="1473"/>
      <c r="M24" s="1473"/>
      <c r="N24" s="1473"/>
      <c r="O24" s="1473"/>
      <c r="P24" s="1473"/>
      <c r="Q24" s="1473"/>
      <c r="R24" s="1473"/>
      <c r="S24" s="1473"/>
      <c r="T24" s="1473"/>
      <c r="U24" s="1473"/>
      <c r="V24" s="1473"/>
      <c r="W24" s="1473"/>
      <c r="X24" s="1473"/>
      <c r="Y24" s="1473"/>
      <c r="Z24" s="1473"/>
      <c r="AA24" s="1473"/>
      <c r="AB24" s="1473"/>
      <c r="AC24" s="1473"/>
      <c r="AD24" s="1473"/>
      <c r="AE24" s="1473"/>
      <c r="AF24" s="1473"/>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262"/>
      <c r="BT24" s="262"/>
      <c r="BU24" s="262"/>
      <c r="BV24" s="262"/>
      <c r="BW24" s="262"/>
      <c r="BX24" s="262"/>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2"/>
      <c r="CV24" s="262"/>
      <c r="CW24" s="262"/>
      <c r="CX24" s="262"/>
    </row>
    <row r="25" spans="1:102" s="1" customFormat="1" x14ac:dyDescent="0.25">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262"/>
      <c r="BT25" s="262"/>
      <c r="BU25" s="262"/>
      <c r="BV25" s="262"/>
      <c r="BW25" s="262"/>
      <c r="BX25" s="262"/>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2"/>
      <c r="CV25" s="262"/>
      <c r="CW25" s="262"/>
      <c r="CX25" s="262"/>
    </row>
    <row r="26" spans="1:102" s="1" customFormat="1" x14ac:dyDescent="0.25">
      <c r="B26" s="171" t="s">
        <v>13</v>
      </c>
      <c r="C26" s="171"/>
      <c r="D26" s="171"/>
      <c r="E26" s="171"/>
      <c r="F26" s="171"/>
      <c r="G26" s="171"/>
      <c r="H26" s="171"/>
      <c r="I26" s="171"/>
      <c r="AH26" s="262"/>
      <c r="AI26" s="262"/>
      <c r="AJ26" s="262"/>
      <c r="AK26" s="262"/>
      <c r="AL26" s="262"/>
      <c r="AM26" s="262"/>
      <c r="AN26" s="262"/>
      <c r="AO26" s="262"/>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2"/>
      <c r="CV26" s="262"/>
      <c r="CW26" s="262"/>
      <c r="CX26" s="262"/>
    </row>
    <row r="27" spans="1:102" s="266" customFormat="1" ht="60.75" customHeight="1" x14ac:dyDescent="0.25">
      <c r="B27" s="3083" t="s">
        <v>6955</v>
      </c>
      <c r="C27" s="3083"/>
      <c r="D27" s="3083"/>
      <c r="E27" s="3083"/>
      <c r="F27" s="3083"/>
      <c r="G27" s="3083"/>
      <c r="H27" s="3083"/>
      <c r="I27" s="3083"/>
      <c r="J27" s="3083"/>
      <c r="K27" s="3083"/>
      <c r="L27" s="3083"/>
      <c r="M27" s="3083"/>
      <c r="N27" s="3083"/>
      <c r="O27" s="3083"/>
      <c r="P27" s="3083"/>
      <c r="Q27" s="3083"/>
      <c r="R27" s="3083"/>
      <c r="S27" s="3083"/>
      <c r="T27" s="3083"/>
      <c r="U27" s="3083"/>
      <c r="V27" s="3083"/>
      <c r="W27" s="3083"/>
      <c r="X27" s="3083"/>
      <c r="Y27" s="3083"/>
      <c r="Z27" s="3083"/>
      <c r="AA27" s="3083"/>
      <c r="AB27" s="3083"/>
      <c r="AC27" s="3083"/>
      <c r="AD27" s="3083"/>
      <c r="AE27" s="3083"/>
      <c r="AF27" s="3083"/>
      <c r="AG27" s="647"/>
      <c r="AH27" s="638"/>
      <c r="AI27" s="638"/>
      <c r="AJ27" s="638"/>
      <c r="AK27" s="638"/>
      <c r="AL27" s="638"/>
      <c r="AM27" s="638"/>
      <c r="AN27" s="638"/>
      <c r="AO27" s="638"/>
      <c r="AP27" s="638"/>
      <c r="AQ27" s="638"/>
      <c r="AR27" s="638"/>
      <c r="AS27" s="638"/>
      <c r="AT27" s="638"/>
      <c r="AU27" s="638"/>
      <c r="AV27" s="638"/>
      <c r="AW27" s="638"/>
      <c r="AX27" s="638"/>
      <c r="AY27" s="638"/>
      <c r="AZ27" s="638"/>
      <c r="BA27" s="638"/>
      <c r="BB27" s="638"/>
      <c r="BC27" s="638"/>
      <c r="BD27" s="638"/>
      <c r="BE27" s="638"/>
      <c r="BF27" s="638"/>
      <c r="BG27" s="638"/>
      <c r="BH27" s="638"/>
      <c r="BI27" s="638"/>
      <c r="BJ27" s="638"/>
      <c r="BK27" s="638"/>
      <c r="BL27" s="638"/>
      <c r="BM27" s="638"/>
      <c r="BN27" s="638"/>
      <c r="BO27" s="638"/>
      <c r="BP27" s="638"/>
      <c r="BQ27" s="638"/>
      <c r="BR27" s="638"/>
      <c r="BS27" s="638"/>
      <c r="BT27" s="638"/>
      <c r="BU27" s="638"/>
      <c r="BV27" s="638"/>
      <c r="BW27" s="638"/>
      <c r="BX27" s="638"/>
      <c r="BY27" s="638"/>
      <c r="BZ27" s="638"/>
      <c r="CA27" s="638"/>
      <c r="CB27" s="638"/>
      <c r="CC27" s="638"/>
      <c r="CD27" s="638"/>
      <c r="CE27" s="638"/>
      <c r="CF27" s="638"/>
      <c r="CG27" s="638"/>
      <c r="CH27" s="638"/>
      <c r="CI27" s="638"/>
      <c r="CJ27" s="638"/>
      <c r="CK27" s="638"/>
      <c r="CL27" s="638"/>
      <c r="CM27" s="638"/>
      <c r="CN27" s="638"/>
      <c r="CO27" s="638"/>
      <c r="CP27" s="638"/>
      <c r="CQ27" s="638"/>
      <c r="CR27" s="638"/>
      <c r="CS27" s="638"/>
      <c r="CT27" s="638"/>
      <c r="CU27" s="638"/>
      <c r="CV27" s="638"/>
      <c r="CW27" s="638"/>
      <c r="CX27" s="638"/>
    </row>
    <row r="28" spans="1:102" s="266" customFormat="1" ht="30" customHeight="1" x14ac:dyDescent="0.25">
      <c r="B28" s="1021" t="s">
        <v>1635</v>
      </c>
      <c r="C28" s="3083" t="s">
        <v>1640</v>
      </c>
      <c r="D28" s="1168"/>
      <c r="E28" s="1168"/>
      <c r="F28" s="1168"/>
      <c r="G28" s="1168"/>
      <c r="H28" s="1168"/>
      <c r="I28" s="1168"/>
      <c r="J28" s="1168"/>
      <c r="K28" s="1168"/>
      <c r="L28" s="1168"/>
      <c r="M28" s="1168"/>
      <c r="N28" s="1168"/>
      <c r="O28" s="1168"/>
      <c r="P28" s="1168"/>
      <c r="Q28" s="1168"/>
      <c r="R28" s="1168"/>
      <c r="S28" s="1168"/>
      <c r="T28" s="1168"/>
      <c r="U28" s="1168"/>
      <c r="V28" s="1168"/>
      <c r="W28" s="1168"/>
      <c r="X28" s="1168"/>
      <c r="Y28" s="1168"/>
      <c r="Z28" s="1168"/>
      <c r="AA28" s="1168"/>
      <c r="AB28" s="1168"/>
      <c r="AC28" s="1168"/>
      <c r="AD28" s="1168"/>
      <c r="AE28" s="1168"/>
      <c r="AF28" s="1168"/>
      <c r="AG28" s="1021"/>
      <c r="AH28" s="638"/>
      <c r="AI28" s="638"/>
      <c r="AJ28" s="638"/>
      <c r="AK28" s="638"/>
      <c r="AL28" s="638"/>
      <c r="AM28" s="638"/>
      <c r="AN28" s="638"/>
      <c r="AO28" s="638"/>
      <c r="AP28" s="638"/>
      <c r="AQ28" s="638"/>
      <c r="AR28" s="638"/>
      <c r="AS28" s="638"/>
      <c r="AT28" s="638"/>
      <c r="AU28" s="638"/>
      <c r="AV28" s="638"/>
      <c r="AW28" s="638"/>
      <c r="AX28" s="638"/>
      <c r="AY28" s="638"/>
      <c r="AZ28" s="638"/>
      <c r="BA28" s="638"/>
      <c r="BB28" s="638"/>
      <c r="BC28" s="638"/>
      <c r="BD28" s="638"/>
      <c r="BE28" s="638"/>
      <c r="BF28" s="638"/>
      <c r="BG28" s="638"/>
      <c r="BH28" s="638"/>
      <c r="BI28" s="638"/>
      <c r="BJ28" s="638"/>
      <c r="BK28" s="638"/>
      <c r="BL28" s="638"/>
      <c r="BM28" s="638"/>
      <c r="BN28" s="638"/>
      <c r="BO28" s="638"/>
      <c r="BP28" s="638"/>
      <c r="BQ28" s="638"/>
      <c r="BR28" s="638"/>
      <c r="BS28" s="638"/>
      <c r="BT28" s="638"/>
      <c r="BU28" s="638"/>
      <c r="BV28" s="638"/>
      <c r="BW28" s="638"/>
      <c r="BX28" s="638"/>
      <c r="BY28" s="638"/>
      <c r="BZ28" s="638"/>
      <c r="CA28" s="638"/>
      <c r="CB28" s="638"/>
      <c r="CC28" s="638"/>
      <c r="CD28" s="638"/>
      <c r="CE28" s="638"/>
      <c r="CF28" s="638"/>
      <c r="CG28" s="638"/>
      <c r="CH28" s="638"/>
      <c r="CI28" s="638"/>
      <c r="CJ28" s="638"/>
      <c r="CK28" s="638"/>
      <c r="CL28" s="638"/>
      <c r="CM28" s="638"/>
      <c r="CN28" s="638"/>
      <c r="CO28" s="638"/>
      <c r="CP28" s="638"/>
      <c r="CQ28" s="638"/>
      <c r="CR28" s="638"/>
      <c r="CS28" s="638"/>
      <c r="CT28" s="638"/>
      <c r="CU28" s="638"/>
      <c r="CV28" s="638"/>
      <c r="CW28" s="638"/>
      <c r="CX28" s="638"/>
    </row>
    <row r="29" spans="1:102" s="266" customFormat="1" ht="30.6" customHeight="1" x14ac:dyDescent="0.25">
      <c r="B29" s="1021" t="s">
        <v>1636</v>
      </c>
      <c r="C29" s="3083" t="s">
        <v>1641</v>
      </c>
      <c r="D29" s="1168"/>
      <c r="E29" s="1168"/>
      <c r="F29" s="1168"/>
      <c r="G29" s="1168"/>
      <c r="H29" s="1168"/>
      <c r="I29" s="1168"/>
      <c r="J29" s="1168"/>
      <c r="K29" s="1168"/>
      <c r="L29" s="1168"/>
      <c r="M29" s="1168"/>
      <c r="N29" s="1168"/>
      <c r="O29" s="1168"/>
      <c r="P29" s="1168"/>
      <c r="Q29" s="1168"/>
      <c r="R29" s="1168"/>
      <c r="S29" s="1168"/>
      <c r="T29" s="1168"/>
      <c r="U29" s="1168"/>
      <c r="V29" s="1168"/>
      <c r="W29" s="1168"/>
      <c r="X29" s="1168"/>
      <c r="Y29" s="1168"/>
      <c r="Z29" s="1168"/>
      <c r="AA29" s="1168"/>
      <c r="AB29" s="1168"/>
      <c r="AC29" s="1168"/>
      <c r="AD29" s="1168"/>
      <c r="AE29" s="1168"/>
      <c r="AF29" s="1168"/>
      <c r="AG29" s="1021"/>
      <c r="AH29" s="638"/>
      <c r="AI29" s="638"/>
      <c r="AJ29" s="638"/>
      <c r="AK29" s="638"/>
      <c r="AL29" s="638"/>
      <c r="AM29" s="638"/>
      <c r="AN29" s="638"/>
      <c r="AO29" s="638"/>
      <c r="AP29" s="638"/>
      <c r="AQ29" s="638"/>
      <c r="AR29" s="638"/>
      <c r="AS29" s="638"/>
      <c r="AT29" s="638"/>
      <c r="AU29" s="638"/>
      <c r="AV29" s="638"/>
      <c r="AW29" s="638"/>
      <c r="AX29" s="638"/>
      <c r="AY29" s="638"/>
      <c r="AZ29" s="638"/>
      <c r="BA29" s="638"/>
      <c r="BB29" s="638"/>
      <c r="BC29" s="638"/>
      <c r="BD29" s="638"/>
      <c r="BE29" s="638"/>
      <c r="BF29" s="638"/>
      <c r="BG29" s="638"/>
      <c r="BH29" s="638"/>
      <c r="BI29" s="638"/>
      <c r="BJ29" s="638"/>
      <c r="BK29" s="638"/>
      <c r="BL29" s="638"/>
      <c r="BM29" s="638"/>
      <c r="BN29" s="638"/>
      <c r="BO29" s="638"/>
      <c r="BP29" s="638"/>
      <c r="BQ29" s="638"/>
      <c r="BR29" s="638"/>
      <c r="BS29" s="638"/>
      <c r="BT29" s="638"/>
      <c r="BU29" s="638"/>
      <c r="BV29" s="638"/>
      <c r="BW29" s="638"/>
      <c r="BX29" s="638"/>
      <c r="BY29" s="638"/>
      <c r="BZ29" s="638"/>
      <c r="CA29" s="638"/>
      <c r="CB29" s="638"/>
      <c r="CC29" s="638"/>
      <c r="CD29" s="638"/>
      <c r="CE29" s="638"/>
      <c r="CF29" s="638"/>
      <c r="CG29" s="638"/>
      <c r="CH29" s="638"/>
      <c r="CI29" s="638"/>
      <c r="CJ29" s="638"/>
      <c r="CK29" s="638"/>
      <c r="CL29" s="638"/>
      <c r="CM29" s="638"/>
      <c r="CN29" s="638"/>
      <c r="CO29" s="638"/>
      <c r="CP29" s="638"/>
      <c r="CQ29" s="638"/>
      <c r="CR29" s="638"/>
      <c r="CS29" s="638"/>
      <c r="CT29" s="638"/>
      <c r="CU29" s="638"/>
      <c r="CV29" s="638"/>
      <c r="CW29" s="638"/>
      <c r="CX29" s="638"/>
    </row>
    <row r="30" spans="1:102" s="266" customFormat="1" ht="14.45" customHeight="1" x14ac:dyDescent="0.25">
      <c r="B30" s="638"/>
      <c r="C30" s="638"/>
      <c r="D30" s="638"/>
      <c r="E30" s="638"/>
      <c r="F30" s="638"/>
      <c r="G30" s="638"/>
      <c r="H30" s="638"/>
      <c r="I30" s="638"/>
      <c r="J30" s="638"/>
      <c r="K30" s="638"/>
      <c r="L30" s="638"/>
      <c r="M30" s="638"/>
      <c r="N30" s="638"/>
      <c r="O30" s="638"/>
      <c r="P30" s="638"/>
      <c r="Q30" s="638"/>
      <c r="R30" s="638"/>
      <c r="S30" s="638"/>
      <c r="T30" s="638"/>
      <c r="U30" s="638"/>
      <c r="V30" s="638"/>
      <c r="W30" s="638"/>
      <c r="X30" s="638"/>
      <c r="Y30" s="638"/>
      <c r="Z30" s="638"/>
      <c r="AA30" s="638"/>
      <c r="AB30" s="638"/>
      <c r="AC30" s="638"/>
      <c r="AD30" s="638"/>
      <c r="AE30" s="638"/>
      <c r="AF30" s="638"/>
      <c r="AG30" s="647"/>
      <c r="AH30" s="638"/>
      <c r="AI30" s="638"/>
      <c r="AJ30" s="638"/>
      <c r="AK30" s="638"/>
      <c r="AL30" s="638"/>
      <c r="AM30" s="638"/>
      <c r="AN30" s="638"/>
      <c r="AO30" s="638"/>
      <c r="AP30" s="638"/>
      <c r="AQ30" s="638"/>
      <c r="AR30" s="638"/>
      <c r="AS30" s="638"/>
      <c r="AT30" s="638"/>
      <c r="AU30" s="638"/>
      <c r="AV30" s="638"/>
      <c r="AW30" s="638"/>
      <c r="AX30" s="638"/>
      <c r="AY30" s="638"/>
      <c r="AZ30" s="638"/>
      <c r="BA30" s="638"/>
      <c r="BB30" s="638"/>
      <c r="BC30" s="638"/>
      <c r="BD30" s="638"/>
      <c r="BE30" s="638"/>
      <c r="BF30" s="638"/>
      <c r="BG30" s="638"/>
      <c r="BH30" s="638"/>
      <c r="BI30" s="638"/>
      <c r="BJ30" s="638"/>
      <c r="BK30" s="638"/>
      <c r="BL30" s="638"/>
      <c r="BM30" s="638"/>
      <c r="BN30" s="638"/>
      <c r="BO30" s="638"/>
      <c r="BP30" s="638"/>
      <c r="BQ30" s="638"/>
      <c r="BR30" s="638"/>
      <c r="BS30" s="638"/>
      <c r="BT30" s="638"/>
      <c r="BU30" s="638"/>
      <c r="BV30" s="638"/>
      <c r="BW30" s="638"/>
      <c r="BX30" s="638"/>
      <c r="BY30" s="638"/>
      <c r="BZ30" s="638"/>
      <c r="CA30" s="638"/>
      <c r="CB30" s="638"/>
      <c r="CC30" s="638"/>
      <c r="CD30" s="638"/>
      <c r="CE30" s="638"/>
      <c r="CF30" s="638"/>
      <c r="CG30" s="638"/>
      <c r="CH30" s="638"/>
      <c r="CI30" s="638"/>
      <c r="CJ30" s="638"/>
      <c r="CK30" s="638"/>
      <c r="CL30" s="638"/>
      <c r="CM30" s="638"/>
      <c r="CN30" s="638"/>
      <c r="CO30" s="638"/>
      <c r="CP30" s="638"/>
      <c r="CQ30" s="638"/>
      <c r="CR30" s="638"/>
      <c r="CS30" s="638"/>
      <c r="CT30" s="638"/>
      <c r="CU30" s="638"/>
      <c r="CV30" s="638"/>
      <c r="CW30" s="638"/>
      <c r="CX30" s="638"/>
    </row>
    <row r="31" spans="1:102" s="266" customFormat="1" ht="60" customHeight="1" x14ac:dyDescent="0.25">
      <c r="B31" s="1173" t="s">
        <v>6917</v>
      </c>
      <c r="C31" s="1173"/>
      <c r="D31" s="1173"/>
      <c r="E31" s="1173"/>
      <c r="F31" s="1173"/>
      <c r="G31" s="1173"/>
      <c r="H31" s="1173"/>
      <c r="I31" s="1173"/>
      <c r="J31" s="1173"/>
      <c r="K31" s="1173"/>
      <c r="L31" s="1173"/>
      <c r="M31" s="1173"/>
      <c r="N31" s="1173"/>
      <c r="O31" s="1173"/>
      <c r="P31" s="1173"/>
      <c r="Q31" s="1173"/>
      <c r="R31" s="1173"/>
      <c r="S31" s="1173"/>
      <c r="T31" s="1173"/>
      <c r="U31" s="1173"/>
      <c r="V31" s="1173"/>
      <c r="W31" s="1173"/>
      <c r="X31" s="1173"/>
      <c r="Y31" s="1173"/>
      <c r="Z31" s="1173"/>
      <c r="AA31" s="1173"/>
      <c r="AB31" s="1173"/>
      <c r="AC31" s="1173"/>
      <c r="AD31" s="1173"/>
      <c r="AE31" s="1173"/>
      <c r="AF31" s="1173"/>
      <c r="AG31" s="647"/>
      <c r="AH31" s="638"/>
      <c r="AI31" s="638"/>
      <c r="AJ31" s="638"/>
      <c r="AK31" s="638"/>
      <c r="AL31" s="638"/>
      <c r="AM31" s="638"/>
      <c r="AN31" s="638"/>
      <c r="AO31" s="638"/>
      <c r="AP31" s="638"/>
      <c r="AQ31" s="638"/>
      <c r="AR31" s="638"/>
      <c r="AS31" s="638"/>
      <c r="AT31" s="638"/>
      <c r="AU31" s="638"/>
      <c r="AV31" s="638"/>
      <c r="AW31" s="638"/>
      <c r="AX31" s="638"/>
      <c r="AY31" s="638"/>
      <c r="AZ31" s="638"/>
      <c r="BA31" s="638"/>
      <c r="BB31" s="638"/>
      <c r="BC31" s="638"/>
      <c r="BD31" s="638"/>
      <c r="BE31" s="638"/>
      <c r="BF31" s="638"/>
      <c r="BG31" s="638"/>
      <c r="BH31" s="638"/>
      <c r="BI31" s="638"/>
      <c r="BJ31" s="638"/>
      <c r="BK31" s="638"/>
      <c r="BL31" s="638"/>
      <c r="BM31" s="638"/>
      <c r="BN31" s="638"/>
      <c r="BO31" s="638"/>
      <c r="BP31" s="638"/>
      <c r="BQ31" s="638"/>
      <c r="BR31" s="638"/>
      <c r="BS31" s="638"/>
      <c r="BT31" s="638"/>
      <c r="BU31" s="638"/>
      <c r="BV31" s="638"/>
      <c r="BW31" s="638"/>
      <c r="BX31" s="638"/>
      <c r="BY31" s="638"/>
      <c r="BZ31" s="638"/>
      <c r="CA31" s="638"/>
      <c r="CB31" s="638"/>
      <c r="CC31" s="638"/>
      <c r="CD31" s="638"/>
      <c r="CE31" s="638"/>
      <c r="CF31" s="638"/>
      <c r="CG31" s="638"/>
      <c r="CH31" s="638"/>
      <c r="CI31" s="638"/>
      <c r="CJ31" s="638"/>
      <c r="CK31" s="638"/>
      <c r="CL31" s="638"/>
      <c r="CM31" s="638"/>
      <c r="CN31" s="638"/>
      <c r="CO31" s="638"/>
      <c r="CP31" s="638"/>
      <c r="CQ31" s="638"/>
      <c r="CR31" s="638"/>
      <c r="CS31" s="638"/>
      <c r="CT31" s="638"/>
      <c r="CU31" s="638"/>
      <c r="CV31" s="638"/>
      <c r="CW31" s="638"/>
      <c r="CX31" s="638"/>
    </row>
    <row r="32" spans="1:102" s="266" customFormat="1" x14ac:dyDescent="0.25">
      <c r="B32" s="647"/>
      <c r="C32" s="647"/>
      <c r="D32" s="647"/>
      <c r="E32" s="647"/>
      <c r="F32" s="647"/>
      <c r="G32" s="647"/>
      <c r="H32" s="647"/>
      <c r="I32" s="647"/>
      <c r="J32" s="647"/>
      <c r="K32" s="647"/>
      <c r="L32" s="647"/>
      <c r="M32" s="647"/>
      <c r="N32" s="647"/>
      <c r="O32" s="647"/>
      <c r="P32" s="647"/>
      <c r="Q32" s="647"/>
      <c r="R32" s="647"/>
      <c r="S32" s="647"/>
      <c r="T32" s="647"/>
      <c r="U32" s="647"/>
      <c r="V32" s="647"/>
      <c r="W32" s="647"/>
      <c r="X32" s="647"/>
      <c r="Y32" s="647"/>
      <c r="Z32" s="647"/>
      <c r="AA32" s="647"/>
      <c r="AB32" s="647"/>
      <c r="AC32" s="647"/>
      <c r="AD32" s="647"/>
      <c r="AE32" s="647"/>
      <c r="AF32" s="647"/>
      <c r="AG32" s="647"/>
      <c r="AH32" s="638"/>
      <c r="AI32" s="638"/>
      <c r="AJ32" s="638"/>
      <c r="AK32" s="638"/>
      <c r="AL32" s="638"/>
      <c r="AM32" s="638"/>
      <c r="AN32" s="638"/>
      <c r="AO32" s="638"/>
      <c r="AP32" s="638"/>
      <c r="AQ32" s="638"/>
      <c r="AR32" s="638"/>
      <c r="AS32" s="638"/>
      <c r="AT32" s="638"/>
      <c r="AU32" s="638"/>
      <c r="AV32" s="638"/>
      <c r="AW32" s="638"/>
      <c r="AX32" s="638"/>
      <c r="AY32" s="638"/>
      <c r="AZ32" s="638"/>
      <c r="BA32" s="638"/>
      <c r="BB32" s="638"/>
      <c r="BC32" s="638"/>
      <c r="BD32" s="638"/>
      <c r="BE32" s="638"/>
      <c r="BF32" s="638"/>
      <c r="BG32" s="638"/>
      <c r="BH32" s="638"/>
      <c r="BI32" s="638"/>
      <c r="BJ32" s="638"/>
      <c r="BK32" s="638"/>
      <c r="BL32" s="638"/>
      <c r="BM32" s="638"/>
      <c r="BN32" s="638"/>
      <c r="BO32" s="638"/>
      <c r="BP32" s="638"/>
      <c r="BQ32" s="638"/>
      <c r="BR32" s="638"/>
      <c r="BS32" s="638"/>
      <c r="BT32" s="638"/>
      <c r="BU32" s="638"/>
      <c r="BV32" s="638"/>
      <c r="BW32" s="638"/>
      <c r="BX32" s="638"/>
      <c r="BY32" s="638"/>
      <c r="BZ32" s="638"/>
      <c r="CA32" s="638"/>
      <c r="CB32" s="638"/>
      <c r="CC32" s="638"/>
      <c r="CD32" s="638"/>
      <c r="CE32" s="638"/>
      <c r="CF32" s="638"/>
      <c r="CG32" s="638"/>
      <c r="CH32" s="638"/>
      <c r="CI32" s="638"/>
      <c r="CJ32" s="638"/>
      <c r="CK32" s="638"/>
      <c r="CL32" s="638"/>
      <c r="CM32" s="638"/>
      <c r="CN32" s="638"/>
      <c r="CO32" s="638"/>
      <c r="CP32" s="638"/>
      <c r="CQ32" s="638"/>
      <c r="CR32" s="638"/>
      <c r="CS32" s="638"/>
      <c r="CT32" s="638"/>
      <c r="CU32" s="638"/>
      <c r="CV32" s="638"/>
      <c r="CW32" s="638"/>
      <c r="CX32" s="638"/>
    </row>
    <row r="33" spans="1:102" s="266" customFormat="1" ht="78.75" customHeight="1" x14ac:dyDescent="0.25">
      <c r="A33" s="647"/>
      <c r="B33" s="1173" t="s">
        <v>6956</v>
      </c>
      <c r="C33" s="1173"/>
      <c r="D33" s="1173"/>
      <c r="E33" s="1173"/>
      <c r="F33" s="1173"/>
      <c r="G33" s="1173"/>
      <c r="H33" s="1173"/>
      <c r="I33" s="1173"/>
      <c r="J33" s="1173"/>
      <c r="K33" s="1173"/>
      <c r="L33" s="1173"/>
      <c r="M33" s="1173"/>
      <c r="N33" s="1173"/>
      <c r="O33" s="1173"/>
      <c r="P33" s="1173"/>
      <c r="Q33" s="1173"/>
      <c r="R33" s="1173"/>
      <c r="S33" s="1173"/>
      <c r="T33" s="1173"/>
      <c r="U33" s="1173"/>
      <c r="V33" s="1173"/>
      <c r="W33" s="1173"/>
      <c r="X33" s="1173"/>
      <c r="Y33" s="1173"/>
      <c r="Z33" s="1173"/>
      <c r="AA33" s="1173"/>
      <c r="AB33" s="1173"/>
      <c r="AC33" s="1173"/>
      <c r="AD33" s="1173"/>
      <c r="AE33" s="1173"/>
      <c r="AF33" s="1173"/>
      <c r="AH33" s="638"/>
      <c r="AI33" s="638"/>
      <c r="AJ33" s="638"/>
      <c r="AK33" s="638"/>
      <c r="AL33" s="638"/>
      <c r="AM33" s="638"/>
      <c r="AN33" s="638"/>
      <c r="AO33" s="638"/>
      <c r="AP33" s="638"/>
      <c r="AQ33" s="638"/>
      <c r="AR33" s="638"/>
      <c r="AS33" s="638"/>
      <c r="AT33" s="638"/>
      <c r="AU33" s="638"/>
      <c r="AV33" s="638"/>
      <c r="AW33" s="638"/>
      <c r="AX33" s="638"/>
      <c r="AY33" s="638"/>
      <c r="AZ33" s="638"/>
      <c r="BA33" s="638"/>
      <c r="BB33" s="638"/>
      <c r="BC33" s="638"/>
      <c r="BD33" s="638"/>
      <c r="BE33" s="638"/>
      <c r="BF33" s="638"/>
      <c r="BG33" s="638"/>
      <c r="BH33" s="638"/>
      <c r="BI33" s="638"/>
      <c r="BJ33" s="638"/>
      <c r="BK33" s="638"/>
      <c r="BL33" s="638"/>
      <c r="BM33" s="638"/>
      <c r="BN33" s="638"/>
      <c r="BO33" s="638"/>
      <c r="BP33" s="638"/>
      <c r="BQ33" s="638"/>
      <c r="BR33" s="638"/>
      <c r="BS33" s="638"/>
      <c r="BT33" s="638"/>
      <c r="BU33" s="638"/>
      <c r="BV33" s="638"/>
      <c r="BW33" s="638"/>
      <c r="BX33" s="638"/>
      <c r="BY33" s="638"/>
      <c r="BZ33" s="638"/>
      <c r="CA33" s="638"/>
      <c r="CB33" s="638"/>
      <c r="CC33" s="638"/>
      <c r="CD33" s="638"/>
      <c r="CE33" s="638"/>
      <c r="CF33" s="638"/>
      <c r="CG33" s="638"/>
      <c r="CH33" s="638"/>
      <c r="CI33" s="638"/>
      <c r="CJ33" s="638"/>
      <c r="CK33" s="638"/>
      <c r="CL33" s="638"/>
      <c r="CM33" s="638"/>
      <c r="CN33" s="638"/>
      <c r="CO33" s="638"/>
      <c r="CP33" s="638"/>
      <c r="CQ33" s="638"/>
      <c r="CR33" s="638"/>
      <c r="CS33" s="638"/>
      <c r="CT33" s="638"/>
      <c r="CU33" s="638"/>
      <c r="CV33" s="638"/>
      <c r="CW33" s="638"/>
      <c r="CX33" s="638"/>
    </row>
    <row r="34" spans="1:102" s="266" customFormat="1" x14ac:dyDescent="0.25">
      <c r="A34" s="647"/>
      <c r="B34" s="647"/>
      <c r="C34" s="647"/>
      <c r="D34" s="647"/>
      <c r="E34" s="647"/>
      <c r="F34" s="647"/>
      <c r="G34" s="647"/>
      <c r="H34" s="647"/>
      <c r="I34" s="647"/>
      <c r="J34" s="647"/>
      <c r="K34" s="647"/>
      <c r="L34" s="647"/>
      <c r="M34" s="647"/>
      <c r="N34" s="647"/>
      <c r="O34" s="647"/>
      <c r="P34" s="647"/>
      <c r="Q34" s="647"/>
      <c r="R34" s="647"/>
      <c r="S34" s="647"/>
      <c r="T34" s="647"/>
      <c r="U34" s="647"/>
      <c r="V34" s="647"/>
      <c r="W34" s="647"/>
      <c r="X34" s="647"/>
      <c r="Y34" s="647"/>
      <c r="Z34" s="647"/>
      <c r="AA34" s="647"/>
      <c r="AB34" s="647"/>
      <c r="AC34" s="647"/>
      <c r="AD34" s="647"/>
      <c r="AE34" s="647"/>
      <c r="AF34" s="647"/>
      <c r="AH34" s="638"/>
      <c r="AI34" s="638"/>
      <c r="AJ34" s="638"/>
      <c r="AK34" s="638"/>
      <c r="AL34" s="638"/>
      <c r="AM34" s="638"/>
      <c r="AN34" s="638"/>
      <c r="AO34" s="638"/>
      <c r="AP34" s="638"/>
      <c r="AQ34" s="638"/>
      <c r="AR34" s="638"/>
      <c r="AS34" s="638"/>
      <c r="AT34" s="638"/>
      <c r="AU34" s="638"/>
      <c r="AV34" s="638"/>
      <c r="AW34" s="638"/>
      <c r="AX34" s="638"/>
      <c r="AY34" s="638"/>
      <c r="AZ34" s="638"/>
      <c r="BA34" s="638"/>
      <c r="BB34" s="638"/>
      <c r="BC34" s="638"/>
      <c r="BD34" s="638"/>
      <c r="BE34" s="638"/>
      <c r="BF34" s="638"/>
      <c r="BG34" s="638"/>
      <c r="BH34" s="638"/>
      <c r="BI34" s="638"/>
      <c r="BJ34" s="638"/>
      <c r="BK34" s="638"/>
      <c r="BL34" s="638"/>
      <c r="BM34" s="638"/>
      <c r="BN34" s="638"/>
      <c r="BO34" s="638"/>
      <c r="BP34" s="638"/>
      <c r="BQ34" s="638"/>
      <c r="BR34" s="638"/>
      <c r="BS34" s="638"/>
      <c r="BT34" s="638"/>
      <c r="BU34" s="638"/>
      <c r="BV34" s="638"/>
      <c r="BW34" s="638"/>
      <c r="BX34" s="638"/>
      <c r="BY34" s="638"/>
      <c r="BZ34" s="638"/>
      <c r="CA34" s="638"/>
      <c r="CB34" s="638"/>
      <c r="CC34" s="638"/>
      <c r="CD34" s="638"/>
      <c r="CE34" s="638"/>
      <c r="CF34" s="638"/>
      <c r="CG34" s="638"/>
      <c r="CH34" s="638"/>
      <c r="CI34" s="638"/>
      <c r="CJ34" s="638"/>
      <c r="CK34" s="638"/>
      <c r="CL34" s="638"/>
      <c r="CM34" s="638"/>
      <c r="CN34" s="638"/>
      <c r="CO34" s="638"/>
      <c r="CP34" s="638"/>
      <c r="CQ34" s="638"/>
      <c r="CR34" s="638"/>
      <c r="CS34" s="638"/>
      <c r="CT34" s="638"/>
      <c r="CU34" s="638"/>
      <c r="CV34" s="638"/>
      <c r="CW34" s="638"/>
      <c r="CX34" s="638"/>
    </row>
    <row r="35" spans="1:102" s="266" customFormat="1" ht="68.25" customHeight="1" x14ac:dyDescent="0.25">
      <c r="A35" s="647"/>
      <c r="B35" s="1173" t="s">
        <v>6918</v>
      </c>
      <c r="C35" s="1173"/>
      <c r="D35" s="1173"/>
      <c r="E35" s="1173"/>
      <c r="F35" s="1173"/>
      <c r="G35" s="1173"/>
      <c r="H35" s="1173"/>
      <c r="I35" s="1173"/>
      <c r="J35" s="1173"/>
      <c r="K35" s="1173"/>
      <c r="L35" s="1173"/>
      <c r="M35" s="1173"/>
      <c r="N35" s="1173"/>
      <c r="O35" s="1173"/>
      <c r="P35" s="1173"/>
      <c r="Q35" s="1173"/>
      <c r="R35" s="1173"/>
      <c r="S35" s="1173"/>
      <c r="T35" s="1173"/>
      <c r="U35" s="1173"/>
      <c r="V35" s="1173"/>
      <c r="W35" s="1173"/>
      <c r="X35" s="1173"/>
      <c r="Y35" s="1173"/>
      <c r="Z35" s="1173"/>
      <c r="AA35" s="1173"/>
      <c r="AB35" s="1173"/>
      <c r="AC35" s="1173"/>
      <c r="AD35" s="1173"/>
      <c r="AE35" s="1173"/>
      <c r="AF35" s="1173"/>
      <c r="AH35" s="638"/>
      <c r="AI35" s="638"/>
      <c r="AJ35" s="638"/>
      <c r="AK35" s="638"/>
      <c r="AL35" s="638"/>
      <c r="AM35" s="638"/>
      <c r="AN35" s="638"/>
      <c r="AO35" s="638"/>
      <c r="AP35" s="638"/>
      <c r="AQ35" s="638"/>
      <c r="AR35" s="638"/>
      <c r="AS35" s="638"/>
      <c r="AT35" s="638"/>
      <c r="AU35" s="638"/>
      <c r="AV35" s="638"/>
      <c r="AW35" s="638"/>
      <c r="AX35" s="638"/>
      <c r="AY35" s="638"/>
      <c r="AZ35" s="638"/>
      <c r="BA35" s="638"/>
      <c r="BB35" s="638"/>
      <c r="BC35" s="638"/>
      <c r="BD35" s="638"/>
      <c r="BE35" s="638"/>
      <c r="BF35" s="638"/>
      <c r="BG35" s="638"/>
      <c r="BH35" s="638"/>
      <c r="BI35" s="638"/>
      <c r="BJ35" s="638"/>
      <c r="BK35" s="638"/>
      <c r="BL35" s="638"/>
      <c r="BM35" s="638"/>
      <c r="BN35" s="638"/>
      <c r="BO35" s="638"/>
      <c r="BP35" s="638"/>
      <c r="BQ35" s="638"/>
      <c r="BR35" s="638"/>
      <c r="BS35" s="638"/>
      <c r="BT35" s="638"/>
      <c r="BU35" s="638"/>
      <c r="BV35" s="638"/>
      <c r="BW35" s="638"/>
      <c r="BX35" s="638"/>
      <c r="BY35" s="638"/>
      <c r="BZ35" s="638"/>
      <c r="CA35" s="638"/>
      <c r="CB35" s="638"/>
      <c r="CC35" s="638"/>
      <c r="CD35" s="638"/>
      <c r="CE35" s="638"/>
      <c r="CF35" s="638"/>
      <c r="CG35" s="638"/>
      <c r="CH35" s="638"/>
      <c r="CI35" s="638"/>
      <c r="CJ35" s="638"/>
      <c r="CK35" s="638"/>
      <c r="CL35" s="638"/>
      <c r="CM35" s="638"/>
      <c r="CN35" s="638"/>
      <c r="CO35" s="638"/>
      <c r="CP35" s="638"/>
      <c r="CQ35" s="638"/>
      <c r="CR35" s="638"/>
      <c r="CS35" s="638"/>
      <c r="CT35" s="638"/>
      <c r="CU35" s="638"/>
      <c r="CV35" s="638"/>
      <c r="CW35" s="638"/>
      <c r="CX35" s="638"/>
    </row>
    <row r="36" spans="1:102" s="266" customFormat="1" ht="14.45" customHeight="1" x14ac:dyDescent="0.25">
      <c r="A36" s="1021"/>
      <c r="B36" s="1021" t="s">
        <v>1635</v>
      </c>
      <c r="C36" s="3083" t="s">
        <v>1638</v>
      </c>
      <c r="D36" s="1168"/>
      <c r="E36" s="1168"/>
      <c r="F36" s="1168"/>
      <c r="G36" s="1168"/>
      <c r="H36" s="1168"/>
      <c r="I36" s="1168"/>
      <c r="J36" s="1168"/>
      <c r="K36" s="1168"/>
      <c r="L36" s="1168"/>
      <c r="M36" s="1168"/>
      <c r="N36" s="1168"/>
      <c r="O36" s="1168"/>
      <c r="P36" s="1168"/>
      <c r="Q36" s="1168"/>
      <c r="R36" s="1168"/>
      <c r="S36" s="1168"/>
      <c r="T36" s="1168"/>
      <c r="U36" s="1168"/>
      <c r="V36" s="1168"/>
      <c r="W36" s="1168"/>
      <c r="X36" s="1168"/>
      <c r="Y36" s="1168"/>
      <c r="Z36" s="1168"/>
      <c r="AA36" s="1168"/>
      <c r="AB36" s="1168"/>
      <c r="AC36" s="1168"/>
      <c r="AD36" s="1168"/>
      <c r="AE36" s="1168"/>
      <c r="AF36" s="1168"/>
      <c r="AG36" s="647"/>
      <c r="AH36" s="638"/>
      <c r="AI36" s="638"/>
      <c r="AJ36" s="638"/>
      <c r="AK36" s="638"/>
      <c r="AL36" s="638"/>
      <c r="AM36" s="638"/>
      <c r="AN36" s="638"/>
      <c r="AO36" s="638"/>
      <c r="AP36" s="638"/>
      <c r="AQ36" s="638"/>
      <c r="AR36" s="638"/>
      <c r="AS36" s="638"/>
      <c r="AT36" s="638"/>
      <c r="AU36" s="638"/>
      <c r="AV36" s="638"/>
      <c r="AW36" s="638"/>
      <c r="AX36" s="638"/>
      <c r="AY36" s="638"/>
      <c r="AZ36" s="638"/>
      <c r="BA36" s="638"/>
      <c r="BB36" s="638"/>
      <c r="BC36" s="638"/>
      <c r="BD36" s="638"/>
      <c r="BE36" s="638"/>
      <c r="BF36" s="638"/>
      <c r="BG36" s="638"/>
      <c r="BH36" s="638"/>
      <c r="BI36" s="638"/>
      <c r="BJ36" s="638"/>
      <c r="BK36" s="638"/>
      <c r="BL36" s="638"/>
      <c r="BM36" s="638"/>
      <c r="BN36" s="638"/>
      <c r="BO36" s="638"/>
      <c r="BP36" s="638"/>
      <c r="BQ36" s="638"/>
      <c r="BR36" s="638"/>
      <c r="BS36" s="638"/>
      <c r="BT36" s="638"/>
      <c r="BU36" s="638"/>
      <c r="BV36" s="638"/>
      <c r="BW36" s="638"/>
      <c r="BX36" s="638"/>
      <c r="BY36" s="638"/>
      <c r="BZ36" s="638"/>
      <c r="CA36" s="638"/>
      <c r="CB36" s="638"/>
      <c r="CC36" s="638"/>
      <c r="CD36" s="638"/>
      <c r="CE36" s="638"/>
      <c r="CF36" s="638"/>
      <c r="CG36" s="638"/>
      <c r="CH36" s="638"/>
      <c r="CI36" s="638"/>
      <c r="CJ36" s="638"/>
      <c r="CK36" s="638"/>
      <c r="CL36" s="638"/>
      <c r="CM36" s="638"/>
      <c r="CN36" s="638"/>
      <c r="CO36" s="638"/>
      <c r="CP36" s="638"/>
      <c r="CQ36" s="638"/>
      <c r="CR36" s="638"/>
      <c r="CS36" s="638"/>
      <c r="CT36" s="638"/>
      <c r="CU36" s="638"/>
      <c r="CV36" s="638"/>
      <c r="CW36" s="638"/>
      <c r="CX36" s="638"/>
    </row>
    <row r="37" spans="1:102" s="266" customFormat="1" ht="14.45" customHeight="1" x14ac:dyDescent="0.25">
      <c r="A37" s="1021"/>
      <c r="B37" s="1021" t="s">
        <v>1636</v>
      </c>
      <c r="C37" s="3083" t="s">
        <v>1639</v>
      </c>
      <c r="D37" s="1168"/>
      <c r="E37" s="1168"/>
      <c r="F37" s="1168"/>
      <c r="G37" s="1168"/>
      <c r="H37" s="1168"/>
      <c r="I37" s="1168"/>
      <c r="J37" s="1168"/>
      <c r="K37" s="1168"/>
      <c r="L37" s="1168"/>
      <c r="M37" s="1168"/>
      <c r="N37" s="1168"/>
      <c r="O37" s="1168"/>
      <c r="P37" s="1168"/>
      <c r="Q37" s="1168"/>
      <c r="R37" s="1168"/>
      <c r="S37" s="1168"/>
      <c r="T37" s="1168"/>
      <c r="U37" s="1168"/>
      <c r="V37" s="1168"/>
      <c r="W37" s="1168"/>
      <c r="X37" s="1168"/>
      <c r="Y37" s="1168"/>
      <c r="Z37" s="1168"/>
      <c r="AA37" s="1168"/>
      <c r="AB37" s="1168"/>
      <c r="AC37" s="1168"/>
      <c r="AD37" s="1168"/>
      <c r="AE37" s="1168"/>
      <c r="AF37" s="1168"/>
      <c r="AG37" s="647"/>
      <c r="AH37" s="638"/>
      <c r="AI37" s="638"/>
      <c r="AJ37" s="638"/>
      <c r="AK37" s="638"/>
      <c r="AL37" s="638"/>
      <c r="AM37" s="638"/>
      <c r="AN37" s="638"/>
      <c r="AO37" s="638"/>
      <c r="AP37" s="638"/>
      <c r="AQ37" s="638"/>
      <c r="AR37" s="638"/>
      <c r="AS37" s="638"/>
      <c r="AT37" s="638"/>
      <c r="AU37" s="638"/>
      <c r="AV37" s="638"/>
      <c r="AW37" s="638"/>
      <c r="AX37" s="638"/>
      <c r="AY37" s="638"/>
      <c r="AZ37" s="638"/>
      <c r="BA37" s="638"/>
      <c r="BB37" s="638"/>
      <c r="BC37" s="638"/>
      <c r="BD37" s="638"/>
      <c r="BE37" s="638"/>
      <c r="BF37" s="638"/>
      <c r="BG37" s="638"/>
      <c r="BH37" s="638"/>
      <c r="BI37" s="638"/>
      <c r="BJ37" s="638"/>
      <c r="BK37" s="638"/>
      <c r="BL37" s="638"/>
      <c r="BM37" s="638"/>
      <c r="BN37" s="638"/>
      <c r="BO37" s="638"/>
      <c r="BP37" s="638"/>
      <c r="BQ37" s="638"/>
      <c r="BR37" s="638"/>
      <c r="BS37" s="638"/>
      <c r="BT37" s="638"/>
      <c r="BU37" s="638"/>
      <c r="BV37" s="638"/>
      <c r="BW37" s="638"/>
      <c r="BX37" s="638"/>
      <c r="BY37" s="638"/>
      <c r="BZ37" s="638"/>
      <c r="CA37" s="638"/>
      <c r="CB37" s="638"/>
      <c r="CC37" s="638"/>
      <c r="CD37" s="638"/>
      <c r="CE37" s="638"/>
      <c r="CF37" s="638"/>
      <c r="CG37" s="638"/>
      <c r="CH37" s="638"/>
      <c r="CI37" s="638"/>
      <c r="CJ37" s="638"/>
      <c r="CK37" s="638"/>
      <c r="CL37" s="638"/>
      <c r="CM37" s="638"/>
      <c r="CN37" s="638"/>
      <c r="CO37" s="638"/>
      <c r="CP37" s="638"/>
      <c r="CQ37" s="638"/>
      <c r="CR37" s="638"/>
      <c r="CS37" s="638"/>
      <c r="CT37" s="638"/>
      <c r="CU37" s="638"/>
      <c r="CV37" s="638"/>
      <c r="CW37" s="638"/>
      <c r="CX37" s="638"/>
    </row>
    <row r="38" spans="1:102" s="266" customFormat="1" ht="18.600000000000001" customHeight="1" x14ac:dyDescent="0.25">
      <c r="A38" s="1021"/>
      <c r="B38" s="1021" t="s">
        <v>1637</v>
      </c>
      <c r="C38" s="3083" t="s">
        <v>1642</v>
      </c>
      <c r="D38" s="1168"/>
      <c r="E38" s="1168"/>
      <c r="F38" s="1168"/>
      <c r="G38" s="1168"/>
      <c r="H38" s="1168"/>
      <c r="I38" s="1168"/>
      <c r="J38" s="1168"/>
      <c r="K38" s="1168"/>
      <c r="L38" s="1168"/>
      <c r="M38" s="1168"/>
      <c r="N38" s="1168"/>
      <c r="O38" s="1168"/>
      <c r="P38" s="1168"/>
      <c r="Q38" s="1168"/>
      <c r="R38" s="1168"/>
      <c r="S38" s="1168"/>
      <c r="T38" s="1168"/>
      <c r="U38" s="1168"/>
      <c r="V38" s="1168"/>
      <c r="W38" s="1168"/>
      <c r="X38" s="1168"/>
      <c r="Y38" s="1168"/>
      <c r="Z38" s="1168"/>
      <c r="AA38" s="1168"/>
      <c r="AB38" s="1168"/>
      <c r="AC38" s="1168"/>
      <c r="AD38" s="1168"/>
      <c r="AE38" s="1168"/>
      <c r="AF38" s="1168"/>
      <c r="AG38" s="647"/>
      <c r="AH38" s="638"/>
      <c r="AI38" s="638"/>
      <c r="AJ38" s="638"/>
      <c r="AK38" s="638"/>
      <c r="AL38" s="638"/>
      <c r="AM38" s="638"/>
      <c r="AN38" s="638"/>
      <c r="AO38" s="638"/>
      <c r="AP38" s="638"/>
      <c r="AQ38" s="638"/>
      <c r="AR38" s="638"/>
      <c r="AS38" s="638"/>
      <c r="AT38" s="638"/>
      <c r="AU38" s="638"/>
      <c r="AV38" s="638"/>
      <c r="AW38" s="638"/>
      <c r="AX38" s="638"/>
      <c r="AY38" s="638"/>
      <c r="AZ38" s="638"/>
      <c r="BA38" s="638"/>
      <c r="BB38" s="638"/>
      <c r="BC38" s="638"/>
      <c r="BD38" s="638"/>
      <c r="BE38" s="638"/>
      <c r="BF38" s="638"/>
      <c r="BG38" s="638"/>
      <c r="BH38" s="638"/>
      <c r="BI38" s="638"/>
      <c r="BJ38" s="638"/>
      <c r="BK38" s="638"/>
      <c r="BL38" s="638"/>
      <c r="BM38" s="638"/>
      <c r="BN38" s="638"/>
      <c r="BO38" s="638"/>
      <c r="BP38" s="638"/>
      <c r="BQ38" s="638"/>
      <c r="BR38" s="638"/>
      <c r="BS38" s="638"/>
      <c r="BT38" s="638"/>
      <c r="BU38" s="638"/>
      <c r="BV38" s="638"/>
      <c r="BW38" s="638"/>
      <c r="BX38" s="638"/>
      <c r="BY38" s="638"/>
      <c r="BZ38" s="638"/>
      <c r="CA38" s="638"/>
      <c r="CB38" s="638"/>
      <c r="CC38" s="638"/>
      <c r="CD38" s="638"/>
      <c r="CE38" s="638"/>
      <c r="CF38" s="638"/>
      <c r="CG38" s="638"/>
      <c r="CH38" s="638"/>
      <c r="CI38" s="638"/>
      <c r="CJ38" s="638"/>
      <c r="CK38" s="638"/>
      <c r="CL38" s="638"/>
      <c r="CM38" s="638"/>
      <c r="CN38" s="638"/>
      <c r="CO38" s="638"/>
      <c r="CP38" s="638"/>
      <c r="CQ38" s="638"/>
      <c r="CR38" s="638"/>
      <c r="CS38" s="638"/>
      <c r="CT38" s="638"/>
      <c r="CU38" s="638"/>
      <c r="CV38" s="638"/>
      <c r="CW38" s="638"/>
      <c r="CX38" s="638"/>
    </row>
    <row r="39" spans="1:102" s="266" customFormat="1" x14ac:dyDescent="0.25">
      <c r="A39" s="1021"/>
      <c r="B39" s="1021"/>
      <c r="C39" s="1023"/>
      <c r="D39" s="651"/>
      <c r="E39" s="651"/>
      <c r="F39" s="651"/>
      <c r="G39" s="651"/>
      <c r="H39" s="651"/>
      <c r="I39" s="651"/>
      <c r="J39" s="651"/>
      <c r="K39" s="651"/>
      <c r="L39" s="651"/>
      <c r="M39" s="651"/>
      <c r="N39" s="651"/>
      <c r="O39" s="651"/>
      <c r="P39" s="651"/>
      <c r="Q39" s="651"/>
      <c r="R39" s="651"/>
      <c r="S39" s="651"/>
      <c r="T39" s="651"/>
      <c r="U39" s="651"/>
      <c r="V39" s="651"/>
      <c r="W39" s="651"/>
      <c r="X39" s="651"/>
      <c r="Y39" s="651"/>
      <c r="Z39" s="651"/>
      <c r="AA39" s="651"/>
      <c r="AB39" s="651"/>
      <c r="AC39" s="651"/>
      <c r="AD39" s="651"/>
      <c r="AE39" s="651"/>
      <c r="AF39" s="651"/>
      <c r="AG39" s="647"/>
      <c r="AH39" s="638"/>
      <c r="AI39" s="638"/>
      <c r="AJ39" s="638"/>
      <c r="AK39" s="638"/>
      <c r="AL39" s="638"/>
      <c r="AM39" s="638"/>
      <c r="AN39" s="638"/>
      <c r="AO39" s="638"/>
      <c r="AP39" s="638"/>
      <c r="AQ39" s="638"/>
      <c r="AR39" s="638"/>
      <c r="AS39" s="638"/>
      <c r="AT39" s="638"/>
      <c r="AU39" s="638"/>
      <c r="AV39" s="638"/>
      <c r="AW39" s="638"/>
      <c r="AX39" s="638"/>
      <c r="AY39" s="638"/>
      <c r="AZ39" s="638"/>
      <c r="BA39" s="638"/>
      <c r="BB39" s="638"/>
      <c r="BC39" s="638"/>
      <c r="BD39" s="638"/>
      <c r="BE39" s="638"/>
      <c r="BF39" s="638"/>
      <c r="BG39" s="638"/>
      <c r="BH39" s="638"/>
      <c r="BI39" s="638"/>
      <c r="BJ39" s="638"/>
      <c r="BK39" s="638"/>
      <c r="BL39" s="638"/>
      <c r="BM39" s="638"/>
      <c r="BN39" s="638"/>
      <c r="BO39" s="638"/>
      <c r="BP39" s="638"/>
      <c r="BQ39" s="638"/>
      <c r="BR39" s="638"/>
      <c r="BS39" s="638"/>
      <c r="BT39" s="638"/>
      <c r="BU39" s="638"/>
      <c r="BV39" s="638"/>
      <c r="BW39" s="638"/>
      <c r="BX39" s="638"/>
      <c r="BY39" s="638"/>
      <c r="BZ39" s="638"/>
      <c r="CA39" s="638"/>
      <c r="CB39" s="638"/>
      <c r="CC39" s="638"/>
      <c r="CD39" s="638"/>
      <c r="CE39" s="638"/>
      <c r="CF39" s="638"/>
      <c r="CG39" s="638"/>
      <c r="CH39" s="638"/>
      <c r="CI39" s="638"/>
      <c r="CJ39" s="638"/>
      <c r="CK39" s="638"/>
      <c r="CL39" s="638"/>
      <c r="CM39" s="638"/>
      <c r="CN39" s="638"/>
      <c r="CO39" s="638"/>
      <c r="CP39" s="638"/>
      <c r="CQ39" s="638"/>
      <c r="CR39" s="638"/>
      <c r="CS39" s="638"/>
      <c r="CT39" s="638"/>
      <c r="CU39" s="638"/>
      <c r="CV39" s="638"/>
      <c r="CW39" s="638"/>
      <c r="CX39" s="638"/>
    </row>
    <row r="40" spans="1:102" s="266" customFormat="1" ht="60.75" customHeight="1" x14ac:dyDescent="0.25">
      <c r="A40" s="1021"/>
      <c r="B40" s="1173" t="s">
        <v>6919</v>
      </c>
      <c r="C40" s="1173"/>
      <c r="D40" s="1173"/>
      <c r="E40" s="1173"/>
      <c r="F40" s="1173"/>
      <c r="G40" s="1173"/>
      <c r="H40" s="1173"/>
      <c r="I40" s="1173"/>
      <c r="J40" s="1173"/>
      <c r="K40" s="1173"/>
      <c r="L40" s="1173"/>
      <c r="M40" s="1173"/>
      <c r="N40" s="1173"/>
      <c r="O40" s="1173"/>
      <c r="P40" s="1173"/>
      <c r="Q40" s="1173"/>
      <c r="R40" s="1173"/>
      <c r="S40" s="1173"/>
      <c r="T40" s="1173"/>
      <c r="U40" s="1173"/>
      <c r="V40" s="1173"/>
      <c r="W40" s="1173"/>
      <c r="X40" s="1173"/>
      <c r="Y40" s="1173"/>
      <c r="Z40" s="1173"/>
      <c r="AA40" s="1173"/>
      <c r="AB40" s="1173"/>
      <c r="AC40" s="1173"/>
      <c r="AD40" s="1173"/>
      <c r="AE40" s="1173"/>
      <c r="AF40" s="1173"/>
      <c r="AG40" s="647"/>
      <c r="AH40" s="638"/>
      <c r="AI40" s="638"/>
      <c r="AJ40" s="638"/>
      <c r="AK40" s="638"/>
      <c r="AL40" s="638"/>
      <c r="AM40" s="638"/>
      <c r="AN40" s="638"/>
      <c r="AO40" s="638"/>
      <c r="AP40" s="638"/>
      <c r="AQ40" s="638"/>
      <c r="AR40" s="638"/>
      <c r="AS40" s="638"/>
      <c r="AT40" s="638"/>
      <c r="AU40" s="638"/>
      <c r="AV40" s="638"/>
      <c r="AW40" s="638"/>
      <c r="AX40" s="638"/>
      <c r="AY40" s="638"/>
      <c r="AZ40" s="638"/>
      <c r="BA40" s="638"/>
      <c r="BB40" s="638"/>
      <c r="BC40" s="638"/>
      <c r="BD40" s="638"/>
      <c r="BE40" s="638"/>
      <c r="BF40" s="638"/>
      <c r="BG40" s="638"/>
      <c r="BH40" s="638"/>
      <c r="BI40" s="638"/>
      <c r="BJ40" s="638"/>
      <c r="BK40" s="638"/>
      <c r="BL40" s="638"/>
      <c r="BM40" s="638"/>
      <c r="BN40" s="638"/>
      <c r="BO40" s="638"/>
      <c r="BP40" s="638"/>
      <c r="BQ40" s="638"/>
      <c r="BR40" s="638"/>
      <c r="BS40" s="638"/>
      <c r="BT40" s="638"/>
      <c r="BU40" s="638"/>
      <c r="BV40" s="638"/>
      <c r="BW40" s="638"/>
      <c r="BX40" s="638"/>
      <c r="BY40" s="638"/>
      <c r="BZ40" s="638"/>
      <c r="CA40" s="638"/>
      <c r="CB40" s="638"/>
      <c r="CC40" s="638"/>
      <c r="CD40" s="638"/>
      <c r="CE40" s="638"/>
      <c r="CF40" s="638"/>
      <c r="CG40" s="638"/>
      <c r="CH40" s="638"/>
      <c r="CI40" s="638"/>
      <c r="CJ40" s="638"/>
      <c r="CK40" s="638"/>
      <c r="CL40" s="638"/>
      <c r="CM40" s="638"/>
      <c r="CN40" s="638"/>
      <c r="CO40" s="638"/>
      <c r="CP40" s="638"/>
      <c r="CQ40" s="638"/>
      <c r="CR40" s="638"/>
      <c r="CS40" s="638"/>
      <c r="CT40" s="638"/>
      <c r="CU40" s="638"/>
      <c r="CV40" s="638"/>
      <c r="CW40" s="638"/>
      <c r="CX40" s="638"/>
    </row>
    <row r="41" spans="1:102" s="1" customFormat="1" x14ac:dyDescent="0.25">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262"/>
      <c r="BT41" s="262"/>
      <c r="BU41" s="262"/>
      <c r="BV41" s="262"/>
      <c r="BW41" s="262"/>
      <c r="BX41" s="262"/>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2"/>
      <c r="CV41" s="262"/>
      <c r="CW41" s="262"/>
      <c r="CX41" s="262"/>
    </row>
    <row r="42" spans="1:102" s="1" customFormat="1" x14ac:dyDescent="0.25">
      <c r="B42" s="171" t="s">
        <v>20</v>
      </c>
      <c r="C42" s="171"/>
      <c r="D42" s="171"/>
      <c r="E42" s="171"/>
      <c r="F42" s="171"/>
      <c r="G42" s="171"/>
      <c r="H42" s="171"/>
      <c r="I42" s="171"/>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262"/>
      <c r="BT42" s="262"/>
      <c r="BU42" s="262"/>
      <c r="BV42" s="262"/>
      <c r="BW42" s="262"/>
      <c r="BX42" s="262"/>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2"/>
      <c r="CV42" s="262"/>
      <c r="CW42" s="262"/>
      <c r="CX42" s="262"/>
    </row>
    <row r="43" spans="1:102" s="1" customFormat="1" ht="33.75" customHeight="1" x14ac:dyDescent="0.25">
      <c r="B43" s="1173" t="s">
        <v>6957</v>
      </c>
      <c r="C43" s="1173"/>
      <c r="D43" s="1173"/>
      <c r="E43" s="1173"/>
      <c r="F43" s="1173"/>
      <c r="G43" s="1173"/>
      <c r="H43" s="1173"/>
      <c r="I43" s="1173"/>
      <c r="J43" s="1173"/>
      <c r="K43" s="1173"/>
      <c r="L43" s="1173"/>
      <c r="M43" s="1173"/>
      <c r="N43" s="1173"/>
      <c r="O43" s="1173"/>
      <c r="P43" s="1173"/>
      <c r="Q43" s="1173"/>
      <c r="R43" s="1173"/>
      <c r="S43" s="1173"/>
      <c r="T43" s="1173"/>
      <c r="U43" s="1173"/>
      <c r="V43" s="1173"/>
      <c r="W43" s="1173"/>
      <c r="X43" s="1173"/>
      <c r="Y43" s="1173"/>
      <c r="Z43" s="1173"/>
      <c r="AA43" s="1173"/>
      <c r="AB43" s="1173"/>
      <c r="AC43" s="1173"/>
      <c r="AD43" s="1173"/>
      <c r="AE43" s="1173"/>
      <c r="AF43" s="1173"/>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262"/>
      <c r="BT43" s="262"/>
      <c r="BU43" s="262"/>
      <c r="BV43" s="262"/>
      <c r="BW43" s="262"/>
      <c r="BX43" s="262"/>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2"/>
      <c r="CV43" s="262"/>
      <c r="CW43" s="262"/>
      <c r="CX43" s="262"/>
    </row>
    <row r="44" spans="1:102" s="1" customFormat="1" x14ac:dyDescent="0.25">
      <c r="B44" s="647"/>
      <c r="C44" s="647"/>
      <c r="D44" s="647"/>
      <c r="E44" s="647"/>
      <c r="F44" s="647"/>
      <c r="G44" s="647"/>
      <c r="H44" s="647"/>
      <c r="I44" s="647"/>
      <c r="J44" s="647"/>
      <c r="K44" s="647"/>
      <c r="L44" s="647"/>
      <c r="M44" s="647"/>
      <c r="N44" s="647"/>
      <c r="O44" s="647"/>
      <c r="P44" s="647"/>
      <c r="Q44" s="647"/>
      <c r="R44" s="647"/>
      <c r="S44" s="647"/>
      <c r="T44" s="647"/>
      <c r="U44" s="647"/>
      <c r="V44" s="647"/>
      <c r="W44" s="647"/>
      <c r="X44" s="647"/>
      <c r="Y44" s="647"/>
      <c r="Z44" s="647"/>
      <c r="AA44" s="647"/>
      <c r="AB44" s="647"/>
      <c r="AC44" s="647"/>
      <c r="AD44" s="647"/>
      <c r="AE44" s="647"/>
      <c r="AF44" s="647"/>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262"/>
      <c r="BT44" s="262"/>
      <c r="BU44" s="262"/>
      <c r="BV44" s="262"/>
      <c r="BW44" s="262"/>
      <c r="BX44" s="262"/>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2"/>
      <c r="CV44" s="262"/>
      <c r="CW44" s="262"/>
      <c r="CX44" s="262"/>
    </row>
    <row r="45" spans="1:102" s="1" customFormat="1" ht="36" customHeight="1" x14ac:dyDescent="0.25">
      <c r="B45" s="1173" t="s">
        <v>6958</v>
      </c>
      <c r="C45" s="1173"/>
      <c r="D45" s="1173"/>
      <c r="E45" s="1173"/>
      <c r="F45" s="1173"/>
      <c r="G45" s="1173"/>
      <c r="H45" s="1173"/>
      <c r="I45" s="1173"/>
      <c r="J45" s="1173"/>
      <c r="K45" s="1173"/>
      <c r="L45" s="1173"/>
      <c r="M45" s="1173"/>
      <c r="N45" s="1173"/>
      <c r="O45" s="1173"/>
      <c r="P45" s="1173"/>
      <c r="Q45" s="1173"/>
      <c r="R45" s="1173"/>
      <c r="S45" s="1173"/>
      <c r="T45" s="1173"/>
      <c r="U45" s="1173"/>
      <c r="V45" s="1173"/>
      <c r="W45" s="1173"/>
      <c r="X45" s="1173"/>
      <c r="Y45" s="1173"/>
      <c r="Z45" s="1173"/>
      <c r="AA45" s="1173"/>
      <c r="AB45" s="1173"/>
      <c r="AC45" s="1173"/>
      <c r="AD45" s="1173"/>
      <c r="AE45" s="1173"/>
      <c r="AF45" s="1173"/>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2"/>
      <c r="BU45" s="262"/>
      <c r="BV45" s="262"/>
      <c r="BW45" s="262"/>
      <c r="BX45" s="262"/>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2"/>
      <c r="CV45" s="262"/>
      <c r="CW45" s="262"/>
      <c r="CX45" s="262"/>
    </row>
    <row r="46" spans="1:102" s="1" customFormat="1" x14ac:dyDescent="0.25">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262"/>
      <c r="BT46" s="262"/>
      <c r="BU46" s="262"/>
      <c r="BV46" s="262"/>
      <c r="BW46" s="262"/>
      <c r="BX46" s="262"/>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2"/>
      <c r="CV46" s="262"/>
      <c r="CW46" s="262"/>
      <c r="CX46" s="262"/>
    </row>
    <row r="47" spans="1:102" s="1" customFormat="1" x14ac:dyDescent="0.25">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262"/>
      <c r="BT47" s="262"/>
      <c r="BU47" s="262"/>
      <c r="BV47" s="262"/>
      <c r="BW47" s="262"/>
      <c r="BX47" s="262"/>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2"/>
      <c r="CV47" s="262"/>
      <c r="CW47" s="262"/>
      <c r="CX47" s="262"/>
    </row>
    <row r="48" spans="1:102" s="1" customFormat="1" x14ac:dyDescent="0.25">
      <c r="A48" s="1148" t="s">
        <v>14</v>
      </c>
      <c r="B48" s="1149"/>
      <c r="C48" s="1149"/>
      <c r="D48" s="1149"/>
      <c r="E48" s="1149"/>
      <c r="F48" s="1149"/>
      <c r="G48" s="1149"/>
      <c r="H48" s="1149"/>
      <c r="I48" s="1149"/>
      <c r="J48" s="1149"/>
      <c r="K48" s="1149"/>
      <c r="L48" s="1149"/>
      <c r="M48" s="1149"/>
      <c r="N48" s="1149"/>
      <c r="O48" s="1149"/>
      <c r="P48" s="1149"/>
      <c r="Q48" s="1149"/>
      <c r="R48" s="1149"/>
      <c r="S48" s="1149"/>
      <c r="T48" s="1149"/>
      <c r="U48" s="1149"/>
      <c r="V48" s="1149"/>
      <c r="W48" s="1149"/>
      <c r="X48" s="1149"/>
      <c r="Y48" s="1149"/>
      <c r="Z48" s="1149"/>
      <c r="AA48" s="1149"/>
      <c r="AB48" s="1149"/>
      <c r="AC48" s="1149"/>
      <c r="AD48" s="1149"/>
      <c r="AE48" s="1149"/>
      <c r="AF48" s="1150"/>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262"/>
      <c r="BT48" s="262"/>
      <c r="BU48" s="262"/>
      <c r="BV48" s="262"/>
      <c r="BW48" s="262"/>
      <c r="BX48" s="262"/>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2"/>
      <c r="CV48" s="262"/>
      <c r="CW48" s="262"/>
      <c r="CX48" s="262"/>
    </row>
    <row r="49" spans="2:102" s="1" customFormat="1" x14ac:dyDescent="0.25">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2"/>
      <c r="BQ49" s="262"/>
      <c r="BR49" s="262"/>
      <c r="BS49" s="262"/>
      <c r="BT49" s="262"/>
      <c r="BU49" s="262"/>
      <c r="BV49" s="262"/>
      <c r="BW49" s="262"/>
      <c r="BX49" s="262"/>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2"/>
      <c r="CV49" s="262"/>
      <c r="CW49" s="262"/>
      <c r="CX49" s="262"/>
    </row>
    <row r="50" spans="2:102" s="1" customFormat="1" x14ac:dyDescent="0.25">
      <c r="B50" s="519" t="s">
        <v>6920</v>
      </c>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2"/>
      <c r="BQ50" s="262"/>
      <c r="BR50" s="262"/>
      <c r="BS50" s="262"/>
      <c r="BT50" s="262"/>
      <c r="BU50" s="262"/>
      <c r="BV50" s="262"/>
      <c r="BW50" s="262"/>
      <c r="BX50" s="262"/>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2"/>
      <c r="CV50" s="262"/>
      <c r="CW50" s="262"/>
      <c r="CX50" s="262"/>
    </row>
    <row r="51" spans="2:102" s="1" customFormat="1" x14ac:dyDescent="0.25">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262"/>
      <c r="BT51" s="262"/>
      <c r="BU51" s="262"/>
      <c r="BV51" s="262"/>
      <c r="BW51" s="262"/>
      <c r="BX51" s="262"/>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2"/>
      <c r="CV51" s="262"/>
      <c r="CW51" s="262"/>
      <c r="CX51" s="262"/>
    </row>
    <row r="52" spans="2:102" s="1" customFormat="1" x14ac:dyDescent="0.25">
      <c r="M52" s="7" t="s">
        <v>6921</v>
      </c>
      <c r="AF52" s="419" t="s">
        <v>1705</v>
      </c>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262"/>
      <c r="BT52" s="262"/>
      <c r="BU52" s="262"/>
      <c r="BV52" s="262"/>
      <c r="BW52" s="262"/>
      <c r="BX52" s="262"/>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2"/>
      <c r="CV52" s="262"/>
      <c r="CW52" s="262"/>
      <c r="CX52" s="262"/>
    </row>
    <row r="53" spans="2:102" s="1" customFormat="1" x14ac:dyDescent="0.25">
      <c r="M53" s="7"/>
      <c r="AF53" s="520"/>
      <c r="AH53" s="262"/>
      <c r="AI53" s="262"/>
      <c r="AJ53" s="262"/>
      <c r="AK53" s="262"/>
      <c r="AL53" s="262"/>
      <c r="AM53" s="262"/>
      <c r="AN53" s="262"/>
      <c r="AO53" s="262"/>
      <c r="AP53" s="262"/>
      <c r="AQ53" s="262"/>
      <c r="AR53" s="262"/>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2"/>
      <c r="BR53" s="262"/>
      <c r="BS53" s="262"/>
      <c r="BT53" s="262"/>
      <c r="BU53" s="262"/>
      <c r="BV53" s="262"/>
      <c r="BW53" s="262"/>
      <c r="BX53" s="262"/>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2"/>
      <c r="CV53" s="262"/>
      <c r="CW53" s="262"/>
      <c r="CX53" s="262"/>
    </row>
    <row r="54" spans="2:102" s="1" customFormat="1" x14ac:dyDescent="0.25">
      <c r="B54" s="519" t="s">
        <v>6922</v>
      </c>
      <c r="AF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262"/>
      <c r="BT54" s="262"/>
      <c r="BU54" s="262"/>
      <c r="BV54" s="262"/>
      <c r="BW54" s="262"/>
      <c r="BX54" s="262"/>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2"/>
      <c r="CV54" s="262"/>
      <c r="CW54" s="262"/>
      <c r="CX54" s="262"/>
    </row>
    <row r="55" spans="2:102" s="1" customFormat="1" x14ac:dyDescent="0.25">
      <c r="AF55" s="262"/>
      <c r="AH55" s="262"/>
      <c r="AI55" s="262"/>
      <c r="AJ55" s="262"/>
      <c r="AK55" s="262"/>
      <c r="AL55" s="262"/>
      <c r="AM55" s="262"/>
      <c r="AN55" s="262"/>
      <c r="AO55" s="262"/>
      <c r="AP55" s="262"/>
      <c r="AQ55" s="262"/>
      <c r="AR55" s="262"/>
      <c r="AS55" s="262"/>
      <c r="AT55" s="262"/>
      <c r="AU55" s="262"/>
      <c r="AV55" s="262"/>
      <c r="AW55" s="262"/>
      <c r="AX55" s="262"/>
      <c r="AY55" s="262"/>
      <c r="AZ55" s="262"/>
      <c r="BA55" s="262"/>
      <c r="BB55" s="262"/>
      <c r="BC55" s="262"/>
      <c r="BD55" s="262"/>
      <c r="BE55" s="262"/>
      <c r="BF55" s="262"/>
      <c r="BG55" s="262"/>
      <c r="BH55" s="262"/>
      <c r="BI55" s="262"/>
      <c r="BJ55" s="262"/>
      <c r="BK55" s="262"/>
      <c r="BL55" s="262"/>
      <c r="BM55" s="262"/>
      <c r="BN55" s="262"/>
      <c r="BO55" s="262"/>
      <c r="BP55" s="262"/>
      <c r="BQ55" s="262"/>
      <c r="BR55" s="262"/>
      <c r="BS55" s="262"/>
      <c r="BT55" s="262"/>
      <c r="BU55" s="262"/>
      <c r="BV55" s="262"/>
      <c r="BW55" s="262"/>
      <c r="BX55" s="262"/>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2"/>
      <c r="CV55" s="262"/>
      <c r="CW55" s="262"/>
      <c r="CX55" s="262"/>
    </row>
    <row r="56" spans="2:102" s="1" customFormat="1" x14ac:dyDescent="0.25">
      <c r="M56" s="7" t="s">
        <v>6921</v>
      </c>
      <c r="AF56" s="419" t="s">
        <v>1706</v>
      </c>
      <c r="AH56" s="262"/>
      <c r="AI56" s="262"/>
      <c r="AJ56" s="262"/>
      <c r="AK56" s="262"/>
      <c r="AL56" s="262"/>
      <c r="AM56" s="262"/>
      <c r="AN56" s="262"/>
      <c r="AO56" s="262"/>
      <c r="AP56" s="262"/>
      <c r="AQ56" s="262"/>
      <c r="AR56" s="262"/>
      <c r="AS56" s="262"/>
      <c r="AT56" s="262"/>
      <c r="AU56" s="262"/>
      <c r="AV56" s="262"/>
      <c r="AW56" s="262"/>
      <c r="AX56" s="262"/>
      <c r="AY56" s="262"/>
      <c r="AZ56" s="262"/>
      <c r="BA56" s="262"/>
      <c r="BB56" s="262"/>
      <c r="BC56" s="262"/>
      <c r="BD56" s="262"/>
      <c r="BE56" s="262"/>
      <c r="BF56" s="262"/>
      <c r="BG56" s="262"/>
      <c r="BH56" s="262"/>
      <c r="BI56" s="262"/>
      <c r="BJ56" s="262"/>
      <c r="BK56" s="262"/>
      <c r="BL56" s="262"/>
      <c r="BM56" s="262"/>
      <c r="BN56" s="262"/>
      <c r="BO56" s="262"/>
      <c r="BP56" s="262"/>
      <c r="BQ56" s="262"/>
      <c r="BR56" s="262"/>
      <c r="BS56" s="262"/>
      <c r="BT56" s="262"/>
      <c r="BU56" s="262"/>
      <c r="BV56" s="262"/>
      <c r="BW56" s="262"/>
      <c r="BX56" s="262"/>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2"/>
      <c r="CV56" s="262"/>
      <c r="CW56" s="262"/>
      <c r="CX56" s="262"/>
    </row>
    <row r="57" spans="2:102" s="1" customFormat="1" x14ac:dyDescent="0.25">
      <c r="AF57" s="520"/>
      <c r="AH57" s="262"/>
      <c r="AI57" s="262"/>
      <c r="AJ57" s="262"/>
      <c r="AK57" s="262"/>
      <c r="AL57" s="262"/>
      <c r="AM57" s="262"/>
      <c r="AN57" s="262"/>
      <c r="AO57" s="262"/>
      <c r="AP57" s="262"/>
      <c r="AQ57" s="262"/>
      <c r="AR57" s="262"/>
      <c r="AS57" s="262"/>
      <c r="AT57" s="262"/>
      <c r="AU57" s="262"/>
      <c r="AV57" s="262"/>
      <c r="AW57" s="262"/>
      <c r="AX57" s="262"/>
      <c r="AY57" s="262"/>
      <c r="AZ57" s="262"/>
      <c r="BA57" s="262"/>
      <c r="BB57" s="262"/>
      <c r="BC57" s="262"/>
      <c r="BD57" s="262"/>
      <c r="BE57" s="262"/>
      <c r="BF57" s="262"/>
      <c r="BG57" s="262"/>
      <c r="BH57" s="262"/>
      <c r="BI57" s="262"/>
      <c r="BJ57" s="262"/>
      <c r="BK57" s="262"/>
      <c r="BL57" s="262"/>
      <c r="BM57" s="262"/>
      <c r="BN57" s="262"/>
      <c r="BO57" s="262"/>
      <c r="BP57" s="262"/>
      <c r="BQ57" s="262"/>
      <c r="BR57" s="262"/>
      <c r="BS57" s="262"/>
      <c r="BT57" s="262"/>
      <c r="BU57" s="262"/>
      <c r="BV57" s="262"/>
      <c r="BW57" s="262"/>
      <c r="BX57" s="262"/>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2"/>
      <c r="CV57" s="262"/>
      <c r="CW57" s="262"/>
      <c r="CX57" s="262"/>
    </row>
    <row r="58" spans="2:102" s="1" customFormat="1" x14ac:dyDescent="0.25">
      <c r="B58" s="519" t="s">
        <v>6923</v>
      </c>
      <c r="AF58" s="520"/>
      <c r="AH58" s="262"/>
      <c r="AI58" s="262"/>
      <c r="AJ58" s="262"/>
      <c r="AK58" s="262"/>
      <c r="AL58" s="262"/>
      <c r="AM58" s="262"/>
      <c r="AN58" s="262"/>
      <c r="AO58" s="262"/>
      <c r="AP58" s="262"/>
      <c r="AQ58" s="262"/>
      <c r="AR58" s="262"/>
      <c r="AS58" s="262"/>
      <c r="AT58" s="262"/>
      <c r="AU58" s="262"/>
      <c r="AV58" s="262"/>
      <c r="AW58" s="262"/>
      <c r="AX58" s="262"/>
      <c r="AY58" s="262"/>
      <c r="AZ58" s="262"/>
      <c r="BA58" s="262"/>
      <c r="BB58" s="262"/>
      <c r="BC58" s="262"/>
      <c r="BD58" s="262"/>
      <c r="BE58" s="262"/>
      <c r="BF58" s="262"/>
      <c r="BG58" s="262"/>
      <c r="BH58" s="262"/>
      <c r="BI58" s="262"/>
      <c r="BJ58" s="262"/>
      <c r="BK58" s="262"/>
      <c r="BL58" s="262"/>
      <c r="BM58" s="262"/>
      <c r="BN58" s="262"/>
      <c r="BO58" s="262"/>
      <c r="BP58" s="262"/>
      <c r="BQ58" s="262"/>
      <c r="BR58" s="262"/>
      <c r="BS58" s="262"/>
      <c r="BT58" s="262"/>
      <c r="BU58" s="262"/>
      <c r="BV58" s="262"/>
      <c r="BW58" s="262"/>
      <c r="BX58" s="262"/>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2"/>
      <c r="CV58" s="262"/>
      <c r="CW58" s="262"/>
      <c r="CX58" s="262"/>
    </row>
    <row r="59" spans="2:102" s="1" customFormat="1" x14ac:dyDescent="0.25">
      <c r="AF59" s="520"/>
      <c r="AH59" s="262"/>
      <c r="AI59" s="262"/>
      <c r="AJ59" s="262"/>
      <c r="AK59" s="262"/>
      <c r="AL59" s="262"/>
      <c r="AM59" s="262"/>
      <c r="AN59" s="262"/>
      <c r="AO59" s="262"/>
      <c r="AP59" s="262"/>
      <c r="AQ59" s="262"/>
      <c r="AR59" s="262"/>
      <c r="AS59" s="262"/>
      <c r="AT59" s="262"/>
      <c r="AU59" s="262"/>
      <c r="AV59" s="262"/>
      <c r="AW59" s="262"/>
      <c r="AX59" s="262"/>
      <c r="AY59" s="262"/>
      <c r="AZ59" s="262"/>
      <c r="BA59" s="262"/>
      <c r="BB59" s="262"/>
      <c r="BC59" s="262"/>
      <c r="BD59" s="262"/>
      <c r="BE59" s="262"/>
      <c r="BF59" s="262"/>
      <c r="BG59" s="262"/>
      <c r="BH59" s="262"/>
      <c r="BI59" s="262"/>
      <c r="BJ59" s="262"/>
      <c r="BK59" s="262"/>
      <c r="BL59" s="262"/>
      <c r="BM59" s="262"/>
      <c r="BN59" s="262"/>
      <c r="BO59" s="262"/>
      <c r="BP59" s="262"/>
      <c r="BQ59" s="262"/>
      <c r="BR59" s="262"/>
      <c r="BS59" s="262"/>
      <c r="BT59" s="262"/>
      <c r="BU59" s="262"/>
      <c r="BV59" s="262"/>
      <c r="BW59" s="262"/>
      <c r="BX59" s="262"/>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2"/>
      <c r="CV59" s="262"/>
      <c r="CW59" s="262"/>
      <c r="CX59" s="262"/>
    </row>
    <row r="60" spans="2:102" s="1" customFormat="1" x14ac:dyDescent="0.25">
      <c r="AH60" s="262"/>
      <c r="AI60" s="262"/>
      <c r="AJ60" s="262"/>
      <c r="AK60" s="262"/>
      <c r="AL60" s="262"/>
      <c r="AM60" s="262"/>
      <c r="AN60" s="262"/>
      <c r="AO60" s="262"/>
      <c r="AP60" s="262"/>
      <c r="AQ60" s="262"/>
      <c r="AR60" s="262"/>
      <c r="AS60" s="262"/>
      <c r="AT60" s="262"/>
      <c r="AU60" s="262"/>
      <c r="AV60" s="262"/>
      <c r="AW60" s="262"/>
      <c r="AX60" s="262"/>
      <c r="AY60" s="262"/>
      <c r="AZ60" s="262"/>
      <c r="BA60" s="262"/>
      <c r="BB60" s="262"/>
      <c r="BC60" s="262"/>
      <c r="BD60" s="262"/>
      <c r="BE60" s="262"/>
      <c r="BF60" s="262"/>
      <c r="BG60" s="262"/>
      <c r="BH60" s="262"/>
      <c r="BI60" s="262"/>
      <c r="BJ60" s="262"/>
      <c r="BK60" s="262"/>
      <c r="BL60" s="262"/>
      <c r="BM60" s="262"/>
      <c r="BN60" s="262"/>
      <c r="BO60" s="262"/>
      <c r="BP60" s="262"/>
      <c r="BQ60" s="262"/>
      <c r="BR60" s="262"/>
      <c r="BS60" s="262"/>
      <c r="BT60" s="262"/>
      <c r="BU60" s="262"/>
      <c r="BV60" s="262"/>
      <c r="BW60" s="262"/>
      <c r="BX60" s="262"/>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2"/>
      <c r="CV60" s="262"/>
      <c r="CW60" s="262"/>
      <c r="CX60" s="262"/>
    </row>
    <row r="61" spans="2:102" s="1" customFormat="1" x14ac:dyDescent="0.25">
      <c r="AF61" s="419" t="s">
        <v>1707</v>
      </c>
      <c r="AH61" s="262"/>
      <c r="AI61" s="262"/>
      <c r="AJ61" s="262"/>
      <c r="AK61" s="262"/>
      <c r="AL61" s="262"/>
      <c r="AM61" s="262"/>
      <c r="AN61" s="262"/>
      <c r="AO61" s="262"/>
      <c r="AP61" s="262"/>
      <c r="AQ61" s="262"/>
      <c r="AR61" s="262"/>
      <c r="AS61" s="262"/>
      <c r="AT61" s="262"/>
      <c r="AU61" s="262"/>
      <c r="AV61" s="262"/>
      <c r="AW61" s="262"/>
      <c r="AX61" s="262"/>
      <c r="AY61" s="262"/>
      <c r="AZ61" s="262"/>
      <c r="BA61" s="262"/>
      <c r="BB61" s="262"/>
      <c r="BC61" s="262"/>
      <c r="BD61" s="262"/>
      <c r="BE61" s="262"/>
      <c r="BF61" s="262"/>
      <c r="BG61" s="262"/>
      <c r="BH61" s="262"/>
      <c r="BI61" s="262"/>
      <c r="BJ61" s="262"/>
      <c r="BK61" s="262"/>
      <c r="BL61" s="262"/>
      <c r="BM61" s="262"/>
      <c r="BN61" s="262"/>
      <c r="BO61" s="262"/>
      <c r="BP61" s="262"/>
      <c r="BQ61" s="262"/>
      <c r="BR61" s="262"/>
      <c r="BS61" s="262"/>
      <c r="BT61" s="262"/>
      <c r="BU61" s="262"/>
      <c r="BV61" s="262"/>
      <c r="BW61" s="262"/>
      <c r="BX61" s="262"/>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2"/>
      <c r="CV61" s="262"/>
      <c r="CW61" s="262"/>
      <c r="CX61" s="262"/>
    </row>
    <row r="62" spans="2:102" s="1" customFormat="1" x14ac:dyDescent="0.25">
      <c r="AF62" s="520"/>
      <c r="AH62" s="262"/>
      <c r="AI62" s="262"/>
      <c r="AJ62" s="262"/>
      <c r="AK62" s="262"/>
      <c r="AL62" s="262"/>
      <c r="AM62" s="262"/>
      <c r="AN62" s="262"/>
      <c r="AO62" s="262"/>
      <c r="AP62" s="262"/>
      <c r="AQ62" s="262"/>
      <c r="AR62" s="262"/>
      <c r="AS62" s="262"/>
      <c r="AT62" s="262"/>
      <c r="AU62" s="262"/>
      <c r="AV62" s="262"/>
      <c r="AW62" s="262"/>
      <c r="AX62" s="262"/>
      <c r="AY62" s="262"/>
      <c r="AZ62" s="262"/>
      <c r="BA62" s="262"/>
      <c r="BB62" s="262"/>
      <c r="BC62" s="262"/>
      <c r="BD62" s="262"/>
      <c r="BE62" s="262"/>
      <c r="BF62" s="262"/>
      <c r="BG62" s="262"/>
      <c r="BH62" s="262"/>
      <c r="BI62" s="262"/>
      <c r="BJ62" s="262"/>
      <c r="BK62" s="262"/>
      <c r="BL62" s="262"/>
      <c r="BM62" s="262"/>
      <c r="BN62" s="262"/>
      <c r="BO62" s="262"/>
      <c r="BP62" s="262"/>
      <c r="BQ62" s="262"/>
      <c r="BR62" s="262"/>
      <c r="BS62" s="262"/>
      <c r="BT62" s="262"/>
      <c r="BU62" s="262"/>
      <c r="BV62" s="262"/>
      <c r="BW62" s="262"/>
      <c r="BX62" s="262"/>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2"/>
      <c r="CV62" s="262"/>
      <c r="CW62" s="262"/>
      <c r="CX62" s="262"/>
    </row>
    <row r="63" spans="2:102" s="1" customFormat="1" x14ac:dyDescent="0.25">
      <c r="B63" s="519" t="s">
        <v>6924</v>
      </c>
      <c r="AF63" s="520"/>
      <c r="AH63" s="262"/>
      <c r="AI63" s="262"/>
      <c r="AJ63" s="262"/>
      <c r="AK63" s="262"/>
      <c r="AL63" s="262"/>
      <c r="AM63" s="262"/>
      <c r="AN63" s="262"/>
      <c r="AO63" s="262"/>
      <c r="AP63" s="262"/>
      <c r="AQ63" s="262"/>
      <c r="AR63" s="262"/>
      <c r="AS63" s="262"/>
      <c r="AT63" s="262"/>
      <c r="AU63" s="262"/>
      <c r="AV63" s="262"/>
      <c r="AW63" s="262"/>
      <c r="AX63" s="262"/>
      <c r="AY63" s="262"/>
      <c r="AZ63" s="262"/>
      <c r="BA63" s="262"/>
      <c r="BB63" s="262"/>
      <c r="BC63" s="262"/>
      <c r="BD63" s="262"/>
      <c r="BE63" s="262"/>
      <c r="BF63" s="262"/>
      <c r="BG63" s="262"/>
      <c r="BH63" s="262"/>
      <c r="BI63" s="262"/>
      <c r="BJ63" s="262"/>
      <c r="BK63" s="262"/>
      <c r="BL63" s="262"/>
      <c r="BM63" s="262"/>
      <c r="BN63" s="262"/>
      <c r="BO63" s="262"/>
      <c r="BP63" s="262"/>
      <c r="BQ63" s="262"/>
      <c r="BR63" s="262"/>
      <c r="BS63" s="262"/>
      <c r="BT63" s="262"/>
      <c r="BU63" s="262"/>
      <c r="BV63" s="262"/>
      <c r="BW63" s="262"/>
      <c r="BX63" s="262"/>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2"/>
      <c r="CV63" s="262"/>
      <c r="CW63" s="262"/>
      <c r="CX63" s="262"/>
    </row>
    <row r="64" spans="2:102" s="1" customFormat="1" x14ac:dyDescent="0.25">
      <c r="AF64" s="520"/>
      <c r="AH64" s="262"/>
      <c r="AI64" s="262"/>
      <c r="AJ64" s="262"/>
      <c r="AK64" s="262"/>
      <c r="AL64" s="262"/>
      <c r="AM64" s="262"/>
      <c r="AN64" s="262"/>
      <c r="AO64" s="262"/>
      <c r="AP64" s="262"/>
      <c r="AQ64" s="262"/>
      <c r="AR64" s="262"/>
      <c r="AS64" s="262"/>
      <c r="AT64" s="262"/>
      <c r="AU64" s="262"/>
      <c r="AV64" s="262"/>
      <c r="AW64" s="262"/>
      <c r="AX64" s="262"/>
      <c r="AY64" s="262"/>
      <c r="AZ64" s="262"/>
      <c r="BA64" s="262"/>
      <c r="BB64" s="262"/>
      <c r="BC64" s="262"/>
      <c r="BD64" s="262"/>
      <c r="BE64" s="262"/>
      <c r="BF64" s="262"/>
      <c r="BG64" s="262"/>
      <c r="BH64" s="262"/>
      <c r="BI64" s="262"/>
      <c r="BJ64" s="262"/>
      <c r="BK64" s="262"/>
      <c r="BL64" s="262"/>
      <c r="BM64" s="262"/>
      <c r="BN64" s="262"/>
      <c r="BO64" s="262"/>
      <c r="BP64" s="262"/>
      <c r="BQ64" s="262"/>
      <c r="BR64" s="262"/>
      <c r="BS64" s="262"/>
      <c r="BT64" s="262"/>
      <c r="BU64" s="262"/>
      <c r="BV64" s="262"/>
      <c r="BW64" s="262"/>
      <c r="BX64" s="262"/>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2"/>
      <c r="CV64" s="262"/>
      <c r="CW64" s="262"/>
      <c r="CX64" s="262"/>
    </row>
    <row r="65" spans="1:102" s="1" customFormat="1" x14ac:dyDescent="0.25">
      <c r="AF65" s="419" t="s">
        <v>1756</v>
      </c>
      <c r="AH65" s="262"/>
      <c r="AI65" s="262"/>
      <c r="AJ65" s="262"/>
      <c r="AK65" s="262"/>
      <c r="AL65" s="262"/>
      <c r="AM65" s="262"/>
      <c r="AN65" s="262"/>
      <c r="AO65" s="262"/>
      <c r="AP65" s="262"/>
      <c r="AQ65" s="262"/>
      <c r="AR65" s="262"/>
      <c r="AS65" s="262"/>
      <c r="AT65" s="262"/>
      <c r="AU65" s="262"/>
      <c r="AV65" s="262"/>
      <c r="AW65" s="262"/>
      <c r="AX65" s="262"/>
      <c r="AY65" s="262"/>
      <c r="AZ65" s="262"/>
      <c r="BA65" s="262"/>
      <c r="BB65" s="262"/>
      <c r="BC65" s="262"/>
      <c r="BD65" s="262"/>
      <c r="BE65" s="262"/>
      <c r="BF65" s="262"/>
      <c r="BG65" s="262"/>
      <c r="BH65" s="262"/>
      <c r="BI65" s="262"/>
      <c r="BJ65" s="262"/>
      <c r="BK65" s="262"/>
      <c r="BL65" s="262"/>
      <c r="BM65" s="262"/>
      <c r="BN65" s="262"/>
      <c r="BO65" s="262"/>
      <c r="BP65" s="262"/>
      <c r="BQ65" s="262"/>
      <c r="BR65" s="262"/>
      <c r="BS65" s="262"/>
      <c r="BT65" s="262"/>
      <c r="BU65" s="262"/>
      <c r="BV65" s="262"/>
      <c r="BW65" s="262"/>
      <c r="BX65" s="262"/>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2"/>
      <c r="CV65" s="262"/>
      <c r="CW65" s="262"/>
      <c r="CX65" s="262"/>
    </row>
    <row r="66" spans="1:102" s="1" customFormat="1" x14ac:dyDescent="0.25">
      <c r="AF66" s="520"/>
      <c r="AH66" s="262"/>
      <c r="AI66" s="262"/>
      <c r="AJ66" s="262"/>
      <c r="AK66" s="262"/>
      <c r="AL66" s="262"/>
      <c r="AM66" s="262"/>
      <c r="AN66" s="262"/>
      <c r="AO66" s="262"/>
      <c r="AP66" s="262"/>
      <c r="AQ66" s="262"/>
      <c r="AR66" s="262"/>
      <c r="AS66" s="262"/>
      <c r="AT66" s="262"/>
      <c r="AU66" s="262"/>
      <c r="AV66" s="262"/>
      <c r="AW66" s="262"/>
      <c r="AX66" s="262"/>
      <c r="AY66" s="262"/>
      <c r="AZ66" s="262"/>
      <c r="BA66" s="262"/>
      <c r="BB66" s="262"/>
      <c r="BC66" s="262"/>
      <c r="BD66" s="262"/>
      <c r="BE66" s="262"/>
      <c r="BF66" s="262"/>
      <c r="BG66" s="262"/>
      <c r="BH66" s="262"/>
      <c r="BI66" s="262"/>
      <c r="BJ66" s="262"/>
      <c r="BK66" s="262"/>
      <c r="BL66" s="262"/>
      <c r="BM66" s="262"/>
      <c r="BN66" s="262"/>
      <c r="BO66" s="262"/>
      <c r="BP66" s="262"/>
      <c r="BQ66" s="262"/>
      <c r="BR66" s="262"/>
      <c r="BS66" s="262"/>
      <c r="BT66" s="262"/>
      <c r="BU66" s="262"/>
      <c r="BV66" s="262"/>
      <c r="BW66" s="262"/>
      <c r="BX66" s="262"/>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2"/>
      <c r="CV66" s="262"/>
      <c r="CW66" s="262"/>
      <c r="CX66" s="262"/>
    </row>
    <row r="67" spans="1:102" x14ac:dyDescent="0.25">
      <c r="A67" s="262"/>
      <c r="B67" s="519" t="s">
        <v>3464</v>
      </c>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520"/>
    </row>
    <row r="68" spans="1:102" x14ac:dyDescent="0.25">
      <c r="A68" s="262"/>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419"/>
    </row>
    <row r="69" spans="1:102" x14ac:dyDescent="0.25">
      <c r="A69" s="263"/>
      <c r="B69" s="263"/>
      <c r="C69" s="263"/>
      <c r="D69" s="263"/>
      <c r="E69" s="263"/>
      <c r="F69" s="263"/>
      <c r="G69" s="263"/>
      <c r="H69" s="263"/>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t="s">
        <v>1788</v>
      </c>
    </row>
    <row r="70" spans="1:102" x14ac:dyDescent="0.25">
      <c r="A70" s="193"/>
      <c r="B70" s="193"/>
      <c r="C70" s="193"/>
      <c r="D70" s="193"/>
      <c r="E70" s="193"/>
      <c r="F70" s="193"/>
      <c r="G70" s="193"/>
      <c r="H70" s="193"/>
      <c r="I70" s="520"/>
      <c r="J70" s="520"/>
      <c r="K70" s="520"/>
      <c r="L70" s="520"/>
      <c r="M70" s="520"/>
      <c r="N70" s="520"/>
      <c r="O70" s="520"/>
      <c r="P70" s="520"/>
      <c r="Q70" s="520"/>
      <c r="R70" s="520"/>
      <c r="S70" s="520"/>
      <c r="T70" s="520"/>
      <c r="U70" s="520"/>
      <c r="V70" s="520"/>
      <c r="W70" s="520"/>
      <c r="X70" s="520"/>
      <c r="Y70" s="520"/>
      <c r="Z70" s="520"/>
      <c r="AA70" s="520"/>
      <c r="AB70" s="520"/>
      <c r="AC70" s="520"/>
      <c r="AD70" s="520"/>
      <c r="AE70" s="520"/>
      <c r="AF70" s="520"/>
    </row>
    <row r="71" spans="1:102" x14ac:dyDescent="0.25">
      <c r="A71" s="262"/>
      <c r="B71" s="519" t="s">
        <v>3465</v>
      </c>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62"/>
      <c r="AE71" s="262"/>
      <c r="AF71" s="520"/>
    </row>
    <row r="72" spans="1:102" x14ac:dyDescent="0.25">
      <c r="A72" s="262"/>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262"/>
    </row>
    <row r="73" spans="1:102" x14ac:dyDescent="0.25">
      <c r="A73" s="263"/>
      <c r="B73" s="263"/>
      <c r="C73" s="263"/>
      <c r="D73" s="263"/>
      <c r="E73" s="263"/>
      <c r="F73" s="263"/>
      <c r="G73" s="263"/>
      <c r="H73" s="263"/>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t="s">
        <v>1789</v>
      </c>
    </row>
    <row r="74" spans="1:102" x14ac:dyDescent="0.25">
      <c r="A74" s="193"/>
      <c r="B74" s="193"/>
      <c r="C74" s="193"/>
      <c r="D74" s="193"/>
      <c r="E74" s="193"/>
      <c r="F74" s="193"/>
      <c r="G74" s="193"/>
      <c r="H74" s="193"/>
      <c r="I74" s="520"/>
      <c r="J74" s="520"/>
      <c r="K74" s="520"/>
      <c r="L74" s="520"/>
      <c r="M74" s="520"/>
      <c r="N74" s="520"/>
      <c r="O74" s="520"/>
      <c r="P74" s="520"/>
      <c r="Q74" s="520"/>
      <c r="R74" s="520"/>
      <c r="S74" s="520"/>
      <c r="T74" s="520"/>
      <c r="U74" s="520"/>
      <c r="V74" s="520"/>
      <c r="W74" s="520"/>
      <c r="X74" s="520"/>
      <c r="Y74" s="520"/>
      <c r="Z74" s="520"/>
      <c r="AA74" s="520"/>
      <c r="AB74" s="520"/>
      <c r="AC74" s="520"/>
      <c r="AD74" s="520"/>
      <c r="AE74" s="520"/>
      <c r="AF74" s="520"/>
    </row>
    <row r="75" spans="1:102" x14ac:dyDescent="0.25">
      <c r="A75" s="193"/>
      <c r="B75" s="519" t="s">
        <v>2192</v>
      </c>
      <c r="C75" s="193"/>
      <c r="D75" s="193"/>
      <c r="E75" s="193"/>
      <c r="F75" s="193"/>
      <c r="G75" s="193"/>
      <c r="H75" s="193"/>
      <c r="I75" s="520"/>
      <c r="J75" s="520"/>
      <c r="K75" s="520"/>
      <c r="L75" s="520"/>
      <c r="M75" s="520"/>
      <c r="N75" s="520"/>
      <c r="O75" s="520"/>
      <c r="P75" s="520"/>
      <c r="Q75" s="520"/>
      <c r="R75" s="520"/>
      <c r="S75" s="520"/>
      <c r="T75" s="520"/>
      <c r="U75" s="520"/>
      <c r="V75" s="520"/>
      <c r="W75" s="520"/>
      <c r="X75" s="520"/>
      <c r="Y75" s="520"/>
      <c r="Z75" s="520"/>
      <c r="AA75" s="520"/>
      <c r="AB75" s="520"/>
      <c r="AC75" s="520"/>
      <c r="AD75" s="520"/>
      <c r="AE75" s="520"/>
      <c r="AF75" s="520"/>
    </row>
    <row r="76" spans="1:102" x14ac:dyDescent="0.25">
      <c r="A76" s="193"/>
      <c r="B76" s="193"/>
      <c r="C76" s="193"/>
      <c r="D76" s="193"/>
      <c r="E76" s="193"/>
      <c r="F76" s="193"/>
      <c r="G76" s="193"/>
      <c r="H76" s="193"/>
      <c r="I76" s="520"/>
      <c r="J76" s="520"/>
      <c r="K76" s="520"/>
      <c r="L76" s="520"/>
      <c r="M76" s="520"/>
      <c r="N76" s="520"/>
      <c r="O76" s="520"/>
      <c r="P76" s="520"/>
      <c r="Q76" s="520"/>
      <c r="R76" s="520"/>
      <c r="S76" s="520"/>
      <c r="T76" s="520"/>
      <c r="U76" s="520"/>
      <c r="V76" s="520"/>
      <c r="W76" s="520"/>
      <c r="X76" s="520"/>
      <c r="Y76" s="520"/>
      <c r="Z76" s="520"/>
      <c r="AA76" s="520"/>
      <c r="AB76" s="520"/>
      <c r="AC76" s="520"/>
      <c r="AD76" s="520"/>
      <c r="AE76" s="520"/>
      <c r="AF76" s="520"/>
    </row>
    <row r="77" spans="1:102" x14ac:dyDescent="0.25">
      <c r="A77" s="263"/>
      <c r="B77" s="263"/>
      <c r="C77" s="263"/>
      <c r="D77" s="263"/>
      <c r="E77" s="263"/>
      <c r="F77" s="263"/>
      <c r="G77" s="263"/>
      <c r="H77" s="263"/>
      <c r="I77" s="196"/>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t="s">
        <v>1826</v>
      </c>
    </row>
    <row r="78" spans="1:102" x14ac:dyDescent="0.25">
      <c r="A78" s="193"/>
      <c r="B78" s="193"/>
      <c r="C78" s="193"/>
      <c r="D78" s="193"/>
      <c r="E78" s="192"/>
      <c r="F78" s="262"/>
      <c r="G78" s="193"/>
      <c r="H78" s="193"/>
      <c r="I78" s="520"/>
      <c r="J78" s="520"/>
      <c r="K78" s="520"/>
      <c r="L78" s="520"/>
      <c r="M78" s="520"/>
      <c r="N78" s="520"/>
      <c r="O78" s="520"/>
      <c r="P78" s="520"/>
      <c r="Q78" s="520"/>
      <c r="R78" s="520"/>
      <c r="S78" s="520"/>
      <c r="T78" s="520"/>
      <c r="U78" s="520"/>
      <c r="V78" s="520"/>
      <c r="W78" s="520"/>
      <c r="X78" s="520"/>
      <c r="Y78" s="520"/>
      <c r="Z78" s="520"/>
      <c r="AA78" s="520"/>
      <c r="AB78" s="520"/>
      <c r="AC78" s="520"/>
      <c r="AD78" s="520"/>
      <c r="AE78" s="520"/>
      <c r="AF78" s="520"/>
    </row>
    <row r="79" spans="1:102" x14ac:dyDescent="0.25">
      <c r="A79" s="193"/>
      <c r="B79" s="519" t="s">
        <v>3466</v>
      </c>
      <c r="C79" s="193"/>
      <c r="D79" s="193"/>
      <c r="E79" s="193"/>
      <c r="F79" s="193"/>
      <c r="G79" s="193"/>
      <c r="H79" s="193"/>
      <c r="I79" s="520"/>
      <c r="J79" s="520"/>
      <c r="K79" s="520"/>
      <c r="L79" s="520"/>
      <c r="M79" s="520"/>
      <c r="N79" s="520"/>
      <c r="O79" s="520"/>
      <c r="P79" s="520"/>
      <c r="Q79" s="520"/>
      <c r="R79" s="520"/>
      <c r="S79" s="520"/>
      <c r="T79" s="520"/>
      <c r="U79" s="520"/>
      <c r="V79" s="520"/>
      <c r="W79" s="520"/>
      <c r="X79" s="520"/>
      <c r="Y79" s="520"/>
      <c r="Z79" s="520"/>
      <c r="AA79" s="520"/>
      <c r="AB79" s="520"/>
      <c r="AC79" s="520"/>
      <c r="AD79" s="520"/>
      <c r="AE79" s="520"/>
      <c r="AF79" s="520"/>
    </row>
    <row r="80" spans="1:102" x14ac:dyDescent="0.25">
      <c r="A80" s="193"/>
      <c r="B80" s="193"/>
      <c r="C80" s="193"/>
      <c r="D80" s="193"/>
      <c r="E80" s="193"/>
      <c r="F80" s="193"/>
      <c r="G80" s="193"/>
      <c r="H80" s="193"/>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c r="AF80" s="520"/>
    </row>
    <row r="81" spans="1:102" x14ac:dyDescent="0.25">
      <c r="A81" s="263"/>
      <c r="B81" s="263"/>
      <c r="C81" s="263"/>
      <c r="D81" s="263"/>
      <c r="E81" s="263"/>
      <c r="F81" s="263"/>
      <c r="G81" s="263"/>
      <c r="H81" s="263"/>
      <c r="I81" s="196"/>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t="s">
        <v>1827</v>
      </c>
    </row>
    <row r="82" spans="1:102" x14ac:dyDescent="0.25">
      <c r="A82" s="193"/>
      <c r="B82" s="193"/>
      <c r="C82" s="193"/>
      <c r="D82" s="193"/>
      <c r="E82" s="192"/>
      <c r="F82" s="262"/>
      <c r="G82" s="193"/>
      <c r="H82" s="193"/>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row>
    <row r="83" spans="1:102" x14ac:dyDescent="0.25">
      <c r="A83" s="193"/>
      <c r="B83" s="519" t="s">
        <v>6925</v>
      </c>
      <c r="C83" s="193"/>
      <c r="D83" s="193"/>
      <c r="E83" s="193"/>
      <c r="F83" s="193"/>
      <c r="G83" s="193"/>
      <c r="H83" s="193"/>
      <c r="I83" s="520"/>
      <c r="J83" s="520"/>
      <c r="K83" s="520"/>
      <c r="L83" s="520"/>
      <c r="M83" s="520"/>
      <c r="N83" s="520"/>
      <c r="O83" s="520"/>
      <c r="P83" s="520"/>
      <c r="Q83" s="520"/>
      <c r="R83" s="520"/>
      <c r="S83" s="520"/>
      <c r="T83" s="520"/>
      <c r="U83" s="520"/>
      <c r="V83" s="520"/>
      <c r="W83" s="520"/>
      <c r="X83" s="520"/>
      <c r="Y83" s="520"/>
      <c r="Z83" s="520"/>
      <c r="AA83" s="520"/>
      <c r="AB83" s="520"/>
      <c r="AC83" s="520"/>
      <c r="AD83" s="520"/>
      <c r="AE83" s="520"/>
      <c r="AF83" s="520"/>
    </row>
    <row r="84" spans="1:102" x14ac:dyDescent="0.25">
      <c r="A84" s="193"/>
      <c r="B84" s="193"/>
      <c r="C84" s="193"/>
      <c r="D84" s="193"/>
      <c r="E84" s="193"/>
      <c r="F84" s="193"/>
      <c r="G84" s="193"/>
      <c r="H84" s="193"/>
      <c r="I84" s="520"/>
      <c r="J84" s="520"/>
      <c r="K84" s="520"/>
      <c r="L84" s="520"/>
      <c r="M84" s="520"/>
      <c r="N84" s="520"/>
      <c r="O84" s="520"/>
      <c r="P84" s="520"/>
      <c r="Q84" s="520"/>
      <c r="R84" s="520"/>
      <c r="S84" s="520"/>
      <c r="T84" s="520"/>
      <c r="U84" s="520"/>
      <c r="V84" s="520"/>
      <c r="W84" s="520"/>
      <c r="X84" s="520"/>
      <c r="Y84" s="520"/>
      <c r="Z84" s="520"/>
      <c r="AA84" s="520"/>
      <c r="AB84" s="520"/>
      <c r="AC84" s="520"/>
      <c r="AD84" s="520"/>
      <c r="AE84" s="520"/>
      <c r="AF84" s="520"/>
    </row>
    <row r="85" spans="1:102" x14ac:dyDescent="0.25">
      <c r="A85" s="263"/>
      <c r="B85" s="263"/>
      <c r="C85" s="263"/>
      <c r="D85" s="263"/>
      <c r="E85" s="263"/>
      <c r="F85" s="263"/>
      <c r="G85" s="263"/>
      <c r="H85" s="263"/>
      <c r="I85" s="419"/>
      <c r="J85" s="196"/>
      <c r="K85" s="196"/>
      <c r="L85" s="196"/>
      <c r="M85" s="196"/>
      <c r="N85" s="196"/>
      <c r="O85" s="196"/>
      <c r="P85" s="196"/>
      <c r="Q85" s="196"/>
      <c r="R85" s="196"/>
      <c r="S85" s="196"/>
      <c r="T85" s="196"/>
      <c r="U85" s="196"/>
      <c r="V85" s="196"/>
      <c r="W85" s="196"/>
      <c r="X85" s="196"/>
      <c r="Y85" s="196"/>
      <c r="Z85" s="196"/>
      <c r="AA85" s="196"/>
      <c r="AB85" s="196"/>
      <c r="AC85" s="196"/>
      <c r="AD85" s="196"/>
      <c r="AE85" s="196"/>
      <c r="AF85" s="419" t="s">
        <v>2116</v>
      </c>
    </row>
    <row r="86" spans="1:102" x14ac:dyDescent="0.25">
      <c r="A86" s="263"/>
      <c r="B86" s="263"/>
      <c r="C86" s="263"/>
      <c r="D86" s="263"/>
      <c r="E86" s="263"/>
      <c r="F86" s="263"/>
      <c r="G86" s="263"/>
      <c r="H86" s="263"/>
      <c r="I86" s="419"/>
      <c r="J86" s="196"/>
      <c r="K86" s="196"/>
      <c r="L86" s="196"/>
      <c r="M86" s="196"/>
      <c r="N86" s="196"/>
      <c r="O86" s="196"/>
      <c r="P86" s="196"/>
      <c r="Q86" s="196"/>
      <c r="R86" s="196"/>
      <c r="S86" s="196"/>
      <c r="T86" s="196"/>
      <c r="U86" s="196"/>
      <c r="V86" s="196"/>
      <c r="W86" s="196"/>
      <c r="X86" s="196"/>
      <c r="Y86" s="196"/>
      <c r="Z86" s="196"/>
      <c r="AA86" s="196"/>
      <c r="AB86" s="196"/>
      <c r="AC86" s="196"/>
      <c r="AD86" s="196"/>
      <c r="AE86" s="196"/>
      <c r="AF86" s="419"/>
    </row>
    <row r="87" spans="1:102" x14ac:dyDescent="0.25">
      <c r="A87" s="193"/>
      <c r="B87" s="519" t="s">
        <v>6926</v>
      </c>
      <c r="C87" s="193"/>
      <c r="D87" s="193"/>
      <c r="E87" s="193"/>
      <c r="F87" s="193"/>
      <c r="G87" s="193"/>
      <c r="H87" s="193"/>
      <c r="I87" s="520"/>
      <c r="J87" s="520"/>
      <c r="K87" s="520"/>
      <c r="L87" s="520"/>
      <c r="M87" s="520"/>
      <c r="N87" s="520"/>
      <c r="O87" s="520"/>
      <c r="P87" s="520"/>
      <c r="Q87" s="520"/>
      <c r="R87" s="520"/>
      <c r="S87" s="520"/>
      <c r="T87" s="520"/>
      <c r="U87" s="520"/>
      <c r="V87" s="520"/>
      <c r="W87" s="520"/>
      <c r="X87" s="520"/>
      <c r="Y87" s="520"/>
      <c r="Z87" s="520"/>
      <c r="AA87" s="520"/>
      <c r="AB87" s="520"/>
      <c r="AC87" s="520"/>
      <c r="AD87" s="520"/>
      <c r="AE87" s="520"/>
      <c r="AF87" s="520"/>
    </row>
    <row r="88" spans="1:102" x14ac:dyDescent="0.25">
      <c r="A88" s="193"/>
      <c r="B88" s="1022"/>
      <c r="C88" s="193"/>
      <c r="D88" s="193"/>
      <c r="E88" s="193"/>
      <c r="F88" s="193"/>
      <c r="G88" s="193"/>
      <c r="H88" s="193"/>
      <c r="I88" s="520"/>
      <c r="J88" s="520"/>
      <c r="K88" s="520"/>
      <c r="L88" s="520"/>
      <c r="M88" s="520"/>
      <c r="N88" s="520"/>
      <c r="O88" s="520"/>
      <c r="P88" s="520"/>
      <c r="Q88" s="520"/>
      <c r="R88" s="520"/>
      <c r="S88" s="520"/>
      <c r="T88" s="520"/>
      <c r="U88" s="520"/>
      <c r="V88" s="520"/>
      <c r="W88" s="520"/>
      <c r="X88" s="520"/>
      <c r="Y88" s="520"/>
      <c r="Z88" s="520"/>
      <c r="AA88" s="520"/>
      <c r="AB88" s="520"/>
      <c r="AC88" s="520"/>
      <c r="AD88" s="520"/>
      <c r="AE88" s="520"/>
      <c r="AF88" s="520"/>
    </row>
    <row r="89" spans="1:102" x14ac:dyDescent="0.25">
      <c r="A89" s="263"/>
      <c r="B89" s="263"/>
      <c r="C89" s="263"/>
      <c r="D89" s="263"/>
      <c r="E89" s="263"/>
      <c r="F89" s="263"/>
      <c r="G89" s="263"/>
      <c r="H89" s="263"/>
      <c r="I89" s="419"/>
      <c r="J89" s="196"/>
      <c r="K89" s="196"/>
      <c r="L89" s="196"/>
      <c r="M89" s="196"/>
      <c r="N89" s="196"/>
      <c r="O89" s="196"/>
      <c r="P89" s="196"/>
      <c r="Q89" s="196"/>
      <c r="R89" s="196"/>
      <c r="S89" s="196"/>
      <c r="T89" s="196"/>
      <c r="U89" s="196"/>
      <c r="V89" s="196"/>
      <c r="W89" s="196"/>
      <c r="X89" s="196"/>
      <c r="Y89" s="196"/>
      <c r="Z89" s="196"/>
      <c r="AA89" s="196"/>
      <c r="AB89" s="196"/>
      <c r="AC89" s="196"/>
      <c r="AD89" s="196"/>
      <c r="AE89" s="196"/>
      <c r="AF89" s="713" t="s">
        <v>2118</v>
      </c>
    </row>
    <row r="90" spans="1:102" x14ac:dyDescent="0.25">
      <c r="A90" s="193"/>
      <c r="B90" s="193"/>
      <c r="C90" s="193"/>
      <c r="D90" s="193"/>
      <c r="E90" s="193"/>
      <c r="F90" s="193"/>
      <c r="G90" s="193"/>
      <c r="H90" s="193"/>
      <c r="I90" s="419"/>
      <c r="J90" s="196"/>
      <c r="K90" s="196"/>
      <c r="L90" s="196"/>
      <c r="M90" s="196"/>
      <c r="N90" s="196"/>
      <c r="O90" s="196"/>
      <c r="P90" s="196"/>
      <c r="Q90" s="196"/>
      <c r="R90" s="196"/>
      <c r="S90" s="196"/>
      <c r="T90" s="196"/>
      <c r="U90" s="196"/>
      <c r="V90" s="196"/>
      <c r="W90" s="196"/>
      <c r="X90" s="196"/>
      <c r="Y90" s="196"/>
      <c r="Z90" s="196"/>
      <c r="AA90" s="196"/>
      <c r="AB90" s="196"/>
      <c r="AC90" s="196"/>
      <c r="AD90" s="196"/>
      <c r="AE90" s="196"/>
      <c r="AF90" s="419"/>
    </row>
    <row r="91" spans="1:102" s="1" customFormat="1" x14ac:dyDescent="0.25">
      <c r="AH91" s="262"/>
      <c r="AI91" s="262"/>
      <c r="AJ91" s="262"/>
      <c r="AK91" s="262"/>
      <c r="AL91" s="262"/>
      <c r="AM91" s="262"/>
      <c r="AN91" s="262"/>
      <c r="AO91" s="262"/>
      <c r="AP91" s="262"/>
      <c r="AQ91" s="262"/>
      <c r="AR91" s="262"/>
      <c r="AS91" s="262"/>
      <c r="AT91" s="262"/>
      <c r="AU91" s="262"/>
      <c r="AV91" s="262"/>
      <c r="AW91" s="262"/>
      <c r="AX91" s="262"/>
      <c r="AY91" s="262"/>
      <c r="AZ91" s="262"/>
      <c r="BA91" s="262"/>
      <c r="BB91" s="262"/>
      <c r="BC91" s="262"/>
      <c r="BD91" s="262"/>
      <c r="BE91" s="262"/>
      <c r="BF91" s="262"/>
      <c r="BG91" s="262"/>
      <c r="BH91" s="262"/>
      <c r="BI91" s="262"/>
      <c r="BJ91" s="262"/>
      <c r="BK91" s="262"/>
      <c r="BL91" s="262"/>
      <c r="BM91" s="262"/>
      <c r="BN91" s="262"/>
      <c r="BO91" s="262"/>
      <c r="BP91" s="262"/>
      <c r="BQ91" s="262"/>
      <c r="BR91" s="262"/>
      <c r="BS91" s="262"/>
      <c r="BT91" s="262"/>
      <c r="BU91" s="262"/>
      <c r="BV91" s="262"/>
      <c r="BW91" s="262"/>
      <c r="BX91" s="262"/>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2"/>
      <c r="CV91" s="262"/>
      <c r="CW91" s="262"/>
      <c r="CX91" s="262"/>
    </row>
    <row r="92" spans="1:102" s="1" customFormat="1" x14ac:dyDescent="0.25">
      <c r="A92" s="1148" t="s">
        <v>15</v>
      </c>
      <c r="B92" s="1149"/>
      <c r="C92" s="1149"/>
      <c r="D92" s="1149"/>
      <c r="E92" s="1149"/>
      <c r="F92" s="1149"/>
      <c r="G92" s="1149"/>
      <c r="H92" s="1149"/>
      <c r="I92" s="1149"/>
      <c r="J92" s="1149"/>
      <c r="K92" s="1149"/>
      <c r="L92" s="1149"/>
      <c r="M92" s="1149"/>
      <c r="N92" s="1149"/>
      <c r="O92" s="1149"/>
      <c r="P92" s="1149"/>
      <c r="Q92" s="1149"/>
      <c r="R92" s="1149"/>
      <c r="S92" s="1149"/>
      <c r="T92" s="1149"/>
      <c r="U92" s="1149"/>
      <c r="V92" s="1149"/>
      <c r="W92" s="1149"/>
      <c r="X92" s="1149"/>
      <c r="Y92" s="1149"/>
      <c r="Z92" s="1149"/>
      <c r="AA92" s="1149"/>
      <c r="AB92" s="1149"/>
      <c r="AC92" s="1149"/>
      <c r="AD92" s="1149"/>
      <c r="AE92" s="1149"/>
      <c r="AF92" s="1150"/>
      <c r="AH92" s="262"/>
      <c r="AI92" s="262"/>
      <c r="AJ92" s="262"/>
      <c r="AK92" s="262"/>
      <c r="AL92" s="262"/>
      <c r="AM92" s="262"/>
      <c r="AN92" s="262"/>
      <c r="AO92" s="262"/>
      <c r="AP92" s="262"/>
      <c r="AQ92" s="262"/>
      <c r="AR92" s="262"/>
      <c r="AS92" s="262"/>
      <c r="AT92" s="262"/>
      <c r="AU92" s="262"/>
      <c r="AV92" s="262"/>
      <c r="AW92" s="262"/>
      <c r="AX92" s="262"/>
      <c r="AY92" s="262"/>
      <c r="AZ92" s="262"/>
      <c r="BA92" s="262"/>
      <c r="BB92" s="262"/>
      <c r="BC92" s="262"/>
      <c r="BD92" s="262"/>
      <c r="BE92" s="262"/>
      <c r="BF92" s="262"/>
      <c r="BG92" s="262"/>
      <c r="BH92" s="262"/>
      <c r="BI92" s="262"/>
      <c r="BJ92" s="262"/>
      <c r="BK92" s="262"/>
      <c r="BL92" s="262"/>
      <c r="BM92" s="262"/>
      <c r="BN92" s="262"/>
      <c r="BO92" s="262"/>
      <c r="BP92" s="262"/>
      <c r="BQ92" s="262"/>
      <c r="BR92" s="262"/>
      <c r="BS92" s="262"/>
      <c r="BT92" s="262"/>
      <c r="BU92" s="262"/>
      <c r="BV92" s="262"/>
      <c r="BW92" s="262"/>
      <c r="BX92" s="262"/>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2"/>
      <c r="CV92" s="262"/>
      <c r="CW92" s="262"/>
      <c r="CX92" s="262"/>
    </row>
    <row r="93" spans="1:102" s="1" customFormat="1" x14ac:dyDescent="0.25">
      <c r="A93" s="1426" t="s">
        <v>16</v>
      </c>
      <c r="B93" s="1427"/>
      <c r="C93" s="1427"/>
      <c r="D93" s="1428"/>
      <c r="E93" s="1303" t="s">
        <v>10</v>
      </c>
      <c r="F93" s="1303"/>
      <c r="G93" s="1303"/>
      <c r="H93" s="1303"/>
      <c r="I93" s="1303"/>
      <c r="J93" s="1303"/>
      <c r="K93" s="1303"/>
      <c r="L93" s="1303"/>
      <c r="M93" s="1303"/>
      <c r="N93" s="1303"/>
      <c r="O93" s="1303"/>
      <c r="P93" s="1303"/>
      <c r="Q93" s="1303" t="s">
        <v>17</v>
      </c>
      <c r="R93" s="1303"/>
      <c r="S93" s="1303"/>
      <c r="T93" s="1303"/>
      <c r="U93" s="1426" t="s">
        <v>18</v>
      </c>
      <c r="V93" s="1427"/>
      <c r="W93" s="1428"/>
      <c r="X93" s="1426" t="s">
        <v>2772</v>
      </c>
      <c r="Y93" s="1427"/>
      <c r="Z93" s="1427"/>
      <c r="AA93" s="1427"/>
      <c r="AB93" s="1427"/>
      <c r="AC93" s="1427"/>
      <c r="AD93" s="1427"/>
      <c r="AE93" s="1427"/>
      <c r="AF93" s="1428"/>
      <c r="AH93" s="262"/>
      <c r="AI93" s="262"/>
      <c r="AJ93" s="262"/>
      <c r="AK93" s="262"/>
      <c r="AL93" s="262"/>
      <c r="AM93" s="262"/>
      <c r="AN93" s="262"/>
      <c r="AO93" s="262"/>
      <c r="AP93" s="262"/>
      <c r="AQ93" s="262"/>
      <c r="AR93" s="262"/>
      <c r="AS93" s="262"/>
      <c r="AT93" s="262"/>
      <c r="AU93" s="262"/>
      <c r="AV93" s="262"/>
      <c r="AW93" s="262"/>
      <c r="AX93" s="262"/>
      <c r="AY93" s="262"/>
      <c r="AZ93" s="262"/>
      <c r="BA93" s="262"/>
      <c r="BB93" s="262"/>
      <c r="BC93" s="262"/>
      <c r="BD93" s="262"/>
      <c r="BE93" s="262"/>
      <c r="BF93" s="262"/>
      <c r="BG93" s="262"/>
      <c r="BH93" s="262"/>
      <c r="BI93" s="262"/>
      <c r="BJ93" s="262"/>
      <c r="BK93" s="262"/>
      <c r="BL93" s="262"/>
      <c r="BM93" s="262"/>
      <c r="BN93" s="262"/>
      <c r="BO93" s="262"/>
      <c r="BP93" s="262"/>
      <c r="BQ93" s="262"/>
      <c r="BR93" s="262"/>
      <c r="BS93" s="262"/>
      <c r="BT93" s="262"/>
      <c r="BU93" s="262"/>
      <c r="BV93" s="262"/>
      <c r="BW93" s="262"/>
      <c r="BX93" s="262"/>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2"/>
      <c r="CV93" s="262"/>
      <c r="CW93" s="262"/>
      <c r="CX93" s="262"/>
    </row>
    <row r="94" spans="1:102" s="1" customFormat="1" ht="258.75" customHeight="1" x14ac:dyDescent="0.25">
      <c r="A94" s="1680" t="s">
        <v>6959</v>
      </c>
      <c r="B94" s="1681"/>
      <c r="C94" s="1681"/>
      <c r="D94" s="1682"/>
      <c r="E94" s="1494" t="s">
        <v>6927</v>
      </c>
      <c r="F94" s="1495"/>
      <c r="G94" s="1495"/>
      <c r="H94" s="1495"/>
      <c r="I94" s="1495"/>
      <c r="J94" s="1495"/>
      <c r="K94" s="1495"/>
      <c r="L94" s="1495"/>
      <c r="M94" s="1495"/>
      <c r="N94" s="1495"/>
      <c r="O94" s="1495"/>
      <c r="P94" s="1496"/>
      <c r="Q94" s="2133" t="s">
        <v>6928</v>
      </c>
      <c r="R94" s="2134"/>
      <c r="S94" s="2134"/>
      <c r="T94" s="2135"/>
      <c r="U94" s="1683" t="s">
        <v>291</v>
      </c>
      <c r="V94" s="1684"/>
      <c r="W94" s="1685"/>
      <c r="X94" s="1494" t="s">
        <v>6929</v>
      </c>
      <c r="Y94" s="1495"/>
      <c r="Z94" s="1495"/>
      <c r="AA94" s="1495"/>
      <c r="AB94" s="1495"/>
      <c r="AC94" s="1495"/>
      <c r="AD94" s="1495"/>
      <c r="AE94" s="1495"/>
      <c r="AF94" s="1496"/>
      <c r="AH94" s="262"/>
      <c r="AI94" s="262"/>
      <c r="AJ94" s="262"/>
      <c r="AK94" s="262"/>
      <c r="AL94" s="262"/>
      <c r="AM94" s="262"/>
      <c r="AN94" s="262"/>
      <c r="AO94" s="262"/>
      <c r="AP94" s="262"/>
      <c r="AQ94" s="262"/>
      <c r="AR94" s="262"/>
      <c r="AS94" s="262"/>
      <c r="AT94" s="262"/>
      <c r="AU94" s="262"/>
      <c r="AV94" s="262"/>
      <c r="AW94" s="262"/>
      <c r="AX94" s="262"/>
      <c r="AY94" s="262"/>
      <c r="AZ94" s="262"/>
      <c r="BA94" s="262"/>
      <c r="BB94" s="262"/>
      <c r="BC94" s="262"/>
      <c r="BD94" s="262"/>
      <c r="BE94" s="262"/>
      <c r="BF94" s="262"/>
      <c r="BG94" s="262"/>
      <c r="BH94" s="262"/>
      <c r="BI94" s="262"/>
      <c r="BJ94" s="262"/>
      <c r="BK94" s="262"/>
      <c r="BL94" s="262"/>
      <c r="BM94" s="262"/>
      <c r="BN94" s="262"/>
      <c r="BO94" s="262"/>
      <c r="BP94" s="262"/>
      <c r="BQ94" s="262"/>
      <c r="BR94" s="262"/>
      <c r="BS94" s="262"/>
      <c r="BT94" s="262"/>
      <c r="BU94" s="262"/>
      <c r="BV94" s="262"/>
      <c r="BW94" s="262"/>
      <c r="BX94" s="262"/>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2"/>
      <c r="CV94" s="262"/>
      <c r="CW94" s="262"/>
      <c r="CX94" s="262"/>
    </row>
    <row r="95" spans="1:102" s="1" customFormat="1" ht="146.25" customHeight="1" x14ac:dyDescent="0.25">
      <c r="A95" s="1680" t="s">
        <v>6960</v>
      </c>
      <c r="B95" s="1681"/>
      <c r="C95" s="1681"/>
      <c r="D95" s="1682"/>
      <c r="E95" s="1494" t="s">
        <v>6930</v>
      </c>
      <c r="F95" s="1495"/>
      <c r="G95" s="1495"/>
      <c r="H95" s="1495"/>
      <c r="I95" s="1495"/>
      <c r="J95" s="1495"/>
      <c r="K95" s="1495"/>
      <c r="L95" s="1495"/>
      <c r="M95" s="1495"/>
      <c r="N95" s="1495"/>
      <c r="O95" s="1495"/>
      <c r="P95" s="1496"/>
      <c r="Q95" s="1683" t="s">
        <v>866</v>
      </c>
      <c r="R95" s="1684"/>
      <c r="S95" s="1684"/>
      <c r="T95" s="1685"/>
      <c r="U95" s="1683" t="s">
        <v>291</v>
      </c>
      <c r="V95" s="1684"/>
      <c r="W95" s="1685"/>
      <c r="X95" s="1494" t="s">
        <v>6961</v>
      </c>
      <c r="Y95" s="1495"/>
      <c r="Z95" s="1495"/>
      <c r="AA95" s="1495"/>
      <c r="AB95" s="1495"/>
      <c r="AC95" s="1495"/>
      <c r="AD95" s="1495"/>
      <c r="AE95" s="1495"/>
      <c r="AF95" s="1496"/>
      <c r="AH95" s="262"/>
      <c r="AI95" s="262"/>
      <c r="AJ95" s="262"/>
      <c r="AK95" s="262"/>
      <c r="AL95" s="262"/>
      <c r="AM95" s="262"/>
      <c r="AN95" s="262"/>
      <c r="AO95" s="262"/>
      <c r="AP95" s="262"/>
      <c r="AQ95" s="262"/>
      <c r="AR95" s="262"/>
      <c r="AS95" s="262"/>
      <c r="AT95" s="262"/>
      <c r="AU95" s="262"/>
      <c r="AV95" s="262"/>
      <c r="AW95" s="262"/>
      <c r="AX95" s="262"/>
      <c r="AY95" s="262"/>
      <c r="AZ95" s="262"/>
      <c r="BA95" s="262"/>
      <c r="BB95" s="262"/>
      <c r="BC95" s="262"/>
      <c r="BD95" s="262"/>
      <c r="BE95" s="262"/>
      <c r="BF95" s="262"/>
      <c r="BG95" s="262"/>
      <c r="BH95" s="262"/>
      <c r="BI95" s="262"/>
      <c r="BJ95" s="262"/>
      <c r="BK95" s="262"/>
      <c r="BL95" s="262"/>
      <c r="BM95" s="262"/>
      <c r="BN95" s="262"/>
      <c r="BO95" s="262"/>
      <c r="BP95" s="262"/>
      <c r="BQ95" s="262"/>
      <c r="BR95" s="262"/>
      <c r="BS95" s="262"/>
      <c r="BT95" s="262"/>
      <c r="BU95" s="262"/>
      <c r="BV95" s="262"/>
      <c r="BW95" s="262"/>
      <c r="BX95" s="262"/>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2"/>
      <c r="CV95" s="262"/>
      <c r="CW95" s="262"/>
      <c r="CX95" s="262"/>
    </row>
    <row r="96" spans="1:102" s="1" customFormat="1" ht="43.35" customHeight="1" x14ac:dyDescent="0.25">
      <c r="A96" s="1680" t="s">
        <v>6962</v>
      </c>
      <c r="B96" s="1681"/>
      <c r="C96" s="1681"/>
      <c r="D96" s="1682"/>
      <c r="E96" s="1494" t="s">
        <v>6931</v>
      </c>
      <c r="F96" s="1495"/>
      <c r="G96" s="1495"/>
      <c r="H96" s="1495"/>
      <c r="I96" s="1495"/>
      <c r="J96" s="1495"/>
      <c r="K96" s="1495"/>
      <c r="L96" s="1495"/>
      <c r="M96" s="1495"/>
      <c r="N96" s="1495"/>
      <c r="O96" s="1495"/>
      <c r="P96" s="1496"/>
      <c r="Q96" s="1683">
        <v>8760</v>
      </c>
      <c r="R96" s="1684"/>
      <c r="S96" s="1684"/>
      <c r="T96" s="1685"/>
      <c r="U96" s="1683" t="s">
        <v>1000</v>
      </c>
      <c r="V96" s="1684"/>
      <c r="W96" s="1685"/>
      <c r="X96" s="1494" t="s">
        <v>6932</v>
      </c>
      <c r="Y96" s="1495"/>
      <c r="Z96" s="1495"/>
      <c r="AA96" s="1495"/>
      <c r="AB96" s="1495"/>
      <c r="AC96" s="1495"/>
      <c r="AD96" s="1495"/>
      <c r="AE96" s="1495"/>
      <c r="AF96" s="1496"/>
      <c r="AH96" s="262"/>
      <c r="AI96" s="262"/>
      <c r="AJ96" s="262"/>
      <c r="AK96" s="262"/>
      <c r="AL96" s="262"/>
      <c r="AM96" s="262"/>
      <c r="AN96" s="262"/>
      <c r="AO96" s="262"/>
      <c r="AP96" s="262"/>
      <c r="AQ96" s="262"/>
      <c r="AR96" s="262"/>
      <c r="AS96" s="262"/>
      <c r="AT96" s="262"/>
      <c r="AU96" s="262"/>
      <c r="AV96" s="262"/>
      <c r="AW96" s="262"/>
      <c r="AX96" s="262"/>
      <c r="AY96" s="262"/>
      <c r="AZ96" s="262"/>
      <c r="BA96" s="262"/>
      <c r="BB96" s="262"/>
      <c r="BC96" s="262"/>
      <c r="BD96" s="262"/>
      <c r="BE96" s="262"/>
      <c r="BF96" s="262"/>
      <c r="BG96" s="262"/>
      <c r="BH96" s="262"/>
      <c r="BI96" s="262"/>
      <c r="BJ96" s="262"/>
      <c r="BK96" s="262"/>
      <c r="BL96" s="262"/>
      <c r="BM96" s="262"/>
      <c r="BN96" s="262"/>
      <c r="BO96" s="262"/>
      <c r="BP96" s="262"/>
      <c r="BQ96" s="262"/>
      <c r="BR96" s="262"/>
      <c r="BS96" s="262"/>
      <c r="BT96" s="262"/>
      <c r="BU96" s="262"/>
      <c r="BV96" s="262"/>
      <c r="BW96" s="262"/>
      <c r="BX96" s="262"/>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2"/>
      <c r="CV96" s="262"/>
      <c r="CW96" s="262"/>
      <c r="CX96" s="262"/>
    </row>
    <row r="97" spans="1:102" s="1" customFormat="1" ht="151.5" customHeight="1" x14ac:dyDescent="0.25">
      <c r="A97" s="2522" t="s">
        <v>6933</v>
      </c>
      <c r="B97" s="1681"/>
      <c r="C97" s="1681"/>
      <c r="D97" s="1682"/>
      <c r="E97" s="1494" t="s">
        <v>6934</v>
      </c>
      <c r="F97" s="1495"/>
      <c r="G97" s="1495"/>
      <c r="H97" s="1495"/>
      <c r="I97" s="1495"/>
      <c r="J97" s="1495"/>
      <c r="K97" s="1495"/>
      <c r="L97" s="1495"/>
      <c r="M97" s="1495"/>
      <c r="N97" s="1495"/>
      <c r="O97" s="1495"/>
      <c r="P97" s="1496"/>
      <c r="Q97" s="1683">
        <v>0.75</v>
      </c>
      <c r="R97" s="1684"/>
      <c r="S97" s="1684"/>
      <c r="T97" s="1685"/>
      <c r="U97" s="1683" t="s">
        <v>242</v>
      </c>
      <c r="V97" s="1684"/>
      <c r="W97" s="1685"/>
      <c r="X97" s="1494" t="s">
        <v>6935</v>
      </c>
      <c r="Y97" s="1495"/>
      <c r="Z97" s="1495"/>
      <c r="AA97" s="1495"/>
      <c r="AB97" s="1495"/>
      <c r="AC97" s="1495"/>
      <c r="AD97" s="1495"/>
      <c r="AE97" s="1495"/>
      <c r="AF97" s="1496"/>
      <c r="AH97" s="262"/>
      <c r="AI97" s="262"/>
      <c r="AJ97" s="262"/>
      <c r="AK97" s="262"/>
      <c r="AL97" s="262"/>
      <c r="AM97" s="262"/>
      <c r="AN97" s="262"/>
      <c r="AO97" s="262"/>
      <c r="AP97" s="262"/>
      <c r="AQ97" s="262"/>
      <c r="AR97" s="262"/>
      <c r="AS97" s="262"/>
      <c r="AT97" s="262"/>
      <c r="AU97" s="262"/>
      <c r="AV97" s="262"/>
      <c r="AW97" s="262"/>
      <c r="AX97" s="262"/>
      <c r="AY97" s="262"/>
      <c r="AZ97" s="262"/>
      <c r="BA97" s="262"/>
      <c r="BB97" s="262"/>
      <c r="BC97" s="262"/>
      <c r="BD97" s="262"/>
      <c r="BE97" s="262"/>
      <c r="BF97" s="262"/>
      <c r="BG97" s="262"/>
      <c r="BH97" s="262"/>
      <c r="BI97" s="262"/>
      <c r="BJ97" s="262"/>
      <c r="BK97" s="262"/>
      <c r="BL97" s="262"/>
      <c r="BM97" s="262"/>
      <c r="BN97" s="262"/>
      <c r="BO97" s="262"/>
      <c r="BP97" s="262"/>
      <c r="BQ97" s="262"/>
      <c r="BR97" s="262"/>
      <c r="BS97" s="262"/>
      <c r="BT97" s="262"/>
      <c r="BU97" s="262"/>
      <c r="BV97" s="262"/>
      <c r="BW97" s="262"/>
      <c r="BX97" s="262"/>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2"/>
      <c r="CV97" s="262"/>
      <c r="CW97" s="262"/>
      <c r="CX97" s="262"/>
    </row>
    <row r="98" spans="1:102" s="1" customFormat="1" ht="48.75" customHeight="1" x14ac:dyDescent="0.25">
      <c r="A98" s="1680">
        <v>3.52</v>
      </c>
      <c r="B98" s="1681"/>
      <c r="C98" s="1681"/>
      <c r="D98" s="1682"/>
      <c r="E98" s="1494" t="s">
        <v>167</v>
      </c>
      <c r="F98" s="1495"/>
      <c r="G98" s="1495"/>
      <c r="H98" s="1495"/>
      <c r="I98" s="1495"/>
      <c r="J98" s="1495"/>
      <c r="K98" s="1495"/>
      <c r="L98" s="1495"/>
      <c r="M98" s="1495"/>
      <c r="N98" s="1495"/>
      <c r="O98" s="1495"/>
      <c r="P98" s="1496"/>
      <c r="Q98" s="1683">
        <v>3.52</v>
      </c>
      <c r="R98" s="1684"/>
      <c r="S98" s="1684"/>
      <c r="T98" s="1685"/>
      <c r="U98" s="1683" t="s">
        <v>242</v>
      </c>
      <c r="V98" s="1684"/>
      <c r="W98" s="1685"/>
      <c r="X98" s="1494" t="s">
        <v>6936</v>
      </c>
      <c r="Y98" s="1495"/>
      <c r="Z98" s="1495"/>
      <c r="AA98" s="1495"/>
      <c r="AB98" s="1495"/>
      <c r="AC98" s="1495"/>
      <c r="AD98" s="1495"/>
      <c r="AE98" s="1495"/>
      <c r="AF98" s="1496"/>
      <c r="AH98" s="262"/>
      <c r="AI98" s="262"/>
      <c r="AJ98" s="262"/>
      <c r="AK98" s="262"/>
      <c r="AL98" s="262"/>
      <c r="AM98" s="262"/>
      <c r="AN98" s="262"/>
      <c r="AO98" s="262"/>
      <c r="AP98" s="262"/>
      <c r="AQ98" s="262"/>
      <c r="AR98" s="262"/>
      <c r="AS98" s="262"/>
      <c r="AT98" s="262"/>
      <c r="AU98" s="262"/>
      <c r="AV98" s="262"/>
      <c r="AW98" s="262"/>
      <c r="AX98" s="262"/>
      <c r="AY98" s="262"/>
      <c r="AZ98" s="262"/>
      <c r="BA98" s="262"/>
      <c r="BB98" s="262"/>
      <c r="BC98" s="262"/>
      <c r="BD98" s="262"/>
      <c r="BE98" s="262"/>
      <c r="BF98" s="262"/>
      <c r="BG98" s="262"/>
      <c r="BH98" s="262"/>
      <c r="BI98" s="262"/>
      <c r="BJ98" s="262"/>
      <c r="BK98" s="262"/>
      <c r="BL98" s="262"/>
      <c r="BM98" s="262"/>
      <c r="BN98" s="262"/>
      <c r="BO98" s="262"/>
      <c r="BP98" s="262"/>
      <c r="BQ98" s="262"/>
      <c r="BR98" s="262"/>
      <c r="BS98" s="262"/>
      <c r="BT98" s="262"/>
      <c r="BU98" s="262"/>
      <c r="BV98" s="262"/>
      <c r="BW98" s="262"/>
      <c r="BX98" s="262"/>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2"/>
      <c r="CV98" s="262"/>
      <c r="CW98" s="262"/>
      <c r="CX98" s="262"/>
    </row>
    <row r="99" spans="1:102" s="1" customFormat="1" ht="81.75" customHeight="1" x14ac:dyDescent="0.25">
      <c r="A99" s="1680" t="s">
        <v>6963</v>
      </c>
      <c r="B99" s="1681"/>
      <c r="C99" s="1681"/>
      <c r="D99" s="1682"/>
      <c r="E99" s="1494" t="s">
        <v>6937</v>
      </c>
      <c r="F99" s="1495"/>
      <c r="G99" s="1495"/>
      <c r="H99" s="1495"/>
      <c r="I99" s="1495"/>
      <c r="J99" s="1495"/>
      <c r="K99" s="1495"/>
      <c r="L99" s="1495"/>
      <c r="M99" s="1495"/>
      <c r="N99" s="1495"/>
      <c r="O99" s="1495"/>
      <c r="P99" s="1496"/>
      <c r="Q99" s="2133" t="s">
        <v>6938</v>
      </c>
      <c r="R99" s="2134"/>
      <c r="S99" s="2134"/>
      <c r="T99" s="2135"/>
      <c r="U99" s="1683" t="s">
        <v>1000</v>
      </c>
      <c r="V99" s="1684"/>
      <c r="W99" s="1685"/>
      <c r="X99" s="1494" t="s">
        <v>3571</v>
      </c>
      <c r="Y99" s="1495"/>
      <c r="Z99" s="1495"/>
      <c r="AA99" s="1495"/>
      <c r="AB99" s="1495"/>
      <c r="AC99" s="1495"/>
      <c r="AD99" s="1495"/>
      <c r="AE99" s="1495"/>
      <c r="AF99" s="1496"/>
      <c r="AH99" s="262"/>
      <c r="AI99" s="262"/>
      <c r="AJ99" s="262"/>
      <c r="AK99" s="262"/>
      <c r="AL99" s="262"/>
      <c r="AM99" s="262"/>
      <c r="AN99" s="262"/>
      <c r="AO99" s="262"/>
      <c r="AP99" s="262"/>
      <c r="AQ99" s="262"/>
      <c r="AR99" s="262"/>
      <c r="AS99" s="262"/>
      <c r="AT99" s="262"/>
      <c r="AU99" s="262"/>
      <c r="AV99" s="262"/>
      <c r="AW99" s="262"/>
      <c r="AX99" s="262"/>
      <c r="AY99" s="262"/>
      <c r="AZ99" s="262"/>
      <c r="BA99" s="262"/>
      <c r="BB99" s="262"/>
      <c r="BC99" s="262"/>
      <c r="BD99" s="262"/>
      <c r="BE99" s="262"/>
      <c r="BF99" s="262"/>
      <c r="BG99" s="262"/>
      <c r="BH99" s="262"/>
      <c r="BI99" s="262"/>
      <c r="BJ99" s="262"/>
      <c r="BK99" s="262"/>
      <c r="BL99" s="262"/>
      <c r="BM99" s="262"/>
      <c r="BN99" s="262"/>
      <c r="BO99" s="262"/>
      <c r="BP99" s="262"/>
      <c r="BQ99" s="262"/>
      <c r="BR99" s="262"/>
      <c r="BS99" s="262"/>
      <c r="BT99" s="262"/>
      <c r="BU99" s="262"/>
      <c r="BV99" s="262"/>
      <c r="BW99" s="262"/>
      <c r="BX99" s="262"/>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2"/>
      <c r="CV99" s="262"/>
      <c r="CW99" s="262"/>
      <c r="CX99" s="262"/>
    </row>
    <row r="100" spans="1:102" s="1" customFormat="1" ht="57" customHeight="1" x14ac:dyDescent="0.25">
      <c r="A100" s="1680" t="s">
        <v>6964</v>
      </c>
      <c r="B100" s="1681"/>
      <c r="C100" s="1681"/>
      <c r="D100" s="1682"/>
      <c r="E100" s="1494" t="s">
        <v>6939</v>
      </c>
      <c r="F100" s="1495"/>
      <c r="G100" s="1495"/>
      <c r="H100" s="1495"/>
      <c r="I100" s="1495"/>
      <c r="J100" s="1495"/>
      <c r="K100" s="1495"/>
      <c r="L100" s="1495"/>
      <c r="M100" s="1495"/>
      <c r="N100" s="1495"/>
      <c r="O100" s="1495"/>
      <c r="P100" s="1496"/>
      <c r="Q100" s="1711">
        <v>1</v>
      </c>
      <c r="R100" s="1712"/>
      <c r="S100" s="1712"/>
      <c r="T100" s="1713"/>
      <c r="U100" s="1696" t="s">
        <v>28</v>
      </c>
      <c r="V100" s="1684"/>
      <c r="W100" s="1685"/>
      <c r="X100" s="1494" t="s">
        <v>6932</v>
      </c>
      <c r="Y100" s="1495"/>
      <c r="Z100" s="1495"/>
      <c r="AA100" s="1495"/>
      <c r="AB100" s="1495"/>
      <c r="AC100" s="1495"/>
      <c r="AD100" s="1495"/>
      <c r="AE100" s="1495"/>
      <c r="AF100" s="1496"/>
      <c r="AH100" s="262"/>
      <c r="AI100" s="262"/>
      <c r="AJ100" s="262"/>
      <c r="AK100" s="262"/>
      <c r="AL100" s="262"/>
      <c r="AM100" s="262"/>
      <c r="AN100" s="262"/>
      <c r="AO100" s="262"/>
      <c r="AP100" s="262"/>
      <c r="AQ100" s="262"/>
      <c r="AR100" s="262"/>
      <c r="AS100" s="262"/>
      <c r="AT100" s="262"/>
      <c r="AU100" s="262"/>
      <c r="AV100" s="262"/>
      <c r="AW100" s="262"/>
      <c r="AX100" s="262"/>
      <c r="AY100" s="262"/>
      <c r="AZ100" s="262"/>
      <c r="BA100" s="262"/>
      <c r="BB100" s="262"/>
      <c r="BC100" s="262"/>
      <c r="BD100" s="262"/>
      <c r="BE100" s="262"/>
      <c r="BF100" s="262"/>
      <c r="BG100" s="262"/>
      <c r="BH100" s="262"/>
      <c r="BI100" s="262"/>
      <c r="BJ100" s="262"/>
      <c r="BK100" s="262"/>
      <c r="BL100" s="262"/>
      <c r="BM100" s="262"/>
      <c r="BN100" s="262"/>
      <c r="BO100" s="262"/>
      <c r="BP100" s="262"/>
      <c r="BQ100" s="262"/>
      <c r="BR100" s="262"/>
      <c r="BS100" s="262"/>
      <c r="BT100" s="262"/>
      <c r="BU100" s="262"/>
      <c r="BV100" s="262"/>
      <c r="BW100" s="262"/>
      <c r="BX100" s="262"/>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2"/>
      <c r="CV100" s="262"/>
      <c r="CW100" s="262"/>
      <c r="CX100" s="262"/>
    </row>
    <row r="101" spans="1:102" s="1" customFormat="1" ht="80.25" customHeight="1" x14ac:dyDescent="0.25">
      <c r="A101" s="1680" t="s">
        <v>6965</v>
      </c>
      <c r="B101" s="1681"/>
      <c r="C101" s="1681"/>
      <c r="D101" s="1682"/>
      <c r="E101" s="1494" t="s">
        <v>6940</v>
      </c>
      <c r="F101" s="1495"/>
      <c r="G101" s="1495"/>
      <c r="H101" s="1495"/>
      <c r="I101" s="1495"/>
      <c r="J101" s="1495"/>
      <c r="K101" s="1495"/>
      <c r="L101" s="1495"/>
      <c r="M101" s="1495"/>
      <c r="N101" s="1495"/>
      <c r="O101" s="1495"/>
      <c r="P101" s="1496"/>
      <c r="Q101" s="2133" t="s">
        <v>6938</v>
      </c>
      <c r="R101" s="2134"/>
      <c r="S101" s="2134"/>
      <c r="T101" s="2135"/>
      <c r="U101" s="1683" t="s">
        <v>28</v>
      </c>
      <c r="V101" s="1684"/>
      <c r="W101" s="1685"/>
      <c r="X101" s="1494" t="s">
        <v>3356</v>
      </c>
      <c r="Y101" s="1495"/>
      <c r="Z101" s="1495"/>
      <c r="AA101" s="1495"/>
      <c r="AB101" s="1495"/>
      <c r="AC101" s="1495"/>
      <c r="AD101" s="1495"/>
      <c r="AE101" s="1495"/>
      <c r="AF101" s="1496"/>
      <c r="AH101" s="262"/>
      <c r="AI101" s="262"/>
      <c r="AJ101" s="262"/>
      <c r="AK101" s="262"/>
      <c r="AL101" s="262"/>
      <c r="AM101" s="262"/>
      <c r="AN101" s="262"/>
      <c r="AO101" s="262"/>
      <c r="AP101" s="262"/>
      <c r="AQ101" s="262"/>
      <c r="AR101" s="262"/>
      <c r="AS101" s="262"/>
      <c r="AT101" s="262"/>
      <c r="AU101" s="262"/>
      <c r="AV101" s="262"/>
      <c r="AW101" s="262"/>
      <c r="AX101" s="262"/>
      <c r="AY101" s="262"/>
      <c r="AZ101" s="262"/>
      <c r="BA101" s="262"/>
      <c r="BB101" s="262"/>
      <c r="BC101" s="262"/>
      <c r="BD101" s="262"/>
      <c r="BE101" s="262"/>
      <c r="BF101" s="262"/>
      <c r="BG101" s="262"/>
      <c r="BH101" s="262"/>
      <c r="BI101" s="262"/>
      <c r="BJ101" s="262"/>
      <c r="BK101" s="262"/>
      <c r="BL101" s="262"/>
      <c r="BM101" s="262"/>
      <c r="BN101" s="262"/>
      <c r="BO101" s="262"/>
      <c r="BP101" s="262"/>
      <c r="BQ101" s="262"/>
      <c r="BR101" s="262"/>
      <c r="BS101" s="262"/>
      <c r="BT101" s="262"/>
      <c r="BU101" s="262"/>
      <c r="BV101" s="262"/>
      <c r="BW101" s="262"/>
      <c r="BX101" s="262"/>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2"/>
      <c r="CV101" s="262"/>
      <c r="CW101" s="262"/>
      <c r="CX101" s="262"/>
    </row>
    <row r="102" spans="1:102" s="1" customFormat="1" ht="46.5" customHeight="1" x14ac:dyDescent="0.25">
      <c r="A102" s="1680" t="s">
        <v>1828</v>
      </c>
      <c r="B102" s="1681"/>
      <c r="C102" s="1681"/>
      <c r="D102" s="1682"/>
      <c r="E102" s="1494" t="s">
        <v>6941</v>
      </c>
      <c r="F102" s="1495"/>
      <c r="G102" s="1495"/>
      <c r="H102" s="1495"/>
      <c r="I102" s="1495"/>
      <c r="J102" s="1495"/>
      <c r="K102" s="1495"/>
      <c r="L102" s="1495"/>
      <c r="M102" s="1495"/>
      <c r="N102" s="1495"/>
      <c r="O102" s="1495"/>
      <c r="P102" s="1496"/>
      <c r="Q102" s="1497" t="s">
        <v>6966</v>
      </c>
      <c r="R102" s="1498"/>
      <c r="S102" s="1498"/>
      <c r="T102" s="1499"/>
      <c r="U102" s="1683" t="s">
        <v>46</v>
      </c>
      <c r="V102" s="1684"/>
      <c r="W102" s="1685"/>
      <c r="X102" s="1494" t="s">
        <v>6942</v>
      </c>
      <c r="Y102" s="1495"/>
      <c r="Z102" s="1495"/>
      <c r="AA102" s="1495"/>
      <c r="AB102" s="1495"/>
      <c r="AC102" s="1495"/>
      <c r="AD102" s="1495"/>
      <c r="AE102" s="1495"/>
      <c r="AF102" s="1496"/>
      <c r="AH102" s="262"/>
      <c r="AI102" s="262"/>
      <c r="AJ102" s="262"/>
      <c r="AK102" s="262"/>
      <c r="AL102" s="262"/>
      <c r="AM102" s="262"/>
      <c r="AN102" s="262"/>
      <c r="AO102" s="262"/>
      <c r="AP102" s="262"/>
      <c r="AQ102" s="262"/>
      <c r="AR102" s="262"/>
      <c r="AS102" s="262"/>
      <c r="AT102" s="262"/>
      <c r="AU102" s="262"/>
      <c r="AV102" s="262"/>
      <c r="AW102" s="262"/>
      <c r="AX102" s="262"/>
      <c r="AY102" s="262"/>
      <c r="AZ102" s="262"/>
      <c r="BA102" s="262"/>
      <c r="BB102" s="262"/>
      <c r="BC102" s="262"/>
      <c r="BD102" s="262"/>
      <c r="BE102" s="262"/>
      <c r="BF102" s="262"/>
      <c r="BG102" s="262"/>
      <c r="BH102" s="262"/>
      <c r="BI102" s="262"/>
      <c r="BJ102" s="262"/>
      <c r="BK102" s="262"/>
      <c r="BL102" s="262"/>
      <c r="BM102" s="262"/>
      <c r="BN102" s="262"/>
      <c r="BO102" s="262"/>
      <c r="BP102" s="262"/>
      <c r="BQ102" s="262"/>
      <c r="BR102" s="262"/>
      <c r="BS102" s="262"/>
      <c r="BT102" s="262"/>
      <c r="BU102" s="262"/>
      <c r="BV102" s="262"/>
      <c r="BW102" s="262"/>
      <c r="BX102" s="262"/>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2"/>
      <c r="CV102" s="262"/>
      <c r="CW102" s="262"/>
      <c r="CX102" s="262"/>
    </row>
    <row r="103" spans="1:102" s="1" customFormat="1" ht="90.75" customHeight="1" x14ac:dyDescent="0.25">
      <c r="A103" s="1485" t="s">
        <v>2724</v>
      </c>
      <c r="B103" s="1486"/>
      <c r="C103" s="1486"/>
      <c r="D103" s="1487"/>
      <c r="E103" s="1485" t="s">
        <v>6943</v>
      </c>
      <c r="F103" s="1486"/>
      <c r="G103" s="1486"/>
      <c r="H103" s="1486"/>
      <c r="I103" s="1486"/>
      <c r="J103" s="1486"/>
      <c r="K103" s="1486"/>
      <c r="L103" s="1486"/>
      <c r="M103" s="1486"/>
      <c r="N103" s="1486"/>
      <c r="O103" s="1486"/>
      <c r="P103" s="1487"/>
      <c r="Q103" s="1574" t="s">
        <v>6944</v>
      </c>
      <c r="R103" s="1575"/>
      <c r="S103" s="1575"/>
      <c r="T103" s="1576"/>
      <c r="U103" s="1574" t="s">
        <v>46</v>
      </c>
      <c r="V103" s="1575"/>
      <c r="W103" s="1576"/>
      <c r="X103" s="1479" t="s">
        <v>6945</v>
      </c>
      <c r="Y103" s="1480"/>
      <c r="Z103" s="1480"/>
      <c r="AA103" s="1480"/>
      <c r="AB103" s="1480"/>
      <c r="AC103" s="1480"/>
      <c r="AD103" s="1480"/>
      <c r="AE103" s="1480"/>
      <c r="AF103" s="1481"/>
      <c r="AH103" s="262"/>
      <c r="AI103" s="262"/>
      <c r="AJ103" s="262"/>
      <c r="AK103" s="262"/>
      <c r="AL103" s="262"/>
      <c r="AM103" s="262"/>
      <c r="AN103" s="262"/>
      <c r="AO103" s="262"/>
      <c r="AP103" s="262"/>
      <c r="AQ103" s="262"/>
      <c r="AR103" s="262"/>
      <c r="AS103" s="262"/>
      <c r="AT103" s="262"/>
      <c r="AU103" s="262"/>
      <c r="AV103" s="262"/>
      <c r="AW103" s="262"/>
      <c r="AX103" s="262"/>
      <c r="AY103" s="262"/>
      <c r="AZ103" s="262"/>
      <c r="BA103" s="262"/>
      <c r="BB103" s="262"/>
      <c r="BC103" s="262"/>
      <c r="BD103" s="262"/>
      <c r="BE103" s="262"/>
      <c r="BF103" s="262"/>
      <c r="BG103" s="262"/>
      <c r="BH103" s="262"/>
      <c r="BI103" s="262"/>
      <c r="BJ103" s="262"/>
      <c r="BK103" s="262"/>
      <c r="BL103" s="262"/>
      <c r="BM103" s="262"/>
      <c r="BN103" s="262"/>
      <c r="BO103" s="262"/>
      <c r="BP103" s="262"/>
      <c r="BQ103" s="262"/>
      <c r="BR103" s="262"/>
      <c r="BS103" s="262"/>
      <c r="BT103" s="262"/>
      <c r="BU103" s="262"/>
      <c r="BV103" s="262"/>
      <c r="BW103" s="262"/>
      <c r="BX103" s="262"/>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2"/>
      <c r="CV103" s="262"/>
      <c r="CW103" s="262"/>
      <c r="CX103" s="262"/>
    </row>
    <row r="104" spans="1:102" s="1" customFormat="1" ht="69.75" customHeight="1" x14ac:dyDescent="0.25">
      <c r="A104" s="1485" t="s">
        <v>6946</v>
      </c>
      <c r="B104" s="1486"/>
      <c r="C104" s="1486"/>
      <c r="D104" s="1487"/>
      <c r="E104" s="1485" t="s">
        <v>6947</v>
      </c>
      <c r="F104" s="1486"/>
      <c r="G104" s="1486"/>
      <c r="H104" s="1486"/>
      <c r="I104" s="1486"/>
      <c r="J104" s="1486"/>
      <c r="K104" s="1486"/>
      <c r="L104" s="1486"/>
      <c r="M104" s="1486"/>
      <c r="N104" s="1486"/>
      <c r="O104" s="1486"/>
      <c r="P104" s="1487"/>
      <c r="Q104" s="1574">
        <v>25</v>
      </c>
      <c r="R104" s="1575"/>
      <c r="S104" s="1575"/>
      <c r="T104" s="1576"/>
      <c r="U104" s="1574" t="s">
        <v>46</v>
      </c>
      <c r="V104" s="1575"/>
      <c r="W104" s="1576"/>
      <c r="X104" s="1479" t="s">
        <v>6948</v>
      </c>
      <c r="Y104" s="1480"/>
      <c r="Z104" s="1480"/>
      <c r="AA104" s="1480"/>
      <c r="AB104" s="1480"/>
      <c r="AC104" s="1480"/>
      <c r="AD104" s="1480"/>
      <c r="AE104" s="1480"/>
      <c r="AF104" s="1481"/>
      <c r="AH104" s="262"/>
      <c r="AI104" s="262"/>
      <c r="AJ104" s="262"/>
      <c r="AK104" s="262"/>
      <c r="AL104" s="262"/>
      <c r="AM104" s="262"/>
      <c r="AN104" s="262"/>
      <c r="AO104" s="262"/>
      <c r="AP104" s="262"/>
      <c r="AQ104" s="262"/>
      <c r="AR104" s="262"/>
      <c r="AS104" s="262"/>
      <c r="AT104" s="262"/>
      <c r="AU104" s="262"/>
      <c r="AV104" s="262"/>
      <c r="AW104" s="262"/>
      <c r="AX104" s="262"/>
      <c r="AY104" s="262"/>
      <c r="AZ104" s="262"/>
      <c r="BA104" s="262"/>
      <c r="BB104" s="262"/>
      <c r="BC104" s="262"/>
      <c r="BD104" s="262"/>
      <c r="BE104" s="262"/>
      <c r="BF104" s="262"/>
      <c r="BG104" s="262"/>
      <c r="BH104" s="262"/>
      <c r="BI104" s="262"/>
      <c r="BJ104" s="262"/>
      <c r="BK104" s="262"/>
      <c r="BL104" s="262"/>
      <c r="BM104" s="262"/>
      <c r="BN104" s="262"/>
      <c r="BO104" s="262"/>
      <c r="BP104" s="262"/>
      <c r="BQ104" s="262"/>
      <c r="BR104" s="262"/>
      <c r="BS104" s="262"/>
      <c r="BT104" s="262"/>
      <c r="BU104" s="262"/>
      <c r="BV104" s="262"/>
      <c r="BW104" s="262"/>
      <c r="BX104" s="262"/>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2"/>
      <c r="CV104" s="262"/>
      <c r="CW104" s="262"/>
      <c r="CX104" s="262"/>
    </row>
    <row r="105" spans="1:102" s="1" customFormat="1" x14ac:dyDescent="0.25">
      <c r="AH105" s="262"/>
      <c r="AI105" s="262"/>
      <c r="AJ105" s="262"/>
      <c r="AK105" s="262"/>
      <c r="AL105" s="262"/>
      <c r="AM105" s="262"/>
      <c r="AN105" s="262"/>
      <c r="AO105" s="262"/>
      <c r="AP105" s="262"/>
      <c r="AQ105" s="262"/>
      <c r="AR105" s="262"/>
      <c r="AS105" s="262"/>
      <c r="AT105" s="262"/>
      <c r="AU105" s="262"/>
      <c r="AV105" s="262"/>
      <c r="AW105" s="262"/>
      <c r="AX105" s="262"/>
      <c r="AY105" s="262"/>
      <c r="AZ105" s="262"/>
      <c r="BA105" s="262"/>
      <c r="BB105" s="262"/>
      <c r="BC105" s="262"/>
      <c r="BD105" s="262"/>
      <c r="BE105" s="262"/>
      <c r="BF105" s="262"/>
      <c r="BG105" s="262"/>
      <c r="BH105" s="262"/>
      <c r="BI105" s="262"/>
      <c r="BJ105" s="262"/>
      <c r="BK105" s="262"/>
      <c r="BL105" s="262"/>
      <c r="BM105" s="262"/>
      <c r="BN105" s="262"/>
      <c r="BO105" s="262"/>
      <c r="BP105" s="262"/>
      <c r="BQ105" s="262"/>
      <c r="BR105" s="262"/>
      <c r="BS105" s="262"/>
      <c r="BT105" s="262"/>
      <c r="BU105" s="262"/>
      <c r="BV105" s="262"/>
      <c r="BW105" s="262"/>
      <c r="BX105" s="262"/>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2"/>
      <c r="CV105" s="262"/>
      <c r="CW105" s="262"/>
      <c r="CX105" s="262"/>
    </row>
    <row r="106" spans="1:102" s="1" customFormat="1" x14ac:dyDescent="0.25">
      <c r="AH106" s="262"/>
      <c r="AI106" s="262"/>
      <c r="AJ106" s="262"/>
      <c r="AK106" s="262"/>
      <c r="AL106" s="262"/>
      <c r="AM106" s="262"/>
      <c r="AN106" s="262"/>
      <c r="AO106" s="262"/>
      <c r="AP106" s="262"/>
      <c r="AQ106" s="262"/>
      <c r="AR106" s="262"/>
      <c r="AS106" s="262"/>
      <c r="AT106" s="262"/>
      <c r="AU106" s="262"/>
      <c r="AV106" s="262"/>
      <c r="AW106" s="262"/>
      <c r="AX106" s="262"/>
      <c r="AY106" s="262"/>
      <c r="AZ106" s="262"/>
      <c r="BA106" s="262"/>
      <c r="BB106" s="262"/>
      <c r="BC106" s="262"/>
      <c r="BD106" s="262"/>
      <c r="BE106" s="262"/>
      <c r="BF106" s="262"/>
      <c r="BG106" s="262"/>
      <c r="BH106" s="262"/>
      <c r="BI106" s="262"/>
      <c r="BJ106" s="262"/>
      <c r="BK106" s="262"/>
      <c r="BL106" s="262"/>
      <c r="BM106" s="262"/>
      <c r="BN106" s="262"/>
      <c r="BO106" s="262"/>
      <c r="BP106" s="262"/>
      <c r="BQ106" s="262"/>
      <c r="BR106" s="262"/>
      <c r="BS106" s="262"/>
      <c r="BT106" s="262"/>
      <c r="BU106" s="262"/>
      <c r="BV106" s="262"/>
      <c r="BW106" s="262"/>
      <c r="BX106" s="262"/>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2"/>
      <c r="CV106" s="262"/>
      <c r="CW106" s="262"/>
      <c r="CX106" s="262"/>
    </row>
    <row r="107" spans="1:102" s="1" customFormat="1" x14ac:dyDescent="0.25">
      <c r="A107" s="1148" t="s">
        <v>21</v>
      </c>
      <c r="B107" s="1149"/>
      <c r="C107" s="1149"/>
      <c r="D107" s="1149"/>
      <c r="E107" s="1149"/>
      <c r="F107" s="1149"/>
      <c r="G107" s="1149"/>
      <c r="H107" s="1149"/>
      <c r="I107" s="1149"/>
      <c r="J107" s="1149"/>
      <c r="K107" s="1149"/>
      <c r="L107" s="1149"/>
      <c r="M107" s="1149"/>
      <c r="N107" s="1149"/>
      <c r="O107" s="1149"/>
      <c r="P107" s="1149"/>
      <c r="Q107" s="1149"/>
      <c r="R107" s="1149"/>
      <c r="S107" s="1149"/>
      <c r="T107" s="1149"/>
      <c r="U107" s="1149"/>
      <c r="V107" s="1149"/>
      <c r="W107" s="1149"/>
      <c r="X107" s="1149"/>
      <c r="Y107" s="1149"/>
      <c r="Z107" s="1149"/>
      <c r="AA107" s="1149"/>
      <c r="AB107" s="1149"/>
      <c r="AC107" s="1149"/>
      <c r="AD107" s="1149"/>
      <c r="AE107" s="1149"/>
      <c r="AF107" s="1150"/>
      <c r="AH107" s="262"/>
      <c r="AI107" s="262"/>
      <c r="AJ107" s="262"/>
      <c r="AK107" s="262"/>
      <c r="AL107" s="262"/>
      <c r="AM107" s="262"/>
      <c r="AN107" s="262"/>
      <c r="AO107" s="262"/>
      <c r="AP107" s="262"/>
      <c r="AQ107" s="262"/>
      <c r="AR107" s="262"/>
      <c r="AS107" s="262"/>
      <c r="AT107" s="262"/>
      <c r="AU107" s="262"/>
      <c r="AV107" s="262"/>
      <c r="AW107" s="262"/>
      <c r="AX107" s="262"/>
      <c r="AY107" s="262"/>
      <c r="AZ107" s="262"/>
      <c r="BA107" s="262"/>
      <c r="BB107" s="262"/>
      <c r="BC107" s="262"/>
      <c r="BD107" s="262"/>
      <c r="BE107" s="262"/>
      <c r="BF107" s="262"/>
      <c r="BG107" s="262"/>
      <c r="BH107" s="262"/>
      <c r="BI107" s="262"/>
      <c r="BJ107" s="262"/>
      <c r="BK107" s="262"/>
      <c r="BL107" s="262"/>
      <c r="BM107" s="262"/>
      <c r="BN107" s="262"/>
      <c r="BO107" s="262"/>
      <c r="BP107" s="262"/>
      <c r="BQ107" s="262"/>
      <c r="BR107" s="262"/>
      <c r="BS107" s="262"/>
      <c r="BT107" s="262"/>
      <c r="BU107" s="262"/>
      <c r="BV107" s="262"/>
      <c r="BW107" s="262"/>
      <c r="BX107" s="262"/>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2"/>
      <c r="CV107" s="262"/>
      <c r="CW107" s="262"/>
      <c r="CX107" s="262"/>
    </row>
    <row r="108" spans="1:102" s="1" customFormat="1" x14ac:dyDescent="0.25">
      <c r="AH108" s="262"/>
      <c r="AI108" s="262"/>
      <c r="AJ108" s="262"/>
      <c r="AK108" s="262"/>
      <c r="AL108" s="262"/>
      <c r="AM108" s="262"/>
      <c r="AN108" s="262"/>
      <c r="AO108" s="262"/>
      <c r="AP108" s="262"/>
      <c r="AQ108" s="262"/>
      <c r="AR108" s="262"/>
      <c r="AS108" s="262"/>
      <c r="AT108" s="262"/>
      <c r="AU108" s="262"/>
      <c r="AV108" s="262"/>
      <c r="AW108" s="262"/>
      <c r="AX108" s="262"/>
      <c r="AY108" s="262"/>
      <c r="AZ108" s="262"/>
      <c r="BA108" s="262"/>
      <c r="BB108" s="262"/>
      <c r="BC108" s="262"/>
      <c r="BD108" s="262"/>
      <c r="BE108" s="262"/>
      <c r="BF108" s="262"/>
      <c r="BG108" s="262"/>
      <c r="BH108" s="262"/>
      <c r="BI108" s="262"/>
      <c r="BJ108" s="262"/>
      <c r="BK108" s="262"/>
      <c r="BL108" s="262"/>
      <c r="BM108" s="262"/>
      <c r="BN108" s="262"/>
      <c r="BO108" s="262"/>
      <c r="BP108" s="262"/>
      <c r="BQ108" s="262"/>
      <c r="BR108" s="262"/>
      <c r="BS108" s="262"/>
      <c r="BT108" s="262"/>
      <c r="BU108" s="262"/>
      <c r="BV108" s="262"/>
      <c r="BW108" s="262"/>
      <c r="BX108" s="262"/>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2"/>
      <c r="CV108" s="262"/>
      <c r="CW108" s="262"/>
      <c r="CX108" s="262"/>
    </row>
    <row r="109" spans="1:102" s="1" customFormat="1" x14ac:dyDescent="0.25">
      <c r="A109" s="10"/>
      <c r="B109" s="1" t="s">
        <v>6949</v>
      </c>
      <c r="C109" s="10"/>
      <c r="D109" s="10"/>
      <c r="E109" s="10"/>
      <c r="F109" s="10"/>
      <c r="G109" s="10"/>
      <c r="H109" s="10"/>
      <c r="I109" s="10"/>
      <c r="J109" s="10"/>
      <c r="K109" s="10"/>
      <c r="L109" s="10"/>
      <c r="M109" s="10"/>
      <c r="N109" s="10"/>
      <c r="O109" s="10"/>
      <c r="P109" s="10"/>
      <c r="Q109" s="10"/>
      <c r="R109" s="10"/>
      <c r="S109" s="10"/>
      <c r="T109" s="10"/>
      <c r="U109" s="10"/>
      <c r="V109" s="10"/>
      <c r="W109" s="10"/>
      <c r="X109" s="10"/>
      <c r="AH109" s="262"/>
      <c r="AI109" s="262"/>
      <c r="AJ109" s="262"/>
      <c r="AK109" s="262"/>
      <c r="AL109" s="262"/>
      <c r="AM109" s="262"/>
      <c r="AN109" s="262"/>
      <c r="AO109" s="262"/>
      <c r="AP109" s="262"/>
      <c r="AQ109" s="262"/>
      <c r="AR109" s="262"/>
      <c r="AS109" s="262"/>
      <c r="AT109" s="262"/>
      <c r="AU109" s="262"/>
      <c r="AV109" s="262"/>
      <c r="AW109" s="262"/>
      <c r="AX109" s="262"/>
      <c r="AY109" s="262"/>
      <c r="AZ109" s="262"/>
      <c r="BA109" s="262"/>
      <c r="BB109" s="262"/>
      <c r="BC109" s="262"/>
      <c r="BD109" s="262"/>
      <c r="BE109" s="262"/>
      <c r="BF109" s="262"/>
      <c r="BG109" s="262"/>
      <c r="BH109" s="262"/>
      <c r="BI109" s="262"/>
      <c r="BJ109" s="262"/>
      <c r="BK109" s="262"/>
      <c r="BL109" s="262"/>
      <c r="BM109" s="262"/>
      <c r="BN109" s="262"/>
      <c r="BO109" s="262"/>
      <c r="BP109" s="262"/>
      <c r="BQ109" s="262"/>
      <c r="BR109" s="262"/>
      <c r="BS109" s="262"/>
      <c r="BT109" s="262"/>
      <c r="BU109" s="262"/>
      <c r="BV109" s="262"/>
      <c r="BW109" s="262"/>
      <c r="BX109" s="262"/>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2"/>
      <c r="CV109" s="262"/>
      <c r="CW109" s="262"/>
      <c r="CX109" s="262"/>
    </row>
    <row r="110" spans="1:102" s="1" customFormat="1" x14ac:dyDescent="0.25">
      <c r="F110" s="3084" t="s">
        <v>6950</v>
      </c>
      <c r="G110" s="3084"/>
      <c r="H110" s="3084"/>
      <c r="I110" s="3084"/>
      <c r="J110" s="3084"/>
      <c r="K110" s="3084"/>
      <c r="L110" s="3084"/>
      <c r="M110" s="3084"/>
      <c r="N110" s="3084"/>
      <c r="O110" s="3084"/>
      <c r="AH110" s="262"/>
      <c r="AI110" s="262"/>
      <c r="AJ110" s="262"/>
      <c r="AK110" s="262"/>
      <c r="AL110" s="262"/>
      <c r="AM110" s="262"/>
      <c r="AN110" s="262"/>
      <c r="AO110" s="262"/>
      <c r="AP110" s="262"/>
      <c r="AQ110" s="262"/>
      <c r="AR110" s="262"/>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262"/>
      <c r="BN110" s="262"/>
      <c r="BO110" s="262"/>
      <c r="BP110" s="262"/>
      <c r="BQ110" s="262"/>
      <c r="BR110" s="262"/>
      <c r="BS110" s="262"/>
      <c r="BT110" s="262"/>
      <c r="BU110" s="262"/>
      <c r="BV110" s="262"/>
      <c r="BW110" s="262"/>
      <c r="BX110" s="262"/>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2"/>
      <c r="CV110" s="262"/>
      <c r="CW110" s="262"/>
      <c r="CX110" s="262"/>
    </row>
    <row r="111" spans="1:102" s="1" customForma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AH111" s="262"/>
      <c r="AI111" s="262"/>
      <c r="AJ111" s="262"/>
      <c r="AK111" s="262"/>
      <c r="AL111" s="262"/>
      <c r="AM111" s="262"/>
      <c r="AN111" s="262"/>
      <c r="AO111" s="262"/>
      <c r="AP111" s="262"/>
      <c r="AQ111" s="262"/>
      <c r="AR111" s="262"/>
      <c r="AS111" s="262"/>
      <c r="AT111" s="262"/>
      <c r="AU111" s="262"/>
      <c r="AV111" s="262"/>
      <c r="AW111" s="262"/>
      <c r="AX111" s="262"/>
      <c r="AY111" s="262"/>
      <c r="AZ111" s="262"/>
      <c r="BA111" s="262"/>
      <c r="BB111" s="262"/>
      <c r="BC111" s="262"/>
      <c r="BD111" s="262"/>
      <c r="BE111" s="262"/>
      <c r="BF111" s="262"/>
      <c r="BG111" s="262"/>
      <c r="BH111" s="262"/>
      <c r="BI111" s="262"/>
      <c r="BJ111" s="262"/>
      <c r="BK111" s="262"/>
      <c r="BL111" s="262"/>
      <c r="BM111" s="262"/>
      <c r="BN111" s="262"/>
      <c r="BO111" s="262"/>
      <c r="BP111" s="262"/>
      <c r="BQ111" s="262"/>
      <c r="BR111" s="262"/>
      <c r="BS111" s="262"/>
      <c r="BT111" s="262"/>
      <c r="BU111" s="262"/>
      <c r="BV111" s="262"/>
      <c r="BW111" s="262"/>
      <c r="BX111" s="262"/>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2"/>
      <c r="CV111" s="262"/>
      <c r="CW111" s="262"/>
      <c r="CX111" s="262"/>
    </row>
    <row r="113" spans="1:102" s="266" customFormat="1" x14ac:dyDescent="0.25">
      <c r="A113" s="1148" t="s">
        <v>1753</v>
      </c>
      <c r="B113" s="1149"/>
      <c r="C113" s="1149"/>
      <c r="D113" s="1149"/>
      <c r="E113" s="1149"/>
      <c r="F113" s="1149"/>
      <c r="G113" s="1149"/>
      <c r="H113" s="1149"/>
      <c r="I113" s="1149"/>
      <c r="J113" s="1149"/>
      <c r="K113" s="1149"/>
      <c r="L113" s="1149"/>
      <c r="M113" s="1149"/>
      <c r="N113" s="1149"/>
      <c r="O113" s="1149"/>
      <c r="P113" s="1149"/>
      <c r="Q113" s="1149"/>
      <c r="R113" s="1149"/>
      <c r="S113" s="1149"/>
      <c r="T113" s="1149"/>
      <c r="U113" s="1149"/>
      <c r="V113" s="1149"/>
      <c r="W113" s="1149"/>
      <c r="X113" s="1149"/>
      <c r="Y113" s="1149"/>
      <c r="Z113" s="1149"/>
      <c r="AA113" s="1149"/>
      <c r="AB113" s="1149"/>
      <c r="AC113" s="1149"/>
      <c r="AD113" s="1149"/>
      <c r="AE113" s="1149"/>
      <c r="AF113" s="1150"/>
      <c r="AH113" s="638"/>
      <c r="AI113" s="638"/>
      <c r="AJ113" s="638"/>
      <c r="AK113" s="638"/>
      <c r="AL113" s="638"/>
      <c r="AM113" s="638"/>
      <c r="AN113" s="638"/>
      <c r="AO113" s="638"/>
      <c r="AP113" s="638"/>
      <c r="AQ113" s="638"/>
      <c r="AR113" s="638"/>
      <c r="AS113" s="638"/>
      <c r="AT113" s="638"/>
      <c r="AU113" s="638"/>
      <c r="AV113" s="638"/>
      <c r="AW113" s="638"/>
      <c r="AX113" s="638"/>
      <c r="AY113" s="638"/>
      <c r="AZ113" s="638"/>
      <c r="BA113" s="638"/>
      <c r="BB113" s="638"/>
      <c r="BC113" s="638"/>
      <c r="BD113" s="638"/>
      <c r="BE113" s="638"/>
      <c r="BF113" s="638"/>
      <c r="BG113" s="638"/>
      <c r="BH113" s="638"/>
      <c r="BI113" s="638"/>
      <c r="BJ113" s="638"/>
      <c r="BK113" s="638"/>
      <c r="BL113" s="638"/>
      <c r="BM113" s="638"/>
      <c r="BN113" s="638"/>
      <c r="BO113" s="638"/>
      <c r="BP113" s="638"/>
      <c r="BQ113" s="638"/>
      <c r="BR113" s="638"/>
      <c r="BS113" s="638"/>
      <c r="BT113" s="638"/>
      <c r="BU113" s="638"/>
      <c r="BV113" s="638"/>
      <c r="BW113" s="638"/>
      <c r="BX113" s="638"/>
      <c r="BY113" s="638"/>
      <c r="BZ113" s="638"/>
      <c r="CA113" s="638"/>
      <c r="CB113" s="638"/>
      <c r="CC113" s="638"/>
      <c r="CD113" s="638"/>
      <c r="CE113" s="638"/>
      <c r="CF113" s="638"/>
      <c r="CG113" s="638"/>
      <c r="CH113" s="638"/>
      <c r="CI113" s="638"/>
      <c r="CJ113" s="638"/>
      <c r="CK113" s="638"/>
      <c r="CL113" s="638"/>
      <c r="CM113" s="638"/>
      <c r="CN113" s="638"/>
      <c r="CO113" s="638"/>
      <c r="CP113" s="638"/>
      <c r="CQ113" s="638"/>
      <c r="CR113" s="638"/>
      <c r="CS113" s="638"/>
      <c r="CT113" s="638"/>
      <c r="CU113" s="638"/>
      <c r="CV113" s="638"/>
      <c r="CW113" s="638"/>
      <c r="CX113" s="638"/>
    </row>
    <row r="114" spans="1:102" s="266" customFormat="1" x14ac:dyDescent="0.25">
      <c r="A114" s="638"/>
      <c r="B114" s="638"/>
      <c r="C114" s="638"/>
      <c r="D114" s="638"/>
      <c r="E114" s="638"/>
      <c r="F114" s="638"/>
      <c r="G114" s="638"/>
      <c r="H114" s="638"/>
      <c r="I114" s="638"/>
      <c r="J114" s="638"/>
      <c r="K114" s="638"/>
      <c r="L114" s="638"/>
      <c r="M114" s="638"/>
      <c r="N114" s="638"/>
      <c r="O114" s="638"/>
      <c r="P114" s="638"/>
      <c r="Q114" s="638"/>
      <c r="R114" s="638"/>
      <c r="S114" s="638"/>
      <c r="T114" s="638"/>
      <c r="U114" s="638"/>
      <c r="V114" s="638"/>
      <c r="W114" s="638"/>
      <c r="X114" s="638"/>
      <c r="Y114" s="638"/>
      <c r="Z114" s="638"/>
      <c r="AA114" s="638"/>
      <c r="AB114" s="638"/>
      <c r="AC114" s="638"/>
      <c r="AD114" s="638"/>
      <c r="AE114" s="638"/>
      <c r="AF114" s="638"/>
      <c r="AH114" s="638"/>
      <c r="AI114" s="638"/>
      <c r="AJ114" s="638"/>
      <c r="AK114" s="638"/>
      <c r="AL114" s="638"/>
      <c r="AM114" s="638"/>
      <c r="AN114" s="638"/>
      <c r="AO114" s="638"/>
      <c r="AP114" s="638"/>
      <c r="AQ114" s="638"/>
      <c r="AR114" s="638"/>
      <c r="AS114" s="638"/>
      <c r="AT114" s="638"/>
      <c r="AU114" s="638"/>
      <c r="AV114" s="638"/>
      <c r="AW114" s="638"/>
      <c r="AX114" s="638"/>
      <c r="AY114" s="638"/>
      <c r="AZ114" s="638"/>
      <c r="BA114" s="638"/>
      <c r="BB114" s="638"/>
      <c r="BC114" s="638"/>
      <c r="BD114" s="638"/>
      <c r="BE114" s="638"/>
      <c r="BF114" s="638"/>
      <c r="BG114" s="638"/>
      <c r="BH114" s="638"/>
      <c r="BI114" s="638"/>
      <c r="BJ114" s="638"/>
      <c r="BK114" s="638"/>
      <c r="BL114" s="638"/>
      <c r="BM114" s="638"/>
      <c r="BN114" s="638"/>
      <c r="BO114" s="638"/>
      <c r="BP114" s="638"/>
      <c r="BQ114" s="638"/>
      <c r="BR114" s="638"/>
      <c r="BS114" s="638"/>
      <c r="BT114" s="638"/>
      <c r="BU114" s="638"/>
      <c r="BV114" s="638"/>
      <c r="BW114" s="638"/>
      <c r="BX114" s="638"/>
      <c r="BY114" s="638"/>
      <c r="BZ114" s="638"/>
      <c r="CA114" s="638"/>
      <c r="CB114" s="638"/>
      <c r="CC114" s="638"/>
      <c r="CD114" s="638"/>
      <c r="CE114" s="638"/>
      <c r="CF114" s="638"/>
      <c r="CG114" s="638"/>
      <c r="CH114" s="638"/>
      <c r="CI114" s="638"/>
      <c r="CJ114" s="638"/>
      <c r="CK114" s="638"/>
      <c r="CL114" s="638"/>
      <c r="CM114" s="638"/>
      <c r="CN114" s="638"/>
      <c r="CO114" s="638"/>
      <c r="CP114" s="638"/>
      <c r="CQ114" s="638"/>
      <c r="CR114" s="638"/>
      <c r="CS114" s="638"/>
      <c r="CT114" s="638"/>
      <c r="CU114" s="638"/>
      <c r="CV114" s="638"/>
      <c r="CW114" s="638"/>
      <c r="CX114" s="638"/>
    </row>
    <row r="115" spans="1:102" s="266" customFormat="1" x14ac:dyDescent="0.25">
      <c r="A115" s="986" t="s">
        <v>1013</v>
      </c>
      <c r="B115" s="1173" t="s">
        <v>6951</v>
      </c>
      <c r="C115" s="1173"/>
      <c r="D115" s="1173"/>
      <c r="E115" s="1173"/>
      <c r="F115" s="1173"/>
      <c r="G115" s="1173"/>
      <c r="H115" s="1173"/>
      <c r="I115" s="1173"/>
      <c r="J115" s="1173"/>
      <c r="K115" s="1173"/>
      <c r="L115" s="1173"/>
      <c r="M115" s="1173"/>
      <c r="N115" s="1173"/>
      <c r="O115" s="1173"/>
      <c r="P115" s="1173"/>
      <c r="Q115" s="1173"/>
      <c r="R115" s="1173"/>
      <c r="S115" s="1173"/>
      <c r="T115" s="1173"/>
      <c r="U115" s="1173"/>
      <c r="V115" s="1173"/>
      <c r="W115" s="1173"/>
      <c r="X115" s="1173"/>
      <c r="Y115" s="1173"/>
      <c r="Z115" s="1173"/>
      <c r="AA115" s="1173"/>
      <c r="AB115" s="1173"/>
      <c r="AC115" s="1173"/>
      <c r="AD115" s="1173"/>
      <c r="AE115" s="1173"/>
      <c r="AF115" s="1173"/>
      <c r="AH115" s="638"/>
      <c r="AI115" s="638"/>
      <c r="AJ115" s="638"/>
      <c r="AK115" s="638"/>
      <c r="AL115" s="638"/>
      <c r="AM115" s="638"/>
      <c r="AN115" s="638"/>
      <c r="AO115" s="638"/>
      <c r="AP115" s="638"/>
      <c r="AQ115" s="638"/>
      <c r="AR115" s="638"/>
      <c r="AS115" s="638"/>
      <c r="AT115" s="638"/>
      <c r="AU115" s="638"/>
      <c r="AV115" s="638"/>
      <c r="AW115" s="638"/>
      <c r="AX115" s="638"/>
      <c r="AY115" s="638"/>
      <c r="AZ115" s="638"/>
      <c r="BA115" s="638"/>
      <c r="BB115" s="638"/>
      <c r="BC115" s="638"/>
      <c r="BD115" s="638"/>
      <c r="BE115" s="638"/>
      <c r="BF115" s="638"/>
      <c r="BG115" s="638"/>
      <c r="BH115" s="638"/>
      <c r="BI115" s="638"/>
      <c r="BJ115" s="638"/>
      <c r="BK115" s="638"/>
      <c r="BL115" s="638"/>
      <c r="BM115" s="638"/>
      <c r="BN115" s="638"/>
      <c r="BO115" s="638"/>
      <c r="BP115" s="638"/>
      <c r="BQ115" s="638"/>
      <c r="BR115" s="638"/>
      <c r="BS115" s="638"/>
      <c r="BT115" s="638"/>
      <c r="BU115" s="638"/>
      <c r="BV115" s="638"/>
      <c r="BW115" s="638"/>
      <c r="BX115" s="638"/>
      <c r="BY115" s="638"/>
      <c r="BZ115" s="638"/>
      <c r="CA115" s="638"/>
      <c r="CB115" s="638"/>
      <c r="CC115" s="638"/>
      <c r="CD115" s="638"/>
      <c r="CE115" s="638"/>
      <c r="CF115" s="638"/>
      <c r="CG115" s="638"/>
      <c r="CH115" s="638"/>
      <c r="CI115" s="638"/>
      <c r="CJ115" s="638"/>
      <c r="CK115" s="638"/>
      <c r="CL115" s="638"/>
      <c r="CM115" s="638"/>
      <c r="CN115" s="638"/>
      <c r="CO115" s="638"/>
      <c r="CP115" s="638"/>
      <c r="CQ115" s="638"/>
      <c r="CR115" s="638"/>
      <c r="CS115" s="638"/>
      <c r="CT115" s="638"/>
      <c r="CU115" s="638"/>
      <c r="CV115" s="638"/>
      <c r="CW115" s="638"/>
      <c r="CX115" s="638"/>
    </row>
    <row r="116" spans="1:102" s="266" customFormat="1" ht="48" customHeight="1" x14ac:dyDescent="0.25">
      <c r="A116" s="515" t="s">
        <v>1013</v>
      </c>
      <c r="B116" s="1173" t="s">
        <v>6952</v>
      </c>
      <c r="C116" s="1173"/>
      <c r="D116" s="1173"/>
      <c r="E116" s="1173"/>
      <c r="F116" s="1173"/>
      <c r="G116" s="1173"/>
      <c r="H116" s="1173"/>
      <c r="I116" s="1173"/>
      <c r="J116" s="1173"/>
      <c r="K116" s="1173"/>
      <c r="L116" s="1173"/>
      <c r="M116" s="1173"/>
      <c r="N116" s="1173"/>
      <c r="O116" s="1173"/>
      <c r="P116" s="1173"/>
      <c r="Q116" s="1173"/>
      <c r="R116" s="1173"/>
      <c r="S116" s="1173"/>
      <c r="T116" s="1173"/>
      <c r="U116" s="1173"/>
      <c r="V116" s="1173"/>
      <c r="W116" s="1173"/>
      <c r="X116" s="1173"/>
      <c r="Y116" s="1173"/>
      <c r="Z116" s="1173"/>
      <c r="AA116" s="1173"/>
      <c r="AB116" s="1173"/>
      <c r="AC116" s="1173"/>
      <c r="AD116" s="1173"/>
      <c r="AE116" s="1173"/>
      <c r="AF116" s="1173"/>
      <c r="AH116" s="638"/>
      <c r="AI116" s="638"/>
      <c r="AJ116" s="638"/>
      <c r="AK116" s="638"/>
      <c r="AL116" s="638"/>
      <c r="AM116" s="638"/>
      <c r="AN116" s="638"/>
      <c r="AO116" s="638"/>
      <c r="AP116" s="638"/>
      <c r="AQ116" s="638"/>
      <c r="AR116" s="638"/>
      <c r="AS116" s="638"/>
      <c r="AT116" s="638"/>
      <c r="AU116" s="638"/>
      <c r="AV116" s="638"/>
      <c r="AW116" s="638"/>
      <c r="AX116" s="638"/>
      <c r="AY116" s="638"/>
      <c r="AZ116" s="638"/>
      <c r="BA116" s="638"/>
      <c r="BB116" s="638"/>
      <c r="BC116" s="638"/>
      <c r="BD116" s="638"/>
      <c r="BE116" s="638"/>
      <c r="BF116" s="638"/>
      <c r="BG116" s="638"/>
      <c r="BH116" s="638"/>
      <c r="BI116" s="638"/>
      <c r="BJ116" s="638"/>
      <c r="BK116" s="638"/>
      <c r="BL116" s="638"/>
      <c r="BM116" s="638"/>
      <c r="BN116" s="638"/>
      <c r="BO116" s="638"/>
      <c r="BP116" s="638"/>
      <c r="BQ116" s="638"/>
      <c r="BR116" s="638"/>
      <c r="BS116" s="638"/>
      <c r="BT116" s="638"/>
      <c r="BU116" s="638"/>
      <c r="BV116" s="638"/>
      <c r="BW116" s="638"/>
      <c r="BX116" s="638"/>
      <c r="BY116" s="638"/>
      <c r="BZ116" s="638"/>
      <c r="CA116" s="638"/>
      <c r="CB116" s="638"/>
      <c r="CC116" s="638"/>
      <c r="CD116" s="638"/>
      <c r="CE116" s="638"/>
      <c r="CF116" s="638"/>
      <c r="CG116" s="638"/>
      <c r="CH116" s="638"/>
      <c r="CI116" s="638"/>
      <c r="CJ116" s="638"/>
      <c r="CK116" s="638"/>
      <c r="CL116" s="638"/>
      <c r="CM116" s="638"/>
      <c r="CN116" s="638"/>
      <c r="CO116" s="638"/>
      <c r="CP116" s="638"/>
      <c r="CQ116" s="638"/>
      <c r="CR116" s="638"/>
      <c r="CS116" s="638"/>
      <c r="CT116" s="638"/>
      <c r="CU116" s="638"/>
      <c r="CV116" s="638"/>
      <c r="CW116" s="638"/>
      <c r="CX116" s="638"/>
    </row>
    <row r="117" spans="1:102" s="266" customFormat="1" ht="36" customHeight="1" x14ac:dyDescent="0.25">
      <c r="A117" s="515" t="s">
        <v>1013</v>
      </c>
      <c r="B117" s="1173" t="s">
        <v>1614</v>
      </c>
      <c r="C117" s="1173"/>
      <c r="D117" s="1173"/>
      <c r="E117" s="1173"/>
      <c r="F117" s="1173"/>
      <c r="G117" s="1173"/>
      <c r="H117" s="1173"/>
      <c r="I117" s="1173"/>
      <c r="J117" s="1173"/>
      <c r="K117" s="1173"/>
      <c r="L117" s="1173"/>
      <c r="M117" s="1173"/>
      <c r="N117" s="1173"/>
      <c r="O117" s="1173"/>
      <c r="P117" s="1173"/>
      <c r="Q117" s="1173"/>
      <c r="R117" s="1173"/>
      <c r="S117" s="1173"/>
      <c r="T117" s="1173"/>
      <c r="U117" s="1173"/>
      <c r="V117" s="1173"/>
      <c r="W117" s="1173"/>
      <c r="X117" s="1173"/>
      <c r="Y117" s="1173"/>
      <c r="Z117" s="1173"/>
      <c r="AA117" s="1173"/>
      <c r="AB117" s="1173"/>
      <c r="AC117" s="1173"/>
      <c r="AD117" s="1173"/>
      <c r="AE117" s="1173"/>
      <c r="AF117" s="1173"/>
      <c r="AH117" s="638"/>
      <c r="AI117" s="638"/>
      <c r="AJ117" s="638"/>
      <c r="AK117" s="638"/>
      <c r="AL117" s="638"/>
      <c r="AM117" s="638"/>
      <c r="AN117" s="638"/>
      <c r="AO117" s="638"/>
      <c r="AP117" s="638"/>
      <c r="AQ117" s="638"/>
      <c r="AR117" s="638"/>
      <c r="AS117" s="638"/>
      <c r="AT117" s="638"/>
      <c r="AU117" s="638"/>
      <c r="AV117" s="638"/>
      <c r="AW117" s="638"/>
      <c r="AX117" s="638"/>
      <c r="AY117" s="638"/>
      <c r="AZ117" s="638"/>
      <c r="BA117" s="638"/>
      <c r="BB117" s="638"/>
      <c r="BC117" s="638"/>
      <c r="BD117" s="638"/>
      <c r="BE117" s="638"/>
      <c r="BF117" s="638"/>
      <c r="BG117" s="638"/>
      <c r="BH117" s="638"/>
      <c r="BI117" s="638"/>
      <c r="BJ117" s="638"/>
      <c r="BK117" s="638"/>
      <c r="BL117" s="638"/>
      <c r="BM117" s="638"/>
      <c r="BN117" s="638"/>
      <c r="BO117" s="638"/>
      <c r="BP117" s="638"/>
      <c r="BQ117" s="638"/>
      <c r="BR117" s="638"/>
      <c r="BS117" s="638"/>
      <c r="BT117" s="638"/>
      <c r="BU117" s="638"/>
      <c r="BV117" s="638"/>
      <c r="BW117" s="638"/>
      <c r="BX117" s="638"/>
      <c r="BY117" s="638"/>
      <c r="BZ117" s="638"/>
      <c r="CA117" s="638"/>
      <c r="CB117" s="638"/>
      <c r="CC117" s="638"/>
      <c r="CD117" s="638"/>
      <c r="CE117" s="638"/>
      <c r="CF117" s="638"/>
      <c r="CG117" s="638"/>
      <c r="CH117" s="638"/>
      <c r="CI117" s="638"/>
      <c r="CJ117" s="638"/>
      <c r="CK117" s="638"/>
      <c r="CL117" s="638"/>
      <c r="CM117" s="638"/>
      <c r="CN117" s="638"/>
      <c r="CO117" s="638"/>
      <c r="CP117" s="638"/>
      <c r="CQ117" s="638"/>
      <c r="CR117" s="638"/>
      <c r="CS117" s="638"/>
      <c r="CT117" s="638"/>
      <c r="CU117" s="638"/>
      <c r="CV117" s="638"/>
      <c r="CW117" s="638"/>
      <c r="CX117" s="638"/>
    </row>
    <row r="118" spans="1:102" s="266" customFormat="1" ht="61.5" customHeight="1" x14ac:dyDescent="0.25">
      <c r="A118" s="515" t="s">
        <v>1013</v>
      </c>
      <c r="B118" s="1173" t="s">
        <v>1615</v>
      </c>
      <c r="C118" s="1173"/>
      <c r="D118" s="1173"/>
      <c r="E118" s="1173"/>
      <c r="F118" s="1173"/>
      <c r="G118" s="1173"/>
      <c r="H118" s="1173"/>
      <c r="I118" s="1173"/>
      <c r="J118" s="1173"/>
      <c r="K118" s="1173"/>
      <c r="L118" s="1173"/>
      <c r="M118" s="1173"/>
      <c r="N118" s="1173"/>
      <c r="O118" s="1173"/>
      <c r="P118" s="1173"/>
      <c r="Q118" s="1173"/>
      <c r="R118" s="1173"/>
      <c r="S118" s="1173"/>
      <c r="T118" s="1173"/>
      <c r="U118" s="1173"/>
      <c r="V118" s="1173"/>
      <c r="W118" s="1173"/>
      <c r="X118" s="1173"/>
      <c r="Y118" s="1173"/>
      <c r="Z118" s="1173"/>
      <c r="AA118" s="1173"/>
      <c r="AB118" s="1173"/>
      <c r="AC118" s="1173"/>
      <c r="AD118" s="1173"/>
      <c r="AE118" s="1173"/>
      <c r="AF118" s="1173"/>
      <c r="AH118" s="638"/>
      <c r="AI118" s="638"/>
      <c r="AJ118" s="638"/>
      <c r="AK118" s="638"/>
      <c r="AL118" s="638"/>
      <c r="AM118" s="638"/>
      <c r="AN118" s="638"/>
      <c r="AO118" s="638"/>
      <c r="AP118" s="638"/>
      <c r="AQ118" s="638"/>
      <c r="AR118" s="638"/>
      <c r="AS118" s="638"/>
      <c r="AT118" s="638"/>
      <c r="AU118" s="638"/>
      <c r="AV118" s="638"/>
      <c r="AW118" s="638"/>
      <c r="AX118" s="638"/>
      <c r="AY118" s="638"/>
      <c r="AZ118" s="638"/>
      <c r="BA118" s="638"/>
      <c r="BB118" s="638"/>
      <c r="BC118" s="638"/>
      <c r="BD118" s="638"/>
      <c r="BE118" s="638"/>
      <c r="BF118" s="638"/>
      <c r="BG118" s="638"/>
      <c r="BH118" s="638"/>
      <c r="BI118" s="638"/>
      <c r="BJ118" s="638"/>
      <c r="BK118" s="638"/>
      <c r="BL118" s="638"/>
      <c r="BM118" s="638"/>
      <c r="BN118" s="638"/>
      <c r="BO118" s="638"/>
      <c r="BP118" s="638"/>
      <c r="BQ118" s="638"/>
      <c r="BR118" s="638"/>
      <c r="BS118" s="638"/>
      <c r="BT118" s="638"/>
      <c r="BU118" s="638"/>
      <c r="BV118" s="638"/>
      <c r="BW118" s="638"/>
      <c r="BX118" s="638"/>
      <c r="BY118" s="638"/>
      <c r="BZ118" s="638"/>
      <c r="CA118" s="638"/>
      <c r="CB118" s="638"/>
      <c r="CC118" s="638"/>
      <c r="CD118" s="638"/>
      <c r="CE118" s="638"/>
      <c r="CF118" s="638"/>
      <c r="CG118" s="638"/>
      <c r="CH118" s="638"/>
      <c r="CI118" s="638"/>
      <c r="CJ118" s="638"/>
      <c r="CK118" s="638"/>
      <c r="CL118" s="638"/>
      <c r="CM118" s="638"/>
      <c r="CN118" s="638"/>
      <c r="CO118" s="638"/>
      <c r="CP118" s="638"/>
      <c r="CQ118" s="638"/>
      <c r="CR118" s="638"/>
      <c r="CS118" s="638"/>
      <c r="CT118" s="638"/>
      <c r="CU118" s="638"/>
      <c r="CV118" s="638"/>
      <c r="CW118" s="638"/>
      <c r="CX118" s="638"/>
    </row>
    <row r="119" spans="1:102" s="266" customFormat="1" ht="49.5" customHeight="1" x14ac:dyDescent="0.25">
      <c r="A119" s="515" t="s">
        <v>1013</v>
      </c>
      <c r="B119" s="1173" t="s">
        <v>6953</v>
      </c>
      <c r="C119" s="1173"/>
      <c r="D119" s="1173"/>
      <c r="E119" s="1173"/>
      <c r="F119" s="1173"/>
      <c r="G119" s="1173"/>
      <c r="H119" s="1173"/>
      <c r="I119" s="1173"/>
      <c r="J119" s="1173"/>
      <c r="K119" s="1173"/>
      <c r="L119" s="1173"/>
      <c r="M119" s="1173"/>
      <c r="N119" s="1173"/>
      <c r="O119" s="1173"/>
      <c r="P119" s="1173"/>
      <c r="Q119" s="1173"/>
      <c r="R119" s="1173"/>
      <c r="S119" s="1173"/>
      <c r="T119" s="1173"/>
      <c r="U119" s="1173"/>
      <c r="V119" s="1173"/>
      <c r="W119" s="1173"/>
      <c r="X119" s="1173"/>
      <c r="Y119" s="1173"/>
      <c r="Z119" s="1173"/>
      <c r="AA119" s="1173"/>
      <c r="AB119" s="1173"/>
      <c r="AC119" s="1173"/>
      <c r="AD119" s="1173"/>
      <c r="AE119" s="1173"/>
      <c r="AF119" s="1173"/>
      <c r="AH119" s="638"/>
      <c r="AI119" s="638"/>
      <c r="AJ119" s="638"/>
      <c r="AK119" s="638"/>
      <c r="AL119" s="638"/>
      <c r="AM119" s="638"/>
      <c r="AN119" s="638"/>
      <c r="AO119" s="638"/>
      <c r="AP119" s="638"/>
      <c r="AQ119" s="638"/>
      <c r="AR119" s="638"/>
      <c r="AS119" s="638"/>
      <c r="AT119" s="638"/>
      <c r="AU119" s="638"/>
      <c r="AV119" s="638"/>
      <c r="AW119" s="638"/>
      <c r="AX119" s="638"/>
      <c r="AY119" s="638"/>
      <c r="AZ119" s="638"/>
      <c r="BA119" s="638"/>
      <c r="BB119" s="638"/>
      <c r="BC119" s="638"/>
      <c r="BD119" s="638"/>
      <c r="BE119" s="638"/>
      <c r="BF119" s="638"/>
      <c r="BG119" s="638"/>
      <c r="BH119" s="638"/>
      <c r="BI119" s="638"/>
      <c r="BJ119" s="638"/>
      <c r="BK119" s="638"/>
      <c r="BL119" s="638"/>
      <c r="BM119" s="638"/>
      <c r="BN119" s="638"/>
      <c r="BO119" s="638"/>
      <c r="BP119" s="638"/>
      <c r="BQ119" s="638"/>
      <c r="BR119" s="638"/>
      <c r="BS119" s="638"/>
      <c r="BT119" s="638"/>
      <c r="BU119" s="638"/>
      <c r="BV119" s="638"/>
      <c r="BW119" s="638"/>
      <c r="BX119" s="638"/>
      <c r="BY119" s="638"/>
      <c r="BZ119" s="638"/>
      <c r="CA119" s="638"/>
      <c r="CB119" s="638"/>
      <c r="CC119" s="638"/>
      <c r="CD119" s="638"/>
      <c r="CE119" s="638"/>
      <c r="CF119" s="638"/>
      <c r="CG119" s="638"/>
      <c r="CH119" s="638"/>
      <c r="CI119" s="638"/>
      <c r="CJ119" s="638"/>
      <c r="CK119" s="638"/>
      <c r="CL119" s="638"/>
      <c r="CM119" s="638"/>
      <c r="CN119" s="638"/>
      <c r="CO119" s="638"/>
      <c r="CP119" s="638"/>
      <c r="CQ119" s="638"/>
      <c r="CR119" s="638"/>
      <c r="CS119" s="638"/>
      <c r="CT119" s="638"/>
      <c r="CU119" s="638"/>
      <c r="CV119" s="638"/>
      <c r="CW119" s="638"/>
      <c r="CX119" s="638"/>
    </row>
    <row r="120" spans="1:102" s="266" customFormat="1" ht="69.75" customHeight="1" x14ac:dyDescent="0.25">
      <c r="A120" s="515" t="s">
        <v>1013</v>
      </c>
      <c r="B120" s="1173" t="s">
        <v>6954</v>
      </c>
      <c r="C120" s="1173"/>
      <c r="D120" s="1173"/>
      <c r="E120" s="1173"/>
      <c r="F120" s="1173"/>
      <c r="G120" s="1173"/>
      <c r="H120" s="1173"/>
      <c r="I120" s="1173"/>
      <c r="J120" s="1173"/>
      <c r="K120" s="1173"/>
      <c r="L120" s="1173"/>
      <c r="M120" s="1173"/>
      <c r="N120" s="1173"/>
      <c r="O120" s="1173"/>
      <c r="P120" s="1173"/>
      <c r="Q120" s="1173"/>
      <c r="R120" s="1173"/>
      <c r="S120" s="1173"/>
      <c r="T120" s="1173"/>
      <c r="U120" s="1173"/>
      <c r="V120" s="1173"/>
      <c r="W120" s="1173"/>
      <c r="X120" s="1173"/>
      <c r="Y120" s="1173"/>
      <c r="Z120" s="1173"/>
      <c r="AA120" s="1173"/>
      <c r="AB120" s="1173"/>
      <c r="AC120" s="1173"/>
      <c r="AD120" s="1173"/>
      <c r="AE120" s="1173"/>
      <c r="AF120" s="1173"/>
      <c r="AH120" s="638"/>
      <c r="AI120" s="638"/>
      <c r="AJ120" s="638"/>
      <c r="AK120" s="638"/>
      <c r="AL120" s="638"/>
      <c r="AM120" s="638"/>
      <c r="AN120" s="638"/>
      <c r="AO120" s="638"/>
      <c r="AP120" s="638"/>
      <c r="AQ120" s="638"/>
      <c r="AR120" s="638"/>
      <c r="AS120" s="638"/>
      <c r="AT120" s="638"/>
      <c r="AU120" s="638"/>
      <c r="AV120" s="638"/>
      <c r="AW120" s="638"/>
      <c r="AX120" s="638"/>
      <c r="AY120" s="638"/>
      <c r="AZ120" s="638"/>
      <c r="BA120" s="638"/>
      <c r="BB120" s="638"/>
      <c r="BC120" s="638"/>
      <c r="BD120" s="638"/>
      <c r="BE120" s="638"/>
      <c r="BF120" s="638"/>
      <c r="BG120" s="638"/>
      <c r="BH120" s="638"/>
      <c r="BI120" s="638"/>
      <c r="BJ120" s="638"/>
      <c r="BK120" s="638"/>
      <c r="BL120" s="638"/>
      <c r="BM120" s="638"/>
      <c r="BN120" s="638"/>
      <c r="BO120" s="638"/>
      <c r="BP120" s="638"/>
      <c r="BQ120" s="638"/>
      <c r="BR120" s="638"/>
      <c r="BS120" s="638"/>
      <c r="BT120" s="638"/>
      <c r="BU120" s="638"/>
      <c r="BV120" s="638"/>
      <c r="BW120" s="638"/>
      <c r="BX120" s="638"/>
      <c r="BY120" s="638"/>
      <c r="BZ120" s="638"/>
      <c r="CA120" s="638"/>
      <c r="CB120" s="638"/>
      <c r="CC120" s="638"/>
      <c r="CD120" s="638"/>
      <c r="CE120" s="638"/>
      <c r="CF120" s="638"/>
      <c r="CG120" s="638"/>
      <c r="CH120" s="638"/>
      <c r="CI120" s="638"/>
      <c r="CJ120" s="638"/>
      <c r="CK120" s="638"/>
      <c r="CL120" s="638"/>
      <c r="CM120" s="638"/>
      <c r="CN120" s="638"/>
      <c r="CO120" s="638"/>
      <c r="CP120" s="638"/>
      <c r="CQ120" s="638"/>
      <c r="CR120" s="638"/>
      <c r="CS120" s="638"/>
      <c r="CT120" s="638"/>
      <c r="CU120" s="638"/>
      <c r="CV120" s="638"/>
      <c r="CW120" s="638"/>
      <c r="CX120" s="638"/>
    </row>
    <row r="121" spans="1:102" s="266" customFormat="1" ht="32.450000000000003" customHeight="1" x14ac:dyDescent="0.25">
      <c r="A121" s="515" t="s">
        <v>1013</v>
      </c>
      <c r="B121" s="1173" t="s">
        <v>1613</v>
      </c>
      <c r="C121" s="1173"/>
      <c r="D121" s="1173"/>
      <c r="E121" s="1173"/>
      <c r="F121" s="1173"/>
      <c r="G121" s="1173"/>
      <c r="H121" s="1173"/>
      <c r="I121" s="1173"/>
      <c r="J121" s="1173"/>
      <c r="K121" s="1173"/>
      <c r="L121" s="1173"/>
      <c r="M121" s="1173"/>
      <c r="N121" s="1173"/>
      <c r="O121" s="1173"/>
      <c r="P121" s="1173"/>
      <c r="Q121" s="1173"/>
      <c r="R121" s="1173"/>
      <c r="S121" s="1173"/>
      <c r="T121" s="1173"/>
      <c r="U121" s="1173"/>
      <c r="V121" s="1173"/>
      <c r="W121" s="1173"/>
      <c r="X121" s="1173"/>
      <c r="Y121" s="1173"/>
      <c r="Z121" s="1173"/>
      <c r="AA121" s="1173"/>
      <c r="AB121" s="1173"/>
      <c r="AC121" s="1173"/>
      <c r="AD121" s="1173"/>
      <c r="AE121" s="1173"/>
      <c r="AF121" s="1173"/>
      <c r="AH121" s="638"/>
      <c r="AI121" s="638"/>
      <c r="AJ121" s="638"/>
      <c r="AK121" s="638"/>
      <c r="AL121" s="638"/>
      <c r="AM121" s="638"/>
      <c r="AN121" s="638"/>
      <c r="AO121" s="638"/>
      <c r="AP121" s="638"/>
      <c r="AQ121" s="638"/>
      <c r="AR121" s="638"/>
      <c r="AS121" s="638"/>
      <c r="AT121" s="638"/>
      <c r="AU121" s="638"/>
      <c r="AV121" s="638"/>
      <c r="AW121" s="638"/>
      <c r="AX121" s="638"/>
      <c r="AY121" s="638"/>
      <c r="AZ121" s="638"/>
      <c r="BA121" s="638"/>
      <c r="BB121" s="638"/>
      <c r="BC121" s="638"/>
      <c r="BD121" s="638"/>
      <c r="BE121" s="638"/>
      <c r="BF121" s="638"/>
      <c r="BG121" s="638"/>
      <c r="BH121" s="638"/>
      <c r="BI121" s="638"/>
      <c r="BJ121" s="638"/>
      <c r="BK121" s="638"/>
      <c r="BL121" s="638"/>
      <c r="BM121" s="638"/>
      <c r="BN121" s="638"/>
      <c r="BO121" s="638"/>
      <c r="BP121" s="638"/>
      <c r="BQ121" s="638"/>
      <c r="BR121" s="638"/>
      <c r="BS121" s="638"/>
      <c r="BT121" s="638"/>
      <c r="BU121" s="638"/>
      <c r="BV121" s="638"/>
      <c r="BW121" s="638"/>
      <c r="BX121" s="638"/>
      <c r="BY121" s="638"/>
      <c r="BZ121" s="638"/>
      <c r="CA121" s="638"/>
      <c r="CB121" s="638"/>
      <c r="CC121" s="638"/>
      <c r="CD121" s="638"/>
      <c r="CE121" s="638"/>
      <c r="CF121" s="638"/>
      <c r="CG121" s="638"/>
      <c r="CH121" s="638"/>
      <c r="CI121" s="638"/>
      <c r="CJ121" s="638"/>
      <c r="CK121" s="638"/>
      <c r="CL121" s="638"/>
      <c r="CM121" s="638"/>
      <c r="CN121" s="638"/>
      <c r="CO121" s="638"/>
      <c r="CP121" s="638"/>
      <c r="CQ121" s="638"/>
      <c r="CR121" s="638"/>
      <c r="CS121" s="638"/>
      <c r="CT121" s="638"/>
      <c r="CU121" s="638"/>
      <c r="CV121" s="638"/>
      <c r="CW121" s="638"/>
      <c r="CX121" s="638"/>
    </row>
    <row r="122" spans="1:102" s="266" customFormat="1" ht="60.75" customHeight="1" x14ac:dyDescent="0.25">
      <c r="A122" s="515" t="s">
        <v>1013</v>
      </c>
      <c r="B122" s="1173" t="s">
        <v>1628</v>
      </c>
      <c r="C122" s="1173"/>
      <c r="D122" s="1173"/>
      <c r="E122" s="1173"/>
      <c r="F122" s="1173"/>
      <c r="G122" s="1173"/>
      <c r="H122" s="1173"/>
      <c r="I122" s="1173"/>
      <c r="J122" s="1173"/>
      <c r="K122" s="1173"/>
      <c r="L122" s="1173"/>
      <c r="M122" s="1173"/>
      <c r="N122" s="1173"/>
      <c r="O122" s="1173"/>
      <c r="P122" s="1173"/>
      <c r="Q122" s="1173"/>
      <c r="R122" s="1173"/>
      <c r="S122" s="1173"/>
      <c r="T122" s="1173"/>
      <c r="U122" s="1173"/>
      <c r="V122" s="1173"/>
      <c r="W122" s="1173"/>
      <c r="X122" s="1173"/>
      <c r="Y122" s="1173"/>
      <c r="Z122" s="1173"/>
      <c r="AA122" s="1173"/>
      <c r="AB122" s="1173"/>
      <c r="AC122" s="1173"/>
      <c r="AD122" s="1173"/>
      <c r="AE122" s="1173"/>
      <c r="AF122" s="1173"/>
      <c r="AH122" s="638"/>
      <c r="AI122" s="638"/>
      <c r="AJ122" s="638"/>
      <c r="AK122" s="638"/>
      <c r="AL122" s="638"/>
      <c r="AM122" s="638"/>
      <c r="AN122" s="638"/>
      <c r="AO122" s="638"/>
      <c r="AP122" s="638"/>
      <c r="AQ122" s="638"/>
      <c r="AR122" s="638"/>
      <c r="AS122" s="638"/>
      <c r="AT122" s="638"/>
      <c r="AU122" s="638"/>
      <c r="AV122" s="638"/>
      <c r="AW122" s="638"/>
      <c r="AX122" s="638"/>
      <c r="AY122" s="638"/>
      <c r="AZ122" s="638"/>
      <c r="BA122" s="638"/>
      <c r="BB122" s="638"/>
      <c r="BC122" s="638"/>
      <c r="BD122" s="638"/>
      <c r="BE122" s="638"/>
      <c r="BF122" s="638"/>
      <c r="BG122" s="638"/>
      <c r="BH122" s="638"/>
      <c r="BI122" s="638"/>
      <c r="BJ122" s="638"/>
      <c r="BK122" s="638"/>
      <c r="BL122" s="638"/>
      <c r="BM122" s="638"/>
      <c r="BN122" s="638"/>
      <c r="BO122" s="638"/>
      <c r="BP122" s="638"/>
      <c r="BQ122" s="638"/>
      <c r="BR122" s="638"/>
      <c r="BS122" s="638"/>
      <c r="BT122" s="638"/>
      <c r="BU122" s="638"/>
      <c r="BV122" s="638"/>
      <c r="BW122" s="638"/>
      <c r="BX122" s="638"/>
      <c r="BY122" s="638"/>
      <c r="BZ122" s="638"/>
      <c r="CA122" s="638"/>
      <c r="CB122" s="638"/>
      <c r="CC122" s="638"/>
      <c r="CD122" s="638"/>
      <c r="CE122" s="638"/>
      <c r="CF122" s="638"/>
      <c r="CG122" s="638"/>
      <c r="CH122" s="638"/>
      <c r="CI122" s="638"/>
      <c r="CJ122" s="638"/>
      <c r="CK122" s="638"/>
      <c r="CL122" s="638"/>
      <c r="CM122" s="638"/>
      <c r="CN122" s="638"/>
      <c r="CO122" s="638"/>
      <c r="CP122" s="638"/>
      <c r="CQ122" s="638"/>
      <c r="CR122" s="638"/>
      <c r="CS122" s="638"/>
      <c r="CT122" s="638"/>
      <c r="CU122" s="638"/>
      <c r="CV122" s="638"/>
      <c r="CW122" s="638"/>
      <c r="CX122" s="638"/>
    </row>
    <row r="123" spans="1:102" ht="37.5" customHeight="1" x14ac:dyDescent="0.25">
      <c r="A123" s="515" t="s">
        <v>1013</v>
      </c>
      <c r="B123" s="1173" t="s">
        <v>1616</v>
      </c>
      <c r="C123" s="1173"/>
      <c r="D123" s="1173"/>
      <c r="E123" s="1173"/>
      <c r="F123" s="1173"/>
      <c r="G123" s="1173"/>
      <c r="H123" s="1173"/>
      <c r="I123" s="1173"/>
      <c r="J123" s="1173"/>
      <c r="K123" s="1173"/>
      <c r="L123" s="1173"/>
      <c r="M123" s="1173"/>
      <c r="N123" s="1173"/>
      <c r="O123" s="1173"/>
      <c r="P123" s="1173"/>
      <c r="Q123" s="1173"/>
      <c r="R123" s="1173"/>
      <c r="S123" s="1173"/>
      <c r="T123" s="1173"/>
      <c r="U123" s="1173"/>
      <c r="V123" s="1173"/>
      <c r="W123" s="1173"/>
      <c r="X123" s="1173"/>
      <c r="Y123" s="1173"/>
      <c r="Z123" s="1173"/>
      <c r="AA123" s="1173"/>
      <c r="AB123" s="1173"/>
      <c r="AC123" s="1173"/>
      <c r="AD123" s="1173"/>
      <c r="AE123" s="1173"/>
      <c r="AF123" s="1173"/>
    </row>
  </sheetData>
  <sheetProtection algorithmName="SHA-512" hashValue="6bYLTU9MGQ9knQJEjhiSGn6cRF99M+pSH0wI/VMl/s/me7znmf9LvgLeD8YH6aorP+0Aq4R1f+A8tZxbq2s2ug==" saltValue="dSn3lBfgiUxN5agoAXzjmg==" spinCount="100000" sheet="1" objects="1" scenarios="1"/>
  <mergeCells count="101">
    <mergeCell ref="B120:AF120"/>
    <mergeCell ref="B121:AF121"/>
    <mergeCell ref="B122:AF122"/>
    <mergeCell ref="B123:AF123"/>
    <mergeCell ref="F110:O110"/>
    <mergeCell ref="A113:AF113"/>
    <mergeCell ref="B115:AF115"/>
    <mergeCell ref="B116:AF116"/>
    <mergeCell ref="B117:AF117"/>
    <mergeCell ref="B118:AF118"/>
    <mergeCell ref="B119:AF119"/>
    <mergeCell ref="A104:D104"/>
    <mergeCell ref="E104:P104"/>
    <mergeCell ref="Q104:T104"/>
    <mergeCell ref="U104:W104"/>
    <mergeCell ref="X104:AF104"/>
    <mergeCell ref="A107:AF107"/>
    <mergeCell ref="A102:D102"/>
    <mergeCell ref="E102:P102"/>
    <mergeCell ref="Q102:T102"/>
    <mergeCell ref="U102:W102"/>
    <mergeCell ref="X102:AF102"/>
    <mergeCell ref="A103:D103"/>
    <mergeCell ref="E103:P103"/>
    <mergeCell ref="Q103:T103"/>
    <mergeCell ref="U103:W103"/>
    <mergeCell ref="X103:AF103"/>
    <mergeCell ref="A100:D100"/>
    <mergeCell ref="E100:P100"/>
    <mergeCell ref="Q100:T100"/>
    <mergeCell ref="U100:W100"/>
    <mergeCell ref="X100:AF100"/>
    <mergeCell ref="A101:D101"/>
    <mergeCell ref="E101:P101"/>
    <mergeCell ref="Q101:T101"/>
    <mergeCell ref="U101:W101"/>
    <mergeCell ref="X101:AF101"/>
    <mergeCell ref="A98:D98"/>
    <mergeCell ref="E98:P98"/>
    <mergeCell ref="Q98:T98"/>
    <mergeCell ref="U98:W98"/>
    <mergeCell ref="X98:AF98"/>
    <mergeCell ref="A99:D99"/>
    <mergeCell ref="E99:P99"/>
    <mergeCell ref="Q99:T99"/>
    <mergeCell ref="U99:W99"/>
    <mergeCell ref="X99:AF99"/>
    <mergeCell ref="A96:D96"/>
    <mergeCell ref="E96:P96"/>
    <mergeCell ref="Q96:T96"/>
    <mergeCell ref="U96:W96"/>
    <mergeCell ref="X96:AF96"/>
    <mergeCell ref="A97:D97"/>
    <mergeCell ref="E97:P97"/>
    <mergeCell ref="Q97:T97"/>
    <mergeCell ref="U97:W97"/>
    <mergeCell ref="X97:AF97"/>
    <mergeCell ref="A94:D94"/>
    <mergeCell ref="E94:P94"/>
    <mergeCell ref="Q94:T94"/>
    <mergeCell ref="U94:W94"/>
    <mergeCell ref="X94:AF94"/>
    <mergeCell ref="A95:D95"/>
    <mergeCell ref="E95:P95"/>
    <mergeCell ref="Q95:T95"/>
    <mergeCell ref="U95:W95"/>
    <mergeCell ref="X95:AF95"/>
    <mergeCell ref="B40:AF40"/>
    <mergeCell ref="B43:AF43"/>
    <mergeCell ref="B45:AF45"/>
    <mergeCell ref="A48:AF48"/>
    <mergeCell ref="A92:AF92"/>
    <mergeCell ref="A93:D93"/>
    <mergeCell ref="E93:P93"/>
    <mergeCell ref="Q93:T93"/>
    <mergeCell ref="U93:W93"/>
    <mergeCell ref="X93:AF93"/>
    <mergeCell ref="B31:AF31"/>
    <mergeCell ref="B33:AF33"/>
    <mergeCell ref="B35:AF35"/>
    <mergeCell ref="C36:AF36"/>
    <mergeCell ref="C37:AF37"/>
    <mergeCell ref="C38:AF38"/>
    <mergeCell ref="C20:AF20"/>
    <mergeCell ref="C21:AF21"/>
    <mergeCell ref="B24:AF24"/>
    <mergeCell ref="B27:AF27"/>
    <mergeCell ref="C28:AF28"/>
    <mergeCell ref="C29:AF29"/>
    <mergeCell ref="B14:AF14"/>
    <mergeCell ref="B15:AF15"/>
    <mergeCell ref="B16:AF16"/>
    <mergeCell ref="B17:AF17"/>
    <mergeCell ref="C18:AF18"/>
    <mergeCell ref="C19:AF19"/>
    <mergeCell ref="A1:AF1"/>
    <mergeCell ref="A3:AF3"/>
    <mergeCell ref="B5:AF5"/>
    <mergeCell ref="A7:AF7"/>
    <mergeCell ref="B10:AF10"/>
    <mergeCell ref="B13:AF13"/>
  </mergeCells>
  <hyperlinks>
    <hyperlink ref="A2" location="TOC!A1" display="Return to TOC" xr:uid="{4336F614-D3E6-44CD-B8F5-9AD21F45E5BE}"/>
    <hyperlink ref="F110:O110" location="C_Other_Transformer_WKST!A1" display="C_Other_Transformer_WKST" xr:uid="{FB520515-2F55-4334-87CA-536C055610E5}"/>
    <hyperlink ref="Q99:T99" location="C_Other_Transformer_WKST!A1" display="See Table 3 in the C_Other_Transformer_WKST" xr:uid="{86A34649-E056-4F39-8638-6C287090634C}"/>
    <hyperlink ref="Q101:T101" location="C_Other_Transformer_WKST!A1" display="See Table 3 in the C_Other_Transformer_WKST" xr:uid="{8160BFCD-3909-4E3D-9409-9DE64E0418C1}"/>
    <hyperlink ref="Q94:T94" location="C_Other_Transformer_WKST!A1" display="See Tables 1 and 2 in the C_Other_Transformer_WKST" xr:uid="{48C78857-2455-4537-956A-14C16E370231}"/>
  </hyperlinks>
  <pageMargins left="0.7" right="0.7" top="0.75" bottom="0.75" header="0.3" footer="0.3"/>
  <ignoredErrors>
    <ignoredError sqref="AF52:AF89" numberStoredAsText="1"/>
  </ignoredErrors>
  <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0D24C-AE0D-4636-95B4-93435E870B16}">
  <sheetPr>
    <tabColor theme="5" tint="0.39997558519241921"/>
  </sheetPr>
  <dimension ref="A1:AV73"/>
  <sheetViews>
    <sheetView workbookViewId="0"/>
  </sheetViews>
  <sheetFormatPr defaultRowHeight="15" x14ac:dyDescent="0.25"/>
  <cols>
    <col min="1" max="1" width="11.42578125" style="1" customWidth="1"/>
    <col min="2" max="2" width="8.28515625" style="1" customWidth="1"/>
    <col min="3" max="3" width="12.28515625" style="1" customWidth="1"/>
    <col min="4" max="4" width="15.5703125" style="1" customWidth="1"/>
    <col min="5" max="5" width="13.7109375" style="1" customWidth="1"/>
    <col min="6" max="6" width="12.7109375" style="1" customWidth="1"/>
    <col min="7" max="8" width="13.7109375" style="1" customWidth="1"/>
    <col min="9" max="9" width="13.5703125" style="1" customWidth="1"/>
    <col min="10" max="10" width="17.28515625" style="1" customWidth="1"/>
    <col min="11" max="11" width="10.7109375" style="1" customWidth="1"/>
    <col min="12" max="12" width="13" style="1" customWidth="1"/>
    <col min="13" max="13" width="13.42578125" style="1" customWidth="1"/>
    <col min="14" max="14" width="10.7109375" style="1" customWidth="1"/>
    <col min="15" max="17" width="14.7109375" style="1" customWidth="1"/>
    <col min="18" max="18" width="13.7109375" style="1" customWidth="1"/>
    <col min="19" max="19" width="13.42578125" style="1" customWidth="1"/>
    <col min="20" max="20" width="13.85546875" style="1" customWidth="1"/>
    <col min="21" max="21" width="13.42578125" style="1" customWidth="1"/>
    <col min="22" max="23" width="14.5703125" style="1" customWidth="1"/>
    <col min="24" max="24" width="14.7109375" style="1" customWidth="1"/>
    <col min="25" max="25" width="14.7109375" style="692" customWidth="1"/>
    <col min="26" max="26" width="15.140625" customWidth="1"/>
    <col min="27" max="27" width="14.7109375" bestFit="1" customWidth="1"/>
    <col min="28" max="28" width="9.140625" style="227"/>
    <col min="29" max="29" width="0" style="227" hidden="1" customWidth="1"/>
    <col min="30" max="48" width="9.140625" style="227"/>
  </cols>
  <sheetData>
    <row r="1" spans="1:32" ht="18.75" x14ac:dyDescent="0.25">
      <c r="A1" s="1078" t="s">
        <v>6968</v>
      </c>
      <c r="B1" s="1079"/>
      <c r="C1" s="1080"/>
      <c r="D1" s="1080"/>
      <c r="E1" s="1080"/>
      <c r="F1" s="1080"/>
      <c r="G1" s="1080"/>
      <c r="H1" s="1080"/>
      <c r="I1" s="1080"/>
      <c r="J1" s="1080"/>
      <c r="K1" s="1080"/>
      <c r="L1" s="1080"/>
      <c r="M1" s="1080"/>
      <c r="N1" s="1080"/>
      <c r="O1" s="1080"/>
      <c r="P1" s="1080"/>
      <c r="Q1" s="1080"/>
      <c r="R1" s="1081"/>
      <c r="S1" s="1081"/>
      <c r="T1" s="1081"/>
      <c r="U1" s="1081"/>
      <c r="V1" s="1081"/>
      <c r="W1" s="1081"/>
      <c r="X1" s="1081"/>
      <c r="Y1" s="1081"/>
      <c r="Z1" s="1081"/>
      <c r="AA1" s="1081"/>
      <c r="AB1" s="262"/>
      <c r="AC1" s="262"/>
      <c r="AD1" s="262"/>
    </row>
    <row r="2" spans="1:32" s="1" customFormat="1" ht="14.45" customHeight="1" x14ac:dyDescent="0.25">
      <c r="A2" s="1082"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ht="18.75" x14ac:dyDescent="0.25">
      <c r="A3" s="338" t="s">
        <v>6969</v>
      </c>
      <c r="B3" s="1083"/>
      <c r="C3" s="262"/>
      <c r="D3" s="262"/>
      <c r="E3" s="262"/>
      <c r="F3" s="262"/>
      <c r="G3" s="262"/>
      <c r="H3" s="262"/>
      <c r="I3" s="262"/>
      <c r="J3" s="262"/>
      <c r="K3" s="262"/>
      <c r="L3" s="262"/>
      <c r="M3" s="262"/>
      <c r="N3" s="262"/>
      <c r="O3" s="262"/>
      <c r="P3" s="262"/>
      <c r="Q3" s="262"/>
      <c r="R3" s="262"/>
      <c r="S3" s="262"/>
      <c r="T3" s="262"/>
      <c r="U3" s="262"/>
      <c r="V3" s="262"/>
      <c r="W3" s="262"/>
      <c r="X3" s="262"/>
      <c r="Y3" s="227"/>
      <c r="Z3" s="227"/>
      <c r="AA3" s="227"/>
    </row>
    <row r="4" spans="1:32" x14ac:dyDescent="0.25">
      <c r="A4" s="905"/>
      <c r="B4" s="905"/>
      <c r="C4" s="868" t="s">
        <v>6970</v>
      </c>
      <c r="D4" s="3085" t="s">
        <v>227</v>
      </c>
      <c r="E4" s="3086"/>
      <c r="F4" s="3087"/>
      <c r="G4" s="905"/>
      <c r="H4" s="905"/>
      <c r="I4" s="905"/>
      <c r="J4" s="868" t="s">
        <v>6971</v>
      </c>
      <c r="K4" s="1062">
        <v>8760</v>
      </c>
      <c r="L4" s="905"/>
      <c r="M4" s="868" t="s">
        <v>6972</v>
      </c>
      <c r="N4" s="1059">
        <v>1</v>
      </c>
      <c r="O4" s="905"/>
      <c r="P4" s="868" t="s">
        <v>6973</v>
      </c>
      <c r="Q4" s="1062">
        <v>25</v>
      </c>
      <c r="R4" s="905"/>
      <c r="S4" s="905"/>
      <c r="T4" s="905"/>
      <c r="U4" s="905"/>
      <c r="V4" s="905"/>
      <c r="W4" s="905"/>
      <c r="X4" s="905"/>
      <c r="Y4" s="227"/>
      <c r="Z4" s="227"/>
      <c r="AA4" s="227"/>
    </row>
    <row r="5" spans="1:32" x14ac:dyDescent="0.25">
      <c r="A5" s="905"/>
      <c r="B5" s="905"/>
      <c r="C5" s="905"/>
      <c r="D5" s="905"/>
      <c r="E5" s="905"/>
      <c r="F5" s="905"/>
      <c r="G5" s="905"/>
      <c r="H5" s="905"/>
      <c r="I5" s="905"/>
      <c r="J5" s="868" t="s">
        <v>6974</v>
      </c>
      <c r="K5" s="1062">
        <f>IFERROR(INDEX(EFLH, MATCH($D$4, [4]Lookup!$M$3:$M$13,0), 2),"")</f>
        <v>2451</v>
      </c>
      <c r="L5" s="905"/>
      <c r="M5" s="868" t="s">
        <v>6975</v>
      </c>
      <c r="N5" s="1059">
        <f>IFERROR(INDEX(Cooling_CF, MATCH($D$4, [4]Lookup!$M$3:$M$13,0), 3),"")</f>
        <v>0.4</v>
      </c>
      <c r="O5" s="905"/>
      <c r="P5" s="905"/>
      <c r="Q5" s="905"/>
      <c r="R5" s="905"/>
      <c r="S5" s="905"/>
      <c r="T5" s="905"/>
      <c r="U5" s="905"/>
      <c r="V5" s="905"/>
      <c r="W5" s="905"/>
      <c r="X5" s="905"/>
      <c r="Y5" s="227"/>
      <c r="Z5" s="227"/>
      <c r="AA5" s="227"/>
    </row>
    <row r="6" spans="1:32" x14ac:dyDescent="0.25">
      <c r="A6" s="905"/>
      <c r="B6" s="905"/>
      <c r="C6" s="905"/>
      <c r="D6" s="905"/>
      <c r="E6" s="905"/>
      <c r="F6" s="905"/>
      <c r="G6" s="905"/>
      <c r="H6" s="905"/>
      <c r="I6" s="905"/>
      <c r="J6" s="868"/>
      <c r="K6" s="905"/>
      <c r="L6" s="905"/>
      <c r="M6" s="905"/>
      <c r="N6" s="905"/>
      <c r="O6" s="905"/>
      <c r="P6" s="905"/>
      <c r="Q6" s="905"/>
      <c r="R6" s="905"/>
      <c r="S6" s="905"/>
      <c r="T6" s="905"/>
      <c r="U6" s="905"/>
      <c r="V6" s="905"/>
      <c r="W6" s="905"/>
      <c r="X6" s="905"/>
      <c r="Y6" s="227"/>
      <c r="Z6" s="227"/>
      <c r="AA6" s="227"/>
    </row>
    <row r="7" spans="1:32" x14ac:dyDescent="0.25">
      <c r="A7" s="905"/>
      <c r="B7" s="1084" t="s">
        <v>1047</v>
      </c>
      <c r="C7" s="1084"/>
      <c r="D7" s="1085"/>
      <c r="E7" s="1085"/>
      <c r="F7" s="1085"/>
      <c r="G7" s="1085"/>
      <c r="H7" s="1085"/>
      <c r="I7" s="1085"/>
      <c r="J7" s="1085"/>
      <c r="K7" s="1086"/>
      <c r="L7" s="1086"/>
      <c r="M7" s="1086"/>
      <c r="N7" s="1086"/>
      <c r="O7" s="1086"/>
      <c r="P7" s="905"/>
      <c r="Q7" s="905"/>
      <c r="R7" s="905"/>
      <c r="S7" s="905"/>
      <c r="T7" s="905"/>
      <c r="U7" s="905"/>
      <c r="V7" s="905"/>
      <c r="W7" s="905"/>
      <c r="X7" s="905"/>
      <c r="Y7" s="227"/>
      <c r="Z7" s="227"/>
      <c r="AA7" s="227"/>
    </row>
    <row r="8" spans="1:32" x14ac:dyDescent="0.25">
      <c r="A8" s="905"/>
      <c r="B8" s="1087" t="s">
        <v>6976</v>
      </c>
      <c r="C8" s="1087"/>
      <c r="D8" s="1087"/>
      <c r="E8" s="1087"/>
      <c r="F8" s="1087"/>
      <c r="G8" s="1087"/>
      <c r="H8" s="1087"/>
      <c r="I8" s="1087"/>
      <c r="J8" s="1087"/>
      <c r="K8" s="1086"/>
      <c r="L8" s="1086"/>
      <c r="M8" s="1086"/>
      <c r="N8" s="1086"/>
      <c r="O8" s="1086"/>
      <c r="P8" s="905"/>
      <c r="Q8" s="905"/>
      <c r="R8" s="905"/>
      <c r="S8" s="905"/>
      <c r="T8" s="905"/>
      <c r="U8" s="905"/>
      <c r="V8" s="905"/>
      <c r="W8" s="905"/>
      <c r="X8" s="905"/>
      <c r="Y8" s="227"/>
      <c r="Z8" s="227"/>
      <c r="AA8" s="227"/>
    </row>
    <row r="9" spans="1:32" x14ac:dyDescent="0.25">
      <c r="A9" s="905"/>
      <c r="B9" s="1087" t="s">
        <v>6977</v>
      </c>
      <c r="C9" s="1087"/>
      <c r="D9" s="1087"/>
      <c r="E9" s="1087"/>
      <c r="F9" s="1087"/>
      <c r="G9" s="1087"/>
      <c r="H9" s="1087"/>
      <c r="I9" s="1087"/>
      <c r="J9" s="1087"/>
      <c r="K9" s="1086"/>
      <c r="L9" s="1086"/>
      <c r="M9" s="1086"/>
      <c r="N9" s="1086"/>
      <c r="O9" s="1086"/>
      <c r="P9" s="905"/>
      <c r="Q9" s="905"/>
      <c r="R9" s="905"/>
      <c r="S9" s="905"/>
      <c r="T9" s="905"/>
      <c r="U9" s="905"/>
      <c r="V9" s="905"/>
      <c r="W9" s="905"/>
      <c r="X9" s="905"/>
      <c r="Y9" s="227"/>
      <c r="Z9" s="227"/>
      <c r="AA9" s="227"/>
    </row>
    <row r="10" spans="1:32" x14ac:dyDescent="0.25">
      <c r="A10" s="905"/>
      <c r="B10" s="1087" t="s">
        <v>6978</v>
      </c>
      <c r="C10" s="1087"/>
      <c r="D10" s="1087"/>
      <c r="E10" s="1087"/>
      <c r="F10" s="1087"/>
      <c r="G10" s="1087"/>
      <c r="H10" s="1087"/>
      <c r="I10" s="1087"/>
      <c r="J10" s="1087"/>
      <c r="K10" s="1086"/>
      <c r="L10" s="1086"/>
      <c r="M10" s="1086"/>
      <c r="N10" s="1086"/>
      <c r="O10" s="1086"/>
      <c r="P10" s="905"/>
      <c r="Q10" s="905"/>
      <c r="R10" s="905"/>
      <c r="S10" s="905"/>
      <c r="T10" s="905"/>
      <c r="U10" s="905"/>
      <c r="V10" s="905"/>
      <c r="W10" s="905"/>
      <c r="X10" s="905"/>
      <c r="Y10" s="227"/>
      <c r="Z10" s="227"/>
      <c r="AA10" s="227"/>
    </row>
    <row r="11" spans="1:32" x14ac:dyDescent="0.25">
      <c r="A11" s="905"/>
      <c r="B11" s="1087" t="s">
        <v>6979</v>
      </c>
      <c r="C11" s="1087"/>
      <c r="D11" s="1087"/>
      <c r="E11" s="1087"/>
      <c r="F11" s="1087"/>
      <c r="G11" s="1087"/>
      <c r="H11" s="1087"/>
      <c r="I11" s="1087"/>
      <c r="J11" s="1087"/>
      <c r="K11" s="1086"/>
      <c r="L11" s="1086"/>
      <c r="M11" s="1086"/>
      <c r="N11" s="1086"/>
      <c r="O11" s="1086"/>
      <c r="P11" s="905"/>
      <c r="Q11" s="905"/>
      <c r="R11" s="905"/>
      <c r="S11" s="905"/>
      <c r="T11" s="905"/>
      <c r="U11" s="905"/>
      <c r="V11" s="905"/>
      <c r="W11" s="905"/>
      <c r="X11" s="905"/>
      <c r="Y11" s="227"/>
      <c r="Z11" s="227"/>
      <c r="AA11" s="227"/>
    </row>
    <row r="12" spans="1:32" x14ac:dyDescent="0.25">
      <c r="A12" s="905"/>
      <c r="B12" s="1087"/>
      <c r="C12" s="1087"/>
      <c r="D12" s="1087"/>
      <c r="E12" s="1087"/>
      <c r="F12" s="1087"/>
      <c r="G12" s="1087"/>
      <c r="H12" s="1087"/>
      <c r="I12" s="1087"/>
      <c r="J12" s="1087"/>
      <c r="K12" s="1086"/>
      <c r="L12" s="1086"/>
      <c r="M12" s="1086"/>
      <c r="N12" s="1086"/>
      <c r="O12" s="1086"/>
      <c r="P12" s="905"/>
      <c r="Q12" s="905"/>
      <c r="R12" s="905"/>
      <c r="S12" s="905"/>
      <c r="T12" s="905"/>
      <c r="U12" s="905"/>
      <c r="V12" s="905"/>
      <c r="W12" s="905"/>
      <c r="X12" s="905"/>
      <c r="Y12" s="227"/>
      <c r="Z12" s="227"/>
      <c r="AA12" s="227"/>
    </row>
    <row r="13" spans="1:32" x14ac:dyDescent="0.25">
      <c r="A13" s="338" t="s">
        <v>6980</v>
      </c>
      <c r="B13" s="1088"/>
      <c r="C13" s="287"/>
      <c r="D13" s="287"/>
      <c r="E13" s="287"/>
      <c r="F13" s="287"/>
      <c r="G13" s="287"/>
      <c r="H13" s="287"/>
      <c r="I13" s="338" t="s">
        <v>6981</v>
      </c>
      <c r="J13" s="287"/>
      <c r="K13" s="1089"/>
      <c r="L13" s="1089"/>
      <c r="M13" s="1089"/>
      <c r="N13" s="1089"/>
      <c r="O13" s="1089"/>
      <c r="P13" s="243"/>
      <c r="Q13" s="243"/>
      <c r="R13" s="243"/>
      <c r="S13" s="243"/>
      <c r="T13" s="243"/>
      <c r="U13" s="243"/>
      <c r="V13" s="243"/>
      <c r="W13" s="243"/>
      <c r="X13" s="243"/>
    </row>
    <row r="14" spans="1:32" x14ac:dyDescent="0.25">
      <c r="A14" s="683" t="s">
        <v>7026</v>
      </c>
      <c r="I14" s="1024" t="s">
        <v>48</v>
      </c>
      <c r="J14" s="184"/>
      <c r="Y14" s="1"/>
      <c r="Z14" s="1"/>
      <c r="AA14" s="1"/>
      <c r="AB14" s="262"/>
      <c r="AC14" s="262"/>
      <c r="AD14" s="262"/>
    </row>
    <row r="15" spans="1:32" x14ac:dyDescent="0.25">
      <c r="A15" s="3088" t="s">
        <v>6982</v>
      </c>
      <c r="B15" s="3090" t="s">
        <v>6983</v>
      </c>
      <c r="C15" s="3090" t="s">
        <v>295</v>
      </c>
      <c r="D15" s="3090" t="s">
        <v>6984</v>
      </c>
      <c r="E15" s="3090" t="s">
        <v>6985</v>
      </c>
      <c r="F15" s="2990" t="s">
        <v>6986</v>
      </c>
      <c r="G15" s="2990" t="s">
        <v>6987</v>
      </c>
      <c r="H15" s="2990" t="s">
        <v>6988</v>
      </c>
      <c r="I15" s="3097" t="s">
        <v>7027</v>
      </c>
      <c r="J15" s="3098"/>
      <c r="K15" s="3099"/>
      <c r="L15" s="3100" t="s">
        <v>6989</v>
      </c>
      <c r="M15" s="3101"/>
      <c r="N15" s="3102" t="s">
        <v>6990</v>
      </c>
      <c r="O15" s="3103"/>
      <c r="P15" s="3104" t="s">
        <v>6991</v>
      </c>
      <c r="Q15" s="3105"/>
      <c r="R15" s="3105"/>
      <c r="S15" s="3105"/>
      <c r="T15" s="3105"/>
      <c r="U15" s="3106"/>
      <c r="V15" s="1439" t="s">
        <v>2919</v>
      </c>
      <c r="W15" s="1441"/>
      <c r="X15" s="1439" t="s">
        <v>2921</v>
      </c>
      <c r="Y15" s="1441"/>
      <c r="Z15" s="2990" t="s">
        <v>6992</v>
      </c>
      <c r="AA15" s="2990" t="s">
        <v>6993</v>
      </c>
      <c r="AB15" s="262"/>
      <c r="AC15" s="262"/>
      <c r="AD15" s="262"/>
    </row>
    <row r="16" spans="1:32" ht="48.75" customHeight="1" x14ac:dyDescent="0.25">
      <c r="A16" s="3089"/>
      <c r="B16" s="3091"/>
      <c r="C16" s="3091"/>
      <c r="D16" s="3091"/>
      <c r="E16" s="3091"/>
      <c r="F16" s="3092"/>
      <c r="G16" s="3092"/>
      <c r="H16" s="3092"/>
      <c r="I16" s="1090" t="s">
        <v>6994</v>
      </c>
      <c r="J16" s="1090" t="s">
        <v>6995</v>
      </c>
      <c r="K16" s="1090" t="s">
        <v>6996</v>
      </c>
      <c r="L16" s="1090" t="s">
        <v>6995</v>
      </c>
      <c r="M16" s="1090" t="s">
        <v>6996</v>
      </c>
      <c r="N16" s="1091" t="s">
        <v>6997</v>
      </c>
      <c r="O16" s="1092" t="s">
        <v>6996</v>
      </c>
      <c r="P16" s="1093" t="s">
        <v>6998</v>
      </c>
      <c r="Q16" s="1094" t="s">
        <v>6999</v>
      </c>
      <c r="R16" s="1094" t="s">
        <v>7000</v>
      </c>
      <c r="S16" s="1094" t="s">
        <v>7001</v>
      </c>
      <c r="T16" s="1094" t="s">
        <v>7002</v>
      </c>
      <c r="U16" s="1094" t="s">
        <v>7003</v>
      </c>
      <c r="V16" s="1095" t="s">
        <v>7004</v>
      </c>
      <c r="W16" s="1095" t="s">
        <v>7005</v>
      </c>
      <c r="X16" s="1095" t="s">
        <v>7004</v>
      </c>
      <c r="Y16" s="1095" t="s">
        <v>7005</v>
      </c>
      <c r="Z16" s="3092"/>
      <c r="AA16" s="3092"/>
      <c r="AB16" s="262"/>
      <c r="AC16" s="191" t="s">
        <v>7006</v>
      </c>
      <c r="AD16" s="262"/>
    </row>
    <row r="17" spans="1:30" x14ac:dyDescent="0.25">
      <c r="A17" s="1025">
        <v>37.5</v>
      </c>
      <c r="B17" s="1025">
        <v>1</v>
      </c>
      <c r="C17" s="1026"/>
      <c r="D17" s="1025">
        <v>1980</v>
      </c>
      <c r="E17" s="1027">
        <v>0.1</v>
      </c>
      <c r="F17" s="1096">
        <f ca="1">IF(OR(D17="",D17&gt;2006),"",YEAR(TODAY())-D17)</f>
        <v>44</v>
      </c>
      <c r="G17" s="1096">
        <f ca="1">IF(OR(D17="",D17&gt;2006),"",IF(H17="Retrofit",IF(OR(E17&gt;0.35, E17=0),INDEX(EUL,1)-$F17,INDEX(EUL,2)-$F17),0))</f>
        <v>6</v>
      </c>
      <c r="H17" s="1097" t="str">
        <f t="shared" ref="H17:H38" ca="1" si="0">IF(D17="","",IF(D17&gt;2006,"NA",IF(OR(E17&gt;0.35, E17=0), IF(YEAR(TODAY())-D17&lt;INDEX(EUL,1), INDEX(EventType,1), INDEX(EventType,2)), IF(YEAR(TODAY())-D17&lt;INDEX(EUL,2), INDEX(EventType,1), INDEX(EventType,2)))))</f>
        <v>Retrofit</v>
      </c>
      <c r="I17" s="1037"/>
      <c r="J17" s="1098">
        <f t="shared" ref="J17:J38" ca="1" si="1">_xlfn.IFNA(IF(H17="End of Life", VLOOKUP(A17, DOE2016.NLL,2), IF(H17="Retrofit", VLOOKUP(A17, PreTP1.NLL,2), IF(H17="NA", "NA", ""))), "")</f>
        <v>533</v>
      </c>
      <c r="K17" s="1038">
        <f ca="1">IF(OR(A17="",F17=""),"",(IF($I$14="User Input", I17,J17)*$K$4)/1000)</f>
        <v>4669.08</v>
      </c>
      <c r="L17" s="1038">
        <f t="shared" ref="L17:L38" ca="1" si="2">_xlfn.IFNA(IF(H17="Retrofit", VLOOKUP(A17, DOE2016.NLL,2), ""), "")</f>
        <v>151.7804258104492</v>
      </c>
      <c r="M17" s="1038">
        <f ca="1">IF(L17="","",L17*$K$4/1000)</f>
        <v>1329.5965300995349</v>
      </c>
      <c r="N17" s="1028">
        <v>100</v>
      </c>
      <c r="O17" s="1038">
        <f ca="1">IF(OR(A17="",F17=""),"",(N17*$K$4)/1000)</f>
        <v>876</v>
      </c>
      <c r="P17" s="1029" t="s">
        <v>1805</v>
      </c>
      <c r="Q17" s="1038">
        <f ca="1">IF(OR(A17="",F17=""),"",IF(P17="Yes",0.75,0))</f>
        <v>0.75</v>
      </c>
      <c r="R17" s="1030">
        <f ca="1">IFERROR(((IF($I$14="User Input", I17,J17)-N17)/1000)/3.52*Q17, "")</f>
        <v>9.2258522727272724E-2</v>
      </c>
      <c r="S17" s="1038">
        <f ca="1">IFERROR(R17*$K$5, "")</f>
        <v>226.12563920454545</v>
      </c>
      <c r="T17" s="1030">
        <f ca="1">IFERROR((L17-N17)/1000/3.52*Q17, "")</f>
        <v>1.1032761181203663E-2</v>
      </c>
      <c r="U17" s="1038">
        <f ca="1">IFERROR(T17*$K$5, "")</f>
        <v>27.04129765513018</v>
      </c>
      <c r="V17" s="1039">
        <f ca="1">IFERROR(((IF($I$14="User Input", I17,J17)-N17)*$N$4/1000+R17*$N$5)*B17, "")</f>
        <v>0.46990340909090911</v>
      </c>
      <c r="W17" s="1040">
        <f ca="1">IFERROR(((L17-N17)*$N$4/1000+T17*$N$5)*B17, "")</f>
        <v>5.6193530282930663E-2</v>
      </c>
      <c r="X17" s="1041">
        <f ca="1">IFERROR(((K17-O17)+S17)*B17, "")</f>
        <v>4019.2056392045452</v>
      </c>
      <c r="Y17" s="1041">
        <f ca="1">IFERROR(((M17-O17)+U17)*B17, "")</f>
        <v>480.63782775466507</v>
      </c>
      <c r="Z17" s="1042">
        <f ca="1">IFERROR(IF(H17="End of Life",X17*$Q$4,IF(AND(H17="Retrofit",G17&lt;25),X17*G17+Y17*($Q$4-G17),X17*$Q$4)),"")</f>
        <v>33247.352562565909</v>
      </c>
      <c r="AA17" s="1042" t="str">
        <f ca="1">IF(G17="","",IF(AND(H17="Retrofit",G17&lt;25),"Dual Baseline","Single Baseline"))</f>
        <v>Dual Baseline</v>
      </c>
      <c r="AB17" s="262"/>
      <c r="AC17" s="262" t="s">
        <v>1805</v>
      </c>
      <c r="AD17" s="262"/>
    </row>
    <row r="18" spans="1:30" x14ac:dyDescent="0.25">
      <c r="A18" s="1025">
        <v>30</v>
      </c>
      <c r="B18" s="1025">
        <v>1</v>
      </c>
      <c r="C18" s="1026"/>
      <c r="D18" s="1025">
        <v>1980</v>
      </c>
      <c r="E18" s="1027">
        <v>0.6</v>
      </c>
      <c r="F18" s="1096">
        <f t="shared" ref="F18:F38" ca="1" si="3">IF(OR(D18="",D18&gt;2006),"",YEAR(TODAY())-D18)</f>
        <v>44</v>
      </c>
      <c r="G18" s="1096">
        <f t="shared" ref="G18:G38" ca="1" si="4">IF(OR(D18="",D18&gt;2006),"",IF(H18="Retrofit",IF(OR(E18&gt;0.35, E18=0),INDEX(EUL,1)-$F18,INDEX(EUL,2)-$F18),0))</f>
        <v>0</v>
      </c>
      <c r="H18" s="1097" t="str">
        <f t="shared" ca="1" si="0"/>
        <v>End of Life</v>
      </c>
      <c r="I18" s="1037"/>
      <c r="J18" s="1098">
        <f t="shared" ca="1" si="1"/>
        <v>128.67742373297253</v>
      </c>
      <c r="K18" s="1038">
        <f t="shared" ref="K18:K38" ca="1" si="5">IF(OR(A18="",F18=""),"",(IF($I$14="User Input", I18,J18)*$K$4)/1000)</f>
        <v>1127.2142319008394</v>
      </c>
      <c r="L18" s="1038" t="str">
        <f t="shared" ca="1" si="2"/>
        <v/>
      </c>
      <c r="M18" s="1038" t="str">
        <f t="shared" ref="M18:M38" ca="1" si="6">IF(L18="","",L18*$K$4/1000)</f>
        <v/>
      </c>
      <c r="N18" s="1028">
        <v>100</v>
      </c>
      <c r="O18" s="1038">
        <f t="shared" ref="O18:O38" ca="1" si="7">IF(OR(A18="",F18=""),"",(N18*$K$4)/1000)</f>
        <v>876</v>
      </c>
      <c r="P18" s="1029" t="s">
        <v>1805</v>
      </c>
      <c r="Q18" s="1038">
        <f t="shared" ref="Q18:Q38" ca="1" si="8">IF(OR(A18="",F18=""),"",IF(P18="Yes",0.75,0))</f>
        <v>0.75</v>
      </c>
      <c r="R18" s="1030">
        <f t="shared" ref="R18:R38" ca="1" si="9">IFERROR(((IF($I$14="User Input", I18,J18)-N18)/1000)/3.52*Q18, "")</f>
        <v>6.1102465340140324E-3</v>
      </c>
      <c r="S18" s="1038">
        <f t="shared" ref="S18:S38" ca="1" si="10">IFERROR(R18*$K$5, "")</f>
        <v>14.976214254868394</v>
      </c>
      <c r="T18" s="1030" t="str">
        <f t="shared" ref="T18:T38" ca="1" si="11">IFERROR((L18-N18)/1000/3.52*Q18, "")</f>
        <v/>
      </c>
      <c r="U18" s="1038" t="str">
        <f t="shared" ref="U18:U38" ca="1" si="12">IFERROR(T18*$K$5, "")</f>
        <v/>
      </c>
      <c r="V18" s="1039">
        <f t="shared" ref="V18:V38" ca="1" si="13">IFERROR(((IF($I$14="User Input", I18,J18)-N18)*$N$4/1000+R18*$N$5)*B18, "")</f>
        <v>3.112152234657814E-2</v>
      </c>
      <c r="W18" s="1040" t="str">
        <f t="shared" ref="W18:W38" ca="1" si="14">IFERROR(((L18-N18)*$N$4/1000+T18*$N$5)*B18, "")</f>
        <v/>
      </c>
      <c r="X18" s="1041">
        <f t="shared" ref="X18:X38" ca="1" si="15">IFERROR(((K18-O18)+S18)*B18, "")</f>
        <v>266.19044615570783</v>
      </c>
      <c r="Y18" s="1041" t="str">
        <f t="shared" ref="Y18:Y38" ca="1" si="16">IFERROR(((M18-O18)+U18)*B18, "")</f>
        <v/>
      </c>
      <c r="Z18" s="1042">
        <f t="shared" ref="Z18:Z38" ca="1" si="17">IFERROR(IF(H18="End of Life",X18*$Q$4,IF(AND(H18="Retrofit",G18&lt;25),X18*G18+Y18*($Q$4-G18),X18*$Q$4)),"")</f>
        <v>6654.7611538926958</v>
      </c>
      <c r="AA18" s="1042" t="str">
        <f t="shared" ref="AA18:AA38" ca="1" si="18">IF(G18="","",IF(AND(H18="Retrofit",G18&lt;25),"Dual Baseline","Single Baseline"))</f>
        <v>Single Baseline</v>
      </c>
      <c r="AB18" s="262"/>
      <c r="AC18" s="262" t="s">
        <v>2363</v>
      </c>
      <c r="AD18" s="262"/>
    </row>
    <row r="19" spans="1:30" x14ac:dyDescent="0.25">
      <c r="A19" s="1025">
        <v>30</v>
      </c>
      <c r="B19" s="1025">
        <v>1</v>
      </c>
      <c r="C19" s="1026"/>
      <c r="D19" s="1025">
        <v>2007</v>
      </c>
      <c r="E19" s="1027">
        <v>0.36</v>
      </c>
      <c r="F19" s="1096" t="str">
        <f t="shared" ca="1" si="3"/>
        <v/>
      </c>
      <c r="G19" s="1096" t="str">
        <f t="shared" si="4"/>
        <v/>
      </c>
      <c r="H19" s="1097" t="str">
        <f t="shared" ca="1" si="0"/>
        <v>NA</v>
      </c>
      <c r="I19" s="1037"/>
      <c r="J19" s="1098" t="str">
        <f t="shared" ca="1" si="1"/>
        <v>NA</v>
      </c>
      <c r="K19" s="1038" t="str">
        <f t="shared" ca="1" si="5"/>
        <v/>
      </c>
      <c r="L19" s="1038" t="str">
        <f t="shared" ca="1" si="2"/>
        <v/>
      </c>
      <c r="M19" s="1038" t="str">
        <f t="shared" ca="1" si="6"/>
        <v/>
      </c>
      <c r="N19" s="1028">
        <v>100</v>
      </c>
      <c r="O19" s="1038" t="str">
        <f t="shared" ca="1" si="7"/>
        <v/>
      </c>
      <c r="P19" s="1029" t="s">
        <v>1805</v>
      </c>
      <c r="Q19" s="1038" t="str">
        <f t="shared" ca="1" si="8"/>
        <v/>
      </c>
      <c r="R19" s="1030" t="str">
        <f t="shared" ca="1" si="9"/>
        <v/>
      </c>
      <c r="S19" s="1038" t="str">
        <f t="shared" ca="1" si="10"/>
        <v/>
      </c>
      <c r="T19" s="1030" t="str">
        <f t="shared" ca="1" si="11"/>
        <v/>
      </c>
      <c r="U19" s="1038" t="str">
        <f t="shared" ca="1" si="12"/>
        <v/>
      </c>
      <c r="V19" s="1039" t="str">
        <f t="shared" ca="1" si="13"/>
        <v/>
      </c>
      <c r="W19" s="1040" t="str">
        <f t="shared" ca="1" si="14"/>
        <v/>
      </c>
      <c r="X19" s="1041" t="str">
        <f t="shared" ca="1" si="15"/>
        <v/>
      </c>
      <c r="Y19" s="1041" t="str">
        <f t="shared" ca="1" si="16"/>
        <v/>
      </c>
      <c r="Z19" s="1042" t="str">
        <f t="shared" ca="1" si="17"/>
        <v/>
      </c>
      <c r="AA19" s="1042" t="str">
        <f t="shared" si="18"/>
        <v/>
      </c>
      <c r="AB19" s="262"/>
      <c r="AC19" s="262" t="s">
        <v>866</v>
      </c>
      <c r="AD19" s="262"/>
    </row>
    <row r="20" spans="1:30" x14ac:dyDescent="0.25">
      <c r="A20" s="1025">
        <v>37.5</v>
      </c>
      <c r="B20" s="1025">
        <v>1</v>
      </c>
      <c r="C20" s="1026"/>
      <c r="D20" s="1025">
        <v>2005</v>
      </c>
      <c r="E20" s="1027">
        <v>0.1</v>
      </c>
      <c r="F20" s="1096">
        <f t="shared" ca="1" si="3"/>
        <v>19</v>
      </c>
      <c r="G20" s="1096">
        <f t="shared" ca="1" si="4"/>
        <v>31</v>
      </c>
      <c r="H20" s="1097" t="str">
        <f t="shared" ca="1" si="0"/>
        <v>Retrofit</v>
      </c>
      <c r="I20" s="1037"/>
      <c r="J20" s="1098">
        <f t="shared" ca="1" si="1"/>
        <v>533</v>
      </c>
      <c r="K20" s="1038">
        <f t="shared" ca="1" si="5"/>
        <v>4669.08</v>
      </c>
      <c r="L20" s="1038">
        <f t="shared" ca="1" si="2"/>
        <v>151.7804258104492</v>
      </c>
      <c r="M20" s="1038">
        <f t="shared" ca="1" si="6"/>
        <v>1329.5965300995349</v>
      </c>
      <c r="N20" s="1028">
        <v>100</v>
      </c>
      <c r="O20" s="1038">
        <f t="shared" ca="1" si="7"/>
        <v>876</v>
      </c>
      <c r="P20" s="1029" t="s">
        <v>1805</v>
      </c>
      <c r="Q20" s="1038">
        <f t="shared" ca="1" si="8"/>
        <v>0.75</v>
      </c>
      <c r="R20" s="1030">
        <f t="shared" ca="1" si="9"/>
        <v>9.2258522727272724E-2</v>
      </c>
      <c r="S20" s="1038">
        <f t="shared" ca="1" si="10"/>
        <v>226.12563920454545</v>
      </c>
      <c r="T20" s="1030">
        <f t="shared" ca="1" si="11"/>
        <v>1.1032761181203663E-2</v>
      </c>
      <c r="U20" s="1038">
        <f t="shared" ca="1" si="12"/>
        <v>27.04129765513018</v>
      </c>
      <c r="V20" s="1039">
        <f t="shared" ca="1" si="13"/>
        <v>0.46990340909090911</v>
      </c>
      <c r="W20" s="1040">
        <f t="shared" ca="1" si="14"/>
        <v>5.6193530282930663E-2</v>
      </c>
      <c r="X20" s="1041">
        <f ca="1">IFERROR(((K20-O20)+S20)*B20, "")</f>
        <v>4019.2056392045452</v>
      </c>
      <c r="Y20" s="1041">
        <f ca="1">IFERROR(((M20-O20)+U20)*B20, "")</f>
        <v>480.63782775466507</v>
      </c>
      <c r="Z20" s="1042">
        <f t="shared" ca="1" si="17"/>
        <v>100480.14098011363</v>
      </c>
      <c r="AA20" s="1042" t="str">
        <f t="shared" ca="1" si="18"/>
        <v>Single Baseline</v>
      </c>
      <c r="AB20" s="262"/>
      <c r="AC20" s="262" t="s">
        <v>48</v>
      </c>
      <c r="AD20" s="262"/>
    </row>
    <row r="21" spans="1:30" x14ac:dyDescent="0.25">
      <c r="A21" s="1025">
        <v>37.5</v>
      </c>
      <c r="B21" s="1025">
        <v>1</v>
      </c>
      <c r="C21" s="1026"/>
      <c r="D21" s="1025">
        <v>1980</v>
      </c>
      <c r="E21" s="1027"/>
      <c r="F21" s="1096">
        <f t="shared" ca="1" si="3"/>
        <v>44</v>
      </c>
      <c r="G21" s="1096">
        <f t="shared" ca="1" si="4"/>
        <v>0</v>
      </c>
      <c r="H21" s="1097" t="str">
        <f t="shared" ca="1" si="0"/>
        <v>End of Life</v>
      </c>
      <c r="I21" s="1037"/>
      <c r="J21" s="1098">
        <f t="shared" ca="1" si="1"/>
        <v>151.7804258104492</v>
      </c>
      <c r="K21" s="1038">
        <f t="shared" ca="1" si="5"/>
        <v>1329.5965300995349</v>
      </c>
      <c r="L21" s="1038" t="str">
        <f t="shared" ca="1" si="2"/>
        <v/>
      </c>
      <c r="M21" s="1038" t="str">
        <f t="shared" ca="1" si="6"/>
        <v/>
      </c>
      <c r="N21" s="1028">
        <v>100</v>
      </c>
      <c r="O21" s="1038">
        <f t="shared" ca="1" si="7"/>
        <v>876</v>
      </c>
      <c r="P21" s="1029" t="s">
        <v>2363</v>
      </c>
      <c r="Q21" s="1038">
        <f t="shared" ca="1" si="8"/>
        <v>0</v>
      </c>
      <c r="R21" s="1030">
        <f t="shared" ca="1" si="9"/>
        <v>0</v>
      </c>
      <c r="S21" s="1038">
        <f t="shared" ca="1" si="10"/>
        <v>0</v>
      </c>
      <c r="T21" s="1030" t="str">
        <f t="shared" ca="1" si="11"/>
        <v/>
      </c>
      <c r="U21" s="1038" t="str">
        <f t="shared" ca="1" si="12"/>
        <v/>
      </c>
      <c r="V21" s="1039">
        <f t="shared" ca="1" si="13"/>
        <v>5.1780425810449199E-2</v>
      </c>
      <c r="W21" s="1040" t="str">
        <f t="shared" ca="1" si="14"/>
        <v/>
      </c>
      <c r="X21" s="1041">
        <f t="shared" ca="1" si="15"/>
        <v>453.5965300995349</v>
      </c>
      <c r="Y21" s="1041" t="str">
        <f t="shared" ca="1" si="16"/>
        <v/>
      </c>
      <c r="Z21" s="1042">
        <f ca="1">IFERROR(IF(H21="End of Life",X21*$Q$4,IF(AND(H21="Retrofit",G21&lt;25),X21*G21+Y21*($Q$4-G21),X21*$Q$4)),"")</f>
        <v>11339.913252488372</v>
      </c>
      <c r="AA21" s="1042" t="str">
        <f t="shared" ca="1" si="18"/>
        <v>Single Baseline</v>
      </c>
      <c r="AB21" s="262"/>
      <c r="AC21" s="262"/>
      <c r="AD21" s="262"/>
    </row>
    <row r="22" spans="1:30" x14ac:dyDescent="0.25">
      <c r="A22" s="1025">
        <v>30</v>
      </c>
      <c r="B22" s="1025">
        <v>1</v>
      </c>
      <c r="C22" s="1026"/>
      <c r="D22" s="1025">
        <v>1970</v>
      </c>
      <c r="E22" s="1027"/>
      <c r="F22" s="1096">
        <f t="shared" ca="1" si="3"/>
        <v>54</v>
      </c>
      <c r="G22" s="1096">
        <f t="shared" ca="1" si="4"/>
        <v>0</v>
      </c>
      <c r="H22" s="1097" t="str">
        <f t="shared" ca="1" si="0"/>
        <v>End of Life</v>
      </c>
      <c r="I22" s="1037"/>
      <c r="J22" s="1098">
        <f t="shared" ca="1" si="1"/>
        <v>128.67742373297253</v>
      </c>
      <c r="K22" s="1038">
        <f t="shared" ca="1" si="5"/>
        <v>1127.2142319008394</v>
      </c>
      <c r="L22" s="1038" t="str">
        <f t="shared" ca="1" si="2"/>
        <v/>
      </c>
      <c r="M22" s="1038" t="str">
        <f t="shared" ca="1" si="6"/>
        <v/>
      </c>
      <c r="N22" s="1028">
        <v>100</v>
      </c>
      <c r="O22" s="1038">
        <f t="shared" ca="1" si="7"/>
        <v>876</v>
      </c>
      <c r="P22" s="1029" t="s">
        <v>2363</v>
      </c>
      <c r="Q22" s="1038">
        <f t="shared" ca="1" si="8"/>
        <v>0</v>
      </c>
      <c r="R22" s="1030">
        <f t="shared" ca="1" si="9"/>
        <v>0</v>
      </c>
      <c r="S22" s="1038">
        <f t="shared" ca="1" si="10"/>
        <v>0</v>
      </c>
      <c r="T22" s="1030" t="str">
        <f t="shared" ca="1" si="11"/>
        <v/>
      </c>
      <c r="U22" s="1038" t="str">
        <f t="shared" ca="1" si="12"/>
        <v/>
      </c>
      <c r="V22" s="1039">
        <f t="shared" ca="1" si="13"/>
        <v>2.8677423732972527E-2</v>
      </c>
      <c r="W22" s="1040" t="str">
        <f t="shared" ca="1" si="14"/>
        <v/>
      </c>
      <c r="X22" s="1041">
        <f t="shared" ca="1" si="15"/>
        <v>251.21423190083942</v>
      </c>
      <c r="Y22" s="1041" t="str">
        <f t="shared" ca="1" si="16"/>
        <v/>
      </c>
      <c r="Z22" s="1042">
        <f t="shared" ca="1" si="17"/>
        <v>6280.355797520986</v>
      </c>
      <c r="AA22" s="1042" t="str">
        <f t="shared" ca="1" si="18"/>
        <v>Single Baseline</v>
      </c>
      <c r="AB22" s="262"/>
      <c r="AC22" s="262"/>
      <c r="AD22" s="262"/>
    </row>
    <row r="23" spans="1:30" x14ac:dyDescent="0.25">
      <c r="A23" s="1025">
        <v>30</v>
      </c>
      <c r="B23" s="1025">
        <v>1</v>
      </c>
      <c r="C23" s="1026"/>
      <c r="D23" s="1025">
        <v>2020</v>
      </c>
      <c r="E23" s="1027">
        <v>0.15</v>
      </c>
      <c r="F23" s="1096" t="str">
        <f t="shared" ca="1" si="3"/>
        <v/>
      </c>
      <c r="G23" s="1096" t="str">
        <f t="shared" si="4"/>
        <v/>
      </c>
      <c r="H23" s="1097" t="str">
        <f t="shared" ca="1" si="0"/>
        <v>NA</v>
      </c>
      <c r="I23" s="1037"/>
      <c r="J23" s="1098" t="str">
        <f t="shared" ca="1" si="1"/>
        <v>NA</v>
      </c>
      <c r="K23" s="1038" t="str">
        <f t="shared" ca="1" si="5"/>
        <v/>
      </c>
      <c r="L23" s="1038" t="str">
        <f t="shared" ca="1" si="2"/>
        <v/>
      </c>
      <c r="M23" s="1038" t="str">
        <f t="shared" ca="1" si="6"/>
        <v/>
      </c>
      <c r="N23" s="1028">
        <v>100</v>
      </c>
      <c r="O23" s="1038" t="str">
        <f t="shared" ca="1" si="7"/>
        <v/>
      </c>
      <c r="P23" s="1029" t="s">
        <v>2363</v>
      </c>
      <c r="Q23" s="1038" t="str">
        <f t="shared" ca="1" si="8"/>
        <v/>
      </c>
      <c r="R23" s="1030" t="str">
        <f t="shared" ca="1" si="9"/>
        <v/>
      </c>
      <c r="S23" s="1038" t="str">
        <f t="shared" ca="1" si="10"/>
        <v/>
      </c>
      <c r="T23" s="1030" t="str">
        <f t="shared" ca="1" si="11"/>
        <v/>
      </c>
      <c r="U23" s="1038" t="str">
        <f t="shared" ca="1" si="12"/>
        <v/>
      </c>
      <c r="V23" s="1039" t="str">
        <f t="shared" ca="1" si="13"/>
        <v/>
      </c>
      <c r="W23" s="1040" t="str">
        <f t="shared" ca="1" si="14"/>
        <v/>
      </c>
      <c r="X23" s="1041" t="str">
        <f t="shared" ca="1" si="15"/>
        <v/>
      </c>
      <c r="Y23" s="1041" t="str">
        <f t="shared" ca="1" si="16"/>
        <v/>
      </c>
      <c r="Z23" s="1042" t="str">
        <f t="shared" ca="1" si="17"/>
        <v/>
      </c>
      <c r="AA23" s="1042" t="str">
        <f t="shared" si="18"/>
        <v/>
      </c>
      <c r="AB23" s="262"/>
      <c r="AC23" s="262"/>
      <c r="AD23" s="262"/>
    </row>
    <row r="24" spans="1:30" x14ac:dyDescent="0.25">
      <c r="A24" s="1026"/>
      <c r="B24" s="1026"/>
      <c r="C24" s="1026"/>
      <c r="D24" s="1026"/>
      <c r="E24" s="1031"/>
      <c r="F24" s="1096" t="str">
        <f t="shared" ca="1" si="3"/>
        <v/>
      </c>
      <c r="G24" s="1096" t="str">
        <f t="shared" si="4"/>
        <v/>
      </c>
      <c r="H24" s="1097" t="str">
        <f t="shared" ca="1" si="0"/>
        <v/>
      </c>
      <c r="I24" s="1037"/>
      <c r="J24" s="1098" t="str">
        <f t="shared" ca="1" si="1"/>
        <v/>
      </c>
      <c r="K24" s="1038" t="str">
        <f t="shared" ca="1" si="5"/>
        <v/>
      </c>
      <c r="L24" s="1038" t="str">
        <f t="shared" ca="1" si="2"/>
        <v/>
      </c>
      <c r="M24" s="1038" t="str">
        <f t="shared" ca="1" si="6"/>
        <v/>
      </c>
      <c r="N24" s="1032"/>
      <c r="O24" s="1038" t="str">
        <f t="shared" ca="1" si="7"/>
        <v/>
      </c>
      <c r="P24" s="1033"/>
      <c r="Q24" s="1038" t="str">
        <f t="shared" ca="1" si="8"/>
        <v/>
      </c>
      <c r="R24" s="1030" t="str">
        <f t="shared" ca="1" si="9"/>
        <v/>
      </c>
      <c r="S24" s="1038" t="str">
        <f t="shared" ca="1" si="10"/>
        <v/>
      </c>
      <c r="T24" s="1030" t="str">
        <f t="shared" ca="1" si="11"/>
        <v/>
      </c>
      <c r="U24" s="1038" t="str">
        <f t="shared" ca="1" si="12"/>
        <v/>
      </c>
      <c r="V24" s="1039" t="str">
        <f t="shared" ca="1" si="13"/>
        <v/>
      </c>
      <c r="W24" s="1040" t="str">
        <f t="shared" ca="1" si="14"/>
        <v/>
      </c>
      <c r="X24" s="1041" t="str">
        <f t="shared" ca="1" si="15"/>
        <v/>
      </c>
      <c r="Y24" s="1041" t="str">
        <f t="shared" ca="1" si="16"/>
        <v/>
      </c>
      <c r="Z24" s="1042" t="str">
        <f t="shared" ca="1" si="17"/>
        <v/>
      </c>
      <c r="AA24" s="1042" t="str">
        <f t="shared" si="18"/>
        <v/>
      </c>
      <c r="AB24" s="262"/>
      <c r="AC24" s="262"/>
      <c r="AD24" s="262"/>
    </row>
    <row r="25" spans="1:30" x14ac:dyDescent="0.25">
      <c r="A25" s="1026"/>
      <c r="B25" s="1026"/>
      <c r="C25" s="1026"/>
      <c r="D25" s="1026"/>
      <c r="E25" s="1031"/>
      <c r="F25" s="1096" t="str">
        <f t="shared" ca="1" si="3"/>
        <v/>
      </c>
      <c r="G25" s="1096" t="str">
        <f t="shared" si="4"/>
        <v/>
      </c>
      <c r="H25" s="1097" t="str">
        <f t="shared" ca="1" si="0"/>
        <v/>
      </c>
      <c r="I25" s="1037"/>
      <c r="J25" s="1098" t="str">
        <f t="shared" ca="1" si="1"/>
        <v/>
      </c>
      <c r="K25" s="1038" t="str">
        <f t="shared" ca="1" si="5"/>
        <v/>
      </c>
      <c r="L25" s="1038" t="str">
        <f t="shared" ca="1" si="2"/>
        <v/>
      </c>
      <c r="M25" s="1038" t="str">
        <f t="shared" ca="1" si="6"/>
        <v/>
      </c>
      <c r="N25" s="1032"/>
      <c r="O25" s="1038" t="str">
        <f t="shared" ca="1" si="7"/>
        <v/>
      </c>
      <c r="P25" s="1033"/>
      <c r="Q25" s="1038" t="str">
        <f t="shared" ca="1" si="8"/>
        <v/>
      </c>
      <c r="R25" s="1030" t="str">
        <f t="shared" ca="1" si="9"/>
        <v/>
      </c>
      <c r="S25" s="1038" t="str">
        <f t="shared" ca="1" si="10"/>
        <v/>
      </c>
      <c r="T25" s="1030" t="str">
        <f t="shared" ca="1" si="11"/>
        <v/>
      </c>
      <c r="U25" s="1038" t="str">
        <f t="shared" ca="1" si="12"/>
        <v/>
      </c>
      <c r="V25" s="1039" t="str">
        <f t="shared" ca="1" si="13"/>
        <v/>
      </c>
      <c r="W25" s="1040" t="str">
        <f t="shared" ca="1" si="14"/>
        <v/>
      </c>
      <c r="X25" s="1041" t="str">
        <f t="shared" ca="1" si="15"/>
        <v/>
      </c>
      <c r="Y25" s="1041" t="str">
        <f t="shared" ca="1" si="16"/>
        <v/>
      </c>
      <c r="Z25" s="1042" t="str">
        <f t="shared" ca="1" si="17"/>
        <v/>
      </c>
      <c r="AA25" s="1042" t="str">
        <f t="shared" si="18"/>
        <v/>
      </c>
      <c r="AB25" s="262"/>
      <c r="AC25" s="262"/>
      <c r="AD25" s="262"/>
    </row>
    <row r="26" spans="1:30" x14ac:dyDescent="0.25">
      <c r="A26" s="1026"/>
      <c r="B26" s="1026"/>
      <c r="C26" s="1026"/>
      <c r="D26" s="1026"/>
      <c r="E26" s="1031"/>
      <c r="F26" s="1096" t="str">
        <f t="shared" ca="1" si="3"/>
        <v/>
      </c>
      <c r="G26" s="1096" t="str">
        <f t="shared" ref="G26:G30" si="19">IF(OR(D26="",D26&gt;2006),"",IF(H26="Retrofit",IF(OR(E26&gt;0.35, E26=0),INDEX(EUL,1)-$F26,INDEX(EUL,2)-$F26),0))</f>
        <v/>
      </c>
      <c r="H26" s="1097" t="str">
        <f t="shared" ref="H26:H30" ca="1" si="20">IF(D26="","",IF(D26&gt;2006,"NA",IF(OR(E26&gt;0.35, E26=0), IF(YEAR(TODAY())-D26&lt;INDEX(EUL,1), INDEX(EventType,1), INDEX(EventType,2)), IF(YEAR(TODAY())-D26&lt;INDEX(EUL,2), INDEX(EventType,1), INDEX(EventType,2)))))</f>
        <v/>
      </c>
      <c r="I26" s="1037"/>
      <c r="J26" s="1098" t="str">
        <f t="shared" ref="J26:J30" ca="1" si="21">_xlfn.IFNA(IF(H26="End of Life", VLOOKUP(A26, DOE2016.NLL,2), IF(H26="Retrofit", VLOOKUP(A26, PreTP1.NLL,2), IF(H26="NA", "NA", ""))), "")</f>
        <v/>
      </c>
      <c r="K26" s="1038" t="str">
        <f t="shared" ca="1" si="5"/>
        <v/>
      </c>
      <c r="L26" s="1038" t="str">
        <f t="shared" ref="L26:L30" ca="1" si="22">_xlfn.IFNA(IF(H26="Retrofit", VLOOKUP(A26, DOE2016.NLL,2), ""), "")</f>
        <v/>
      </c>
      <c r="M26" s="1038" t="str">
        <f t="shared" ca="1" si="6"/>
        <v/>
      </c>
      <c r="N26" s="1032"/>
      <c r="O26" s="1038" t="str">
        <f t="shared" ca="1" si="7"/>
        <v/>
      </c>
      <c r="P26" s="1033"/>
      <c r="Q26" s="1038" t="str">
        <f t="shared" ca="1" si="8"/>
        <v/>
      </c>
      <c r="R26" s="1030" t="str">
        <f t="shared" ca="1" si="9"/>
        <v/>
      </c>
      <c r="S26" s="1038" t="str">
        <f t="shared" ca="1" si="10"/>
        <v/>
      </c>
      <c r="T26" s="1030" t="str">
        <f t="shared" ca="1" si="11"/>
        <v/>
      </c>
      <c r="U26" s="1038" t="str">
        <f t="shared" ca="1" si="12"/>
        <v/>
      </c>
      <c r="V26" s="1039" t="str">
        <f t="shared" ca="1" si="13"/>
        <v/>
      </c>
      <c r="W26" s="1040" t="str">
        <f t="shared" ca="1" si="14"/>
        <v/>
      </c>
      <c r="X26" s="1041" t="str">
        <f t="shared" ca="1" si="15"/>
        <v/>
      </c>
      <c r="Y26" s="1041" t="str">
        <f t="shared" ca="1" si="16"/>
        <v/>
      </c>
      <c r="Z26" s="1042" t="str">
        <f t="shared" ca="1" si="17"/>
        <v/>
      </c>
      <c r="AA26" s="1042" t="str">
        <f t="shared" si="18"/>
        <v/>
      </c>
      <c r="AB26" s="262"/>
      <c r="AC26" s="262"/>
      <c r="AD26" s="262"/>
    </row>
    <row r="27" spans="1:30" x14ac:dyDescent="0.25">
      <c r="A27" s="1026"/>
      <c r="B27" s="1026"/>
      <c r="C27" s="1026"/>
      <c r="D27" s="1026"/>
      <c r="E27" s="1031"/>
      <c r="F27" s="1096" t="str">
        <f t="shared" ca="1" si="3"/>
        <v/>
      </c>
      <c r="G27" s="1096" t="str">
        <f t="shared" si="19"/>
        <v/>
      </c>
      <c r="H27" s="1097" t="str">
        <f t="shared" ca="1" si="20"/>
        <v/>
      </c>
      <c r="I27" s="1037"/>
      <c r="J27" s="1098" t="str">
        <f t="shared" ca="1" si="21"/>
        <v/>
      </c>
      <c r="K27" s="1038" t="str">
        <f t="shared" ca="1" si="5"/>
        <v/>
      </c>
      <c r="L27" s="1038" t="str">
        <f t="shared" ca="1" si="22"/>
        <v/>
      </c>
      <c r="M27" s="1038" t="str">
        <f t="shared" ca="1" si="6"/>
        <v/>
      </c>
      <c r="N27" s="1032"/>
      <c r="O27" s="1038" t="str">
        <f t="shared" ca="1" si="7"/>
        <v/>
      </c>
      <c r="P27" s="1033"/>
      <c r="Q27" s="1038" t="str">
        <f t="shared" ca="1" si="8"/>
        <v/>
      </c>
      <c r="R27" s="1030" t="str">
        <f t="shared" ca="1" si="9"/>
        <v/>
      </c>
      <c r="S27" s="1038" t="str">
        <f t="shared" ca="1" si="10"/>
        <v/>
      </c>
      <c r="T27" s="1030" t="str">
        <f t="shared" ca="1" si="11"/>
        <v/>
      </c>
      <c r="U27" s="1038" t="str">
        <f t="shared" ca="1" si="12"/>
        <v/>
      </c>
      <c r="V27" s="1039" t="str">
        <f t="shared" ca="1" si="13"/>
        <v/>
      </c>
      <c r="W27" s="1040" t="str">
        <f t="shared" ca="1" si="14"/>
        <v/>
      </c>
      <c r="X27" s="1041" t="str">
        <f t="shared" ca="1" si="15"/>
        <v/>
      </c>
      <c r="Y27" s="1041" t="str">
        <f t="shared" ca="1" si="16"/>
        <v/>
      </c>
      <c r="Z27" s="1042" t="str">
        <f t="shared" ca="1" si="17"/>
        <v/>
      </c>
      <c r="AA27" s="1042" t="str">
        <f t="shared" si="18"/>
        <v/>
      </c>
      <c r="AB27" s="262"/>
      <c r="AC27" s="262"/>
      <c r="AD27" s="262"/>
    </row>
    <row r="28" spans="1:30" x14ac:dyDescent="0.25">
      <c r="A28" s="1026"/>
      <c r="B28" s="1026"/>
      <c r="C28" s="1026"/>
      <c r="D28" s="1026"/>
      <c r="E28" s="1031"/>
      <c r="F28" s="1096" t="str">
        <f t="shared" ca="1" si="3"/>
        <v/>
      </c>
      <c r="G28" s="1096" t="str">
        <f t="shared" si="19"/>
        <v/>
      </c>
      <c r="H28" s="1097" t="str">
        <f t="shared" ca="1" si="20"/>
        <v/>
      </c>
      <c r="I28" s="1037"/>
      <c r="J28" s="1098" t="str">
        <f t="shared" ca="1" si="21"/>
        <v/>
      </c>
      <c r="K28" s="1038" t="str">
        <f t="shared" ca="1" si="5"/>
        <v/>
      </c>
      <c r="L28" s="1038" t="str">
        <f t="shared" ca="1" si="22"/>
        <v/>
      </c>
      <c r="M28" s="1038" t="str">
        <f t="shared" ca="1" si="6"/>
        <v/>
      </c>
      <c r="N28" s="1032"/>
      <c r="O28" s="1038" t="str">
        <f t="shared" ca="1" si="7"/>
        <v/>
      </c>
      <c r="P28" s="1033"/>
      <c r="Q28" s="1038" t="str">
        <f t="shared" ca="1" si="8"/>
        <v/>
      </c>
      <c r="R28" s="1030" t="str">
        <f t="shared" ca="1" si="9"/>
        <v/>
      </c>
      <c r="S28" s="1038" t="str">
        <f t="shared" ca="1" si="10"/>
        <v/>
      </c>
      <c r="T28" s="1030" t="str">
        <f t="shared" ca="1" si="11"/>
        <v/>
      </c>
      <c r="U28" s="1038" t="str">
        <f t="shared" ca="1" si="12"/>
        <v/>
      </c>
      <c r="V28" s="1039" t="str">
        <f t="shared" ca="1" si="13"/>
        <v/>
      </c>
      <c r="W28" s="1040" t="str">
        <f t="shared" ca="1" si="14"/>
        <v/>
      </c>
      <c r="X28" s="1041" t="str">
        <f t="shared" ca="1" si="15"/>
        <v/>
      </c>
      <c r="Y28" s="1041" t="str">
        <f t="shared" ca="1" si="16"/>
        <v/>
      </c>
      <c r="Z28" s="1042" t="str">
        <f t="shared" ca="1" si="17"/>
        <v/>
      </c>
      <c r="AA28" s="1042" t="str">
        <f t="shared" si="18"/>
        <v/>
      </c>
      <c r="AB28" s="262"/>
      <c r="AC28" s="262"/>
      <c r="AD28" s="262"/>
    </row>
    <row r="29" spans="1:30" x14ac:dyDescent="0.25">
      <c r="A29" s="1026"/>
      <c r="B29" s="1026"/>
      <c r="C29" s="1026"/>
      <c r="D29" s="1026"/>
      <c r="E29" s="1031"/>
      <c r="F29" s="1096" t="str">
        <f t="shared" ca="1" si="3"/>
        <v/>
      </c>
      <c r="G29" s="1096" t="str">
        <f t="shared" si="19"/>
        <v/>
      </c>
      <c r="H29" s="1097" t="str">
        <f t="shared" ca="1" si="20"/>
        <v/>
      </c>
      <c r="I29" s="1037"/>
      <c r="J29" s="1098" t="str">
        <f t="shared" ca="1" si="21"/>
        <v/>
      </c>
      <c r="K29" s="1038" t="str">
        <f t="shared" ca="1" si="5"/>
        <v/>
      </c>
      <c r="L29" s="1038" t="str">
        <f t="shared" ca="1" si="22"/>
        <v/>
      </c>
      <c r="M29" s="1038" t="str">
        <f t="shared" ca="1" si="6"/>
        <v/>
      </c>
      <c r="N29" s="1032"/>
      <c r="O29" s="1038" t="str">
        <f t="shared" ca="1" si="7"/>
        <v/>
      </c>
      <c r="P29" s="1033"/>
      <c r="Q29" s="1038" t="str">
        <f t="shared" ca="1" si="8"/>
        <v/>
      </c>
      <c r="R29" s="1030" t="str">
        <f t="shared" ca="1" si="9"/>
        <v/>
      </c>
      <c r="S29" s="1038" t="str">
        <f t="shared" ca="1" si="10"/>
        <v/>
      </c>
      <c r="T29" s="1030" t="str">
        <f t="shared" ca="1" si="11"/>
        <v/>
      </c>
      <c r="U29" s="1038" t="str">
        <f t="shared" ca="1" si="12"/>
        <v/>
      </c>
      <c r="V29" s="1039" t="str">
        <f t="shared" ca="1" si="13"/>
        <v/>
      </c>
      <c r="W29" s="1040" t="str">
        <f t="shared" ca="1" si="14"/>
        <v/>
      </c>
      <c r="X29" s="1041" t="str">
        <f t="shared" ca="1" si="15"/>
        <v/>
      </c>
      <c r="Y29" s="1041" t="str">
        <f t="shared" ca="1" si="16"/>
        <v/>
      </c>
      <c r="Z29" s="1042" t="str">
        <f t="shared" ca="1" si="17"/>
        <v/>
      </c>
      <c r="AA29" s="1042" t="str">
        <f t="shared" si="18"/>
        <v/>
      </c>
      <c r="AB29" s="262"/>
      <c r="AC29" s="262"/>
      <c r="AD29" s="262"/>
    </row>
    <row r="30" spans="1:30" x14ac:dyDescent="0.25">
      <c r="A30" s="1026"/>
      <c r="B30" s="1026"/>
      <c r="C30" s="1026"/>
      <c r="D30" s="1026"/>
      <c r="E30" s="1031"/>
      <c r="F30" s="1096" t="str">
        <f t="shared" ca="1" si="3"/>
        <v/>
      </c>
      <c r="G30" s="1096" t="str">
        <f t="shared" si="19"/>
        <v/>
      </c>
      <c r="H30" s="1097" t="str">
        <f t="shared" ca="1" si="20"/>
        <v/>
      </c>
      <c r="I30" s="1037"/>
      <c r="J30" s="1098" t="str">
        <f t="shared" ca="1" si="21"/>
        <v/>
      </c>
      <c r="K30" s="1038" t="str">
        <f t="shared" ca="1" si="5"/>
        <v/>
      </c>
      <c r="L30" s="1038" t="str">
        <f t="shared" ca="1" si="22"/>
        <v/>
      </c>
      <c r="M30" s="1038" t="str">
        <f t="shared" ca="1" si="6"/>
        <v/>
      </c>
      <c r="N30" s="1032"/>
      <c r="O30" s="1038" t="str">
        <f t="shared" ca="1" si="7"/>
        <v/>
      </c>
      <c r="P30" s="1033"/>
      <c r="Q30" s="1038" t="str">
        <f t="shared" ca="1" si="8"/>
        <v/>
      </c>
      <c r="R30" s="1030" t="str">
        <f t="shared" ca="1" si="9"/>
        <v/>
      </c>
      <c r="S30" s="1038" t="str">
        <f t="shared" ca="1" si="10"/>
        <v/>
      </c>
      <c r="T30" s="1030" t="str">
        <f t="shared" ca="1" si="11"/>
        <v/>
      </c>
      <c r="U30" s="1038" t="str">
        <f t="shared" ca="1" si="12"/>
        <v/>
      </c>
      <c r="V30" s="1039" t="str">
        <f t="shared" ca="1" si="13"/>
        <v/>
      </c>
      <c r="W30" s="1040" t="str">
        <f t="shared" ca="1" si="14"/>
        <v/>
      </c>
      <c r="X30" s="1041" t="str">
        <f t="shared" ca="1" si="15"/>
        <v/>
      </c>
      <c r="Y30" s="1041" t="str">
        <f t="shared" ca="1" si="16"/>
        <v/>
      </c>
      <c r="Z30" s="1042" t="str">
        <f t="shared" ca="1" si="17"/>
        <v/>
      </c>
      <c r="AA30" s="1042" t="str">
        <f t="shared" si="18"/>
        <v/>
      </c>
      <c r="AB30" s="262"/>
      <c r="AC30" s="262"/>
      <c r="AD30" s="262"/>
    </row>
    <row r="31" spans="1:30" x14ac:dyDescent="0.25">
      <c r="A31" s="1026"/>
      <c r="B31" s="1026"/>
      <c r="C31" s="1026"/>
      <c r="D31" s="1026"/>
      <c r="E31" s="1031"/>
      <c r="F31" s="1096" t="str">
        <f t="shared" ca="1" si="3"/>
        <v/>
      </c>
      <c r="G31" s="1096" t="str">
        <f t="shared" ref="G31" si="23">IF(OR(D31="",D31&gt;2006),"",IF(H31="Retrofit",IF(OR(E31&gt;0.35, E31=0),INDEX(EUL,1)-$F31,INDEX(EUL,2)-$F31),0))</f>
        <v/>
      </c>
      <c r="H31" s="1097" t="str">
        <f t="shared" ref="H31" ca="1" si="24">IF(D31="","",IF(D31&gt;2006,"NA",IF(OR(E31&gt;0.35, E31=0), IF(YEAR(TODAY())-D31&lt;INDEX(EUL,1), INDEX(EventType,1), INDEX(EventType,2)), IF(YEAR(TODAY())-D31&lt;INDEX(EUL,2), INDEX(EventType,1), INDEX(EventType,2)))))</f>
        <v/>
      </c>
      <c r="I31" s="1037"/>
      <c r="J31" s="1098" t="str">
        <f t="shared" ref="J31" ca="1" si="25">_xlfn.IFNA(IF(H31="End of Life", VLOOKUP(A31, DOE2016.NLL,2), IF(H31="Retrofit", VLOOKUP(A31, PreTP1.NLL,2), IF(H31="NA", "NA", ""))), "")</f>
        <v/>
      </c>
      <c r="K31" s="1038" t="str">
        <f t="shared" ca="1" si="5"/>
        <v/>
      </c>
      <c r="L31" s="1038" t="str">
        <f t="shared" ref="L31" ca="1" si="26">_xlfn.IFNA(IF(H31="Retrofit", VLOOKUP(A31, DOE2016.NLL,2), ""), "")</f>
        <v/>
      </c>
      <c r="M31" s="1038" t="str">
        <f t="shared" ca="1" si="6"/>
        <v/>
      </c>
      <c r="N31" s="1032"/>
      <c r="O31" s="1038" t="str">
        <f t="shared" ca="1" si="7"/>
        <v/>
      </c>
      <c r="P31" s="1033"/>
      <c r="Q31" s="1038" t="str">
        <f t="shared" ca="1" si="8"/>
        <v/>
      </c>
      <c r="R31" s="1030" t="str">
        <f t="shared" ca="1" si="9"/>
        <v/>
      </c>
      <c r="S31" s="1038" t="str">
        <f t="shared" ca="1" si="10"/>
        <v/>
      </c>
      <c r="T31" s="1030" t="str">
        <f t="shared" ca="1" si="11"/>
        <v/>
      </c>
      <c r="U31" s="1038" t="str">
        <f t="shared" ca="1" si="12"/>
        <v/>
      </c>
      <c r="V31" s="1039" t="str">
        <f t="shared" ca="1" si="13"/>
        <v/>
      </c>
      <c r="W31" s="1040" t="str">
        <f t="shared" ca="1" si="14"/>
        <v/>
      </c>
      <c r="X31" s="1041" t="str">
        <f t="shared" ca="1" si="15"/>
        <v/>
      </c>
      <c r="Y31" s="1041" t="str">
        <f t="shared" ca="1" si="16"/>
        <v/>
      </c>
      <c r="Z31" s="1042" t="str">
        <f t="shared" ca="1" si="17"/>
        <v/>
      </c>
      <c r="AA31" s="1042" t="str">
        <f t="shared" si="18"/>
        <v/>
      </c>
      <c r="AB31" s="262"/>
      <c r="AC31" s="262"/>
      <c r="AD31" s="262"/>
    </row>
    <row r="32" spans="1:30" x14ac:dyDescent="0.25">
      <c r="A32" s="1026"/>
      <c r="B32" s="1026"/>
      <c r="C32" s="1026"/>
      <c r="D32" s="1026"/>
      <c r="E32" s="1031"/>
      <c r="F32" s="1096" t="str">
        <f t="shared" ca="1" si="3"/>
        <v/>
      </c>
      <c r="G32" s="1096" t="str">
        <f t="shared" si="4"/>
        <v/>
      </c>
      <c r="H32" s="1097" t="str">
        <f t="shared" ca="1" si="0"/>
        <v/>
      </c>
      <c r="I32" s="1037"/>
      <c r="J32" s="1098" t="str">
        <f t="shared" ca="1" si="1"/>
        <v/>
      </c>
      <c r="K32" s="1038" t="str">
        <f t="shared" ca="1" si="5"/>
        <v/>
      </c>
      <c r="L32" s="1038" t="str">
        <f t="shared" ca="1" si="2"/>
        <v/>
      </c>
      <c r="M32" s="1038" t="str">
        <f t="shared" ca="1" si="6"/>
        <v/>
      </c>
      <c r="N32" s="1032"/>
      <c r="O32" s="1038" t="str">
        <f t="shared" ca="1" si="7"/>
        <v/>
      </c>
      <c r="P32" s="1033"/>
      <c r="Q32" s="1038" t="str">
        <f t="shared" ca="1" si="8"/>
        <v/>
      </c>
      <c r="R32" s="1030" t="str">
        <f t="shared" ca="1" si="9"/>
        <v/>
      </c>
      <c r="S32" s="1038" t="str">
        <f t="shared" ca="1" si="10"/>
        <v/>
      </c>
      <c r="T32" s="1030" t="str">
        <f t="shared" ca="1" si="11"/>
        <v/>
      </c>
      <c r="U32" s="1038" t="str">
        <f t="shared" ca="1" si="12"/>
        <v/>
      </c>
      <c r="V32" s="1039" t="str">
        <f t="shared" ca="1" si="13"/>
        <v/>
      </c>
      <c r="W32" s="1040" t="str">
        <f t="shared" ca="1" si="14"/>
        <v/>
      </c>
      <c r="X32" s="1041" t="str">
        <f t="shared" ca="1" si="15"/>
        <v/>
      </c>
      <c r="Y32" s="1041" t="str">
        <f t="shared" ca="1" si="16"/>
        <v/>
      </c>
      <c r="Z32" s="1042" t="str">
        <f t="shared" ca="1" si="17"/>
        <v/>
      </c>
      <c r="AA32" s="1042" t="str">
        <f t="shared" si="18"/>
        <v/>
      </c>
      <c r="AB32" s="262"/>
      <c r="AC32" s="262"/>
      <c r="AD32" s="262"/>
    </row>
    <row r="33" spans="1:30" x14ac:dyDescent="0.25">
      <c r="A33" s="1026"/>
      <c r="B33" s="1026"/>
      <c r="C33" s="1026"/>
      <c r="D33" s="1026"/>
      <c r="E33" s="1031"/>
      <c r="F33" s="1096" t="str">
        <f t="shared" ca="1" si="3"/>
        <v/>
      </c>
      <c r="G33" s="1096" t="str">
        <f t="shared" si="4"/>
        <v/>
      </c>
      <c r="H33" s="1097" t="str">
        <f t="shared" ca="1" si="0"/>
        <v/>
      </c>
      <c r="I33" s="1037"/>
      <c r="J33" s="1098" t="str">
        <f t="shared" ca="1" si="1"/>
        <v/>
      </c>
      <c r="K33" s="1038" t="str">
        <f t="shared" ca="1" si="5"/>
        <v/>
      </c>
      <c r="L33" s="1038" t="str">
        <f t="shared" ca="1" si="2"/>
        <v/>
      </c>
      <c r="M33" s="1038" t="str">
        <f t="shared" ca="1" si="6"/>
        <v/>
      </c>
      <c r="N33" s="1032"/>
      <c r="O33" s="1038" t="str">
        <f t="shared" ca="1" si="7"/>
        <v/>
      </c>
      <c r="P33" s="1033"/>
      <c r="Q33" s="1038" t="str">
        <f t="shared" ca="1" si="8"/>
        <v/>
      </c>
      <c r="R33" s="1030" t="str">
        <f t="shared" ca="1" si="9"/>
        <v/>
      </c>
      <c r="S33" s="1038" t="str">
        <f t="shared" ca="1" si="10"/>
        <v/>
      </c>
      <c r="T33" s="1030" t="str">
        <f t="shared" ca="1" si="11"/>
        <v/>
      </c>
      <c r="U33" s="1038" t="str">
        <f t="shared" ca="1" si="12"/>
        <v/>
      </c>
      <c r="V33" s="1039" t="str">
        <f t="shared" ca="1" si="13"/>
        <v/>
      </c>
      <c r="W33" s="1040" t="str">
        <f t="shared" ca="1" si="14"/>
        <v/>
      </c>
      <c r="X33" s="1041" t="str">
        <f t="shared" ca="1" si="15"/>
        <v/>
      </c>
      <c r="Y33" s="1041" t="str">
        <f t="shared" ca="1" si="16"/>
        <v/>
      </c>
      <c r="Z33" s="1042" t="str">
        <f t="shared" ca="1" si="17"/>
        <v/>
      </c>
      <c r="AA33" s="1042" t="str">
        <f t="shared" si="18"/>
        <v/>
      </c>
      <c r="AB33" s="262"/>
      <c r="AC33" s="262"/>
      <c r="AD33" s="262"/>
    </row>
    <row r="34" spans="1:30" x14ac:dyDescent="0.25">
      <c r="A34" s="1026"/>
      <c r="B34" s="1026"/>
      <c r="C34" s="1026"/>
      <c r="D34" s="1026"/>
      <c r="E34" s="1031"/>
      <c r="F34" s="1096" t="str">
        <f t="shared" ca="1" si="3"/>
        <v/>
      </c>
      <c r="G34" s="1096" t="str">
        <f t="shared" si="4"/>
        <v/>
      </c>
      <c r="H34" s="1097" t="str">
        <f t="shared" ca="1" si="0"/>
        <v/>
      </c>
      <c r="I34" s="1037"/>
      <c r="J34" s="1098" t="str">
        <f t="shared" ca="1" si="1"/>
        <v/>
      </c>
      <c r="K34" s="1038" t="str">
        <f t="shared" ca="1" si="5"/>
        <v/>
      </c>
      <c r="L34" s="1038" t="str">
        <f t="shared" ca="1" si="2"/>
        <v/>
      </c>
      <c r="M34" s="1038" t="str">
        <f t="shared" ca="1" si="6"/>
        <v/>
      </c>
      <c r="N34" s="1032"/>
      <c r="O34" s="1038" t="str">
        <f t="shared" ca="1" si="7"/>
        <v/>
      </c>
      <c r="P34" s="1033"/>
      <c r="Q34" s="1038" t="str">
        <f t="shared" ca="1" si="8"/>
        <v/>
      </c>
      <c r="R34" s="1030" t="str">
        <f t="shared" ca="1" si="9"/>
        <v/>
      </c>
      <c r="S34" s="1038" t="str">
        <f t="shared" ca="1" si="10"/>
        <v/>
      </c>
      <c r="T34" s="1030" t="str">
        <f t="shared" ca="1" si="11"/>
        <v/>
      </c>
      <c r="U34" s="1038" t="str">
        <f t="shared" ca="1" si="12"/>
        <v/>
      </c>
      <c r="V34" s="1039" t="str">
        <f t="shared" ca="1" si="13"/>
        <v/>
      </c>
      <c r="W34" s="1040" t="str">
        <f t="shared" ca="1" si="14"/>
        <v/>
      </c>
      <c r="X34" s="1041" t="str">
        <f t="shared" ca="1" si="15"/>
        <v/>
      </c>
      <c r="Y34" s="1041" t="str">
        <f t="shared" ca="1" si="16"/>
        <v/>
      </c>
      <c r="Z34" s="1042" t="str">
        <f t="shared" ca="1" si="17"/>
        <v/>
      </c>
      <c r="AA34" s="1042" t="str">
        <f t="shared" si="18"/>
        <v/>
      </c>
      <c r="AB34" s="262"/>
      <c r="AC34" s="262"/>
      <c r="AD34" s="262"/>
    </row>
    <row r="35" spans="1:30" x14ac:dyDescent="0.25">
      <c r="A35" s="1026"/>
      <c r="B35" s="1026"/>
      <c r="C35" s="1026"/>
      <c r="D35" s="1026"/>
      <c r="E35" s="1031"/>
      <c r="F35" s="1096" t="str">
        <f t="shared" ca="1" si="3"/>
        <v/>
      </c>
      <c r="G35" s="1096" t="str">
        <f t="shared" si="4"/>
        <v/>
      </c>
      <c r="H35" s="1097" t="str">
        <f t="shared" ca="1" si="0"/>
        <v/>
      </c>
      <c r="I35" s="1037"/>
      <c r="J35" s="1098" t="str">
        <f t="shared" ca="1" si="1"/>
        <v/>
      </c>
      <c r="K35" s="1038" t="str">
        <f t="shared" ca="1" si="5"/>
        <v/>
      </c>
      <c r="L35" s="1038" t="str">
        <f t="shared" ca="1" si="2"/>
        <v/>
      </c>
      <c r="M35" s="1038" t="str">
        <f t="shared" ca="1" si="6"/>
        <v/>
      </c>
      <c r="N35" s="1032"/>
      <c r="O35" s="1038" t="str">
        <f t="shared" ca="1" si="7"/>
        <v/>
      </c>
      <c r="P35" s="1033"/>
      <c r="Q35" s="1038" t="str">
        <f t="shared" ca="1" si="8"/>
        <v/>
      </c>
      <c r="R35" s="1030" t="str">
        <f t="shared" ca="1" si="9"/>
        <v/>
      </c>
      <c r="S35" s="1038" t="str">
        <f t="shared" ca="1" si="10"/>
        <v/>
      </c>
      <c r="T35" s="1030" t="str">
        <f t="shared" ca="1" si="11"/>
        <v/>
      </c>
      <c r="U35" s="1038" t="str">
        <f t="shared" ca="1" si="12"/>
        <v/>
      </c>
      <c r="V35" s="1039" t="str">
        <f t="shared" ca="1" si="13"/>
        <v/>
      </c>
      <c r="W35" s="1040" t="str">
        <f t="shared" ca="1" si="14"/>
        <v/>
      </c>
      <c r="X35" s="1041" t="str">
        <f t="shared" ca="1" si="15"/>
        <v/>
      </c>
      <c r="Y35" s="1041" t="str">
        <f t="shared" ca="1" si="16"/>
        <v/>
      </c>
      <c r="Z35" s="1042" t="str">
        <f t="shared" ca="1" si="17"/>
        <v/>
      </c>
      <c r="AA35" s="1042" t="str">
        <f t="shared" si="18"/>
        <v/>
      </c>
      <c r="AB35" s="262"/>
      <c r="AC35" s="262"/>
      <c r="AD35" s="262"/>
    </row>
    <row r="36" spans="1:30" x14ac:dyDescent="0.25">
      <c r="A36" s="1026"/>
      <c r="B36" s="1026"/>
      <c r="C36" s="1026"/>
      <c r="D36" s="1026"/>
      <c r="E36" s="1031"/>
      <c r="F36" s="1096" t="str">
        <f t="shared" ca="1" si="3"/>
        <v/>
      </c>
      <c r="G36" s="1096" t="str">
        <f t="shared" si="4"/>
        <v/>
      </c>
      <c r="H36" s="1097" t="str">
        <f t="shared" ca="1" si="0"/>
        <v/>
      </c>
      <c r="I36" s="1037"/>
      <c r="J36" s="1098" t="str">
        <f t="shared" ca="1" si="1"/>
        <v/>
      </c>
      <c r="K36" s="1038" t="str">
        <f t="shared" ca="1" si="5"/>
        <v/>
      </c>
      <c r="L36" s="1038" t="str">
        <f t="shared" ca="1" si="2"/>
        <v/>
      </c>
      <c r="M36" s="1038" t="str">
        <f t="shared" ca="1" si="6"/>
        <v/>
      </c>
      <c r="N36" s="1032"/>
      <c r="O36" s="1038" t="str">
        <f t="shared" ca="1" si="7"/>
        <v/>
      </c>
      <c r="P36" s="1033"/>
      <c r="Q36" s="1038" t="str">
        <f t="shared" ca="1" si="8"/>
        <v/>
      </c>
      <c r="R36" s="1030" t="str">
        <f t="shared" ca="1" si="9"/>
        <v/>
      </c>
      <c r="S36" s="1038" t="str">
        <f t="shared" ca="1" si="10"/>
        <v/>
      </c>
      <c r="T36" s="1030" t="str">
        <f t="shared" ca="1" si="11"/>
        <v/>
      </c>
      <c r="U36" s="1038" t="str">
        <f t="shared" ca="1" si="12"/>
        <v/>
      </c>
      <c r="V36" s="1039" t="str">
        <f t="shared" ca="1" si="13"/>
        <v/>
      </c>
      <c r="W36" s="1040" t="str">
        <f t="shared" ca="1" si="14"/>
        <v/>
      </c>
      <c r="X36" s="1041" t="str">
        <f t="shared" ca="1" si="15"/>
        <v/>
      </c>
      <c r="Y36" s="1041" t="str">
        <f t="shared" ca="1" si="16"/>
        <v/>
      </c>
      <c r="Z36" s="1042" t="str">
        <f t="shared" ca="1" si="17"/>
        <v/>
      </c>
      <c r="AA36" s="1042" t="str">
        <f t="shared" si="18"/>
        <v/>
      </c>
      <c r="AB36" s="262"/>
      <c r="AC36" s="262"/>
      <c r="AD36" s="262"/>
    </row>
    <row r="37" spans="1:30" x14ac:dyDescent="0.25">
      <c r="A37" s="1026"/>
      <c r="B37" s="1026"/>
      <c r="C37" s="1026"/>
      <c r="D37" s="1026"/>
      <c r="E37" s="1031"/>
      <c r="F37" s="1096" t="str">
        <f t="shared" ca="1" si="3"/>
        <v/>
      </c>
      <c r="G37" s="1096" t="str">
        <f t="shared" si="4"/>
        <v/>
      </c>
      <c r="H37" s="1097" t="str">
        <f t="shared" ca="1" si="0"/>
        <v/>
      </c>
      <c r="I37" s="1037"/>
      <c r="J37" s="1098" t="str">
        <f t="shared" ca="1" si="1"/>
        <v/>
      </c>
      <c r="K37" s="1038" t="str">
        <f t="shared" ca="1" si="5"/>
        <v/>
      </c>
      <c r="L37" s="1038" t="str">
        <f t="shared" ca="1" si="2"/>
        <v/>
      </c>
      <c r="M37" s="1038" t="str">
        <f t="shared" ca="1" si="6"/>
        <v/>
      </c>
      <c r="N37" s="1032"/>
      <c r="O37" s="1038" t="str">
        <f t="shared" ca="1" si="7"/>
        <v/>
      </c>
      <c r="P37" s="1033"/>
      <c r="Q37" s="1038" t="str">
        <f t="shared" ca="1" si="8"/>
        <v/>
      </c>
      <c r="R37" s="1030" t="str">
        <f t="shared" ca="1" si="9"/>
        <v/>
      </c>
      <c r="S37" s="1038" t="str">
        <f t="shared" ca="1" si="10"/>
        <v/>
      </c>
      <c r="T37" s="1030" t="str">
        <f t="shared" ca="1" si="11"/>
        <v/>
      </c>
      <c r="U37" s="1038" t="str">
        <f t="shared" ca="1" si="12"/>
        <v/>
      </c>
      <c r="V37" s="1039" t="str">
        <f t="shared" ca="1" si="13"/>
        <v/>
      </c>
      <c r="W37" s="1040" t="str">
        <f t="shared" ca="1" si="14"/>
        <v/>
      </c>
      <c r="X37" s="1041" t="str">
        <f t="shared" ca="1" si="15"/>
        <v/>
      </c>
      <c r="Y37" s="1041" t="str">
        <f t="shared" ca="1" si="16"/>
        <v/>
      </c>
      <c r="Z37" s="1042" t="str">
        <f t="shared" ca="1" si="17"/>
        <v/>
      </c>
      <c r="AA37" s="1042" t="str">
        <f t="shared" si="18"/>
        <v/>
      </c>
      <c r="AB37" s="262"/>
      <c r="AC37" s="262"/>
      <c r="AD37" s="262"/>
    </row>
    <row r="38" spans="1:30" x14ac:dyDescent="0.25">
      <c r="A38" s="1026"/>
      <c r="B38" s="1026"/>
      <c r="C38" s="1026"/>
      <c r="D38" s="1026"/>
      <c r="E38" s="1031"/>
      <c r="F38" s="1096" t="str">
        <f t="shared" ca="1" si="3"/>
        <v/>
      </c>
      <c r="G38" s="1096" t="str">
        <f t="shared" si="4"/>
        <v/>
      </c>
      <c r="H38" s="1097" t="str">
        <f t="shared" ca="1" si="0"/>
        <v/>
      </c>
      <c r="I38" s="1037"/>
      <c r="J38" s="1098" t="str">
        <f t="shared" ca="1" si="1"/>
        <v/>
      </c>
      <c r="K38" s="1038" t="str">
        <f t="shared" ca="1" si="5"/>
        <v/>
      </c>
      <c r="L38" s="1038" t="str">
        <f t="shared" ca="1" si="2"/>
        <v/>
      </c>
      <c r="M38" s="1038" t="str">
        <f t="shared" ca="1" si="6"/>
        <v/>
      </c>
      <c r="N38" s="1032"/>
      <c r="O38" s="1038" t="str">
        <f t="shared" ca="1" si="7"/>
        <v/>
      </c>
      <c r="P38" s="1033"/>
      <c r="Q38" s="1038" t="str">
        <f t="shared" ca="1" si="8"/>
        <v/>
      </c>
      <c r="R38" s="1030" t="str">
        <f t="shared" ca="1" si="9"/>
        <v/>
      </c>
      <c r="S38" s="1038" t="str">
        <f t="shared" ca="1" si="10"/>
        <v/>
      </c>
      <c r="T38" s="1030" t="str">
        <f t="shared" ca="1" si="11"/>
        <v/>
      </c>
      <c r="U38" s="1038" t="str">
        <f t="shared" ca="1" si="12"/>
        <v/>
      </c>
      <c r="V38" s="1039" t="str">
        <f t="shared" ca="1" si="13"/>
        <v/>
      </c>
      <c r="W38" s="1040" t="str">
        <f t="shared" ca="1" si="14"/>
        <v/>
      </c>
      <c r="X38" s="1041" t="str">
        <f t="shared" ca="1" si="15"/>
        <v/>
      </c>
      <c r="Y38" s="1041" t="str">
        <f t="shared" ca="1" si="16"/>
        <v/>
      </c>
      <c r="Z38" s="1042" t="str">
        <f t="shared" ca="1" si="17"/>
        <v/>
      </c>
      <c r="AA38" s="1042" t="str">
        <f t="shared" si="18"/>
        <v/>
      </c>
      <c r="AB38" s="262"/>
      <c r="AC38" s="262"/>
      <c r="AD38" s="262"/>
    </row>
    <row r="39" spans="1:30" ht="15.75" x14ac:dyDescent="0.25">
      <c r="A39" s="1099" t="s">
        <v>7007</v>
      </c>
      <c r="B39" s="1100"/>
      <c r="C39" s="1100"/>
      <c r="D39" s="1100"/>
      <c r="E39" s="1100"/>
      <c r="F39" s="1100"/>
      <c r="G39" s="1100"/>
      <c r="H39" s="1100"/>
      <c r="I39" s="1100"/>
      <c r="J39" s="1100"/>
      <c r="K39" s="1100"/>
      <c r="L39" s="1100"/>
      <c r="M39" s="1100"/>
      <c r="N39" s="1100"/>
      <c r="O39" s="1100"/>
      <c r="P39" s="1100"/>
      <c r="Q39" s="1100"/>
      <c r="R39" s="1101"/>
      <c r="S39" s="1101"/>
      <c r="T39" s="1101"/>
      <c r="U39" s="1101"/>
      <c r="V39" s="1102">
        <f ca="1">ROUND(SUMIF(V17:V38,"&gt;0"),3)</f>
        <v>1.0509999999999999</v>
      </c>
      <c r="W39" s="1102">
        <f ca="1">ROUND(SUMIF(W17:W38,"&gt;0"),3)</f>
        <v>0.112</v>
      </c>
      <c r="X39" s="1103">
        <f ca="1">ROUND(SUMIF(X17:X38,"&gt;0"),2)</f>
        <v>9009.41</v>
      </c>
      <c r="Y39" s="1103">
        <f ca="1">ROUND(SUMIF(Y17:Y38,"&gt;0"),2)</f>
        <v>961.28</v>
      </c>
      <c r="Z39" s="1103">
        <f ca="1">ROUND(SUMIF(Z17:Z38,"&gt;0"),2)</f>
        <v>158002.51999999999</v>
      </c>
      <c r="AA39" s="1104"/>
      <c r="AB39" s="1105"/>
      <c r="AC39" s="262"/>
      <c r="AD39" s="262"/>
    </row>
    <row r="40" spans="1:30" x14ac:dyDescent="0.25">
      <c r="I40" s="1" t="s">
        <v>7008</v>
      </c>
      <c r="Y40" s="1"/>
      <c r="Z40" s="1"/>
      <c r="AA40" s="1"/>
      <c r="AB40" s="262"/>
      <c r="AD40" s="262"/>
    </row>
    <row r="42" spans="1:30" x14ac:dyDescent="0.25">
      <c r="V42" s="5"/>
      <c r="W42" s="5"/>
    </row>
    <row r="44" spans="1:30" x14ac:dyDescent="0.25">
      <c r="D44" s="338" t="s">
        <v>7009</v>
      </c>
      <c r="E44" s="262"/>
      <c r="F44" s="262"/>
      <c r="G44" s="338" t="s">
        <v>7010</v>
      </c>
      <c r="H44" s="262"/>
      <c r="I44" s="262"/>
      <c r="J44" s="338" t="s">
        <v>7011</v>
      </c>
      <c r="K44" s="262"/>
      <c r="L44" s="262"/>
      <c r="M44" s="262"/>
      <c r="N44" s="338" t="s">
        <v>7012</v>
      </c>
      <c r="O44" s="262"/>
      <c r="P44" s="338" t="s">
        <v>7013</v>
      </c>
    </row>
    <row r="45" spans="1:30" x14ac:dyDescent="0.25">
      <c r="A45" s="1106"/>
      <c r="B45" s="1106"/>
      <c r="D45" s="3093" t="s">
        <v>7014</v>
      </c>
      <c r="E45" s="3094"/>
      <c r="G45" s="3093" t="s">
        <v>7015</v>
      </c>
      <c r="H45" s="3094"/>
      <c r="J45" s="3095" t="s">
        <v>7016</v>
      </c>
      <c r="K45" s="3095"/>
      <c r="L45" s="3096"/>
      <c r="N45" s="1107" t="s">
        <v>7017</v>
      </c>
      <c r="P45" s="1107" t="s">
        <v>2724</v>
      </c>
      <c r="R45"/>
      <c r="W45" s="5"/>
      <c r="X45"/>
      <c r="Y45"/>
      <c r="AC45" s="1108" t="s">
        <v>7018</v>
      </c>
    </row>
    <row r="46" spans="1:30" ht="30" x14ac:dyDescent="0.25">
      <c r="A46" s="1109"/>
      <c r="B46" s="1109"/>
      <c r="D46" s="1110" t="s">
        <v>7019</v>
      </c>
      <c r="E46" s="1111" t="s">
        <v>7020</v>
      </c>
      <c r="G46" s="1110" t="s">
        <v>7019</v>
      </c>
      <c r="H46" s="1111" t="s">
        <v>7020</v>
      </c>
      <c r="J46" s="1112" t="s">
        <v>54</v>
      </c>
      <c r="K46" s="1113" t="s">
        <v>257</v>
      </c>
      <c r="L46" s="1113" t="s">
        <v>29</v>
      </c>
      <c r="N46" s="26" t="s">
        <v>7021</v>
      </c>
      <c r="P46" s="26">
        <v>30</v>
      </c>
      <c r="R46"/>
      <c r="S46"/>
      <c r="T46"/>
      <c r="U46"/>
      <c r="V46"/>
      <c r="W46"/>
      <c r="X46"/>
      <c r="Y46"/>
    </row>
    <row r="47" spans="1:30" x14ac:dyDescent="0.25">
      <c r="A47" s="191"/>
      <c r="B47" s="1034"/>
      <c r="D47" s="26">
        <v>10</v>
      </c>
      <c r="E47" s="1114">
        <v>233.66666666666666</v>
      </c>
      <c r="G47" s="26">
        <v>10</v>
      </c>
      <c r="H47" s="70">
        <f t="shared" ref="H47:H55" si="27">$H$56*(G47/$G$56)^0.74</f>
        <v>57.073253269989024</v>
      </c>
      <c r="J47" s="1063" t="s">
        <v>220</v>
      </c>
      <c r="K47" s="1115">
        <f>'EFLH &amp; CF'!I53</f>
        <v>2594</v>
      </c>
      <c r="L47" s="1116">
        <f>'EFLH &amp; CF'!M53</f>
        <v>0.38</v>
      </c>
      <c r="N47" s="26" t="s">
        <v>7022</v>
      </c>
      <c r="P47" s="26">
        <v>50</v>
      </c>
      <c r="R47"/>
      <c r="S47"/>
      <c r="T47"/>
      <c r="U47"/>
      <c r="V47"/>
      <c r="W47"/>
      <c r="X47"/>
      <c r="Y47"/>
    </row>
    <row r="48" spans="1:30" x14ac:dyDescent="0.25">
      <c r="A48" s="191"/>
      <c r="B48" s="1034"/>
      <c r="D48" s="1060">
        <v>15</v>
      </c>
      <c r="E48" s="1114">
        <v>286</v>
      </c>
      <c r="G48" s="1061">
        <v>15</v>
      </c>
      <c r="H48" s="70">
        <f t="shared" si="27"/>
        <v>77.044237342730455</v>
      </c>
      <c r="J48" s="1063" t="s">
        <v>221</v>
      </c>
      <c r="K48" s="1115" t="str">
        <f>'EFLH &amp; CF'!I54</f>
        <v>Varies</v>
      </c>
      <c r="L48" s="1116" t="str">
        <f>'EFLH &amp; CF'!M54</f>
        <v>Varies</v>
      </c>
      <c r="Q48"/>
      <c r="R48"/>
      <c r="S48"/>
      <c r="T48"/>
      <c r="U48"/>
      <c r="V48"/>
      <c r="W48"/>
      <c r="X48"/>
      <c r="Y48"/>
    </row>
    <row r="49" spans="1:29" x14ac:dyDescent="0.25">
      <c r="A49" s="191"/>
      <c r="B49" s="1034"/>
      <c r="D49" s="26">
        <v>20</v>
      </c>
      <c r="E49" s="1114">
        <v>461</v>
      </c>
      <c r="G49" s="26">
        <v>20</v>
      </c>
      <c r="H49" s="70">
        <f t="shared" si="27"/>
        <v>95.322368656487015</v>
      </c>
      <c r="J49" s="1063" t="s">
        <v>222</v>
      </c>
      <c r="K49" s="1115">
        <f>'EFLH &amp; CF'!I55</f>
        <v>2549</v>
      </c>
      <c r="L49" s="1116">
        <f>'EFLH &amp; CF'!M55</f>
        <v>0.43</v>
      </c>
      <c r="M49" s="1109"/>
      <c r="O49" s="1109"/>
      <c r="Q49"/>
      <c r="S49"/>
      <c r="T49"/>
      <c r="U49"/>
      <c r="V49"/>
      <c r="W49"/>
      <c r="X49"/>
      <c r="Y49"/>
      <c r="AC49" s="227" t="s">
        <v>7023</v>
      </c>
    </row>
    <row r="50" spans="1:29" x14ac:dyDescent="0.25">
      <c r="A50" s="191"/>
      <c r="B50" s="1034"/>
      <c r="D50" s="26">
        <v>25</v>
      </c>
      <c r="E50" s="1114">
        <v>282</v>
      </c>
      <c r="G50" s="26">
        <v>25</v>
      </c>
      <c r="H50" s="70">
        <f t="shared" si="27"/>
        <v>112.43673741841394</v>
      </c>
      <c r="J50" s="1063" t="s">
        <v>223</v>
      </c>
      <c r="K50" s="1115">
        <f>'EFLH &amp; CF'!I56</f>
        <v>1531</v>
      </c>
      <c r="L50" s="1116">
        <f>'EFLH &amp; CF'!M56</f>
        <v>0.27</v>
      </c>
      <c r="M50" s="1117"/>
      <c r="O50" s="1035"/>
      <c r="Q50"/>
      <c r="R50"/>
      <c r="S50"/>
      <c r="T50"/>
      <c r="U50"/>
      <c r="V50"/>
      <c r="W50"/>
      <c r="X50"/>
      <c r="Y50"/>
      <c r="AC50" s="227" t="s">
        <v>7024</v>
      </c>
    </row>
    <row r="51" spans="1:29" x14ac:dyDescent="0.25">
      <c r="A51" s="191"/>
      <c r="B51" s="1034"/>
      <c r="D51" s="1060">
        <v>30</v>
      </c>
      <c r="E51" s="1114">
        <v>443</v>
      </c>
      <c r="G51" s="1061">
        <v>30</v>
      </c>
      <c r="H51" s="70">
        <f t="shared" si="27"/>
        <v>128.67742373297253</v>
      </c>
      <c r="J51" s="1063" t="s">
        <v>224</v>
      </c>
      <c r="K51" s="1115">
        <f>'EFLH &amp; CF'!I57</f>
        <v>4891</v>
      </c>
      <c r="L51" s="1116">
        <f>'EFLH &amp; CF'!M57</f>
        <v>0.55000000000000004</v>
      </c>
      <c r="Q51"/>
      <c r="R51"/>
      <c r="S51"/>
      <c r="T51"/>
      <c r="U51"/>
      <c r="V51"/>
      <c r="W51"/>
      <c r="X51"/>
      <c r="Y51"/>
      <c r="AC51" s="227" t="s">
        <v>7025</v>
      </c>
    </row>
    <row r="52" spans="1:29" x14ac:dyDescent="0.25">
      <c r="A52" s="191"/>
      <c r="B52" s="1034"/>
      <c r="D52" s="26">
        <v>37.5</v>
      </c>
      <c r="E52" s="1114">
        <v>533</v>
      </c>
      <c r="G52" s="26">
        <v>37.5</v>
      </c>
      <c r="H52" s="70">
        <f t="shared" si="27"/>
        <v>151.7804258104492</v>
      </c>
      <c r="J52" s="1063" t="s">
        <v>225</v>
      </c>
      <c r="K52" s="1115">
        <f>'EFLH &amp; CF'!I58</f>
        <v>4910</v>
      </c>
      <c r="L52" s="1116">
        <f>'EFLH &amp; CF'!M58</f>
        <v>0.6</v>
      </c>
      <c r="M52" s="1109"/>
      <c r="Q52"/>
      <c r="R52"/>
      <c r="S52"/>
      <c r="T52"/>
      <c r="U52"/>
      <c r="V52"/>
      <c r="W52"/>
      <c r="X52"/>
      <c r="Y52"/>
    </row>
    <row r="53" spans="1:29" x14ac:dyDescent="0.25">
      <c r="A53" s="191"/>
      <c r="B53" s="1034"/>
      <c r="D53" s="1060">
        <v>45</v>
      </c>
      <c r="E53" s="1114">
        <v>623</v>
      </c>
      <c r="G53" s="1061">
        <v>45</v>
      </c>
      <c r="H53" s="70">
        <f t="shared" si="27"/>
        <v>173.70402783657786</v>
      </c>
      <c r="J53" s="1063" t="s">
        <v>226</v>
      </c>
      <c r="K53" s="1115" t="str">
        <f>'EFLH &amp; CF'!I59</f>
        <v>Varies</v>
      </c>
      <c r="L53" s="1116" t="str">
        <f>'EFLH &amp; CF'!M59</f>
        <v>Varies</v>
      </c>
      <c r="M53" s="7"/>
      <c r="Q53"/>
      <c r="R53"/>
      <c r="S53"/>
      <c r="T53"/>
      <c r="U53"/>
      <c r="V53"/>
      <c r="W53"/>
      <c r="X53"/>
      <c r="Y53"/>
    </row>
    <row r="54" spans="1:29" x14ac:dyDescent="0.25">
      <c r="A54" s="191"/>
      <c r="B54" s="1034"/>
      <c r="D54" s="26">
        <v>50</v>
      </c>
      <c r="E54" s="1114">
        <v>585</v>
      </c>
      <c r="G54" s="26">
        <v>50</v>
      </c>
      <c r="H54" s="70">
        <f t="shared" si="27"/>
        <v>187.78912223611434</v>
      </c>
      <c r="J54" s="1063" t="s">
        <v>55</v>
      </c>
      <c r="K54" s="1115">
        <f>'EFLH &amp; CF'!I60</f>
        <v>2754</v>
      </c>
      <c r="L54" s="1116">
        <f>'EFLH &amp; CF'!M60</f>
        <v>0.48</v>
      </c>
      <c r="M54" s="7"/>
      <c r="Q54"/>
      <c r="R54"/>
      <c r="S54"/>
      <c r="T54"/>
      <c r="U54"/>
      <c r="V54"/>
      <c r="W54"/>
      <c r="X54"/>
      <c r="Y54"/>
    </row>
    <row r="55" spans="1:29" x14ac:dyDescent="0.25">
      <c r="A55" s="191"/>
      <c r="B55" s="1034"/>
      <c r="D55" s="26">
        <v>63</v>
      </c>
      <c r="E55" s="1114">
        <v>765.8</v>
      </c>
      <c r="G55" s="26">
        <v>63</v>
      </c>
      <c r="H55" s="70">
        <f t="shared" si="27"/>
        <v>222.8151082440167</v>
      </c>
      <c r="J55" s="1063" t="s">
        <v>227</v>
      </c>
      <c r="K55" s="1115">
        <f>'EFLH &amp; CF'!I61</f>
        <v>2451</v>
      </c>
      <c r="L55" s="1116">
        <f>'EFLH &amp; CF'!M61</f>
        <v>0.4</v>
      </c>
      <c r="Q55"/>
      <c r="R55"/>
      <c r="S55"/>
      <c r="T55"/>
      <c r="U55"/>
      <c r="V55"/>
      <c r="W55"/>
      <c r="X55"/>
      <c r="Y55"/>
    </row>
    <row r="56" spans="1:29" x14ac:dyDescent="0.25">
      <c r="A56" s="191"/>
      <c r="B56" s="1034"/>
      <c r="D56" s="1060">
        <v>75</v>
      </c>
      <c r="E56" s="1114">
        <v>861</v>
      </c>
      <c r="G56" s="1061">
        <v>75</v>
      </c>
      <c r="H56" s="1118">
        <v>253.5</v>
      </c>
      <c r="J56" s="1063" t="s">
        <v>228</v>
      </c>
      <c r="K56" s="1115">
        <f>'EFLH &amp; CF'!I62</f>
        <v>1913</v>
      </c>
      <c r="L56" s="1116">
        <f>'EFLH &amp; CF'!M62</f>
        <v>0.28999999999999998</v>
      </c>
      <c r="Q56"/>
      <c r="R56"/>
      <c r="S56"/>
      <c r="T56"/>
      <c r="U56"/>
      <c r="V56"/>
      <c r="W56"/>
      <c r="X56"/>
      <c r="Y56"/>
    </row>
    <row r="57" spans="1:29" x14ac:dyDescent="0.25">
      <c r="A57" s="191"/>
      <c r="B57" s="1034"/>
      <c r="D57" s="26">
        <v>100</v>
      </c>
      <c r="E57" s="1114">
        <v>1089.6666666666667</v>
      </c>
      <c r="G57" s="26">
        <v>100</v>
      </c>
      <c r="H57" s="70">
        <f t="shared" ref="H57:H69" si="28">$H$56*(G57/$G$56)^0.74</f>
        <v>313.64085475887293</v>
      </c>
      <c r="J57" s="1063" t="s">
        <v>229</v>
      </c>
      <c r="K57" s="1115">
        <f>'EFLH &amp; CF'!I63</f>
        <v>1033</v>
      </c>
      <c r="L57" s="1116">
        <f>'EFLH &amp; CF'!M63</f>
        <v>0.01</v>
      </c>
      <c r="Q57"/>
      <c r="R57"/>
      <c r="S57"/>
      <c r="T57"/>
      <c r="U57"/>
      <c r="V57"/>
      <c r="W57"/>
      <c r="X57"/>
      <c r="Y57"/>
    </row>
    <row r="58" spans="1:29" x14ac:dyDescent="0.25">
      <c r="A58" s="262"/>
      <c r="B58" s="1036"/>
      <c r="D58" s="1060">
        <v>112.5</v>
      </c>
      <c r="E58" s="1114">
        <v>1204</v>
      </c>
      <c r="G58" s="1061">
        <v>112.5</v>
      </c>
      <c r="H58" s="70">
        <f t="shared" si="28"/>
        <v>342.2043259736879</v>
      </c>
      <c r="J58" s="262" t="s">
        <v>2684</v>
      </c>
      <c r="K58" s="683"/>
      <c r="L58" s="683"/>
      <c r="M58" s="683"/>
      <c r="Q58"/>
      <c r="R58"/>
      <c r="S58"/>
      <c r="T58"/>
      <c r="U58"/>
      <c r="V58"/>
      <c r="W58"/>
      <c r="X58"/>
      <c r="Y58"/>
    </row>
    <row r="59" spans="1:29" x14ac:dyDescent="0.25">
      <c r="A59" s="191"/>
      <c r="B59" s="1034"/>
      <c r="D59" s="26">
        <v>125</v>
      </c>
      <c r="E59" s="1114">
        <v>1300.6666666666667</v>
      </c>
      <c r="G59" s="26">
        <v>125</v>
      </c>
      <c r="H59" s="70">
        <f t="shared" si="28"/>
        <v>369.95256126391286</v>
      </c>
      <c r="Q59"/>
      <c r="R59"/>
      <c r="S59"/>
      <c r="T59"/>
      <c r="U59"/>
      <c r="V59"/>
      <c r="W59"/>
      <c r="X59"/>
      <c r="Y59"/>
    </row>
    <row r="60" spans="1:29" x14ac:dyDescent="0.25">
      <c r="D60" s="1060">
        <v>150</v>
      </c>
      <c r="E60" s="1114">
        <v>1494</v>
      </c>
      <c r="G60" s="1061">
        <v>150</v>
      </c>
      <c r="H60" s="70">
        <f t="shared" si="28"/>
        <v>423.38957515018325</v>
      </c>
      <c r="Q60"/>
      <c r="R60"/>
      <c r="S60"/>
      <c r="T60"/>
      <c r="U60"/>
      <c r="V60"/>
      <c r="W60"/>
      <c r="X60"/>
      <c r="Y60"/>
    </row>
    <row r="61" spans="1:29" x14ac:dyDescent="0.25">
      <c r="A61" s="1106"/>
      <c r="B61" s="1106"/>
      <c r="D61" s="26">
        <v>167</v>
      </c>
      <c r="E61" s="1114">
        <v>1570.3866666666668</v>
      </c>
      <c r="G61" s="26">
        <v>167</v>
      </c>
      <c r="H61" s="70">
        <f t="shared" si="28"/>
        <v>458.39810901324586</v>
      </c>
      <c r="Q61"/>
      <c r="R61"/>
      <c r="S61"/>
      <c r="T61"/>
      <c r="U61"/>
      <c r="V61"/>
      <c r="W61"/>
      <c r="X61"/>
      <c r="Y61"/>
    </row>
    <row r="62" spans="1:29" x14ac:dyDescent="0.25">
      <c r="A62" s="1109"/>
      <c r="B62" s="1109"/>
      <c r="D62" s="26">
        <v>200</v>
      </c>
      <c r="E62" s="1114">
        <v>1718.6666666666667</v>
      </c>
      <c r="G62" s="26">
        <v>200</v>
      </c>
      <c r="H62" s="70">
        <f t="shared" si="28"/>
        <v>523.83537769664508</v>
      </c>
      <c r="Q62"/>
      <c r="R62"/>
      <c r="S62"/>
      <c r="T62"/>
      <c r="U62"/>
      <c r="V62"/>
      <c r="W62"/>
      <c r="X62"/>
      <c r="Y62"/>
    </row>
    <row r="63" spans="1:29" x14ac:dyDescent="0.25">
      <c r="A63" s="191"/>
      <c r="B63" s="1034"/>
      <c r="D63" s="1060">
        <v>225</v>
      </c>
      <c r="E63" s="1114">
        <v>1831</v>
      </c>
      <c r="G63" s="1061">
        <v>225</v>
      </c>
      <c r="H63" s="70">
        <f t="shared" si="28"/>
        <v>571.54139719350906</v>
      </c>
      <c r="Q63"/>
      <c r="R63"/>
      <c r="S63"/>
      <c r="T63"/>
      <c r="U63"/>
      <c r="V63"/>
      <c r="W63"/>
      <c r="X63"/>
      <c r="Y63"/>
    </row>
    <row r="64" spans="1:29" x14ac:dyDescent="0.25">
      <c r="A64" s="191"/>
      <c r="B64" s="1034"/>
      <c r="D64" s="26">
        <v>250</v>
      </c>
      <c r="E64" s="1114">
        <v>2030.3333333333333</v>
      </c>
      <c r="G64" s="26">
        <v>250</v>
      </c>
      <c r="H64" s="70">
        <f t="shared" si="28"/>
        <v>617.88582934615465</v>
      </c>
      <c r="Q64"/>
      <c r="R64"/>
      <c r="S64"/>
      <c r="T64"/>
      <c r="U64"/>
      <c r="V64"/>
      <c r="W64"/>
      <c r="X64"/>
      <c r="Y64"/>
    </row>
    <row r="65" spans="1:25" x14ac:dyDescent="0.25">
      <c r="A65" s="191"/>
      <c r="B65" s="1034"/>
      <c r="D65" s="1060">
        <v>300</v>
      </c>
      <c r="E65" s="1114">
        <v>2429</v>
      </c>
      <c r="G65" s="1061">
        <v>300</v>
      </c>
      <c r="H65" s="70">
        <f t="shared" si="28"/>
        <v>707.13503883965564</v>
      </c>
      <c r="Q65"/>
      <c r="R65"/>
      <c r="S65"/>
      <c r="T65"/>
      <c r="U65"/>
      <c r="V65"/>
      <c r="W65"/>
      <c r="X65"/>
      <c r="Y65"/>
    </row>
    <row r="66" spans="1:25" x14ac:dyDescent="0.25">
      <c r="A66" s="191"/>
      <c r="B66" s="1034"/>
      <c r="D66" s="26">
        <v>400</v>
      </c>
      <c r="E66" s="1114">
        <v>2740.3333333333335</v>
      </c>
      <c r="G66" s="26">
        <v>400</v>
      </c>
      <c r="H66" s="70">
        <f t="shared" si="28"/>
        <v>874.89719136733095</v>
      </c>
      <c r="Q66"/>
      <c r="R66"/>
      <c r="S66"/>
      <c r="T66"/>
      <c r="U66"/>
      <c r="V66"/>
      <c r="W66"/>
      <c r="X66"/>
      <c r="Y66"/>
    </row>
    <row r="67" spans="1:25" x14ac:dyDescent="0.25">
      <c r="A67" s="191"/>
      <c r="B67" s="1034"/>
      <c r="D67" s="1060">
        <v>500</v>
      </c>
      <c r="E67" s="1114">
        <v>3269</v>
      </c>
      <c r="G67" s="1061">
        <v>500</v>
      </c>
      <c r="H67" s="70">
        <f t="shared" si="28"/>
        <v>1031.9779833459056</v>
      </c>
      <c r="Q67"/>
      <c r="R67"/>
      <c r="S67"/>
      <c r="T67"/>
      <c r="U67"/>
      <c r="V67"/>
      <c r="W67"/>
      <c r="X67"/>
      <c r="Y67"/>
    </row>
    <row r="68" spans="1:25" x14ac:dyDescent="0.25">
      <c r="A68" s="191"/>
      <c r="B68" s="1034"/>
      <c r="D68" s="26">
        <v>750</v>
      </c>
      <c r="E68" s="1114">
        <v>3830</v>
      </c>
      <c r="G68" s="26">
        <v>750</v>
      </c>
      <c r="H68" s="70">
        <f t="shared" si="28"/>
        <v>1393.0861152290784</v>
      </c>
      <c r="Q68"/>
      <c r="R68"/>
      <c r="S68"/>
      <c r="T68"/>
      <c r="U68"/>
      <c r="V68"/>
      <c r="W68"/>
      <c r="X68"/>
      <c r="Y68"/>
    </row>
    <row r="69" spans="1:25" x14ac:dyDescent="0.25">
      <c r="A69" s="191"/>
      <c r="B69" s="1034"/>
      <c r="D69" s="26">
        <v>1000</v>
      </c>
      <c r="E69" s="1114"/>
      <c r="G69" s="26">
        <v>1000</v>
      </c>
      <c r="H69" s="70">
        <f t="shared" si="28"/>
        <v>1723.5846940164333</v>
      </c>
      <c r="Q69"/>
      <c r="R69"/>
      <c r="S69"/>
      <c r="T69"/>
      <c r="U69"/>
      <c r="V69"/>
      <c r="W69"/>
      <c r="X69"/>
      <c r="Y69"/>
    </row>
    <row r="70" spans="1:25" x14ac:dyDescent="0.25">
      <c r="A70" s="191"/>
      <c r="B70" s="1034"/>
      <c r="K70" s="7"/>
      <c r="X70"/>
      <c r="Y70"/>
    </row>
    <row r="71" spans="1:25" x14ac:dyDescent="0.25">
      <c r="A71" s="191"/>
      <c r="B71" s="1034"/>
      <c r="K71" s="7"/>
      <c r="X71"/>
      <c r="Y71"/>
    </row>
    <row r="72" spans="1:25" x14ac:dyDescent="0.25">
      <c r="A72" s="191"/>
      <c r="B72" s="1034"/>
      <c r="K72" s="7"/>
      <c r="X72"/>
      <c r="Y72"/>
    </row>
    <row r="73" spans="1:25" x14ac:dyDescent="0.25">
      <c r="B73" s="191"/>
      <c r="K73" s="7"/>
      <c r="X73"/>
      <c r="Y73"/>
    </row>
  </sheetData>
  <sheetProtection algorithmName="SHA-512" hashValue="i1MIMBVCZ/fc2W3Vi6HMi5wpJxxCICqLMpiqJzZyRoHQdavb1u5/+I+kfY0H/uwWwFr15h6s+57PxEGagjbCKw==" saltValue="Am9QiSdcB4JLIvtwwSJx9g==" spinCount="100000" sheet="1" objects="1" scenarios="1"/>
  <protectedRanges>
    <protectedRange sqref="A47:A59 D47:D59" name="Range1_2"/>
  </protectedRanges>
  <mergeCells count="20">
    <mergeCell ref="V15:W15"/>
    <mergeCell ref="X15:Y15"/>
    <mergeCell ref="Z15:Z16"/>
    <mergeCell ref="AA15:AA16"/>
    <mergeCell ref="D45:E45"/>
    <mergeCell ref="G45:H45"/>
    <mergeCell ref="J45:L45"/>
    <mergeCell ref="G15:G16"/>
    <mergeCell ref="H15:H16"/>
    <mergeCell ref="I15:K15"/>
    <mergeCell ref="L15:M15"/>
    <mergeCell ref="N15:O15"/>
    <mergeCell ref="P15:U15"/>
    <mergeCell ref="D4:F4"/>
    <mergeCell ref="A15:A16"/>
    <mergeCell ref="B15:B16"/>
    <mergeCell ref="C15:C16"/>
    <mergeCell ref="D15:D16"/>
    <mergeCell ref="E15:E16"/>
    <mergeCell ref="F15:F16"/>
  </mergeCells>
  <dataValidations count="6">
    <dataValidation type="list" allowBlank="1" showInputMessage="1" showErrorMessage="1" sqref="A17:A38" xr:uid="{FD88E2C8-D6AB-4511-9344-C36046E0BA96}">
      <formula1>$D$47:$D$69</formula1>
    </dataValidation>
    <dataValidation type="list" allowBlank="1" showInputMessage="1" showErrorMessage="1" sqref="D4:F4" xr:uid="{330E6277-EE68-4D4B-B361-F65A49863349}">
      <formula1>$J$47:$J$57</formula1>
    </dataValidation>
    <dataValidation type="list" allowBlank="1" showInputMessage="1" showErrorMessage="1" sqref="I14" xr:uid="{FE69F751-5906-4F46-A045-5E5FDDAA652B}">
      <formula1>$AC$19:$AC$20</formula1>
    </dataValidation>
    <dataValidation type="list" allowBlank="1" showInputMessage="1" showErrorMessage="1" error="Use drop down, Yes or No only" sqref="P17:P38" xr:uid="{C4A24FF5-93DD-47A3-A174-394B17FB2435}">
      <formula1>"Yes, No"</formula1>
    </dataValidation>
    <dataValidation type="whole" operator="greaterThanOrEqual" allowBlank="1" showInputMessage="1" showErrorMessage="1" sqref="B17:B38" xr:uid="{7444CC77-8980-45EB-9C2A-6B9A59BDAF00}">
      <formula1>0</formula1>
    </dataValidation>
    <dataValidation type="decimal" operator="greaterThanOrEqual" allowBlank="1" showInputMessage="1" showErrorMessage="1" sqref="R17:U38" xr:uid="{D9B023B7-260F-415A-9432-E0FDEC6BC9B0}">
      <formula1>0</formula1>
    </dataValidation>
  </dataValidations>
  <hyperlinks>
    <hyperlink ref="A2" location="TOC!A1" display="Return to TOC" xr:uid="{643A8F28-A778-4614-994F-B24D9DBE73BF}"/>
  </hyperlinks>
  <pageMargins left="0.7" right="0.7" top="0.75" bottom="0.75" header="0.3" footer="0.3"/>
  <ignoredErrors>
    <ignoredError sqref="T17:T38" formula="1"/>
  </ignoredErrors>
  <legacy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37">
    <tabColor theme="1"/>
    <pageSetUpPr autoPageBreaks="0"/>
  </sheetPr>
  <dimension ref="A1"/>
  <sheetViews>
    <sheetView workbookViewId="0">
      <selection sqref="A1:AF1"/>
    </sheetView>
  </sheetViews>
  <sheetFormatPr defaultRowHeight="15" x14ac:dyDescent="0.25"/>
  <sheetData/>
  <sheetProtection algorithmName="SHA-512" hashValue="Luvg1ml2WE90RQMhb2l2U8SFYv/dirQBbAJ39Q3PuuQD4kmfuc8/f720SmFISuB0QgpTE4jPUyDYxc8+CU7g6g==" saltValue="aEWa86NagFo4lDKioa7UZg==" spinCount="100000" sheet="1" objects="1" scenarios="1"/>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8">
    <tabColor theme="4" tint="0.79998168889431442"/>
    <pageSetUpPr autoPageBreaks="0"/>
  </sheetPr>
  <dimension ref="A1:BG122"/>
  <sheetViews>
    <sheetView workbookViewId="0">
      <selection sqref="A1:AF1"/>
    </sheetView>
  </sheetViews>
  <sheetFormatPr defaultColWidth="2.7109375" defaultRowHeight="15" x14ac:dyDescent="0.25"/>
  <cols>
    <col min="1" max="16384" width="2.7109375" style="1"/>
  </cols>
  <sheetData>
    <row r="1" spans="1:38" customFormat="1" ht="18.75" x14ac:dyDescent="0.25">
      <c r="A1" s="1464" t="s">
        <v>1154</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G1" s="1"/>
      <c r="AH1" s="1"/>
      <c r="AI1" s="1"/>
      <c r="AL1" s="902"/>
    </row>
    <row r="2" spans="1:38" customFormat="1" ht="18.75" x14ac:dyDescent="0.25">
      <c r="A2" s="655"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1"/>
      <c r="AH2" s="1"/>
      <c r="AI2" s="1"/>
      <c r="AL2" s="893"/>
    </row>
    <row r="3" spans="1:38" customFormat="1"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c r="AG3" s="1"/>
      <c r="AH3" s="1"/>
      <c r="AI3" s="1"/>
      <c r="AL3" s="839"/>
    </row>
    <row r="4" spans="1:38" customFormat="1"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
      <c r="AH4" s="1"/>
      <c r="AI4" s="1"/>
      <c r="AL4" s="839"/>
    </row>
    <row r="5" spans="1:38" customFormat="1" x14ac:dyDescent="0.25">
      <c r="A5" s="262"/>
      <c r="B5" s="1589" t="s">
        <v>5830</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
      <c r="AH5" s="1"/>
      <c r="AI5" s="1"/>
      <c r="AL5" s="624"/>
    </row>
    <row r="6" spans="1:38" customFormat="1" x14ac:dyDescent="0.25">
      <c r="A6" s="227"/>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L6" s="839"/>
    </row>
    <row r="7" spans="1:38" customFormat="1"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c r="AG7" s="1"/>
      <c r="AH7" s="1"/>
      <c r="AI7" s="1"/>
      <c r="AL7" s="839"/>
    </row>
    <row r="8" spans="1:38" customFormat="1" x14ac:dyDescent="0.25">
      <c r="A8" s="19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
      <c r="AH8" s="1"/>
      <c r="AI8" s="1"/>
      <c r="AL8" s="839"/>
    </row>
    <row r="9" spans="1:38" customFormat="1"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c r="AG9" s="1"/>
      <c r="AH9" s="1"/>
      <c r="AI9" s="1"/>
      <c r="AL9" s="839"/>
    </row>
    <row r="10" spans="1:38" customFormat="1" ht="31.5" customHeight="1" x14ac:dyDescent="0.25">
      <c r="A10" s="262"/>
      <c r="B10" s="1173" t="s">
        <v>6259</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G10" s="1"/>
      <c r="AH10" s="1"/>
      <c r="AI10" s="1"/>
      <c r="AL10" s="624"/>
    </row>
    <row r="11" spans="1:38" customFormat="1"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G11" s="1"/>
      <c r="AH11" s="1"/>
      <c r="AI11" s="1"/>
      <c r="AL11" s="839"/>
    </row>
    <row r="12" spans="1:38" customFormat="1"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1"/>
      <c r="AH12" s="1"/>
      <c r="AI12" s="1"/>
      <c r="AL12" s="839"/>
    </row>
    <row r="13" spans="1:38" customFormat="1" ht="33" customHeight="1" x14ac:dyDescent="0.25">
      <c r="A13" s="262"/>
      <c r="B13" s="1173" t="s">
        <v>6260</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G13" s="1"/>
      <c r="AH13" s="1"/>
      <c r="AI13" s="1"/>
      <c r="AL13" s="624"/>
    </row>
    <row r="14" spans="1:38" customFormat="1" x14ac:dyDescent="0.2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1"/>
      <c r="AH14" s="1"/>
      <c r="AI14" s="1"/>
      <c r="AL14" s="839"/>
    </row>
    <row r="15" spans="1:38" customFormat="1" x14ac:dyDescent="0.25">
      <c r="A15" s="262"/>
      <c r="B15" s="1845" t="s">
        <v>12</v>
      </c>
      <c r="C15" s="1845"/>
      <c r="D15" s="1845"/>
      <c r="E15" s="1845"/>
      <c r="F15" s="1845"/>
      <c r="G15" s="1845"/>
      <c r="H15" s="1845"/>
      <c r="I15" s="1845"/>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1"/>
      <c r="AH15" s="1"/>
      <c r="AI15" s="1"/>
      <c r="AL15" s="839"/>
    </row>
    <row r="16" spans="1:38" customFormat="1" x14ac:dyDescent="0.25">
      <c r="A16" s="262"/>
      <c r="B16" s="1703" t="s">
        <v>6261</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c r="AG16" s="1"/>
      <c r="AH16" s="1"/>
      <c r="AI16" s="1"/>
      <c r="AL16" s="624"/>
    </row>
    <row r="17" spans="1:38" customFormat="1" x14ac:dyDescent="0.25">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1"/>
      <c r="AH17" s="1"/>
      <c r="AI17" s="1"/>
      <c r="AL17" s="839"/>
    </row>
    <row r="18" spans="1:38" customFormat="1" x14ac:dyDescent="0.25">
      <c r="A18" s="262"/>
      <c r="B18" s="1845" t="s">
        <v>13</v>
      </c>
      <c r="C18" s="1845"/>
      <c r="D18" s="1845"/>
      <c r="E18" s="1845"/>
      <c r="F18" s="1845"/>
      <c r="G18" s="1845"/>
      <c r="H18" s="1845"/>
      <c r="I18" s="1845"/>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1"/>
      <c r="AH18" s="1"/>
      <c r="AI18" s="1"/>
      <c r="AL18" s="839"/>
    </row>
    <row r="19" spans="1:38" customFormat="1" ht="75" customHeight="1" x14ac:dyDescent="0.25">
      <c r="A19" s="262"/>
      <c r="B19" s="1173" t="s">
        <v>6262</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G19" s="1"/>
      <c r="AH19" s="1"/>
      <c r="AI19" s="1"/>
      <c r="AL19" s="624"/>
    </row>
    <row r="20" spans="1:38" customFormat="1" x14ac:dyDescent="0.25">
      <c r="A20" s="262"/>
      <c r="B20" s="647"/>
      <c r="C20" s="647"/>
      <c r="D20" s="647"/>
      <c r="E20" s="647"/>
      <c r="F20" s="647"/>
      <c r="G20" s="647"/>
      <c r="H20" s="647"/>
      <c r="I20" s="647"/>
      <c r="J20" s="647"/>
      <c r="K20" s="647"/>
      <c r="L20" s="647"/>
      <c r="M20" s="647"/>
      <c r="N20" s="647"/>
      <c r="O20" s="647"/>
      <c r="P20" s="647"/>
      <c r="Q20" s="647"/>
      <c r="R20" s="647"/>
      <c r="S20" s="647"/>
      <c r="T20" s="647"/>
      <c r="U20" s="647"/>
      <c r="V20" s="647"/>
      <c r="W20" s="647"/>
      <c r="X20" s="647"/>
      <c r="Y20" s="647"/>
      <c r="Z20" s="647"/>
      <c r="AA20" s="647"/>
      <c r="AB20" s="647"/>
      <c r="AC20" s="647"/>
      <c r="AD20" s="647"/>
      <c r="AE20" s="647"/>
      <c r="AF20" s="647"/>
      <c r="AG20" s="1"/>
      <c r="AH20" s="1"/>
      <c r="AI20" s="1"/>
      <c r="AL20" s="624"/>
    </row>
    <row r="21" spans="1:38" customFormat="1" ht="36.75" customHeight="1" x14ac:dyDescent="0.25">
      <c r="A21" s="262"/>
      <c r="B21" s="3120" t="s">
        <v>6321</v>
      </c>
      <c r="C21" s="3120"/>
      <c r="D21" s="3120"/>
      <c r="E21" s="3120"/>
      <c r="F21" s="3120"/>
      <c r="G21" s="3120"/>
      <c r="H21" s="3120"/>
      <c r="I21" s="3120"/>
      <c r="J21" s="3120"/>
      <c r="K21" s="3120"/>
      <c r="L21" s="3120"/>
      <c r="M21" s="3120"/>
      <c r="N21" s="3120"/>
      <c r="O21" s="3120"/>
      <c r="P21" s="3120"/>
      <c r="Q21" s="3120"/>
      <c r="R21" s="3120"/>
      <c r="S21" s="3120"/>
      <c r="T21" s="3120"/>
      <c r="U21" s="3120"/>
      <c r="V21" s="3120"/>
      <c r="W21" s="3120"/>
      <c r="X21" s="3120"/>
      <c r="Y21" s="3120"/>
      <c r="Z21" s="3120"/>
      <c r="AA21" s="3120"/>
      <c r="AB21" s="3120"/>
      <c r="AC21" s="3120"/>
      <c r="AD21" s="3120"/>
      <c r="AE21" s="3120"/>
      <c r="AF21" s="3120"/>
      <c r="AG21" s="1"/>
      <c r="AH21" s="1"/>
      <c r="AI21" s="1"/>
      <c r="AL21" s="624"/>
    </row>
    <row r="22" spans="1:38" customFormat="1" ht="58.5" customHeight="1" x14ac:dyDescent="0.25">
      <c r="A22" s="262"/>
      <c r="B22" s="1537" t="s">
        <v>6263</v>
      </c>
      <c r="C22" s="1537"/>
      <c r="D22" s="1537"/>
      <c r="E22" s="1537"/>
      <c r="F22" s="1537"/>
      <c r="G22" s="1537"/>
      <c r="H22" s="1537"/>
      <c r="I22" s="1537"/>
      <c r="J22" s="1537"/>
      <c r="K22" s="1537"/>
      <c r="L22" s="1537" t="s">
        <v>6264</v>
      </c>
      <c r="M22" s="1537"/>
      <c r="N22" s="1537"/>
      <c r="O22" s="1537"/>
      <c r="P22" s="1537"/>
      <c r="Q22" s="1537"/>
      <c r="R22" s="1537"/>
      <c r="S22" s="1537" t="s">
        <v>6265</v>
      </c>
      <c r="T22" s="1537"/>
      <c r="U22" s="1537"/>
      <c r="V22" s="1537"/>
      <c r="W22" s="1537"/>
      <c r="X22" s="1537"/>
      <c r="Y22" s="1537"/>
      <c r="Z22" s="1537" t="s">
        <v>6266</v>
      </c>
      <c r="AA22" s="1537"/>
      <c r="AB22" s="1537"/>
      <c r="AC22" s="1537"/>
      <c r="AD22" s="1537"/>
      <c r="AE22" s="1537"/>
      <c r="AF22" s="1537"/>
      <c r="AG22" s="1"/>
      <c r="AH22" s="1"/>
      <c r="AI22" s="1"/>
      <c r="AL22" s="624"/>
    </row>
    <row r="23" spans="1:38" customFormat="1" ht="35.25" customHeight="1" x14ac:dyDescent="0.25">
      <c r="A23" s="262"/>
      <c r="B23" s="1494" t="s">
        <v>6267</v>
      </c>
      <c r="C23" s="1495"/>
      <c r="D23" s="1495"/>
      <c r="E23" s="1495"/>
      <c r="F23" s="1495"/>
      <c r="G23" s="1495"/>
      <c r="H23" s="1495"/>
      <c r="I23" s="1495"/>
      <c r="J23" s="1495"/>
      <c r="K23" s="1496"/>
      <c r="L23" s="1674">
        <v>1.57</v>
      </c>
      <c r="M23" s="1674"/>
      <c r="N23" s="1674"/>
      <c r="O23" s="1674"/>
      <c r="P23" s="1674"/>
      <c r="Q23" s="1674"/>
      <c r="R23" s="1674"/>
      <c r="S23" s="1674">
        <v>6.5</v>
      </c>
      <c r="T23" s="1674"/>
      <c r="U23" s="1674"/>
      <c r="V23" s="1674"/>
      <c r="W23" s="1674"/>
      <c r="X23" s="1674"/>
      <c r="Y23" s="1674"/>
      <c r="Z23" s="3121">
        <v>0.75316776482513936</v>
      </c>
      <c r="AA23" s="3121"/>
      <c r="AB23" s="3121"/>
      <c r="AC23" s="3121"/>
      <c r="AD23" s="3121"/>
      <c r="AE23" s="3121"/>
      <c r="AF23" s="3121"/>
      <c r="AG23" s="1"/>
      <c r="AH23" s="1"/>
      <c r="AI23" s="1"/>
      <c r="AL23" s="624"/>
    </row>
    <row r="24" spans="1:38" customFormat="1" ht="35.25" customHeight="1" x14ac:dyDescent="0.25">
      <c r="A24" s="262"/>
      <c r="B24" s="1494" t="s">
        <v>6268</v>
      </c>
      <c r="C24" s="1495"/>
      <c r="D24" s="1495"/>
      <c r="E24" s="1495"/>
      <c r="F24" s="1495"/>
      <c r="G24" s="1495"/>
      <c r="H24" s="1495"/>
      <c r="I24" s="1495"/>
      <c r="J24" s="1495"/>
      <c r="K24" s="1496"/>
      <c r="L24" s="1674">
        <v>1.84</v>
      </c>
      <c r="M24" s="1674"/>
      <c r="N24" s="1674"/>
      <c r="O24" s="1674"/>
      <c r="P24" s="1674"/>
      <c r="Q24" s="1674"/>
      <c r="R24" s="1674"/>
      <c r="S24" s="1674">
        <v>4.7</v>
      </c>
      <c r="T24" s="1674"/>
      <c r="U24" s="1674"/>
      <c r="V24" s="1674"/>
      <c r="W24" s="1674"/>
      <c r="X24" s="1674"/>
      <c r="Y24" s="1674"/>
      <c r="Z24" s="3121">
        <v>0.24683223517486061</v>
      </c>
      <c r="AA24" s="3121"/>
      <c r="AB24" s="3121"/>
      <c r="AC24" s="3121"/>
      <c r="AD24" s="3121"/>
      <c r="AE24" s="3121"/>
      <c r="AF24" s="3121"/>
      <c r="AG24" s="1"/>
      <c r="AH24" s="1"/>
      <c r="AI24" s="1"/>
      <c r="AL24" s="624"/>
    </row>
    <row r="25" spans="1:38" customFormat="1" ht="45.75" customHeight="1" x14ac:dyDescent="0.25">
      <c r="A25" s="262"/>
      <c r="B25" s="3122" t="s">
        <v>6269</v>
      </c>
      <c r="C25" s="3123"/>
      <c r="D25" s="3123"/>
      <c r="E25" s="3123"/>
      <c r="F25" s="3123"/>
      <c r="G25" s="3123"/>
      <c r="H25" s="3123"/>
      <c r="I25" s="3123"/>
      <c r="J25" s="3123"/>
      <c r="K25" s="3124"/>
      <c r="L25" s="1537">
        <f>ROUND(SUMPRODUCT(L23:R24,$Z23:$AF24),2)</f>
        <v>1.64</v>
      </c>
      <c r="M25" s="1537"/>
      <c r="N25" s="1537"/>
      <c r="O25" s="1537"/>
      <c r="P25" s="1537"/>
      <c r="Q25" s="1537"/>
      <c r="R25" s="1537"/>
      <c r="S25" s="1537">
        <f>ROUND(SUMPRODUCT(S23:Y24,$Z23:$AF24),2)</f>
        <v>6.06</v>
      </c>
      <c r="T25" s="1537"/>
      <c r="U25" s="1537"/>
      <c r="V25" s="1537"/>
      <c r="W25" s="1537"/>
      <c r="X25" s="1537"/>
      <c r="Y25" s="1537"/>
      <c r="Z25" s="3125">
        <f>SUM(Z23:AF24)</f>
        <v>1</v>
      </c>
      <c r="AA25" s="1537"/>
      <c r="AB25" s="1537"/>
      <c r="AC25" s="1537"/>
      <c r="AD25" s="1537"/>
      <c r="AE25" s="1537"/>
      <c r="AF25" s="1537"/>
      <c r="AG25" s="1"/>
      <c r="AH25" s="1"/>
      <c r="AI25" s="1"/>
      <c r="AL25" s="624"/>
    </row>
    <row r="26" spans="1:38" customFormat="1" x14ac:dyDescent="0.25">
      <c r="A26" s="262"/>
      <c r="B26" s="691" t="s">
        <v>1047</v>
      </c>
      <c r="C26" s="678"/>
      <c r="D26" s="678"/>
      <c r="E26" s="678"/>
      <c r="F26" s="678"/>
      <c r="G26" s="678"/>
      <c r="H26" s="678"/>
      <c r="I26" s="678"/>
      <c r="J26" s="678"/>
      <c r="K26" s="678"/>
      <c r="L26" s="926"/>
      <c r="M26" s="926"/>
      <c r="N26" s="926"/>
      <c r="O26" s="926"/>
      <c r="P26" s="926"/>
      <c r="Q26" s="926"/>
      <c r="R26" s="926"/>
      <c r="S26" s="926"/>
      <c r="T26" s="926"/>
      <c r="U26" s="926"/>
      <c r="V26" s="926"/>
      <c r="W26" s="926"/>
      <c r="X26" s="926"/>
      <c r="Y26" s="926"/>
      <c r="Z26" s="927"/>
      <c r="AA26" s="926"/>
      <c r="AB26" s="926"/>
      <c r="AC26" s="926"/>
      <c r="AD26" s="926"/>
      <c r="AE26" s="926"/>
      <c r="AF26" s="926"/>
      <c r="AG26" s="1"/>
      <c r="AH26" s="1"/>
      <c r="AI26" s="1"/>
      <c r="AL26" s="624"/>
    </row>
    <row r="27" spans="1:38" customFormat="1" ht="51" customHeight="1" x14ac:dyDescent="0.25">
      <c r="A27" s="262"/>
      <c r="B27" s="1686" t="s">
        <v>6270</v>
      </c>
      <c r="C27" s="1686"/>
      <c r="D27" s="1686"/>
      <c r="E27" s="1686"/>
      <c r="F27" s="1686"/>
      <c r="G27" s="1686"/>
      <c r="H27" s="1686"/>
      <c r="I27" s="1686"/>
      <c r="J27" s="1686"/>
      <c r="K27" s="1686"/>
      <c r="L27" s="1686"/>
      <c r="M27" s="1686"/>
      <c r="N27" s="1686"/>
      <c r="O27" s="1686"/>
      <c r="P27" s="1686"/>
      <c r="Q27" s="1686"/>
      <c r="R27" s="1686"/>
      <c r="S27" s="1686"/>
      <c r="T27" s="1686"/>
      <c r="U27" s="1686"/>
      <c r="V27" s="1686"/>
      <c r="W27" s="1686"/>
      <c r="X27" s="1686"/>
      <c r="Y27" s="1686"/>
      <c r="Z27" s="1686"/>
      <c r="AA27" s="1686"/>
      <c r="AB27" s="1686"/>
      <c r="AC27" s="1686"/>
      <c r="AD27" s="1686"/>
      <c r="AE27" s="1686"/>
      <c r="AF27" s="1686"/>
      <c r="AG27" s="1"/>
      <c r="AH27" s="1"/>
      <c r="AI27" s="1"/>
      <c r="AL27" s="624"/>
    </row>
    <row r="28" spans="1:38" customFormat="1" ht="37.5" customHeight="1" x14ac:dyDescent="0.25">
      <c r="A28" s="262"/>
      <c r="B28" s="1686" t="s">
        <v>6271</v>
      </c>
      <c r="C28" s="1686"/>
      <c r="D28" s="1686"/>
      <c r="E28" s="1686"/>
      <c r="F28" s="1686"/>
      <c r="G28" s="1686"/>
      <c r="H28" s="1686"/>
      <c r="I28" s="1686"/>
      <c r="J28" s="1686"/>
      <c r="K28" s="1686"/>
      <c r="L28" s="1686"/>
      <c r="M28" s="1686"/>
      <c r="N28" s="1686"/>
      <c r="O28" s="1686"/>
      <c r="P28" s="1686"/>
      <c r="Q28" s="1686"/>
      <c r="R28" s="1686"/>
      <c r="S28" s="1686"/>
      <c r="T28" s="1686"/>
      <c r="U28" s="1686"/>
      <c r="V28" s="1686"/>
      <c r="W28" s="1686"/>
      <c r="X28" s="1686"/>
      <c r="Y28" s="1686"/>
      <c r="Z28" s="1686"/>
      <c r="AA28" s="1686"/>
      <c r="AB28" s="1686"/>
      <c r="AC28" s="1686"/>
      <c r="AD28" s="1686"/>
      <c r="AE28" s="1686"/>
      <c r="AF28" s="1686"/>
      <c r="AG28" s="1"/>
      <c r="AH28" s="1"/>
      <c r="AI28" s="1"/>
      <c r="AL28" s="624"/>
    </row>
    <row r="29" spans="1:38" customFormat="1" x14ac:dyDescent="0.25">
      <c r="A29" s="262"/>
      <c r="B29" s="262"/>
      <c r="C29" s="262"/>
      <c r="D29" s="262"/>
      <c r="E29" s="262"/>
      <c r="F29" s="262"/>
      <c r="G29" s="262"/>
      <c r="H29" s="262"/>
      <c r="I29" s="262"/>
      <c r="J29" s="262"/>
      <c r="K29" s="262"/>
      <c r="L29" s="262"/>
      <c r="M29" s="262"/>
      <c r="N29" s="262"/>
      <c r="O29" s="227"/>
      <c r="P29" s="227"/>
      <c r="Q29" s="227"/>
      <c r="R29" s="262"/>
      <c r="S29" s="262"/>
      <c r="T29" s="262"/>
      <c r="U29" s="262"/>
      <c r="V29" s="262"/>
      <c r="W29" s="262"/>
      <c r="X29" s="262"/>
      <c r="Y29" s="262"/>
      <c r="Z29" s="262"/>
      <c r="AA29" s="262"/>
      <c r="AB29" s="262"/>
      <c r="AC29" s="262"/>
      <c r="AD29" s="262"/>
      <c r="AE29" s="262"/>
      <c r="AF29" s="262"/>
      <c r="AG29" s="1"/>
      <c r="AH29" s="1"/>
      <c r="AI29" s="1"/>
      <c r="AL29" s="839"/>
    </row>
    <row r="30" spans="1:38" customFormat="1" x14ac:dyDescent="0.25">
      <c r="A30" s="262"/>
      <c r="B30" s="414" t="s">
        <v>20</v>
      </c>
      <c r="C30" s="414"/>
      <c r="D30" s="414"/>
      <c r="E30" s="414"/>
      <c r="F30" s="414"/>
      <c r="G30" s="414"/>
      <c r="H30" s="414"/>
      <c r="I30" s="414"/>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G30" s="1"/>
      <c r="AH30" s="1"/>
      <c r="AI30" s="1"/>
      <c r="AL30" s="839"/>
    </row>
    <row r="31" spans="1:38" customFormat="1" x14ac:dyDescent="0.25">
      <c r="A31" s="262"/>
      <c r="B31" s="1173" t="s">
        <v>6272</v>
      </c>
      <c r="C31" s="1287"/>
      <c r="D31" s="1287"/>
      <c r="E31" s="1287"/>
      <c r="F31" s="1287"/>
      <c r="G31" s="1287"/>
      <c r="H31" s="1287"/>
      <c r="I31" s="1287"/>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
      <c r="AH31" s="1"/>
      <c r="AI31" s="1"/>
      <c r="AL31" s="624"/>
    </row>
    <row r="32" spans="1:38" customFormat="1" x14ac:dyDescent="0.25">
      <c r="A32" s="262"/>
      <c r="B32" s="1173" t="s">
        <v>6273</v>
      </c>
      <c r="C32" s="1287"/>
      <c r="D32" s="1287"/>
      <c r="E32" s="1287"/>
      <c r="F32" s="1287"/>
      <c r="G32" s="1287"/>
      <c r="H32" s="1287"/>
      <c r="I32" s="1287"/>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
      <c r="AH32" s="1"/>
      <c r="AI32" s="1"/>
      <c r="AL32" s="839"/>
    </row>
    <row r="33" spans="1:38" customFormat="1" x14ac:dyDescent="0.25">
      <c r="A33" s="262"/>
      <c r="B33" s="1173" t="s">
        <v>6274</v>
      </c>
      <c r="C33" s="1287"/>
      <c r="D33" s="1287"/>
      <c r="E33" s="1287"/>
      <c r="F33" s="1287"/>
      <c r="G33" s="1287"/>
      <c r="H33" s="1287"/>
      <c r="I33" s="1287"/>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
      <c r="AH33" s="1"/>
      <c r="AI33" s="1"/>
      <c r="AL33" s="839"/>
    </row>
    <row r="34" spans="1:38" customFormat="1" x14ac:dyDescent="0.25">
      <c r="A34" s="262"/>
      <c r="B34" s="1173" t="s">
        <v>6275</v>
      </c>
      <c r="C34" s="1287"/>
      <c r="D34" s="1287"/>
      <c r="E34" s="1287"/>
      <c r="F34" s="1287"/>
      <c r="G34" s="1287"/>
      <c r="H34" s="1287"/>
      <c r="I34" s="1287"/>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
      <c r="AH34" s="1"/>
      <c r="AI34" s="1"/>
      <c r="AL34" s="839"/>
    </row>
    <row r="35" spans="1:38" customFormat="1" x14ac:dyDescent="0.25">
      <c r="A35" s="262"/>
      <c r="B35" s="1173" t="s">
        <v>6276</v>
      </c>
      <c r="C35" s="1287"/>
      <c r="D35" s="1287"/>
      <c r="E35" s="1287"/>
      <c r="F35" s="1287"/>
      <c r="G35" s="1287"/>
      <c r="H35" s="1287"/>
      <c r="I35" s="1287"/>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
      <c r="AH35" s="1"/>
      <c r="AI35" s="1"/>
      <c r="AL35" s="839"/>
    </row>
    <row r="36" spans="1:38" customFormat="1" x14ac:dyDescent="0.25">
      <c r="A36" s="262"/>
      <c r="B36" s="647"/>
      <c r="C36" s="638"/>
      <c r="D36" s="638"/>
      <c r="E36" s="638"/>
      <c r="F36" s="638"/>
      <c r="G36" s="638"/>
      <c r="H36" s="638"/>
      <c r="I36" s="638"/>
      <c r="J36" s="638"/>
      <c r="K36" s="638"/>
      <c r="L36" s="638"/>
      <c r="M36" s="638"/>
      <c r="N36" s="638"/>
      <c r="O36" s="638"/>
      <c r="P36" s="638"/>
      <c r="Q36" s="638"/>
      <c r="R36" s="638"/>
      <c r="S36" s="638"/>
      <c r="T36" s="638"/>
      <c r="U36" s="638"/>
      <c r="V36" s="638"/>
      <c r="W36" s="638"/>
      <c r="X36" s="638"/>
      <c r="Y36" s="638"/>
      <c r="Z36" s="638"/>
      <c r="AA36" s="638"/>
      <c r="AB36" s="638"/>
      <c r="AC36" s="638"/>
      <c r="AD36" s="638"/>
      <c r="AE36" s="638"/>
      <c r="AF36" s="638"/>
      <c r="AG36" s="1"/>
      <c r="AH36" s="1"/>
      <c r="AI36" s="1"/>
      <c r="AL36" s="839"/>
    </row>
    <row r="37" spans="1:38" customFormat="1" ht="17.25" customHeight="1" x14ac:dyDescent="0.25">
      <c r="A37" s="262"/>
      <c r="B37" s="3120" t="s">
        <v>6322</v>
      </c>
      <c r="C37" s="3120"/>
      <c r="D37" s="3120"/>
      <c r="E37" s="3120"/>
      <c r="F37" s="3120"/>
      <c r="G37" s="3120"/>
      <c r="H37" s="3120"/>
      <c r="I37" s="3120"/>
      <c r="J37" s="3120"/>
      <c r="K37" s="3120"/>
      <c r="L37" s="3120"/>
      <c r="M37" s="3120"/>
      <c r="N37" s="3120"/>
      <c r="O37" s="3120"/>
      <c r="P37" s="3120"/>
      <c r="Q37" s="3120"/>
      <c r="R37" s="3120"/>
      <c r="S37" s="3120"/>
      <c r="T37" s="3120"/>
      <c r="U37" s="3120"/>
      <c r="V37" s="3120"/>
      <c r="W37" s="3120"/>
      <c r="X37" s="3120"/>
      <c r="Y37" s="3120"/>
      <c r="Z37" s="3120"/>
      <c r="AA37" s="3120"/>
      <c r="AB37" s="3120"/>
      <c r="AC37" s="3120"/>
      <c r="AD37" s="3120"/>
      <c r="AE37" s="3120"/>
      <c r="AF37" s="3120"/>
      <c r="AG37" s="1"/>
      <c r="AH37" s="1"/>
      <c r="AI37" s="1"/>
      <c r="AL37" s="624"/>
    </row>
    <row r="38" spans="1:38" customFormat="1" x14ac:dyDescent="0.25">
      <c r="A38" s="262"/>
      <c r="B38" s="1528" t="s">
        <v>6277</v>
      </c>
      <c r="C38" s="1529"/>
      <c r="D38" s="1529"/>
      <c r="E38" s="1529"/>
      <c r="F38" s="1529"/>
      <c r="G38" s="1529"/>
      <c r="H38" s="1529"/>
      <c r="I38" s="1529"/>
      <c r="J38" s="1529"/>
      <c r="K38" s="1530"/>
      <c r="L38" s="1534" t="s">
        <v>6278</v>
      </c>
      <c r="M38" s="1535"/>
      <c r="N38" s="1535"/>
      <c r="O38" s="1535"/>
      <c r="P38" s="1535"/>
      <c r="Q38" s="1535"/>
      <c r="R38" s="1535"/>
      <c r="S38" s="1535"/>
      <c r="T38" s="1535"/>
      <c r="U38" s="1535"/>
      <c r="V38" s="1535"/>
      <c r="W38" s="1535"/>
      <c r="X38" s="1535"/>
      <c r="Y38" s="1536"/>
      <c r="Z38" s="1528" t="s">
        <v>6279</v>
      </c>
      <c r="AA38" s="1529"/>
      <c r="AB38" s="1529"/>
      <c r="AC38" s="1529"/>
      <c r="AD38" s="1529"/>
      <c r="AE38" s="1529"/>
      <c r="AF38" s="1530"/>
      <c r="AG38" s="1"/>
      <c r="AH38" s="1"/>
      <c r="AI38" s="1"/>
      <c r="AL38" s="624"/>
    </row>
    <row r="39" spans="1:38" customFormat="1" ht="15" customHeight="1" x14ac:dyDescent="0.25">
      <c r="A39" s="262"/>
      <c r="B39" s="1531"/>
      <c r="C39" s="1532"/>
      <c r="D39" s="1532"/>
      <c r="E39" s="1532"/>
      <c r="F39" s="1532"/>
      <c r="G39" s="1532"/>
      <c r="H39" s="1532"/>
      <c r="I39" s="1532"/>
      <c r="J39" s="1532"/>
      <c r="K39" s="1533"/>
      <c r="L39" s="1537" t="s">
        <v>6280</v>
      </c>
      <c r="M39" s="1537"/>
      <c r="N39" s="1537"/>
      <c r="O39" s="1537"/>
      <c r="P39" s="1537"/>
      <c r="Q39" s="1537"/>
      <c r="R39" s="1537"/>
      <c r="S39" s="1537" t="s">
        <v>6323</v>
      </c>
      <c r="T39" s="1537"/>
      <c r="U39" s="1537"/>
      <c r="V39" s="1537"/>
      <c r="W39" s="1537"/>
      <c r="X39" s="1537"/>
      <c r="Y39" s="1537"/>
      <c r="Z39" s="1531"/>
      <c r="AA39" s="1532"/>
      <c r="AB39" s="1532"/>
      <c r="AC39" s="1532"/>
      <c r="AD39" s="1532"/>
      <c r="AE39" s="1532"/>
      <c r="AF39" s="1533"/>
      <c r="AG39" s="1"/>
      <c r="AH39" s="1"/>
      <c r="AI39" s="1"/>
      <c r="AL39" s="624"/>
    </row>
    <row r="40" spans="1:38" customFormat="1" ht="40.5" customHeight="1" x14ac:dyDescent="0.25">
      <c r="A40" s="262"/>
      <c r="B40" s="1494" t="s">
        <v>6324</v>
      </c>
      <c r="C40" s="1495"/>
      <c r="D40" s="1495"/>
      <c r="E40" s="1495"/>
      <c r="F40" s="1495"/>
      <c r="G40" s="1495"/>
      <c r="H40" s="1495"/>
      <c r="I40" s="1495"/>
      <c r="J40" s="1495"/>
      <c r="K40" s="1496"/>
      <c r="L40" s="1672">
        <v>2.0699999999999998</v>
      </c>
      <c r="M40" s="1672"/>
      <c r="N40" s="1672"/>
      <c r="O40" s="1672"/>
      <c r="P40" s="1672"/>
      <c r="Q40" s="1672"/>
      <c r="R40" s="1672"/>
      <c r="S40" s="1672">
        <f t="shared" ref="S40" si="0">L40-0.05*L40</f>
        <v>1.9664999999999999</v>
      </c>
      <c r="T40" s="1672"/>
      <c r="U40" s="1672"/>
      <c r="V40" s="1672"/>
      <c r="W40" s="1672"/>
      <c r="X40" s="1672"/>
      <c r="Y40" s="1672"/>
      <c r="Z40" s="1674">
        <v>4.2</v>
      </c>
      <c r="AA40" s="1674"/>
      <c r="AB40" s="1674"/>
      <c r="AC40" s="1674"/>
      <c r="AD40" s="1674"/>
      <c r="AE40" s="1674"/>
      <c r="AF40" s="1674"/>
      <c r="AG40" s="1"/>
      <c r="AH40" s="1"/>
      <c r="AI40" s="1"/>
      <c r="AL40" s="624"/>
    </row>
    <row r="41" spans="1:38" customFormat="1" ht="35.25" customHeight="1" x14ac:dyDescent="0.25">
      <c r="A41" s="262"/>
      <c r="B41" s="1494" t="s">
        <v>6281</v>
      </c>
      <c r="C41" s="1495"/>
      <c r="D41" s="1495"/>
      <c r="E41" s="1495"/>
      <c r="F41" s="1495"/>
      <c r="G41" s="1495"/>
      <c r="H41" s="1495"/>
      <c r="I41" s="1495"/>
      <c r="J41" s="1495"/>
      <c r="K41" s="1496"/>
      <c r="L41" s="1672">
        <v>2.06</v>
      </c>
      <c r="M41" s="1672"/>
      <c r="N41" s="1672"/>
      <c r="O41" s="1672"/>
      <c r="P41" s="1672"/>
      <c r="Q41" s="1672"/>
      <c r="R41" s="1672"/>
      <c r="S41" s="1672">
        <f>L41-0.05*L41</f>
        <v>1.9570000000000001</v>
      </c>
      <c r="T41" s="1672"/>
      <c r="U41" s="1672"/>
      <c r="V41" s="1672"/>
      <c r="W41" s="1672"/>
      <c r="X41" s="1672"/>
      <c r="Y41" s="1672"/>
      <c r="Z41" s="1674">
        <v>4.3</v>
      </c>
      <c r="AA41" s="1674"/>
      <c r="AB41" s="1674"/>
      <c r="AC41" s="1674"/>
      <c r="AD41" s="1674"/>
      <c r="AE41" s="1674"/>
      <c r="AF41" s="1674"/>
      <c r="AG41" s="1"/>
      <c r="AH41" s="1"/>
      <c r="AI41" s="1"/>
      <c r="AL41" s="624"/>
    </row>
    <row r="42" spans="1:38" customFormat="1" ht="43.5" customHeight="1" x14ac:dyDescent="0.25">
      <c r="A42" s="262"/>
      <c r="B42" s="1494" t="s">
        <v>6282</v>
      </c>
      <c r="C42" s="1495"/>
      <c r="D42" s="1495"/>
      <c r="E42" s="1495"/>
      <c r="F42" s="1495"/>
      <c r="G42" s="1495"/>
      <c r="H42" s="1495"/>
      <c r="I42" s="1495"/>
      <c r="J42" s="1495"/>
      <c r="K42" s="1496"/>
      <c r="L42" s="1672">
        <v>2.76</v>
      </c>
      <c r="M42" s="1672"/>
      <c r="N42" s="1672"/>
      <c r="O42" s="1672"/>
      <c r="P42" s="1672"/>
      <c r="Q42" s="1672"/>
      <c r="R42" s="1672"/>
      <c r="S42" s="1672">
        <f t="shared" ref="S42" si="1">L42-0.05*L42</f>
        <v>2.6219999999999999</v>
      </c>
      <c r="T42" s="1672"/>
      <c r="U42" s="1672"/>
      <c r="V42" s="1672"/>
      <c r="W42" s="1672"/>
      <c r="X42" s="1672"/>
      <c r="Y42" s="1672"/>
      <c r="Z42" s="1674">
        <v>3.2</v>
      </c>
      <c r="AA42" s="1674"/>
      <c r="AB42" s="1674"/>
      <c r="AC42" s="1674"/>
      <c r="AD42" s="1674"/>
      <c r="AE42" s="1674"/>
      <c r="AF42" s="1674"/>
      <c r="AG42" s="1"/>
      <c r="AH42" s="1"/>
      <c r="AI42" s="1"/>
      <c r="AL42" s="624"/>
    </row>
    <row r="43" spans="1:38" customFormat="1" ht="43.5" customHeight="1" x14ac:dyDescent="0.25">
      <c r="A43" s="262"/>
      <c r="B43" s="1494" t="s">
        <v>6325</v>
      </c>
      <c r="C43" s="1495"/>
      <c r="D43" s="1495"/>
      <c r="E43" s="1495"/>
      <c r="F43" s="1495"/>
      <c r="G43" s="1495"/>
      <c r="H43" s="1495"/>
      <c r="I43" s="1495"/>
      <c r="J43" s="1495"/>
      <c r="K43" s="1496"/>
      <c r="L43" s="1672">
        <v>2.76</v>
      </c>
      <c r="M43" s="1672"/>
      <c r="N43" s="1672"/>
      <c r="O43" s="1672"/>
      <c r="P43" s="1672"/>
      <c r="Q43" s="1672"/>
      <c r="R43" s="1672"/>
      <c r="S43" s="3119" t="s">
        <v>28</v>
      </c>
      <c r="T43" s="1672"/>
      <c r="U43" s="1672"/>
      <c r="V43" s="1672"/>
      <c r="W43" s="1672"/>
      <c r="X43" s="1672"/>
      <c r="Y43" s="1672"/>
      <c r="Z43" s="1674">
        <v>3.2</v>
      </c>
      <c r="AA43" s="1674"/>
      <c r="AB43" s="1674"/>
      <c r="AC43" s="1674"/>
      <c r="AD43" s="1674"/>
      <c r="AE43" s="1674"/>
      <c r="AF43" s="1674"/>
      <c r="AG43" s="1"/>
      <c r="AH43" s="1"/>
      <c r="AI43" s="1"/>
      <c r="AL43" s="624"/>
    </row>
    <row r="44" spans="1:38" customFormat="1" ht="48.75" customHeight="1" x14ac:dyDescent="0.25">
      <c r="A44" s="262"/>
      <c r="B44" s="1494" t="s">
        <v>6283</v>
      </c>
      <c r="C44" s="1495"/>
      <c r="D44" s="1495"/>
      <c r="E44" s="1495"/>
      <c r="F44" s="1495"/>
      <c r="G44" s="1495"/>
      <c r="H44" s="1495"/>
      <c r="I44" s="1495"/>
      <c r="J44" s="1495"/>
      <c r="K44" s="1496"/>
      <c r="L44" s="1661">
        <v>2.2000000000000002</v>
      </c>
      <c r="M44" s="1662"/>
      <c r="N44" s="1662"/>
      <c r="O44" s="1662"/>
      <c r="P44" s="1662"/>
      <c r="Q44" s="1662"/>
      <c r="R44" s="1662"/>
      <c r="S44" s="1662"/>
      <c r="T44" s="1662"/>
      <c r="U44" s="1662"/>
      <c r="V44" s="1662"/>
      <c r="W44" s="1662"/>
      <c r="X44" s="1662"/>
      <c r="Y44" s="1663"/>
      <c r="Z44" s="1674">
        <v>3.7</v>
      </c>
      <c r="AA44" s="1674"/>
      <c r="AB44" s="1674"/>
      <c r="AC44" s="1674"/>
      <c r="AD44" s="1674"/>
      <c r="AE44" s="1674"/>
      <c r="AF44" s="1674"/>
      <c r="AG44" s="1"/>
      <c r="AH44" s="1"/>
      <c r="AI44" s="1"/>
      <c r="AL44" s="624"/>
    </row>
    <row r="45" spans="1:38" customFormat="1" ht="50.25" customHeight="1" x14ac:dyDescent="0.25">
      <c r="A45" s="262"/>
      <c r="B45" s="1494" t="s">
        <v>6284</v>
      </c>
      <c r="C45" s="1495"/>
      <c r="D45" s="1495"/>
      <c r="E45" s="1495"/>
      <c r="F45" s="1495"/>
      <c r="G45" s="1495"/>
      <c r="H45" s="1495"/>
      <c r="I45" s="1495"/>
      <c r="J45" s="1495"/>
      <c r="K45" s="1496"/>
      <c r="L45" s="1661">
        <v>2.92</v>
      </c>
      <c r="M45" s="1662"/>
      <c r="N45" s="1662"/>
      <c r="O45" s="1662"/>
      <c r="P45" s="1662"/>
      <c r="Q45" s="1662"/>
      <c r="R45" s="1662"/>
      <c r="S45" s="1662"/>
      <c r="T45" s="1662"/>
      <c r="U45" s="1662"/>
      <c r="V45" s="1662"/>
      <c r="W45" s="1662"/>
      <c r="X45" s="1662"/>
      <c r="Y45" s="1663"/>
      <c r="Z45" s="1674">
        <v>3.2</v>
      </c>
      <c r="AA45" s="1674"/>
      <c r="AB45" s="1674"/>
      <c r="AC45" s="1674"/>
      <c r="AD45" s="1674"/>
      <c r="AE45" s="1674"/>
      <c r="AF45" s="1674"/>
      <c r="AG45" s="1"/>
      <c r="AH45" s="1"/>
      <c r="AI45" s="1"/>
      <c r="AL45" s="624"/>
    </row>
    <row r="46" spans="1:38" customFormat="1" ht="33.75" customHeight="1" x14ac:dyDescent="0.25">
      <c r="A46" s="262"/>
      <c r="B46" s="1494" t="s">
        <v>6285</v>
      </c>
      <c r="C46" s="1495"/>
      <c r="D46" s="1495"/>
      <c r="E46" s="1495"/>
      <c r="F46" s="1495"/>
      <c r="G46" s="1495"/>
      <c r="H46" s="1495"/>
      <c r="I46" s="1495"/>
      <c r="J46" s="1495"/>
      <c r="K46" s="1496"/>
      <c r="L46" s="1661">
        <v>3.1</v>
      </c>
      <c r="M46" s="1662"/>
      <c r="N46" s="1662"/>
      <c r="O46" s="1662"/>
      <c r="P46" s="1662"/>
      <c r="Q46" s="1662"/>
      <c r="R46" s="1662"/>
      <c r="S46" s="1662"/>
      <c r="T46" s="1662"/>
      <c r="U46" s="1662"/>
      <c r="V46" s="1662"/>
      <c r="W46" s="1662"/>
      <c r="X46" s="1662"/>
      <c r="Y46" s="1663"/>
      <c r="Z46" s="3118">
        <v>3</v>
      </c>
      <c r="AA46" s="3118"/>
      <c r="AB46" s="3118"/>
      <c r="AC46" s="3118"/>
      <c r="AD46" s="3118"/>
      <c r="AE46" s="3118"/>
      <c r="AF46" s="3118"/>
      <c r="AG46" s="1"/>
      <c r="AH46" s="1"/>
      <c r="AI46" s="1"/>
      <c r="AL46" s="624"/>
    </row>
    <row r="47" spans="1:38" customFormat="1" x14ac:dyDescent="0.25">
      <c r="A47" s="262"/>
      <c r="B47" s="691" t="s">
        <v>1047</v>
      </c>
      <c r="C47" s="678"/>
      <c r="D47" s="678"/>
      <c r="E47" s="678"/>
      <c r="F47" s="678"/>
      <c r="G47" s="678"/>
      <c r="H47" s="678"/>
      <c r="I47" s="678"/>
      <c r="J47" s="678"/>
      <c r="K47" s="678"/>
      <c r="L47" s="926"/>
      <c r="M47" s="926"/>
      <c r="N47" s="926"/>
      <c r="O47" s="926"/>
      <c r="P47" s="926"/>
      <c r="Q47" s="926"/>
      <c r="R47" s="926"/>
      <c r="S47" s="926"/>
      <c r="T47" s="926"/>
      <c r="U47" s="926"/>
      <c r="V47" s="926"/>
      <c r="W47" s="926"/>
      <c r="X47" s="926"/>
      <c r="Y47" s="926"/>
      <c r="Z47" s="927"/>
      <c r="AA47" s="926"/>
      <c r="AB47" s="926"/>
      <c r="AC47" s="926"/>
      <c r="AD47" s="926"/>
      <c r="AE47" s="926"/>
      <c r="AF47" s="926"/>
      <c r="AG47" s="1"/>
      <c r="AH47" s="1"/>
      <c r="AI47" s="1"/>
      <c r="AL47" s="624"/>
    </row>
    <row r="48" spans="1:38" customFormat="1" ht="51" customHeight="1" x14ac:dyDescent="0.25">
      <c r="A48" s="262"/>
      <c r="B48" s="1686" t="s">
        <v>6286</v>
      </c>
      <c r="C48" s="1686"/>
      <c r="D48" s="1686"/>
      <c r="E48" s="1686"/>
      <c r="F48" s="1686"/>
      <c r="G48" s="1686"/>
      <c r="H48" s="1686"/>
      <c r="I48" s="1686"/>
      <c r="J48" s="1686"/>
      <c r="K48" s="1686"/>
      <c r="L48" s="1686"/>
      <c r="M48" s="1686"/>
      <c r="N48" s="1686"/>
      <c r="O48" s="1686"/>
      <c r="P48" s="1686"/>
      <c r="Q48" s="1686"/>
      <c r="R48" s="1686"/>
      <c r="S48" s="1686"/>
      <c r="T48" s="1686"/>
      <c r="U48" s="1686"/>
      <c r="V48" s="1686"/>
      <c r="W48" s="1686"/>
      <c r="X48" s="1686"/>
      <c r="Y48" s="1686"/>
      <c r="Z48" s="1686"/>
      <c r="AA48" s="1686"/>
      <c r="AB48" s="1686"/>
      <c r="AC48" s="1686"/>
      <c r="AD48" s="1686"/>
      <c r="AE48" s="1686"/>
      <c r="AF48" s="1686"/>
      <c r="AG48" s="1"/>
      <c r="AH48" s="1"/>
      <c r="AI48" s="1"/>
      <c r="AL48" s="624"/>
    </row>
    <row r="49" spans="1:59" customFormat="1" ht="51" customHeight="1" x14ac:dyDescent="0.25">
      <c r="A49" s="262"/>
      <c r="B49" s="1686" t="s">
        <v>6287</v>
      </c>
      <c r="C49" s="1686"/>
      <c r="D49" s="1686"/>
      <c r="E49" s="1686"/>
      <c r="F49" s="1686"/>
      <c r="G49" s="1686"/>
      <c r="H49" s="1686"/>
      <c r="I49" s="1686"/>
      <c r="J49" s="1686"/>
      <c r="K49" s="1686"/>
      <c r="L49" s="1686"/>
      <c r="M49" s="1686"/>
      <c r="N49" s="1686"/>
      <c r="O49" s="1686"/>
      <c r="P49" s="1686"/>
      <c r="Q49" s="1686"/>
      <c r="R49" s="1686"/>
      <c r="S49" s="1686"/>
      <c r="T49" s="1686"/>
      <c r="U49" s="1686"/>
      <c r="V49" s="1686"/>
      <c r="W49" s="1686"/>
      <c r="X49" s="1686"/>
      <c r="Y49" s="1686"/>
      <c r="Z49" s="1686"/>
      <c r="AA49" s="1686"/>
      <c r="AB49" s="1686"/>
      <c r="AC49" s="1686"/>
      <c r="AD49" s="1686"/>
      <c r="AE49" s="1686"/>
      <c r="AF49" s="1686"/>
      <c r="AG49" s="1"/>
      <c r="AH49" s="1"/>
      <c r="AI49" s="1"/>
      <c r="AL49" s="624"/>
    </row>
    <row r="50" spans="1:59" customFormat="1" ht="29.25" customHeight="1" x14ac:dyDescent="0.25">
      <c r="A50" s="262"/>
      <c r="B50" s="1686" t="s">
        <v>6288</v>
      </c>
      <c r="C50" s="1686"/>
      <c r="D50" s="1686"/>
      <c r="E50" s="1686"/>
      <c r="F50" s="1686"/>
      <c r="G50" s="1686"/>
      <c r="H50" s="1686"/>
      <c r="I50" s="1686"/>
      <c r="J50" s="1686"/>
      <c r="K50" s="1686"/>
      <c r="L50" s="1686"/>
      <c r="M50" s="1686"/>
      <c r="N50" s="1686"/>
      <c r="O50" s="1686"/>
      <c r="P50" s="1686"/>
      <c r="Q50" s="1686"/>
      <c r="R50" s="1686"/>
      <c r="S50" s="1686"/>
      <c r="T50" s="1686"/>
      <c r="U50" s="1686"/>
      <c r="V50" s="1686"/>
      <c r="W50" s="1686"/>
      <c r="X50" s="1686"/>
      <c r="Y50" s="1686"/>
      <c r="Z50" s="1686"/>
      <c r="AA50" s="1686"/>
      <c r="AB50" s="1686"/>
      <c r="AC50" s="1686"/>
      <c r="AD50" s="1686"/>
      <c r="AE50" s="1686"/>
      <c r="AF50" s="1686"/>
      <c r="AG50" s="1"/>
      <c r="AH50" s="1"/>
      <c r="AI50" s="1"/>
      <c r="AL50" s="839"/>
    </row>
    <row r="51" spans="1:59" customFormat="1" x14ac:dyDescent="0.25">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1"/>
      <c r="AH51" s="1"/>
      <c r="AI51" s="1"/>
      <c r="AL51" s="839"/>
    </row>
    <row r="52" spans="1:59" customFormat="1" x14ac:dyDescent="0.25">
      <c r="A52" s="1621" t="s">
        <v>14</v>
      </c>
      <c r="B52" s="1621"/>
      <c r="C52" s="1621"/>
      <c r="D52" s="1621"/>
      <c r="E52" s="1621"/>
      <c r="F52" s="1621"/>
      <c r="G52" s="1621"/>
      <c r="H52" s="1621"/>
      <c r="I52" s="1621"/>
      <c r="J52" s="1621"/>
      <c r="K52" s="1621"/>
      <c r="L52" s="1621"/>
      <c r="M52" s="1621"/>
      <c r="N52" s="1621"/>
      <c r="O52" s="1621"/>
      <c r="P52" s="1621"/>
      <c r="Q52" s="1621"/>
      <c r="R52" s="1621"/>
      <c r="S52" s="1621"/>
      <c r="T52" s="1621"/>
      <c r="U52" s="1621"/>
      <c r="V52" s="1621"/>
      <c r="W52" s="1621"/>
      <c r="X52" s="1621"/>
      <c r="Y52" s="1621"/>
      <c r="Z52" s="1621"/>
      <c r="AA52" s="1621"/>
      <c r="AB52" s="1621"/>
      <c r="AC52" s="1621"/>
      <c r="AD52" s="1621"/>
      <c r="AE52" s="1621"/>
      <c r="AF52" s="1621"/>
      <c r="AG52" s="1"/>
      <c r="AH52" s="1"/>
      <c r="AI52" s="1"/>
      <c r="AL52" s="624"/>
    </row>
    <row r="53" spans="1:59" customFormat="1" x14ac:dyDescent="0.25">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1"/>
      <c r="AH53" s="1"/>
      <c r="AI53" s="1"/>
      <c r="AL53" s="204"/>
    </row>
    <row r="54" spans="1:59" customFormat="1" x14ac:dyDescent="0.25">
      <c r="A54" s="519" t="s">
        <v>2194</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1"/>
      <c r="AH54" s="1"/>
      <c r="AI54" s="1"/>
      <c r="AL54" s="839"/>
    </row>
    <row r="55" spans="1:59" customFormat="1" x14ac:dyDescent="0.25">
      <c r="A55" s="928"/>
      <c r="B55" s="638"/>
      <c r="C55" s="638"/>
      <c r="D55" s="638"/>
      <c r="E55" s="638"/>
      <c r="F55" s="638"/>
      <c r="G55" s="638"/>
      <c r="H55" s="196"/>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27"/>
      <c r="AG55" s="1"/>
      <c r="AH55" s="1"/>
      <c r="AI55" s="1"/>
      <c r="AL55" s="839"/>
    </row>
    <row r="56" spans="1:59" customFormat="1" ht="42.75" customHeight="1" x14ac:dyDescent="0.25">
      <c r="A56" s="517"/>
      <c r="B56" s="929"/>
      <c r="C56" s="929"/>
      <c r="D56" s="929"/>
      <c r="E56" s="929"/>
      <c r="F56" s="929"/>
      <c r="G56" s="929"/>
      <c r="H56" s="520"/>
      <c r="I56" s="460"/>
      <c r="J56" s="460"/>
      <c r="K56" s="460"/>
      <c r="L56" s="460"/>
      <c r="M56" s="460"/>
      <c r="N56" s="460"/>
      <c r="O56" s="460"/>
      <c r="P56" s="460"/>
      <c r="Q56" s="460"/>
      <c r="R56" s="460"/>
      <c r="S56" s="460"/>
      <c r="T56" s="460"/>
      <c r="U56" s="460"/>
      <c r="V56" s="460"/>
      <c r="W56" s="460"/>
      <c r="X56" s="460"/>
      <c r="Y56" s="460"/>
      <c r="Z56" s="460"/>
      <c r="AA56" s="460"/>
      <c r="AB56" s="460"/>
      <c r="AC56" s="460"/>
      <c r="AD56" s="460"/>
      <c r="AE56" s="460"/>
      <c r="AF56" s="419" t="s">
        <v>1705</v>
      </c>
      <c r="AG56" s="1"/>
      <c r="AH56" s="1"/>
      <c r="AI56" s="1"/>
      <c r="AL56" s="839"/>
    </row>
    <row r="57" spans="1:59" customFormat="1" x14ac:dyDescent="0.25">
      <c r="A57" s="517"/>
      <c r="B57" s="929"/>
      <c r="C57" s="929"/>
      <c r="D57" s="929"/>
      <c r="E57" s="929"/>
      <c r="F57" s="929"/>
      <c r="G57" s="929"/>
      <c r="H57" s="520"/>
      <c r="I57" s="460"/>
      <c r="J57" s="460"/>
      <c r="K57" s="460"/>
      <c r="L57" s="460"/>
      <c r="M57" s="460"/>
      <c r="N57" s="460"/>
      <c r="O57" s="460"/>
      <c r="P57" s="460"/>
      <c r="Q57" s="460"/>
      <c r="R57" s="460"/>
      <c r="S57" s="460"/>
      <c r="T57" s="460"/>
      <c r="U57" s="460"/>
      <c r="V57" s="460"/>
      <c r="W57" s="460"/>
      <c r="X57" s="460"/>
      <c r="Y57" s="460"/>
      <c r="Z57" s="460"/>
      <c r="AA57" s="460"/>
      <c r="AB57" s="460"/>
      <c r="AC57" s="460"/>
      <c r="AD57" s="460"/>
      <c r="AE57" s="460"/>
      <c r="AF57" s="460"/>
      <c r="AG57" s="1"/>
      <c r="AH57" s="1"/>
      <c r="AI57" s="1"/>
      <c r="AL57" s="839"/>
    </row>
    <row r="58" spans="1:59" customFormat="1" x14ac:dyDescent="0.25">
      <c r="A58" s="519" t="s">
        <v>2303</v>
      </c>
      <c r="B58" s="929"/>
      <c r="C58" s="929"/>
      <c r="D58" s="929"/>
      <c r="E58" s="929"/>
      <c r="F58" s="929"/>
      <c r="G58" s="929"/>
      <c r="H58" s="520"/>
      <c r="I58" s="460"/>
      <c r="J58" s="460"/>
      <c r="K58" s="460"/>
      <c r="L58" s="460"/>
      <c r="M58" s="460"/>
      <c r="N58" s="460"/>
      <c r="O58" s="460"/>
      <c r="P58" s="460"/>
      <c r="Q58" s="460"/>
      <c r="R58" s="460"/>
      <c r="S58" s="460"/>
      <c r="T58" s="460"/>
      <c r="U58" s="460"/>
      <c r="V58" s="460"/>
      <c r="W58" s="460"/>
      <c r="X58" s="460"/>
      <c r="Y58" s="460"/>
      <c r="Z58" s="460"/>
      <c r="AA58" s="460"/>
      <c r="AB58" s="460"/>
      <c r="AC58" s="460"/>
      <c r="AD58" s="460"/>
      <c r="AE58" s="460"/>
      <c r="AF58" s="460"/>
      <c r="AG58" s="1"/>
      <c r="AH58" s="1"/>
      <c r="AI58" s="1"/>
      <c r="AL58" s="839"/>
    </row>
    <row r="59" spans="1:59" customFormat="1" x14ac:dyDescent="0.25">
      <c r="A59" s="905"/>
      <c r="B59" s="262"/>
      <c r="C59" s="262"/>
      <c r="D59" s="262"/>
      <c r="E59" s="262"/>
      <c r="F59" s="262"/>
      <c r="G59" s="262"/>
      <c r="H59" s="419"/>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1"/>
      <c r="AH59" s="1"/>
      <c r="AI59" s="1"/>
      <c r="AL59" s="839"/>
      <c r="BG59" s="692"/>
    </row>
    <row r="60" spans="1:59" customFormat="1" ht="16.5" customHeight="1" x14ac:dyDescent="0.25">
      <c r="A60" s="868"/>
      <c r="B60" s="869"/>
      <c r="C60" s="869"/>
      <c r="D60" s="869"/>
      <c r="E60" s="869"/>
      <c r="F60" s="869"/>
      <c r="G60" s="869"/>
      <c r="H60" s="339"/>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419" t="s">
        <v>1706</v>
      </c>
      <c r="AG60" s="1"/>
      <c r="AH60" s="1"/>
      <c r="AI60" s="1"/>
      <c r="AL60" s="839"/>
      <c r="BG60" s="692"/>
    </row>
    <row r="61" spans="1:59" customFormat="1" x14ac:dyDescent="0.25">
      <c r="A61" s="868"/>
      <c r="B61" s="869"/>
      <c r="C61" s="869"/>
      <c r="D61" s="869"/>
      <c r="E61" s="869"/>
      <c r="F61" s="869"/>
      <c r="G61" s="869"/>
      <c r="H61" s="339"/>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
      <c r="AH61" s="1"/>
      <c r="AI61" s="1"/>
      <c r="AL61" s="839"/>
      <c r="BG61" s="692"/>
    </row>
    <row r="62" spans="1:59" customFormat="1" x14ac:dyDescent="0.25">
      <c r="A62" s="519" t="s">
        <v>1998</v>
      </c>
      <c r="B62" s="869"/>
      <c r="C62" s="869"/>
      <c r="D62" s="869"/>
      <c r="E62" s="869"/>
      <c r="F62" s="869"/>
      <c r="G62" s="869"/>
      <c r="H62" s="339"/>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
      <c r="AH62" s="1"/>
      <c r="AI62" s="1"/>
      <c r="AL62" s="839"/>
      <c r="BG62" s="692"/>
    </row>
    <row r="63" spans="1:59" customFormat="1" x14ac:dyDescent="0.25">
      <c r="A63" s="905"/>
      <c r="B63" s="262"/>
      <c r="C63" s="262"/>
      <c r="D63" s="262"/>
      <c r="E63" s="262"/>
      <c r="F63" s="262"/>
      <c r="G63" s="262"/>
      <c r="H63" s="419"/>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1"/>
      <c r="AH63" s="1"/>
      <c r="AI63" s="1"/>
      <c r="AL63" s="839"/>
    </row>
    <row r="64" spans="1:59" customFormat="1" ht="20.25" customHeight="1" x14ac:dyDescent="0.25">
      <c r="A64" s="262"/>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419" t="s">
        <v>1707</v>
      </c>
      <c r="AG64" s="1"/>
      <c r="AH64" s="1"/>
      <c r="AI64" s="1"/>
      <c r="AL64" s="839"/>
    </row>
    <row r="65" spans="1:38" customFormat="1" x14ac:dyDescent="0.25">
      <c r="A65" s="262"/>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419"/>
      <c r="AG65" s="1"/>
      <c r="AH65" s="1"/>
      <c r="AI65" s="1"/>
      <c r="AL65" s="839"/>
    </row>
    <row r="66" spans="1:38" customFormat="1" x14ac:dyDescent="0.25">
      <c r="A66" s="262"/>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c r="AG66" s="1"/>
      <c r="AH66" s="1"/>
      <c r="AI66" s="1"/>
      <c r="AL66" s="839"/>
    </row>
    <row r="67" spans="1:38" customFormat="1" x14ac:dyDescent="0.25">
      <c r="A67" s="1621" t="s">
        <v>15</v>
      </c>
      <c r="B67" s="1621"/>
      <c r="C67" s="1621"/>
      <c r="D67" s="1621"/>
      <c r="E67" s="1621"/>
      <c r="F67" s="1621"/>
      <c r="G67" s="1621"/>
      <c r="H67" s="1621"/>
      <c r="I67" s="1621"/>
      <c r="J67" s="1621"/>
      <c r="K67" s="1621"/>
      <c r="L67" s="1621"/>
      <c r="M67" s="1621"/>
      <c r="N67" s="1621"/>
      <c r="O67" s="1621"/>
      <c r="P67" s="1621"/>
      <c r="Q67" s="1621"/>
      <c r="R67" s="1621"/>
      <c r="S67" s="1621"/>
      <c r="T67" s="1621"/>
      <c r="U67" s="1621"/>
      <c r="V67" s="1621"/>
      <c r="W67" s="1621"/>
      <c r="X67" s="1621"/>
      <c r="Y67" s="1621"/>
      <c r="Z67" s="1621"/>
      <c r="AA67" s="1621"/>
      <c r="AB67" s="1621"/>
      <c r="AC67" s="1621"/>
      <c r="AD67" s="1621"/>
      <c r="AE67" s="1621"/>
      <c r="AF67" s="1621"/>
      <c r="AG67" s="1"/>
      <c r="AH67" s="1"/>
      <c r="AI67" s="1"/>
      <c r="AL67" s="624"/>
    </row>
    <row r="68" spans="1:38" customFormat="1" x14ac:dyDescent="0.25">
      <c r="A68" s="1697" t="s">
        <v>16</v>
      </c>
      <c r="B68" s="1698"/>
      <c r="C68" s="1698"/>
      <c r="D68" s="1698"/>
      <c r="E68" s="1698"/>
      <c r="F68" s="1699"/>
      <c r="G68" s="1697" t="s">
        <v>10</v>
      </c>
      <c r="H68" s="1698"/>
      <c r="I68" s="1698"/>
      <c r="J68" s="1698"/>
      <c r="K68" s="1698"/>
      <c r="L68" s="1698"/>
      <c r="M68" s="1698"/>
      <c r="N68" s="1698"/>
      <c r="O68" s="1699"/>
      <c r="P68" s="1697" t="s">
        <v>381</v>
      </c>
      <c r="Q68" s="1699"/>
      <c r="R68" s="1697" t="s">
        <v>388</v>
      </c>
      <c r="S68" s="1699"/>
      <c r="T68" s="1697" t="s">
        <v>482</v>
      </c>
      <c r="U68" s="1699"/>
      <c r="V68" s="1697" t="s">
        <v>18</v>
      </c>
      <c r="W68" s="1698"/>
      <c r="X68" s="1699"/>
      <c r="Y68" s="1697" t="s">
        <v>1708</v>
      </c>
      <c r="Z68" s="1698"/>
      <c r="AA68" s="1698"/>
      <c r="AB68" s="1698"/>
      <c r="AC68" s="1698"/>
      <c r="AD68" s="1698"/>
      <c r="AE68" s="1698"/>
      <c r="AF68" s="1699"/>
      <c r="AG68" s="1"/>
      <c r="AH68" s="1"/>
      <c r="AI68" s="1"/>
      <c r="AL68" s="839"/>
    </row>
    <row r="69" spans="1:38" customFormat="1" ht="157.5" customHeight="1" x14ac:dyDescent="0.25">
      <c r="A69" s="1680" t="s">
        <v>78</v>
      </c>
      <c r="B69" s="1681"/>
      <c r="C69" s="1681"/>
      <c r="D69" s="1681"/>
      <c r="E69" s="1681"/>
      <c r="F69" s="1682"/>
      <c r="G69" s="1494" t="s">
        <v>6289</v>
      </c>
      <c r="H69" s="1495"/>
      <c r="I69" s="1495"/>
      <c r="J69" s="1495"/>
      <c r="K69" s="1495"/>
      <c r="L69" s="1495"/>
      <c r="M69" s="1495"/>
      <c r="N69" s="1495"/>
      <c r="O69" s="1496"/>
      <c r="P69" s="1497">
        <v>4.22</v>
      </c>
      <c r="Q69" s="1498"/>
      <c r="R69" s="1498"/>
      <c r="S69" s="1498"/>
      <c r="T69" s="1498"/>
      <c r="U69" s="1499"/>
      <c r="V69" s="1497" t="s">
        <v>6290</v>
      </c>
      <c r="W69" s="1498"/>
      <c r="X69" s="1499"/>
      <c r="Y69" s="1494" t="s">
        <v>6326</v>
      </c>
      <c r="Z69" s="1495"/>
      <c r="AA69" s="1495"/>
      <c r="AB69" s="1495"/>
      <c r="AC69" s="1495"/>
      <c r="AD69" s="1495"/>
      <c r="AE69" s="1495"/>
      <c r="AF69" s="1496"/>
      <c r="AG69" s="1"/>
      <c r="AH69" s="1"/>
      <c r="AI69" s="1"/>
      <c r="AL69" s="839"/>
    </row>
    <row r="70" spans="1:38" customFormat="1" ht="147.75" customHeight="1" x14ac:dyDescent="0.25">
      <c r="A70" s="1680" t="s">
        <v>471</v>
      </c>
      <c r="B70" s="1681"/>
      <c r="C70" s="1681"/>
      <c r="D70" s="1681"/>
      <c r="E70" s="1681"/>
      <c r="F70" s="1682"/>
      <c r="G70" s="1494" t="s">
        <v>483</v>
      </c>
      <c r="H70" s="1495"/>
      <c r="I70" s="1495"/>
      <c r="J70" s="1495"/>
      <c r="K70" s="1495"/>
      <c r="L70" s="1495"/>
      <c r="M70" s="1495"/>
      <c r="N70" s="1495"/>
      <c r="O70" s="1496"/>
      <c r="P70" s="1497">
        <f>L25</f>
        <v>1.64</v>
      </c>
      <c r="Q70" s="1498"/>
      <c r="R70" s="1498"/>
      <c r="S70" s="1498"/>
      <c r="T70" s="1498"/>
      <c r="U70" s="1499"/>
      <c r="V70" s="1497" t="s">
        <v>6291</v>
      </c>
      <c r="W70" s="1498"/>
      <c r="X70" s="1499"/>
      <c r="Y70" s="1494" t="s">
        <v>6292</v>
      </c>
      <c r="Z70" s="1495"/>
      <c r="AA70" s="1495"/>
      <c r="AB70" s="1495"/>
      <c r="AC70" s="1495"/>
      <c r="AD70" s="1495"/>
      <c r="AE70" s="1495"/>
      <c r="AF70" s="1496"/>
      <c r="AG70" s="1"/>
      <c r="AH70" s="1"/>
      <c r="AI70" s="1"/>
      <c r="AL70" s="839"/>
    </row>
    <row r="71" spans="1:38" customFormat="1" ht="147.75" customHeight="1" x14ac:dyDescent="0.25">
      <c r="A71" s="1680" t="s">
        <v>472</v>
      </c>
      <c r="B71" s="1681"/>
      <c r="C71" s="1681"/>
      <c r="D71" s="1681"/>
      <c r="E71" s="1681"/>
      <c r="F71" s="1682"/>
      <c r="G71" s="1494" t="s">
        <v>484</v>
      </c>
      <c r="H71" s="1495"/>
      <c r="I71" s="1495"/>
      <c r="J71" s="1495"/>
      <c r="K71" s="1495"/>
      <c r="L71" s="1495"/>
      <c r="M71" s="1495"/>
      <c r="N71" s="1495"/>
      <c r="O71" s="1496"/>
      <c r="P71" s="1661">
        <v>2.42</v>
      </c>
      <c r="Q71" s="1499"/>
      <c r="R71" s="1661">
        <v>2.86</v>
      </c>
      <c r="S71" s="1499"/>
      <c r="T71" s="1661">
        <v>3.1</v>
      </c>
      <c r="U71" s="1499"/>
      <c r="V71" s="1497" t="s">
        <v>6291</v>
      </c>
      <c r="W71" s="1498"/>
      <c r="X71" s="1499"/>
      <c r="Y71" s="1494" t="s">
        <v>6327</v>
      </c>
      <c r="Z71" s="1495"/>
      <c r="AA71" s="1495"/>
      <c r="AB71" s="1495"/>
      <c r="AC71" s="1495"/>
      <c r="AD71" s="1495"/>
      <c r="AE71" s="1495"/>
      <c r="AF71" s="1496"/>
      <c r="AG71" s="1"/>
      <c r="AH71" s="1"/>
      <c r="AI71" s="1"/>
      <c r="AL71" s="839"/>
    </row>
    <row r="72" spans="1:38" customFormat="1" ht="150.75" customHeight="1" x14ac:dyDescent="0.25">
      <c r="A72" s="1680" t="s">
        <v>473</v>
      </c>
      <c r="B72" s="1681"/>
      <c r="C72" s="1681"/>
      <c r="D72" s="1681"/>
      <c r="E72" s="1681"/>
      <c r="F72" s="1682"/>
      <c r="G72" s="1494" t="s">
        <v>485</v>
      </c>
      <c r="H72" s="1495"/>
      <c r="I72" s="1495"/>
      <c r="J72" s="1495"/>
      <c r="K72" s="1495"/>
      <c r="L72" s="1495"/>
      <c r="M72" s="1495"/>
      <c r="N72" s="1495"/>
      <c r="O72" s="1496"/>
      <c r="P72" s="1497">
        <v>219</v>
      </c>
      <c r="Q72" s="1498"/>
      <c r="R72" s="1498"/>
      <c r="S72" s="1498"/>
      <c r="T72" s="1498"/>
      <c r="U72" s="1499"/>
      <c r="V72" s="1497" t="s">
        <v>28</v>
      </c>
      <c r="W72" s="1498"/>
      <c r="X72" s="1499"/>
      <c r="Y72" s="1494" t="s">
        <v>6328</v>
      </c>
      <c r="Z72" s="1495"/>
      <c r="AA72" s="1495"/>
      <c r="AB72" s="1495"/>
      <c r="AC72" s="1495"/>
      <c r="AD72" s="1495"/>
      <c r="AE72" s="1495"/>
      <c r="AF72" s="1496"/>
      <c r="AG72" s="1"/>
      <c r="AH72" s="1"/>
      <c r="AI72" s="1"/>
      <c r="AL72" s="839"/>
    </row>
    <row r="73" spans="1:38" customFormat="1" ht="75.75" customHeight="1" x14ac:dyDescent="0.25">
      <c r="A73" s="1680" t="s">
        <v>474</v>
      </c>
      <c r="B73" s="1681"/>
      <c r="C73" s="1681"/>
      <c r="D73" s="1681"/>
      <c r="E73" s="1681"/>
      <c r="F73" s="1682"/>
      <c r="G73" s="1494" t="s">
        <v>486</v>
      </c>
      <c r="H73" s="1495"/>
      <c r="I73" s="1495"/>
      <c r="J73" s="1495"/>
      <c r="K73" s="1495"/>
      <c r="L73" s="1495"/>
      <c r="M73" s="1495"/>
      <c r="N73" s="1495"/>
      <c r="O73" s="1496"/>
      <c r="P73" s="2854">
        <v>7.0000000000000007E-2</v>
      </c>
      <c r="Q73" s="2855"/>
      <c r="R73" s="2855"/>
      <c r="S73" s="2855"/>
      <c r="T73" s="2855"/>
      <c r="U73" s="2856"/>
      <c r="V73" s="1497" t="s">
        <v>30</v>
      </c>
      <c r="W73" s="1498"/>
      <c r="X73" s="1499"/>
      <c r="Y73" s="2475" t="s">
        <v>6329</v>
      </c>
      <c r="Z73" s="2476"/>
      <c r="AA73" s="2476"/>
      <c r="AB73" s="2476"/>
      <c r="AC73" s="2476"/>
      <c r="AD73" s="2476"/>
      <c r="AE73" s="2476"/>
      <c r="AF73" s="2477"/>
      <c r="AG73" s="1"/>
      <c r="AH73" s="1"/>
      <c r="AI73" s="1"/>
      <c r="AL73" s="839"/>
    </row>
    <row r="74" spans="1:38" customFormat="1" ht="53.25" customHeight="1" x14ac:dyDescent="0.25">
      <c r="A74" s="1680" t="s">
        <v>475</v>
      </c>
      <c r="B74" s="1681"/>
      <c r="C74" s="1681"/>
      <c r="D74" s="1681"/>
      <c r="E74" s="1681"/>
      <c r="F74" s="1682"/>
      <c r="G74" s="1494" t="s">
        <v>487</v>
      </c>
      <c r="H74" s="1495"/>
      <c r="I74" s="1495"/>
      <c r="J74" s="1495"/>
      <c r="K74" s="1495"/>
      <c r="L74" s="1495"/>
      <c r="M74" s="1495"/>
      <c r="N74" s="1495"/>
      <c r="O74" s="1496"/>
      <c r="P74" s="2854">
        <v>0.28000000000000003</v>
      </c>
      <c r="Q74" s="2855"/>
      <c r="R74" s="2855"/>
      <c r="S74" s="2855"/>
      <c r="T74" s="2855"/>
      <c r="U74" s="2856"/>
      <c r="V74" s="1497" t="s">
        <v>30</v>
      </c>
      <c r="W74" s="1498"/>
      <c r="X74" s="1499"/>
      <c r="Y74" s="2912"/>
      <c r="Z74" s="2908"/>
      <c r="AA74" s="2908"/>
      <c r="AB74" s="2908"/>
      <c r="AC74" s="2908"/>
      <c r="AD74" s="2908"/>
      <c r="AE74" s="2908"/>
      <c r="AF74" s="2909"/>
      <c r="AG74" s="1"/>
      <c r="AH74" s="1"/>
      <c r="AI74" s="1"/>
      <c r="AL74" s="839"/>
    </row>
    <row r="75" spans="1:38" customFormat="1" ht="54.75" customHeight="1" x14ac:dyDescent="0.25">
      <c r="A75" s="1680" t="s">
        <v>476</v>
      </c>
      <c r="B75" s="1681"/>
      <c r="C75" s="1681"/>
      <c r="D75" s="1681"/>
      <c r="E75" s="1681"/>
      <c r="F75" s="1682"/>
      <c r="G75" s="1494" t="s">
        <v>488</v>
      </c>
      <c r="H75" s="1495"/>
      <c r="I75" s="1495"/>
      <c r="J75" s="1495"/>
      <c r="K75" s="1495"/>
      <c r="L75" s="1495"/>
      <c r="M75" s="1495"/>
      <c r="N75" s="1495"/>
      <c r="O75" s="1496"/>
      <c r="P75" s="2854">
        <v>0.65</v>
      </c>
      <c r="Q75" s="2855"/>
      <c r="R75" s="2855"/>
      <c r="S75" s="2855"/>
      <c r="T75" s="2855"/>
      <c r="U75" s="2856"/>
      <c r="V75" s="1497" t="s">
        <v>30</v>
      </c>
      <c r="W75" s="1498"/>
      <c r="X75" s="1499"/>
      <c r="Y75" s="2912"/>
      <c r="Z75" s="2908"/>
      <c r="AA75" s="2908"/>
      <c r="AB75" s="2908"/>
      <c r="AC75" s="2908"/>
      <c r="AD75" s="2908"/>
      <c r="AE75" s="2908"/>
      <c r="AF75" s="2909"/>
      <c r="AG75" s="1"/>
      <c r="AH75" s="1"/>
      <c r="AI75" s="1"/>
      <c r="AL75" s="839"/>
    </row>
    <row r="76" spans="1:38" customFormat="1" ht="66.75" customHeight="1" x14ac:dyDescent="0.25">
      <c r="A76" s="1680" t="s">
        <v>477</v>
      </c>
      <c r="B76" s="1681"/>
      <c r="C76" s="1681"/>
      <c r="D76" s="1681"/>
      <c r="E76" s="1681"/>
      <c r="F76" s="1682"/>
      <c r="G76" s="1494" t="s">
        <v>489</v>
      </c>
      <c r="H76" s="1495"/>
      <c r="I76" s="1495"/>
      <c r="J76" s="1495"/>
      <c r="K76" s="1495"/>
      <c r="L76" s="1495"/>
      <c r="M76" s="1495"/>
      <c r="N76" s="1495"/>
      <c r="O76" s="1496"/>
      <c r="P76" s="2854">
        <v>5.7500000000000009E-2</v>
      </c>
      <c r="Q76" s="2856"/>
      <c r="R76" s="2854">
        <v>9.7674418604651175E-2</v>
      </c>
      <c r="S76" s="2856"/>
      <c r="T76" s="2854">
        <v>0.1</v>
      </c>
      <c r="U76" s="2856"/>
      <c r="V76" s="1497" t="s">
        <v>30</v>
      </c>
      <c r="W76" s="1498"/>
      <c r="X76" s="1499"/>
      <c r="Y76" s="2912"/>
      <c r="Z76" s="2908"/>
      <c r="AA76" s="2908"/>
      <c r="AB76" s="2908"/>
      <c r="AC76" s="2908"/>
      <c r="AD76" s="2908"/>
      <c r="AE76" s="2908"/>
      <c r="AF76" s="2909"/>
      <c r="AG76" s="1"/>
      <c r="AH76" s="1"/>
      <c r="AI76" s="1"/>
      <c r="AL76" s="839"/>
    </row>
    <row r="77" spans="1:38" customFormat="1" ht="54" customHeight="1" x14ac:dyDescent="0.25">
      <c r="A77" s="1680" t="s">
        <v>478</v>
      </c>
      <c r="B77" s="1681"/>
      <c r="C77" s="1681"/>
      <c r="D77" s="1681"/>
      <c r="E77" s="1681"/>
      <c r="F77" s="1682"/>
      <c r="G77" s="1494" t="s">
        <v>490</v>
      </c>
      <c r="H77" s="1495"/>
      <c r="I77" s="1495"/>
      <c r="J77" s="1495"/>
      <c r="K77" s="1495"/>
      <c r="L77" s="1495"/>
      <c r="M77" s="1495"/>
      <c r="N77" s="1495"/>
      <c r="O77" s="1496"/>
      <c r="P77" s="2854">
        <v>0.28999999999999998</v>
      </c>
      <c r="Q77" s="2856"/>
      <c r="R77" s="2854">
        <v>4.9767441860465111E-2</v>
      </c>
      <c r="S77" s="2856"/>
      <c r="T77" s="2854">
        <v>0.03</v>
      </c>
      <c r="U77" s="2856"/>
      <c r="V77" s="1497" t="s">
        <v>30</v>
      </c>
      <c r="W77" s="1498"/>
      <c r="X77" s="1499"/>
      <c r="Y77" s="2912"/>
      <c r="Z77" s="2908"/>
      <c r="AA77" s="2908"/>
      <c r="AB77" s="2908"/>
      <c r="AC77" s="2908"/>
      <c r="AD77" s="2908"/>
      <c r="AE77" s="2908"/>
      <c r="AF77" s="2909"/>
      <c r="AG77" s="1"/>
      <c r="AH77" s="1"/>
      <c r="AI77" s="1"/>
      <c r="AL77" s="839"/>
    </row>
    <row r="78" spans="1:38" customFormat="1" ht="73.5" customHeight="1" x14ac:dyDescent="0.25">
      <c r="A78" s="1680" t="s">
        <v>479</v>
      </c>
      <c r="B78" s="1681"/>
      <c r="C78" s="1681"/>
      <c r="D78" s="1681"/>
      <c r="E78" s="1681"/>
      <c r="F78" s="1682"/>
      <c r="G78" s="1494" t="s">
        <v>491</v>
      </c>
      <c r="H78" s="1495"/>
      <c r="I78" s="1495"/>
      <c r="J78" s="1495"/>
      <c r="K78" s="1495"/>
      <c r="L78" s="1495"/>
      <c r="M78" s="1495"/>
      <c r="N78" s="1495"/>
      <c r="O78" s="1496"/>
      <c r="P78" s="2854">
        <v>0.65250000000000008</v>
      </c>
      <c r="Q78" s="2856"/>
      <c r="R78" s="2854">
        <v>0.85255813953488369</v>
      </c>
      <c r="S78" s="2856"/>
      <c r="T78" s="2854">
        <v>0.87</v>
      </c>
      <c r="U78" s="2856"/>
      <c r="V78" s="1497" t="s">
        <v>30</v>
      </c>
      <c r="W78" s="1498"/>
      <c r="X78" s="1499"/>
      <c r="Y78" s="2478"/>
      <c r="Z78" s="2479"/>
      <c r="AA78" s="2479"/>
      <c r="AB78" s="2479"/>
      <c r="AC78" s="2479"/>
      <c r="AD78" s="2479"/>
      <c r="AE78" s="2479"/>
      <c r="AF78" s="2480"/>
      <c r="AG78" s="1"/>
      <c r="AH78" s="1"/>
      <c r="AI78" s="1"/>
      <c r="AL78" s="839"/>
    </row>
    <row r="79" spans="1:38" customFormat="1" ht="166.5" customHeight="1" x14ac:dyDescent="0.25">
      <c r="A79" s="1680" t="s">
        <v>480</v>
      </c>
      <c r="B79" s="1681"/>
      <c r="C79" s="1681"/>
      <c r="D79" s="1681"/>
      <c r="E79" s="1681"/>
      <c r="F79" s="1682"/>
      <c r="G79" s="1494" t="s">
        <v>492</v>
      </c>
      <c r="H79" s="1495"/>
      <c r="I79" s="1495"/>
      <c r="J79" s="1495"/>
      <c r="K79" s="1495"/>
      <c r="L79" s="1495"/>
      <c r="M79" s="1495"/>
      <c r="N79" s="1495"/>
      <c r="O79" s="1496"/>
      <c r="P79" s="2854">
        <v>0.69</v>
      </c>
      <c r="Q79" s="2855"/>
      <c r="R79" s="2855"/>
      <c r="S79" s="2855"/>
      <c r="T79" s="2855"/>
      <c r="U79" s="2856"/>
      <c r="V79" s="1497" t="s">
        <v>30</v>
      </c>
      <c r="W79" s="1498"/>
      <c r="X79" s="1499"/>
      <c r="Y79" s="1494" t="s">
        <v>3947</v>
      </c>
      <c r="Z79" s="1495"/>
      <c r="AA79" s="1495"/>
      <c r="AB79" s="1495"/>
      <c r="AC79" s="1495"/>
      <c r="AD79" s="1495"/>
      <c r="AE79" s="1495"/>
      <c r="AF79" s="1496"/>
      <c r="AG79" s="1"/>
      <c r="AH79" s="1"/>
      <c r="AI79" s="1"/>
      <c r="AL79" s="624"/>
    </row>
    <row r="80" spans="1:38" customFormat="1" ht="170.25" customHeight="1" x14ac:dyDescent="0.25">
      <c r="A80" s="1680" t="s">
        <v>481</v>
      </c>
      <c r="B80" s="1681"/>
      <c r="C80" s="1681"/>
      <c r="D80" s="1681"/>
      <c r="E80" s="1681"/>
      <c r="F80" s="1682"/>
      <c r="G80" s="1494" t="s">
        <v>493</v>
      </c>
      <c r="H80" s="1495"/>
      <c r="I80" s="1495"/>
      <c r="J80" s="1495"/>
      <c r="K80" s="1495"/>
      <c r="L80" s="1495"/>
      <c r="M80" s="1495"/>
      <c r="N80" s="1495"/>
      <c r="O80" s="1496"/>
      <c r="P80" s="2854">
        <v>0.59</v>
      </c>
      <c r="Q80" s="2855"/>
      <c r="R80" s="2855"/>
      <c r="S80" s="2855"/>
      <c r="T80" s="2855"/>
      <c r="U80" s="2856"/>
      <c r="V80" s="1497" t="s">
        <v>30</v>
      </c>
      <c r="W80" s="1498"/>
      <c r="X80" s="1499"/>
      <c r="Y80" s="1494" t="s">
        <v>3948</v>
      </c>
      <c r="Z80" s="1495"/>
      <c r="AA80" s="1495"/>
      <c r="AB80" s="1495"/>
      <c r="AC80" s="1495"/>
      <c r="AD80" s="1495"/>
      <c r="AE80" s="1495"/>
      <c r="AF80" s="1496"/>
      <c r="AG80" s="1"/>
      <c r="AH80" s="1"/>
      <c r="AI80" s="1"/>
      <c r="AL80" s="624"/>
    </row>
    <row r="81" spans="1:38" customFormat="1" ht="75.75" customHeight="1" x14ac:dyDescent="0.25">
      <c r="A81" s="1680" t="s">
        <v>257</v>
      </c>
      <c r="B81" s="1681"/>
      <c r="C81" s="1681"/>
      <c r="D81" s="1681"/>
      <c r="E81" s="1681"/>
      <c r="F81" s="1682"/>
      <c r="G81" s="1494" t="s">
        <v>6293</v>
      </c>
      <c r="H81" s="1495"/>
      <c r="I81" s="1495"/>
      <c r="J81" s="1495"/>
      <c r="K81" s="1495"/>
      <c r="L81" s="1495"/>
      <c r="M81" s="1495"/>
      <c r="N81" s="1495"/>
      <c r="O81" s="1496"/>
      <c r="P81" s="1497">
        <v>2448</v>
      </c>
      <c r="Q81" s="1498"/>
      <c r="R81" s="1498"/>
      <c r="S81" s="1498"/>
      <c r="T81" s="1498"/>
      <c r="U81" s="1499"/>
      <c r="V81" s="1497" t="s">
        <v>1000</v>
      </c>
      <c r="W81" s="1498"/>
      <c r="X81" s="1499"/>
      <c r="Y81" s="1494" t="s">
        <v>6330</v>
      </c>
      <c r="Z81" s="1495"/>
      <c r="AA81" s="1495"/>
      <c r="AB81" s="1495"/>
      <c r="AC81" s="1495"/>
      <c r="AD81" s="1495"/>
      <c r="AE81" s="1495"/>
      <c r="AF81" s="1496"/>
      <c r="AG81" s="1"/>
      <c r="AH81" s="1"/>
      <c r="AI81" s="1"/>
      <c r="AL81" s="839"/>
    </row>
    <row r="82" spans="1:38" customFormat="1" ht="67.5" customHeight="1" x14ac:dyDescent="0.25">
      <c r="A82" s="1680" t="s">
        <v>29</v>
      </c>
      <c r="B82" s="1681"/>
      <c r="C82" s="1681"/>
      <c r="D82" s="1681"/>
      <c r="E82" s="1681"/>
      <c r="F82" s="1682"/>
      <c r="G82" s="1494" t="s">
        <v>494</v>
      </c>
      <c r="H82" s="1495"/>
      <c r="I82" s="1495"/>
      <c r="J82" s="1495"/>
      <c r="K82" s="1495"/>
      <c r="L82" s="1495"/>
      <c r="M82" s="1495"/>
      <c r="N82" s="1495"/>
      <c r="O82" s="1496"/>
      <c r="P82" s="3115">
        <v>0.31</v>
      </c>
      <c r="Q82" s="3116"/>
      <c r="R82" s="3116"/>
      <c r="S82" s="3116"/>
      <c r="T82" s="3116"/>
      <c r="U82" s="3117"/>
      <c r="V82" s="1497" t="s">
        <v>30</v>
      </c>
      <c r="W82" s="1498"/>
      <c r="X82" s="1499"/>
      <c r="Y82" s="1494" t="s">
        <v>6331</v>
      </c>
      <c r="Z82" s="1495"/>
      <c r="AA82" s="1495"/>
      <c r="AB82" s="1495"/>
      <c r="AC82" s="1495"/>
      <c r="AD82" s="1495"/>
      <c r="AE82" s="1495"/>
      <c r="AF82" s="1496"/>
      <c r="AG82" s="1"/>
      <c r="AH82" s="1"/>
      <c r="AI82" s="1"/>
      <c r="AL82" s="386"/>
    </row>
    <row r="83" spans="1:38" customFormat="1" ht="175.5" customHeight="1" x14ac:dyDescent="0.25">
      <c r="A83" s="1680" t="s">
        <v>3935</v>
      </c>
      <c r="B83" s="1681"/>
      <c r="C83" s="1681"/>
      <c r="D83" s="1681"/>
      <c r="E83" s="1681"/>
      <c r="F83" s="1682"/>
      <c r="G83" s="1494" t="s">
        <v>2217</v>
      </c>
      <c r="H83" s="1495"/>
      <c r="I83" s="1495"/>
      <c r="J83" s="1495"/>
      <c r="K83" s="1495"/>
      <c r="L83" s="1495"/>
      <c r="M83" s="1495"/>
      <c r="N83" s="1495"/>
      <c r="O83" s="1496"/>
      <c r="P83" s="1497">
        <f>'Master EUL'!X32</f>
        <v>12</v>
      </c>
      <c r="Q83" s="1498"/>
      <c r="R83" s="1498"/>
      <c r="S83" s="1498"/>
      <c r="T83" s="1498"/>
      <c r="U83" s="1499"/>
      <c r="V83" s="1497" t="s">
        <v>46</v>
      </c>
      <c r="W83" s="1498"/>
      <c r="X83" s="1499"/>
      <c r="Y83" s="1494" t="s">
        <v>6332</v>
      </c>
      <c r="Z83" s="1495"/>
      <c r="AA83" s="1495"/>
      <c r="AB83" s="1495"/>
      <c r="AC83" s="1495"/>
      <c r="AD83" s="1495"/>
      <c r="AE83" s="1495"/>
      <c r="AF83" s="1496"/>
      <c r="AG83" s="1"/>
      <c r="AH83" s="1"/>
      <c r="AI83" s="1"/>
      <c r="AL83" s="893"/>
    </row>
    <row r="84" spans="1:38" customFormat="1" x14ac:dyDescent="0.25">
      <c r="A84" s="628" t="s">
        <v>1047</v>
      </c>
      <c r="B84" s="629"/>
      <c r="C84" s="629"/>
      <c r="D84" s="629"/>
      <c r="E84" s="629"/>
      <c r="F84" s="629"/>
      <c r="G84" s="630"/>
      <c r="H84" s="630"/>
      <c r="I84" s="630"/>
      <c r="J84" s="630"/>
      <c r="K84" s="630"/>
      <c r="L84" s="630"/>
      <c r="M84" s="630"/>
      <c r="N84" s="630"/>
      <c r="O84" s="630"/>
      <c r="P84" s="888"/>
      <c r="Q84" s="888"/>
      <c r="R84" s="888"/>
      <c r="S84" s="888"/>
      <c r="T84" s="888"/>
      <c r="U84" s="888"/>
      <c r="V84" s="888"/>
      <c r="W84" s="888"/>
      <c r="X84" s="888"/>
      <c r="Y84" s="630"/>
      <c r="Z84" s="630"/>
      <c r="AA84" s="630"/>
      <c r="AB84" s="630"/>
      <c r="AC84" s="630"/>
      <c r="AD84" s="630"/>
      <c r="AE84" s="630"/>
      <c r="AF84" s="630"/>
      <c r="AG84" s="1"/>
      <c r="AH84" s="1"/>
      <c r="AI84" s="1"/>
      <c r="AL84" s="839"/>
    </row>
    <row r="85" spans="1:38" customFormat="1" ht="30" customHeight="1" x14ac:dyDescent="0.25">
      <c r="A85" s="1686" t="s">
        <v>6294</v>
      </c>
      <c r="B85" s="1686"/>
      <c r="C85" s="1686"/>
      <c r="D85" s="1686"/>
      <c r="E85" s="1686"/>
      <c r="F85" s="1686"/>
      <c r="G85" s="1686"/>
      <c r="H85" s="1686"/>
      <c r="I85" s="1686"/>
      <c r="J85" s="1686"/>
      <c r="K85" s="1686"/>
      <c r="L85" s="1686"/>
      <c r="M85" s="1686"/>
      <c r="N85" s="1686"/>
      <c r="O85" s="1686"/>
      <c r="P85" s="1686"/>
      <c r="Q85" s="1686"/>
      <c r="R85" s="1686"/>
      <c r="S85" s="1686"/>
      <c r="T85" s="1686"/>
      <c r="U85" s="1686"/>
      <c r="V85" s="1686"/>
      <c r="W85" s="1686"/>
      <c r="X85" s="1686"/>
      <c r="Y85" s="1686"/>
      <c r="Z85" s="1686"/>
      <c r="AA85" s="1686"/>
      <c r="AB85" s="1686"/>
      <c r="AC85" s="1686"/>
      <c r="AD85" s="1686"/>
      <c r="AE85" s="1686"/>
      <c r="AF85" s="1686"/>
      <c r="AG85" s="1"/>
      <c r="AH85" s="1"/>
      <c r="AI85" s="1"/>
      <c r="AL85" s="839"/>
    </row>
    <row r="86" spans="1:38" customFormat="1" ht="30" customHeight="1" x14ac:dyDescent="0.25">
      <c r="A86" s="1686" t="s">
        <v>6295</v>
      </c>
      <c r="B86" s="1686"/>
      <c r="C86" s="1686"/>
      <c r="D86" s="1686"/>
      <c r="E86" s="1686"/>
      <c r="F86" s="1686"/>
      <c r="G86" s="1686"/>
      <c r="H86" s="1686"/>
      <c r="I86" s="1686"/>
      <c r="J86" s="1686"/>
      <c r="K86" s="1686"/>
      <c r="L86" s="1686"/>
      <c r="M86" s="1686"/>
      <c r="N86" s="1686"/>
      <c r="O86" s="1686"/>
      <c r="P86" s="1686"/>
      <c r="Q86" s="1686"/>
      <c r="R86" s="1686"/>
      <c r="S86" s="1686"/>
      <c r="T86" s="1686"/>
      <c r="U86" s="1686"/>
      <c r="V86" s="1686"/>
      <c r="W86" s="1686"/>
      <c r="X86" s="1686"/>
      <c r="Y86" s="1686"/>
      <c r="Z86" s="1686"/>
      <c r="AA86" s="1686"/>
      <c r="AB86" s="1686"/>
      <c r="AC86" s="1686"/>
      <c r="AD86" s="1686"/>
      <c r="AE86" s="1686"/>
      <c r="AF86" s="1686"/>
      <c r="AG86" s="1"/>
      <c r="AH86" s="1"/>
      <c r="AI86" s="1"/>
      <c r="AL86" s="839"/>
    </row>
    <row r="87" spans="1:38" customFormat="1" ht="36" customHeight="1" x14ac:dyDescent="0.25">
      <c r="A87" s="1686" t="s">
        <v>6296</v>
      </c>
      <c r="B87" s="1686"/>
      <c r="C87" s="1686"/>
      <c r="D87" s="1686"/>
      <c r="E87" s="1686"/>
      <c r="F87" s="1686"/>
      <c r="G87" s="1686"/>
      <c r="H87" s="1686"/>
      <c r="I87" s="1686"/>
      <c r="J87" s="1686"/>
      <c r="K87" s="1686"/>
      <c r="L87" s="1686"/>
      <c r="M87" s="1686"/>
      <c r="N87" s="1686"/>
      <c r="O87" s="1686"/>
      <c r="P87" s="1686"/>
      <c r="Q87" s="1686"/>
      <c r="R87" s="1686"/>
      <c r="S87" s="1686"/>
      <c r="T87" s="1686"/>
      <c r="U87" s="1686"/>
      <c r="V87" s="1686"/>
      <c r="W87" s="1686"/>
      <c r="X87" s="1686"/>
      <c r="Y87" s="1686"/>
      <c r="Z87" s="1686"/>
      <c r="AA87" s="1686"/>
      <c r="AB87" s="1686"/>
      <c r="AC87" s="1686"/>
      <c r="AD87" s="1686"/>
      <c r="AE87" s="1686"/>
      <c r="AF87" s="1686"/>
      <c r="AG87" s="1"/>
      <c r="AH87" s="1"/>
      <c r="AI87" s="1"/>
      <c r="AL87" s="839"/>
    </row>
    <row r="88" spans="1:38" customFormat="1" ht="27.75" customHeight="1" x14ac:dyDescent="0.25">
      <c r="A88" s="1686" t="s">
        <v>6297</v>
      </c>
      <c r="B88" s="1686"/>
      <c r="C88" s="1686"/>
      <c r="D88" s="1686"/>
      <c r="E88" s="1686"/>
      <c r="F88" s="1686"/>
      <c r="G88" s="1686"/>
      <c r="H88" s="1686"/>
      <c r="I88" s="1686"/>
      <c r="J88" s="1686"/>
      <c r="K88" s="1686"/>
      <c r="L88" s="1686"/>
      <c r="M88" s="1686"/>
      <c r="N88" s="1686"/>
      <c r="O88" s="1686"/>
      <c r="P88" s="1686"/>
      <c r="Q88" s="1686"/>
      <c r="R88" s="1686"/>
      <c r="S88" s="1686"/>
      <c r="T88" s="1686"/>
      <c r="U88" s="1686"/>
      <c r="V88" s="1686"/>
      <c r="W88" s="1686"/>
      <c r="X88" s="1686"/>
      <c r="Y88" s="1686"/>
      <c r="Z88" s="1686"/>
      <c r="AA88" s="1686"/>
      <c r="AB88" s="1686"/>
      <c r="AC88" s="1686"/>
      <c r="AD88" s="1686"/>
      <c r="AE88" s="1686"/>
      <c r="AF88" s="1686"/>
      <c r="AG88" s="1"/>
      <c r="AH88" s="1"/>
      <c r="AI88" s="1"/>
      <c r="AL88" s="839"/>
    </row>
    <row r="89" spans="1:38" customFormat="1" ht="27" customHeight="1" x14ac:dyDescent="0.25">
      <c r="A89" s="1686" t="s">
        <v>6298</v>
      </c>
      <c r="B89" s="1686"/>
      <c r="C89" s="1686"/>
      <c r="D89" s="1686"/>
      <c r="E89" s="1686"/>
      <c r="F89" s="1686"/>
      <c r="G89" s="1686"/>
      <c r="H89" s="1686"/>
      <c r="I89" s="1686"/>
      <c r="J89" s="1686"/>
      <c r="K89" s="1686"/>
      <c r="L89" s="1686"/>
      <c r="M89" s="1686"/>
      <c r="N89" s="1686"/>
      <c r="O89" s="1686"/>
      <c r="P89" s="1686"/>
      <c r="Q89" s="1686"/>
      <c r="R89" s="1686"/>
      <c r="S89" s="1686"/>
      <c r="T89" s="1686"/>
      <c r="U89" s="1686"/>
      <c r="V89" s="1686"/>
      <c r="W89" s="1686"/>
      <c r="X89" s="1686"/>
      <c r="Y89" s="1686"/>
      <c r="Z89" s="1686"/>
      <c r="AA89" s="1686"/>
      <c r="AB89" s="1686"/>
      <c r="AC89" s="1686"/>
      <c r="AD89" s="1686"/>
      <c r="AE89" s="1686"/>
      <c r="AF89" s="1686"/>
      <c r="AG89" s="1"/>
      <c r="AH89" s="1"/>
      <c r="AI89" s="1"/>
      <c r="AL89" s="839"/>
    </row>
    <row r="90" spans="1:38" customFormat="1" ht="75" customHeight="1" x14ac:dyDescent="0.25">
      <c r="A90" s="1686" t="s">
        <v>6333</v>
      </c>
      <c r="B90" s="1686"/>
      <c r="C90" s="1686"/>
      <c r="D90" s="1686"/>
      <c r="E90" s="1686"/>
      <c r="F90" s="1686"/>
      <c r="G90" s="1686"/>
      <c r="H90" s="1686"/>
      <c r="I90" s="1686"/>
      <c r="J90" s="1686"/>
      <c r="K90" s="1686"/>
      <c r="L90" s="1686"/>
      <c r="M90" s="1686"/>
      <c r="N90" s="1686"/>
      <c r="O90" s="1686"/>
      <c r="P90" s="1686"/>
      <c r="Q90" s="1686"/>
      <c r="R90" s="1686"/>
      <c r="S90" s="1686"/>
      <c r="T90" s="1686"/>
      <c r="U90" s="1686"/>
      <c r="V90" s="1686"/>
      <c r="W90" s="1686"/>
      <c r="X90" s="1686"/>
      <c r="Y90" s="1686"/>
      <c r="Z90" s="1686"/>
      <c r="AA90" s="1686"/>
      <c r="AB90" s="1686"/>
      <c r="AC90" s="1686"/>
      <c r="AD90" s="1686"/>
      <c r="AE90" s="1686"/>
      <c r="AF90" s="1686"/>
      <c r="AG90" s="1"/>
      <c r="AH90" s="1"/>
      <c r="AI90" s="1"/>
      <c r="AL90" s="839"/>
    </row>
    <row r="91" spans="1:38" customFormat="1" ht="75" customHeight="1" x14ac:dyDescent="0.25">
      <c r="A91" s="1686" t="s">
        <v>6334</v>
      </c>
      <c r="B91" s="1686"/>
      <c r="C91" s="1686"/>
      <c r="D91" s="1686"/>
      <c r="E91" s="1686"/>
      <c r="F91" s="1686"/>
      <c r="G91" s="1686"/>
      <c r="H91" s="1686"/>
      <c r="I91" s="1686"/>
      <c r="J91" s="1686"/>
      <c r="K91" s="1686"/>
      <c r="L91" s="1686"/>
      <c r="M91" s="1686"/>
      <c r="N91" s="1686"/>
      <c r="O91" s="1686"/>
      <c r="P91" s="1686"/>
      <c r="Q91" s="1686"/>
      <c r="R91" s="1686"/>
      <c r="S91" s="1686"/>
      <c r="T91" s="1686"/>
      <c r="U91" s="1686"/>
      <c r="V91" s="1686"/>
      <c r="W91" s="1686"/>
      <c r="X91" s="1686"/>
      <c r="Y91" s="1686"/>
      <c r="Z91" s="1686"/>
      <c r="AA91" s="1686"/>
      <c r="AB91" s="1686"/>
      <c r="AC91" s="1686"/>
      <c r="AD91" s="1686"/>
      <c r="AE91" s="1686"/>
      <c r="AF91" s="1686"/>
      <c r="AG91" s="1"/>
      <c r="AH91" s="1"/>
      <c r="AI91" s="1"/>
      <c r="AL91" s="839"/>
    </row>
    <row r="92" spans="1:38" customFormat="1" x14ac:dyDescent="0.25">
      <c r="A92" s="262"/>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62"/>
      <c r="AE92" s="262"/>
      <c r="AF92" s="262"/>
      <c r="AG92" s="1"/>
      <c r="AH92" s="1"/>
      <c r="AI92" s="1"/>
      <c r="AL92" s="839"/>
    </row>
    <row r="93" spans="1:38" customFormat="1" x14ac:dyDescent="0.25">
      <c r="A93" s="262"/>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c r="AE93" s="262"/>
      <c r="AF93" s="262"/>
      <c r="AG93" s="1"/>
      <c r="AH93" s="1"/>
      <c r="AI93" s="1"/>
    </row>
    <row r="94" spans="1:38" customFormat="1" x14ac:dyDescent="0.25">
      <c r="A94" s="1621" t="s">
        <v>21</v>
      </c>
      <c r="B94" s="1621"/>
      <c r="C94" s="1621"/>
      <c r="D94" s="1621"/>
      <c r="E94" s="1621"/>
      <c r="F94" s="1621"/>
      <c r="G94" s="1621"/>
      <c r="H94" s="1621"/>
      <c r="I94" s="1621"/>
      <c r="J94" s="1621"/>
      <c r="K94" s="1621"/>
      <c r="L94" s="1621"/>
      <c r="M94" s="1621"/>
      <c r="N94" s="1621"/>
      <c r="O94" s="1621"/>
      <c r="P94" s="1621"/>
      <c r="Q94" s="1621"/>
      <c r="R94" s="1621"/>
      <c r="S94" s="1621"/>
      <c r="T94" s="1621"/>
      <c r="U94" s="1621"/>
      <c r="V94" s="1621"/>
      <c r="W94" s="1621"/>
      <c r="X94" s="1621"/>
      <c r="Y94" s="1621"/>
      <c r="Z94" s="1621"/>
      <c r="AA94" s="1621"/>
      <c r="AB94" s="1621"/>
      <c r="AC94" s="1621"/>
      <c r="AD94" s="1621"/>
      <c r="AE94" s="1621"/>
      <c r="AF94" s="1621"/>
      <c r="AG94" s="1"/>
      <c r="AH94" s="1"/>
      <c r="AI94" s="1"/>
      <c r="AL94" s="624"/>
    </row>
    <row r="95" spans="1:38" customFormat="1" ht="15.75" thickBot="1" x14ac:dyDescent="0.3">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262"/>
      <c r="AF95" s="262"/>
      <c r="AG95" s="1"/>
      <c r="AH95" s="1"/>
      <c r="AI95" s="1"/>
      <c r="AL95" s="839"/>
    </row>
    <row r="96" spans="1:38" customFormat="1" x14ac:dyDescent="0.25">
      <c r="A96" s="1810" t="s">
        <v>22</v>
      </c>
      <c r="B96" s="1643"/>
      <c r="C96" s="1643"/>
      <c r="D96" s="1643"/>
      <c r="E96" s="1643"/>
      <c r="F96" s="1643"/>
      <c r="G96" s="1643"/>
      <c r="H96" s="1643"/>
      <c r="I96" s="1643" t="s">
        <v>23</v>
      </c>
      <c r="J96" s="1643"/>
      <c r="K96" s="1643"/>
      <c r="L96" s="1643"/>
      <c r="M96" s="1643"/>
      <c r="N96" s="1643"/>
      <c r="O96" s="1643"/>
      <c r="P96" s="1643"/>
      <c r="Q96" s="1643" t="s">
        <v>24</v>
      </c>
      <c r="R96" s="1643"/>
      <c r="S96" s="1643"/>
      <c r="T96" s="1643"/>
      <c r="U96" s="1643"/>
      <c r="V96" s="1643"/>
      <c r="W96" s="1643"/>
      <c r="X96" s="1643"/>
      <c r="Y96" s="2809" t="s">
        <v>2012</v>
      </c>
      <c r="Z96" s="1643"/>
      <c r="AA96" s="1643"/>
      <c r="AB96" s="1643"/>
      <c r="AC96" s="1643"/>
      <c r="AD96" s="1643"/>
      <c r="AE96" s="1643"/>
      <c r="AF96" s="1644"/>
      <c r="AG96" s="1"/>
      <c r="AH96" s="1"/>
      <c r="AI96" s="1"/>
      <c r="AL96" s="839"/>
    </row>
    <row r="97" spans="1:38" customFormat="1" x14ac:dyDescent="0.25">
      <c r="A97" s="2467" t="s">
        <v>495</v>
      </c>
      <c r="B97" s="1283"/>
      <c r="C97" s="1283"/>
      <c r="D97" s="1283"/>
      <c r="E97" s="1283"/>
      <c r="F97" s="1283"/>
      <c r="G97" s="1283"/>
      <c r="H97" s="1283"/>
      <c r="I97" s="1624">
        <f>ROUND(Q97*$P$82/$P$81,3)</f>
        <v>1.6E-2</v>
      </c>
      <c r="J97" s="1624"/>
      <c r="K97" s="1624"/>
      <c r="L97" s="1624"/>
      <c r="M97" s="1624"/>
      <c r="N97" s="1624"/>
      <c r="O97" s="1624"/>
      <c r="P97" s="1624"/>
      <c r="Q97" s="3107">
        <f>ROUND(P69*P72*((1/P70)*(P73+(P74*P80)+(P75*P79))-(1/P71)*(P76+(P77*P80)+(P78*P79))),2)</f>
        <v>126.04</v>
      </c>
      <c r="R97" s="3108"/>
      <c r="S97" s="3108"/>
      <c r="T97" s="3108"/>
      <c r="U97" s="3108"/>
      <c r="V97" s="3108"/>
      <c r="W97" s="3108"/>
      <c r="X97" s="3109"/>
      <c r="Y97" s="3110">
        <f>ROUND(Q97*$P$83,2)</f>
        <v>1512.48</v>
      </c>
      <c r="Z97" s="3110"/>
      <c r="AA97" s="3110"/>
      <c r="AB97" s="3110"/>
      <c r="AC97" s="3110"/>
      <c r="AD97" s="3110"/>
      <c r="AE97" s="3110"/>
      <c r="AF97" s="3111"/>
      <c r="AG97" s="1"/>
      <c r="AH97" s="1"/>
      <c r="AI97" s="1"/>
      <c r="AL97" s="839"/>
    </row>
    <row r="98" spans="1:38" customFormat="1" x14ac:dyDescent="0.25">
      <c r="A98" s="2467" t="s">
        <v>496</v>
      </c>
      <c r="B98" s="1283"/>
      <c r="C98" s="1283"/>
      <c r="D98" s="1283"/>
      <c r="E98" s="1283"/>
      <c r="F98" s="1283"/>
      <c r="G98" s="1283"/>
      <c r="H98" s="1283"/>
      <c r="I98" s="1624">
        <f t="shared" ref="I98:I99" si="2">ROUND(Q98*$P$82/$P$81,3)</f>
        <v>0.02</v>
      </c>
      <c r="J98" s="1624"/>
      <c r="K98" s="1624"/>
      <c r="L98" s="1624"/>
      <c r="M98" s="1624"/>
      <c r="N98" s="1624"/>
      <c r="O98" s="1624"/>
      <c r="P98" s="1624"/>
      <c r="Q98" s="3107">
        <f>ROUND(P69*P72*((1/P70)*(P73+(P74*P80)+(P75*P79))-(1/R71)*(R76+(R77*P80)+(R78*P79))),2)</f>
        <v>154.13999999999999</v>
      </c>
      <c r="R98" s="3108"/>
      <c r="S98" s="3108"/>
      <c r="T98" s="3108"/>
      <c r="U98" s="3108"/>
      <c r="V98" s="3108"/>
      <c r="W98" s="3108"/>
      <c r="X98" s="3109"/>
      <c r="Y98" s="3110">
        <f>ROUND(Q98*$P$83,2)</f>
        <v>1849.68</v>
      </c>
      <c r="Z98" s="3110"/>
      <c r="AA98" s="3110"/>
      <c r="AB98" s="3110"/>
      <c r="AC98" s="3110"/>
      <c r="AD98" s="3110"/>
      <c r="AE98" s="3110"/>
      <c r="AF98" s="3111"/>
      <c r="AG98" s="1"/>
      <c r="AH98" s="1"/>
      <c r="AI98" s="1"/>
      <c r="AL98" s="839"/>
    </row>
    <row r="99" spans="1:38" customFormat="1" ht="15.75" thickBot="1" x14ac:dyDescent="0.3">
      <c r="A99" s="2481" t="s">
        <v>497</v>
      </c>
      <c r="B99" s="1803"/>
      <c r="C99" s="1803"/>
      <c r="D99" s="1803"/>
      <c r="E99" s="1803"/>
      <c r="F99" s="1803"/>
      <c r="G99" s="1803"/>
      <c r="H99" s="1803"/>
      <c r="I99" s="1634">
        <f t="shared" si="2"/>
        <v>2.1999999999999999E-2</v>
      </c>
      <c r="J99" s="1634"/>
      <c r="K99" s="1634"/>
      <c r="L99" s="1634"/>
      <c r="M99" s="1634"/>
      <c r="N99" s="1634"/>
      <c r="O99" s="1634"/>
      <c r="P99" s="1634"/>
      <c r="Q99" s="3112">
        <f>ROUND(P69*P72*((1/P70)*(P73+(P74*P80)+(P75*P79))-(1/T71)*(T76+(T77*P80)+(T78*P79))),2)</f>
        <v>171.23</v>
      </c>
      <c r="R99" s="3113"/>
      <c r="S99" s="3113"/>
      <c r="T99" s="3113"/>
      <c r="U99" s="3113"/>
      <c r="V99" s="3113"/>
      <c r="W99" s="3113"/>
      <c r="X99" s="3114"/>
      <c r="Y99" s="2946">
        <f>ROUND(Q99*$P$83,2)</f>
        <v>2054.7600000000002</v>
      </c>
      <c r="Z99" s="2947"/>
      <c r="AA99" s="2947"/>
      <c r="AB99" s="2947"/>
      <c r="AC99" s="2947"/>
      <c r="AD99" s="2947"/>
      <c r="AE99" s="2947"/>
      <c r="AF99" s="2948"/>
      <c r="AG99" s="1"/>
      <c r="AH99" s="1"/>
      <c r="AI99" s="1"/>
      <c r="AL99" s="839"/>
    </row>
    <row r="100" spans="1:38" customFormat="1" x14ac:dyDescent="0.25">
      <c r="A100" s="262"/>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262"/>
      <c r="AE100" s="262"/>
      <c r="AF100" s="262"/>
      <c r="AG100" s="1"/>
      <c r="AH100" s="1"/>
      <c r="AI100" s="1"/>
      <c r="AL100" s="839"/>
    </row>
    <row r="101" spans="1:38" customFormat="1" x14ac:dyDescent="0.25">
      <c r="A101" s="262"/>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F101" s="262"/>
      <c r="AG101" s="1"/>
      <c r="AH101" s="1"/>
      <c r="AI101" s="1"/>
      <c r="AL101" s="839"/>
    </row>
    <row r="102" spans="1:38" customFormat="1" x14ac:dyDescent="0.25">
      <c r="A102" s="1621" t="s">
        <v>1753</v>
      </c>
      <c r="B102" s="1621"/>
      <c r="C102" s="1621"/>
      <c r="D102" s="1621"/>
      <c r="E102" s="1621"/>
      <c r="F102" s="1621"/>
      <c r="G102" s="1621"/>
      <c r="H102" s="1621"/>
      <c r="I102" s="1621"/>
      <c r="J102" s="1621"/>
      <c r="K102" s="1621"/>
      <c r="L102" s="1621"/>
      <c r="M102" s="1621"/>
      <c r="N102" s="1621"/>
      <c r="O102" s="1621"/>
      <c r="P102" s="1621"/>
      <c r="Q102" s="1621"/>
      <c r="R102" s="1621"/>
      <c r="S102" s="1621"/>
      <c r="T102" s="1621"/>
      <c r="U102" s="1621"/>
      <c r="V102" s="1621"/>
      <c r="W102" s="1621"/>
      <c r="X102" s="1621"/>
      <c r="Y102" s="1621"/>
      <c r="Z102" s="1621"/>
      <c r="AA102" s="1621"/>
      <c r="AB102" s="1621"/>
      <c r="AC102" s="1621"/>
      <c r="AD102" s="1621"/>
      <c r="AE102" s="1621"/>
      <c r="AF102" s="1621"/>
      <c r="AL102" s="624"/>
    </row>
    <row r="103" spans="1:38" customFormat="1" x14ac:dyDescent="0.25">
      <c r="A103" s="262"/>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2"/>
      <c r="AE103" s="262"/>
      <c r="AF103" s="262"/>
      <c r="AG103" s="1"/>
      <c r="AH103" s="1"/>
      <c r="AI103" s="1"/>
      <c r="AL103" s="839"/>
    </row>
    <row r="104" spans="1:38" customFormat="1" x14ac:dyDescent="0.25">
      <c r="A104" s="517" t="s">
        <v>1013</v>
      </c>
      <c r="B104" s="1173" t="s">
        <v>6299</v>
      </c>
      <c r="C104" s="1173"/>
      <c r="D104" s="1173"/>
      <c r="E104" s="1173"/>
      <c r="F104" s="1173"/>
      <c r="G104" s="1173"/>
      <c r="H104" s="1173"/>
      <c r="I104" s="1173"/>
      <c r="J104" s="1173"/>
      <c r="K104" s="1173"/>
      <c r="L104" s="1173"/>
      <c r="M104" s="1173"/>
      <c r="N104" s="1173"/>
      <c r="O104" s="1173"/>
      <c r="P104" s="1173"/>
      <c r="Q104" s="1173"/>
      <c r="R104" s="1173"/>
      <c r="S104" s="1173"/>
      <c r="T104" s="1173"/>
      <c r="U104" s="1173"/>
      <c r="V104" s="1173"/>
      <c r="W104" s="1173"/>
      <c r="X104" s="1173"/>
      <c r="Y104" s="1173"/>
      <c r="Z104" s="1173"/>
      <c r="AA104" s="1173"/>
      <c r="AB104" s="1173"/>
      <c r="AC104" s="1173"/>
      <c r="AD104" s="1173"/>
      <c r="AE104" s="1173"/>
      <c r="AF104" s="1173"/>
      <c r="AG104" s="1"/>
      <c r="AH104" s="1"/>
      <c r="AI104" s="1"/>
      <c r="AL104" s="839"/>
    </row>
    <row r="105" spans="1:38" customFormat="1" x14ac:dyDescent="0.25">
      <c r="A105" s="517" t="s">
        <v>1013</v>
      </c>
      <c r="B105" s="1173" t="s">
        <v>6335</v>
      </c>
      <c r="C105" s="1173"/>
      <c r="D105" s="1173"/>
      <c r="E105" s="1173"/>
      <c r="F105" s="1173"/>
      <c r="G105" s="1173"/>
      <c r="H105" s="1173"/>
      <c r="I105" s="1173"/>
      <c r="J105" s="1173"/>
      <c r="K105" s="1173"/>
      <c r="L105" s="1173"/>
      <c r="M105" s="1173"/>
      <c r="N105" s="1173"/>
      <c r="O105" s="1173"/>
      <c r="P105" s="1173"/>
      <c r="Q105" s="1173"/>
      <c r="R105" s="1173"/>
      <c r="S105" s="1173"/>
      <c r="T105" s="1173"/>
      <c r="U105" s="1173"/>
      <c r="V105" s="1173"/>
      <c r="W105" s="1173"/>
      <c r="X105" s="1173"/>
      <c r="Y105" s="1173"/>
      <c r="Z105" s="1173"/>
      <c r="AA105" s="1173"/>
      <c r="AB105" s="1173"/>
      <c r="AC105" s="1173"/>
      <c r="AD105" s="1173"/>
      <c r="AE105" s="1173"/>
      <c r="AF105" s="1173"/>
      <c r="AG105" s="1"/>
      <c r="AH105" s="1"/>
      <c r="AI105" s="1"/>
      <c r="AL105" s="839"/>
    </row>
    <row r="106" spans="1:38" customFormat="1" ht="30" customHeight="1" x14ac:dyDescent="0.25">
      <c r="A106" s="517" t="s">
        <v>1013</v>
      </c>
      <c r="B106" s="1173" t="s">
        <v>6300</v>
      </c>
      <c r="C106" s="1173"/>
      <c r="D106" s="1173"/>
      <c r="E106" s="1173"/>
      <c r="F106" s="1173"/>
      <c r="G106" s="1173"/>
      <c r="H106" s="1173"/>
      <c r="I106" s="1173"/>
      <c r="J106" s="1173"/>
      <c r="K106" s="1173"/>
      <c r="L106" s="1173"/>
      <c r="M106" s="1173"/>
      <c r="N106" s="1173"/>
      <c r="O106" s="1173"/>
      <c r="P106" s="1173"/>
      <c r="Q106" s="1173"/>
      <c r="R106" s="1173"/>
      <c r="S106" s="1173"/>
      <c r="T106" s="1173"/>
      <c r="U106" s="1173"/>
      <c r="V106" s="1173"/>
      <c r="W106" s="1173"/>
      <c r="X106" s="1173"/>
      <c r="Y106" s="1173"/>
      <c r="Z106" s="1173"/>
      <c r="AA106" s="1173"/>
      <c r="AB106" s="1173"/>
      <c r="AC106" s="1173"/>
      <c r="AD106" s="1173"/>
      <c r="AE106" s="1173"/>
      <c r="AF106" s="1173"/>
      <c r="AG106" s="1"/>
      <c r="AH106" s="1"/>
      <c r="AI106" s="1"/>
      <c r="AL106" s="839"/>
    </row>
    <row r="107" spans="1:38" customFormat="1" ht="45" customHeight="1" x14ac:dyDescent="0.25">
      <c r="A107" s="517" t="s">
        <v>1013</v>
      </c>
      <c r="B107" s="1173" t="s">
        <v>6301</v>
      </c>
      <c r="C107" s="1173"/>
      <c r="D107" s="1173"/>
      <c r="E107" s="1173"/>
      <c r="F107" s="1173"/>
      <c r="G107" s="1173"/>
      <c r="H107" s="1173"/>
      <c r="I107" s="1173"/>
      <c r="J107" s="1173"/>
      <c r="K107" s="1173"/>
      <c r="L107" s="1173"/>
      <c r="M107" s="1173"/>
      <c r="N107" s="1173"/>
      <c r="O107" s="1173"/>
      <c r="P107" s="1173"/>
      <c r="Q107" s="1173"/>
      <c r="R107" s="1173"/>
      <c r="S107" s="1173"/>
      <c r="T107" s="1173"/>
      <c r="U107" s="1173"/>
      <c r="V107" s="1173"/>
      <c r="W107" s="1173"/>
      <c r="X107" s="1173"/>
      <c r="Y107" s="1173"/>
      <c r="Z107" s="1173"/>
      <c r="AA107" s="1173"/>
      <c r="AB107" s="1173"/>
      <c r="AC107" s="1173"/>
      <c r="AD107" s="1173"/>
      <c r="AE107" s="1173"/>
      <c r="AF107" s="1173"/>
      <c r="AG107" s="1"/>
      <c r="AH107" s="1"/>
      <c r="AI107" s="1"/>
      <c r="AL107" s="839"/>
    </row>
    <row r="108" spans="1:38" customFormat="1" ht="60.75" customHeight="1" x14ac:dyDescent="0.25">
      <c r="A108" s="517" t="s">
        <v>1013</v>
      </c>
      <c r="B108" s="1173" t="s">
        <v>6302</v>
      </c>
      <c r="C108" s="1173"/>
      <c r="D108" s="1173"/>
      <c r="E108" s="1173"/>
      <c r="F108" s="1173"/>
      <c r="G108" s="1173"/>
      <c r="H108" s="1173"/>
      <c r="I108" s="1173"/>
      <c r="J108" s="1173"/>
      <c r="K108" s="1173"/>
      <c r="L108" s="1173"/>
      <c r="M108" s="1173"/>
      <c r="N108" s="1173"/>
      <c r="O108" s="1173"/>
      <c r="P108" s="1173"/>
      <c r="Q108" s="1173"/>
      <c r="R108" s="1173"/>
      <c r="S108" s="1173"/>
      <c r="T108" s="1173"/>
      <c r="U108" s="1173"/>
      <c r="V108" s="1173"/>
      <c r="W108" s="1173"/>
      <c r="X108" s="1173"/>
      <c r="Y108" s="1173"/>
      <c r="Z108" s="1173"/>
      <c r="AA108" s="1173"/>
      <c r="AB108" s="1173"/>
      <c r="AC108" s="1173"/>
      <c r="AD108" s="1173"/>
      <c r="AE108" s="1173"/>
      <c r="AF108" s="1173"/>
      <c r="AG108" s="1"/>
      <c r="AH108" s="1"/>
      <c r="AI108" s="1"/>
      <c r="AL108" s="839"/>
    </row>
    <row r="109" spans="1:38" customFormat="1" ht="60.75" customHeight="1" x14ac:dyDescent="0.25">
      <c r="A109" s="517" t="s">
        <v>1013</v>
      </c>
      <c r="B109" s="1173" t="s">
        <v>6303</v>
      </c>
      <c r="C109" s="1173"/>
      <c r="D109" s="1173"/>
      <c r="E109" s="1173"/>
      <c r="F109" s="1173"/>
      <c r="G109" s="1173"/>
      <c r="H109" s="1173"/>
      <c r="I109" s="1173"/>
      <c r="J109" s="1173"/>
      <c r="K109" s="1173"/>
      <c r="L109" s="1173"/>
      <c r="M109" s="1173"/>
      <c r="N109" s="1173"/>
      <c r="O109" s="1173"/>
      <c r="P109" s="1173"/>
      <c r="Q109" s="1173"/>
      <c r="R109" s="1173"/>
      <c r="S109" s="1173"/>
      <c r="T109" s="1173"/>
      <c r="U109" s="1173"/>
      <c r="V109" s="1173"/>
      <c r="W109" s="1173"/>
      <c r="X109" s="1173"/>
      <c r="Y109" s="1173"/>
      <c r="Z109" s="1173"/>
      <c r="AA109" s="1173"/>
      <c r="AB109" s="1173"/>
      <c r="AC109" s="1173"/>
      <c r="AD109" s="1173"/>
      <c r="AE109" s="1173"/>
      <c r="AF109" s="1173"/>
      <c r="AG109" s="1"/>
      <c r="AH109" s="1"/>
      <c r="AI109" s="1"/>
      <c r="AL109" s="839"/>
    </row>
    <row r="110" spans="1:38" customFormat="1" ht="30" customHeight="1" x14ac:dyDescent="0.25">
      <c r="A110" s="517" t="s">
        <v>1013</v>
      </c>
      <c r="B110" s="1173" t="s">
        <v>6304</v>
      </c>
      <c r="C110" s="1173"/>
      <c r="D110" s="1173"/>
      <c r="E110" s="1173"/>
      <c r="F110" s="1173"/>
      <c r="G110" s="1173"/>
      <c r="H110" s="1173"/>
      <c r="I110" s="1173"/>
      <c r="J110" s="1173"/>
      <c r="K110" s="1173"/>
      <c r="L110" s="1173"/>
      <c r="M110" s="1173"/>
      <c r="N110" s="1173"/>
      <c r="O110" s="1173"/>
      <c r="P110" s="1173"/>
      <c r="Q110" s="1173"/>
      <c r="R110" s="1173"/>
      <c r="S110" s="1173"/>
      <c r="T110" s="1173"/>
      <c r="U110" s="1173"/>
      <c r="V110" s="1173"/>
      <c r="W110" s="1173"/>
      <c r="X110" s="1173"/>
      <c r="Y110" s="1173"/>
      <c r="Z110" s="1173"/>
      <c r="AA110" s="1173"/>
      <c r="AB110" s="1173"/>
      <c r="AC110" s="1173"/>
      <c r="AD110" s="1173"/>
      <c r="AE110" s="1173"/>
      <c r="AF110" s="1173"/>
      <c r="AG110" s="1"/>
      <c r="AH110" s="1"/>
      <c r="AI110" s="1"/>
      <c r="AL110" s="839"/>
    </row>
    <row r="111" spans="1:38" customFormat="1" ht="63" customHeight="1" x14ac:dyDescent="0.25">
      <c r="A111" s="517" t="s">
        <v>1013</v>
      </c>
      <c r="B111" s="1173" t="s">
        <v>6305</v>
      </c>
      <c r="C111" s="1173"/>
      <c r="D111" s="1173"/>
      <c r="E111" s="1173"/>
      <c r="F111" s="1173"/>
      <c r="G111" s="1173"/>
      <c r="H111" s="1173"/>
      <c r="I111" s="1173"/>
      <c r="J111" s="1173"/>
      <c r="K111" s="1173"/>
      <c r="L111" s="1173"/>
      <c r="M111" s="1173"/>
      <c r="N111" s="1173"/>
      <c r="O111" s="1173"/>
      <c r="P111" s="1173"/>
      <c r="Q111" s="1173"/>
      <c r="R111" s="1173"/>
      <c r="S111" s="1173"/>
      <c r="T111" s="1173"/>
      <c r="U111" s="1173"/>
      <c r="V111" s="1173"/>
      <c r="W111" s="1173"/>
      <c r="X111" s="1173"/>
      <c r="Y111" s="1173"/>
      <c r="Z111" s="1173"/>
      <c r="AA111" s="1173"/>
      <c r="AB111" s="1173"/>
      <c r="AC111" s="1173"/>
      <c r="AD111" s="1173"/>
      <c r="AE111" s="1173"/>
      <c r="AF111" s="1173"/>
      <c r="AG111" s="1"/>
      <c r="AH111" s="1"/>
      <c r="AI111" s="1"/>
      <c r="AL111" s="839"/>
    </row>
    <row r="112" spans="1:38" customFormat="1" ht="45" customHeight="1" x14ac:dyDescent="0.25">
      <c r="A112" s="517" t="s">
        <v>1013</v>
      </c>
      <c r="B112" s="1173" t="s">
        <v>6306</v>
      </c>
      <c r="C112" s="1173"/>
      <c r="D112" s="1173"/>
      <c r="E112" s="1173"/>
      <c r="F112" s="1173"/>
      <c r="G112" s="1173"/>
      <c r="H112" s="1173"/>
      <c r="I112" s="1173"/>
      <c r="J112" s="1173"/>
      <c r="K112" s="1173"/>
      <c r="L112" s="1173"/>
      <c r="M112" s="1173"/>
      <c r="N112" s="1173"/>
      <c r="O112" s="1173"/>
      <c r="P112" s="1173"/>
      <c r="Q112" s="1173"/>
      <c r="R112" s="1173"/>
      <c r="S112" s="1173"/>
      <c r="T112" s="1173"/>
      <c r="U112" s="1173"/>
      <c r="V112" s="1173"/>
      <c r="W112" s="1173"/>
      <c r="X112" s="1173"/>
      <c r="Y112" s="1173"/>
      <c r="Z112" s="1173"/>
      <c r="AA112" s="1173"/>
      <c r="AB112" s="1173"/>
      <c r="AC112" s="1173"/>
      <c r="AD112" s="1173"/>
      <c r="AE112" s="1173"/>
      <c r="AF112" s="1173"/>
      <c r="AG112" s="1"/>
      <c r="AH112" s="1"/>
      <c r="AI112" s="1"/>
      <c r="AL112" s="839"/>
    </row>
    <row r="113" spans="1:38" customFormat="1" ht="30.75" customHeight="1" x14ac:dyDescent="0.25">
      <c r="A113" s="517" t="s">
        <v>1013</v>
      </c>
      <c r="B113" s="1173" t="s">
        <v>3954</v>
      </c>
      <c r="C113" s="1173"/>
      <c r="D113" s="1173"/>
      <c r="E113" s="1173"/>
      <c r="F113" s="1173"/>
      <c r="G113" s="1173"/>
      <c r="H113" s="1173"/>
      <c r="I113" s="1173"/>
      <c r="J113" s="1173"/>
      <c r="K113" s="1173"/>
      <c r="L113" s="1173"/>
      <c r="M113" s="1173"/>
      <c r="N113" s="1173"/>
      <c r="O113" s="1173"/>
      <c r="P113" s="1173"/>
      <c r="Q113" s="1173"/>
      <c r="R113" s="1173"/>
      <c r="S113" s="1173"/>
      <c r="T113" s="1173"/>
      <c r="U113" s="1173"/>
      <c r="V113" s="1173"/>
      <c r="W113" s="1173"/>
      <c r="X113" s="1173"/>
      <c r="Y113" s="1173"/>
      <c r="Z113" s="1173"/>
      <c r="AA113" s="1173"/>
      <c r="AB113" s="1173"/>
      <c r="AC113" s="1173"/>
      <c r="AD113" s="1173"/>
      <c r="AE113" s="1173"/>
      <c r="AF113" s="1173"/>
      <c r="AG113" s="1"/>
      <c r="AH113" s="1"/>
      <c r="AI113" s="1"/>
      <c r="AL113" s="839"/>
    </row>
    <row r="114" spans="1:38" customFormat="1" ht="30" customHeight="1" x14ac:dyDescent="0.25">
      <c r="A114" s="517" t="s">
        <v>1013</v>
      </c>
      <c r="B114" s="1173" t="s">
        <v>6307</v>
      </c>
      <c r="C114" s="1173"/>
      <c r="D114" s="1173"/>
      <c r="E114" s="1173"/>
      <c r="F114" s="1173"/>
      <c r="G114" s="1173"/>
      <c r="H114" s="1173"/>
      <c r="I114" s="1173"/>
      <c r="J114" s="1173"/>
      <c r="K114" s="1173"/>
      <c r="L114" s="1173"/>
      <c r="M114" s="1173"/>
      <c r="N114" s="1173"/>
      <c r="O114" s="1173"/>
      <c r="P114" s="1173"/>
      <c r="Q114" s="1173"/>
      <c r="R114" s="1173"/>
      <c r="S114" s="1173"/>
      <c r="T114" s="1173"/>
      <c r="U114" s="1173"/>
      <c r="V114" s="1173"/>
      <c r="W114" s="1173"/>
      <c r="X114" s="1173"/>
      <c r="Y114" s="1173"/>
      <c r="Z114" s="1173"/>
      <c r="AA114" s="1173"/>
      <c r="AB114" s="1173"/>
      <c r="AC114" s="1173"/>
      <c r="AD114" s="1173"/>
      <c r="AE114" s="1173"/>
      <c r="AF114" s="1173"/>
      <c r="AG114" s="1"/>
      <c r="AH114" s="1"/>
      <c r="AI114" s="1"/>
      <c r="AL114" s="839"/>
    </row>
    <row r="115" spans="1:38" customFormat="1" ht="30" customHeight="1" x14ac:dyDescent="0.25">
      <c r="A115" s="517" t="s">
        <v>1013</v>
      </c>
      <c r="B115" s="1173" t="s">
        <v>6159</v>
      </c>
      <c r="C115" s="1173"/>
      <c r="D115" s="1173"/>
      <c r="E115" s="1173"/>
      <c r="F115" s="1173"/>
      <c r="G115" s="1173"/>
      <c r="H115" s="1173"/>
      <c r="I115" s="1173"/>
      <c r="J115" s="1173"/>
      <c r="K115" s="1173"/>
      <c r="L115" s="1173"/>
      <c r="M115" s="1173"/>
      <c r="N115" s="1173"/>
      <c r="O115" s="1173"/>
      <c r="P115" s="1173"/>
      <c r="Q115" s="1173"/>
      <c r="R115" s="1173"/>
      <c r="S115" s="1173"/>
      <c r="T115" s="1173"/>
      <c r="U115" s="1173"/>
      <c r="V115" s="1173"/>
      <c r="W115" s="1173"/>
      <c r="X115" s="1173"/>
      <c r="Y115" s="1173"/>
      <c r="Z115" s="1173"/>
      <c r="AA115" s="1173"/>
      <c r="AB115" s="1173"/>
      <c r="AC115" s="1173"/>
      <c r="AD115" s="1173"/>
      <c r="AE115" s="1173"/>
      <c r="AF115" s="1173"/>
      <c r="AG115" s="1"/>
      <c r="AH115" s="1"/>
      <c r="AI115" s="1"/>
      <c r="AL115" s="839"/>
    </row>
    <row r="116" spans="1:38" customFormat="1" ht="45" customHeight="1" x14ac:dyDescent="0.25">
      <c r="A116" s="517" t="s">
        <v>1013</v>
      </c>
      <c r="B116" s="1173" t="s">
        <v>6160</v>
      </c>
      <c r="C116" s="1173"/>
      <c r="D116" s="1173"/>
      <c r="E116" s="1173"/>
      <c r="F116" s="1173"/>
      <c r="G116" s="1173"/>
      <c r="H116" s="1173"/>
      <c r="I116" s="1173"/>
      <c r="J116" s="1173"/>
      <c r="K116" s="1173"/>
      <c r="L116" s="1173"/>
      <c r="M116" s="1173"/>
      <c r="N116" s="1173"/>
      <c r="O116" s="1173"/>
      <c r="P116" s="1173"/>
      <c r="Q116" s="1173"/>
      <c r="R116" s="1173"/>
      <c r="S116" s="1173"/>
      <c r="T116" s="1173"/>
      <c r="U116" s="1173"/>
      <c r="V116" s="1173"/>
      <c r="W116" s="1173"/>
      <c r="X116" s="1173"/>
      <c r="Y116" s="1173"/>
      <c r="Z116" s="1173"/>
      <c r="AA116" s="1173"/>
      <c r="AB116" s="1173"/>
      <c r="AC116" s="1173"/>
      <c r="AD116" s="1173"/>
      <c r="AE116" s="1173"/>
      <c r="AF116" s="1173"/>
      <c r="AG116" s="1"/>
      <c r="AH116" s="1"/>
      <c r="AI116" s="1"/>
      <c r="AL116" s="839"/>
    </row>
    <row r="117" spans="1:38" customFormat="1" ht="30" customHeight="1" x14ac:dyDescent="0.25">
      <c r="A117" s="517" t="s">
        <v>1013</v>
      </c>
      <c r="B117" s="1173" t="s">
        <v>6161</v>
      </c>
      <c r="C117" s="1173"/>
      <c r="D117" s="1173"/>
      <c r="E117" s="1173"/>
      <c r="F117" s="1173"/>
      <c r="G117" s="1173"/>
      <c r="H117" s="1173"/>
      <c r="I117" s="1173"/>
      <c r="J117" s="1173"/>
      <c r="K117" s="1173"/>
      <c r="L117" s="1173"/>
      <c r="M117" s="1173"/>
      <c r="N117" s="1173"/>
      <c r="O117" s="1173"/>
      <c r="P117" s="1173"/>
      <c r="Q117" s="1173"/>
      <c r="R117" s="1173"/>
      <c r="S117" s="1173"/>
      <c r="T117" s="1173"/>
      <c r="U117" s="1173"/>
      <c r="V117" s="1173"/>
      <c r="W117" s="1173"/>
      <c r="X117" s="1173"/>
      <c r="Y117" s="1173"/>
      <c r="Z117" s="1173"/>
      <c r="AA117" s="1173"/>
      <c r="AB117" s="1173"/>
      <c r="AC117" s="1173"/>
      <c r="AD117" s="1173"/>
      <c r="AE117" s="1173"/>
      <c r="AF117" s="1173"/>
      <c r="AG117" s="1"/>
      <c r="AH117" s="1"/>
      <c r="AI117" s="1"/>
      <c r="AL117" s="839"/>
    </row>
    <row r="118" spans="1:38" customFormat="1" ht="30" customHeight="1" x14ac:dyDescent="0.25">
      <c r="A118" s="517" t="s">
        <v>1013</v>
      </c>
      <c r="B118" s="1173" t="s">
        <v>6308</v>
      </c>
      <c r="C118" s="1173"/>
      <c r="D118" s="1173"/>
      <c r="E118" s="1173"/>
      <c r="F118" s="1173"/>
      <c r="G118" s="1173"/>
      <c r="H118" s="1173"/>
      <c r="I118" s="1173"/>
      <c r="J118" s="1173"/>
      <c r="K118" s="1173"/>
      <c r="L118" s="1173"/>
      <c r="M118" s="1173"/>
      <c r="N118" s="1173"/>
      <c r="O118" s="1173"/>
      <c r="P118" s="1173"/>
      <c r="Q118" s="1173"/>
      <c r="R118" s="1173"/>
      <c r="S118" s="1173"/>
      <c r="T118" s="1173"/>
      <c r="U118" s="1173"/>
      <c r="V118" s="1173"/>
      <c r="W118" s="1173"/>
      <c r="X118" s="1173"/>
      <c r="Y118" s="1173"/>
      <c r="Z118" s="1173"/>
      <c r="AA118" s="1173"/>
      <c r="AB118" s="1173"/>
      <c r="AC118" s="1173"/>
      <c r="AD118" s="1173"/>
      <c r="AE118" s="1173"/>
      <c r="AF118" s="1173"/>
      <c r="AG118" s="1"/>
      <c r="AH118" s="1"/>
      <c r="AI118" s="1"/>
      <c r="AL118" s="839"/>
    </row>
    <row r="119" spans="1:38" customFormat="1" ht="61.5" customHeight="1" x14ac:dyDescent="0.25">
      <c r="A119" s="517" t="s">
        <v>1013</v>
      </c>
      <c r="B119" s="1173" t="s">
        <v>6309</v>
      </c>
      <c r="C119" s="1173"/>
      <c r="D119" s="1173"/>
      <c r="E119" s="1173"/>
      <c r="F119" s="1173"/>
      <c r="G119" s="1173"/>
      <c r="H119" s="1173"/>
      <c r="I119" s="1173"/>
      <c r="J119" s="1173"/>
      <c r="K119" s="1173"/>
      <c r="L119" s="1173"/>
      <c r="M119" s="1173"/>
      <c r="N119" s="1173"/>
      <c r="O119" s="1173"/>
      <c r="P119" s="1173"/>
      <c r="Q119" s="1173"/>
      <c r="R119" s="1173"/>
      <c r="S119" s="1173"/>
      <c r="T119" s="1173"/>
      <c r="U119" s="1173"/>
      <c r="V119" s="1173"/>
      <c r="W119" s="1173"/>
      <c r="X119" s="1173"/>
      <c r="Y119" s="1173"/>
      <c r="Z119" s="1173"/>
      <c r="AA119" s="1173"/>
      <c r="AB119" s="1173"/>
      <c r="AC119" s="1173"/>
      <c r="AD119" s="1173"/>
      <c r="AE119" s="1173"/>
      <c r="AF119" s="1173"/>
      <c r="AG119" s="1"/>
      <c r="AH119" s="1"/>
      <c r="AI119" s="1"/>
      <c r="AL119" s="839"/>
    </row>
    <row r="120" spans="1:38" customFormat="1" ht="60" customHeight="1" x14ac:dyDescent="0.25">
      <c r="A120" s="517" t="s">
        <v>1013</v>
      </c>
      <c r="B120" s="1173" t="s">
        <v>6310</v>
      </c>
      <c r="C120" s="1173"/>
      <c r="D120" s="1173"/>
      <c r="E120" s="1173"/>
      <c r="F120" s="1173"/>
      <c r="G120" s="1173"/>
      <c r="H120" s="1173"/>
      <c r="I120" s="1173"/>
      <c r="J120" s="1173"/>
      <c r="K120" s="1173"/>
      <c r="L120" s="1173"/>
      <c r="M120" s="1173"/>
      <c r="N120" s="1173"/>
      <c r="O120" s="1173"/>
      <c r="P120" s="1173"/>
      <c r="Q120" s="1173"/>
      <c r="R120" s="1173"/>
      <c r="S120" s="1173"/>
      <c r="T120" s="1173"/>
      <c r="U120" s="1173"/>
      <c r="V120" s="1173"/>
      <c r="W120" s="1173"/>
      <c r="X120" s="1173"/>
      <c r="Y120" s="1173"/>
      <c r="Z120" s="1173"/>
      <c r="AA120" s="1173"/>
      <c r="AB120" s="1173"/>
      <c r="AC120" s="1173"/>
      <c r="AD120" s="1173"/>
      <c r="AE120" s="1173"/>
      <c r="AF120" s="1173"/>
      <c r="AG120" s="1"/>
      <c r="AH120" s="1"/>
      <c r="AI120" s="1"/>
      <c r="AL120" s="839"/>
    </row>
    <row r="121" spans="1:38" customFormat="1" ht="33" customHeight="1" x14ac:dyDescent="0.25">
      <c r="A121" s="517" t="s">
        <v>1013</v>
      </c>
      <c r="B121" s="1173" t="s">
        <v>6311</v>
      </c>
      <c r="C121" s="1173"/>
      <c r="D121" s="1173"/>
      <c r="E121" s="1173"/>
      <c r="F121" s="1173"/>
      <c r="G121" s="1173"/>
      <c r="H121" s="1173"/>
      <c r="I121" s="1173"/>
      <c r="J121" s="1173"/>
      <c r="K121" s="1173"/>
      <c r="L121" s="1173"/>
      <c r="M121" s="1173"/>
      <c r="N121" s="1173"/>
      <c r="O121" s="1173"/>
      <c r="P121" s="1173"/>
      <c r="Q121" s="1173"/>
      <c r="R121" s="1173"/>
      <c r="S121" s="1173"/>
      <c r="T121" s="1173"/>
      <c r="U121" s="1173"/>
      <c r="V121" s="1173"/>
      <c r="W121" s="1173"/>
      <c r="X121" s="1173"/>
      <c r="Y121" s="1173"/>
      <c r="Z121" s="1173"/>
      <c r="AA121" s="1173"/>
      <c r="AB121" s="1173"/>
      <c r="AC121" s="1173"/>
      <c r="AD121" s="1173"/>
      <c r="AE121" s="1173"/>
      <c r="AF121" s="1173"/>
      <c r="AG121" s="1"/>
      <c r="AH121" s="1"/>
      <c r="AI121" s="1"/>
      <c r="AL121" s="839"/>
    </row>
    <row r="122" spans="1:38" customFormat="1" ht="45" customHeight="1" x14ac:dyDescent="0.25">
      <c r="A122" s="517" t="s">
        <v>1013</v>
      </c>
      <c r="B122" s="1173" t="s">
        <v>6312</v>
      </c>
      <c r="C122" s="1173"/>
      <c r="D122" s="1173"/>
      <c r="E122" s="1173"/>
      <c r="F122" s="1173"/>
      <c r="G122" s="1173"/>
      <c r="H122" s="1173"/>
      <c r="I122" s="1173"/>
      <c r="J122" s="1173"/>
      <c r="K122" s="1173"/>
      <c r="L122" s="1173"/>
      <c r="M122" s="1173"/>
      <c r="N122" s="1173"/>
      <c r="O122" s="1173"/>
      <c r="P122" s="1173"/>
      <c r="Q122" s="1173"/>
      <c r="R122" s="1173"/>
      <c r="S122" s="1173"/>
      <c r="T122" s="1173"/>
      <c r="U122" s="1173"/>
      <c r="V122" s="1173"/>
      <c r="W122" s="1173"/>
      <c r="X122" s="1173"/>
      <c r="Y122" s="1173"/>
      <c r="Z122" s="1173"/>
      <c r="AA122" s="1173"/>
      <c r="AB122" s="1173"/>
      <c r="AC122" s="1173"/>
      <c r="AD122" s="1173"/>
      <c r="AE122" s="1173"/>
      <c r="AF122" s="1173"/>
      <c r="AG122" s="1"/>
      <c r="AH122" s="1"/>
      <c r="AI122" s="1"/>
      <c r="AL122" s="839"/>
    </row>
  </sheetData>
  <sheetProtection algorithmName="SHA-512" hashValue="71a7ZPNWNqmuj2wfMT/kpd0ZReUlRrxuRqUV8brA1Q1NW3tN01aXkNtxnZ79ZYrmnPI6Z5C07wOpqM54tg2tWw==" saltValue="ZPR/Jt0qTHPI7/Q5a8qAZQ==" spinCount="100000" sheet="1" objects="1" scenarios="1"/>
  <mergeCells count="201">
    <mergeCell ref="A3:AF3"/>
    <mergeCell ref="B5:AF5"/>
    <mergeCell ref="A1:AF1"/>
    <mergeCell ref="B21:AF21"/>
    <mergeCell ref="B22:K22"/>
    <mergeCell ref="L22:R22"/>
    <mergeCell ref="S22:Y22"/>
    <mergeCell ref="Z22:AF22"/>
    <mergeCell ref="B23:K23"/>
    <mergeCell ref="L23:R23"/>
    <mergeCell ref="S23:Y23"/>
    <mergeCell ref="Z23:AF23"/>
    <mergeCell ref="A7:AF7"/>
    <mergeCell ref="B9:I9"/>
    <mergeCell ref="B10:AF10"/>
    <mergeCell ref="B12:I12"/>
    <mergeCell ref="B13:AF13"/>
    <mergeCell ref="B15:I15"/>
    <mergeCell ref="B16:AF16"/>
    <mergeCell ref="B18:I18"/>
    <mergeCell ref="B19:AF19"/>
    <mergeCell ref="B24:K24"/>
    <mergeCell ref="L24:R24"/>
    <mergeCell ref="S24:Y24"/>
    <mergeCell ref="Z24:AF24"/>
    <mergeCell ref="B25:K25"/>
    <mergeCell ref="L25:R25"/>
    <mergeCell ref="S25:Y25"/>
    <mergeCell ref="Z25:AF25"/>
    <mergeCell ref="B27:AF27"/>
    <mergeCell ref="B28:AF28"/>
    <mergeCell ref="B31:AF31"/>
    <mergeCell ref="B32:AF32"/>
    <mergeCell ref="B33:AF33"/>
    <mergeCell ref="B34:AF34"/>
    <mergeCell ref="B35:AF35"/>
    <mergeCell ref="B37:AF37"/>
    <mergeCell ref="B38:K39"/>
    <mergeCell ref="L38:Y38"/>
    <mergeCell ref="Z38:AF39"/>
    <mergeCell ref="L39:R39"/>
    <mergeCell ref="S39:Y39"/>
    <mergeCell ref="Z40:AF40"/>
    <mergeCell ref="B41:K41"/>
    <mergeCell ref="L41:R41"/>
    <mergeCell ref="S41:Y41"/>
    <mergeCell ref="Z41:AF41"/>
    <mergeCell ref="B42:K42"/>
    <mergeCell ref="L42:R42"/>
    <mergeCell ref="S42:Y42"/>
    <mergeCell ref="Z42:AF42"/>
    <mergeCell ref="B40:K40"/>
    <mergeCell ref="L40:R40"/>
    <mergeCell ref="S40:Y40"/>
    <mergeCell ref="L43:R43"/>
    <mergeCell ref="S43:Y43"/>
    <mergeCell ref="Z43:AF43"/>
    <mergeCell ref="B44:K44"/>
    <mergeCell ref="L44:Y44"/>
    <mergeCell ref="Z44:AF44"/>
    <mergeCell ref="B45:K45"/>
    <mergeCell ref="L45:Y45"/>
    <mergeCell ref="Z45:AF45"/>
    <mergeCell ref="B43:K43"/>
    <mergeCell ref="B46:K46"/>
    <mergeCell ref="L46:Y46"/>
    <mergeCell ref="Z46:AF46"/>
    <mergeCell ref="B48:AF48"/>
    <mergeCell ref="B49:AF49"/>
    <mergeCell ref="B50:AF50"/>
    <mergeCell ref="A52:AF52"/>
    <mergeCell ref="A67:AF67"/>
    <mergeCell ref="A68:F68"/>
    <mergeCell ref="G68:O68"/>
    <mergeCell ref="P68:Q68"/>
    <mergeCell ref="R68:S68"/>
    <mergeCell ref="T68:U68"/>
    <mergeCell ref="V68:X68"/>
    <mergeCell ref="Y68:AF68"/>
    <mergeCell ref="A69:F69"/>
    <mergeCell ref="G69:O69"/>
    <mergeCell ref="P69:U69"/>
    <mergeCell ref="V69:X69"/>
    <mergeCell ref="Y69:AF69"/>
    <mergeCell ref="A70:F70"/>
    <mergeCell ref="G70:O70"/>
    <mergeCell ref="P70:U70"/>
    <mergeCell ref="V70:X70"/>
    <mergeCell ref="Y70:AF70"/>
    <mergeCell ref="A71:F71"/>
    <mergeCell ref="G71:O71"/>
    <mergeCell ref="P71:Q71"/>
    <mergeCell ref="R71:S71"/>
    <mergeCell ref="T71:U71"/>
    <mergeCell ref="V71:X71"/>
    <mergeCell ref="Y71:AF71"/>
    <mergeCell ref="A72:F72"/>
    <mergeCell ref="G72:O72"/>
    <mergeCell ref="P72:U72"/>
    <mergeCell ref="V72:X72"/>
    <mergeCell ref="Y72:AF72"/>
    <mergeCell ref="A73:F73"/>
    <mergeCell ref="G73:O73"/>
    <mergeCell ref="P73:U73"/>
    <mergeCell ref="V73:X73"/>
    <mergeCell ref="Y73:AF78"/>
    <mergeCell ref="A74:F74"/>
    <mergeCell ref="G74:O74"/>
    <mergeCell ref="P74:U74"/>
    <mergeCell ref="V74:X74"/>
    <mergeCell ref="A75:F75"/>
    <mergeCell ref="G75:O75"/>
    <mergeCell ref="P75:U75"/>
    <mergeCell ref="V75:X75"/>
    <mergeCell ref="A76:F76"/>
    <mergeCell ref="G76:O76"/>
    <mergeCell ref="P76:Q76"/>
    <mergeCell ref="R76:S76"/>
    <mergeCell ref="T76:U76"/>
    <mergeCell ref="V76:X76"/>
    <mergeCell ref="A77:F77"/>
    <mergeCell ref="G77:O77"/>
    <mergeCell ref="P77:Q77"/>
    <mergeCell ref="R77:S77"/>
    <mergeCell ref="T77:U77"/>
    <mergeCell ref="V77:X77"/>
    <mergeCell ref="A78:F78"/>
    <mergeCell ref="G78:O78"/>
    <mergeCell ref="P78:Q78"/>
    <mergeCell ref="R78:S78"/>
    <mergeCell ref="T78:U78"/>
    <mergeCell ref="V78:X78"/>
    <mergeCell ref="A79:F79"/>
    <mergeCell ref="G79:O79"/>
    <mergeCell ref="P79:U79"/>
    <mergeCell ref="V79:X79"/>
    <mergeCell ref="Y79:AF79"/>
    <mergeCell ref="A80:F80"/>
    <mergeCell ref="G80:O80"/>
    <mergeCell ref="P80:U80"/>
    <mergeCell ref="V80:X80"/>
    <mergeCell ref="Y80:AF80"/>
    <mergeCell ref="A81:F81"/>
    <mergeCell ref="G81:O81"/>
    <mergeCell ref="P81:U81"/>
    <mergeCell ref="V81:X81"/>
    <mergeCell ref="Y81:AF81"/>
    <mergeCell ref="A82:F82"/>
    <mergeCell ref="G82:O82"/>
    <mergeCell ref="P82:U82"/>
    <mergeCell ref="V82:X82"/>
    <mergeCell ref="Y82:AF82"/>
    <mergeCell ref="A83:F83"/>
    <mergeCell ref="G83:O83"/>
    <mergeCell ref="P83:U83"/>
    <mergeCell ref="V83:X83"/>
    <mergeCell ref="Y83:AF83"/>
    <mergeCell ref="A85:AF85"/>
    <mergeCell ref="A86:AF86"/>
    <mergeCell ref="A87:AF87"/>
    <mergeCell ref="A88:AF88"/>
    <mergeCell ref="A89:AF89"/>
    <mergeCell ref="A90:AF90"/>
    <mergeCell ref="A91:AF91"/>
    <mergeCell ref="A94:AF94"/>
    <mergeCell ref="A96:H96"/>
    <mergeCell ref="I96:P96"/>
    <mergeCell ref="Q96:X96"/>
    <mergeCell ref="Y96:AF96"/>
    <mergeCell ref="A97:H97"/>
    <mergeCell ref="I97:P97"/>
    <mergeCell ref="Q97:X97"/>
    <mergeCell ref="Y97:AF97"/>
    <mergeCell ref="A98:H98"/>
    <mergeCell ref="I98:P98"/>
    <mergeCell ref="Q98:X98"/>
    <mergeCell ref="Y98:AF98"/>
    <mergeCell ref="A99:H99"/>
    <mergeCell ref="I99:P99"/>
    <mergeCell ref="Q99:X99"/>
    <mergeCell ref="Y99:AF99"/>
    <mergeCell ref="A102:AF102"/>
    <mergeCell ref="B104:AF104"/>
    <mergeCell ref="B105:AF105"/>
    <mergeCell ref="B106:AF106"/>
    <mergeCell ref="B107:AF107"/>
    <mergeCell ref="B108:AF108"/>
    <mergeCell ref="B109:AF109"/>
    <mergeCell ref="B110:AF110"/>
    <mergeCell ref="B111:AF111"/>
    <mergeCell ref="B121:AF121"/>
    <mergeCell ref="B122:AF122"/>
    <mergeCell ref="B112:AF112"/>
    <mergeCell ref="B113:AF113"/>
    <mergeCell ref="B114:AF114"/>
    <mergeCell ref="B115:AF115"/>
    <mergeCell ref="B116:AF116"/>
    <mergeCell ref="B117:AF117"/>
    <mergeCell ref="B118:AF118"/>
    <mergeCell ref="B119:AF119"/>
    <mergeCell ref="B120:AF120"/>
  </mergeCells>
  <hyperlinks>
    <hyperlink ref="A2" location="TOC!A1" display="Return to TOC" xr:uid="{0724FFD2-D520-4CE8-B3BA-811AC1679455}"/>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56:AF64" numberStoredAsText="1"/>
  </ignoredError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AF7C8-0FE3-45C9-9700-385DFE0B366D}">
  <sheetPr>
    <tabColor theme="4" tint="0.79998168889431442"/>
  </sheetPr>
  <dimension ref="A1:AF91"/>
  <sheetViews>
    <sheetView workbookViewId="0">
      <selection activeCell="A2" sqref="A2"/>
    </sheetView>
  </sheetViews>
  <sheetFormatPr defaultColWidth="2.7109375" defaultRowHeight="15" x14ac:dyDescent="0.25"/>
  <sheetData>
    <row r="1" spans="1:32" ht="19.5" thickBot="1" x14ac:dyDescent="0.3">
      <c r="A1" s="1272" t="s">
        <v>6348</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row>
    <row r="2" spans="1:32" x14ac:dyDescent="0.25">
      <c r="A2" s="655" t="s">
        <v>1702</v>
      </c>
    </row>
    <row r="3" spans="1:32"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262"/>
      <c r="B5" s="1589" t="s">
        <v>6349</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2"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row>
    <row r="9" spans="1:32" x14ac:dyDescent="0.25">
      <c r="B9" s="171" t="s">
        <v>10</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row>
    <row r="10" spans="1:32" ht="45" customHeight="1" x14ac:dyDescent="0.25">
      <c r="B10" s="1173" t="s">
        <v>6350</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row>
    <row r="11" spans="1:32" x14ac:dyDescent="0.25">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25">
      <c r="B12" s="171" t="s">
        <v>11</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row>
    <row r="13" spans="1:32" x14ac:dyDescent="0.25">
      <c r="B13" s="1173" t="s">
        <v>6351</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row>
    <row r="14" spans="1:32" x14ac:dyDescent="0.25">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row>
    <row r="15" spans="1:32" x14ac:dyDescent="0.25">
      <c r="B15" s="414" t="s">
        <v>12</v>
      </c>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row>
    <row r="16" spans="1:32" x14ac:dyDescent="0.25">
      <c r="B16" s="262" t="s">
        <v>6352</v>
      </c>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row>
    <row r="17" spans="1:32" x14ac:dyDescent="0.25">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row>
    <row r="18" spans="1:32" x14ac:dyDescent="0.25">
      <c r="B18" s="414" t="s">
        <v>13</v>
      </c>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row>
    <row r="19" spans="1:32" x14ac:dyDescent="0.25">
      <c r="B19" s="1173" t="s">
        <v>6353</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row>
    <row r="20" spans="1:32" x14ac:dyDescent="0.25">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row>
    <row r="21" spans="1:32" x14ac:dyDescent="0.25">
      <c r="B21" s="414" t="s">
        <v>20</v>
      </c>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row>
    <row r="22" spans="1:32" x14ac:dyDescent="0.25">
      <c r="B22" s="1173" t="s">
        <v>6354</v>
      </c>
      <c r="C22" s="1173"/>
      <c r="D22" s="1173"/>
      <c r="E22" s="1173"/>
      <c r="F22" s="1173"/>
      <c r="G22" s="1173"/>
      <c r="H22" s="1173"/>
      <c r="I22" s="1173"/>
      <c r="J22" s="1173"/>
      <c r="K22" s="1173"/>
      <c r="L22" s="1173"/>
      <c r="M22" s="1173"/>
      <c r="N22" s="1173"/>
      <c r="O22" s="1173"/>
      <c r="P22" s="1173"/>
      <c r="Q22" s="1173"/>
      <c r="R22" s="1173"/>
      <c r="S22" s="1173"/>
      <c r="T22" s="1173"/>
      <c r="U22" s="1173"/>
      <c r="V22" s="1173"/>
      <c r="W22" s="1173"/>
      <c r="X22" s="1173"/>
      <c r="Y22" s="1173"/>
      <c r="Z22" s="1173"/>
      <c r="AA22" s="1173"/>
      <c r="AB22" s="1173"/>
      <c r="AC22" s="1173"/>
      <c r="AD22" s="1173"/>
      <c r="AE22" s="1173"/>
      <c r="AF22" s="1173"/>
    </row>
    <row r="23" spans="1:32" x14ac:dyDescent="0.25">
      <c r="A23" s="1"/>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row>
    <row r="24" spans="1:32" x14ac:dyDescent="0.25">
      <c r="A24" s="1"/>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row>
    <row r="25" spans="1:32" x14ac:dyDescent="0.25">
      <c r="A25" s="1472" t="s">
        <v>14</v>
      </c>
      <c r="B25" s="1472"/>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row>
    <row r="26" spans="1:32" x14ac:dyDescent="0.25">
      <c r="A26" s="1"/>
    </row>
    <row r="27" spans="1:32" x14ac:dyDescent="0.25">
      <c r="B27" s="379" t="s">
        <v>5322</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row>
    <row r="28" spans="1:32" x14ac:dyDescent="0.25">
      <c r="B28" s="3"/>
      <c r="C28" s="1"/>
      <c r="D28" s="10"/>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2" x14ac:dyDescent="0.25">
      <c r="B29" s="3"/>
      <c r="D29" s="10"/>
      <c r="E29" s="148"/>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204" t="s">
        <v>1705</v>
      </c>
    </row>
    <row r="30" spans="1:32" x14ac:dyDescent="0.25">
      <c r="B30" s="3"/>
      <c r="D30" s="10"/>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204"/>
    </row>
    <row r="31" spans="1:32" x14ac:dyDescent="0.25">
      <c r="B31" s="1"/>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row>
    <row r="32" spans="1:32" x14ac:dyDescent="0.25">
      <c r="B32" s="1"/>
      <c r="C32" s="148"/>
      <c r="D32" s="148"/>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row>
    <row r="33" spans="2:32" x14ac:dyDescent="0.25">
      <c r="B33" s="379" t="s">
        <v>6355</v>
      </c>
      <c r="C33" s="1"/>
      <c r="D33" s="1"/>
      <c r="E33" s="1"/>
      <c r="F33" s="1"/>
      <c r="G33" s="1"/>
      <c r="H33" s="1"/>
      <c r="I33" s="1"/>
      <c r="J33" s="1"/>
      <c r="K33" s="1"/>
      <c r="L33" s="1"/>
      <c r="M33" s="1"/>
      <c r="N33" s="148"/>
      <c r="O33" s="148"/>
      <c r="P33" s="148"/>
      <c r="Q33" s="148"/>
      <c r="R33" s="148"/>
      <c r="S33" s="148"/>
      <c r="T33" s="148"/>
      <c r="U33" s="148"/>
      <c r="V33" s="148"/>
      <c r="W33" s="148"/>
      <c r="X33" s="148"/>
      <c r="Y33" s="148"/>
      <c r="Z33" s="148"/>
      <c r="AA33" s="148"/>
      <c r="AB33" s="148"/>
      <c r="AC33" s="148"/>
      <c r="AD33" s="148"/>
      <c r="AE33" s="148"/>
      <c r="AF33" s="148"/>
    </row>
    <row r="34" spans="2:32" x14ac:dyDescent="0.25">
      <c r="B34" s="1"/>
      <c r="C34" s="148"/>
      <c r="D34" s="148"/>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row>
    <row r="35" spans="2:32" x14ac:dyDescent="0.25">
      <c r="B35" s="1"/>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204" t="s">
        <v>1706</v>
      </c>
    </row>
    <row r="36" spans="2:32" x14ac:dyDescent="0.25">
      <c r="B36" s="1"/>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row>
    <row r="37" spans="2:32" x14ac:dyDescent="0.25">
      <c r="B37" s="1"/>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row>
    <row r="38" spans="2:32" x14ac:dyDescent="0.25">
      <c r="B38" s="1"/>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row>
    <row r="39" spans="2:32" x14ac:dyDescent="0.25">
      <c r="B39" s="379" t="s">
        <v>2194</v>
      </c>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row>
    <row r="40" spans="2:32" x14ac:dyDescent="0.25">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row>
    <row r="41" spans="2:32" x14ac:dyDescent="0.25">
      <c r="B41" s="148"/>
      <c r="C41" s="148"/>
      <c r="D41" s="847"/>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204" t="s">
        <v>1707</v>
      </c>
    </row>
    <row r="42" spans="2:32" x14ac:dyDescent="0.25">
      <c r="B42" s="148"/>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row>
    <row r="43" spans="2:32" x14ac:dyDescent="0.25">
      <c r="B43" s="379" t="s">
        <v>2303</v>
      </c>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row>
    <row r="44" spans="2:32" x14ac:dyDescent="0.25">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row>
    <row r="45" spans="2:32" x14ac:dyDescent="0.25">
      <c r="B45" s="148"/>
      <c r="C45" s="148"/>
      <c r="D45" s="845"/>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3126" t="s">
        <v>1756</v>
      </c>
    </row>
    <row r="46" spans="2:32" x14ac:dyDescent="0.25">
      <c r="B46" s="148"/>
      <c r="C46" s="148"/>
      <c r="D46" s="10"/>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3126"/>
    </row>
    <row r="47" spans="2:32" x14ac:dyDescent="0.25">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311"/>
    </row>
    <row r="48" spans="2:32" x14ac:dyDescent="0.25">
      <c r="B48" s="379" t="s">
        <v>1998</v>
      </c>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311"/>
    </row>
    <row r="49" spans="1:32" x14ac:dyDescent="0.25">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311"/>
    </row>
    <row r="50" spans="1:32" x14ac:dyDescent="0.25">
      <c r="A50" s="148"/>
      <c r="B50" s="304"/>
      <c r="C50" s="148"/>
      <c r="D50" s="8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419" t="s">
        <v>1788</v>
      </c>
    </row>
    <row r="51" spans="1:32" x14ac:dyDescent="0.25">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row>
    <row r="52" spans="1:32" x14ac:dyDescent="0.25">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row>
    <row r="53" spans="1:32" x14ac:dyDescent="0.25">
      <c r="A53" s="1472" t="s">
        <v>15</v>
      </c>
      <c r="B53" s="1472"/>
      <c r="C53" s="1472"/>
      <c r="D53" s="1472"/>
      <c r="E53" s="1472"/>
      <c r="F53" s="1472"/>
      <c r="G53" s="1472"/>
      <c r="H53" s="1472"/>
      <c r="I53" s="1472"/>
      <c r="J53" s="1472"/>
      <c r="K53" s="1472"/>
      <c r="L53" s="1472"/>
      <c r="M53" s="1472"/>
      <c r="N53" s="1472"/>
      <c r="O53" s="1472"/>
      <c r="P53" s="1472"/>
      <c r="Q53" s="1472"/>
      <c r="R53" s="1472"/>
      <c r="S53" s="1472"/>
      <c r="T53" s="1472"/>
      <c r="U53" s="1472"/>
      <c r="V53" s="1472"/>
      <c r="W53" s="1472"/>
      <c r="X53" s="1472"/>
      <c r="Y53" s="1472"/>
      <c r="Z53" s="1472"/>
      <c r="AA53" s="1472"/>
      <c r="AB53" s="1472"/>
      <c r="AC53" s="1472"/>
      <c r="AD53" s="1472"/>
      <c r="AE53" s="1472"/>
      <c r="AF53" s="1472"/>
    </row>
    <row r="54" spans="1:32" x14ac:dyDescent="0.25">
      <c r="A54" s="1474" t="s">
        <v>16</v>
      </c>
      <c r="B54" s="1474"/>
      <c r="C54" s="1474"/>
      <c r="D54" s="1474"/>
      <c r="E54" s="1474" t="s">
        <v>10</v>
      </c>
      <c r="F54" s="1474"/>
      <c r="G54" s="1474"/>
      <c r="H54" s="1474"/>
      <c r="I54" s="1474"/>
      <c r="J54" s="1474"/>
      <c r="K54" s="1474"/>
      <c r="L54" s="1474"/>
      <c r="M54" s="1474"/>
      <c r="N54" s="1474"/>
      <c r="O54" s="1474"/>
      <c r="P54" s="1474" t="s">
        <v>17</v>
      </c>
      <c r="Q54" s="1474"/>
      <c r="R54" s="1474"/>
      <c r="S54" s="1474"/>
      <c r="T54" s="1474" t="s">
        <v>18</v>
      </c>
      <c r="U54" s="1474"/>
      <c r="V54" s="1474"/>
      <c r="W54" s="1474"/>
      <c r="X54" s="1474" t="s">
        <v>1708</v>
      </c>
      <c r="Y54" s="1474"/>
      <c r="Z54" s="1474"/>
      <c r="AA54" s="1474"/>
      <c r="AB54" s="1474"/>
      <c r="AC54" s="1474"/>
      <c r="AD54" s="1474"/>
      <c r="AE54" s="1474"/>
      <c r="AF54" s="1474"/>
    </row>
    <row r="55" spans="1:32" ht="30" customHeight="1" x14ac:dyDescent="0.25">
      <c r="A55" s="1135" t="s">
        <v>6356</v>
      </c>
      <c r="B55" s="1135"/>
      <c r="C55" s="1135"/>
      <c r="D55" s="1135"/>
      <c r="E55" s="1135" t="s">
        <v>6357</v>
      </c>
      <c r="F55" s="1135"/>
      <c r="G55" s="1135"/>
      <c r="H55" s="1135"/>
      <c r="I55" s="1135"/>
      <c r="J55" s="1135"/>
      <c r="K55" s="1135"/>
      <c r="L55" s="1135"/>
      <c r="M55" s="1135"/>
      <c r="N55" s="1135"/>
      <c r="O55" s="1135"/>
      <c r="P55" s="1913" t="s">
        <v>6358</v>
      </c>
      <c r="Q55" s="1913"/>
      <c r="R55" s="1913"/>
      <c r="S55" s="1913"/>
      <c r="T55" s="2496" t="s">
        <v>44</v>
      </c>
      <c r="U55" s="1606"/>
      <c r="V55" s="1606"/>
      <c r="W55" s="1606"/>
      <c r="X55" s="1715"/>
      <c r="Y55" s="1715"/>
      <c r="Z55" s="1715"/>
      <c r="AA55" s="1715"/>
      <c r="AB55" s="1715"/>
      <c r="AC55" s="1715"/>
      <c r="AD55" s="1715"/>
      <c r="AE55" s="1715"/>
      <c r="AF55" s="1715"/>
    </row>
    <row r="56" spans="1:32" ht="30" customHeight="1" x14ac:dyDescent="0.25">
      <c r="A56" s="1135" t="s">
        <v>6359</v>
      </c>
      <c r="B56" s="1135"/>
      <c r="C56" s="1135"/>
      <c r="D56" s="1135"/>
      <c r="E56" s="1135" t="s">
        <v>6360</v>
      </c>
      <c r="F56" s="1135"/>
      <c r="G56" s="1135"/>
      <c r="H56" s="1135"/>
      <c r="I56" s="1135"/>
      <c r="J56" s="1135"/>
      <c r="K56" s="1135"/>
      <c r="L56" s="1135"/>
      <c r="M56" s="1135"/>
      <c r="N56" s="1135"/>
      <c r="O56" s="1135"/>
      <c r="P56" s="1482" t="s">
        <v>6361</v>
      </c>
      <c r="Q56" s="1483"/>
      <c r="R56" s="1483"/>
      <c r="S56" s="1484"/>
      <c r="T56" s="1592" t="s">
        <v>44</v>
      </c>
      <c r="U56" s="1575"/>
      <c r="V56" s="1575"/>
      <c r="W56" s="1576"/>
      <c r="X56" s="1715"/>
      <c r="Y56" s="1715"/>
      <c r="Z56" s="1715"/>
      <c r="AA56" s="1715"/>
      <c r="AB56" s="1715"/>
      <c r="AC56" s="1715"/>
      <c r="AD56" s="1715"/>
      <c r="AE56" s="1715"/>
      <c r="AF56" s="1715"/>
    </row>
    <row r="57" spans="1:32" ht="30" customHeight="1" x14ac:dyDescent="0.25">
      <c r="A57" s="2962" t="s">
        <v>502</v>
      </c>
      <c r="B57" s="2963" t="s">
        <v>216</v>
      </c>
      <c r="C57" s="2963" t="s">
        <v>216</v>
      </c>
      <c r="D57" s="2964" t="s">
        <v>216</v>
      </c>
      <c r="E57" s="1135" t="s">
        <v>6362</v>
      </c>
      <c r="F57" s="1135" t="s">
        <v>643</v>
      </c>
      <c r="G57" s="1135" t="s">
        <v>643</v>
      </c>
      <c r="H57" s="1135" t="s">
        <v>643</v>
      </c>
      <c r="I57" s="1135" t="s">
        <v>643</v>
      </c>
      <c r="J57" s="1135" t="s">
        <v>643</v>
      </c>
      <c r="K57" s="1135" t="s">
        <v>643</v>
      </c>
      <c r="L57" s="1135" t="s">
        <v>643</v>
      </c>
      <c r="M57" s="1135" t="s">
        <v>643</v>
      </c>
      <c r="N57" s="1135" t="s">
        <v>643</v>
      </c>
      <c r="O57" s="1135" t="s">
        <v>643</v>
      </c>
      <c r="P57" s="2626">
        <v>3</v>
      </c>
      <c r="Q57" s="2626"/>
      <c r="R57" s="2626"/>
      <c r="S57" s="2626"/>
      <c r="T57" s="2923" t="s">
        <v>6363</v>
      </c>
      <c r="U57" s="2924"/>
      <c r="V57" s="2924"/>
      <c r="W57" s="2925"/>
      <c r="X57" s="3127" t="s">
        <v>6364</v>
      </c>
      <c r="Y57" s="3128"/>
      <c r="Z57" s="3128"/>
      <c r="AA57" s="3128"/>
      <c r="AB57" s="3128"/>
      <c r="AC57" s="3128"/>
      <c r="AD57" s="3128"/>
      <c r="AE57" s="3128"/>
      <c r="AF57" s="3129"/>
    </row>
    <row r="58" spans="1:32" ht="30" customHeight="1" x14ac:dyDescent="0.25">
      <c r="A58" s="2965"/>
      <c r="B58" s="2966"/>
      <c r="C58" s="2966"/>
      <c r="D58" s="2967"/>
      <c r="E58" s="1135" t="s">
        <v>6365</v>
      </c>
      <c r="F58" s="1135" t="s">
        <v>643</v>
      </c>
      <c r="G58" s="1135" t="s">
        <v>643</v>
      </c>
      <c r="H58" s="1135" t="s">
        <v>643</v>
      </c>
      <c r="I58" s="1135" t="s">
        <v>643</v>
      </c>
      <c r="J58" s="1135" t="s">
        <v>643</v>
      </c>
      <c r="K58" s="1135" t="s">
        <v>643</v>
      </c>
      <c r="L58" s="1135" t="s">
        <v>643</v>
      </c>
      <c r="M58" s="1135" t="s">
        <v>643</v>
      </c>
      <c r="N58" s="1135" t="s">
        <v>643</v>
      </c>
      <c r="O58" s="1135" t="s">
        <v>643</v>
      </c>
      <c r="P58" s="1913">
        <v>8.4499999999999993</v>
      </c>
      <c r="Q58" s="1913"/>
      <c r="R58" s="1913"/>
      <c r="S58" s="1913"/>
      <c r="T58" s="2920"/>
      <c r="U58" s="2921"/>
      <c r="V58" s="2921"/>
      <c r="W58" s="2922"/>
      <c r="X58" s="3130"/>
      <c r="Y58" s="3131"/>
      <c r="Z58" s="3131"/>
      <c r="AA58" s="3131"/>
      <c r="AB58" s="3131"/>
      <c r="AC58" s="3131"/>
      <c r="AD58" s="3131"/>
      <c r="AE58" s="3131"/>
      <c r="AF58" s="3132"/>
    </row>
    <row r="59" spans="1:32" ht="45" customHeight="1" x14ac:dyDescent="0.25">
      <c r="A59" s="2962" t="s">
        <v>6366</v>
      </c>
      <c r="B59" s="2963"/>
      <c r="C59" s="2963"/>
      <c r="D59" s="2964"/>
      <c r="E59" s="1135" t="s">
        <v>6367</v>
      </c>
      <c r="F59" s="1135"/>
      <c r="G59" s="1135"/>
      <c r="H59" s="1135"/>
      <c r="I59" s="1135"/>
      <c r="J59" s="1135"/>
      <c r="K59" s="1135"/>
      <c r="L59" s="1135"/>
      <c r="M59" s="1135"/>
      <c r="N59" s="1135"/>
      <c r="O59" s="1135"/>
      <c r="P59" s="1913">
        <v>3.61</v>
      </c>
      <c r="Q59" s="1913"/>
      <c r="R59" s="1913"/>
      <c r="S59" s="1913"/>
      <c r="T59" s="2679" t="s">
        <v>6368</v>
      </c>
      <c r="U59" s="2670"/>
      <c r="V59" s="2670"/>
      <c r="W59" s="2671"/>
      <c r="X59" s="1593" t="s">
        <v>6369</v>
      </c>
      <c r="Y59" s="1594"/>
      <c r="Z59" s="1594"/>
      <c r="AA59" s="1594"/>
      <c r="AB59" s="1594"/>
      <c r="AC59" s="1594"/>
      <c r="AD59" s="1594"/>
      <c r="AE59" s="1594"/>
      <c r="AF59" s="1595"/>
    </row>
    <row r="60" spans="1:32" ht="45" customHeight="1" x14ac:dyDescent="0.25">
      <c r="A60" s="3133"/>
      <c r="B60" s="3134"/>
      <c r="C60" s="3134"/>
      <c r="D60" s="3135"/>
      <c r="E60" s="1135" t="s">
        <v>6370</v>
      </c>
      <c r="F60" s="1135"/>
      <c r="G60" s="1135"/>
      <c r="H60" s="1135"/>
      <c r="I60" s="1135"/>
      <c r="J60" s="1135"/>
      <c r="K60" s="1135"/>
      <c r="L60" s="1135"/>
      <c r="M60" s="1135"/>
      <c r="N60" s="1135"/>
      <c r="O60" s="1135"/>
      <c r="P60" s="1913">
        <v>3.27</v>
      </c>
      <c r="Q60" s="1913"/>
      <c r="R60" s="1913"/>
      <c r="S60" s="1913"/>
      <c r="T60" s="2895"/>
      <c r="U60" s="2896"/>
      <c r="V60" s="2896"/>
      <c r="W60" s="2897"/>
      <c r="X60" s="3136"/>
      <c r="Y60" s="3137"/>
      <c r="Z60" s="3137"/>
      <c r="AA60" s="3137"/>
      <c r="AB60" s="3137"/>
      <c r="AC60" s="3137"/>
      <c r="AD60" s="3137"/>
      <c r="AE60" s="3137"/>
      <c r="AF60" s="3138"/>
    </row>
    <row r="61" spans="1:32" ht="45" customHeight="1" x14ac:dyDescent="0.25">
      <c r="A61" s="3133"/>
      <c r="B61" s="3134"/>
      <c r="C61" s="3134"/>
      <c r="D61" s="3135"/>
      <c r="E61" s="1135" t="s">
        <v>6371</v>
      </c>
      <c r="F61" s="1135"/>
      <c r="G61" s="1135"/>
      <c r="H61" s="1135"/>
      <c r="I61" s="1135"/>
      <c r="J61" s="1135"/>
      <c r="K61" s="1135"/>
      <c r="L61" s="1135"/>
      <c r="M61" s="1135"/>
      <c r="N61" s="1135"/>
      <c r="O61" s="1135"/>
      <c r="P61" s="1913">
        <v>2.5499999999999998</v>
      </c>
      <c r="Q61" s="1913"/>
      <c r="R61" s="1913"/>
      <c r="S61" s="1913"/>
      <c r="T61" s="2895"/>
      <c r="U61" s="2896"/>
      <c r="V61" s="2896"/>
      <c r="W61" s="2897"/>
      <c r="X61" s="3136"/>
      <c r="Y61" s="3137"/>
      <c r="Z61" s="3137"/>
      <c r="AA61" s="3137"/>
      <c r="AB61" s="3137"/>
      <c r="AC61" s="3137"/>
      <c r="AD61" s="3137"/>
      <c r="AE61" s="3137"/>
      <c r="AF61" s="3138"/>
    </row>
    <row r="62" spans="1:32" ht="45" customHeight="1" x14ac:dyDescent="0.25">
      <c r="A62" s="2965"/>
      <c r="B62" s="2966"/>
      <c r="C62" s="2966"/>
      <c r="D62" s="2967"/>
      <c r="E62" s="1135" t="s">
        <v>6372</v>
      </c>
      <c r="F62" s="1135"/>
      <c r="G62" s="1135"/>
      <c r="H62" s="1135"/>
      <c r="I62" s="1135"/>
      <c r="J62" s="1135"/>
      <c r="K62" s="1135"/>
      <c r="L62" s="1135"/>
      <c r="M62" s="1135"/>
      <c r="N62" s="1135"/>
      <c r="O62" s="1135"/>
      <c r="P62" s="1913">
        <v>3.73</v>
      </c>
      <c r="Q62" s="1913"/>
      <c r="R62" s="1913"/>
      <c r="S62" s="1913"/>
      <c r="T62" s="2910"/>
      <c r="U62" s="2911"/>
      <c r="V62" s="2911"/>
      <c r="W62" s="2916"/>
      <c r="X62" s="1596"/>
      <c r="Y62" s="1597"/>
      <c r="Z62" s="1597"/>
      <c r="AA62" s="1597"/>
      <c r="AB62" s="1597"/>
      <c r="AC62" s="1597"/>
      <c r="AD62" s="1597"/>
      <c r="AE62" s="1597"/>
      <c r="AF62" s="1598"/>
    </row>
    <row r="63" spans="1:32" ht="60" customHeight="1" x14ac:dyDescent="0.25">
      <c r="A63" s="1134" t="s">
        <v>6373</v>
      </c>
      <c r="B63" s="1134"/>
      <c r="C63" s="1134"/>
      <c r="D63" s="1134"/>
      <c r="E63" s="1135" t="s">
        <v>6374</v>
      </c>
      <c r="F63" s="1135"/>
      <c r="G63" s="1135"/>
      <c r="H63" s="1135"/>
      <c r="I63" s="1135"/>
      <c r="J63" s="1135"/>
      <c r="K63" s="1135"/>
      <c r="L63" s="1135"/>
      <c r="M63" s="1135"/>
      <c r="N63" s="1135"/>
      <c r="O63" s="1135"/>
      <c r="P63" s="2626">
        <v>4.5</v>
      </c>
      <c r="Q63" s="2626"/>
      <c r="R63" s="2626"/>
      <c r="S63" s="2626"/>
      <c r="T63" s="2496" t="s">
        <v>6368</v>
      </c>
      <c r="U63" s="1606"/>
      <c r="V63" s="1606"/>
      <c r="W63" s="1606"/>
      <c r="X63" s="1538" t="s">
        <v>6375</v>
      </c>
      <c r="Y63" s="1539"/>
      <c r="Z63" s="1539"/>
      <c r="AA63" s="1539"/>
      <c r="AB63" s="1539"/>
      <c r="AC63" s="1539"/>
      <c r="AD63" s="1539"/>
      <c r="AE63" s="1539"/>
      <c r="AF63" s="1540"/>
    </row>
    <row r="64" spans="1:32" ht="30" customHeight="1" x14ac:dyDescent="0.25">
      <c r="A64" s="2962" t="s">
        <v>473</v>
      </c>
      <c r="B64" s="2963" t="s">
        <v>216</v>
      </c>
      <c r="C64" s="2963" t="s">
        <v>216</v>
      </c>
      <c r="D64" s="2964" t="s">
        <v>216</v>
      </c>
      <c r="E64" s="1135" t="s">
        <v>6376</v>
      </c>
      <c r="F64" s="1135" t="s">
        <v>643</v>
      </c>
      <c r="G64" s="1135" t="s">
        <v>643</v>
      </c>
      <c r="H64" s="1135" t="s">
        <v>643</v>
      </c>
      <c r="I64" s="1135" t="s">
        <v>643</v>
      </c>
      <c r="J64" s="1135" t="s">
        <v>643</v>
      </c>
      <c r="K64" s="1135" t="s">
        <v>643</v>
      </c>
      <c r="L64" s="1135" t="s">
        <v>643</v>
      </c>
      <c r="M64" s="1135" t="s">
        <v>643</v>
      </c>
      <c r="N64" s="1135" t="s">
        <v>643</v>
      </c>
      <c r="O64" s="1135" t="s">
        <v>643</v>
      </c>
      <c r="P64" s="1913">
        <v>251</v>
      </c>
      <c r="Q64" s="1913"/>
      <c r="R64" s="1913"/>
      <c r="S64" s="1913"/>
      <c r="T64" s="2923"/>
      <c r="U64" s="2924"/>
      <c r="V64" s="2924"/>
      <c r="W64" s="2925"/>
      <c r="X64" s="3127" t="s">
        <v>6377</v>
      </c>
      <c r="Y64" s="3128"/>
      <c r="Z64" s="3128"/>
      <c r="AA64" s="3128"/>
      <c r="AB64" s="3128"/>
      <c r="AC64" s="3128"/>
      <c r="AD64" s="3128"/>
      <c r="AE64" s="3128"/>
      <c r="AF64" s="3129"/>
    </row>
    <row r="65" spans="1:32" ht="30" customHeight="1" x14ac:dyDescent="0.25">
      <c r="A65" s="2965"/>
      <c r="B65" s="2966"/>
      <c r="C65" s="2966"/>
      <c r="D65" s="2967"/>
      <c r="E65" s="1135" t="s">
        <v>6378</v>
      </c>
      <c r="F65" s="1135" t="s">
        <v>643</v>
      </c>
      <c r="G65" s="1135" t="s">
        <v>643</v>
      </c>
      <c r="H65" s="1135" t="s">
        <v>643</v>
      </c>
      <c r="I65" s="1135" t="s">
        <v>643</v>
      </c>
      <c r="J65" s="1135" t="s">
        <v>643</v>
      </c>
      <c r="K65" s="1135" t="s">
        <v>643</v>
      </c>
      <c r="L65" s="1135" t="s">
        <v>643</v>
      </c>
      <c r="M65" s="1135" t="s">
        <v>643</v>
      </c>
      <c r="N65" s="1135" t="s">
        <v>643</v>
      </c>
      <c r="O65" s="1135" t="s">
        <v>643</v>
      </c>
      <c r="P65" s="1913">
        <v>283</v>
      </c>
      <c r="Q65" s="1913"/>
      <c r="R65" s="1913"/>
      <c r="S65" s="1913"/>
      <c r="T65" s="2920"/>
      <c r="U65" s="2921"/>
      <c r="V65" s="2921"/>
      <c r="W65" s="2922"/>
      <c r="X65" s="3130"/>
      <c r="Y65" s="3131"/>
      <c r="Z65" s="3131"/>
      <c r="AA65" s="3131"/>
      <c r="AB65" s="3131"/>
      <c r="AC65" s="3131"/>
      <c r="AD65" s="3131"/>
      <c r="AE65" s="3131"/>
      <c r="AF65" s="3132"/>
    </row>
    <row r="66" spans="1:32" ht="30" customHeight="1" x14ac:dyDescent="0.25">
      <c r="A66" s="1135" t="s">
        <v>1516</v>
      </c>
      <c r="B66" s="1135"/>
      <c r="C66" s="1135"/>
      <c r="D66" s="1135"/>
      <c r="E66" s="1135" t="s">
        <v>1001</v>
      </c>
      <c r="F66" s="1135"/>
      <c r="G66" s="1135"/>
      <c r="H66" s="1135"/>
      <c r="I66" s="1135"/>
      <c r="J66" s="1135"/>
      <c r="K66" s="1135"/>
      <c r="L66" s="1135"/>
      <c r="M66" s="1135"/>
      <c r="N66" s="1135"/>
      <c r="O66" s="1135"/>
      <c r="P66" s="3009" t="s">
        <v>6379</v>
      </c>
      <c r="Q66" s="3009"/>
      <c r="R66" s="3009"/>
      <c r="S66" s="3009"/>
      <c r="T66" s="2496" t="s">
        <v>44</v>
      </c>
      <c r="U66" s="1606"/>
      <c r="V66" s="1606"/>
      <c r="W66" s="1606"/>
      <c r="X66" s="1715"/>
      <c r="Y66" s="1715"/>
      <c r="Z66" s="1715"/>
      <c r="AA66" s="1715"/>
      <c r="AB66" s="1715"/>
      <c r="AC66" s="1715"/>
      <c r="AD66" s="1715"/>
      <c r="AE66" s="1715"/>
      <c r="AF66" s="1715"/>
    </row>
    <row r="67" spans="1:32" ht="30" customHeight="1" x14ac:dyDescent="0.25">
      <c r="A67" s="1135" t="s">
        <v>1517</v>
      </c>
      <c r="B67" s="1135"/>
      <c r="C67" s="1135"/>
      <c r="D67" s="1135"/>
      <c r="E67" s="1135" t="s">
        <v>2773</v>
      </c>
      <c r="F67" s="1135"/>
      <c r="G67" s="1135"/>
      <c r="H67" s="1135"/>
      <c r="I67" s="1135"/>
      <c r="J67" s="1135"/>
      <c r="K67" s="1135"/>
      <c r="L67" s="1135"/>
      <c r="M67" s="1135"/>
      <c r="N67" s="1135"/>
      <c r="O67" s="1135"/>
      <c r="P67" s="3009" t="s">
        <v>6380</v>
      </c>
      <c r="Q67" s="3009"/>
      <c r="R67" s="3009"/>
      <c r="S67" s="3009"/>
      <c r="T67" s="2496" t="s">
        <v>26</v>
      </c>
      <c r="U67" s="1606"/>
      <c r="V67" s="1606"/>
      <c r="W67" s="1606"/>
      <c r="X67" s="1715"/>
      <c r="Y67" s="1715"/>
      <c r="Z67" s="1715"/>
      <c r="AA67" s="1715"/>
      <c r="AB67" s="1715"/>
      <c r="AC67" s="1715"/>
      <c r="AD67" s="1715"/>
      <c r="AE67" s="1715"/>
      <c r="AF67" s="1715"/>
    </row>
    <row r="68" spans="1:32" ht="99" customHeight="1" x14ac:dyDescent="0.25">
      <c r="A68" s="1134" t="s">
        <v>257</v>
      </c>
      <c r="B68" s="1134" t="s">
        <v>216</v>
      </c>
      <c r="C68" s="1134" t="s">
        <v>216</v>
      </c>
      <c r="D68" s="1134" t="s">
        <v>216</v>
      </c>
      <c r="E68" s="1135" t="s">
        <v>6381</v>
      </c>
      <c r="F68" s="1135" t="s">
        <v>643</v>
      </c>
      <c r="G68" s="1135" t="s">
        <v>643</v>
      </c>
      <c r="H68" s="1135" t="s">
        <v>643</v>
      </c>
      <c r="I68" s="1135" t="s">
        <v>643</v>
      </c>
      <c r="J68" s="1135" t="s">
        <v>643</v>
      </c>
      <c r="K68" s="1135" t="s">
        <v>643</v>
      </c>
      <c r="L68" s="1135" t="s">
        <v>643</v>
      </c>
      <c r="M68" s="1135" t="s">
        <v>643</v>
      </c>
      <c r="N68" s="1135" t="s">
        <v>643</v>
      </c>
      <c r="O68" s="1135" t="s">
        <v>643</v>
      </c>
      <c r="P68" s="1913">
        <v>3432</v>
      </c>
      <c r="Q68" s="1913"/>
      <c r="R68" s="1913"/>
      <c r="S68" s="1913"/>
      <c r="T68" s="1606" t="s">
        <v>45</v>
      </c>
      <c r="U68" s="1606"/>
      <c r="V68" s="1606"/>
      <c r="W68" s="1606"/>
      <c r="X68" s="1517" t="s">
        <v>6382</v>
      </c>
      <c r="Y68" s="1517"/>
      <c r="Z68" s="1517"/>
      <c r="AA68" s="1517"/>
      <c r="AB68" s="1517"/>
      <c r="AC68" s="1517"/>
      <c r="AD68" s="1517"/>
      <c r="AE68" s="1517"/>
      <c r="AF68" s="1517"/>
    </row>
    <row r="69" spans="1:32" ht="133.5" customHeight="1" x14ac:dyDescent="0.25">
      <c r="A69" s="1134" t="s">
        <v>545</v>
      </c>
      <c r="B69" s="1134" t="s">
        <v>545</v>
      </c>
      <c r="C69" s="1134" t="s">
        <v>545</v>
      </c>
      <c r="D69" s="1134" t="s">
        <v>545</v>
      </c>
      <c r="E69" s="1494" t="s">
        <v>6383</v>
      </c>
      <c r="F69" s="1495"/>
      <c r="G69" s="1495"/>
      <c r="H69" s="1495"/>
      <c r="I69" s="1495"/>
      <c r="J69" s="1495"/>
      <c r="K69" s="1495"/>
      <c r="L69" s="1495"/>
      <c r="M69" s="1495"/>
      <c r="N69" s="1495"/>
      <c r="O69" s="1496"/>
      <c r="P69" s="1913">
        <v>0.5</v>
      </c>
      <c r="Q69" s="1913"/>
      <c r="R69" s="1913"/>
      <c r="S69" s="1913"/>
      <c r="T69" s="1606" t="s">
        <v>28</v>
      </c>
      <c r="U69" s="1606"/>
      <c r="V69" s="1606"/>
      <c r="W69" s="1606"/>
      <c r="X69" s="1517" t="s">
        <v>6384</v>
      </c>
      <c r="Y69" s="1517"/>
      <c r="Z69" s="1517"/>
      <c r="AA69" s="1517"/>
      <c r="AB69" s="1517"/>
      <c r="AC69" s="1517"/>
      <c r="AD69" s="1517"/>
      <c r="AE69" s="1517"/>
      <c r="AF69" s="1517"/>
    </row>
    <row r="70" spans="1:32" ht="30" customHeight="1" x14ac:dyDescent="0.25">
      <c r="A70" s="1135" t="s">
        <v>6385</v>
      </c>
      <c r="B70" s="1135"/>
      <c r="C70" s="1135"/>
      <c r="D70" s="1135"/>
      <c r="E70" s="1135" t="s">
        <v>6386</v>
      </c>
      <c r="F70" s="1135"/>
      <c r="G70" s="1135"/>
      <c r="H70" s="1135"/>
      <c r="I70" s="1135"/>
      <c r="J70" s="1135"/>
      <c r="K70" s="1135"/>
      <c r="L70" s="1135"/>
      <c r="M70" s="1135"/>
      <c r="N70" s="1135"/>
      <c r="O70" s="1135"/>
      <c r="P70" s="3009" t="s">
        <v>6380</v>
      </c>
      <c r="Q70" s="3009"/>
      <c r="R70" s="3009"/>
      <c r="S70" s="3009"/>
      <c r="T70" s="2496" t="s">
        <v>44</v>
      </c>
      <c r="U70" s="1606"/>
      <c r="V70" s="1606"/>
      <c r="W70" s="1606"/>
      <c r="X70" s="1715"/>
      <c r="Y70" s="1715"/>
      <c r="Z70" s="1715"/>
      <c r="AA70" s="1715"/>
      <c r="AB70" s="1715"/>
      <c r="AC70" s="1715"/>
      <c r="AD70" s="1715"/>
      <c r="AE70" s="1715"/>
      <c r="AF70" s="1715"/>
    </row>
    <row r="71" spans="1:32" ht="30" customHeight="1" x14ac:dyDescent="0.25">
      <c r="A71" s="1485" t="s">
        <v>6387</v>
      </c>
      <c r="B71" s="1486" t="s">
        <v>34</v>
      </c>
      <c r="C71" s="1486" t="s">
        <v>34</v>
      </c>
      <c r="D71" s="1487" t="s">
        <v>34</v>
      </c>
      <c r="E71" s="1135" t="s">
        <v>2217</v>
      </c>
      <c r="F71" s="1135" t="s">
        <v>219</v>
      </c>
      <c r="G71" s="1135" t="s">
        <v>219</v>
      </c>
      <c r="H71" s="1135" t="s">
        <v>219</v>
      </c>
      <c r="I71" s="1135" t="s">
        <v>219</v>
      </c>
      <c r="J71" s="1135" t="s">
        <v>219</v>
      </c>
      <c r="K71" s="1135" t="s">
        <v>219</v>
      </c>
      <c r="L71" s="1135" t="s">
        <v>219</v>
      </c>
      <c r="M71" s="1135" t="s">
        <v>219</v>
      </c>
      <c r="N71" s="1135" t="s">
        <v>219</v>
      </c>
      <c r="O71" s="1135" t="s">
        <v>219</v>
      </c>
      <c r="P71" s="1913">
        <f>'Master EUL'!X33</f>
        <v>12</v>
      </c>
      <c r="Q71" s="1913"/>
      <c r="R71" s="1913"/>
      <c r="S71" s="1913"/>
      <c r="T71" s="1606" t="s">
        <v>46</v>
      </c>
      <c r="U71" s="1606"/>
      <c r="V71" s="1606"/>
      <c r="W71" s="1606"/>
      <c r="X71" s="1715" t="s">
        <v>6377</v>
      </c>
      <c r="Y71" s="1715"/>
      <c r="Z71" s="1715"/>
      <c r="AA71" s="1715"/>
      <c r="AB71" s="1715"/>
      <c r="AC71" s="1715"/>
      <c r="AD71" s="1715"/>
      <c r="AE71" s="1715"/>
      <c r="AF71" s="1715"/>
    </row>
    <row r="72" spans="1:32" ht="30" customHeight="1" x14ac:dyDescent="0.25">
      <c r="A72" s="1601" t="s">
        <v>6388</v>
      </c>
      <c r="B72" s="1601"/>
      <c r="C72" s="1601"/>
      <c r="D72" s="1601"/>
      <c r="E72" s="1601"/>
      <c r="F72" s="1601"/>
      <c r="G72" s="1601"/>
      <c r="H72" s="1601"/>
      <c r="I72" s="1601"/>
      <c r="J72" s="1601"/>
      <c r="K72" s="1601"/>
      <c r="L72" s="1601"/>
      <c r="M72" s="1601"/>
      <c r="N72" s="1601"/>
      <c r="O72" s="1601"/>
      <c r="P72" s="1601"/>
      <c r="Q72" s="1601"/>
      <c r="R72" s="1601"/>
      <c r="S72" s="1601"/>
      <c r="T72" s="1601"/>
      <c r="U72" s="1601"/>
      <c r="V72" s="1601"/>
      <c r="W72" s="1601"/>
      <c r="X72" s="1601"/>
      <c r="Y72" s="1601"/>
      <c r="Z72" s="1601"/>
      <c r="AA72" s="1601"/>
      <c r="AB72" s="1601"/>
      <c r="AC72" s="1601"/>
      <c r="AD72" s="1601"/>
      <c r="AE72" s="1601"/>
      <c r="AF72" s="1601"/>
    </row>
    <row r="73" spans="1:32" ht="30" customHeight="1" x14ac:dyDescent="0.25">
      <c r="A73" s="1415" t="s">
        <v>6389</v>
      </c>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row>
    <row r="74" spans="1:32" ht="113.25" customHeight="1" x14ac:dyDescent="0.25">
      <c r="A74" s="1415" t="s">
        <v>6390</v>
      </c>
      <c r="B74" s="1415"/>
      <c r="C74" s="1415"/>
      <c r="D74" s="1415"/>
      <c r="E74" s="1415"/>
      <c r="F74" s="1415"/>
      <c r="G74" s="1415"/>
      <c r="H74" s="1415"/>
      <c r="I74" s="1415"/>
      <c r="J74" s="1415"/>
      <c r="K74" s="1415"/>
      <c r="L74" s="1415"/>
      <c r="M74" s="1415"/>
      <c r="N74" s="1415"/>
      <c r="O74" s="1415"/>
      <c r="P74" s="1415"/>
      <c r="Q74" s="1415"/>
      <c r="R74" s="1415"/>
      <c r="S74" s="1415"/>
      <c r="T74" s="1415"/>
      <c r="U74" s="1415"/>
      <c r="V74" s="1415"/>
      <c r="W74" s="1415"/>
      <c r="X74" s="1415"/>
      <c r="Y74" s="1415"/>
      <c r="Z74" s="1415"/>
      <c r="AA74" s="1415"/>
      <c r="AB74" s="1415"/>
      <c r="AC74" s="1415"/>
      <c r="AD74" s="1415"/>
      <c r="AE74" s="1415"/>
      <c r="AF74" s="1415"/>
    </row>
    <row r="75" spans="1:32"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row>
    <row r="76" spans="1:32" x14ac:dyDescent="0.25">
      <c r="M76" s="466"/>
      <c r="N76" s="466"/>
      <c r="O76" s="466"/>
      <c r="P76" s="466"/>
      <c r="Q76" s="466"/>
      <c r="R76" s="466"/>
      <c r="S76" s="466"/>
      <c r="T76" s="466"/>
      <c r="U76" s="466"/>
      <c r="V76" s="466"/>
      <c r="W76" s="466"/>
      <c r="X76" s="466"/>
    </row>
    <row r="77" spans="1:32" x14ac:dyDescent="0.25">
      <c r="A77" s="1472" t="s">
        <v>21</v>
      </c>
      <c r="B77" s="1472"/>
      <c r="C77" s="1472"/>
      <c r="D77" s="1472"/>
      <c r="E77" s="1472"/>
      <c r="F77" s="1472"/>
      <c r="G77" s="1472"/>
      <c r="H77" s="1472"/>
      <c r="I77" s="1472"/>
      <c r="J77" s="1472"/>
      <c r="K77" s="1472"/>
      <c r="L77" s="1472"/>
      <c r="M77" s="1472"/>
      <c r="N77" s="1472"/>
      <c r="O77" s="1472"/>
      <c r="P77" s="1472"/>
      <c r="Q77" s="1472"/>
      <c r="R77" s="1472"/>
      <c r="S77" s="1472"/>
      <c r="T77" s="1472"/>
      <c r="U77" s="1472"/>
      <c r="V77" s="1472"/>
      <c r="W77" s="1472"/>
      <c r="X77" s="1472"/>
      <c r="Y77" s="1472"/>
      <c r="Z77" s="1472"/>
      <c r="AA77" s="1472"/>
      <c r="AB77" s="1472"/>
      <c r="AC77" s="1472"/>
      <c r="AD77" s="1472"/>
      <c r="AE77" s="1472"/>
      <c r="AF77" s="1472"/>
    </row>
    <row r="78" spans="1:32" ht="15.75" thickBot="1" x14ac:dyDescent="0.3"/>
    <row r="79" spans="1:32" ht="34.5" customHeight="1" x14ac:dyDescent="0.25">
      <c r="A79" s="1583" t="s">
        <v>22</v>
      </c>
      <c r="B79" s="1584"/>
      <c r="C79" s="1584"/>
      <c r="D79" s="1584"/>
      <c r="E79" s="1584"/>
      <c r="F79" s="1584"/>
      <c r="G79" s="1584"/>
      <c r="H79" s="1584"/>
      <c r="I79" s="1609" t="s">
        <v>2922</v>
      </c>
      <c r="J79" s="1584"/>
      <c r="K79" s="1584"/>
      <c r="L79" s="1584"/>
      <c r="M79" s="1584"/>
      <c r="N79" s="1584"/>
      <c r="O79" s="1584"/>
      <c r="P79" s="1584"/>
      <c r="Q79" s="1609" t="s">
        <v>2918</v>
      </c>
      <c r="R79" s="1584"/>
      <c r="S79" s="1584"/>
      <c r="T79" s="1584"/>
      <c r="U79" s="1584"/>
      <c r="V79" s="1584"/>
      <c r="W79" s="1584"/>
      <c r="X79" s="1584"/>
      <c r="Y79" s="1609" t="s">
        <v>1786</v>
      </c>
      <c r="Z79" s="1584"/>
      <c r="AA79" s="1584"/>
      <c r="AB79" s="1584"/>
      <c r="AC79" s="1584"/>
      <c r="AD79" s="1584"/>
      <c r="AE79" s="1584"/>
      <c r="AF79" s="1585"/>
    </row>
    <row r="80" spans="1:32" ht="45" customHeight="1" x14ac:dyDescent="0.25">
      <c r="A80" s="1962" t="s">
        <v>6391</v>
      </c>
      <c r="B80" s="1920"/>
      <c r="C80" s="1920"/>
      <c r="D80" s="1920"/>
      <c r="E80" s="1920"/>
      <c r="F80" s="1920"/>
      <c r="G80" s="1920"/>
      <c r="H80" s="1920"/>
      <c r="I80" s="3139">
        <f>ROUND(Q80*$P$69/$P$68,3)</f>
        <v>6.0000000000000001E-3</v>
      </c>
      <c r="J80" s="3139"/>
      <c r="K80" s="3139"/>
      <c r="L80" s="3139"/>
      <c r="M80" s="3139"/>
      <c r="N80" s="3139"/>
      <c r="O80" s="3139"/>
      <c r="P80" s="3139"/>
      <c r="Q80" s="3060">
        <f>ROUND((($P$57/$P$59)-($P$57/$P$63))*$P$64,2)</f>
        <v>41.25</v>
      </c>
      <c r="R80" s="3061"/>
      <c r="S80" s="3061"/>
      <c r="T80" s="3061"/>
      <c r="U80" s="3061"/>
      <c r="V80" s="3061"/>
      <c r="W80" s="3061"/>
      <c r="X80" s="3062"/>
      <c r="Y80" s="3063">
        <f>ROUND(Q80*$P$71,2)</f>
        <v>495</v>
      </c>
      <c r="Z80" s="3063"/>
      <c r="AA80" s="3063"/>
      <c r="AB80" s="3063"/>
      <c r="AC80" s="3063"/>
      <c r="AD80" s="3063"/>
      <c r="AE80" s="3063"/>
      <c r="AF80" s="3064"/>
    </row>
    <row r="81" spans="1:32" ht="45" customHeight="1" x14ac:dyDescent="0.25">
      <c r="A81" s="1962" t="s">
        <v>6392</v>
      </c>
      <c r="B81" s="1920"/>
      <c r="C81" s="1920"/>
      <c r="D81" s="1920"/>
      <c r="E81" s="1920"/>
      <c r="F81" s="1920"/>
      <c r="G81" s="1920"/>
      <c r="H81" s="1920"/>
      <c r="I81" s="3139">
        <f>ROUND(Q81*$P$69/$P$68,3)</f>
        <v>8.9999999999999993E-3</v>
      </c>
      <c r="J81" s="3139"/>
      <c r="K81" s="3139"/>
      <c r="L81" s="3139"/>
      <c r="M81" s="3139"/>
      <c r="N81" s="3139"/>
      <c r="O81" s="3139"/>
      <c r="P81" s="3139"/>
      <c r="Q81" s="3060">
        <f>ROUND((($P$57/$P$60)-($P$57/$P$63))*$P$64,2)</f>
        <v>62.94</v>
      </c>
      <c r="R81" s="3061"/>
      <c r="S81" s="3061"/>
      <c r="T81" s="3061"/>
      <c r="U81" s="3061"/>
      <c r="V81" s="3061"/>
      <c r="W81" s="3061"/>
      <c r="X81" s="3062"/>
      <c r="Y81" s="3063">
        <f>ROUND(Q81*$P$71,2)</f>
        <v>755.28</v>
      </c>
      <c r="Z81" s="3063"/>
      <c r="AA81" s="3063"/>
      <c r="AB81" s="3063"/>
      <c r="AC81" s="3063"/>
      <c r="AD81" s="3063"/>
      <c r="AE81" s="3063"/>
      <c r="AF81" s="3064"/>
    </row>
    <row r="82" spans="1:32" ht="45" customHeight="1" x14ac:dyDescent="0.25">
      <c r="A82" s="1962" t="s">
        <v>6393</v>
      </c>
      <c r="B82" s="1920"/>
      <c r="C82" s="1920"/>
      <c r="D82" s="1920"/>
      <c r="E82" s="1920"/>
      <c r="F82" s="1920"/>
      <c r="G82" s="1920"/>
      <c r="H82" s="1920"/>
      <c r="I82" s="3139">
        <f>ROUND(Q82*$P$69/$P$68,3)</f>
        <v>1.9E-2</v>
      </c>
      <c r="J82" s="3139"/>
      <c r="K82" s="3139"/>
      <c r="L82" s="3139"/>
      <c r="M82" s="3139"/>
      <c r="N82" s="3139"/>
      <c r="O82" s="3139"/>
      <c r="P82" s="3139"/>
      <c r="Q82" s="3060">
        <f>ROUND((($P$57/$P$61)-($P$57/$P$63))*$P$64,2)</f>
        <v>127.96</v>
      </c>
      <c r="R82" s="3061"/>
      <c r="S82" s="3061"/>
      <c r="T82" s="3061"/>
      <c r="U82" s="3061"/>
      <c r="V82" s="3061"/>
      <c r="W82" s="3061"/>
      <c r="X82" s="3062"/>
      <c r="Y82" s="3063">
        <f>ROUND(Q82*$P$71,2)</f>
        <v>1535.52</v>
      </c>
      <c r="Z82" s="3063"/>
      <c r="AA82" s="3063"/>
      <c r="AB82" s="3063"/>
      <c r="AC82" s="3063"/>
      <c r="AD82" s="3063"/>
      <c r="AE82" s="3063"/>
      <c r="AF82" s="3064"/>
    </row>
    <row r="83" spans="1:32" ht="45" customHeight="1" thickBot="1" x14ac:dyDescent="0.3">
      <c r="A83" s="1962" t="s">
        <v>6394</v>
      </c>
      <c r="B83" s="1920"/>
      <c r="C83" s="1920"/>
      <c r="D83" s="1920"/>
      <c r="E83" s="1920"/>
      <c r="F83" s="1920"/>
      <c r="G83" s="1920"/>
      <c r="H83" s="1920"/>
      <c r="I83" s="3141">
        <f>ROUND(Q83*$P$69/$P$68,3)</f>
        <v>1.6E-2</v>
      </c>
      <c r="J83" s="3141"/>
      <c r="K83" s="3141"/>
      <c r="L83" s="3141"/>
      <c r="M83" s="3141"/>
      <c r="N83" s="3141"/>
      <c r="O83" s="3141"/>
      <c r="P83" s="3141"/>
      <c r="Q83" s="3068">
        <f>ROUND((($P$58/$P$62)-($P$58/$P$63))*$P$65,2)</f>
        <v>109.7</v>
      </c>
      <c r="R83" s="3069"/>
      <c r="S83" s="3069"/>
      <c r="T83" s="3069"/>
      <c r="U83" s="3069"/>
      <c r="V83" s="3069"/>
      <c r="W83" s="3069"/>
      <c r="X83" s="3070"/>
      <c r="Y83" s="3071">
        <f>ROUND(Q83*$P$71,2)</f>
        <v>1316.4</v>
      </c>
      <c r="Z83" s="3071"/>
      <c r="AA83" s="3071"/>
      <c r="AB83" s="3071"/>
      <c r="AC83" s="3071"/>
      <c r="AD83" s="3071"/>
      <c r="AE83" s="3071"/>
      <c r="AF83" s="3072"/>
    </row>
    <row r="85" spans="1:32" x14ac:dyDescent="0.25">
      <c r="B85" s="416"/>
    </row>
    <row r="86" spans="1:32" x14ac:dyDescent="0.25">
      <c r="A86" s="1472" t="s">
        <v>1753</v>
      </c>
      <c r="B86" s="1472"/>
      <c r="C86" s="1472"/>
      <c r="D86" s="1472"/>
      <c r="E86" s="1472"/>
      <c r="F86" s="1472"/>
      <c r="G86" s="1472"/>
      <c r="H86" s="1472"/>
      <c r="I86" s="1472"/>
      <c r="J86" s="1472"/>
      <c r="K86" s="1472"/>
      <c r="L86" s="1472"/>
      <c r="M86" s="1472"/>
      <c r="N86" s="1472"/>
      <c r="O86" s="1472"/>
      <c r="P86" s="1472"/>
      <c r="Q86" s="1472"/>
      <c r="R86" s="1472"/>
      <c r="S86" s="1472"/>
      <c r="T86" s="1472"/>
      <c r="U86" s="1472"/>
      <c r="V86" s="1472"/>
      <c r="W86" s="1472"/>
      <c r="X86" s="1472"/>
      <c r="Y86" s="1472"/>
      <c r="Z86" s="1472"/>
      <c r="AA86" s="1472"/>
      <c r="AB86" s="1472"/>
      <c r="AC86" s="1472"/>
      <c r="AD86" s="1472"/>
      <c r="AE86" s="1472"/>
      <c r="AF86" s="1472"/>
    </row>
    <row r="88" spans="1:32" ht="30" customHeight="1" x14ac:dyDescent="0.25">
      <c r="A88" s="515" t="s">
        <v>1013</v>
      </c>
      <c r="B88" s="1173" t="s">
        <v>6395</v>
      </c>
      <c r="C88" s="1173"/>
      <c r="D88" s="1173"/>
      <c r="E88" s="1173"/>
      <c r="F88" s="1173"/>
      <c r="G88" s="1173"/>
      <c r="H88" s="1173"/>
      <c r="I88" s="1173"/>
      <c r="J88" s="1173"/>
      <c r="K88" s="1173"/>
      <c r="L88" s="1173"/>
      <c r="M88" s="1173"/>
      <c r="N88" s="1173"/>
      <c r="O88" s="1173"/>
      <c r="P88" s="1173"/>
      <c r="Q88" s="1173"/>
      <c r="R88" s="1173"/>
      <c r="S88" s="1173"/>
      <c r="T88" s="1173"/>
      <c r="U88" s="1173"/>
      <c r="V88" s="1173"/>
      <c r="W88" s="1173"/>
      <c r="X88" s="1173"/>
      <c r="Y88" s="1173"/>
      <c r="Z88" s="1173"/>
      <c r="AA88" s="1173"/>
      <c r="AB88" s="1173"/>
      <c r="AC88" s="1173"/>
      <c r="AD88" s="1173"/>
      <c r="AE88" s="1173"/>
      <c r="AF88" s="1173"/>
    </row>
    <row r="89" spans="1:32" ht="30" customHeight="1" x14ac:dyDescent="0.25">
      <c r="A89" s="515" t="s">
        <v>1013</v>
      </c>
      <c r="B89" s="1173" t="s">
        <v>6396</v>
      </c>
      <c r="C89" s="1173"/>
      <c r="D89" s="1173"/>
      <c r="E89" s="1173"/>
      <c r="F89" s="1173"/>
      <c r="G89" s="1173"/>
      <c r="H89" s="1173"/>
      <c r="I89" s="1173"/>
      <c r="J89" s="1173"/>
      <c r="K89" s="1173"/>
      <c r="L89" s="1173"/>
      <c r="M89" s="1173"/>
      <c r="N89" s="1173"/>
      <c r="O89" s="1173"/>
      <c r="P89" s="1173"/>
      <c r="Q89" s="1173"/>
      <c r="R89" s="1173"/>
      <c r="S89" s="1173"/>
      <c r="T89" s="1173"/>
      <c r="U89" s="1173"/>
      <c r="V89" s="1173"/>
      <c r="W89" s="1173"/>
      <c r="X89" s="1173"/>
      <c r="Y89" s="1173"/>
      <c r="Z89" s="1173"/>
      <c r="AA89" s="1173"/>
      <c r="AB89" s="1173"/>
      <c r="AC89" s="1173"/>
      <c r="AD89" s="1173"/>
      <c r="AE89" s="1173"/>
      <c r="AF89" s="1173"/>
    </row>
    <row r="90" spans="1:32" ht="30" customHeight="1" x14ac:dyDescent="0.25">
      <c r="A90" s="515" t="s">
        <v>1013</v>
      </c>
      <c r="B90" s="1173" t="s">
        <v>6397</v>
      </c>
      <c r="C90" s="3140"/>
      <c r="D90" s="3140"/>
      <c r="E90" s="3140"/>
      <c r="F90" s="3140"/>
      <c r="G90" s="3140"/>
      <c r="H90" s="3140"/>
      <c r="I90" s="3140"/>
      <c r="J90" s="3140"/>
      <c r="K90" s="3140"/>
      <c r="L90" s="3140"/>
      <c r="M90" s="3140"/>
      <c r="N90" s="3140"/>
      <c r="O90" s="3140"/>
      <c r="P90" s="3140"/>
      <c r="Q90" s="3140"/>
      <c r="R90" s="3140"/>
      <c r="S90" s="3140"/>
      <c r="T90" s="3140"/>
      <c r="U90" s="3140"/>
      <c r="V90" s="3140"/>
      <c r="W90" s="3140"/>
      <c r="X90" s="3140"/>
      <c r="Y90" s="3140"/>
      <c r="Z90" s="3140"/>
      <c r="AA90" s="3140"/>
      <c r="AB90" s="3140"/>
      <c r="AC90" s="3140"/>
      <c r="AD90" s="3140"/>
      <c r="AE90" s="3140"/>
      <c r="AF90" s="3140"/>
    </row>
    <row r="91" spans="1:32" ht="45" customHeight="1" x14ac:dyDescent="0.25">
      <c r="A91" s="515" t="s">
        <v>1013</v>
      </c>
      <c r="B91" s="1173" t="s">
        <v>6398</v>
      </c>
      <c r="C91" s="1173"/>
      <c r="D91" s="1173"/>
      <c r="E91" s="1173"/>
      <c r="F91" s="1173"/>
      <c r="G91" s="1173"/>
      <c r="H91" s="1173"/>
      <c r="I91" s="1173"/>
      <c r="J91" s="1173"/>
      <c r="K91" s="1173"/>
      <c r="L91" s="1173"/>
      <c r="M91" s="1173"/>
      <c r="N91" s="1173"/>
      <c r="O91" s="1173"/>
      <c r="P91" s="1173"/>
      <c r="Q91" s="1173"/>
      <c r="R91" s="1173"/>
      <c r="S91" s="1173"/>
      <c r="T91" s="1173"/>
      <c r="U91" s="1173"/>
      <c r="V91" s="1173"/>
      <c r="W91" s="1173"/>
      <c r="X91" s="1173"/>
      <c r="Y91" s="1173"/>
      <c r="Z91" s="1173"/>
      <c r="AA91" s="1173"/>
      <c r="AB91" s="1173"/>
      <c r="AC91" s="1173"/>
      <c r="AD91" s="1173"/>
      <c r="AE91" s="1173"/>
      <c r="AF91" s="1173"/>
    </row>
  </sheetData>
  <sheetProtection algorithmName="SHA-512" hashValue="wxCBC7c8qz9GffBsouJRnRK1GOoLE43Aej60tUrY6YXBqevI5XzlDBJ6SVPWG5HXLqKK2P8Ez0lLKiSb5hbhLg==" saltValue="FRS2Tod3FYiEUu5by3h3bg==" spinCount="100000" sheet="1" objects="1" scenarios="1"/>
  <mergeCells count="115">
    <mergeCell ref="A86:AF86"/>
    <mergeCell ref="B88:AF88"/>
    <mergeCell ref="B89:AF89"/>
    <mergeCell ref="B90:AF90"/>
    <mergeCell ref="B91:AF91"/>
    <mergeCell ref="A82:H82"/>
    <mergeCell ref="I82:P82"/>
    <mergeCell ref="Q82:X82"/>
    <mergeCell ref="Y82:AF82"/>
    <mergeCell ref="A83:H83"/>
    <mergeCell ref="I83:P83"/>
    <mergeCell ref="Q83:X83"/>
    <mergeCell ref="Y83:AF83"/>
    <mergeCell ref="A80:H80"/>
    <mergeCell ref="I80:P80"/>
    <mergeCell ref="Q80:X80"/>
    <mergeCell ref="Y80:AF80"/>
    <mergeCell ref="A81:H81"/>
    <mergeCell ref="I81:P81"/>
    <mergeCell ref="Q81:X81"/>
    <mergeCell ref="Y81:AF81"/>
    <mergeCell ref="A72:AF72"/>
    <mergeCell ref="A73:AF73"/>
    <mergeCell ref="A74:AF74"/>
    <mergeCell ref="A77:AF77"/>
    <mergeCell ref="A79:H79"/>
    <mergeCell ref="I79:P79"/>
    <mergeCell ref="Q79:X79"/>
    <mergeCell ref="Y79:AF79"/>
    <mergeCell ref="A70:D70"/>
    <mergeCell ref="E70:O70"/>
    <mergeCell ref="P70:S70"/>
    <mergeCell ref="T70:W70"/>
    <mergeCell ref="X70:AF70"/>
    <mergeCell ref="A71:D71"/>
    <mergeCell ref="E71:O71"/>
    <mergeCell ref="P71:S71"/>
    <mergeCell ref="T71:W71"/>
    <mergeCell ref="X71:AF71"/>
    <mergeCell ref="A68:D68"/>
    <mergeCell ref="E68:O68"/>
    <mergeCell ref="P68:S68"/>
    <mergeCell ref="T68:W68"/>
    <mergeCell ref="X68:AF68"/>
    <mergeCell ref="A69:D69"/>
    <mergeCell ref="E69:O69"/>
    <mergeCell ref="P69:S69"/>
    <mergeCell ref="T69:W69"/>
    <mergeCell ref="X69:AF69"/>
    <mergeCell ref="A66:D66"/>
    <mergeCell ref="E66:O66"/>
    <mergeCell ref="P66:S66"/>
    <mergeCell ref="T66:W66"/>
    <mergeCell ref="X66:AF66"/>
    <mergeCell ref="A67:D67"/>
    <mergeCell ref="E67:O67"/>
    <mergeCell ref="P67:S67"/>
    <mergeCell ref="T67:W67"/>
    <mergeCell ref="X67:AF67"/>
    <mergeCell ref="A64:D65"/>
    <mergeCell ref="E64:O64"/>
    <mergeCell ref="P64:S64"/>
    <mergeCell ref="T64:W65"/>
    <mergeCell ref="X64:AF65"/>
    <mergeCell ref="E65:O65"/>
    <mergeCell ref="P65:S65"/>
    <mergeCell ref="P62:S62"/>
    <mergeCell ref="A63:D63"/>
    <mergeCell ref="E63:O63"/>
    <mergeCell ref="P63:S63"/>
    <mergeCell ref="T63:W63"/>
    <mergeCell ref="X63:AF63"/>
    <mergeCell ref="A59:D62"/>
    <mergeCell ref="E59:O59"/>
    <mergeCell ref="P59:S59"/>
    <mergeCell ref="T59:W62"/>
    <mergeCell ref="X59:AF62"/>
    <mergeCell ref="E60:O60"/>
    <mergeCell ref="P60:S60"/>
    <mergeCell ref="E61:O61"/>
    <mergeCell ref="P61:S61"/>
    <mergeCell ref="E62:O62"/>
    <mergeCell ref="AF45:AF46"/>
    <mergeCell ref="A53:AF53"/>
    <mergeCell ref="A54:D54"/>
    <mergeCell ref="E54:O54"/>
    <mergeCell ref="P54:S54"/>
    <mergeCell ref="T54:W54"/>
    <mergeCell ref="X54:AF54"/>
    <mergeCell ref="A57:D58"/>
    <mergeCell ref="E57:O57"/>
    <mergeCell ref="P57:S57"/>
    <mergeCell ref="T57:W58"/>
    <mergeCell ref="X57:AF58"/>
    <mergeCell ref="E58:O58"/>
    <mergeCell ref="P58:S58"/>
    <mergeCell ref="A55:D55"/>
    <mergeCell ref="E55:O55"/>
    <mergeCell ref="P55:S55"/>
    <mergeCell ref="T55:W55"/>
    <mergeCell ref="X55:AF55"/>
    <mergeCell ref="A56:D56"/>
    <mergeCell ref="E56:O56"/>
    <mergeCell ref="P56:S56"/>
    <mergeCell ref="T56:W56"/>
    <mergeCell ref="X56:AF56"/>
    <mergeCell ref="A1:AF1"/>
    <mergeCell ref="A3:AF3"/>
    <mergeCell ref="B5:AF5"/>
    <mergeCell ref="A7:AF7"/>
    <mergeCell ref="B10:AF10"/>
    <mergeCell ref="B13:AF13"/>
    <mergeCell ref="B19:AF19"/>
    <mergeCell ref="B22:AF22"/>
    <mergeCell ref="A25:AF25"/>
  </mergeCells>
  <hyperlinks>
    <hyperlink ref="A2" location="TOC!A1" display="Return to TOC" xr:uid="{29AE356D-D07E-4292-A1F1-F39E80E25D34}"/>
  </hyperlinks>
  <pageMargins left="0.7" right="0.7" top="0.75" bottom="0.75" header="0.3" footer="0.3"/>
  <ignoredErrors>
    <ignoredError sqref="AF29:AF50" numberStoredAsText="1"/>
  </ignoredErrors>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7">
    <tabColor theme="4" tint="0.79998168889431442"/>
    <pageSetUpPr autoPageBreaks="0"/>
  </sheetPr>
  <dimension ref="A1:AF48"/>
  <sheetViews>
    <sheetView workbookViewId="0">
      <selection sqref="A1:AF1"/>
    </sheetView>
  </sheetViews>
  <sheetFormatPr defaultColWidth="2.7109375" defaultRowHeight="15" x14ac:dyDescent="0.25"/>
  <cols>
    <col min="1" max="16384" width="2.7109375" style="1"/>
  </cols>
  <sheetData>
    <row r="1" spans="1:32" ht="18.75" x14ac:dyDescent="0.25">
      <c r="A1" s="1464" t="s">
        <v>1155</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472" t="s">
        <v>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B5" s="1475" t="s">
        <v>10</v>
      </c>
      <c r="C5" s="1475"/>
      <c r="D5" s="1475"/>
      <c r="E5" s="1475"/>
      <c r="F5" s="1475"/>
      <c r="G5" s="1475"/>
      <c r="H5" s="1475"/>
      <c r="I5" s="1475"/>
    </row>
    <row r="6" spans="1:32" x14ac:dyDescent="0.25">
      <c r="B6" s="1473" t="s">
        <v>499</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1473"/>
      <c r="AE6" s="1473"/>
      <c r="AF6" s="1473"/>
    </row>
    <row r="8" spans="1:32" x14ac:dyDescent="0.25">
      <c r="B8" s="1475" t="s">
        <v>11</v>
      </c>
      <c r="C8" s="1475"/>
      <c r="D8" s="1475"/>
      <c r="E8" s="1475"/>
      <c r="F8" s="1475"/>
      <c r="G8" s="1475"/>
      <c r="H8" s="1475"/>
      <c r="I8" s="1475"/>
    </row>
    <row r="9" spans="1:32" x14ac:dyDescent="0.25">
      <c r="B9" s="1473" t="s">
        <v>469</v>
      </c>
      <c r="C9" s="1473"/>
      <c r="D9" s="1473"/>
      <c r="E9" s="1473"/>
      <c r="F9" s="1473"/>
      <c r="G9" s="1473"/>
      <c r="H9" s="1473"/>
      <c r="I9" s="1473"/>
      <c r="J9" s="1473"/>
      <c r="K9" s="1473"/>
      <c r="L9" s="1473"/>
      <c r="M9" s="1473"/>
      <c r="N9" s="1473"/>
      <c r="O9" s="1473"/>
      <c r="P9" s="1473"/>
      <c r="Q9" s="1473"/>
      <c r="R9" s="1473"/>
      <c r="S9" s="1473"/>
      <c r="T9" s="1473"/>
      <c r="U9" s="1473"/>
      <c r="V9" s="1473"/>
      <c r="W9" s="1473"/>
      <c r="X9" s="1473"/>
      <c r="Y9" s="1473"/>
      <c r="Z9" s="1473"/>
      <c r="AA9" s="1473"/>
      <c r="AB9" s="1473"/>
      <c r="AC9" s="1473"/>
      <c r="AD9" s="1473"/>
      <c r="AE9" s="1473"/>
      <c r="AF9" s="1473"/>
    </row>
    <row r="11" spans="1:32" x14ac:dyDescent="0.25">
      <c r="B11" s="1475" t="s">
        <v>12</v>
      </c>
      <c r="C11" s="1475"/>
      <c r="D11" s="1475"/>
      <c r="E11" s="1475"/>
      <c r="F11" s="1475"/>
      <c r="G11" s="1475"/>
      <c r="H11" s="1475"/>
      <c r="I11" s="1475"/>
    </row>
    <row r="12" spans="1:32" x14ac:dyDescent="0.25">
      <c r="B12" s="1473" t="s">
        <v>500</v>
      </c>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row>
    <row r="14" spans="1:32" x14ac:dyDescent="0.25">
      <c r="B14" s="1475" t="s">
        <v>13</v>
      </c>
      <c r="C14" s="1475"/>
      <c r="D14" s="1475"/>
      <c r="E14" s="1475"/>
      <c r="F14" s="1475"/>
      <c r="G14" s="1475"/>
      <c r="H14" s="1475"/>
      <c r="I14" s="1475"/>
    </row>
    <row r="15" spans="1:32" s="4" customFormat="1" ht="31.5" customHeight="1" x14ac:dyDescent="0.25">
      <c r="B15" s="1151" t="s">
        <v>501</v>
      </c>
      <c r="C15" s="1151"/>
      <c r="D15" s="1151"/>
      <c r="E15" s="1151"/>
      <c r="F15" s="1151"/>
      <c r="G15" s="1151"/>
      <c r="H15" s="1151"/>
      <c r="I15" s="1151"/>
      <c r="J15" s="1151"/>
      <c r="K15" s="1151"/>
      <c r="L15" s="1151"/>
      <c r="M15" s="1151"/>
      <c r="N15" s="1151"/>
      <c r="O15" s="1151"/>
      <c r="P15" s="1151"/>
      <c r="Q15" s="1151"/>
      <c r="R15" s="1151"/>
      <c r="S15" s="1151"/>
      <c r="T15" s="1151"/>
      <c r="U15" s="1151"/>
      <c r="V15" s="1151"/>
      <c r="W15" s="1151"/>
      <c r="X15" s="1151"/>
      <c r="Y15" s="1151"/>
      <c r="Z15" s="1151"/>
      <c r="AA15" s="1151"/>
      <c r="AB15" s="1151"/>
      <c r="AC15" s="1151"/>
      <c r="AD15" s="1151"/>
      <c r="AE15" s="1151"/>
      <c r="AF15" s="1151"/>
    </row>
    <row r="17" spans="1:32" x14ac:dyDescent="0.25">
      <c r="B17" s="171" t="s">
        <v>20</v>
      </c>
      <c r="C17" s="171"/>
      <c r="D17" s="171"/>
      <c r="E17" s="171"/>
      <c r="F17" s="171"/>
      <c r="G17" s="171"/>
      <c r="H17" s="171"/>
      <c r="I17" s="171"/>
    </row>
    <row r="18" spans="1:32" ht="17.25" customHeight="1" x14ac:dyDescent="0.25">
      <c r="B18" s="1151" t="s">
        <v>2180</v>
      </c>
      <c r="C18" s="1473"/>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row>
    <row r="21" spans="1:32" x14ac:dyDescent="0.25">
      <c r="A21" s="1472" t="s">
        <v>14</v>
      </c>
      <c r="B21" s="1472"/>
      <c r="C21" s="1472"/>
      <c r="D21" s="1472"/>
      <c r="E21" s="1472"/>
      <c r="F21" s="1472"/>
      <c r="G21" s="1472"/>
      <c r="H21" s="1472"/>
      <c r="I21" s="1472"/>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row>
    <row r="23" spans="1:32" ht="14.45" customHeight="1" x14ac:dyDescent="0.25">
      <c r="A23" s="1752" t="s">
        <v>40</v>
      </c>
      <c r="B23" s="1586"/>
      <c r="C23" s="1586"/>
      <c r="D23" s="1586"/>
      <c r="E23" s="1586"/>
      <c r="F23" s="1586"/>
      <c r="G23" s="1586"/>
      <c r="H23" s="3142" t="s">
        <v>686</v>
      </c>
      <c r="I23" s="1390"/>
      <c r="J23" s="1390"/>
      <c r="K23" s="1390"/>
      <c r="L23" s="1390"/>
      <c r="M23" s="1390"/>
      <c r="N23" s="1390"/>
      <c r="O23" s="1390"/>
      <c r="P23" s="1390"/>
      <c r="Q23" s="1390"/>
      <c r="R23" s="1390"/>
      <c r="S23" s="1390"/>
      <c r="T23" s="1390"/>
      <c r="U23" s="1390"/>
      <c r="V23" s="1390"/>
      <c r="W23" s="1390"/>
      <c r="X23" s="1390"/>
      <c r="Y23" s="1390"/>
      <c r="Z23" s="1390"/>
      <c r="AA23" s="1390"/>
      <c r="AB23" s="1390"/>
      <c r="AC23" s="1390"/>
      <c r="AD23" s="1390"/>
      <c r="AE23" s="1390"/>
      <c r="AF23" s="1390"/>
    </row>
    <row r="24" spans="1:32" x14ac:dyDescent="0.25">
      <c r="A24" s="1752" t="s">
        <v>41</v>
      </c>
      <c r="B24" s="1586"/>
      <c r="C24" s="1586"/>
      <c r="D24" s="1586"/>
      <c r="E24" s="1586"/>
      <c r="F24" s="1586"/>
      <c r="G24" s="1586"/>
      <c r="H24" s="1587" t="s">
        <v>684</v>
      </c>
      <c r="I24" s="1753"/>
      <c r="J24" s="1753"/>
      <c r="K24" s="1753"/>
      <c r="L24" s="1753"/>
      <c r="M24" s="1753"/>
      <c r="N24" s="1753"/>
      <c r="O24" s="1753"/>
      <c r="P24" s="1753"/>
      <c r="Q24" s="1753"/>
      <c r="R24" s="1753"/>
      <c r="S24" s="1753"/>
      <c r="T24" s="1753"/>
      <c r="U24" s="1753"/>
      <c r="V24" s="1753"/>
      <c r="W24" s="1753"/>
      <c r="X24" s="1753"/>
      <c r="Y24" s="1753"/>
      <c r="Z24" s="1753"/>
      <c r="AA24" s="1753"/>
      <c r="AB24" s="1753"/>
      <c r="AC24" s="1753"/>
      <c r="AD24" s="1753"/>
      <c r="AE24" s="1753"/>
      <c r="AF24" s="1753"/>
    </row>
    <row r="25" spans="1:32" x14ac:dyDescent="0.25">
      <c r="A25" s="1752" t="s">
        <v>470</v>
      </c>
      <c r="B25" s="1586"/>
      <c r="C25" s="1586"/>
      <c r="D25" s="1586"/>
      <c r="E25" s="1586"/>
      <c r="F25" s="1586"/>
      <c r="G25" s="1586"/>
      <c r="H25" s="1587" t="s">
        <v>685</v>
      </c>
      <c r="I25" s="1753"/>
      <c r="J25" s="1753"/>
      <c r="K25" s="1753"/>
      <c r="L25" s="1753"/>
      <c r="M25" s="1753"/>
      <c r="N25" s="1753"/>
      <c r="O25" s="1753"/>
      <c r="P25" s="1753"/>
      <c r="Q25" s="1753"/>
      <c r="R25" s="1753"/>
      <c r="S25" s="1753"/>
      <c r="T25" s="1753"/>
      <c r="U25" s="1753"/>
      <c r="V25" s="1753"/>
      <c r="W25" s="1753"/>
      <c r="X25" s="1753"/>
      <c r="Y25" s="1753"/>
      <c r="Z25" s="1753"/>
      <c r="AA25" s="1753"/>
      <c r="AB25" s="1753"/>
      <c r="AC25" s="1753"/>
      <c r="AD25" s="1753"/>
      <c r="AE25" s="1753"/>
      <c r="AF25" s="1753"/>
    </row>
    <row r="28" spans="1:32" x14ac:dyDescent="0.25">
      <c r="A28" s="1472" t="s">
        <v>15</v>
      </c>
      <c r="B28" s="1472"/>
      <c r="C28" s="1472"/>
      <c r="D28" s="1472"/>
      <c r="E28" s="1472"/>
      <c r="F28" s="1472"/>
      <c r="G28" s="1472"/>
      <c r="H28" s="1472"/>
      <c r="I28" s="1472"/>
      <c r="J28" s="1472"/>
      <c r="K28" s="1472"/>
      <c r="L28" s="1472"/>
      <c r="M28" s="1472"/>
      <c r="N28" s="1472"/>
      <c r="O28" s="1472"/>
      <c r="P28" s="1472"/>
      <c r="Q28" s="1472"/>
      <c r="R28" s="1472"/>
      <c r="S28" s="1472"/>
      <c r="T28" s="1472"/>
      <c r="U28" s="1472"/>
      <c r="V28" s="1472"/>
      <c r="W28" s="1472"/>
      <c r="X28" s="1472"/>
      <c r="Y28" s="1472"/>
      <c r="Z28" s="1472"/>
      <c r="AA28" s="1472"/>
      <c r="AB28" s="1472"/>
      <c r="AC28" s="1472"/>
      <c r="AD28" s="1472"/>
      <c r="AE28" s="1472"/>
      <c r="AF28" s="1472"/>
    </row>
    <row r="29" spans="1:32" x14ac:dyDescent="0.25">
      <c r="A29" s="1474" t="s">
        <v>16</v>
      </c>
      <c r="B29" s="1474"/>
      <c r="C29" s="1474"/>
      <c r="D29" s="1474"/>
      <c r="E29" s="1474" t="s">
        <v>10</v>
      </c>
      <c r="F29" s="1474"/>
      <c r="G29" s="1474"/>
      <c r="H29" s="1474"/>
      <c r="I29" s="1474"/>
      <c r="J29" s="1474"/>
      <c r="K29" s="1474"/>
      <c r="L29" s="1474"/>
      <c r="M29" s="1474"/>
      <c r="N29" s="1474"/>
      <c r="O29" s="1474"/>
      <c r="P29" s="1474"/>
      <c r="Q29" s="1474" t="s">
        <v>17</v>
      </c>
      <c r="R29" s="1474"/>
      <c r="S29" s="1474"/>
      <c r="T29" s="1474"/>
      <c r="U29" s="1474" t="s">
        <v>18</v>
      </c>
      <c r="V29" s="1474"/>
      <c r="W29" s="1474" t="s">
        <v>19</v>
      </c>
      <c r="X29" s="1474"/>
      <c r="Y29" s="1474"/>
      <c r="Z29" s="1474"/>
      <c r="AA29" s="1474"/>
      <c r="AB29" s="1474"/>
      <c r="AC29" s="1474"/>
      <c r="AD29" s="1474"/>
      <c r="AE29" s="1474"/>
      <c r="AF29" s="1474"/>
    </row>
    <row r="30" spans="1:32" x14ac:dyDescent="0.25">
      <c r="A30" s="1485" t="s">
        <v>40</v>
      </c>
      <c r="B30" s="1486"/>
      <c r="C30" s="1486"/>
      <c r="D30" s="1487"/>
      <c r="E30" s="1479" t="s">
        <v>160</v>
      </c>
      <c r="F30" s="1480"/>
      <c r="G30" s="1480"/>
      <c r="H30" s="1480"/>
      <c r="I30" s="1480"/>
      <c r="J30" s="1480"/>
      <c r="K30" s="1480"/>
      <c r="L30" s="1480"/>
      <c r="M30" s="1480"/>
      <c r="N30" s="1480"/>
      <c r="O30" s="1480"/>
      <c r="P30" s="1481"/>
      <c r="Q30" s="1482" t="s">
        <v>43</v>
      </c>
      <c r="R30" s="1483"/>
      <c r="S30" s="1483"/>
      <c r="T30" s="1484"/>
      <c r="U30" s="1482" t="s">
        <v>44</v>
      </c>
      <c r="V30" s="1484"/>
      <c r="W30" s="1479"/>
      <c r="X30" s="1480"/>
      <c r="Y30" s="1480"/>
      <c r="Z30" s="1480"/>
      <c r="AA30" s="1480"/>
      <c r="AB30" s="1480"/>
      <c r="AC30" s="1480"/>
      <c r="AD30" s="1480"/>
      <c r="AE30" s="1480"/>
      <c r="AF30" s="1481"/>
    </row>
    <row r="31" spans="1:32" x14ac:dyDescent="0.25">
      <c r="A31" s="1485" t="s">
        <v>41</v>
      </c>
      <c r="B31" s="1486"/>
      <c r="C31" s="1486"/>
      <c r="D31" s="1487"/>
      <c r="E31" s="1479" t="s">
        <v>161</v>
      </c>
      <c r="F31" s="1480"/>
      <c r="G31" s="1480"/>
      <c r="H31" s="1480"/>
      <c r="I31" s="1480"/>
      <c r="J31" s="1480"/>
      <c r="K31" s="1480"/>
      <c r="L31" s="1480"/>
      <c r="M31" s="1480"/>
      <c r="N31" s="1480"/>
      <c r="O31" s="1480"/>
      <c r="P31" s="1481"/>
      <c r="Q31" s="1482" t="s">
        <v>43</v>
      </c>
      <c r="R31" s="1483"/>
      <c r="S31" s="1483"/>
      <c r="T31" s="1484"/>
      <c r="U31" s="1482" t="s">
        <v>26</v>
      </c>
      <c r="V31" s="1484"/>
      <c r="W31" s="1479"/>
      <c r="X31" s="1480"/>
      <c r="Y31" s="1480"/>
      <c r="Z31" s="1480"/>
      <c r="AA31" s="1480"/>
      <c r="AB31" s="1480"/>
      <c r="AC31" s="1480"/>
      <c r="AD31" s="1480"/>
      <c r="AE31" s="1480"/>
      <c r="AF31" s="1481"/>
    </row>
    <row r="32" spans="1:32" ht="28.9" customHeight="1" x14ac:dyDescent="0.25">
      <c r="A32" s="1485" t="s">
        <v>502</v>
      </c>
      <c r="B32" s="1486"/>
      <c r="C32" s="1486"/>
      <c r="D32" s="1487"/>
      <c r="E32" s="1479" t="s">
        <v>503</v>
      </c>
      <c r="F32" s="1480"/>
      <c r="G32" s="1480"/>
      <c r="H32" s="1480"/>
      <c r="I32" s="1480"/>
      <c r="J32" s="1480"/>
      <c r="K32" s="1480"/>
      <c r="L32" s="1480"/>
      <c r="M32" s="1480"/>
      <c r="N32" s="1480"/>
      <c r="O32" s="1480"/>
      <c r="P32" s="1481"/>
      <c r="Q32" s="1482">
        <v>8.4499999999999993</v>
      </c>
      <c r="R32" s="1483"/>
      <c r="S32" s="1483"/>
      <c r="T32" s="1484"/>
      <c r="U32" s="1482" t="s">
        <v>510</v>
      </c>
      <c r="V32" s="1484"/>
      <c r="W32" s="1479" t="s">
        <v>1679</v>
      </c>
      <c r="X32" s="1480"/>
      <c r="Y32" s="1480"/>
      <c r="Z32" s="1480"/>
      <c r="AA32" s="1480"/>
      <c r="AB32" s="1480"/>
      <c r="AC32" s="1480"/>
      <c r="AD32" s="1480"/>
      <c r="AE32" s="1480"/>
      <c r="AF32" s="1481"/>
    </row>
    <row r="33" spans="1:32" ht="129.6" customHeight="1" x14ac:dyDescent="0.25">
      <c r="A33" s="1485" t="s">
        <v>505</v>
      </c>
      <c r="B33" s="1486"/>
      <c r="C33" s="1486"/>
      <c r="D33" s="1487"/>
      <c r="E33" s="1479" t="s">
        <v>504</v>
      </c>
      <c r="F33" s="1480"/>
      <c r="G33" s="1480"/>
      <c r="H33" s="1480"/>
      <c r="I33" s="1480"/>
      <c r="J33" s="1480"/>
      <c r="K33" s="1480"/>
      <c r="L33" s="1480"/>
      <c r="M33" s="1480"/>
      <c r="N33" s="1480"/>
      <c r="O33" s="1480"/>
      <c r="P33" s="1481"/>
      <c r="Q33" s="1482">
        <v>3.15</v>
      </c>
      <c r="R33" s="1483"/>
      <c r="S33" s="1483"/>
      <c r="T33" s="1484"/>
      <c r="U33" s="1482" t="s">
        <v>28</v>
      </c>
      <c r="V33" s="1484"/>
      <c r="W33" s="1479" t="s">
        <v>511</v>
      </c>
      <c r="X33" s="1480"/>
      <c r="Y33" s="1480"/>
      <c r="Z33" s="1480"/>
      <c r="AA33" s="1480"/>
      <c r="AB33" s="1480"/>
      <c r="AC33" s="1480"/>
      <c r="AD33" s="1480"/>
      <c r="AE33" s="1480"/>
      <c r="AF33" s="1481"/>
    </row>
    <row r="34" spans="1:32" ht="28.9" customHeight="1" x14ac:dyDescent="0.25">
      <c r="A34" s="1485" t="s">
        <v>506</v>
      </c>
      <c r="B34" s="1486"/>
      <c r="C34" s="1486"/>
      <c r="D34" s="1487"/>
      <c r="E34" s="1479" t="s">
        <v>507</v>
      </c>
      <c r="F34" s="1480"/>
      <c r="G34" s="1480"/>
      <c r="H34" s="1480"/>
      <c r="I34" s="1480"/>
      <c r="J34" s="1480"/>
      <c r="K34" s="1480"/>
      <c r="L34" s="1480"/>
      <c r="M34" s="1480"/>
      <c r="N34" s="1480"/>
      <c r="O34" s="1480"/>
      <c r="P34" s="1481"/>
      <c r="Q34" s="1482">
        <v>3.93</v>
      </c>
      <c r="R34" s="1483"/>
      <c r="S34" s="1483"/>
      <c r="T34" s="1484"/>
      <c r="U34" s="1482" t="s">
        <v>28</v>
      </c>
      <c r="V34" s="1484"/>
      <c r="W34" s="1479" t="s">
        <v>512</v>
      </c>
      <c r="X34" s="1480"/>
      <c r="Y34" s="1480"/>
      <c r="Z34" s="1480"/>
      <c r="AA34" s="1480"/>
      <c r="AB34" s="1480"/>
      <c r="AC34" s="1480"/>
      <c r="AD34" s="1480"/>
      <c r="AE34" s="1480"/>
      <c r="AF34" s="1481"/>
    </row>
    <row r="35" spans="1:32" x14ac:dyDescent="0.25">
      <c r="A35" s="1485" t="s">
        <v>473</v>
      </c>
      <c r="B35" s="1486"/>
      <c r="C35" s="1486"/>
      <c r="D35" s="1487"/>
      <c r="E35" s="1479" t="s">
        <v>508</v>
      </c>
      <c r="F35" s="1480"/>
      <c r="G35" s="1480"/>
      <c r="H35" s="1480"/>
      <c r="I35" s="1480"/>
      <c r="J35" s="1480"/>
      <c r="K35" s="1480"/>
      <c r="L35" s="1480"/>
      <c r="M35" s="1480"/>
      <c r="N35" s="1480"/>
      <c r="O35" s="1480"/>
      <c r="P35" s="1481"/>
      <c r="Q35" s="1482">
        <v>311</v>
      </c>
      <c r="R35" s="1483"/>
      <c r="S35" s="1483"/>
      <c r="T35" s="1484"/>
      <c r="U35" s="1482" t="s">
        <v>28</v>
      </c>
      <c r="V35" s="1484"/>
      <c r="W35" s="1479" t="s">
        <v>1680</v>
      </c>
      <c r="X35" s="1480"/>
      <c r="Y35" s="1480"/>
      <c r="Z35" s="1480"/>
      <c r="AA35" s="1480"/>
      <c r="AB35" s="1480"/>
      <c r="AC35" s="1480"/>
      <c r="AD35" s="1480"/>
      <c r="AE35" s="1480"/>
      <c r="AF35" s="1481"/>
    </row>
    <row r="36" spans="1:32" ht="28.9" customHeight="1" x14ac:dyDescent="0.25">
      <c r="A36" s="1485" t="s">
        <v>32</v>
      </c>
      <c r="B36" s="1486"/>
      <c r="C36" s="1486"/>
      <c r="D36" s="1487"/>
      <c r="E36" s="1479" t="s">
        <v>509</v>
      </c>
      <c r="F36" s="1480"/>
      <c r="G36" s="1480"/>
      <c r="H36" s="1480"/>
      <c r="I36" s="1480"/>
      <c r="J36" s="1480"/>
      <c r="K36" s="1480"/>
      <c r="L36" s="1480"/>
      <c r="M36" s="1480"/>
      <c r="N36" s="1480"/>
      <c r="O36" s="1480"/>
      <c r="P36" s="1481"/>
      <c r="Q36" s="1482">
        <v>290</v>
      </c>
      <c r="R36" s="1483"/>
      <c r="S36" s="1483"/>
      <c r="T36" s="1484"/>
      <c r="U36" s="1482" t="s">
        <v>45</v>
      </c>
      <c r="V36" s="1484"/>
      <c r="W36" s="1479" t="s">
        <v>1681</v>
      </c>
      <c r="X36" s="1480"/>
      <c r="Y36" s="1480"/>
      <c r="Z36" s="1480"/>
      <c r="AA36" s="1480"/>
      <c r="AB36" s="1480"/>
      <c r="AC36" s="1480"/>
      <c r="AD36" s="1480"/>
      <c r="AE36" s="1480"/>
      <c r="AF36" s="1481"/>
    </row>
    <row r="37" spans="1:32" ht="57.6" customHeight="1" x14ac:dyDescent="0.25">
      <c r="A37" s="1485" t="s">
        <v>29</v>
      </c>
      <c r="B37" s="1486"/>
      <c r="C37" s="1486"/>
      <c r="D37" s="1487"/>
      <c r="E37" s="1479" t="s">
        <v>104</v>
      </c>
      <c r="F37" s="1480"/>
      <c r="G37" s="1480"/>
      <c r="H37" s="1480"/>
      <c r="I37" s="1480"/>
      <c r="J37" s="1480"/>
      <c r="K37" s="1480"/>
      <c r="L37" s="1480"/>
      <c r="M37" s="1480"/>
      <c r="N37" s="1480"/>
      <c r="O37" s="1480"/>
      <c r="P37" s="1481"/>
      <c r="Q37" s="3143">
        <v>5.7000000000000002E-2</v>
      </c>
      <c r="R37" s="3144"/>
      <c r="S37" s="3144"/>
      <c r="T37" s="3145"/>
      <c r="U37" s="1482" t="s">
        <v>28</v>
      </c>
      <c r="V37" s="1484"/>
      <c r="W37" s="1479" t="s">
        <v>2285</v>
      </c>
      <c r="X37" s="1480"/>
      <c r="Y37" s="1480"/>
      <c r="Z37" s="1480"/>
      <c r="AA37" s="1480"/>
      <c r="AB37" s="1480"/>
      <c r="AC37" s="1480"/>
      <c r="AD37" s="1480"/>
      <c r="AE37" s="1480"/>
      <c r="AF37" s="1481"/>
    </row>
    <row r="38" spans="1:32" ht="28.9" customHeight="1" x14ac:dyDescent="0.25">
      <c r="A38" s="1485" t="s">
        <v>34</v>
      </c>
      <c r="B38" s="1486"/>
      <c r="C38" s="1486"/>
      <c r="D38" s="1487"/>
      <c r="E38" s="1479" t="s">
        <v>290</v>
      </c>
      <c r="F38" s="1480"/>
      <c r="G38" s="1480"/>
      <c r="H38" s="1480"/>
      <c r="I38" s="1480"/>
      <c r="J38" s="1480"/>
      <c r="K38" s="1480"/>
      <c r="L38" s="1480"/>
      <c r="M38" s="1480"/>
      <c r="N38" s="1480"/>
      <c r="O38" s="1480"/>
      <c r="P38" s="1481"/>
      <c r="Q38" s="1482">
        <f>'Master EUL'!X34</f>
        <v>14</v>
      </c>
      <c r="R38" s="1483"/>
      <c r="S38" s="1483"/>
      <c r="T38" s="1484"/>
      <c r="U38" s="1482" t="s">
        <v>46</v>
      </c>
      <c r="V38" s="1484"/>
      <c r="W38" s="1479" t="s">
        <v>1682</v>
      </c>
      <c r="X38" s="1480"/>
      <c r="Y38" s="1480"/>
      <c r="Z38" s="1480"/>
      <c r="AA38" s="1480"/>
      <c r="AB38" s="1480"/>
      <c r="AC38" s="1480"/>
      <c r="AD38" s="1480"/>
      <c r="AE38" s="1480"/>
      <c r="AF38" s="1481"/>
    </row>
    <row r="39" spans="1:32" x14ac:dyDescent="0.2">
      <c r="A39" s="146" t="s">
        <v>513</v>
      </c>
    </row>
    <row r="40" spans="1:32" x14ac:dyDescent="0.2">
      <c r="A40" s="146" t="s">
        <v>514</v>
      </c>
    </row>
    <row r="41" spans="1:32" x14ac:dyDescent="0.2">
      <c r="A41" s="146" t="s">
        <v>515</v>
      </c>
    </row>
    <row r="42" spans="1:32" x14ac:dyDescent="0.2">
      <c r="A42" s="146" t="s">
        <v>516</v>
      </c>
    </row>
    <row r="45" spans="1:32" x14ac:dyDescent="0.25">
      <c r="A45" s="1472" t="s">
        <v>21</v>
      </c>
      <c r="B45" s="1472"/>
      <c r="C45" s="1472"/>
      <c r="D45" s="1472"/>
      <c r="E45" s="1472"/>
      <c r="F45" s="1472"/>
      <c r="G45" s="1472"/>
      <c r="H45" s="1472"/>
      <c r="I45" s="1472"/>
      <c r="J45" s="1472"/>
      <c r="K45" s="1472"/>
      <c r="L45" s="1472"/>
      <c r="M45" s="1472"/>
      <c r="N45" s="1472"/>
      <c r="O45" s="1472"/>
      <c r="P45" s="1472"/>
      <c r="Q45" s="1472"/>
      <c r="R45" s="1472"/>
      <c r="S45" s="1472"/>
      <c r="T45" s="1472"/>
      <c r="U45" s="1472"/>
      <c r="V45" s="1472"/>
      <c r="W45" s="1472"/>
      <c r="X45" s="1472"/>
      <c r="Y45" s="1472"/>
      <c r="Z45" s="1472"/>
      <c r="AA45" s="1472"/>
      <c r="AB45" s="1472"/>
      <c r="AC45" s="1472"/>
      <c r="AD45" s="1472"/>
      <c r="AE45" s="1472"/>
      <c r="AF45" s="1472"/>
    </row>
    <row r="46" spans="1:32" ht="15.75" thickBot="1" x14ac:dyDescent="0.3"/>
    <row r="47" spans="1:32" x14ac:dyDescent="0.25">
      <c r="A47" s="1583" t="s">
        <v>22</v>
      </c>
      <c r="B47" s="1584"/>
      <c r="C47" s="1584"/>
      <c r="D47" s="1584"/>
      <c r="E47" s="1584"/>
      <c r="F47" s="1584"/>
      <c r="G47" s="1584"/>
      <c r="H47" s="1584"/>
      <c r="I47" s="1584" t="s">
        <v>23</v>
      </c>
      <c r="J47" s="1584"/>
      <c r="K47" s="1584"/>
      <c r="L47" s="1584"/>
      <c r="M47" s="1584"/>
      <c r="N47" s="1584"/>
      <c r="O47" s="1584"/>
      <c r="P47" s="1584"/>
      <c r="Q47" s="1584" t="s">
        <v>24</v>
      </c>
      <c r="R47" s="1584"/>
      <c r="S47" s="1584"/>
      <c r="T47" s="1584"/>
      <c r="U47" s="1584"/>
      <c r="V47" s="1584"/>
      <c r="W47" s="1584"/>
      <c r="X47" s="1585"/>
    </row>
    <row r="48" spans="1:32" ht="15.75" thickBot="1" x14ac:dyDescent="0.3">
      <c r="A48" s="1578" t="s">
        <v>498</v>
      </c>
      <c r="B48" s="1579"/>
      <c r="C48" s="1579"/>
      <c r="D48" s="1579"/>
      <c r="E48" s="1579"/>
      <c r="F48" s="1579"/>
      <c r="G48" s="1579"/>
      <c r="H48" s="1579"/>
      <c r="I48" s="1744">
        <f>ROUND((Q48/Q36)*Q37,3)</f>
        <v>3.3000000000000002E-2</v>
      </c>
      <c r="J48" s="1744"/>
      <c r="K48" s="1744"/>
      <c r="L48" s="1744"/>
      <c r="M48" s="1744"/>
      <c r="N48" s="1744"/>
      <c r="O48" s="1744"/>
      <c r="P48" s="1744"/>
      <c r="Q48" s="1745">
        <f>ROUND((Q32/Q33-Q32/Q34)*Q35,2)</f>
        <v>165.58</v>
      </c>
      <c r="R48" s="1745"/>
      <c r="S48" s="1745"/>
      <c r="T48" s="1745"/>
      <c r="U48" s="1745"/>
      <c r="V48" s="1745"/>
      <c r="W48" s="1745"/>
      <c r="X48" s="1746"/>
    </row>
  </sheetData>
  <sheetProtection algorithmName="SHA-512" hashValue="MvXp1jpgB5lJpp6Kqn3F1bdqDIhJOlXqgbVFG6EB2ETnSqZqVv2ULv3zO1NM7/g4Nep9iJ6I641hOW3lv2Qi5A==" saltValue="Cawk/8QS6vWDbEdTBBvVCQ==" spinCount="100000" sheet="1" objects="1" scenarios="1"/>
  <mergeCells count="76">
    <mergeCell ref="A1:AF1"/>
    <mergeCell ref="W38:AF38"/>
    <mergeCell ref="A33:D33"/>
    <mergeCell ref="E33:P33"/>
    <mergeCell ref="Q33:T33"/>
    <mergeCell ref="U33:V33"/>
    <mergeCell ref="W33:AF33"/>
    <mergeCell ref="A34:D34"/>
    <mergeCell ref="E34:P34"/>
    <mergeCell ref="Q36:T36"/>
    <mergeCell ref="U36:V36"/>
    <mergeCell ref="W36:AF36"/>
    <mergeCell ref="A37:D37"/>
    <mergeCell ref="E37:P37"/>
    <mergeCell ref="Q37:T37"/>
    <mergeCell ref="A35:D35"/>
    <mergeCell ref="W37:AF37"/>
    <mergeCell ref="W31:AF31"/>
    <mergeCell ref="A32:D32"/>
    <mergeCell ref="E32:P32"/>
    <mergeCell ref="Q32:T32"/>
    <mergeCell ref="U32:V32"/>
    <mergeCell ref="W32:AF32"/>
    <mergeCell ref="Q34:T34"/>
    <mergeCell ref="U34:V34"/>
    <mergeCell ref="W34:AF34"/>
    <mergeCell ref="A36:D36"/>
    <mergeCell ref="E36:P36"/>
    <mergeCell ref="Q35:T35"/>
    <mergeCell ref="U35:V35"/>
    <mergeCell ref="W35:AF35"/>
    <mergeCell ref="A31:D31"/>
    <mergeCell ref="E31:P31"/>
    <mergeCell ref="Q31:T31"/>
    <mergeCell ref="U31:V31"/>
    <mergeCell ref="A38:D38"/>
    <mergeCell ref="E38:P38"/>
    <mergeCell ref="U37:V37"/>
    <mergeCell ref="Q38:T38"/>
    <mergeCell ref="U38:V38"/>
    <mergeCell ref="E35:P35"/>
    <mergeCell ref="A48:H48"/>
    <mergeCell ref="I48:P48"/>
    <mergeCell ref="Q48:X48"/>
    <mergeCell ref="A45:AF45"/>
    <mergeCell ref="A47:H47"/>
    <mergeCell ref="I47:P47"/>
    <mergeCell ref="Q47:X47"/>
    <mergeCell ref="E30:P30"/>
    <mergeCell ref="Q30:T30"/>
    <mergeCell ref="U30:V30"/>
    <mergeCell ref="W30:AF30"/>
    <mergeCell ref="A25:G25"/>
    <mergeCell ref="H25:AF25"/>
    <mergeCell ref="A28:AF28"/>
    <mergeCell ref="A30:D30"/>
    <mergeCell ref="A29:D29"/>
    <mergeCell ref="E29:P29"/>
    <mergeCell ref="Q29:T29"/>
    <mergeCell ref="U29:V29"/>
    <mergeCell ref="W29:AF29"/>
    <mergeCell ref="B18:AF18"/>
    <mergeCell ref="A21:AF21"/>
    <mergeCell ref="A23:G23"/>
    <mergeCell ref="H23:AF23"/>
    <mergeCell ref="A24:G24"/>
    <mergeCell ref="H24:AF24"/>
    <mergeCell ref="B11:I11"/>
    <mergeCell ref="B12:AF12"/>
    <mergeCell ref="B14:I14"/>
    <mergeCell ref="B15:AF15"/>
    <mergeCell ref="A3:AF3"/>
    <mergeCell ref="B5:I5"/>
    <mergeCell ref="B6:AF6"/>
    <mergeCell ref="B8:I8"/>
    <mergeCell ref="B9:AF9"/>
  </mergeCells>
  <hyperlinks>
    <hyperlink ref="A2" location="TOC!A1" display="Return to TOC" xr:uid="{00000000-0004-0000-4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8">
    <tabColor theme="4" tint="0.79998168889431442"/>
    <pageSetUpPr autoPageBreaks="0"/>
  </sheetPr>
  <dimension ref="A1:AF260"/>
  <sheetViews>
    <sheetView workbookViewId="0">
      <selection sqref="A1:AF1"/>
    </sheetView>
  </sheetViews>
  <sheetFormatPr defaultColWidth="2.7109375" defaultRowHeight="15" x14ac:dyDescent="0.25"/>
  <cols>
    <col min="1" max="16384" width="2.7109375" style="1"/>
  </cols>
  <sheetData>
    <row r="1" spans="1:32" ht="18.75" x14ac:dyDescent="0.25">
      <c r="A1" s="1464" t="s">
        <v>2418</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8.75"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262"/>
      <c r="B5" s="1589" t="s">
        <v>4633</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2" x14ac:dyDescent="0.25">
      <c r="A6" s="376"/>
      <c r="B6"/>
      <c r="C6"/>
      <c r="D6"/>
      <c r="E6"/>
      <c r="F6"/>
      <c r="G6"/>
      <c r="H6"/>
      <c r="I6"/>
      <c r="J6"/>
      <c r="K6"/>
      <c r="L6"/>
      <c r="M6"/>
      <c r="N6"/>
      <c r="O6"/>
      <c r="P6"/>
      <c r="Q6"/>
      <c r="R6"/>
      <c r="S6"/>
      <c r="T6"/>
      <c r="U6"/>
      <c r="V6"/>
      <c r="W6"/>
      <c r="X6"/>
      <c r="Y6"/>
      <c r="Z6"/>
      <c r="AA6"/>
      <c r="AB6"/>
      <c r="AC6"/>
      <c r="AD6"/>
      <c r="AE6"/>
      <c r="AF6"/>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25">
      <c r="B9" s="1475" t="s">
        <v>10</v>
      </c>
      <c r="C9" s="1475"/>
      <c r="D9" s="1475"/>
      <c r="E9" s="1475"/>
      <c r="F9" s="1475"/>
      <c r="G9" s="1475"/>
      <c r="H9" s="1475"/>
      <c r="I9" s="1475"/>
    </row>
    <row r="10" spans="1:32" ht="47.25" customHeight="1" x14ac:dyDescent="0.25">
      <c r="A10" s="4"/>
      <c r="B10" s="1151" t="s">
        <v>3040</v>
      </c>
      <c r="C10" s="1151"/>
      <c r="D10" s="1151"/>
      <c r="E10" s="1151"/>
      <c r="F10" s="1151"/>
      <c r="G10" s="1151"/>
      <c r="H10" s="1151"/>
      <c r="I10" s="1151"/>
      <c r="J10" s="1151"/>
      <c r="K10" s="1151"/>
      <c r="L10" s="1151"/>
      <c r="M10" s="1151"/>
      <c r="N10" s="1151"/>
      <c r="O10" s="1151"/>
      <c r="P10" s="1151"/>
      <c r="Q10" s="1151"/>
      <c r="R10" s="1151"/>
      <c r="S10" s="1151"/>
      <c r="T10" s="1151"/>
      <c r="U10" s="1151"/>
      <c r="V10" s="1151"/>
      <c r="W10" s="1151"/>
      <c r="X10" s="1151"/>
      <c r="Y10" s="1151"/>
      <c r="Z10" s="1151"/>
      <c r="AA10" s="1151"/>
      <c r="AB10" s="1151"/>
      <c r="AC10" s="1151"/>
      <c r="AD10" s="1151"/>
      <c r="AE10" s="1151"/>
      <c r="AF10" s="1151"/>
    </row>
    <row r="12" spans="1:32" x14ac:dyDescent="0.25">
      <c r="B12" s="1475" t="s">
        <v>11</v>
      </c>
      <c r="C12" s="1475"/>
      <c r="D12" s="1475"/>
      <c r="E12" s="1475"/>
      <c r="F12" s="1475"/>
      <c r="G12" s="1475"/>
      <c r="H12" s="1475"/>
      <c r="I12" s="1475"/>
    </row>
    <row r="13" spans="1:32" x14ac:dyDescent="0.25">
      <c r="B13" s="1473" t="s">
        <v>3200</v>
      </c>
      <c r="C13" s="1473"/>
      <c r="D13" s="1473"/>
      <c r="E13" s="1473"/>
      <c r="F13" s="1473"/>
      <c r="G13" s="1473"/>
      <c r="H13" s="1473"/>
      <c r="I13" s="1473"/>
      <c r="J13" s="1473"/>
      <c r="K13" s="1473"/>
      <c r="L13" s="1473"/>
      <c r="M13" s="1473"/>
      <c r="N13" s="1473"/>
      <c r="O13" s="1473"/>
      <c r="P13" s="1473"/>
      <c r="Q13" s="1473"/>
      <c r="R13" s="1473"/>
      <c r="S13" s="1473"/>
      <c r="T13" s="1473"/>
      <c r="U13" s="1473"/>
      <c r="V13" s="1473"/>
      <c r="W13" s="1473"/>
      <c r="X13" s="1473"/>
      <c r="Y13" s="1473"/>
      <c r="Z13" s="1473"/>
      <c r="AA13" s="1473"/>
      <c r="AB13" s="1473"/>
      <c r="AC13" s="1473"/>
      <c r="AD13" s="1473"/>
      <c r="AE13" s="1473"/>
      <c r="AF13" s="1473"/>
    </row>
    <row r="15" spans="1:32" x14ac:dyDescent="0.25">
      <c r="B15" s="1475" t="s">
        <v>12</v>
      </c>
      <c r="C15" s="1475"/>
      <c r="D15" s="1475"/>
      <c r="E15" s="1475"/>
      <c r="F15" s="1475"/>
      <c r="G15" s="1475"/>
      <c r="H15" s="1475"/>
      <c r="I15" s="1475"/>
    </row>
    <row r="16" spans="1:32" x14ac:dyDescent="0.25">
      <c r="B16" s="1473" t="s">
        <v>3201</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row>
    <row r="18" spans="1:32" x14ac:dyDescent="0.25">
      <c r="B18" s="1475" t="s">
        <v>13</v>
      </c>
      <c r="C18" s="1475"/>
      <c r="D18" s="1475"/>
      <c r="E18" s="1475"/>
      <c r="F18" s="1475"/>
      <c r="G18" s="1475"/>
      <c r="H18" s="1475"/>
      <c r="I18" s="1475"/>
    </row>
    <row r="19" spans="1:32" ht="47.25" customHeight="1" x14ac:dyDescent="0.25">
      <c r="A19" s="4"/>
      <c r="B19" s="1247" t="s">
        <v>3118</v>
      </c>
      <c r="C19" s="1247"/>
      <c r="D19" s="1247"/>
      <c r="E19" s="1247"/>
      <c r="F19" s="1247"/>
      <c r="G19" s="1247"/>
      <c r="H19" s="1247"/>
      <c r="I19" s="1247"/>
      <c r="J19" s="1247"/>
      <c r="K19" s="1247"/>
      <c r="L19" s="1247"/>
      <c r="M19" s="1247"/>
      <c r="N19" s="1247"/>
      <c r="O19" s="1247"/>
      <c r="P19" s="1247"/>
      <c r="Q19" s="1247"/>
      <c r="R19" s="1247"/>
      <c r="S19" s="1247"/>
      <c r="T19" s="1247"/>
      <c r="U19" s="1247"/>
      <c r="V19" s="1247"/>
      <c r="W19" s="1247"/>
      <c r="X19" s="1247"/>
      <c r="Y19" s="1247"/>
      <c r="Z19" s="1247"/>
      <c r="AA19" s="1247"/>
      <c r="AB19" s="1247"/>
      <c r="AC19" s="1247"/>
      <c r="AD19" s="1247"/>
      <c r="AE19" s="1247"/>
      <c r="AF19" s="1247"/>
    </row>
    <row r="21" spans="1:32" x14ac:dyDescent="0.25">
      <c r="B21" s="171" t="s">
        <v>20</v>
      </c>
      <c r="C21" s="171"/>
      <c r="D21" s="171"/>
      <c r="E21" s="171"/>
      <c r="F21" s="171"/>
      <c r="G21" s="171"/>
      <c r="H21" s="171"/>
      <c r="I21" s="171"/>
    </row>
    <row r="22" spans="1:32" ht="46.5" customHeight="1" x14ac:dyDescent="0.25">
      <c r="B22" s="1247" t="s">
        <v>3119</v>
      </c>
      <c r="C22" s="1476"/>
      <c r="D22" s="1476"/>
      <c r="E22" s="1476"/>
      <c r="F22" s="1476"/>
      <c r="G22" s="1476"/>
      <c r="H22" s="1476"/>
      <c r="I22" s="1476"/>
      <c r="J22" s="1476"/>
      <c r="K22" s="1476"/>
      <c r="L22" s="1476"/>
      <c r="M22" s="1476"/>
      <c r="N22" s="1476"/>
      <c r="O22" s="1476"/>
      <c r="P22" s="1476"/>
      <c r="Q22" s="1476"/>
      <c r="R22" s="1476"/>
      <c r="S22" s="1476"/>
      <c r="T22" s="1476"/>
      <c r="U22" s="1476"/>
      <c r="V22" s="1476"/>
      <c r="W22" s="1476"/>
      <c r="X22" s="1476"/>
      <c r="Y22" s="1476"/>
      <c r="Z22" s="1476"/>
      <c r="AA22" s="1476"/>
      <c r="AB22" s="1476"/>
      <c r="AC22" s="1476"/>
      <c r="AD22" s="1476"/>
      <c r="AE22" s="1476"/>
      <c r="AF22" s="1476"/>
    </row>
    <row r="24" spans="1:32" x14ac:dyDescent="0.25">
      <c r="A24" s="1472" t="s">
        <v>14</v>
      </c>
      <c r="B24" s="1472"/>
      <c r="C24" s="1472"/>
      <c r="D24" s="1472"/>
      <c r="E24" s="1472"/>
      <c r="F24" s="1472"/>
      <c r="G24" s="1472"/>
      <c r="H24" s="1472"/>
      <c r="I24" s="1472"/>
      <c r="J24" s="1472"/>
      <c r="K24" s="1472"/>
      <c r="L24" s="1472"/>
      <c r="M24" s="1472"/>
      <c r="N24" s="1472"/>
      <c r="O24" s="1472"/>
      <c r="P24" s="1472"/>
      <c r="Q24" s="1472"/>
      <c r="R24" s="1472"/>
      <c r="S24" s="1472"/>
      <c r="T24" s="1472"/>
      <c r="U24" s="1472"/>
      <c r="V24" s="1472"/>
      <c r="W24" s="1472"/>
      <c r="X24" s="1472"/>
      <c r="Y24" s="1472"/>
      <c r="Z24" s="1472"/>
      <c r="AA24" s="1472"/>
      <c r="AB24" s="1472"/>
      <c r="AC24" s="1472"/>
      <c r="AD24" s="1472"/>
      <c r="AE24" s="1472"/>
      <c r="AF24" s="1472"/>
    </row>
    <row r="26" spans="1:32" ht="47.25" customHeight="1" x14ac:dyDescent="0.25">
      <c r="B26" s="1247" t="s">
        <v>3120</v>
      </c>
      <c r="C26" s="1247"/>
      <c r="D26" s="1247"/>
      <c r="E26" s="1247"/>
      <c r="F26" s="1247"/>
      <c r="G26" s="1247"/>
      <c r="H26" s="1247"/>
      <c r="I26" s="1247"/>
      <c r="J26" s="1247"/>
      <c r="K26" s="1247"/>
      <c r="L26" s="1247"/>
      <c r="M26" s="1247"/>
      <c r="N26" s="1247"/>
      <c r="O26" s="1247"/>
      <c r="P26" s="1247"/>
      <c r="Q26" s="1247"/>
      <c r="R26" s="1247"/>
      <c r="S26" s="1247"/>
      <c r="T26" s="1247"/>
      <c r="U26" s="1247"/>
      <c r="V26" s="1247"/>
      <c r="W26" s="1247"/>
      <c r="X26" s="1247"/>
      <c r="Y26" s="1247"/>
      <c r="Z26" s="1247"/>
      <c r="AA26" s="1247"/>
      <c r="AB26" s="1247"/>
      <c r="AC26" s="1247"/>
      <c r="AD26" s="1247"/>
      <c r="AE26" s="1247"/>
      <c r="AF26" s="1247"/>
    </row>
    <row r="28" spans="1:32" x14ac:dyDescent="0.25">
      <c r="B28" s="171" t="s">
        <v>2702</v>
      </c>
    </row>
    <row r="30" spans="1:32" x14ac:dyDescent="0.25">
      <c r="AF30" s="471" t="s">
        <v>1705</v>
      </c>
    </row>
    <row r="31" spans="1:32" x14ac:dyDescent="0.25">
      <c r="AF31" s="188"/>
    </row>
    <row r="32" spans="1:32" x14ac:dyDescent="0.25">
      <c r="B32" s="171" t="s">
        <v>2703</v>
      </c>
      <c r="AF32" s="188"/>
    </row>
    <row r="33" spans="2:32" x14ac:dyDescent="0.25">
      <c r="AF33" s="188"/>
    </row>
    <row r="34" spans="2:32" x14ac:dyDescent="0.25">
      <c r="AF34" s="471" t="s">
        <v>1706</v>
      </c>
    </row>
    <row r="35" spans="2:32" x14ac:dyDescent="0.25">
      <c r="AF35" s="188"/>
    </row>
    <row r="36" spans="2:32" x14ac:dyDescent="0.25">
      <c r="B36" s="171" t="s">
        <v>2419</v>
      </c>
      <c r="AF36" s="188"/>
    </row>
    <row r="37" spans="2:32" x14ac:dyDescent="0.25">
      <c r="AF37" s="188"/>
    </row>
    <row r="38" spans="2:32" x14ac:dyDescent="0.25">
      <c r="AF38" s="471" t="s">
        <v>1707</v>
      </c>
    </row>
    <row r="39" spans="2:32" x14ac:dyDescent="0.25">
      <c r="AF39" s="188"/>
    </row>
    <row r="40" spans="2:32" x14ac:dyDescent="0.25">
      <c r="B40" s="171" t="s">
        <v>2420</v>
      </c>
      <c r="AF40" s="188"/>
    </row>
    <row r="41" spans="2:32" x14ac:dyDescent="0.25">
      <c r="AF41" s="188"/>
    </row>
    <row r="42" spans="2:32" x14ac:dyDescent="0.25">
      <c r="AF42" s="471" t="s">
        <v>1756</v>
      </c>
    </row>
    <row r="43" spans="2:32" x14ac:dyDescent="0.25">
      <c r="AF43" s="188"/>
    </row>
    <row r="44" spans="2:32" x14ac:dyDescent="0.25">
      <c r="B44" s="171" t="s">
        <v>2423</v>
      </c>
      <c r="AF44" s="188"/>
    </row>
    <row r="45" spans="2:32" x14ac:dyDescent="0.25">
      <c r="AF45" s="188"/>
    </row>
    <row r="46" spans="2:32" x14ac:dyDescent="0.25">
      <c r="AF46" s="471" t="s">
        <v>1788</v>
      </c>
    </row>
    <row r="47" spans="2:32" x14ac:dyDescent="0.25">
      <c r="AF47" s="188"/>
    </row>
    <row r="48" spans="2:32" x14ac:dyDescent="0.25">
      <c r="B48" s="171" t="s">
        <v>3748</v>
      </c>
      <c r="AF48" s="188"/>
    </row>
    <row r="49" spans="2:32" x14ac:dyDescent="0.25">
      <c r="AF49" s="188"/>
    </row>
    <row r="50" spans="2:32" x14ac:dyDescent="0.25">
      <c r="AF50" s="471" t="s">
        <v>1789</v>
      </c>
    </row>
    <row r="51" spans="2:32" x14ac:dyDescent="0.25">
      <c r="AF51" s="188"/>
    </row>
    <row r="52" spans="2:32" x14ac:dyDescent="0.25">
      <c r="B52" s="171" t="s">
        <v>2421</v>
      </c>
      <c r="AF52" s="188"/>
    </row>
    <row r="53" spans="2:32" x14ac:dyDescent="0.25">
      <c r="AF53" s="188"/>
    </row>
    <row r="54" spans="2:32" x14ac:dyDescent="0.25">
      <c r="AF54" s="471" t="s">
        <v>1826</v>
      </c>
    </row>
    <row r="55" spans="2:32" x14ac:dyDescent="0.25">
      <c r="AF55" s="188"/>
    </row>
    <row r="56" spans="2:32" x14ac:dyDescent="0.25">
      <c r="B56" s="171" t="s">
        <v>2424</v>
      </c>
      <c r="AF56" s="188"/>
    </row>
    <row r="57" spans="2:32" x14ac:dyDescent="0.25">
      <c r="AF57" s="188"/>
    </row>
    <row r="58" spans="2:32" x14ac:dyDescent="0.25">
      <c r="AF58" s="471" t="s">
        <v>1827</v>
      </c>
    </row>
    <row r="59" spans="2:32" x14ac:dyDescent="0.25">
      <c r="AF59" s="188"/>
    </row>
    <row r="60" spans="2:32" x14ac:dyDescent="0.25">
      <c r="B60" s="171" t="s">
        <v>3749</v>
      </c>
      <c r="AF60" s="188"/>
    </row>
    <row r="61" spans="2:32" x14ac:dyDescent="0.25">
      <c r="AF61" s="188"/>
    </row>
    <row r="62" spans="2:32" x14ac:dyDescent="0.25">
      <c r="AF62" s="471" t="s">
        <v>2116</v>
      </c>
    </row>
    <row r="63" spans="2:32" x14ac:dyDescent="0.25">
      <c r="AF63" s="188"/>
    </row>
    <row r="64" spans="2:32" x14ac:dyDescent="0.25">
      <c r="B64" s="171" t="s">
        <v>2422</v>
      </c>
      <c r="AF64" s="188"/>
    </row>
    <row r="65" spans="1:32" x14ac:dyDescent="0.25">
      <c r="AF65" s="188"/>
    </row>
    <row r="66" spans="1:32" x14ac:dyDescent="0.25">
      <c r="AF66" s="471" t="s">
        <v>2118</v>
      </c>
    </row>
    <row r="67" spans="1:32" x14ac:dyDescent="0.25">
      <c r="AF67" s="188"/>
    </row>
    <row r="68" spans="1:32" x14ac:dyDescent="0.25">
      <c r="A68" s="262"/>
      <c r="B68" s="171" t="s">
        <v>2425</v>
      </c>
      <c r="AF68" s="188"/>
    </row>
    <row r="69" spans="1:32" x14ac:dyDescent="0.25">
      <c r="A69" s="262"/>
      <c r="B69" s="262"/>
      <c r="AF69" s="188"/>
    </row>
    <row r="70" spans="1:32" x14ac:dyDescent="0.25">
      <c r="A70" s="262"/>
      <c r="B70" s="262"/>
      <c r="AF70" s="471" t="s">
        <v>2119</v>
      </c>
    </row>
    <row r="72" spans="1:32" x14ac:dyDescent="0.25">
      <c r="A72" s="1472" t="s">
        <v>15</v>
      </c>
      <c r="B72" s="1472"/>
      <c r="C72" s="1472"/>
      <c r="D72" s="1472"/>
      <c r="E72" s="1472"/>
      <c r="F72" s="1472"/>
      <c r="G72" s="1472"/>
      <c r="H72" s="1472"/>
      <c r="I72" s="1472"/>
      <c r="J72" s="1472"/>
      <c r="K72" s="1472"/>
      <c r="L72" s="1472"/>
      <c r="M72" s="1472"/>
      <c r="N72" s="1472"/>
      <c r="O72" s="1472"/>
      <c r="P72" s="1472"/>
      <c r="Q72" s="1472"/>
      <c r="R72" s="1472"/>
      <c r="S72" s="1472"/>
      <c r="T72" s="1472"/>
      <c r="U72" s="1472"/>
      <c r="V72" s="1472"/>
      <c r="W72" s="1472"/>
      <c r="X72" s="1472"/>
      <c r="Y72" s="1472"/>
      <c r="Z72" s="1472"/>
      <c r="AA72" s="1472"/>
      <c r="AB72" s="1472"/>
      <c r="AC72" s="1472"/>
      <c r="AD72" s="1472"/>
      <c r="AE72" s="1472"/>
      <c r="AF72" s="1472"/>
    </row>
    <row r="73" spans="1:32" x14ac:dyDescent="0.25">
      <c r="A73" s="1474" t="s">
        <v>16</v>
      </c>
      <c r="B73" s="1474"/>
      <c r="C73" s="1474"/>
      <c r="D73" s="1474"/>
      <c r="E73" s="1474" t="s">
        <v>10</v>
      </c>
      <c r="F73" s="1474"/>
      <c r="G73" s="1474"/>
      <c r="H73" s="1474"/>
      <c r="I73" s="1474"/>
      <c r="J73" s="1474"/>
      <c r="K73" s="1474"/>
      <c r="L73" s="1474"/>
      <c r="M73" s="1474"/>
      <c r="N73" s="1474"/>
      <c r="O73" s="1474"/>
      <c r="P73" s="1474"/>
      <c r="Q73" s="1474" t="s">
        <v>17</v>
      </c>
      <c r="R73" s="1474"/>
      <c r="S73" s="1474"/>
      <c r="T73" s="1474"/>
      <c r="U73" s="1474" t="s">
        <v>18</v>
      </c>
      <c r="V73" s="1474"/>
      <c r="W73" s="1474" t="s">
        <v>1708</v>
      </c>
      <c r="X73" s="1474"/>
      <c r="Y73" s="1474"/>
      <c r="Z73" s="1474"/>
      <c r="AA73" s="1474"/>
      <c r="AB73" s="1474"/>
      <c r="AC73" s="1474"/>
      <c r="AD73" s="1474"/>
      <c r="AE73" s="1474"/>
      <c r="AF73" s="1474"/>
    </row>
    <row r="74" spans="1:32" ht="30" customHeight="1" x14ac:dyDescent="0.25">
      <c r="A74" s="1479" t="s">
        <v>2442</v>
      </c>
      <c r="B74" s="1480"/>
      <c r="C74" s="1480"/>
      <c r="D74" s="1481"/>
      <c r="E74" s="1479" t="s">
        <v>2859</v>
      </c>
      <c r="F74" s="1480"/>
      <c r="G74" s="1480"/>
      <c r="H74" s="1480"/>
      <c r="I74" s="1480"/>
      <c r="J74" s="1480"/>
      <c r="K74" s="1480"/>
      <c r="L74" s="1480"/>
      <c r="M74" s="1480"/>
      <c r="N74" s="1480"/>
      <c r="O74" s="1480"/>
      <c r="P74" s="1481"/>
      <c r="Q74" s="1482" t="s">
        <v>2852</v>
      </c>
      <c r="R74" s="1483"/>
      <c r="S74" s="1483"/>
      <c r="T74" s="1484"/>
      <c r="U74" s="1482" t="s">
        <v>2436</v>
      </c>
      <c r="V74" s="1484"/>
      <c r="W74" s="1479" t="s">
        <v>2446</v>
      </c>
      <c r="X74" s="1480"/>
      <c r="Y74" s="1480"/>
      <c r="Z74" s="1480"/>
      <c r="AA74" s="1480"/>
      <c r="AB74" s="1480"/>
      <c r="AC74" s="1480"/>
      <c r="AD74" s="1480"/>
      <c r="AE74" s="1480"/>
      <c r="AF74" s="1481"/>
    </row>
    <row r="75" spans="1:32" ht="30" customHeight="1" x14ac:dyDescent="0.25">
      <c r="A75" s="1479" t="s">
        <v>2441</v>
      </c>
      <c r="B75" s="1480"/>
      <c r="C75" s="1480"/>
      <c r="D75" s="1481"/>
      <c r="E75" s="1479" t="s">
        <v>2860</v>
      </c>
      <c r="F75" s="1480"/>
      <c r="G75" s="1480"/>
      <c r="H75" s="1480"/>
      <c r="I75" s="1480"/>
      <c r="J75" s="1480"/>
      <c r="K75" s="1480"/>
      <c r="L75" s="1480"/>
      <c r="M75" s="1480"/>
      <c r="N75" s="1480"/>
      <c r="O75" s="1480"/>
      <c r="P75" s="1481"/>
      <c r="Q75" s="1482" t="s">
        <v>2440</v>
      </c>
      <c r="R75" s="1483"/>
      <c r="S75" s="1483"/>
      <c r="T75" s="1484"/>
      <c r="U75" s="1482" t="s">
        <v>2436</v>
      </c>
      <c r="V75" s="1484"/>
      <c r="W75" s="1479" t="s">
        <v>2853</v>
      </c>
      <c r="X75" s="1480"/>
      <c r="Y75" s="1480"/>
      <c r="Z75" s="1480"/>
      <c r="AA75" s="1480"/>
      <c r="AB75" s="1480"/>
      <c r="AC75" s="1480"/>
      <c r="AD75" s="1480"/>
      <c r="AE75" s="1480"/>
      <c r="AF75" s="1481"/>
    </row>
    <row r="76" spans="1:32" ht="30" customHeight="1" x14ac:dyDescent="0.25">
      <c r="A76" s="1479" t="s">
        <v>2434</v>
      </c>
      <c r="B76" s="1480"/>
      <c r="C76" s="1480"/>
      <c r="D76" s="1481"/>
      <c r="E76" s="1479" t="s">
        <v>2437</v>
      </c>
      <c r="F76" s="1480"/>
      <c r="G76" s="1480"/>
      <c r="H76" s="1480"/>
      <c r="I76" s="1480"/>
      <c r="J76" s="1480"/>
      <c r="K76" s="1480"/>
      <c r="L76" s="1480"/>
      <c r="M76" s="1480"/>
      <c r="N76" s="1480"/>
      <c r="O76" s="1480"/>
      <c r="P76" s="1481"/>
      <c r="Q76" s="1482" t="s">
        <v>2439</v>
      </c>
      <c r="R76" s="1483"/>
      <c r="S76" s="1483"/>
      <c r="T76" s="1484"/>
      <c r="U76" s="1482" t="s">
        <v>2436</v>
      </c>
      <c r="V76" s="1484"/>
      <c r="W76" s="1479" t="s">
        <v>2444</v>
      </c>
      <c r="X76" s="1480"/>
      <c r="Y76" s="1480"/>
      <c r="Z76" s="1480"/>
      <c r="AA76" s="1480"/>
      <c r="AB76" s="1480"/>
      <c r="AC76" s="1480"/>
      <c r="AD76" s="1480"/>
      <c r="AE76" s="1480"/>
      <c r="AF76" s="1481"/>
    </row>
    <row r="77" spans="1:32" ht="30" customHeight="1" x14ac:dyDescent="0.25">
      <c r="A77" s="1479" t="s">
        <v>2435</v>
      </c>
      <c r="B77" s="1480"/>
      <c r="C77" s="1480"/>
      <c r="D77" s="1481"/>
      <c r="E77" s="1479" t="s">
        <v>2438</v>
      </c>
      <c r="F77" s="1480"/>
      <c r="G77" s="1480"/>
      <c r="H77" s="1480"/>
      <c r="I77" s="1480"/>
      <c r="J77" s="1480"/>
      <c r="K77" s="1480"/>
      <c r="L77" s="1480"/>
      <c r="M77" s="1480"/>
      <c r="N77" s="1480"/>
      <c r="O77" s="1480"/>
      <c r="P77" s="1481"/>
      <c r="Q77" s="1482" t="s">
        <v>2439</v>
      </c>
      <c r="R77" s="1483"/>
      <c r="S77" s="1483"/>
      <c r="T77" s="1484"/>
      <c r="U77" s="1482" t="s">
        <v>2436</v>
      </c>
      <c r="V77" s="1484"/>
      <c r="W77" s="1479" t="s">
        <v>2443</v>
      </c>
      <c r="X77" s="1480"/>
      <c r="Y77" s="1480"/>
      <c r="Z77" s="1480"/>
      <c r="AA77" s="1480"/>
      <c r="AB77" s="1480"/>
      <c r="AC77" s="1480"/>
      <c r="AD77" s="1480"/>
      <c r="AE77" s="1480"/>
      <c r="AF77" s="1481"/>
    </row>
    <row r="78" spans="1:32" ht="30" customHeight="1" x14ac:dyDescent="0.25">
      <c r="A78" s="1485" t="s">
        <v>2431</v>
      </c>
      <c r="B78" s="1486"/>
      <c r="C78" s="1486"/>
      <c r="D78" s="1487"/>
      <c r="E78" s="1479" t="s">
        <v>2447</v>
      </c>
      <c r="F78" s="1480"/>
      <c r="G78" s="1480"/>
      <c r="H78" s="1480"/>
      <c r="I78" s="1480"/>
      <c r="J78" s="1480"/>
      <c r="K78" s="1480"/>
      <c r="L78" s="1480"/>
      <c r="M78" s="1480"/>
      <c r="N78" s="1480"/>
      <c r="O78" s="1480"/>
      <c r="P78" s="1481"/>
      <c r="Q78" s="1482" t="s">
        <v>2432</v>
      </c>
      <c r="R78" s="1483"/>
      <c r="S78" s="1483"/>
      <c r="T78" s="1484"/>
      <c r="U78" s="1482" t="s">
        <v>44</v>
      </c>
      <c r="V78" s="1484"/>
      <c r="W78" s="1479" t="s">
        <v>3121</v>
      </c>
      <c r="X78" s="1480"/>
      <c r="Y78" s="1480"/>
      <c r="Z78" s="1480"/>
      <c r="AA78" s="1480"/>
      <c r="AB78" s="1480"/>
      <c r="AC78" s="1480"/>
      <c r="AD78" s="1480"/>
      <c r="AE78" s="1480"/>
      <c r="AF78" s="1481"/>
    </row>
    <row r="79" spans="1:32" ht="30" customHeight="1" x14ac:dyDescent="0.25">
      <c r="A79" s="1485" t="s">
        <v>2430</v>
      </c>
      <c r="B79" s="1486"/>
      <c r="C79" s="1486"/>
      <c r="D79" s="1487"/>
      <c r="E79" s="1479" t="s">
        <v>2448</v>
      </c>
      <c r="F79" s="1480"/>
      <c r="G79" s="1480"/>
      <c r="H79" s="1480"/>
      <c r="I79" s="1480"/>
      <c r="J79" s="1480"/>
      <c r="K79" s="1480"/>
      <c r="L79" s="1480"/>
      <c r="M79" s="1480"/>
      <c r="N79" s="1480"/>
      <c r="O79" s="1480"/>
      <c r="P79" s="1481"/>
      <c r="Q79" s="1482" t="s">
        <v>2432</v>
      </c>
      <c r="R79" s="1483"/>
      <c r="S79" s="1483"/>
      <c r="T79" s="1484"/>
      <c r="U79" s="1482" t="s">
        <v>44</v>
      </c>
      <c r="V79" s="1484"/>
      <c r="W79" s="1479" t="s">
        <v>2445</v>
      </c>
      <c r="X79" s="1480"/>
      <c r="Y79" s="1480"/>
      <c r="Z79" s="1480"/>
      <c r="AA79" s="1480"/>
      <c r="AB79" s="1480"/>
      <c r="AC79" s="1480"/>
      <c r="AD79" s="1480"/>
      <c r="AE79" s="1480"/>
      <c r="AF79" s="1481"/>
    </row>
    <row r="80" spans="1:32" ht="30" customHeight="1" x14ac:dyDescent="0.25">
      <c r="A80" s="1488" t="s">
        <v>3850</v>
      </c>
      <c r="B80" s="1489"/>
      <c r="C80" s="1489"/>
      <c r="D80" s="1490"/>
      <c r="E80" s="1494" t="s">
        <v>3843</v>
      </c>
      <c r="F80" s="1495"/>
      <c r="G80" s="1495"/>
      <c r="H80" s="1495"/>
      <c r="I80" s="1495"/>
      <c r="J80" s="1495"/>
      <c r="K80" s="1495"/>
      <c r="L80" s="1495"/>
      <c r="M80" s="1495"/>
      <c r="N80" s="1495"/>
      <c r="O80" s="1495"/>
      <c r="P80" s="1496"/>
      <c r="Q80" s="1497">
        <v>758</v>
      </c>
      <c r="R80" s="1498"/>
      <c r="S80" s="1498"/>
      <c r="T80" s="1499"/>
      <c r="U80" s="1497" t="s">
        <v>44</v>
      </c>
      <c r="V80" s="1499"/>
      <c r="W80" s="1494" t="s">
        <v>3851</v>
      </c>
      <c r="X80" s="1495"/>
      <c r="Y80" s="1495"/>
      <c r="Z80" s="1495"/>
      <c r="AA80" s="1495"/>
      <c r="AB80" s="1495"/>
      <c r="AC80" s="1495"/>
      <c r="AD80" s="1495"/>
      <c r="AE80" s="1495"/>
      <c r="AF80" s="1496"/>
    </row>
    <row r="81" spans="1:32" ht="30" customHeight="1" x14ac:dyDescent="0.25">
      <c r="A81" s="1491"/>
      <c r="B81" s="1492"/>
      <c r="C81" s="1492"/>
      <c r="D81" s="1493"/>
      <c r="E81" s="1494" t="s">
        <v>3844</v>
      </c>
      <c r="F81" s="1495"/>
      <c r="G81" s="1495"/>
      <c r="H81" s="1495"/>
      <c r="I81" s="1495"/>
      <c r="J81" s="1495"/>
      <c r="K81" s="1495"/>
      <c r="L81" s="1495"/>
      <c r="M81" s="1495"/>
      <c r="N81" s="1495"/>
      <c r="O81" s="1495"/>
      <c r="P81" s="1496"/>
      <c r="Q81" s="1497">
        <v>574</v>
      </c>
      <c r="R81" s="1498"/>
      <c r="S81" s="1498"/>
      <c r="T81" s="1499"/>
      <c r="U81" s="1497" t="s">
        <v>44</v>
      </c>
      <c r="V81" s="1499"/>
      <c r="W81" s="1494" t="s">
        <v>3851</v>
      </c>
      <c r="X81" s="1495"/>
      <c r="Y81" s="1495"/>
      <c r="Z81" s="1495"/>
      <c r="AA81" s="1495"/>
      <c r="AB81" s="1495"/>
      <c r="AC81" s="1495"/>
      <c r="AD81" s="1495"/>
      <c r="AE81" s="1495"/>
      <c r="AF81" s="1496"/>
    </row>
    <row r="82" spans="1:32" ht="30" customHeight="1" x14ac:dyDescent="0.25">
      <c r="A82" s="1485" t="s">
        <v>42</v>
      </c>
      <c r="B82" s="1486"/>
      <c r="C82" s="1486"/>
      <c r="D82" s="1487"/>
      <c r="E82" s="1479" t="s">
        <v>865</v>
      </c>
      <c r="F82" s="1480"/>
      <c r="G82" s="1480"/>
      <c r="H82" s="1480"/>
      <c r="I82" s="1480"/>
      <c r="J82" s="1480"/>
      <c r="K82" s="1480"/>
      <c r="L82" s="1480"/>
      <c r="M82" s="1480"/>
      <c r="N82" s="1480"/>
      <c r="O82" s="1480"/>
      <c r="P82" s="1481"/>
      <c r="Q82" s="1500">
        <v>1</v>
      </c>
      <c r="R82" s="1501"/>
      <c r="S82" s="1501"/>
      <c r="T82" s="1502"/>
      <c r="U82" s="1482" t="s">
        <v>28</v>
      </c>
      <c r="V82" s="1484"/>
      <c r="W82" s="1479" t="s">
        <v>2854</v>
      </c>
      <c r="X82" s="1480"/>
      <c r="Y82" s="1480"/>
      <c r="Z82" s="1480"/>
      <c r="AA82" s="1480"/>
      <c r="AB82" s="1480"/>
      <c r="AC82" s="1480"/>
      <c r="AD82" s="1480"/>
      <c r="AE82" s="1480"/>
      <c r="AF82" s="1481"/>
    </row>
    <row r="83" spans="1:32" ht="30" customHeight="1" x14ac:dyDescent="0.25">
      <c r="A83" s="1485" t="s">
        <v>32</v>
      </c>
      <c r="B83" s="1486"/>
      <c r="C83" s="1486"/>
      <c r="D83" s="1487"/>
      <c r="E83" s="1479" t="s">
        <v>163</v>
      </c>
      <c r="F83" s="1480"/>
      <c r="G83" s="1480"/>
      <c r="H83" s="1480"/>
      <c r="I83" s="1480"/>
      <c r="J83" s="1480"/>
      <c r="K83" s="1480"/>
      <c r="L83" s="1480"/>
      <c r="M83" s="1480"/>
      <c r="N83" s="1480"/>
      <c r="O83" s="1480"/>
      <c r="P83" s="1481"/>
      <c r="Q83" s="1482">
        <v>8760</v>
      </c>
      <c r="R83" s="1483"/>
      <c r="S83" s="1483"/>
      <c r="T83" s="1484"/>
      <c r="U83" s="1482" t="s">
        <v>45</v>
      </c>
      <c r="V83" s="1484"/>
      <c r="W83" s="1503" t="s">
        <v>2433</v>
      </c>
      <c r="X83" s="1504"/>
      <c r="Y83" s="1504"/>
      <c r="Z83" s="1504"/>
      <c r="AA83" s="1504"/>
      <c r="AB83" s="1504"/>
      <c r="AC83" s="1504"/>
      <c r="AD83" s="1504"/>
      <c r="AE83" s="1504"/>
      <c r="AF83" s="1505"/>
    </row>
    <row r="84" spans="1:32" ht="30" customHeight="1" x14ac:dyDescent="0.25">
      <c r="A84" s="1485" t="s">
        <v>29</v>
      </c>
      <c r="B84" s="1486"/>
      <c r="C84" s="1486"/>
      <c r="D84" s="1487"/>
      <c r="E84" s="1479" t="s">
        <v>104</v>
      </c>
      <c r="F84" s="1480"/>
      <c r="G84" s="1480"/>
      <c r="H84" s="1480"/>
      <c r="I84" s="1480"/>
      <c r="J84" s="1480"/>
      <c r="K84" s="1480"/>
      <c r="L84" s="1480"/>
      <c r="M84" s="1480"/>
      <c r="N84" s="1480"/>
      <c r="O84" s="1480"/>
      <c r="P84" s="1481"/>
      <c r="Q84" s="1500">
        <v>1</v>
      </c>
      <c r="R84" s="1501"/>
      <c r="S84" s="1501"/>
      <c r="T84" s="1502"/>
      <c r="U84" s="1482" t="s">
        <v>28</v>
      </c>
      <c r="V84" s="1484"/>
      <c r="W84" s="1479" t="s">
        <v>2846</v>
      </c>
      <c r="X84" s="1480"/>
      <c r="Y84" s="1480"/>
      <c r="Z84" s="1480"/>
      <c r="AA84" s="1480"/>
      <c r="AB84" s="1480"/>
      <c r="AC84" s="1480"/>
      <c r="AD84" s="1480"/>
      <c r="AE84" s="1480"/>
      <c r="AF84" s="1481"/>
    </row>
    <row r="85" spans="1:32" ht="30" customHeight="1" x14ac:dyDescent="0.25">
      <c r="A85" s="1485" t="s">
        <v>2849</v>
      </c>
      <c r="B85" s="1486"/>
      <c r="C85" s="1486"/>
      <c r="D85" s="1487"/>
      <c r="E85" s="1479" t="s">
        <v>2426</v>
      </c>
      <c r="F85" s="1480"/>
      <c r="G85" s="1480"/>
      <c r="H85" s="1480"/>
      <c r="I85" s="1480"/>
      <c r="J85" s="1480"/>
      <c r="K85" s="1480"/>
      <c r="L85" s="1480"/>
      <c r="M85" s="1480"/>
      <c r="N85" s="1480"/>
      <c r="O85" s="1480"/>
      <c r="P85" s="1481"/>
      <c r="Q85" s="1482">
        <f>'Master EUL'!X26</f>
        <v>14</v>
      </c>
      <c r="R85" s="1483"/>
      <c r="S85" s="1483"/>
      <c r="T85" s="1484"/>
      <c r="U85" s="1482" t="s">
        <v>46</v>
      </c>
      <c r="V85" s="1484"/>
      <c r="W85" s="1479" t="s">
        <v>2855</v>
      </c>
      <c r="X85" s="1480"/>
      <c r="Y85" s="1480"/>
      <c r="Z85" s="1480"/>
      <c r="AA85" s="1480"/>
      <c r="AB85" s="1480"/>
      <c r="AC85" s="1480"/>
      <c r="AD85" s="1480"/>
      <c r="AE85" s="1480"/>
      <c r="AF85" s="1481"/>
    </row>
    <row r="86" spans="1:32" ht="30" customHeight="1" x14ac:dyDescent="0.25">
      <c r="A86" s="1485" t="s">
        <v>2850</v>
      </c>
      <c r="B86" s="1486"/>
      <c r="C86" s="1486"/>
      <c r="D86" s="1487"/>
      <c r="E86" s="1479" t="s">
        <v>2427</v>
      </c>
      <c r="F86" s="1480"/>
      <c r="G86" s="1480"/>
      <c r="H86" s="1480"/>
      <c r="I86" s="1480"/>
      <c r="J86" s="1480"/>
      <c r="K86" s="1480"/>
      <c r="L86" s="1480"/>
      <c r="M86" s="1480"/>
      <c r="N86" s="1480"/>
      <c r="O86" s="1480"/>
      <c r="P86" s="1481"/>
      <c r="Q86" s="1482">
        <f>'Master EUL'!X27</f>
        <v>17</v>
      </c>
      <c r="R86" s="1483"/>
      <c r="S86" s="1483"/>
      <c r="T86" s="1484"/>
      <c r="U86" s="1482" t="s">
        <v>46</v>
      </c>
      <c r="V86" s="1484"/>
      <c r="W86" s="1479" t="s">
        <v>1757</v>
      </c>
      <c r="X86" s="1480"/>
      <c r="Y86" s="1480"/>
      <c r="Z86" s="1480"/>
      <c r="AA86" s="1480"/>
      <c r="AB86" s="1480"/>
      <c r="AC86" s="1480"/>
      <c r="AD86" s="1480"/>
      <c r="AE86" s="1480"/>
      <c r="AF86" s="1481"/>
    </row>
    <row r="87" spans="1:32" ht="30" customHeight="1" x14ac:dyDescent="0.25">
      <c r="A87" s="1485" t="s">
        <v>2847</v>
      </c>
      <c r="B87" s="1486"/>
      <c r="C87" s="1486"/>
      <c r="D87" s="1487"/>
      <c r="E87" s="1479" t="s">
        <v>2428</v>
      </c>
      <c r="F87" s="1480"/>
      <c r="G87" s="1480"/>
      <c r="H87" s="1480"/>
      <c r="I87" s="1480"/>
      <c r="J87" s="1480"/>
      <c r="K87" s="1480"/>
      <c r="L87" s="1480"/>
      <c r="M87" s="1480"/>
      <c r="N87" s="1480"/>
      <c r="O87" s="1480"/>
      <c r="P87" s="1481"/>
      <c r="Q87" s="1482">
        <f>'Master EUL'!X28</f>
        <v>8</v>
      </c>
      <c r="R87" s="1483"/>
      <c r="S87" s="1483"/>
      <c r="T87" s="1484"/>
      <c r="U87" s="1482" t="s">
        <v>46</v>
      </c>
      <c r="V87" s="1484"/>
      <c r="W87" s="1479" t="s">
        <v>1757</v>
      </c>
      <c r="X87" s="1480"/>
      <c r="Y87" s="1480"/>
      <c r="Z87" s="1480"/>
      <c r="AA87" s="1480"/>
      <c r="AB87" s="1480"/>
      <c r="AC87" s="1480"/>
      <c r="AD87" s="1480"/>
      <c r="AE87" s="1480"/>
      <c r="AF87" s="1481"/>
    </row>
    <row r="88" spans="1:32" ht="30" customHeight="1" x14ac:dyDescent="0.25">
      <c r="A88" s="1485" t="s">
        <v>2848</v>
      </c>
      <c r="B88" s="1486"/>
      <c r="C88" s="1486"/>
      <c r="D88" s="1487"/>
      <c r="E88" s="1479" t="s">
        <v>2429</v>
      </c>
      <c r="F88" s="1480"/>
      <c r="G88" s="1480"/>
      <c r="H88" s="1480"/>
      <c r="I88" s="1480"/>
      <c r="J88" s="1480"/>
      <c r="K88" s="1480"/>
      <c r="L88" s="1480"/>
      <c r="M88" s="1480"/>
      <c r="N88" s="1480"/>
      <c r="O88" s="1480"/>
      <c r="P88" s="1481"/>
      <c r="Q88" s="1482">
        <f>'Master EUL'!X29</f>
        <v>7</v>
      </c>
      <c r="R88" s="1483"/>
      <c r="S88" s="1483"/>
      <c r="T88" s="1484"/>
      <c r="U88" s="1482" t="s">
        <v>46</v>
      </c>
      <c r="V88" s="1484"/>
      <c r="W88" s="1479" t="s">
        <v>1757</v>
      </c>
      <c r="X88" s="1480"/>
      <c r="Y88" s="1480"/>
      <c r="Z88" s="1480"/>
      <c r="AA88" s="1480"/>
      <c r="AB88" s="1480"/>
      <c r="AC88" s="1480"/>
      <c r="AD88" s="1480"/>
      <c r="AE88" s="1480"/>
      <c r="AF88" s="1481"/>
    </row>
    <row r="89" spans="1:32" ht="42.75" customHeight="1" x14ac:dyDescent="0.25">
      <c r="A89" s="1290" t="s">
        <v>2858</v>
      </c>
      <c r="B89" s="1290"/>
      <c r="C89" s="1290"/>
      <c r="D89" s="1290"/>
      <c r="E89" s="1290"/>
      <c r="F89" s="1290"/>
      <c r="G89" s="1290"/>
      <c r="H89" s="1290"/>
      <c r="I89" s="1290"/>
      <c r="J89" s="1290"/>
      <c r="K89" s="1290"/>
      <c r="L89" s="1290"/>
      <c r="M89" s="1290"/>
      <c r="N89" s="1290"/>
      <c r="O89" s="1290"/>
      <c r="P89" s="1290"/>
      <c r="Q89" s="1290"/>
      <c r="R89" s="1290"/>
      <c r="S89" s="1290"/>
      <c r="T89" s="1290"/>
      <c r="U89" s="1290"/>
      <c r="V89" s="1290"/>
      <c r="W89" s="1290"/>
      <c r="X89" s="1290"/>
      <c r="Y89" s="1290"/>
      <c r="Z89" s="1290"/>
      <c r="AA89" s="1290"/>
      <c r="AB89" s="1290"/>
      <c r="AC89" s="1290"/>
      <c r="AD89" s="1290"/>
      <c r="AE89" s="1290"/>
      <c r="AF89" s="1290"/>
    </row>
    <row r="90" spans="1:32" ht="56.25" customHeight="1" x14ac:dyDescent="0.25">
      <c r="A90" s="1290" t="s">
        <v>3036</v>
      </c>
      <c r="B90" s="1290"/>
      <c r="C90" s="1290"/>
      <c r="D90" s="1290"/>
      <c r="E90" s="1290"/>
      <c r="F90" s="1290"/>
      <c r="G90" s="1290"/>
      <c r="H90" s="1290"/>
      <c r="I90" s="1290"/>
      <c r="J90" s="1290"/>
      <c r="K90" s="1290"/>
      <c r="L90" s="1290"/>
      <c r="M90" s="1290"/>
      <c r="N90" s="1290"/>
      <c r="O90" s="1290"/>
      <c r="P90" s="1290"/>
      <c r="Q90" s="1290"/>
      <c r="R90" s="1290"/>
      <c r="S90" s="1290"/>
      <c r="T90" s="1290"/>
      <c r="U90" s="1290"/>
      <c r="V90" s="1290"/>
      <c r="W90" s="1290"/>
      <c r="X90" s="1290"/>
      <c r="Y90" s="1290"/>
      <c r="Z90" s="1290"/>
      <c r="AA90" s="1290"/>
      <c r="AB90" s="1290"/>
      <c r="AC90" s="1290"/>
      <c r="AD90" s="1290"/>
      <c r="AE90" s="1290"/>
      <c r="AF90" s="1290"/>
    </row>
    <row r="91" spans="1:32" ht="42" customHeight="1" x14ac:dyDescent="0.25">
      <c r="A91" s="1290" t="s">
        <v>3037</v>
      </c>
      <c r="B91" s="1290"/>
      <c r="C91" s="1290"/>
      <c r="D91" s="1290"/>
      <c r="E91" s="1290"/>
      <c r="F91" s="1290"/>
      <c r="G91" s="1290"/>
      <c r="H91" s="1290"/>
      <c r="I91" s="1290"/>
      <c r="J91" s="1290"/>
      <c r="K91" s="1290"/>
      <c r="L91" s="1290"/>
      <c r="M91" s="1290"/>
      <c r="N91" s="1290"/>
      <c r="O91" s="1290"/>
      <c r="P91" s="1290"/>
      <c r="Q91" s="1290"/>
      <c r="R91" s="1290"/>
      <c r="S91" s="1290"/>
      <c r="T91" s="1290"/>
      <c r="U91" s="1290"/>
      <c r="V91" s="1290"/>
      <c r="W91" s="1290"/>
      <c r="X91" s="1290"/>
      <c r="Y91" s="1290"/>
      <c r="Z91" s="1290"/>
      <c r="AA91" s="1290"/>
      <c r="AB91" s="1290"/>
      <c r="AC91" s="1290"/>
      <c r="AD91" s="1290"/>
      <c r="AE91" s="1290"/>
      <c r="AF91" s="1290"/>
    </row>
    <row r="92" spans="1:32" ht="72" customHeight="1" x14ac:dyDescent="0.25">
      <c r="A92" s="1290" t="s">
        <v>3852</v>
      </c>
      <c r="B92" s="1290"/>
      <c r="C92" s="1290"/>
      <c r="D92" s="1290"/>
      <c r="E92" s="1290"/>
      <c r="F92" s="1290"/>
      <c r="G92" s="1290"/>
      <c r="H92" s="1290"/>
      <c r="I92" s="1290"/>
      <c r="J92" s="1290"/>
      <c r="K92" s="1290"/>
      <c r="L92" s="1290"/>
      <c r="M92" s="1290"/>
      <c r="N92" s="1290"/>
      <c r="O92" s="1290"/>
      <c r="P92" s="1290"/>
      <c r="Q92" s="1290"/>
      <c r="R92" s="1290"/>
      <c r="S92" s="1290"/>
      <c r="T92" s="1290"/>
      <c r="U92" s="1290"/>
      <c r="V92" s="1290"/>
      <c r="W92" s="1290"/>
      <c r="X92" s="1290"/>
      <c r="Y92" s="1290"/>
      <c r="Z92" s="1290"/>
      <c r="AA92" s="1290"/>
      <c r="AB92" s="1290"/>
      <c r="AC92" s="1290"/>
      <c r="AD92" s="1290"/>
      <c r="AE92" s="1290"/>
      <c r="AF92" s="1290"/>
    </row>
    <row r="93" spans="1:32" ht="31.5" customHeight="1" x14ac:dyDescent="0.25">
      <c r="A93" s="1290" t="s">
        <v>2856</v>
      </c>
      <c r="B93" s="1290"/>
      <c r="C93" s="1290"/>
      <c r="D93" s="1290"/>
      <c r="E93" s="1290"/>
      <c r="F93" s="1290"/>
      <c r="G93" s="1290"/>
      <c r="H93" s="1290"/>
      <c r="I93" s="1290"/>
      <c r="J93" s="1290"/>
      <c r="K93" s="1290"/>
      <c r="L93" s="1290"/>
      <c r="M93" s="1290"/>
      <c r="N93" s="1290"/>
      <c r="O93" s="1290"/>
      <c r="P93" s="1290"/>
      <c r="Q93" s="1290"/>
      <c r="R93" s="1290"/>
      <c r="S93" s="1290"/>
      <c r="T93" s="1290"/>
      <c r="U93" s="1290"/>
      <c r="V93" s="1290"/>
      <c r="W93" s="1290"/>
      <c r="X93" s="1290"/>
      <c r="Y93" s="1290"/>
      <c r="Z93" s="1290"/>
      <c r="AA93" s="1290"/>
      <c r="AB93" s="1290"/>
      <c r="AC93" s="1290"/>
      <c r="AD93" s="1290"/>
      <c r="AE93" s="1290"/>
      <c r="AF93" s="1290"/>
    </row>
    <row r="94" spans="1:32" x14ac:dyDescent="0.25">
      <c r="A94" s="470" t="s">
        <v>2857</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row>
    <row r="95" spans="1:32" x14ac:dyDescent="0.2">
      <c r="A95" s="146"/>
    </row>
    <row r="96" spans="1:32" ht="34.5" customHeight="1" x14ac:dyDescent="0.25">
      <c r="A96" s="1167" t="s">
        <v>2483</v>
      </c>
      <c r="B96" s="1167"/>
      <c r="C96" s="1167"/>
      <c r="D96" s="1167"/>
      <c r="E96" s="1167"/>
      <c r="F96" s="1167"/>
      <c r="G96" s="1167"/>
      <c r="H96" s="1167"/>
      <c r="I96" s="1167"/>
      <c r="J96" s="1167"/>
      <c r="K96" s="1167"/>
      <c r="L96" s="1167"/>
      <c r="M96" s="1167"/>
      <c r="N96" s="1167"/>
      <c r="O96" s="1167"/>
      <c r="P96" s="1167"/>
      <c r="Q96" s="1167"/>
      <c r="R96" s="1167"/>
      <c r="S96" s="1167"/>
      <c r="T96" s="1167"/>
      <c r="U96" s="1167"/>
      <c r="V96" s="1167"/>
      <c r="W96" s="1167"/>
      <c r="X96" s="1167"/>
      <c r="Y96" s="1167"/>
      <c r="Z96" s="1167"/>
      <c r="AA96" s="1167"/>
      <c r="AB96" s="1167"/>
      <c r="AC96" s="1167"/>
      <c r="AD96" s="1167"/>
      <c r="AE96" s="1167"/>
      <c r="AF96" s="1167"/>
    </row>
    <row r="97" spans="1:32" ht="39" customHeight="1" x14ac:dyDescent="0.25">
      <c r="A97" s="1506" t="s">
        <v>2449</v>
      </c>
      <c r="B97" s="1506"/>
      <c r="C97" s="1506"/>
      <c r="D97" s="1506"/>
      <c r="E97" s="1506"/>
      <c r="F97" s="1506"/>
      <c r="G97" s="1506"/>
      <c r="H97" s="1506"/>
      <c r="I97" s="1506"/>
      <c r="J97" s="1506"/>
      <c r="K97" s="1506"/>
      <c r="L97" s="1506"/>
      <c r="M97" s="1506"/>
      <c r="N97" s="1506"/>
      <c r="O97" s="1506"/>
      <c r="P97" s="1506"/>
      <c r="Q97" s="1311" t="s">
        <v>2484</v>
      </c>
      <c r="R97" s="1311"/>
      <c r="S97" s="1311"/>
      <c r="T97" s="1311"/>
      <c r="U97" s="1311"/>
      <c r="V97" s="1311"/>
      <c r="W97" s="1311"/>
      <c r="X97" s="1311"/>
      <c r="Y97" s="1311" t="s">
        <v>2485</v>
      </c>
      <c r="Z97" s="1311"/>
      <c r="AA97" s="1311"/>
      <c r="AB97" s="1311"/>
      <c r="AC97" s="1311"/>
      <c r="AD97" s="1311"/>
      <c r="AE97" s="1311"/>
      <c r="AF97" s="1311"/>
    </row>
    <row r="98" spans="1:32" x14ac:dyDescent="0.25">
      <c r="A98" s="1507" t="s">
        <v>2450</v>
      </c>
      <c r="B98" s="1507"/>
      <c r="C98" s="1507"/>
      <c r="D98" s="1507"/>
      <c r="E98" s="1507"/>
      <c r="F98" s="1507"/>
      <c r="G98" s="1507"/>
      <c r="H98" s="1507"/>
      <c r="I98" s="1507"/>
      <c r="J98" s="1507"/>
      <c r="K98" s="1507"/>
      <c r="L98" s="1507"/>
      <c r="M98" s="1507"/>
      <c r="N98" s="1507"/>
      <c r="O98" s="1507"/>
      <c r="P98" s="1507"/>
      <c r="Q98" s="1311" t="s">
        <v>2458</v>
      </c>
      <c r="R98" s="1311"/>
      <c r="S98" s="1311"/>
      <c r="T98" s="1311"/>
      <c r="U98" s="1311" t="s">
        <v>2459</v>
      </c>
      <c r="V98" s="1311"/>
      <c r="W98" s="1311"/>
      <c r="X98" s="1311"/>
      <c r="Y98" s="1311" t="s">
        <v>2458</v>
      </c>
      <c r="Z98" s="1311"/>
      <c r="AA98" s="1311"/>
      <c r="AB98" s="1311"/>
      <c r="AC98" s="1311" t="s">
        <v>2459</v>
      </c>
      <c r="AD98" s="1311"/>
      <c r="AE98" s="1311"/>
      <c r="AF98" s="1311"/>
    </row>
    <row r="99" spans="1:32" ht="30" customHeight="1" x14ac:dyDescent="0.25">
      <c r="A99" s="1508" t="s">
        <v>2451</v>
      </c>
      <c r="B99" s="1508"/>
      <c r="C99" s="1508"/>
      <c r="D99" s="1508"/>
      <c r="E99" s="1508"/>
      <c r="F99" s="1508"/>
      <c r="G99" s="1508"/>
      <c r="H99" s="1508"/>
      <c r="I99" s="1508"/>
      <c r="J99" s="1508"/>
      <c r="K99" s="1508"/>
      <c r="L99" s="1508"/>
      <c r="M99" s="1508"/>
      <c r="N99" s="1508"/>
      <c r="O99" s="1508"/>
      <c r="P99" s="1508"/>
      <c r="Q99" s="1509">
        <v>6.79</v>
      </c>
      <c r="R99" s="1509"/>
      <c r="S99" s="1509"/>
      <c r="T99" s="1509"/>
      <c r="U99" s="1510">
        <v>193.6</v>
      </c>
      <c r="V99" s="1510"/>
      <c r="W99" s="1510"/>
      <c r="X99" s="1510"/>
      <c r="Y99" s="1509">
        <v>6.11</v>
      </c>
      <c r="Z99" s="1509"/>
      <c r="AA99" s="1509"/>
      <c r="AB99" s="1509"/>
      <c r="AC99" s="1510">
        <v>174.2</v>
      </c>
      <c r="AD99" s="1510"/>
      <c r="AE99" s="1510"/>
      <c r="AF99" s="1510"/>
    </row>
    <row r="100" spans="1:32" ht="30" customHeight="1" x14ac:dyDescent="0.25">
      <c r="A100" s="1508" t="s">
        <v>2452</v>
      </c>
      <c r="B100" s="1508"/>
      <c r="C100" s="1508"/>
      <c r="D100" s="1508"/>
      <c r="E100" s="1508"/>
      <c r="F100" s="1508"/>
      <c r="G100" s="1508"/>
      <c r="H100" s="1508"/>
      <c r="I100" s="1508"/>
      <c r="J100" s="1508"/>
      <c r="K100" s="1508"/>
      <c r="L100" s="1508"/>
      <c r="M100" s="1508"/>
      <c r="N100" s="1508"/>
      <c r="O100" s="1508"/>
      <c r="P100" s="1508"/>
      <c r="Q100" s="1509">
        <v>8.07</v>
      </c>
      <c r="R100" s="1509"/>
      <c r="S100" s="1509"/>
      <c r="T100" s="1509"/>
      <c r="U100" s="1510">
        <v>233.7</v>
      </c>
      <c r="V100" s="1510"/>
      <c r="W100" s="1510"/>
      <c r="X100" s="1510"/>
      <c r="Y100" s="1509">
        <v>7.26</v>
      </c>
      <c r="Z100" s="1509"/>
      <c r="AA100" s="1509"/>
      <c r="AB100" s="1509"/>
      <c r="AC100" s="1510">
        <v>210.3</v>
      </c>
      <c r="AD100" s="1510"/>
      <c r="AE100" s="1510"/>
      <c r="AF100" s="1510"/>
    </row>
    <row r="101" spans="1:32" ht="30" customHeight="1" x14ac:dyDescent="0.25">
      <c r="A101" s="1508" t="s">
        <v>2453</v>
      </c>
      <c r="B101" s="1508"/>
      <c r="C101" s="1508"/>
      <c r="D101" s="1508"/>
      <c r="E101" s="1508"/>
      <c r="F101" s="1508"/>
      <c r="G101" s="1508"/>
      <c r="H101" s="1508"/>
      <c r="I101" s="1508"/>
      <c r="J101" s="1508"/>
      <c r="K101" s="1508"/>
      <c r="L101" s="1508"/>
      <c r="M101" s="1508"/>
      <c r="N101" s="1508"/>
      <c r="O101" s="1508"/>
      <c r="P101" s="1508"/>
      <c r="Q101" s="1509">
        <v>8.51</v>
      </c>
      <c r="R101" s="1509"/>
      <c r="S101" s="1509"/>
      <c r="T101" s="1509"/>
      <c r="U101" s="1510">
        <v>297.8</v>
      </c>
      <c r="V101" s="1510"/>
      <c r="W101" s="1510"/>
      <c r="X101" s="1510"/>
      <c r="Y101" s="1509">
        <v>7.66</v>
      </c>
      <c r="Z101" s="1509"/>
      <c r="AA101" s="1509"/>
      <c r="AB101" s="1509"/>
      <c r="AC101" s="1510">
        <v>268</v>
      </c>
      <c r="AD101" s="1510"/>
      <c r="AE101" s="1510"/>
      <c r="AF101" s="1510"/>
    </row>
    <row r="102" spans="1:32" ht="30" customHeight="1" x14ac:dyDescent="0.25">
      <c r="A102" s="1508" t="s">
        <v>2454</v>
      </c>
      <c r="B102" s="1508"/>
      <c r="C102" s="1508"/>
      <c r="D102" s="1508"/>
      <c r="E102" s="1508"/>
      <c r="F102" s="1508"/>
      <c r="G102" s="1508"/>
      <c r="H102" s="1508"/>
      <c r="I102" s="1508"/>
      <c r="J102" s="1508"/>
      <c r="K102" s="1508"/>
      <c r="L102" s="1508"/>
      <c r="M102" s="1508"/>
      <c r="N102" s="1508"/>
      <c r="O102" s="1508"/>
      <c r="P102" s="1508"/>
      <c r="Q102" s="1509">
        <v>8.85</v>
      </c>
      <c r="R102" s="1509"/>
      <c r="S102" s="1509"/>
      <c r="T102" s="1509"/>
      <c r="U102" s="1510">
        <v>317</v>
      </c>
      <c r="V102" s="1510"/>
      <c r="W102" s="1510"/>
      <c r="X102" s="1510"/>
      <c r="Y102" s="1509">
        <v>7.97</v>
      </c>
      <c r="Z102" s="1509"/>
      <c r="AA102" s="1509"/>
      <c r="AB102" s="1509"/>
      <c r="AC102" s="1510">
        <v>285.3</v>
      </c>
      <c r="AD102" s="1510"/>
      <c r="AE102" s="1510"/>
      <c r="AF102" s="1510"/>
    </row>
    <row r="103" spans="1:32" ht="30" customHeight="1" x14ac:dyDescent="0.25">
      <c r="A103" s="1508" t="s">
        <v>2455</v>
      </c>
      <c r="B103" s="1508"/>
      <c r="C103" s="1508"/>
      <c r="D103" s="1508"/>
      <c r="E103" s="1508"/>
      <c r="F103" s="1508"/>
      <c r="G103" s="1508"/>
      <c r="H103" s="1508"/>
      <c r="I103" s="1508"/>
      <c r="J103" s="1508"/>
      <c r="K103" s="1508"/>
      <c r="L103" s="1508"/>
      <c r="M103" s="1508"/>
      <c r="N103" s="1508"/>
      <c r="O103" s="1508"/>
      <c r="P103" s="1508"/>
      <c r="Q103" s="1509">
        <v>9.25</v>
      </c>
      <c r="R103" s="1509"/>
      <c r="S103" s="1509"/>
      <c r="T103" s="1509"/>
      <c r="U103" s="1510">
        <v>475.4</v>
      </c>
      <c r="V103" s="1510"/>
      <c r="W103" s="1510"/>
      <c r="X103" s="1510"/>
      <c r="Y103" s="1509">
        <v>8.33</v>
      </c>
      <c r="Z103" s="1509"/>
      <c r="AA103" s="1509"/>
      <c r="AB103" s="1509"/>
      <c r="AC103" s="1510">
        <v>436.3</v>
      </c>
      <c r="AD103" s="1510"/>
      <c r="AE103" s="1510"/>
      <c r="AF103" s="1510"/>
    </row>
    <row r="104" spans="1:32" ht="30" customHeight="1" x14ac:dyDescent="0.25">
      <c r="A104" s="1508" t="s">
        <v>2456</v>
      </c>
      <c r="B104" s="1508"/>
      <c r="C104" s="1508"/>
      <c r="D104" s="1508"/>
      <c r="E104" s="1508"/>
      <c r="F104" s="1508"/>
      <c r="G104" s="1508"/>
      <c r="H104" s="1508"/>
      <c r="I104" s="1508"/>
      <c r="J104" s="1508"/>
      <c r="K104" s="1508"/>
      <c r="L104" s="1508"/>
      <c r="M104" s="1508"/>
      <c r="N104" s="1508"/>
      <c r="O104" s="1508"/>
      <c r="P104" s="1508"/>
      <c r="Q104" s="1509">
        <v>8.4</v>
      </c>
      <c r="R104" s="1509"/>
      <c r="S104" s="1509"/>
      <c r="T104" s="1509"/>
      <c r="U104" s="1510">
        <v>385.4</v>
      </c>
      <c r="V104" s="1510"/>
      <c r="W104" s="1510"/>
      <c r="X104" s="1510"/>
      <c r="Y104" s="1509">
        <v>7.56</v>
      </c>
      <c r="Z104" s="1509"/>
      <c r="AA104" s="1509"/>
      <c r="AB104" s="1509"/>
      <c r="AC104" s="1510">
        <v>355.3</v>
      </c>
      <c r="AD104" s="1510"/>
      <c r="AE104" s="1510"/>
      <c r="AF104" s="1510"/>
    </row>
    <row r="105" spans="1:32" ht="30" customHeight="1" x14ac:dyDescent="0.25">
      <c r="A105" s="1508" t="s">
        <v>2503</v>
      </c>
      <c r="B105" s="1508"/>
      <c r="C105" s="1508"/>
      <c r="D105" s="1508"/>
      <c r="E105" s="1508"/>
      <c r="F105" s="1508"/>
      <c r="G105" s="1508"/>
      <c r="H105" s="1508"/>
      <c r="I105" s="1508"/>
      <c r="J105" s="1508"/>
      <c r="K105" s="1508"/>
      <c r="L105" s="1508"/>
      <c r="M105" s="1508"/>
      <c r="N105" s="1508"/>
      <c r="O105" s="1508"/>
      <c r="P105" s="1508"/>
      <c r="Q105" s="1509">
        <v>8.5399999999999991</v>
      </c>
      <c r="R105" s="1509"/>
      <c r="S105" s="1509"/>
      <c r="T105" s="1509"/>
      <c r="U105" s="1510">
        <v>432.8</v>
      </c>
      <c r="V105" s="1510"/>
      <c r="W105" s="1510"/>
      <c r="X105" s="1510"/>
      <c r="Y105" s="1509">
        <v>7.69</v>
      </c>
      <c r="Z105" s="1509"/>
      <c r="AA105" s="1509"/>
      <c r="AB105" s="1509"/>
      <c r="AC105" s="1510">
        <v>397.9</v>
      </c>
      <c r="AD105" s="1510"/>
      <c r="AE105" s="1510"/>
      <c r="AF105" s="1510"/>
    </row>
    <row r="106" spans="1:32" ht="30" customHeight="1" x14ac:dyDescent="0.25">
      <c r="A106" s="1508" t="s">
        <v>2475</v>
      </c>
      <c r="B106" s="1508"/>
      <c r="C106" s="1508"/>
      <c r="D106" s="1508"/>
      <c r="E106" s="1508"/>
      <c r="F106" s="1508"/>
      <c r="G106" s="1508"/>
      <c r="H106" s="1508"/>
      <c r="I106" s="1508"/>
      <c r="J106" s="1508"/>
      <c r="K106" s="1508"/>
      <c r="L106" s="1508"/>
      <c r="M106" s="1508"/>
      <c r="N106" s="1508"/>
      <c r="O106" s="1508"/>
      <c r="P106" s="1508"/>
      <c r="Q106" s="1509">
        <f>AVERAGE(Q99:Q105)</f>
        <v>8.3442857142857143</v>
      </c>
      <c r="R106" s="1509"/>
      <c r="S106" s="1509"/>
      <c r="T106" s="1509"/>
      <c r="U106" s="1510">
        <f>AVERAGE(U99:U105)</f>
        <v>333.67142857142863</v>
      </c>
      <c r="V106" s="1510"/>
      <c r="W106" s="1510"/>
      <c r="X106" s="1510"/>
      <c r="Y106" s="1509">
        <f t="shared" ref="Y106" si="0">AVERAGE(Y99:Y105)</f>
        <v>7.5114285714285716</v>
      </c>
      <c r="Z106" s="1509"/>
      <c r="AA106" s="1509"/>
      <c r="AB106" s="1509"/>
      <c r="AC106" s="1510">
        <f t="shared" ref="AC106" si="1">AVERAGE(AC99:AC105)</f>
        <v>303.89999999999998</v>
      </c>
      <c r="AD106" s="1510"/>
      <c r="AE106" s="1510"/>
      <c r="AF106" s="1510"/>
    </row>
    <row r="107" spans="1:32" ht="52.5" customHeight="1" x14ac:dyDescent="0.25">
      <c r="A107" s="1290" t="s">
        <v>2469</v>
      </c>
      <c r="B107" s="1290"/>
      <c r="C107" s="1290"/>
      <c r="D107" s="1290"/>
      <c r="E107" s="1290"/>
      <c r="F107" s="1290"/>
      <c r="G107" s="1290"/>
      <c r="H107" s="1290"/>
      <c r="I107" s="1290"/>
      <c r="J107" s="1290"/>
      <c r="K107" s="1290"/>
      <c r="L107" s="1290"/>
      <c r="M107" s="1290"/>
      <c r="N107" s="1290"/>
      <c r="O107" s="1290"/>
      <c r="P107" s="1290"/>
      <c r="Q107" s="1290"/>
      <c r="R107" s="1290"/>
      <c r="S107" s="1290"/>
      <c r="T107" s="1290"/>
      <c r="U107" s="1290"/>
      <c r="V107" s="1290"/>
      <c r="W107" s="1290"/>
      <c r="X107" s="1290"/>
      <c r="Y107" s="1290"/>
      <c r="Z107" s="1290"/>
      <c r="AA107" s="1290"/>
      <c r="AB107" s="1290"/>
      <c r="AC107" s="1290"/>
      <c r="AD107" s="1290"/>
      <c r="AE107" s="1290"/>
      <c r="AF107" s="1290"/>
    </row>
    <row r="108" spans="1:32" ht="41.25" customHeight="1" x14ac:dyDescent="0.25">
      <c r="A108" s="1290" t="s">
        <v>2468</v>
      </c>
      <c r="B108" s="1290"/>
      <c r="C108" s="1290"/>
      <c r="D108" s="1290"/>
      <c r="E108" s="1290"/>
      <c r="F108" s="1290"/>
      <c r="G108" s="1290"/>
      <c r="H108" s="1290"/>
      <c r="I108" s="1290"/>
      <c r="J108" s="1290"/>
      <c r="K108" s="1290"/>
      <c r="L108" s="1290"/>
      <c r="M108" s="1290"/>
      <c r="N108" s="1290"/>
      <c r="O108" s="1290"/>
      <c r="P108" s="1290"/>
      <c r="Q108" s="1290"/>
      <c r="R108" s="1290"/>
      <c r="S108" s="1290"/>
      <c r="T108" s="1290"/>
      <c r="U108" s="1290"/>
      <c r="V108" s="1290"/>
      <c r="W108" s="1290"/>
      <c r="X108" s="1290"/>
      <c r="Y108" s="1290"/>
      <c r="Z108" s="1290"/>
      <c r="AA108" s="1290"/>
      <c r="AB108" s="1290"/>
      <c r="AC108" s="1290"/>
      <c r="AD108" s="1290"/>
      <c r="AE108" s="1290"/>
      <c r="AF108" s="1290"/>
    </row>
    <row r="109" spans="1:32" ht="30" customHeight="1" x14ac:dyDescent="0.25">
      <c r="A109" s="1290" t="s">
        <v>2471</v>
      </c>
      <c r="B109" s="1290"/>
      <c r="C109" s="1290"/>
      <c r="D109" s="1290"/>
      <c r="E109" s="1290"/>
      <c r="F109" s="1290"/>
      <c r="G109" s="1290"/>
      <c r="H109" s="1290"/>
      <c r="I109" s="1290"/>
      <c r="J109" s="1290"/>
      <c r="K109" s="1290"/>
      <c r="L109" s="1290"/>
      <c r="M109" s="1290"/>
      <c r="N109" s="1290"/>
      <c r="O109" s="1290"/>
      <c r="P109" s="1290"/>
      <c r="Q109" s="1290"/>
      <c r="R109" s="1290"/>
      <c r="S109" s="1290"/>
      <c r="T109" s="1290"/>
      <c r="U109" s="1290"/>
      <c r="V109" s="1290"/>
      <c r="W109" s="1290"/>
      <c r="X109" s="1290"/>
      <c r="Y109" s="1290"/>
      <c r="Z109" s="1290"/>
      <c r="AA109" s="1290"/>
      <c r="AB109" s="1290"/>
      <c r="AC109" s="1290"/>
      <c r="AD109" s="1290"/>
      <c r="AE109" s="1290"/>
      <c r="AF109" s="1290"/>
    </row>
    <row r="110" spans="1:32" x14ac:dyDescent="0.2">
      <c r="A110" s="146"/>
    </row>
    <row r="111" spans="1:32" ht="32.25" customHeight="1" x14ac:dyDescent="0.25">
      <c r="A111" s="1511" t="s">
        <v>2482</v>
      </c>
      <c r="B111" s="1511"/>
      <c r="C111" s="1511"/>
      <c r="D111" s="1511"/>
      <c r="E111" s="1511"/>
      <c r="F111" s="1511"/>
      <c r="G111" s="1511"/>
      <c r="H111" s="1511"/>
      <c r="I111" s="1511"/>
      <c r="J111" s="1511"/>
      <c r="K111" s="1511"/>
      <c r="L111" s="1511"/>
      <c r="M111" s="1511"/>
      <c r="N111" s="1511"/>
      <c r="O111" s="1511"/>
      <c r="P111" s="1511"/>
      <c r="Q111" s="1511"/>
      <c r="R111" s="1511"/>
      <c r="S111" s="1511"/>
      <c r="T111" s="1511"/>
      <c r="U111" s="1511"/>
      <c r="V111" s="1511"/>
      <c r="W111" s="1511"/>
      <c r="X111" s="1511"/>
      <c r="Y111" s="1511"/>
      <c r="Z111" s="1511"/>
      <c r="AA111" s="1511"/>
      <c r="AB111" s="1511"/>
      <c r="AC111" s="1511"/>
      <c r="AD111" s="1511"/>
      <c r="AE111" s="1511"/>
      <c r="AF111" s="1511"/>
    </row>
    <row r="112" spans="1:32" ht="41.25" customHeight="1" x14ac:dyDescent="0.25">
      <c r="A112" s="1506" t="s">
        <v>2449</v>
      </c>
      <c r="B112" s="1506"/>
      <c r="C112" s="1506"/>
      <c r="D112" s="1506"/>
      <c r="E112" s="1506"/>
      <c r="F112" s="1506"/>
      <c r="G112" s="1506"/>
      <c r="H112" s="1506"/>
      <c r="I112" s="1506"/>
      <c r="J112" s="1506"/>
      <c r="K112" s="1506"/>
      <c r="L112" s="1506"/>
      <c r="M112" s="1506"/>
      <c r="N112" s="1506"/>
      <c r="O112" s="1506"/>
      <c r="P112" s="1506"/>
      <c r="Q112" s="1311" t="s">
        <v>2484</v>
      </c>
      <c r="R112" s="1311"/>
      <c r="S112" s="1311"/>
      <c r="T112" s="1311"/>
      <c r="U112" s="1311"/>
      <c r="V112" s="1311"/>
      <c r="W112" s="1311"/>
      <c r="X112" s="1311"/>
      <c r="Y112" s="1311" t="s">
        <v>2485</v>
      </c>
      <c r="Z112" s="1311"/>
      <c r="AA112" s="1311"/>
      <c r="AB112" s="1311"/>
      <c r="AC112" s="1311"/>
      <c r="AD112" s="1311"/>
      <c r="AE112" s="1311"/>
      <c r="AF112" s="1311"/>
    </row>
    <row r="113" spans="1:32" x14ac:dyDescent="0.25">
      <c r="A113" s="1507" t="s">
        <v>2450</v>
      </c>
      <c r="B113" s="1507"/>
      <c r="C113" s="1507"/>
      <c r="D113" s="1507"/>
      <c r="E113" s="1507"/>
      <c r="F113" s="1507"/>
      <c r="G113" s="1507"/>
      <c r="H113" s="1507"/>
      <c r="I113" s="1507"/>
      <c r="J113" s="1507"/>
      <c r="K113" s="1507"/>
      <c r="L113" s="1507"/>
      <c r="M113" s="1507"/>
      <c r="N113" s="1507"/>
      <c r="O113" s="1507"/>
      <c r="P113" s="1507"/>
      <c r="Q113" s="1311" t="s">
        <v>2458</v>
      </c>
      <c r="R113" s="1311"/>
      <c r="S113" s="1311"/>
      <c r="T113" s="1311"/>
      <c r="U113" s="1311" t="s">
        <v>2459</v>
      </c>
      <c r="V113" s="1311"/>
      <c r="W113" s="1311"/>
      <c r="X113" s="1311"/>
      <c r="Y113" s="1311" t="s">
        <v>2458</v>
      </c>
      <c r="Z113" s="1311"/>
      <c r="AA113" s="1311"/>
      <c r="AB113" s="1311"/>
      <c r="AC113" s="1311" t="s">
        <v>2459</v>
      </c>
      <c r="AD113" s="1311"/>
      <c r="AE113" s="1311"/>
      <c r="AF113" s="1311"/>
    </row>
    <row r="114" spans="1:32" ht="30" customHeight="1" x14ac:dyDescent="0.25">
      <c r="A114" s="1508" t="s">
        <v>2460</v>
      </c>
      <c r="B114" s="1508"/>
      <c r="C114" s="1508"/>
      <c r="D114" s="1508"/>
      <c r="E114" s="1508"/>
      <c r="F114" s="1508"/>
      <c r="G114" s="1508"/>
      <c r="H114" s="1508"/>
      <c r="I114" s="1508"/>
      <c r="J114" s="1508"/>
      <c r="K114" s="1508"/>
      <c r="L114" s="1508"/>
      <c r="M114" s="1508"/>
      <c r="N114" s="1508"/>
      <c r="O114" s="1508"/>
      <c r="P114" s="1508"/>
      <c r="Q114" s="1509">
        <v>5.57</v>
      </c>
      <c r="R114" s="1509"/>
      <c r="S114" s="1509"/>
      <c r="T114" s="1509"/>
      <c r="U114" s="1510">
        <v>193.7</v>
      </c>
      <c r="V114" s="1510"/>
      <c r="W114" s="1510"/>
      <c r="X114" s="1510"/>
      <c r="Y114" s="1509">
        <v>5.01</v>
      </c>
      <c r="Z114" s="1509"/>
      <c r="AA114" s="1509"/>
      <c r="AB114" s="1509"/>
      <c r="AC114" s="1510">
        <v>174.3</v>
      </c>
      <c r="AD114" s="1510"/>
      <c r="AE114" s="1510"/>
      <c r="AF114" s="1510"/>
    </row>
    <row r="115" spans="1:32" ht="30" customHeight="1" x14ac:dyDescent="0.25">
      <c r="A115" s="1508" t="s">
        <v>2461</v>
      </c>
      <c r="B115" s="1508"/>
      <c r="C115" s="1508"/>
      <c r="D115" s="1508"/>
      <c r="E115" s="1508"/>
      <c r="F115" s="1508"/>
      <c r="G115" s="1508"/>
      <c r="H115" s="1508"/>
      <c r="I115" s="1508"/>
      <c r="J115" s="1508"/>
      <c r="K115" s="1508"/>
      <c r="L115" s="1508"/>
      <c r="M115" s="1508"/>
      <c r="N115" s="1508"/>
      <c r="O115" s="1508"/>
      <c r="P115" s="1508"/>
      <c r="Q115" s="1509">
        <v>8.6199999999999992</v>
      </c>
      <c r="R115" s="1509"/>
      <c r="S115" s="1509"/>
      <c r="T115" s="1509"/>
      <c r="U115" s="1510">
        <v>228.3</v>
      </c>
      <c r="V115" s="1510"/>
      <c r="W115" s="1510"/>
      <c r="X115" s="1510"/>
      <c r="Y115" s="1509">
        <v>7.76</v>
      </c>
      <c r="Z115" s="1509"/>
      <c r="AA115" s="1509"/>
      <c r="AB115" s="1509"/>
      <c r="AC115" s="1510">
        <v>205.5</v>
      </c>
      <c r="AD115" s="1510"/>
      <c r="AE115" s="1510"/>
      <c r="AF115" s="1510"/>
    </row>
    <row r="116" spans="1:32" ht="30" customHeight="1" x14ac:dyDescent="0.25">
      <c r="A116" s="1508" t="s">
        <v>2462</v>
      </c>
      <c r="B116" s="1508"/>
      <c r="C116" s="1508"/>
      <c r="D116" s="1508"/>
      <c r="E116" s="1508"/>
      <c r="F116" s="1508"/>
      <c r="G116" s="1508"/>
      <c r="H116" s="1508"/>
      <c r="I116" s="1508"/>
      <c r="J116" s="1508"/>
      <c r="K116" s="1508"/>
      <c r="L116" s="1508"/>
      <c r="M116" s="1508"/>
      <c r="N116" s="1508"/>
      <c r="O116" s="1508"/>
      <c r="P116" s="1508"/>
      <c r="Q116" s="1509">
        <v>8.6199999999999992</v>
      </c>
      <c r="R116" s="1509"/>
      <c r="S116" s="1509"/>
      <c r="T116" s="1509"/>
      <c r="U116" s="1510">
        <v>312.3</v>
      </c>
      <c r="V116" s="1510"/>
      <c r="W116" s="1510"/>
      <c r="X116" s="1510"/>
      <c r="Y116" s="1509">
        <v>7.76</v>
      </c>
      <c r="Z116" s="1509"/>
      <c r="AA116" s="1509"/>
      <c r="AB116" s="1509"/>
      <c r="AC116" s="1510">
        <v>289.5</v>
      </c>
      <c r="AD116" s="1510"/>
      <c r="AE116" s="1510"/>
      <c r="AF116" s="1510"/>
    </row>
    <row r="117" spans="1:32" ht="30" customHeight="1" x14ac:dyDescent="0.25">
      <c r="A117" s="1508" t="s">
        <v>2463</v>
      </c>
      <c r="B117" s="1508"/>
      <c r="C117" s="1508"/>
      <c r="D117" s="1508"/>
      <c r="E117" s="1508"/>
      <c r="F117" s="1508"/>
      <c r="G117" s="1508"/>
      <c r="H117" s="1508"/>
      <c r="I117" s="1508"/>
      <c r="J117" s="1508"/>
      <c r="K117" s="1508"/>
      <c r="L117" s="1508"/>
      <c r="M117" s="1508"/>
      <c r="N117" s="1508"/>
      <c r="O117" s="1508"/>
      <c r="P117" s="1508"/>
      <c r="Q117" s="1509">
        <v>9.86</v>
      </c>
      <c r="R117" s="1509"/>
      <c r="S117" s="1509"/>
      <c r="T117" s="1509"/>
      <c r="U117" s="1510">
        <v>260.89999999999998</v>
      </c>
      <c r="V117" s="1510"/>
      <c r="W117" s="1510"/>
      <c r="X117" s="1510"/>
      <c r="Y117" s="1509">
        <v>8.8699999999999992</v>
      </c>
      <c r="Z117" s="1509"/>
      <c r="AA117" s="1509"/>
      <c r="AB117" s="1509"/>
      <c r="AC117" s="1510">
        <v>234.8</v>
      </c>
      <c r="AD117" s="1510"/>
      <c r="AE117" s="1510"/>
      <c r="AF117" s="1510"/>
    </row>
    <row r="118" spans="1:32" ht="30" customHeight="1" x14ac:dyDescent="0.25">
      <c r="A118" s="1508" t="s">
        <v>2464</v>
      </c>
      <c r="B118" s="1508"/>
      <c r="C118" s="1508"/>
      <c r="D118" s="1508"/>
      <c r="E118" s="1508"/>
      <c r="F118" s="1508"/>
      <c r="G118" s="1508"/>
      <c r="H118" s="1508"/>
      <c r="I118" s="1508"/>
      <c r="J118" s="1508"/>
      <c r="K118" s="1508"/>
      <c r="L118" s="1508"/>
      <c r="M118" s="1508"/>
      <c r="N118" s="1508"/>
      <c r="O118" s="1508"/>
      <c r="P118" s="1508"/>
      <c r="Q118" s="1509">
        <v>9.86</v>
      </c>
      <c r="R118" s="1509"/>
      <c r="S118" s="1509"/>
      <c r="T118" s="1509"/>
      <c r="U118" s="1510">
        <v>344.9</v>
      </c>
      <c r="V118" s="1510"/>
      <c r="W118" s="1510"/>
      <c r="X118" s="1510"/>
      <c r="Y118" s="1509">
        <v>8.8699999999999992</v>
      </c>
      <c r="Z118" s="1509"/>
      <c r="AA118" s="1509"/>
      <c r="AB118" s="1509"/>
      <c r="AC118" s="1510">
        <v>318.8</v>
      </c>
      <c r="AD118" s="1510"/>
      <c r="AE118" s="1510"/>
      <c r="AF118" s="1510"/>
    </row>
    <row r="119" spans="1:32" ht="30" customHeight="1" x14ac:dyDescent="0.25">
      <c r="A119" s="1508" t="s">
        <v>2465</v>
      </c>
      <c r="B119" s="1508"/>
      <c r="C119" s="1508"/>
      <c r="D119" s="1508"/>
      <c r="E119" s="1508"/>
      <c r="F119" s="1508"/>
      <c r="G119" s="1508"/>
      <c r="H119" s="1508"/>
      <c r="I119" s="1508"/>
      <c r="J119" s="1508"/>
      <c r="K119" s="1508"/>
      <c r="L119" s="1508"/>
      <c r="M119" s="1508"/>
      <c r="N119" s="1508"/>
      <c r="O119" s="1508"/>
      <c r="P119" s="1508"/>
      <c r="Q119" s="1509">
        <v>7.29</v>
      </c>
      <c r="R119" s="1509"/>
      <c r="S119" s="1509"/>
      <c r="T119" s="1509"/>
      <c r="U119" s="1510">
        <v>107.8</v>
      </c>
      <c r="V119" s="1510"/>
      <c r="W119" s="1510"/>
      <c r="X119" s="1510"/>
      <c r="Y119" s="1509">
        <v>6.56</v>
      </c>
      <c r="Z119" s="1509"/>
      <c r="AA119" s="1509"/>
      <c r="AB119" s="1509"/>
      <c r="AC119" s="1510">
        <v>97</v>
      </c>
      <c r="AD119" s="1510"/>
      <c r="AE119" s="1510"/>
      <c r="AF119" s="1510"/>
    </row>
    <row r="120" spans="1:32" ht="30" customHeight="1" x14ac:dyDescent="0.25">
      <c r="A120" s="1508" t="s">
        <v>2466</v>
      </c>
      <c r="B120" s="1508"/>
      <c r="C120" s="1508"/>
      <c r="D120" s="1508"/>
      <c r="E120" s="1508"/>
      <c r="F120" s="1508"/>
      <c r="G120" s="1508"/>
      <c r="H120" s="1508"/>
      <c r="I120" s="1508"/>
      <c r="J120" s="1508"/>
      <c r="K120" s="1508"/>
      <c r="L120" s="1508"/>
      <c r="M120" s="1508"/>
      <c r="N120" s="1508"/>
      <c r="O120" s="1508"/>
      <c r="P120" s="1508"/>
      <c r="Q120" s="1509">
        <v>10.24</v>
      </c>
      <c r="R120" s="1509"/>
      <c r="S120" s="1509"/>
      <c r="T120" s="1509"/>
      <c r="U120" s="1510">
        <v>148.1</v>
      </c>
      <c r="V120" s="1510"/>
      <c r="W120" s="1510"/>
      <c r="X120" s="1510"/>
      <c r="Y120" s="1509">
        <v>9.2200000000000006</v>
      </c>
      <c r="Z120" s="1509"/>
      <c r="AA120" s="1509"/>
      <c r="AB120" s="1509"/>
      <c r="AC120" s="1510">
        <v>133.30000000000001</v>
      </c>
      <c r="AD120" s="1510"/>
      <c r="AE120" s="1510"/>
      <c r="AF120" s="1510"/>
    </row>
    <row r="121" spans="1:32" ht="30" customHeight="1" x14ac:dyDescent="0.25">
      <c r="A121" s="1508" t="s">
        <v>2470</v>
      </c>
      <c r="B121" s="1508"/>
      <c r="C121" s="1508"/>
      <c r="D121" s="1508"/>
      <c r="E121" s="1508"/>
      <c r="F121" s="1508"/>
      <c r="G121" s="1508"/>
      <c r="H121" s="1508"/>
      <c r="I121" s="1508"/>
      <c r="J121" s="1508"/>
      <c r="K121" s="1508"/>
      <c r="L121" s="1508"/>
      <c r="M121" s="1508"/>
      <c r="N121" s="1508"/>
      <c r="O121" s="1508"/>
      <c r="P121" s="1508"/>
      <c r="Q121" s="1509">
        <f>AVERAGE(Q114:Q120)</f>
        <v>8.58</v>
      </c>
      <c r="R121" s="1509"/>
      <c r="S121" s="1509"/>
      <c r="T121" s="1509"/>
      <c r="U121" s="1510">
        <f>AVERAGE(U114:U120)</f>
        <v>227.99999999999997</v>
      </c>
      <c r="V121" s="1510"/>
      <c r="W121" s="1510"/>
      <c r="X121" s="1510"/>
      <c r="Y121" s="1509">
        <f t="shared" ref="Y121" si="2">AVERAGE(Y114:Y120)</f>
        <v>7.7214285714285706</v>
      </c>
      <c r="Z121" s="1509"/>
      <c r="AA121" s="1509"/>
      <c r="AB121" s="1509"/>
      <c r="AC121" s="1510">
        <f t="shared" ref="AC121" si="3">AVERAGE(AC114:AC120)</f>
        <v>207.59999999999997</v>
      </c>
      <c r="AD121" s="1510"/>
      <c r="AE121" s="1510"/>
      <c r="AF121" s="1510"/>
    </row>
    <row r="122" spans="1:32" ht="54.75" customHeight="1" x14ac:dyDescent="0.25">
      <c r="A122" s="1290" t="s">
        <v>2469</v>
      </c>
      <c r="B122" s="1290"/>
      <c r="C122" s="1290"/>
      <c r="D122" s="1290"/>
      <c r="E122" s="1290"/>
      <c r="F122" s="1290"/>
      <c r="G122" s="1290"/>
      <c r="H122" s="1290"/>
      <c r="I122" s="1290"/>
      <c r="J122" s="1290"/>
      <c r="K122" s="1290"/>
      <c r="L122" s="1290"/>
      <c r="M122" s="1290"/>
      <c r="N122" s="1290"/>
      <c r="O122" s="1290"/>
      <c r="P122" s="1290"/>
      <c r="Q122" s="1290"/>
      <c r="R122" s="1290"/>
      <c r="S122" s="1290"/>
      <c r="T122" s="1290"/>
      <c r="U122" s="1290"/>
      <c r="V122" s="1290"/>
      <c r="W122" s="1290"/>
      <c r="X122" s="1290"/>
      <c r="Y122" s="1290"/>
      <c r="Z122" s="1290"/>
      <c r="AA122" s="1290"/>
      <c r="AB122" s="1290"/>
      <c r="AC122" s="1290"/>
      <c r="AD122" s="1290"/>
      <c r="AE122" s="1290"/>
      <c r="AF122" s="1290"/>
    </row>
    <row r="123" spans="1:32" ht="43.5" customHeight="1" x14ac:dyDescent="0.25">
      <c r="A123" s="1290" t="s">
        <v>2468</v>
      </c>
      <c r="B123" s="1290"/>
      <c r="C123" s="1290"/>
      <c r="D123" s="1290"/>
      <c r="E123" s="1290"/>
      <c r="F123" s="1290"/>
      <c r="G123" s="1290"/>
      <c r="H123" s="1290"/>
      <c r="I123" s="1290"/>
      <c r="J123" s="1290"/>
      <c r="K123" s="1290"/>
      <c r="L123" s="1290"/>
      <c r="M123" s="1290"/>
      <c r="N123" s="1290"/>
      <c r="O123" s="1290"/>
      <c r="P123" s="1290"/>
      <c r="Q123" s="1290"/>
      <c r="R123" s="1290"/>
      <c r="S123" s="1290"/>
      <c r="T123" s="1290"/>
      <c r="U123" s="1290"/>
      <c r="V123" s="1290"/>
      <c r="W123" s="1290"/>
      <c r="X123" s="1290"/>
      <c r="Y123" s="1290"/>
      <c r="Z123" s="1290"/>
      <c r="AA123" s="1290"/>
      <c r="AB123" s="1290"/>
      <c r="AC123" s="1290"/>
      <c r="AD123" s="1290"/>
      <c r="AE123" s="1290"/>
      <c r="AF123" s="1290"/>
    </row>
    <row r="124" spans="1:32" ht="31.5" customHeight="1" x14ac:dyDescent="0.25">
      <c r="A124" s="1290" t="s">
        <v>2471</v>
      </c>
      <c r="B124" s="1290"/>
      <c r="C124" s="1290"/>
      <c r="D124" s="1290"/>
      <c r="E124" s="1290"/>
      <c r="F124" s="1290"/>
      <c r="G124" s="1290"/>
      <c r="H124" s="1290"/>
      <c r="I124" s="1290"/>
      <c r="J124" s="1290"/>
      <c r="K124" s="1290"/>
      <c r="L124" s="1290"/>
      <c r="M124" s="1290"/>
      <c r="N124" s="1290"/>
      <c r="O124" s="1290"/>
      <c r="P124" s="1290"/>
      <c r="Q124" s="1290"/>
      <c r="R124" s="1290"/>
      <c r="S124" s="1290"/>
      <c r="T124" s="1290"/>
      <c r="U124" s="1290"/>
      <c r="V124" s="1290"/>
      <c r="W124" s="1290"/>
      <c r="X124" s="1290"/>
      <c r="Y124" s="1290"/>
      <c r="Z124" s="1290"/>
      <c r="AA124" s="1290"/>
      <c r="AB124" s="1290"/>
      <c r="AC124" s="1290"/>
      <c r="AD124" s="1290"/>
      <c r="AE124" s="1290"/>
      <c r="AF124" s="1290"/>
    </row>
    <row r="125" spans="1:32" x14ac:dyDescent="0.2">
      <c r="A125" s="146"/>
    </row>
    <row r="126" spans="1:32" x14ac:dyDescent="0.25">
      <c r="A126" s="1472" t="s">
        <v>2490</v>
      </c>
      <c r="B126" s="1472"/>
      <c r="C126" s="1472"/>
      <c r="D126" s="1472"/>
      <c r="E126" s="1472"/>
      <c r="F126" s="1472"/>
      <c r="G126" s="1472"/>
      <c r="H126" s="1472"/>
      <c r="I126" s="1472"/>
      <c r="J126" s="1472"/>
      <c r="K126" s="1472"/>
      <c r="L126" s="1472"/>
      <c r="M126" s="1472"/>
      <c r="N126" s="1472"/>
      <c r="O126" s="1472"/>
      <c r="P126" s="1472"/>
      <c r="Q126" s="1472"/>
      <c r="R126" s="1472"/>
      <c r="S126" s="1472"/>
      <c r="T126" s="1472"/>
      <c r="U126" s="1472"/>
      <c r="V126" s="1472"/>
      <c r="W126" s="1472"/>
      <c r="X126" s="1472"/>
      <c r="Y126" s="1472"/>
      <c r="Z126" s="1472"/>
      <c r="AA126" s="1472"/>
      <c r="AB126" s="1472"/>
      <c r="AC126" s="1472"/>
      <c r="AD126" s="1472"/>
      <c r="AE126" s="1472"/>
      <c r="AF126" s="1472"/>
    </row>
    <row r="128" spans="1:32" x14ac:dyDescent="0.25">
      <c r="B128" s="171" t="s">
        <v>2472</v>
      </c>
    </row>
    <row r="130" spans="2:32" ht="34.5" customHeight="1" x14ac:dyDescent="0.25">
      <c r="B130" s="1512" t="s">
        <v>2861</v>
      </c>
      <c r="C130" s="1513"/>
      <c r="D130" s="1513"/>
      <c r="E130" s="1513"/>
      <c r="F130" s="1513"/>
      <c r="G130" s="1513"/>
      <c r="H130" s="1513"/>
      <c r="I130" s="1513"/>
      <c r="J130" s="1513"/>
      <c r="K130" s="1513"/>
      <c r="L130" s="1513"/>
      <c r="M130" s="1513"/>
      <c r="N130" s="1513"/>
      <c r="O130" s="1513"/>
      <c r="P130" s="1513"/>
      <c r="Q130" s="1513"/>
      <c r="R130" s="1514" t="s">
        <v>2924</v>
      </c>
      <c r="S130" s="1515"/>
      <c r="T130" s="1515"/>
      <c r="U130" s="1515"/>
      <c r="V130" s="1516"/>
      <c r="W130" s="1514" t="s">
        <v>24</v>
      </c>
      <c r="X130" s="1515"/>
      <c r="Y130" s="1515"/>
      <c r="Z130" s="1515"/>
      <c r="AA130" s="1516"/>
      <c r="AB130" s="1514" t="s">
        <v>2012</v>
      </c>
      <c r="AC130" s="1515"/>
      <c r="AD130" s="1515"/>
      <c r="AE130" s="1515"/>
      <c r="AF130" s="1516"/>
    </row>
    <row r="131" spans="2:32" ht="30" customHeight="1" x14ac:dyDescent="0.25">
      <c r="B131" s="1517" t="s">
        <v>2451</v>
      </c>
      <c r="C131" s="1517"/>
      <c r="D131" s="1517"/>
      <c r="E131" s="1517"/>
      <c r="F131" s="1517"/>
      <c r="G131" s="1517"/>
      <c r="H131" s="1517"/>
      <c r="I131" s="1517"/>
      <c r="J131" s="1517"/>
      <c r="K131" s="1517"/>
      <c r="L131" s="1517"/>
      <c r="M131" s="1517"/>
      <c r="N131" s="1517"/>
      <c r="O131" s="1517"/>
      <c r="P131" s="1517"/>
      <c r="Q131" s="1517"/>
      <c r="R131" s="1518">
        <f>ROUND(W131*$Q$84/$Q$83,3)</f>
        <v>4.0000000000000001E-3</v>
      </c>
      <c r="S131" s="1519"/>
      <c r="T131" s="1519"/>
      <c r="U131" s="1519"/>
      <c r="V131" s="1520"/>
      <c r="W131" s="1521">
        <f t="shared" ref="W131:W137" si="4">ROUND(((Q99*25.4+U99)-(Y99*25.4+AC99))*$Q$82,2)</f>
        <v>36.67</v>
      </c>
      <c r="X131" s="1522"/>
      <c r="Y131" s="1522"/>
      <c r="Z131" s="1522"/>
      <c r="AA131" s="1523"/>
      <c r="AB131" s="1524">
        <f>ROUND(W131*$Q$85,3)</f>
        <v>513.38</v>
      </c>
      <c r="AC131" s="1525"/>
      <c r="AD131" s="1525"/>
      <c r="AE131" s="1525"/>
      <c r="AF131" s="1526"/>
    </row>
    <row r="132" spans="2:32" ht="30" customHeight="1" x14ac:dyDescent="0.25">
      <c r="B132" s="1517" t="s">
        <v>2452</v>
      </c>
      <c r="C132" s="1517"/>
      <c r="D132" s="1517"/>
      <c r="E132" s="1517"/>
      <c r="F132" s="1517"/>
      <c r="G132" s="1517"/>
      <c r="H132" s="1517"/>
      <c r="I132" s="1517"/>
      <c r="J132" s="1517"/>
      <c r="K132" s="1517"/>
      <c r="L132" s="1517"/>
      <c r="M132" s="1517"/>
      <c r="N132" s="1517"/>
      <c r="O132" s="1517"/>
      <c r="P132" s="1517"/>
      <c r="Q132" s="1517"/>
      <c r="R132" s="1518">
        <f t="shared" ref="R132:R136" si="5">ROUND(W132*$Q$84/$Q$83,3)</f>
        <v>5.0000000000000001E-3</v>
      </c>
      <c r="S132" s="1519"/>
      <c r="T132" s="1519"/>
      <c r="U132" s="1519"/>
      <c r="V132" s="1520"/>
      <c r="W132" s="1521">
        <f>ROUND(((Q100*25.4+U100)-(Y100*25.4+AC100))*$Q$82,2)</f>
        <v>43.97</v>
      </c>
      <c r="X132" s="1522"/>
      <c r="Y132" s="1522"/>
      <c r="Z132" s="1522"/>
      <c r="AA132" s="1523"/>
      <c r="AB132" s="1524">
        <f t="shared" ref="AB132:AB138" si="6">ROUND(W132*$Q$85,3)</f>
        <v>615.58000000000004</v>
      </c>
      <c r="AC132" s="1525"/>
      <c r="AD132" s="1525"/>
      <c r="AE132" s="1525"/>
      <c r="AF132" s="1526"/>
    </row>
    <row r="133" spans="2:32" ht="30" customHeight="1" x14ac:dyDescent="0.25">
      <c r="B133" s="1517" t="s">
        <v>2453</v>
      </c>
      <c r="C133" s="1517"/>
      <c r="D133" s="1517"/>
      <c r="E133" s="1517"/>
      <c r="F133" s="1517"/>
      <c r="G133" s="1517"/>
      <c r="H133" s="1517"/>
      <c r="I133" s="1517"/>
      <c r="J133" s="1517"/>
      <c r="K133" s="1517"/>
      <c r="L133" s="1517"/>
      <c r="M133" s="1517"/>
      <c r="N133" s="1517"/>
      <c r="O133" s="1517"/>
      <c r="P133" s="1517"/>
      <c r="Q133" s="1517"/>
      <c r="R133" s="1518">
        <f t="shared" si="5"/>
        <v>6.0000000000000001E-3</v>
      </c>
      <c r="S133" s="1519"/>
      <c r="T133" s="1519"/>
      <c r="U133" s="1519"/>
      <c r="V133" s="1520"/>
      <c r="W133" s="1521">
        <f t="shared" si="4"/>
        <v>51.39</v>
      </c>
      <c r="X133" s="1522"/>
      <c r="Y133" s="1522"/>
      <c r="Z133" s="1522"/>
      <c r="AA133" s="1523"/>
      <c r="AB133" s="1524">
        <f t="shared" si="6"/>
        <v>719.46</v>
      </c>
      <c r="AC133" s="1525"/>
      <c r="AD133" s="1525"/>
      <c r="AE133" s="1525"/>
      <c r="AF133" s="1526"/>
    </row>
    <row r="134" spans="2:32" ht="30" customHeight="1" x14ac:dyDescent="0.25">
      <c r="B134" s="1517" t="s">
        <v>2454</v>
      </c>
      <c r="C134" s="1517"/>
      <c r="D134" s="1517"/>
      <c r="E134" s="1517"/>
      <c r="F134" s="1517"/>
      <c r="G134" s="1517"/>
      <c r="H134" s="1517"/>
      <c r="I134" s="1517"/>
      <c r="J134" s="1517"/>
      <c r="K134" s="1517"/>
      <c r="L134" s="1517"/>
      <c r="M134" s="1517"/>
      <c r="N134" s="1517"/>
      <c r="O134" s="1517"/>
      <c r="P134" s="1517"/>
      <c r="Q134" s="1517"/>
      <c r="R134" s="1518">
        <f t="shared" si="5"/>
        <v>6.0000000000000001E-3</v>
      </c>
      <c r="S134" s="1519"/>
      <c r="T134" s="1519"/>
      <c r="U134" s="1519"/>
      <c r="V134" s="1520"/>
      <c r="W134" s="1521">
        <f t="shared" si="4"/>
        <v>54.05</v>
      </c>
      <c r="X134" s="1522"/>
      <c r="Y134" s="1522"/>
      <c r="Z134" s="1522"/>
      <c r="AA134" s="1523"/>
      <c r="AB134" s="1524">
        <f t="shared" si="6"/>
        <v>756.7</v>
      </c>
      <c r="AC134" s="1525"/>
      <c r="AD134" s="1525"/>
      <c r="AE134" s="1525"/>
      <c r="AF134" s="1526"/>
    </row>
    <row r="135" spans="2:32" ht="30" customHeight="1" x14ac:dyDescent="0.25">
      <c r="B135" s="1517" t="s">
        <v>2455</v>
      </c>
      <c r="C135" s="1517"/>
      <c r="D135" s="1517"/>
      <c r="E135" s="1517"/>
      <c r="F135" s="1517"/>
      <c r="G135" s="1517"/>
      <c r="H135" s="1517"/>
      <c r="I135" s="1517"/>
      <c r="J135" s="1517"/>
      <c r="K135" s="1517"/>
      <c r="L135" s="1517"/>
      <c r="M135" s="1517"/>
      <c r="N135" s="1517"/>
      <c r="O135" s="1517"/>
      <c r="P135" s="1517"/>
      <c r="Q135" s="1517"/>
      <c r="R135" s="1518">
        <f t="shared" si="5"/>
        <v>7.0000000000000001E-3</v>
      </c>
      <c r="S135" s="1519"/>
      <c r="T135" s="1519"/>
      <c r="U135" s="1519"/>
      <c r="V135" s="1520"/>
      <c r="W135" s="1521">
        <f t="shared" si="4"/>
        <v>62.47</v>
      </c>
      <c r="X135" s="1522"/>
      <c r="Y135" s="1522"/>
      <c r="Z135" s="1522"/>
      <c r="AA135" s="1523"/>
      <c r="AB135" s="1524">
        <f t="shared" si="6"/>
        <v>874.58</v>
      </c>
      <c r="AC135" s="1525"/>
      <c r="AD135" s="1525"/>
      <c r="AE135" s="1525"/>
      <c r="AF135" s="1526"/>
    </row>
    <row r="136" spans="2:32" ht="30" customHeight="1" x14ac:dyDescent="0.25">
      <c r="B136" s="1517" t="s">
        <v>2456</v>
      </c>
      <c r="C136" s="1517"/>
      <c r="D136" s="1517"/>
      <c r="E136" s="1517"/>
      <c r="F136" s="1517"/>
      <c r="G136" s="1517"/>
      <c r="H136" s="1517"/>
      <c r="I136" s="1517"/>
      <c r="J136" s="1517"/>
      <c r="K136" s="1517"/>
      <c r="L136" s="1517"/>
      <c r="M136" s="1517"/>
      <c r="N136" s="1517"/>
      <c r="O136" s="1517"/>
      <c r="P136" s="1517"/>
      <c r="Q136" s="1517"/>
      <c r="R136" s="1518">
        <f t="shared" si="5"/>
        <v>6.0000000000000001E-3</v>
      </c>
      <c r="S136" s="1519"/>
      <c r="T136" s="1519"/>
      <c r="U136" s="1519"/>
      <c r="V136" s="1520"/>
      <c r="W136" s="1521">
        <f t="shared" si="4"/>
        <v>51.44</v>
      </c>
      <c r="X136" s="1522"/>
      <c r="Y136" s="1522"/>
      <c r="Z136" s="1522"/>
      <c r="AA136" s="1523"/>
      <c r="AB136" s="1524">
        <f t="shared" si="6"/>
        <v>720.16</v>
      </c>
      <c r="AC136" s="1525"/>
      <c r="AD136" s="1525"/>
      <c r="AE136" s="1525"/>
      <c r="AF136" s="1526"/>
    </row>
    <row r="137" spans="2:32" ht="30" customHeight="1" x14ac:dyDescent="0.25">
      <c r="B137" s="1517" t="s">
        <v>2503</v>
      </c>
      <c r="C137" s="1517"/>
      <c r="D137" s="1517"/>
      <c r="E137" s="1517"/>
      <c r="F137" s="1517"/>
      <c r="G137" s="1517"/>
      <c r="H137" s="1517"/>
      <c r="I137" s="1517"/>
      <c r="J137" s="1517"/>
      <c r="K137" s="1517"/>
      <c r="L137" s="1517"/>
      <c r="M137" s="1517"/>
      <c r="N137" s="1517"/>
      <c r="O137" s="1517"/>
      <c r="P137" s="1517"/>
      <c r="Q137" s="1517"/>
      <c r="R137" s="1518">
        <f>ROUND(W137*$Q$84/$Q$83,3)</f>
        <v>6.0000000000000001E-3</v>
      </c>
      <c r="S137" s="1519"/>
      <c r="T137" s="1519"/>
      <c r="U137" s="1519"/>
      <c r="V137" s="1520"/>
      <c r="W137" s="1521">
        <f t="shared" si="4"/>
        <v>56.49</v>
      </c>
      <c r="X137" s="1522"/>
      <c r="Y137" s="1522"/>
      <c r="Z137" s="1522"/>
      <c r="AA137" s="1523"/>
      <c r="AB137" s="1524">
        <f>ROUND(W137*$Q$85,3)</f>
        <v>790.86</v>
      </c>
      <c r="AC137" s="1525"/>
      <c r="AD137" s="1525"/>
      <c r="AE137" s="1525"/>
      <c r="AF137" s="1526"/>
    </row>
    <row r="138" spans="2:32" ht="30" customHeight="1" x14ac:dyDescent="0.25">
      <c r="B138" s="1517" t="s">
        <v>2457</v>
      </c>
      <c r="C138" s="1517"/>
      <c r="D138" s="1517"/>
      <c r="E138" s="1517"/>
      <c r="F138" s="1517"/>
      <c r="G138" s="1517"/>
      <c r="H138" s="1517"/>
      <c r="I138" s="1517"/>
      <c r="J138" s="1517"/>
      <c r="K138" s="1517"/>
      <c r="L138" s="1517"/>
      <c r="M138" s="1517"/>
      <c r="N138" s="1517"/>
      <c r="O138" s="1517"/>
      <c r="P138" s="1517"/>
      <c r="Q138" s="1517"/>
      <c r="R138" s="1518">
        <f>ROUND(W138*$Q$84/$Q$83,3)</f>
        <v>6.0000000000000001E-3</v>
      </c>
      <c r="S138" s="1519"/>
      <c r="T138" s="1519"/>
      <c r="U138" s="1519"/>
      <c r="V138" s="1520"/>
      <c r="W138" s="1521">
        <f>ROUND(((Q106*25.4+U106)-(Y106*25.4+AC106))*$Q$82,2)</f>
        <v>50.93</v>
      </c>
      <c r="X138" s="1522"/>
      <c r="Y138" s="1522"/>
      <c r="Z138" s="1522"/>
      <c r="AA138" s="1523"/>
      <c r="AB138" s="1524">
        <f t="shared" si="6"/>
        <v>713.02</v>
      </c>
      <c r="AC138" s="1525"/>
      <c r="AD138" s="1525"/>
      <c r="AE138" s="1525"/>
      <c r="AF138" s="1526"/>
    </row>
    <row r="140" spans="2:32" x14ac:dyDescent="0.25">
      <c r="B140" s="171" t="s">
        <v>2476</v>
      </c>
    </row>
    <row r="142" spans="2:32" ht="34.5" customHeight="1" x14ac:dyDescent="0.25">
      <c r="B142" s="1512" t="s">
        <v>2491</v>
      </c>
      <c r="C142" s="1513"/>
      <c r="D142" s="1513"/>
      <c r="E142" s="1513"/>
      <c r="F142" s="1513"/>
      <c r="G142" s="1513"/>
      <c r="H142" s="1513"/>
      <c r="I142" s="1513"/>
      <c r="J142" s="1513"/>
      <c r="K142" s="1513"/>
      <c r="L142" s="1513"/>
      <c r="M142" s="1513"/>
      <c r="N142" s="1513"/>
      <c r="O142" s="1513"/>
      <c r="P142" s="1513"/>
      <c r="Q142" s="1513"/>
      <c r="R142" s="1514" t="s">
        <v>2924</v>
      </c>
      <c r="S142" s="1515"/>
      <c r="T142" s="1515"/>
      <c r="U142" s="1515"/>
      <c r="V142" s="1516"/>
      <c r="W142" s="1514" t="s">
        <v>24</v>
      </c>
      <c r="X142" s="1515"/>
      <c r="Y142" s="1515"/>
      <c r="Z142" s="1515"/>
      <c r="AA142" s="1516"/>
      <c r="AB142" s="1514" t="s">
        <v>2012</v>
      </c>
      <c r="AC142" s="1515"/>
      <c r="AD142" s="1515"/>
      <c r="AE142" s="1515"/>
      <c r="AF142" s="1516"/>
    </row>
    <row r="143" spans="2:32" ht="30" customHeight="1" x14ac:dyDescent="0.25">
      <c r="B143" s="1517" t="s">
        <v>2460</v>
      </c>
      <c r="C143" s="1517"/>
      <c r="D143" s="1517"/>
      <c r="E143" s="1517"/>
      <c r="F143" s="1517"/>
      <c r="G143" s="1517"/>
      <c r="H143" s="1517"/>
      <c r="I143" s="1517"/>
      <c r="J143" s="1517"/>
      <c r="K143" s="1517"/>
      <c r="L143" s="1517"/>
      <c r="M143" s="1517"/>
      <c r="N143" s="1517"/>
      <c r="O143" s="1517"/>
      <c r="P143" s="1517"/>
      <c r="Q143" s="1517"/>
      <c r="R143" s="1518">
        <f>ROUND(W143*$Q$84/$Q$83,3)</f>
        <v>4.0000000000000001E-3</v>
      </c>
      <c r="S143" s="1519"/>
      <c r="T143" s="1519"/>
      <c r="U143" s="1519"/>
      <c r="V143" s="1520"/>
      <c r="W143" s="1521">
        <f t="shared" ref="W143:W149" si="7">ROUND(((Q114*26+U114)-(Y114*26+AC114))*$Q$82,2)</f>
        <v>33.96</v>
      </c>
      <c r="X143" s="1522"/>
      <c r="Y143" s="1522"/>
      <c r="Z143" s="1522"/>
      <c r="AA143" s="1523"/>
      <c r="AB143" s="1524">
        <f>ROUND(W143*$Q$86,3)</f>
        <v>577.32000000000005</v>
      </c>
      <c r="AC143" s="1525"/>
      <c r="AD143" s="1525"/>
      <c r="AE143" s="1525"/>
      <c r="AF143" s="1526"/>
    </row>
    <row r="144" spans="2:32" ht="30" customHeight="1" x14ac:dyDescent="0.25">
      <c r="B144" s="1517" t="s">
        <v>2461</v>
      </c>
      <c r="C144" s="1517"/>
      <c r="D144" s="1517"/>
      <c r="E144" s="1517"/>
      <c r="F144" s="1517"/>
      <c r="G144" s="1517"/>
      <c r="H144" s="1517"/>
      <c r="I144" s="1517"/>
      <c r="J144" s="1517"/>
      <c r="K144" s="1517"/>
      <c r="L144" s="1517"/>
      <c r="M144" s="1517"/>
      <c r="N144" s="1517"/>
      <c r="O144" s="1517"/>
      <c r="P144" s="1517"/>
      <c r="Q144" s="1517"/>
      <c r="R144" s="1518">
        <f t="shared" ref="R144:R147" si="8">ROUND(W144*$Q$84/$Q$83,3)</f>
        <v>5.0000000000000001E-3</v>
      </c>
      <c r="S144" s="1519"/>
      <c r="T144" s="1519"/>
      <c r="U144" s="1519"/>
      <c r="V144" s="1520"/>
      <c r="W144" s="1521">
        <f t="shared" si="7"/>
        <v>45.16</v>
      </c>
      <c r="X144" s="1522"/>
      <c r="Y144" s="1522"/>
      <c r="Z144" s="1522"/>
      <c r="AA144" s="1523"/>
      <c r="AB144" s="1524">
        <f t="shared" ref="AB144:AB149" si="9">ROUND(W144*$Q$86,3)</f>
        <v>767.72</v>
      </c>
      <c r="AC144" s="1525"/>
      <c r="AD144" s="1525"/>
      <c r="AE144" s="1525"/>
      <c r="AF144" s="1526"/>
    </row>
    <row r="145" spans="2:32" ht="30" customHeight="1" x14ac:dyDescent="0.25">
      <c r="B145" s="1517" t="s">
        <v>2462</v>
      </c>
      <c r="C145" s="1517"/>
      <c r="D145" s="1517"/>
      <c r="E145" s="1517"/>
      <c r="F145" s="1517"/>
      <c r="G145" s="1517"/>
      <c r="H145" s="1517"/>
      <c r="I145" s="1517"/>
      <c r="J145" s="1517"/>
      <c r="K145" s="1517"/>
      <c r="L145" s="1517"/>
      <c r="M145" s="1517"/>
      <c r="N145" s="1517"/>
      <c r="O145" s="1517"/>
      <c r="P145" s="1517"/>
      <c r="Q145" s="1517"/>
      <c r="R145" s="1518">
        <f t="shared" si="8"/>
        <v>5.0000000000000001E-3</v>
      </c>
      <c r="S145" s="1519"/>
      <c r="T145" s="1519"/>
      <c r="U145" s="1519"/>
      <c r="V145" s="1520"/>
      <c r="W145" s="1521">
        <f t="shared" si="7"/>
        <v>45.16</v>
      </c>
      <c r="X145" s="1522"/>
      <c r="Y145" s="1522"/>
      <c r="Z145" s="1522"/>
      <c r="AA145" s="1523"/>
      <c r="AB145" s="1524">
        <f>ROUND(W145*$Q$86,3)</f>
        <v>767.72</v>
      </c>
      <c r="AC145" s="1525"/>
      <c r="AD145" s="1525"/>
      <c r="AE145" s="1525"/>
      <c r="AF145" s="1526"/>
    </row>
    <row r="146" spans="2:32" ht="30" customHeight="1" x14ac:dyDescent="0.25">
      <c r="B146" s="1517" t="s">
        <v>2463</v>
      </c>
      <c r="C146" s="1517"/>
      <c r="D146" s="1517"/>
      <c r="E146" s="1517"/>
      <c r="F146" s="1517"/>
      <c r="G146" s="1517"/>
      <c r="H146" s="1517"/>
      <c r="I146" s="1517"/>
      <c r="J146" s="1517"/>
      <c r="K146" s="1517"/>
      <c r="L146" s="1517"/>
      <c r="M146" s="1517"/>
      <c r="N146" s="1517"/>
      <c r="O146" s="1517"/>
      <c r="P146" s="1517"/>
      <c r="Q146" s="1517"/>
      <c r="R146" s="1518">
        <f t="shared" si="8"/>
        <v>6.0000000000000001E-3</v>
      </c>
      <c r="S146" s="1519"/>
      <c r="T146" s="1519"/>
      <c r="U146" s="1519"/>
      <c r="V146" s="1520"/>
      <c r="W146" s="1521">
        <f t="shared" si="7"/>
        <v>51.84</v>
      </c>
      <c r="X146" s="1522"/>
      <c r="Y146" s="1522"/>
      <c r="Z146" s="1522"/>
      <c r="AA146" s="1523"/>
      <c r="AB146" s="1524">
        <f t="shared" si="9"/>
        <v>881.28</v>
      </c>
      <c r="AC146" s="1525"/>
      <c r="AD146" s="1525"/>
      <c r="AE146" s="1525"/>
      <c r="AF146" s="1526"/>
    </row>
    <row r="147" spans="2:32" ht="30" customHeight="1" x14ac:dyDescent="0.25">
      <c r="B147" s="1517" t="s">
        <v>2464</v>
      </c>
      <c r="C147" s="1517"/>
      <c r="D147" s="1517"/>
      <c r="E147" s="1517"/>
      <c r="F147" s="1517"/>
      <c r="G147" s="1517"/>
      <c r="H147" s="1517"/>
      <c r="I147" s="1517"/>
      <c r="J147" s="1517"/>
      <c r="K147" s="1517"/>
      <c r="L147" s="1517"/>
      <c r="M147" s="1517"/>
      <c r="N147" s="1517"/>
      <c r="O147" s="1517"/>
      <c r="P147" s="1517"/>
      <c r="Q147" s="1517"/>
      <c r="R147" s="1518">
        <f t="shared" si="8"/>
        <v>6.0000000000000001E-3</v>
      </c>
      <c r="S147" s="1519"/>
      <c r="T147" s="1519"/>
      <c r="U147" s="1519"/>
      <c r="V147" s="1520"/>
      <c r="W147" s="1521">
        <f t="shared" si="7"/>
        <v>51.84</v>
      </c>
      <c r="X147" s="1522"/>
      <c r="Y147" s="1522"/>
      <c r="Z147" s="1522"/>
      <c r="AA147" s="1523"/>
      <c r="AB147" s="1524">
        <f t="shared" si="9"/>
        <v>881.28</v>
      </c>
      <c r="AC147" s="1525"/>
      <c r="AD147" s="1525"/>
      <c r="AE147" s="1525"/>
      <c r="AF147" s="1526"/>
    </row>
    <row r="148" spans="2:32" ht="30" customHeight="1" x14ac:dyDescent="0.25">
      <c r="B148" s="1517" t="s">
        <v>2465</v>
      </c>
      <c r="C148" s="1517"/>
      <c r="D148" s="1517"/>
      <c r="E148" s="1517"/>
      <c r="F148" s="1517"/>
      <c r="G148" s="1517"/>
      <c r="H148" s="1517"/>
      <c r="I148" s="1517"/>
      <c r="J148" s="1517"/>
      <c r="K148" s="1517"/>
      <c r="L148" s="1517"/>
      <c r="M148" s="1517"/>
      <c r="N148" s="1517"/>
      <c r="O148" s="1517"/>
      <c r="P148" s="1517"/>
      <c r="Q148" s="1517"/>
      <c r="R148" s="1518">
        <f>ROUND(W148*$Q$84/$Q$83,3)</f>
        <v>3.0000000000000001E-3</v>
      </c>
      <c r="S148" s="1519"/>
      <c r="T148" s="1519"/>
      <c r="U148" s="1519"/>
      <c r="V148" s="1520"/>
      <c r="W148" s="1521">
        <f t="shared" si="7"/>
        <v>29.78</v>
      </c>
      <c r="X148" s="1522"/>
      <c r="Y148" s="1522"/>
      <c r="Z148" s="1522"/>
      <c r="AA148" s="1523"/>
      <c r="AB148" s="1524">
        <f t="shared" si="9"/>
        <v>506.26</v>
      </c>
      <c r="AC148" s="1525"/>
      <c r="AD148" s="1525"/>
      <c r="AE148" s="1525"/>
      <c r="AF148" s="1526"/>
    </row>
    <row r="149" spans="2:32" ht="30" customHeight="1" x14ac:dyDescent="0.25">
      <c r="B149" s="1517" t="s">
        <v>2466</v>
      </c>
      <c r="C149" s="1517"/>
      <c r="D149" s="1517"/>
      <c r="E149" s="1517"/>
      <c r="F149" s="1517"/>
      <c r="G149" s="1517"/>
      <c r="H149" s="1517"/>
      <c r="I149" s="1517"/>
      <c r="J149" s="1517"/>
      <c r="K149" s="1517"/>
      <c r="L149" s="1517"/>
      <c r="M149" s="1517"/>
      <c r="N149" s="1517"/>
      <c r="O149" s="1517"/>
      <c r="P149" s="1517"/>
      <c r="Q149" s="1517"/>
      <c r="R149" s="1518">
        <f>ROUND(W149*$Q$84/$Q$83,3)</f>
        <v>5.0000000000000001E-3</v>
      </c>
      <c r="S149" s="1519"/>
      <c r="T149" s="1519"/>
      <c r="U149" s="1519"/>
      <c r="V149" s="1520"/>
      <c r="W149" s="1521">
        <f t="shared" si="7"/>
        <v>41.32</v>
      </c>
      <c r="X149" s="1522"/>
      <c r="Y149" s="1522"/>
      <c r="Z149" s="1522"/>
      <c r="AA149" s="1523"/>
      <c r="AB149" s="1524">
        <f t="shared" si="9"/>
        <v>702.44</v>
      </c>
      <c r="AC149" s="1525"/>
      <c r="AD149" s="1525"/>
      <c r="AE149" s="1525"/>
      <c r="AF149" s="1526"/>
    </row>
    <row r="150" spans="2:32" ht="30" customHeight="1" x14ac:dyDescent="0.25">
      <c r="B150" s="1517" t="s">
        <v>2467</v>
      </c>
      <c r="C150" s="1517"/>
      <c r="D150" s="1517"/>
      <c r="E150" s="1517"/>
      <c r="F150" s="1517"/>
      <c r="G150" s="1517"/>
      <c r="H150" s="1517"/>
      <c r="I150" s="1517"/>
      <c r="J150" s="1517"/>
      <c r="K150" s="1517"/>
      <c r="L150" s="1517"/>
      <c r="M150" s="1517"/>
      <c r="N150" s="1517"/>
      <c r="O150" s="1517"/>
      <c r="P150" s="1517"/>
      <c r="Q150" s="1517"/>
      <c r="R150" s="1518">
        <f>ROUND(W150*$Q$84/$Q$83,3)</f>
        <v>5.0000000000000001E-3</v>
      </c>
      <c r="S150" s="1519"/>
      <c r="T150" s="1519"/>
      <c r="U150" s="1519"/>
      <c r="V150" s="1520"/>
      <c r="W150" s="1521">
        <f>ROUND(((Q121*26+U121)-(Y121*26+AC121))*$Q$82,2)</f>
        <v>42.72</v>
      </c>
      <c r="X150" s="1522"/>
      <c r="Y150" s="1522"/>
      <c r="Z150" s="1522"/>
      <c r="AA150" s="1523"/>
      <c r="AB150" s="1524">
        <f>ROUND(W150*$Q$86,3)</f>
        <v>726.24</v>
      </c>
      <c r="AC150" s="1525"/>
      <c r="AD150" s="1525"/>
      <c r="AE150" s="1525"/>
      <c r="AF150" s="1526"/>
    </row>
    <row r="152" spans="2:32" x14ac:dyDescent="0.25">
      <c r="B152" s="171" t="s">
        <v>2477</v>
      </c>
    </row>
    <row r="153" spans="2:32" ht="35.25" customHeight="1" x14ac:dyDescent="0.25">
      <c r="B153" s="1527" t="s">
        <v>3845</v>
      </c>
      <c r="C153" s="1527"/>
      <c r="D153" s="1527"/>
      <c r="E153" s="1527"/>
      <c r="F153" s="1527"/>
      <c r="G153" s="1527"/>
      <c r="H153" s="1527"/>
      <c r="I153" s="1527"/>
      <c r="J153" s="1527"/>
      <c r="K153" s="1527"/>
      <c r="L153" s="1527"/>
      <c r="M153" s="1527"/>
      <c r="N153" s="1527"/>
      <c r="O153" s="1527"/>
      <c r="P153" s="1527"/>
      <c r="Q153" s="1527"/>
      <c r="R153" s="1527"/>
      <c r="S153" s="1527"/>
      <c r="T153" s="1527"/>
      <c r="U153" s="1527"/>
      <c r="V153" s="1527"/>
      <c r="W153" s="1527"/>
      <c r="X153" s="1527"/>
      <c r="Y153" s="1527"/>
      <c r="Z153" s="1527"/>
      <c r="AA153" s="1527"/>
      <c r="AB153" s="1527"/>
      <c r="AC153" s="1527"/>
      <c r="AD153" s="1527"/>
      <c r="AE153" s="1527"/>
      <c r="AF153" s="1527"/>
    </row>
    <row r="154" spans="2:32" ht="33" customHeight="1" x14ac:dyDescent="0.25">
      <c r="B154" s="1528" t="s">
        <v>2862</v>
      </c>
      <c r="C154" s="1529"/>
      <c r="D154" s="1529"/>
      <c r="E154" s="1529"/>
      <c r="F154" s="1529"/>
      <c r="G154" s="1529"/>
      <c r="H154" s="1529"/>
      <c r="I154" s="1529"/>
      <c r="J154" s="1529"/>
      <c r="K154" s="1529"/>
      <c r="L154" s="1529"/>
      <c r="M154" s="1529"/>
      <c r="N154" s="1529"/>
      <c r="O154" s="1530"/>
      <c r="P154" s="1534" t="s">
        <v>3846</v>
      </c>
      <c r="Q154" s="1535"/>
      <c r="R154" s="1535"/>
      <c r="S154" s="1535"/>
      <c r="T154" s="1535"/>
      <c r="U154" s="1536"/>
      <c r="V154" s="1534" t="s">
        <v>2194</v>
      </c>
      <c r="W154" s="1535"/>
      <c r="X154" s="1535"/>
      <c r="Y154" s="1535"/>
      <c r="Z154" s="1535"/>
      <c r="AA154" s="1536"/>
      <c r="AB154" s="1528" t="s">
        <v>2012</v>
      </c>
      <c r="AC154" s="1529"/>
      <c r="AD154" s="1529"/>
      <c r="AE154" s="1529"/>
      <c r="AF154" s="1530"/>
    </row>
    <row r="155" spans="2:32" ht="56.25" customHeight="1" x14ac:dyDescent="0.25">
      <c r="B155" s="1531"/>
      <c r="C155" s="1532"/>
      <c r="D155" s="1532"/>
      <c r="E155" s="1532"/>
      <c r="F155" s="1532"/>
      <c r="G155" s="1532"/>
      <c r="H155" s="1532"/>
      <c r="I155" s="1532"/>
      <c r="J155" s="1532"/>
      <c r="K155" s="1532"/>
      <c r="L155" s="1532"/>
      <c r="M155" s="1532"/>
      <c r="N155" s="1532"/>
      <c r="O155" s="1533"/>
      <c r="P155" s="1537" t="s">
        <v>3853</v>
      </c>
      <c r="Q155" s="1537"/>
      <c r="R155" s="1537"/>
      <c r="S155" s="1534" t="s">
        <v>3854</v>
      </c>
      <c r="T155" s="1535"/>
      <c r="U155" s="1536"/>
      <c r="V155" s="1537" t="s">
        <v>3853</v>
      </c>
      <c r="W155" s="1537"/>
      <c r="X155" s="1537"/>
      <c r="Y155" s="1534" t="s">
        <v>3854</v>
      </c>
      <c r="Z155" s="1535"/>
      <c r="AA155" s="1536"/>
      <c r="AB155" s="1531"/>
      <c r="AC155" s="1532"/>
      <c r="AD155" s="1532"/>
      <c r="AE155" s="1532"/>
      <c r="AF155" s="1533"/>
    </row>
    <row r="156" spans="2:32" ht="30" customHeight="1" x14ac:dyDescent="0.25">
      <c r="B156" s="1538" t="s">
        <v>2451</v>
      </c>
      <c r="C156" s="1539"/>
      <c r="D156" s="1539"/>
      <c r="E156" s="1539"/>
      <c r="F156" s="1539"/>
      <c r="G156" s="1539"/>
      <c r="H156" s="1539"/>
      <c r="I156" s="1539"/>
      <c r="J156" s="1539"/>
      <c r="K156" s="1539"/>
      <c r="L156" s="1539"/>
      <c r="M156" s="1539"/>
      <c r="N156" s="1539"/>
      <c r="O156" s="1540"/>
      <c r="P156" s="1541">
        <f t="shared" ref="P156:P163" si="10">ROUND(V156*$Q$84/$Q$83,3)</f>
        <v>9.0999999999999998E-2</v>
      </c>
      <c r="Q156" s="1542"/>
      <c r="R156" s="1542"/>
      <c r="S156" s="1541">
        <f>ROUND(Y156*$Q$84/$Q$83,3)</f>
        <v>4.0000000000000001E-3</v>
      </c>
      <c r="T156" s="1542"/>
      <c r="U156" s="1542"/>
      <c r="V156" s="1543">
        <f>ROUND((W131+$W$185),2)</f>
        <v>794.67</v>
      </c>
      <c r="W156" s="1544"/>
      <c r="X156" s="1544"/>
      <c r="Y156" s="1543">
        <f>W131</f>
        <v>36.67</v>
      </c>
      <c r="Z156" s="1544"/>
      <c r="AA156" s="1544"/>
      <c r="AB156" s="1545">
        <f>ROUND((AB131+$AB$185),2)</f>
        <v>6577.38</v>
      </c>
      <c r="AC156" s="1546"/>
      <c r="AD156" s="1546"/>
      <c r="AE156" s="1546"/>
      <c r="AF156" s="1547"/>
    </row>
    <row r="157" spans="2:32" ht="30" customHeight="1" x14ac:dyDescent="0.25">
      <c r="B157" s="1538" t="s">
        <v>2452</v>
      </c>
      <c r="C157" s="1539"/>
      <c r="D157" s="1539"/>
      <c r="E157" s="1539"/>
      <c r="F157" s="1539"/>
      <c r="G157" s="1539"/>
      <c r="H157" s="1539"/>
      <c r="I157" s="1539"/>
      <c r="J157" s="1539"/>
      <c r="K157" s="1539"/>
      <c r="L157" s="1539"/>
      <c r="M157" s="1539"/>
      <c r="N157" s="1539"/>
      <c r="O157" s="1540"/>
      <c r="P157" s="1541">
        <f t="shared" si="10"/>
        <v>9.1999999999999998E-2</v>
      </c>
      <c r="Q157" s="1542"/>
      <c r="R157" s="1542"/>
      <c r="S157" s="1541">
        <f t="shared" ref="S157:S163" si="11">ROUND(Y157*$Q$84/$Q$83,3)</f>
        <v>5.0000000000000001E-3</v>
      </c>
      <c r="T157" s="1542"/>
      <c r="U157" s="1542"/>
      <c r="V157" s="1543">
        <f t="shared" ref="V157:V163" si="12">ROUND((W132+$W$185),2)</f>
        <v>801.97</v>
      </c>
      <c r="W157" s="1544"/>
      <c r="X157" s="1544"/>
      <c r="Y157" s="1543">
        <f t="shared" ref="Y157:Y162" si="13">W132</f>
        <v>43.97</v>
      </c>
      <c r="Z157" s="1544"/>
      <c r="AA157" s="1544"/>
      <c r="AB157" s="1545">
        <f t="shared" ref="AB157:AB162" si="14">ROUND((AB132+$AB$185),2)</f>
        <v>6679.58</v>
      </c>
      <c r="AC157" s="1546"/>
      <c r="AD157" s="1546"/>
      <c r="AE157" s="1546"/>
      <c r="AF157" s="1547"/>
    </row>
    <row r="158" spans="2:32" ht="30" customHeight="1" x14ac:dyDescent="0.25">
      <c r="B158" s="1538" t="s">
        <v>2453</v>
      </c>
      <c r="C158" s="1539"/>
      <c r="D158" s="1539"/>
      <c r="E158" s="1539"/>
      <c r="F158" s="1539"/>
      <c r="G158" s="1539"/>
      <c r="H158" s="1539"/>
      <c r="I158" s="1539"/>
      <c r="J158" s="1539"/>
      <c r="K158" s="1539"/>
      <c r="L158" s="1539"/>
      <c r="M158" s="1539"/>
      <c r="N158" s="1539"/>
      <c r="O158" s="1540"/>
      <c r="P158" s="1541">
        <f t="shared" si="10"/>
        <v>9.1999999999999998E-2</v>
      </c>
      <c r="Q158" s="1542"/>
      <c r="R158" s="1542"/>
      <c r="S158" s="1541">
        <f t="shared" si="11"/>
        <v>6.0000000000000001E-3</v>
      </c>
      <c r="T158" s="1542"/>
      <c r="U158" s="1542"/>
      <c r="V158" s="1543">
        <f t="shared" si="12"/>
        <v>809.39</v>
      </c>
      <c r="W158" s="1544"/>
      <c r="X158" s="1544"/>
      <c r="Y158" s="1543">
        <f t="shared" si="13"/>
        <v>51.39</v>
      </c>
      <c r="Z158" s="1544"/>
      <c r="AA158" s="1544"/>
      <c r="AB158" s="1545">
        <f t="shared" si="14"/>
        <v>6783.46</v>
      </c>
      <c r="AC158" s="1546"/>
      <c r="AD158" s="1546"/>
      <c r="AE158" s="1546"/>
      <c r="AF158" s="1547"/>
    </row>
    <row r="159" spans="2:32" ht="30" customHeight="1" x14ac:dyDescent="0.25">
      <c r="B159" s="1538" t="s">
        <v>2454</v>
      </c>
      <c r="C159" s="1539"/>
      <c r="D159" s="1539"/>
      <c r="E159" s="1539"/>
      <c r="F159" s="1539"/>
      <c r="G159" s="1539"/>
      <c r="H159" s="1539"/>
      <c r="I159" s="1539"/>
      <c r="J159" s="1539"/>
      <c r="K159" s="1539"/>
      <c r="L159" s="1539"/>
      <c r="M159" s="1539"/>
      <c r="N159" s="1539"/>
      <c r="O159" s="1540"/>
      <c r="P159" s="1541">
        <f t="shared" si="10"/>
        <v>9.2999999999999999E-2</v>
      </c>
      <c r="Q159" s="1542"/>
      <c r="R159" s="1542"/>
      <c r="S159" s="1541">
        <f t="shared" si="11"/>
        <v>6.0000000000000001E-3</v>
      </c>
      <c r="T159" s="1542"/>
      <c r="U159" s="1542"/>
      <c r="V159" s="1543">
        <f t="shared" si="12"/>
        <v>812.05</v>
      </c>
      <c r="W159" s="1544"/>
      <c r="X159" s="1544"/>
      <c r="Y159" s="1543">
        <f t="shared" si="13"/>
        <v>54.05</v>
      </c>
      <c r="Z159" s="1544"/>
      <c r="AA159" s="1544"/>
      <c r="AB159" s="1545">
        <f t="shared" si="14"/>
        <v>6820.7</v>
      </c>
      <c r="AC159" s="1546"/>
      <c r="AD159" s="1546"/>
      <c r="AE159" s="1546"/>
      <c r="AF159" s="1547"/>
    </row>
    <row r="160" spans="2:32" ht="30" customHeight="1" x14ac:dyDescent="0.25">
      <c r="B160" s="1538" t="s">
        <v>2455</v>
      </c>
      <c r="C160" s="1539"/>
      <c r="D160" s="1539"/>
      <c r="E160" s="1539"/>
      <c r="F160" s="1539"/>
      <c r="G160" s="1539"/>
      <c r="H160" s="1539"/>
      <c r="I160" s="1539"/>
      <c r="J160" s="1539"/>
      <c r="K160" s="1539"/>
      <c r="L160" s="1539"/>
      <c r="M160" s="1539"/>
      <c r="N160" s="1539"/>
      <c r="O160" s="1540"/>
      <c r="P160" s="1541">
        <f t="shared" si="10"/>
        <v>9.4E-2</v>
      </c>
      <c r="Q160" s="1542"/>
      <c r="R160" s="1542"/>
      <c r="S160" s="1541">
        <f t="shared" si="11"/>
        <v>7.0000000000000001E-3</v>
      </c>
      <c r="T160" s="1542"/>
      <c r="U160" s="1542"/>
      <c r="V160" s="1543">
        <f t="shared" si="12"/>
        <v>820.47</v>
      </c>
      <c r="W160" s="1544"/>
      <c r="X160" s="1544"/>
      <c r="Y160" s="1543">
        <f t="shared" si="13"/>
        <v>62.47</v>
      </c>
      <c r="Z160" s="1544"/>
      <c r="AA160" s="1544"/>
      <c r="AB160" s="1545">
        <f t="shared" si="14"/>
        <v>6938.58</v>
      </c>
      <c r="AC160" s="1546"/>
      <c r="AD160" s="1546"/>
      <c r="AE160" s="1546"/>
      <c r="AF160" s="1547"/>
    </row>
    <row r="161" spans="2:32" ht="30" customHeight="1" x14ac:dyDescent="0.25">
      <c r="B161" s="1538" t="s">
        <v>2456</v>
      </c>
      <c r="C161" s="1539"/>
      <c r="D161" s="1539"/>
      <c r="E161" s="1539"/>
      <c r="F161" s="1539"/>
      <c r="G161" s="1539"/>
      <c r="H161" s="1539"/>
      <c r="I161" s="1539"/>
      <c r="J161" s="1539"/>
      <c r="K161" s="1539"/>
      <c r="L161" s="1539"/>
      <c r="M161" s="1539"/>
      <c r="N161" s="1539"/>
      <c r="O161" s="1540"/>
      <c r="P161" s="1541">
        <f t="shared" si="10"/>
        <v>9.1999999999999998E-2</v>
      </c>
      <c r="Q161" s="1542"/>
      <c r="R161" s="1542"/>
      <c r="S161" s="1541">
        <f t="shared" si="11"/>
        <v>6.0000000000000001E-3</v>
      </c>
      <c r="T161" s="1542"/>
      <c r="U161" s="1542"/>
      <c r="V161" s="1543">
        <f t="shared" si="12"/>
        <v>809.44</v>
      </c>
      <c r="W161" s="1544"/>
      <c r="X161" s="1544"/>
      <c r="Y161" s="1543">
        <f t="shared" si="13"/>
        <v>51.44</v>
      </c>
      <c r="Z161" s="1544"/>
      <c r="AA161" s="1544"/>
      <c r="AB161" s="1545">
        <f t="shared" si="14"/>
        <v>6784.16</v>
      </c>
      <c r="AC161" s="1546"/>
      <c r="AD161" s="1546"/>
      <c r="AE161" s="1546"/>
      <c r="AF161" s="1547"/>
    </row>
    <row r="162" spans="2:32" ht="30" customHeight="1" x14ac:dyDescent="0.25">
      <c r="B162" s="1538" t="s">
        <v>2503</v>
      </c>
      <c r="C162" s="1539"/>
      <c r="D162" s="1539"/>
      <c r="E162" s="1539"/>
      <c r="F162" s="1539"/>
      <c r="G162" s="1539"/>
      <c r="H162" s="1539"/>
      <c r="I162" s="1539"/>
      <c r="J162" s="1539"/>
      <c r="K162" s="1539"/>
      <c r="L162" s="1539"/>
      <c r="M162" s="1539"/>
      <c r="N162" s="1539"/>
      <c r="O162" s="1540"/>
      <c r="P162" s="1541">
        <f t="shared" si="10"/>
        <v>9.2999999999999999E-2</v>
      </c>
      <c r="Q162" s="1542"/>
      <c r="R162" s="1542"/>
      <c r="S162" s="1541">
        <f t="shared" si="11"/>
        <v>6.0000000000000001E-3</v>
      </c>
      <c r="T162" s="1542"/>
      <c r="U162" s="1542"/>
      <c r="V162" s="1543">
        <f t="shared" si="12"/>
        <v>814.49</v>
      </c>
      <c r="W162" s="1544"/>
      <c r="X162" s="1544"/>
      <c r="Y162" s="1543">
        <f t="shared" si="13"/>
        <v>56.49</v>
      </c>
      <c r="Z162" s="1544"/>
      <c r="AA162" s="1544"/>
      <c r="AB162" s="1545">
        <f t="shared" si="14"/>
        <v>6854.86</v>
      </c>
      <c r="AC162" s="1546"/>
      <c r="AD162" s="1546"/>
      <c r="AE162" s="1546"/>
      <c r="AF162" s="1547"/>
    </row>
    <row r="163" spans="2:32" ht="30" customHeight="1" x14ac:dyDescent="0.25">
      <c r="B163" s="1538" t="s">
        <v>2457</v>
      </c>
      <c r="C163" s="1539"/>
      <c r="D163" s="1539"/>
      <c r="E163" s="1539"/>
      <c r="F163" s="1539"/>
      <c r="G163" s="1539"/>
      <c r="H163" s="1539"/>
      <c r="I163" s="1539"/>
      <c r="J163" s="1539"/>
      <c r="K163" s="1539"/>
      <c r="L163" s="1539"/>
      <c r="M163" s="1539"/>
      <c r="N163" s="1539"/>
      <c r="O163" s="1540"/>
      <c r="P163" s="1541">
        <f t="shared" si="10"/>
        <v>9.1999999999999998E-2</v>
      </c>
      <c r="Q163" s="1542"/>
      <c r="R163" s="1542"/>
      <c r="S163" s="1541">
        <f t="shared" si="11"/>
        <v>6.0000000000000001E-3</v>
      </c>
      <c r="T163" s="1542"/>
      <c r="U163" s="1542"/>
      <c r="V163" s="1543">
        <f t="shared" si="12"/>
        <v>808.93</v>
      </c>
      <c r="W163" s="1544"/>
      <c r="X163" s="1544"/>
      <c r="Y163" s="1543">
        <f>W138</f>
        <v>50.93</v>
      </c>
      <c r="Z163" s="1544"/>
      <c r="AA163" s="1544"/>
      <c r="AB163" s="1545">
        <f>ROUND((AB138+$AB$185),2)</f>
        <v>6777.02</v>
      </c>
      <c r="AC163" s="1546"/>
      <c r="AD163" s="1546"/>
      <c r="AE163" s="1546"/>
      <c r="AF163" s="1547"/>
    </row>
    <row r="164" spans="2:32" x14ac:dyDescent="0.25">
      <c r="B164" s="672" t="s">
        <v>3855</v>
      </c>
      <c r="C164" s="497"/>
      <c r="D164" s="497"/>
      <c r="E164" s="497"/>
      <c r="F164" s="497"/>
      <c r="G164" s="497"/>
      <c r="H164" s="497"/>
      <c r="I164" s="497"/>
      <c r="J164" s="497"/>
      <c r="K164" s="497"/>
      <c r="L164" s="497"/>
      <c r="M164" s="497"/>
      <c r="N164" s="497"/>
      <c r="O164" s="497"/>
      <c r="P164" s="669"/>
      <c r="Q164" s="669"/>
      <c r="R164" s="669"/>
      <c r="S164" s="669"/>
      <c r="T164" s="669"/>
      <c r="U164" s="669"/>
      <c r="V164" s="670"/>
      <c r="W164" s="670"/>
      <c r="X164" s="670"/>
      <c r="Y164" s="670"/>
      <c r="Z164" s="670"/>
      <c r="AA164" s="670"/>
      <c r="AB164" s="671"/>
      <c r="AC164" s="671"/>
      <c r="AD164" s="671"/>
      <c r="AE164" s="671"/>
      <c r="AF164" s="671"/>
    </row>
    <row r="165" spans="2:32" x14ac:dyDescent="0.25">
      <c r="B165" s="672" t="s">
        <v>3856</v>
      </c>
      <c r="C165" s="497"/>
      <c r="D165" s="497"/>
      <c r="E165" s="497"/>
      <c r="F165" s="497"/>
      <c r="G165" s="497"/>
      <c r="H165" s="497"/>
      <c r="I165" s="497"/>
      <c r="J165" s="497"/>
      <c r="K165" s="497"/>
      <c r="L165" s="497"/>
      <c r="M165" s="497"/>
      <c r="N165" s="497"/>
      <c r="O165" s="497"/>
      <c r="P165" s="669"/>
      <c r="Q165" s="669"/>
      <c r="R165" s="669"/>
      <c r="S165" s="669"/>
      <c r="T165" s="669"/>
      <c r="U165" s="669"/>
      <c r="V165" s="670"/>
      <c r="W165" s="670"/>
      <c r="X165" s="670"/>
      <c r="Y165" s="670"/>
      <c r="Z165" s="670"/>
      <c r="AA165" s="670"/>
      <c r="AB165" s="671"/>
      <c r="AC165" s="671"/>
      <c r="AD165" s="671"/>
      <c r="AE165" s="671"/>
      <c r="AF165" s="671"/>
    </row>
    <row r="167" spans="2:32" x14ac:dyDescent="0.25">
      <c r="B167" s="171" t="s">
        <v>2478</v>
      </c>
    </row>
    <row r="168" spans="2:32" ht="31.5" customHeight="1" x14ac:dyDescent="0.25">
      <c r="B168" s="1527" t="s">
        <v>3847</v>
      </c>
      <c r="C168" s="1527"/>
      <c r="D168" s="1527"/>
      <c r="E168" s="1527"/>
      <c r="F168" s="1527"/>
      <c r="G168" s="1527"/>
      <c r="H168" s="1527"/>
      <c r="I168" s="1527"/>
      <c r="J168" s="1527"/>
      <c r="K168" s="1527"/>
      <c r="L168" s="1527"/>
      <c r="M168" s="1527"/>
      <c r="N168" s="1527"/>
      <c r="O168" s="1527"/>
      <c r="P168" s="1527"/>
      <c r="Q168" s="1527"/>
      <c r="R168" s="1527"/>
      <c r="S168" s="1527"/>
      <c r="T168" s="1527"/>
      <c r="U168" s="1527"/>
      <c r="V168" s="1527"/>
      <c r="W168" s="1527"/>
      <c r="X168" s="1527"/>
      <c r="Y168" s="1527"/>
      <c r="Z168" s="1527"/>
      <c r="AA168" s="1527"/>
      <c r="AB168" s="1527"/>
      <c r="AC168" s="1527"/>
      <c r="AD168" s="1527"/>
      <c r="AE168" s="1527"/>
      <c r="AF168" s="1527"/>
    </row>
    <row r="169" spans="2:32" ht="37.5" customHeight="1" x14ac:dyDescent="0.25">
      <c r="B169" s="1528" t="s">
        <v>2492</v>
      </c>
      <c r="C169" s="1529"/>
      <c r="D169" s="1529"/>
      <c r="E169" s="1529"/>
      <c r="F169" s="1529"/>
      <c r="G169" s="1529"/>
      <c r="H169" s="1529"/>
      <c r="I169" s="1529"/>
      <c r="J169" s="1529"/>
      <c r="K169" s="1529"/>
      <c r="L169" s="1529"/>
      <c r="M169" s="1529"/>
      <c r="N169" s="1529"/>
      <c r="O169" s="1530"/>
      <c r="P169" s="1534" t="s">
        <v>3846</v>
      </c>
      <c r="Q169" s="1535"/>
      <c r="R169" s="1535"/>
      <c r="S169" s="1535"/>
      <c r="T169" s="1535"/>
      <c r="U169" s="1536"/>
      <c r="V169" s="1534" t="s">
        <v>2194</v>
      </c>
      <c r="W169" s="1535"/>
      <c r="X169" s="1535"/>
      <c r="Y169" s="1535"/>
      <c r="Z169" s="1535"/>
      <c r="AA169" s="1536"/>
      <c r="AB169" s="1528" t="s">
        <v>2012</v>
      </c>
      <c r="AC169" s="1529"/>
      <c r="AD169" s="1529"/>
      <c r="AE169" s="1529"/>
      <c r="AF169" s="1530"/>
    </row>
    <row r="170" spans="2:32" ht="54.75" customHeight="1" x14ac:dyDescent="0.25">
      <c r="B170" s="1531"/>
      <c r="C170" s="1532"/>
      <c r="D170" s="1532"/>
      <c r="E170" s="1532"/>
      <c r="F170" s="1532"/>
      <c r="G170" s="1532"/>
      <c r="H170" s="1532"/>
      <c r="I170" s="1532"/>
      <c r="J170" s="1532"/>
      <c r="K170" s="1532"/>
      <c r="L170" s="1532"/>
      <c r="M170" s="1532"/>
      <c r="N170" s="1532"/>
      <c r="O170" s="1533"/>
      <c r="P170" s="1537" t="s">
        <v>3853</v>
      </c>
      <c r="Q170" s="1537"/>
      <c r="R170" s="1537"/>
      <c r="S170" s="1534" t="s">
        <v>3854</v>
      </c>
      <c r="T170" s="1535"/>
      <c r="U170" s="1536"/>
      <c r="V170" s="1537" t="s">
        <v>3853</v>
      </c>
      <c r="W170" s="1537"/>
      <c r="X170" s="1537"/>
      <c r="Y170" s="1534" t="s">
        <v>3854</v>
      </c>
      <c r="Z170" s="1535"/>
      <c r="AA170" s="1536"/>
      <c r="AB170" s="1531"/>
      <c r="AC170" s="1532"/>
      <c r="AD170" s="1532"/>
      <c r="AE170" s="1532"/>
      <c r="AF170" s="1533"/>
    </row>
    <row r="171" spans="2:32" ht="30" customHeight="1" x14ac:dyDescent="0.25">
      <c r="B171" s="1538" t="s">
        <v>2460</v>
      </c>
      <c r="C171" s="1539"/>
      <c r="D171" s="1539"/>
      <c r="E171" s="1539"/>
      <c r="F171" s="1539"/>
      <c r="G171" s="1539"/>
      <c r="H171" s="1539"/>
      <c r="I171" s="1539"/>
      <c r="J171" s="1539"/>
      <c r="K171" s="1539"/>
      <c r="L171" s="1539"/>
      <c r="M171" s="1539"/>
      <c r="N171" s="1539"/>
      <c r="O171" s="1540"/>
      <c r="P171" s="1541">
        <f t="shared" ref="P171:P178" si="15">ROUND(V171*$Q$84/$Q$83,3)</f>
        <v>6.9000000000000006E-2</v>
      </c>
      <c r="Q171" s="1542"/>
      <c r="R171" s="1542"/>
      <c r="S171" s="1541">
        <f>ROUND(Y171*$Q$84/$Q$83,3)</f>
        <v>4.0000000000000001E-3</v>
      </c>
      <c r="T171" s="1542"/>
      <c r="U171" s="1542"/>
      <c r="V171" s="1543">
        <f t="shared" ref="V171:V178" si="16">ROUND((W143+$W$186),2)</f>
        <v>607.96</v>
      </c>
      <c r="W171" s="1544"/>
      <c r="X171" s="1544"/>
      <c r="Y171" s="1543">
        <f>W143</f>
        <v>33.96</v>
      </c>
      <c r="Z171" s="1544"/>
      <c r="AA171" s="1544"/>
      <c r="AB171" s="1545">
        <f>ROUND((AB143+$AB$186),2)</f>
        <v>4595.32</v>
      </c>
      <c r="AC171" s="1546"/>
      <c r="AD171" s="1546"/>
      <c r="AE171" s="1546"/>
      <c r="AF171" s="1547"/>
    </row>
    <row r="172" spans="2:32" ht="30" customHeight="1" x14ac:dyDescent="0.25">
      <c r="B172" s="1538" t="s">
        <v>2461</v>
      </c>
      <c r="C172" s="1539"/>
      <c r="D172" s="1539"/>
      <c r="E172" s="1539"/>
      <c r="F172" s="1539"/>
      <c r="G172" s="1539"/>
      <c r="H172" s="1539"/>
      <c r="I172" s="1539"/>
      <c r="J172" s="1539"/>
      <c r="K172" s="1539"/>
      <c r="L172" s="1539"/>
      <c r="M172" s="1539"/>
      <c r="N172" s="1539"/>
      <c r="O172" s="1540"/>
      <c r="P172" s="1541">
        <f t="shared" si="15"/>
        <v>7.0999999999999994E-2</v>
      </c>
      <c r="Q172" s="1542"/>
      <c r="R172" s="1542"/>
      <c r="S172" s="1541">
        <f t="shared" ref="S172:S177" si="17">ROUND(Y172*$Q$84/$Q$83,3)</f>
        <v>5.0000000000000001E-3</v>
      </c>
      <c r="T172" s="1542"/>
      <c r="U172" s="1542"/>
      <c r="V172" s="1543">
        <f t="shared" si="16"/>
        <v>619.16</v>
      </c>
      <c r="W172" s="1544"/>
      <c r="X172" s="1544"/>
      <c r="Y172" s="1543">
        <f t="shared" ref="Y172:Y178" si="18">W144</f>
        <v>45.16</v>
      </c>
      <c r="Z172" s="1544"/>
      <c r="AA172" s="1544"/>
      <c r="AB172" s="1545">
        <f t="shared" ref="AB172:AB178" si="19">ROUND((AB144+$AB$186),2)</f>
        <v>4785.72</v>
      </c>
      <c r="AC172" s="1546"/>
      <c r="AD172" s="1546"/>
      <c r="AE172" s="1546"/>
      <c r="AF172" s="1547"/>
    </row>
    <row r="173" spans="2:32" ht="30" customHeight="1" x14ac:dyDescent="0.25">
      <c r="B173" s="1538" t="s">
        <v>2462</v>
      </c>
      <c r="C173" s="1539"/>
      <c r="D173" s="1539"/>
      <c r="E173" s="1539"/>
      <c r="F173" s="1539"/>
      <c r="G173" s="1539"/>
      <c r="H173" s="1539"/>
      <c r="I173" s="1539"/>
      <c r="J173" s="1539"/>
      <c r="K173" s="1539"/>
      <c r="L173" s="1539"/>
      <c r="M173" s="1539"/>
      <c r="N173" s="1539"/>
      <c r="O173" s="1540"/>
      <c r="P173" s="1541">
        <f t="shared" si="15"/>
        <v>7.0999999999999994E-2</v>
      </c>
      <c r="Q173" s="1542"/>
      <c r="R173" s="1542"/>
      <c r="S173" s="1541">
        <f t="shared" si="17"/>
        <v>5.0000000000000001E-3</v>
      </c>
      <c r="T173" s="1542"/>
      <c r="U173" s="1542"/>
      <c r="V173" s="1543">
        <f t="shared" si="16"/>
        <v>619.16</v>
      </c>
      <c r="W173" s="1544"/>
      <c r="X173" s="1544"/>
      <c r="Y173" s="1543">
        <f t="shared" si="18"/>
        <v>45.16</v>
      </c>
      <c r="Z173" s="1544"/>
      <c r="AA173" s="1544"/>
      <c r="AB173" s="1545">
        <f t="shared" si="19"/>
        <v>4785.72</v>
      </c>
      <c r="AC173" s="1546"/>
      <c r="AD173" s="1546"/>
      <c r="AE173" s="1546"/>
      <c r="AF173" s="1547"/>
    </row>
    <row r="174" spans="2:32" ht="30" customHeight="1" x14ac:dyDescent="0.25">
      <c r="B174" s="1538" t="s">
        <v>2463</v>
      </c>
      <c r="C174" s="1539"/>
      <c r="D174" s="1539"/>
      <c r="E174" s="1539"/>
      <c r="F174" s="1539"/>
      <c r="G174" s="1539"/>
      <c r="H174" s="1539"/>
      <c r="I174" s="1539"/>
      <c r="J174" s="1539"/>
      <c r="K174" s="1539"/>
      <c r="L174" s="1539"/>
      <c r="M174" s="1539"/>
      <c r="N174" s="1539"/>
      <c r="O174" s="1540"/>
      <c r="P174" s="1541">
        <f t="shared" si="15"/>
        <v>7.0999999999999994E-2</v>
      </c>
      <c r="Q174" s="1542"/>
      <c r="R174" s="1542"/>
      <c r="S174" s="1541">
        <f t="shared" si="17"/>
        <v>6.0000000000000001E-3</v>
      </c>
      <c r="T174" s="1542"/>
      <c r="U174" s="1542"/>
      <c r="V174" s="1543">
        <f t="shared" si="16"/>
        <v>625.84</v>
      </c>
      <c r="W174" s="1544"/>
      <c r="X174" s="1544"/>
      <c r="Y174" s="1543">
        <f t="shared" si="18"/>
        <v>51.84</v>
      </c>
      <c r="Z174" s="1544"/>
      <c r="AA174" s="1544"/>
      <c r="AB174" s="1545">
        <f t="shared" si="19"/>
        <v>4899.28</v>
      </c>
      <c r="AC174" s="1546"/>
      <c r="AD174" s="1546"/>
      <c r="AE174" s="1546"/>
      <c r="AF174" s="1547"/>
    </row>
    <row r="175" spans="2:32" ht="30" customHeight="1" x14ac:dyDescent="0.25">
      <c r="B175" s="1538" t="s">
        <v>2464</v>
      </c>
      <c r="C175" s="1539"/>
      <c r="D175" s="1539"/>
      <c r="E175" s="1539"/>
      <c r="F175" s="1539"/>
      <c r="G175" s="1539"/>
      <c r="H175" s="1539"/>
      <c r="I175" s="1539"/>
      <c r="J175" s="1539"/>
      <c r="K175" s="1539"/>
      <c r="L175" s="1539"/>
      <c r="M175" s="1539"/>
      <c r="N175" s="1539"/>
      <c r="O175" s="1540"/>
      <c r="P175" s="1541">
        <f t="shared" si="15"/>
        <v>7.0999999999999994E-2</v>
      </c>
      <c r="Q175" s="1542"/>
      <c r="R175" s="1542"/>
      <c r="S175" s="1541">
        <f t="shared" si="17"/>
        <v>6.0000000000000001E-3</v>
      </c>
      <c r="T175" s="1542"/>
      <c r="U175" s="1542"/>
      <c r="V175" s="1543">
        <f t="shared" si="16"/>
        <v>625.84</v>
      </c>
      <c r="W175" s="1544"/>
      <c r="X175" s="1544"/>
      <c r="Y175" s="1543">
        <f t="shared" si="18"/>
        <v>51.84</v>
      </c>
      <c r="Z175" s="1544"/>
      <c r="AA175" s="1544"/>
      <c r="AB175" s="1545">
        <f t="shared" si="19"/>
        <v>4899.28</v>
      </c>
      <c r="AC175" s="1546"/>
      <c r="AD175" s="1546"/>
      <c r="AE175" s="1546"/>
      <c r="AF175" s="1547"/>
    </row>
    <row r="176" spans="2:32" ht="30" customHeight="1" x14ac:dyDescent="0.25">
      <c r="B176" s="1538" t="s">
        <v>2465</v>
      </c>
      <c r="C176" s="1539"/>
      <c r="D176" s="1539"/>
      <c r="E176" s="1539"/>
      <c r="F176" s="1539"/>
      <c r="G176" s="1539"/>
      <c r="H176" s="1539"/>
      <c r="I176" s="1539"/>
      <c r="J176" s="1539"/>
      <c r="K176" s="1539"/>
      <c r="L176" s="1539"/>
      <c r="M176" s="1539"/>
      <c r="N176" s="1539"/>
      <c r="O176" s="1540"/>
      <c r="P176" s="1541">
        <f t="shared" si="15"/>
        <v>6.9000000000000006E-2</v>
      </c>
      <c r="Q176" s="1542"/>
      <c r="R176" s="1542"/>
      <c r="S176" s="1541">
        <f t="shared" si="17"/>
        <v>3.0000000000000001E-3</v>
      </c>
      <c r="T176" s="1542"/>
      <c r="U176" s="1542"/>
      <c r="V176" s="1543">
        <f t="shared" si="16"/>
        <v>603.78</v>
      </c>
      <c r="W176" s="1544"/>
      <c r="X176" s="1544"/>
      <c r="Y176" s="1543">
        <f t="shared" si="18"/>
        <v>29.78</v>
      </c>
      <c r="Z176" s="1544"/>
      <c r="AA176" s="1544"/>
      <c r="AB176" s="1545">
        <f t="shared" si="19"/>
        <v>4524.26</v>
      </c>
      <c r="AC176" s="1546"/>
      <c r="AD176" s="1546"/>
      <c r="AE176" s="1546"/>
      <c r="AF176" s="1547"/>
    </row>
    <row r="177" spans="1:32" ht="30" customHeight="1" x14ac:dyDescent="0.25">
      <c r="B177" s="1538" t="s">
        <v>2466</v>
      </c>
      <c r="C177" s="1539"/>
      <c r="D177" s="1539"/>
      <c r="E177" s="1539"/>
      <c r="F177" s="1539"/>
      <c r="G177" s="1539"/>
      <c r="H177" s="1539"/>
      <c r="I177" s="1539"/>
      <c r="J177" s="1539"/>
      <c r="K177" s="1539"/>
      <c r="L177" s="1539"/>
      <c r="M177" s="1539"/>
      <c r="N177" s="1539"/>
      <c r="O177" s="1540"/>
      <c r="P177" s="1541">
        <f t="shared" si="15"/>
        <v>7.0000000000000007E-2</v>
      </c>
      <c r="Q177" s="1542"/>
      <c r="R177" s="1542"/>
      <c r="S177" s="1541">
        <f t="shared" si="17"/>
        <v>5.0000000000000001E-3</v>
      </c>
      <c r="T177" s="1542"/>
      <c r="U177" s="1542"/>
      <c r="V177" s="1543">
        <f t="shared" si="16"/>
        <v>615.32000000000005</v>
      </c>
      <c r="W177" s="1544"/>
      <c r="X177" s="1544"/>
      <c r="Y177" s="1543">
        <f t="shared" si="18"/>
        <v>41.32</v>
      </c>
      <c r="Z177" s="1544"/>
      <c r="AA177" s="1544"/>
      <c r="AB177" s="1545">
        <f t="shared" si="19"/>
        <v>4720.4399999999996</v>
      </c>
      <c r="AC177" s="1546"/>
      <c r="AD177" s="1546"/>
      <c r="AE177" s="1546"/>
      <c r="AF177" s="1547"/>
    </row>
    <row r="178" spans="1:32" ht="30" customHeight="1" x14ac:dyDescent="0.25">
      <c r="B178" s="1538" t="s">
        <v>2467</v>
      </c>
      <c r="C178" s="1539"/>
      <c r="D178" s="1539"/>
      <c r="E178" s="1539"/>
      <c r="F178" s="1539"/>
      <c r="G178" s="1539"/>
      <c r="H178" s="1539"/>
      <c r="I178" s="1539"/>
      <c r="J178" s="1539"/>
      <c r="K178" s="1539"/>
      <c r="L178" s="1539"/>
      <c r="M178" s="1539"/>
      <c r="N178" s="1539"/>
      <c r="O178" s="1540"/>
      <c r="P178" s="1541">
        <f t="shared" si="15"/>
        <v>7.0000000000000007E-2</v>
      </c>
      <c r="Q178" s="1542"/>
      <c r="R178" s="1542"/>
      <c r="S178" s="1541">
        <f>ROUND(Y178*$Q$84/$Q$83,3)</f>
        <v>5.0000000000000001E-3</v>
      </c>
      <c r="T178" s="1542"/>
      <c r="U178" s="1542"/>
      <c r="V178" s="1543">
        <f t="shared" si="16"/>
        <v>616.72</v>
      </c>
      <c r="W178" s="1544"/>
      <c r="X178" s="1544"/>
      <c r="Y178" s="1543">
        <f t="shared" si="18"/>
        <v>42.72</v>
      </c>
      <c r="Z178" s="1544"/>
      <c r="AA178" s="1544"/>
      <c r="AB178" s="1545">
        <f t="shared" si="19"/>
        <v>4744.24</v>
      </c>
      <c r="AC178" s="1546"/>
      <c r="AD178" s="1546"/>
      <c r="AE178" s="1546"/>
      <c r="AF178" s="1547"/>
    </row>
    <row r="179" spans="1:32" x14ac:dyDescent="0.25">
      <c r="B179" s="672" t="s">
        <v>3857</v>
      </c>
      <c r="C179" s="497"/>
      <c r="D179" s="497"/>
      <c r="E179" s="497"/>
      <c r="F179" s="497"/>
      <c r="G179" s="497"/>
      <c r="H179" s="497"/>
      <c r="I179" s="497"/>
      <c r="J179" s="497"/>
      <c r="K179" s="497"/>
      <c r="L179" s="497"/>
      <c r="M179" s="497"/>
      <c r="N179" s="497"/>
      <c r="O179" s="497"/>
      <c r="P179" s="669"/>
      <c r="Q179" s="669"/>
      <c r="R179" s="669"/>
      <c r="S179" s="669"/>
      <c r="T179" s="669"/>
      <c r="U179" s="669"/>
      <c r="V179" s="670"/>
      <c r="W179" s="670"/>
      <c r="X179" s="670"/>
      <c r="Y179" s="670"/>
      <c r="Z179" s="670"/>
      <c r="AA179" s="670"/>
      <c r="AB179" s="671"/>
      <c r="AC179" s="671"/>
      <c r="AD179" s="671"/>
      <c r="AE179" s="671"/>
      <c r="AF179" s="671"/>
    </row>
    <row r="180" spans="1:32" x14ac:dyDescent="0.25">
      <c r="B180" s="672" t="s">
        <v>3858</v>
      </c>
      <c r="C180" s="497"/>
      <c r="D180" s="497"/>
      <c r="E180" s="497"/>
      <c r="F180" s="497"/>
      <c r="G180" s="497"/>
      <c r="H180" s="497"/>
      <c r="I180" s="497"/>
      <c r="J180" s="497"/>
      <c r="K180" s="497"/>
      <c r="L180" s="497"/>
      <c r="M180" s="497"/>
      <c r="N180" s="497"/>
      <c r="O180" s="497"/>
      <c r="P180" s="669"/>
      <c r="Q180" s="669"/>
      <c r="R180" s="669"/>
      <c r="S180" s="669"/>
      <c r="T180" s="669"/>
      <c r="U180" s="669"/>
      <c r="V180" s="670"/>
      <c r="W180" s="670"/>
      <c r="X180" s="670"/>
      <c r="Y180" s="670"/>
      <c r="Z180" s="670"/>
      <c r="AA180" s="670"/>
      <c r="AB180" s="671"/>
      <c r="AC180" s="671"/>
      <c r="AD180" s="671"/>
      <c r="AE180" s="671"/>
      <c r="AF180" s="671"/>
    </row>
    <row r="182" spans="1:32" x14ac:dyDescent="0.25">
      <c r="B182" s="171" t="s">
        <v>2479</v>
      </c>
    </row>
    <row r="184" spans="1:32" ht="33" customHeight="1" x14ac:dyDescent="0.25">
      <c r="B184" s="1512" t="s">
        <v>22</v>
      </c>
      <c r="C184" s="1513"/>
      <c r="D184" s="1513"/>
      <c r="E184" s="1513"/>
      <c r="F184" s="1513"/>
      <c r="G184" s="1513"/>
      <c r="H184" s="1513"/>
      <c r="I184" s="1513"/>
      <c r="J184" s="1513"/>
      <c r="K184" s="1513"/>
      <c r="L184" s="1513"/>
      <c r="M184" s="1513"/>
      <c r="N184" s="1513"/>
      <c r="O184" s="1513"/>
      <c r="P184" s="1513"/>
      <c r="Q184" s="1513"/>
      <c r="R184" s="1514" t="s">
        <v>2924</v>
      </c>
      <c r="S184" s="1515"/>
      <c r="T184" s="1515"/>
      <c r="U184" s="1515"/>
      <c r="V184" s="1516"/>
      <c r="W184" s="1514" t="s">
        <v>24</v>
      </c>
      <c r="X184" s="1515"/>
      <c r="Y184" s="1515"/>
      <c r="Z184" s="1515"/>
      <c r="AA184" s="1516"/>
      <c r="AB184" s="1514" t="s">
        <v>2012</v>
      </c>
      <c r="AC184" s="1515"/>
      <c r="AD184" s="1515"/>
      <c r="AE184" s="1515"/>
      <c r="AF184" s="1516"/>
    </row>
    <row r="185" spans="1:32" x14ac:dyDescent="0.25">
      <c r="B185" s="1517" t="s">
        <v>2863</v>
      </c>
      <c r="C185" s="1548"/>
      <c r="D185" s="1548"/>
      <c r="E185" s="1548"/>
      <c r="F185" s="1548"/>
      <c r="G185" s="1548"/>
      <c r="H185" s="1548"/>
      <c r="I185" s="1548"/>
      <c r="J185" s="1548"/>
      <c r="K185" s="1548"/>
      <c r="L185" s="1548"/>
      <c r="M185" s="1548"/>
      <c r="N185" s="1548"/>
      <c r="O185" s="1548"/>
      <c r="P185" s="1548"/>
      <c r="Q185" s="1548"/>
      <c r="R185" s="1549">
        <f>ROUND(W185*$Q$84/$Q$83,3)</f>
        <v>8.6999999999999994E-2</v>
      </c>
      <c r="S185" s="1550"/>
      <c r="T185" s="1550"/>
      <c r="U185" s="1550"/>
      <c r="V185" s="1551"/>
      <c r="W185" s="1552">
        <f>ROUND(Q80*Q82,2)</f>
        <v>758</v>
      </c>
      <c r="X185" s="1553"/>
      <c r="Y185" s="1553"/>
      <c r="Z185" s="1553"/>
      <c r="AA185" s="1554"/>
      <c r="AB185" s="1545">
        <f>ROUND(W185*Q87,2)</f>
        <v>6064</v>
      </c>
      <c r="AC185" s="1546"/>
      <c r="AD185" s="1546"/>
      <c r="AE185" s="1546"/>
      <c r="AF185" s="1547"/>
    </row>
    <row r="186" spans="1:32" x14ac:dyDescent="0.25">
      <c r="B186" s="1517" t="s">
        <v>2493</v>
      </c>
      <c r="C186" s="1548"/>
      <c r="D186" s="1548"/>
      <c r="E186" s="1548"/>
      <c r="F186" s="1548"/>
      <c r="G186" s="1548"/>
      <c r="H186" s="1548"/>
      <c r="I186" s="1548"/>
      <c r="J186" s="1548"/>
      <c r="K186" s="1548"/>
      <c r="L186" s="1548"/>
      <c r="M186" s="1548"/>
      <c r="N186" s="1548"/>
      <c r="O186" s="1548"/>
      <c r="P186" s="1548"/>
      <c r="Q186" s="1548"/>
      <c r="R186" s="1549">
        <f>ROUND(W186*$Q$84/$Q$83,3)</f>
        <v>6.6000000000000003E-2</v>
      </c>
      <c r="S186" s="1550"/>
      <c r="T186" s="1550"/>
      <c r="U186" s="1550"/>
      <c r="V186" s="1551"/>
      <c r="W186" s="1552">
        <f>ROUND(Q81*Q82,2)</f>
        <v>574</v>
      </c>
      <c r="X186" s="1553"/>
      <c r="Y186" s="1553"/>
      <c r="Z186" s="1553"/>
      <c r="AA186" s="1554"/>
      <c r="AB186" s="1545">
        <f>ROUND(W186*Q88,2)</f>
        <v>4018</v>
      </c>
      <c r="AC186" s="1546"/>
      <c r="AD186" s="1546"/>
      <c r="AE186" s="1546"/>
      <c r="AF186" s="1547"/>
    </row>
    <row r="189" spans="1:32" x14ac:dyDescent="0.25">
      <c r="A189" s="1472" t="s">
        <v>2498</v>
      </c>
      <c r="B189" s="1472"/>
      <c r="C189" s="1472"/>
      <c r="D189" s="1472"/>
      <c r="E189" s="1472"/>
      <c r="F189" s="1472"/>
      <c r="G189" s="1472"/>
      <c r="H189" s="1472"/>
      <c r="I189" s="1472"/>
      <c r="J189" s="1472"/>
      <c r="K189" s="1472"/>
      <c r="L189" s="1472"/>
      <c r="M189" s="1472"/>
      <c r="N189" s="1472"/>
      <c r="O189" s="1472"/>
      <c r="P189" s="1472"/>
      <c r="Q189" s="1472"/>
      <c r="R189" s="1472"/>
      <c r="S189" s="1472"/>
      <c r="T189" s="1472"/>
      <c r="U189" s="1472"/>
      <c r="V189" s="1472"/>
      <c r="W189" s="1472"/>
      <c r="X189" s="1472"/>
      <c r="Y189" s="1472"/>
      <c r="Z189" s="1472"/>
      <c r="AA189" s="1472"/>
      <c r="AB189" s="1472"/>
      <c r="AC189" s="1472"/>
      <c r="AD189" s="1472"/>
      <c r="AE189" s="1472"/>
      <c r="AF189" s="1472"/>
    </row>
    <row r="191" spans="1:32" x14ac:dyDescent="0.25">
      <c r="B191" s="171" t="s">
        <v>38</v>
      </c>
      <c r="Q191" s="171" t="s">
        <v>1328</v>
      </c>
    </row>
    <row r="192" spans="1:32" x14ac:dyDescent="0.25">
      <c r="B192" s="1" t="s">
        <v>2494</v>
      </c>
      <c r="J192" s="1555">
        <v>22</v>
      </c>
      <c r="K192" s="1556"/>
      <c r="L192" s="1556"/>
      <c r="M192" s="1557"/>
      <c r="Q192" s="1" t="s">
        <v>2495</v>
      </c>
      <c r="Y192" s="1555">
        <v>12</v>
      </c>
      <c r="Z192" s="1556"/>
      <c r="AA192" s="1556"/>
      <c r="AB192" s="1557"/>
    </row>
    <row r="193" spans="2:32" x14ac:dyDescent="0.25">
      <c r="J193" s="9"/>
      <c r="K193" s="9"/>
      <c r="L193" s="9"/>
      <c r="M193" s="9"/>
    </row>
    <row r="194" spans="2:32" x14ac:dyDescent="0.25">
      <c r="B194" s="1" t="s">
        <v>2495</v>
      </c>
      <c r="J194" s="1555">
        <v>8</v>
      </c>
      <c r="K194" s="1556"/>
      <c r="L194" s="1556"/>
      <c r="M194" s="1557"/>
    </row>
    <row r="196" spans="2:32" ht="18" x14ac:dyDescent="0.25">
      <c r="C196" s="188" t="s">
        <v>2496</v>
      </c>
      <c r="D196" s="1558">
        <f>ROUND((J192+J194*1.76),1)</f>
        <v>36.1</v>
      </c>
      <c r="E196" s="1559"/>
      <c r="F196" s="1559"/>
      <c r="G196" s="1560"/>
      <c r="H196" s="1" t="s">
        <v>2499</v>
      </c>
      <c r="R196" s="188" t="s">
        <v>2497</v>
      </c>
      <c r="S196" s="1558">
        <f>ROUND(Y192*1.73,1)</f>
        <v>20.8</v>
      </c>
      <c r="T196" s="1559"/>
      <c r="U196" s="1559"/>
      <c r="V196" s="1560"/>
      <c r="W196" s="1" t="s">
        <v>2500</v>
      </c>
    </row>
    <row r="198" spans="2:32" x14ac:dyDescent="0.25">
      <c r="B198" s="171" t="s">
        <v>2486</v>
      </c>
    </row>
    <row r="200" spans="2:32" ht="30" customHeight="1" x14ac:dyDescent="0.25">
      <c r="B200" s="1512" t="s">
        <v>2473</v>
      </c>
      <c r="C200" s="1513"/>
      <c r="D200" s="1513"/>
      <c r="E200" s="1513"/>
      <c r="F200" s="1513"/>
      <c r="G200" s="1513"/>
      <c r="H200" s="1513"/>
      <c r="I200" s="1513"/>
      <c r="J200" s="1513"/>
      <c r="K200" s="1513"/>
      <c r="L200" s="1513"/>
      <c r="M200" s="1513"/>
      <c r="N200" s="1513"/>
      <c r="O200" s="1513"/>
      <c r="P200" s="1513"/>
      <c r="Q200" s="1513"/>
      <c r="R200" s="1514" t="s">
        <v>2924</v>
      </c>
      <c r="S200" s="1515"/>
      <c r="T200" s="1515"/>
      <c r="U200" s="1515"/>
      <c r="V200" s="1516"/>
      <c r="W200" s="1514" t="s">
        <v>24</v>
      </c>
      <c r="X200" s="1515"/>
      <c r="Y200" s="1515"/>
      <c r="Z200" s="1515"/>
      <c r="AA200" s="1516"/>
      <c r="AB200" s="1514" t="s">
        <v>2012</v>
      </c>
      <c r="AC200" s="1515"/>
      <c r="AD200" s="1515"/>
      <c r="AE200" s="1515"/>
      <c r="AF200" s="1516"/>
    </row>
    <row r="201" spans="2:32" ht="30" customHeight="1" x14ac:dyDescent="0.25">
      <c r="B201" s="1517" t="s">
        <v>2451</v>
      </c>
      <c r="C201" s="1517"/>
      <c r="D201" s="1517"/>
      <c r="E201" s="1517"/>
      <c r="F201" s="1517"/>
      <c r="G201" s="1517"/>
      <c r="H201" s="1517"/>
      <c r="I201" s="1517"/>
      <c r="J201" s="1517"/>
      <c r="K201" s="1517"/>
      <c r="L201" s="1517"/>
      <c r="M201" s="1517"/>
      <c r="N201" s="1517"/>
      <c r="O201" s="1517"/>
      <c r="P201" s="1517"/>
      <c r="Q201" s="1517"/>
      <c r="R201" s="1561">
        <f>ROUND(W201*$Q$84/$Q$83,3)</f>
        <v>5.0000000000000001E-3</v>
      </c>
      <c r="S201" s="1562"/>
      <c r="T201" s="1562"/>
      <c r="U201" s="1562"/>
      <c r="V201" s="1563"/>
      <c r="W201" s="1564">
        <f t="shared" ref="W201:W208" si="20">ROUND(((Q99*$D$196+U99)-(Y99*$D$196+AC99))*$Q$82,2)</f>
        <v>43.95</v>
      </c>
      <c r="X201" s="1565"/>
      <c r="Y201" s="1565"/>
      <c r="Z201" s="1565"/>
      <c r="AA201" s="1566"/>
      <c r="AB201" s="1567">
        <f>ROUND(W201*$Q$85,3)</f>
        <v>615.29999999999995</v>
      </c>
      <c r="AC201" s="1568"/>
      <c r="AD201" s="1568"/>
      <c r="AE201" s="1568"/>
      <c r="AF201" s="1569"/>
    </row>
    <row r="202" spans="2:32" ht="30" customHeight="1" x14ac:dyDescent="0.25">
      <c r="B202" s="1517" t="s">
        <v>2452</v>
      </c>
      <c r="C202" s="1517"/>
      <c r="D202" s="1517"/>
      <c r="E202" s="1517"/>
      <c r="F202" s="1517"/>
      <c r="G202" s="1517"/>
      <c r="H202" s="1517"/>
      <c r="I202" s="1517"/>
      <c r="J202" s="1517"/>
      <c r="K202" s="1517"/>
      <c r="L202" s="1517"/>
      <c r="M202" s="1517"/>
      <c r="N202" s="1517"/>
      <c r="O202" s="1517"/>
      <c r="P202" s="1517"/>
      <c r="Q202" s="1517"/>
      <c r="R202" s="1561">
        <f t="shared" ref="R202:R208" si="21">ROUND(W202*$Q$84/$Q$83,3)</f>
        <v>6.0000000000000001E-3</v>
      </c>
      <c r="S202" s="1562"/>
      <c r="T202" s="1562"/>
      <c r="U202" s="1562"/>
      <c r="V202" s="1563"/>
      <c r="W202" s="1564">
        <f t="shared" si="20"/>
        <v>52.64</v>
      </c>
      <c r="X202" s="1565"/>
      <c r="Y202" s="1565"/>
      <c r="Z202" s="1565"/>
      <c r="AA202" s="1566"/>
      <c r="AB202" s="1567">
        <f t="shared" ref="AB202:AB208" si="22">ROUND(W202*$Q$85,3)</f>
        <v>736.96</v>
      </c>
      <c r="AC202" s="1568"/>
      <c r="AD202" s="1568"/>
      <c r="AE202" s="1568"/>
      <c r="AF202" s="1569"/>
    </row>
    <row r="203" spans="2:32" ht="30" customHeight="1" x14ac:dyDescent="0.25">
      <c r="B203" s="1517" t="s">
        <v>2453</v>
      </c>
      <c r="C203" s="1517"/>
      <c r="D203" s="1517"/>
      <c r="E203" s="1517"/>
      <c r="F203" s="1517"/>
      <c r="G203" s="1517"/>
      <c r="H203" s="1517"/>
      <c r="I203" s="1517"/>
      <c r="J203" s="1517"/>
      <c r="K203" s="1517"/>
      <c r="L203" s="1517"/>
      <c r="M203" s="1517"/>
      <c r="N203" s="1517"/>
      <c r="O203" s="1517"/>
      <c r="P203" s="1517"/>
      <c r="Q203" s="1517"/>
      <c r="R203" s="1561">
        <f t="shared" si="21"/>
        <v>7.0000000000000001E-3</v>
      </c>
      <c r="S203" s="1562"/>
      <c r="T203" s="1562"/>
      <c r="U203" s="1562"/>
      <c r="V203" s="1563"/>
      <c r="W203" s="1564">
        <f t="shared" si="20"/>
        <v>60.48</v>
      </c>
      <c r="X203" s="1565"/>
      <c r="Y203" s="1565"/>
      <c r="Z203" s="1565"/>
      <c r="AA203" s="1566"/>
      <c r="AB203" s="1567">
        <f t="shared" si="22"/>
        <v>846.72</v>
      </c>
      <c r="AC203" s="1568"/>
      <c r="AD203" s="1568"/>
      <c r="AE203" s="1568"/>
      <c r="AF203" s="1569"/>
    </row>
    <row r="204" spans="2:32" ht="30" customHeight="1" x14ac:dyDescent="0.25">
      <c r="B204" s="1517" t="s">
        <v>2454</v>
      </c>
      <c r="C204" s="1517"/>
      <c r="D204" s="1517"/>
      <c r="E204" s="1517"/>
      <c r="F204" s="1517"/>
      <c r="G204" s="1517"/>
      <c r="H204" s="1517"/>
      <c r="I204" s="1517"/>
      <c r="J204" s="1517"/>
      <c r="K204" s="1517"/>
      <c r="L204" s="1517"/>
      <c r="M204" s="1517"/>
      <c r="N204" s="1517"/>
      <c r="O204" s="1517"/>
      <c r="P204" s="1517"/>
      <c r="Q204" s="1517"/>
      <c r="R204" s="1561">
        <f t="shared" si="21"/>
        <v>7.0000000000000001E-3</v>
      </c>
      <c r="S204" s="1562"/>
      <c r="T204" s="1562"/>
      <c r="U204" s="1562"/>
      <c r="V204" s="1563"/>
      <c r="W204" s="1564">
        <f t="shared" si="20"/>
        <v>63.47</v>
      </c>
      <c r="X204" s="1565"/>
      <c r="Y204" s="1565"/>
      <c r="Z204" s="1565"/>
      <c r="AA204" s="1566"/>
      <c r="AB204" s="1567">
        <f t="shared" si="22"/>
        <v>888.58</v>
      </c>
      <c r="AC204" s="1568"/>
      <c r="AD204" s="1568"/>
      <c r="AE204" s="1568"/>
      <c r="AF204" s="1569"/>
    </row>
    <row r="205" spans="2:32" ht="30" customHeight="1" x14ac:dyDescent="0.25">
      <c r="B205" s="1517" t="s">
        <v>2455</v>
      </c>
      <c r="C205" s="1517"/>
      <c r="D205" s="1517"/>
      <c r="E205" s="1517"/>
      <c r="F205" s="1517"/>
      <c r="G205" s="1517"/>
      <c r="H205" s="1517"/>
      <c r="I205" s="1517"/>
      <c r="J205" s="1517"/>
      <c r="K205" s="1517"/>
      <c r="L205" s="1517"/>
      <c r="M205" s="1517"/>
      <c r="N205" s="1517"/>
      <c r="O205" s="1517"/>
      <c r="P205" s="1517"/>
      <c r="Q205" s="1517"/>
      <c r="R205" s="1561">
        <f t="shared" si="21"/>
        <v>8.0000000000000002E-3</v>
      </c>
      <c r="S205" s="1562"/>
      <c r="T205" s="1562"/>
      <c r="U205" s="1562"/>
      <c r="V205" s="1563"/>
      <c r="W205" s="1564">
        <f t="shared" si="20"/>
        <v>72.31</v>
      </c>
      <c r="X205" s="1565"/>
      <c r="Y205" s="1565"/>
      <c r="Z205" s="1565"/>
      <c r="AA205" s="1566"/>
      <c r="AB205" s="1567">
        <f t="shared" si="22"/>
        <v>1012.34</v>
      </c>
      <c r="AC205" s="1568"/>
      <c r="AD205" s="1568"/>
      <c r="AE205" s="1568"/>
      <c r="AF205" s="1569"/>
    </row>
    <row r="206" spans="2:32" ht="30" customHeight="1" x14ac:dyDescent="0.25">
      <c r="B206" s="1517" t="s">
        <v>2456</v>
      </c>
      <c r="C206" s="1517"/>
      <c r="D206" s="1517"/>
      <c r="E206" s="1517"/>
      <c r="F206" s="1517"/>
      <c r="G206" s="1517"/>
      <c r="H206" s="1517"/>
      <c r="I206" s="1517"/>
      <c r="J206" s="1517"/>
      <c r="K206" s="1517"/>
      <c r="L206" s="1517"/>
      <c r="M206" s="1517"/>
      <c r="N206" s="1517"/>
      <c r="O206" s="1517"/>
      <c r="P206" s="1517"/>
      <c r="Q206" s="1517"/>
      <c r="R206" s="1561">
        <f t="shared" si="21"/>
        <v>7.0000000000000001E-3</v>
      </c>
      <c r="S206" s="1562"/>
      <c r="T206" s="1562"/>
      <c r="U206" s="1562"/>
      <c r="V206" s="1563"/>
      <c r="W206" s="1564">
        <f t="shared" si="20"/>
        <v>60.42</v>
      </c>
      <c r="X206" s="1565"/>
      <c r="Y206" s="1565"/>
      <c r="Z206" s="1565"/>
      <c r="AA206" s="1566"/>
      <c r="AB206" s="1567">
        <f t="shared" si="22"/>
        <v>845.88</v>
      </c>
      <c r="AC206" s="1568"/>
      <c r="AD206" s="1568"/>
      <c r="AE206" s="1568"/>
      <c r="AF206" s="1569"/>
    </row>
    <row r="207" spans="2:32" ht="30" customHeight="1" x14ac:dyDescent="0.25">
      <c r="B207" s="1517" t="s">
        <v>2503</v>
      </c>
      <c r="C207" s="1517"/>
      <c r="D207" s="1517"/>
      <c r="E207" s="1517"/>
      <c r="F207" s="1517"/>
      <c r="G207" s="1517"/>
      <c r="H207" s="1517"/>
      <c r="I207" s="1517"/>
      <c r="J207" s="1517"/>
      <c r="K207" s="1517"/>
      <c r="L207" s="1517"/>
      <c r="M207" s="1517"/>
      <c r="N207" s="1517"/>
      <c r="O207" s="1517"/>
      <c r="P207" s="1517"/>
      <c r="Q207" s="1517"/>
      <c r="R207" s="1561">
        <f t="shared" si="21"/>
        <v>7.0000000000000001E-3</v>
      </c>
      <c r="S207" s="1562"/>
      <c r="T207" s="1562"/>
      <c r="U207" s="1562"/>
      <c r="V207" s="1563"/>
      <c r="W207" s="1564">
        <f t="shared" si="20"/>
        <v>65.59</v>
      </c>
      <c r="X207" s="1565"/>
      <c r="Y207" s="1565"/>
      <c r="Z207" s="1565"/>
      <c r="AA207" s="1566"/>
      <c r="AB207" s="1567">
        <f t="shared" si="22"/>
        <v>918.26</v>
      </c>
      <c r="AC207" s="1568"/>
      <c r="AD207" s="1568"/>
      <c r="AE207" s="1568"/>
      <c r="AF207" s="1569"/>
    </row>
    <row r="208" spans="2:32" ht="30" customHeight="1" x14ac:dyDescent="0.25">
      <c r="B208" s="1517" t="s">
        <v>2457</v>
      </c>
      <c r="C208" s="1517"/>
      <c r="D208" s="1517"/>
      <c r="E208" s="1517"/>
      <c r="F208" s="1517"/>
      <c r="G208" s="1517"/>
      <c r="H208" s="1517"/>
      <c r="I208" s="1517"/>
      <c r="J208" s="1517"/>
      <c r="K208" s="1517"/>
      <c r="L208" s="1517"/>
      <c r="M208" s="1517"/>
      <c r="N208" s="1517"/>
      <c r="O208" s="1517"/>
      <c r="P208" s="1517"/>
      <c r="Q208" s="1517"/>
      <c r="R208" s="1561">
        <f t="shared" si="21"/>
        <v>7.0000000000000001E-3</v>
      </c>
      <c r="S208" s="1562"/>
      <c r="T208" s="1562"/>
      <c r="U208" s="1562"/>
      <c r="V208" s="1563"/>
      <c r="W208" s="1564">
        <f t="shared" si="20"/>
        <v>59.84</v>
      </c>
      <c r="X208" s="1565"/>
      <c r="Y208" s="1565"/>
      <c r="Z208" s="1565"/>
      <c r="AA208" s="1566"/>
      <c r="AB208" s="1567">
        <f t="shared" si="22"/>
        <v>837.76</v>
      </c>
      <c r="AC208" s="1568"/>
      <c r="AD208" s="1568"/>
      <c r="AE208" s="1568"/>
      <c r="AF208" s="1569"/>
    </row>
    <row r="210" spans="2:32" x14ac:dyDescent="0.25">
      <c r="B210" s="171" t="s">
        <v>2487</v>
      </c>
    </row>
    <row r="212" spans="2:32" ht="30" customHeight="1" x14ac:dyDescent="0.25">
      <c r="B212" s="1512" t="s">
        <v>2474</v>
      </c>
      <c r="C212" s="1513"/>
      <c r="D212" s="1513"/>
      <c r="E212" s="1513"/>
      <c r="F212" s="1513"/>
      <c r="G212" s="1513"/>
      <c r="H212" s="1513"/>
      <c r="I212" s="1513"/>
      <c r="J212" s="1513"/>
      <c r="K212" s="1513"/>
      <c r="L212" s="1513"/>
      <c r="M212" s="1513"/>
      <c r="N212" s="1513"/>
      <c r="O212" s="1513"/>
      <c r="P212" s="1513"/>
      <c r="Q212" s="1513"/>
      <c r="R212" s="1514" t="s">
        <v>2924</v>
      </c>
      <c r="S212" s="1515"/>
      <c r="T212" s="1515"/>
      <c r="U212" s="1515"/>
      <c r="V212" s="1516"/>
      <c r="W212" s="1514" t="s">
        <v>24</v>
      </c>
      <c r="X212" s="1515"/>
      <c r="Y212" s="1515"/>
      <c r="Z212" s="1515"/>
      <c r="AA212" s="1516"/>
      <c r="AB212" s="1514" t="s">
        <v>2012</v>
      </c>
      <c r="AC212" s="1515"/>
      <c r="AD212" s="1515"/>
      <c r="AE212" s="1515"/>
      <c r="AF212" s="1516"/>
    </row>
    <row r="213" spans="2:32" ht="30" customHeight="1" x14ac:dyDescent="0.25">
      <c r="B213" s="1517" t="s">
        <v>2460</v>
      </c>
      <c r="C213" s="1517"/>
      <c r="D213" s="1517"/>
      <c r="E213" s="1517"/>
      <c r="F213" s="1517"/>
      <c r="G213" s="1517"/>
      <c r="H213" s="1517"/>
      <c r="I213" s="1517"/>
      <c r="J213" s="1517"/>
      <c r="K213" s="1517"/>
      <c r="L213" s="1517"/>
      <c r="M213" s="1517"/>
      <c r="N213" s="1517"/>
      <c r="O213" s="1517"/>
      <c r="P213" s="1517"/>
      <c r="Q213" s="1517"/>
      <c r="R213" s="1561">
        <f>ROUND(W213*$Q$84/$Q$83,3)</f>
        <v>4.0000000000000001E-3</v>
      </c>
      <c r="S213" s="1562"/>
      <c r="T213" s="1562"/>
      <c r="U213" s="1562"/>
      <c r="V213" s="1563"/>
      <c r="W213" s="1564">
        <f t="shared" ref="W213:W220" si="23">ROUND(((Q114*$S$196+U114)-(Y114*$S$196+AC114))*$Q$82,2)</f>
        <v>31.05</v>
      </c>
      <c r="X213" s="1565"/>
      <c r="Y213" s="1565"/>
      <c r="Z213" s="1565"/>
      <c r="AA213" s="1566"/>
      <c r="AB213" s="1567">
        <f>ROUND(W213*$Q$86,3)</f>
        <v>527.85</v>
      </c>
      <c r="AC213" s="1568"/>
      <c r="AD213" s="1568"/>
      <c r="AE213" s="1568"/>
      <c r="AF213" s="1569"/>
    </row>
    <row r="214" spans="2:32" ht="30" customHeight="1" x14ac:dyDescent="0.25">
      <c r="B214" s="1517" t="s">
        <v>2461</v>
      </c>
      <c r="C214" s="1517"/>
      <c r="D214" s="1517"/>
      <c r="E214" s="1517"/>
      <c r="F214" s="1517"/>
      <c r="G214" s="1517"/>
      <c r="H214" s="1517"/>
      <c r="I214" s="1517"/>
      <c r="J214" s="1517"/>
      <c r="K214" s="1517"/>
      <c r="L214" s="1517"/>
      <c r="M214" s="1517"/>
      <c r="N214" s="1517"/>
      <c r="O214" s="1517"/>
      <c r="P214" s="1517"/>
      <c r="Q214" s="1517"/>
      <c r="R214" s="1561">
        <f t="shared" ref="R214:R220" si="24">ROUND(W214*$Q$84/$Q$83,3)</f>
        <v>5.0000000000000001E-3</v>
      </c>
      <c r="S214" s="1562"/>
      <c r="T214" s="1562"/>
      <c r="U214" s="1562"/>
      <c r="V214" s="1563"/>
      <c r="W214" s="1564">
        <f t="shared" si="23"/>
        <v>40.69</v>
      </c>
      <c r="X214" s="1565"/>
      <c r="Y214" s="1565"/>
      <c r="Z214" s="1565"/>
      <c r="AA214" s="1566"/>
      <c r="AB214" s="1567">
        <f t="shared" ref="AB214:AB220" si="25">ROUND(W214*$Q$86,3)</f>
        <v>691.73</v>
      </c>
      <c r="AC214" s="1568"/>
      <c r="AD214" s="1568"/>
      <c r="AE214" s="1568"/>
      <c r="AF214" s="1569"/>
    </row>
    <row r="215" spans="2:32" ht="30" customHeight="1" x14ac:dyDescent="0.25">
      <c r="B215" s="1517" t="s">
        <v>2462</v>
      </c>
      <c r="C215" s="1517"/>
      <c r="D215" s="1517"/>
      <c r="E215" s="1517"/>
      <c r="F215" s="1517"/>
      <c r="G215" s="1517"/>
      <c r="H215" s="1517"/>
      <c r="I215" s="1517"/>
      <c r="J215" s="1517"/>
      <c r="K215" s="1517"/>
      <c r="L215" s="1517"/>
      <c r="M215" s="1517"/>
      <c r="N215" s="1517"/>
      <c r="O215" s="1517"/>
      <c r="P215" s="1517"/>
      <c r="Q215" s="1517"/>
      <c r="R215" s="1561">
        <f t="shared" si="24"/>
        <v>5.0000000000000001E-3</v>
      </c>
      <c r="S215" s="1562"/>
      <c r="T215" s="1562"/>
      <c r="U215" s="1562"/>
      <c r="V215" s="1563"/>
      <c r="W215" s="1564">
        <f t="shared" si="23"/>
        <v>40.69</v>
      </c>
      <c r="X215" s="1565"/>
      <c r="Y215" s="1565"/>
      <c r="Z215" s="1565"/>
      <c r="AA215" s="1566"/>
      <c r="AB215" s="1567">
        <f t="shared" si="25"/>
        <v>691.73</v>
      </c>
      <c r="AC215" s="1568"/>
      <c r="AD215" s="1568"/>
      <c r="AE215" s="1568"/>
      <c r="AF215" s="1569"/>
    </row>
    <row r="216" spans="2:32" ht="30" customHeight="1" x14ac:dyDescent="0.25">
      <c r="B216" s="1517" t="s">
        <v>2463</v>
      </c>
      <c r="C216" s="1517"/>
      <c r="D216" s="1517"/>
      <c r="E216" s="1517"/>
      <c r="F216" s="1517"/>
      <c r="G216" s="1517"/>
      <c r="H216" s="1517"/>
      <c r="I216" s="1517"/>
      <c r="J216" s="1517"/>
      <c r="K216" s="1517"/>
      <c r="L216" s="1517"/>
      <c r="M216" s="1517"/>
      <c r="N216" s="1517"/>
      <c r="O216" s="1517"/>
      <c r="P216" s="1517"/>
      <c r="Q216" s="1517"/>
      <c r="R216" s="1561">
        <f t="shared" si="24"/>
        <v>5.0000000000000001E-3</v>
      </c>
      <c r="S216" s="1562"/>
      <c r="T216" s="1562"/>
      <c r="U216" s="1562"/>
      <c r="V216" s="1563"/>
      <c r="W216" s="1564">
        <f t="shared" si="23"/>
        <v>46.69</v>
      </c>
      <c r="X216" s="1565"/>
      <c r="Y216" s="1565"/>
      <c r="Z216" s="1565"/>
      <c r="AA216" s="1566"/>
      <c r="AB216" s="1567">
        <f t="shared" si="25"/>
        <v>793.73</v>
      </c>
      <c r="AC216" s="1568"/>
      <c r="AD216" s="1568"/>
      <c r="AE216" s="1568"/>
      <c r="AF216" s="1569"/>
    </row>
    <row r="217" spans="2:32" ht="30" customHeight="1" x14ac:dyDescent="0.25">
      <c r="B217" s="1517" t="s">
        <v>2464</v>
      </c>
      <c r="C217" s="1517"/>
      <c r="D217" s="1517"/>
      <c r="E217" s="1517"/>
      <c r="F217" s="1517"/>
      <c r="G217" s="1517"/>
      <c r="H217" s="1517"/>
      <c r="I217" s="1517"/>
      <c r="J217" s="1517"/>
      <c r="K217" s="1517"/>
      <c r="L217" s="1517"/>
      <c r="M217" s="1517"/>
      <c r="N217" s="1517"/>
      <c r="O217" s="1517"/>
      <c r="P217" s="1517"/>
      <c r="Q217" s="1517"/>
      <c r="R217" s="1561">
        <f t="shared" si="24"/>
        <v>5.0000000000000001E-3</v>
      </c>
      <c r="S217" s="1562"/>
      <c r="T217" s="1562"/>
      <c r="U217" s="1562"/>
      <c r="V217" s="1563"/>
      <c r="W217" s="1564">
        <f t="shared" si="23"/>
        <v>46.69</v>
      </c>
      <c r="X217" s="1565"/>
      <c r="Y217" s="1565"/>
      <c r="Z217" s="1565"/>
      <c r="AA217" s="1566"/>
      <c r="AB217" s="1567">
        <f t="shared" si="25"/>
        <v>793.73</v>
      </c>
      <c r="AC217" s="1568"/>
      <c r="AD217" s="1568"/>
      <c r="AE217" s="1568"/>
      <c r="AF217" s="1569"/>
    </row>
    <row r="218" spans="2:32" ht="30" customHeight="1" x14ac:dyDescent="0.25">
      <c r="B218" s="1517" t="s">
        <v>2465</v>
      </c>
      <c r="C218" s="1517"/>
      <c r="D218" s="1517"/>
      <c r="E218" s="1517"/>
      <c r="F218" s="1517"/>
      <c r="G218" s="1517"/>
      <c r="H218" s="1517"/>
      <c r="I218" s="1517"/>
      <c r="J218" s="1517"/>
      <c r="K218" s="1517"/>
      <c r="L218" s="1517"/>
      <c r="M218" s="1517"/>
      <c r="N218" s="1517"/>
      <c r="O218" s="1517"/>
      <c r="P218" s="1517"/>
      <c r="Q218" s="1517"/>
      <c r="R218" s="1561">
        <f t="shared" si="24"/>
        <v>3.0000000000000001E-3</v>
      </c>
      <c r="S218" s="1562"/>
      <c r="T218" s="1562"/>
      <c r="U218" s="1562"/>
      <c r="V218" s="1563"/>
      <c r="W218" s="1564">
        <f t="shared" si="23"/>
        <v>25.98</v>
      </c>
      <c r="X218" s="1565"/>
      <c r="Y218" s="1565"/>
      <c r="Z218" s="1565"/>
      <c r="AA218" s="1566"/>
      <c r="AB218" s="1567">
        <f t="shared" si="25"/>
        <v>441.66</v>
      </c>
      <c r="AC218" s="1568"/>
      <c r="AD218" s="1568"/>
      <c r="AE218" s="1568"/>
      <c r="AF218" s="1569"/>
    </row>
    <row r="219" spans="2:32" ht="30" customHeight="1" x14ac:dyDescent="0.25">
      <c r="B219" s="1517" t="s">
        <v>2466</v>
      </c>
      <c r="C219" s="1517"/>
      <c r="D219" s="1517"/>
      <c r="E219" s="1517"/>
      <c r="F219" s="1517"/>
      <c r="G219" s="1517"/>
      <c r="H219" s="1517"/>
      <c r="I219" s="1517"/>
      <c r="J219" s="1517"/>
      <c r="K219" s="1517"/>
      <c r="L219" s="1517"/>
      <c r="M219" s="1517"/>
      <c r="N219" s="1517"/>
      <c r="O219" s="1517"/>
      <c r="P219" s="1517"/>
      <c r="Q219" s="1517"/>
      <c r="R219" s="1561">
        <f t="shared" si="24"/>
        <v>4.0000000000000001E-3</v>
      </c>
      <c r="S219" s="1562"/>
      <c r="T219" s="1562"/>
      <c r="U219" s="1562"/>
      <c r="V219" s="1563"/>
      <c r="W219" s="1564">
        <f t="shared" si="23"/>
        <v>36.020000000000003</v>
      </c>
      <c r="X219" s="1565"/>
      <c r="Y219" s="1565"/>
      <c r="Z219" s="1565"/>
      <c r="AA219" s="1566"/>
      <c r="AB219" s="1567">
        <f t="shared" si="25"/>
        <v>612.34</v>
      </c>
      <c r="AC219" s="1568"/>
      <c r="AD219" s="1568"/>
      <c r="AE219" s="1568"/>
      <c r="AF219" s="1569"/>
    </row>
    <row r="220" spans="2:32" ht="30" customHeight="1" x14ac:dyDescent="0.25">
      <c r="B220" s="1517" t="s">
        <v>2467</v>
      </c>
      <c r="C220" s="1517"/>
      <c r="D220" s="1517"/>
      <c r="E220" s="1517"/>
      <c r="F220" s="1517"/>
      <c r="G220" s="1517"/>
      <c r="H220" s="1517"/>
      <c r="I220" s="1517"/>
      <c r="J220" s="1517"/>
      <c r="K220" s="1517"/>
      <c r="L220" s="1517"/>
      <c r="M220" s="1517"/>
      <c r="N220" s="1517"/>
      <c r="O220" s="1517"/>
      <c r="P220" s="1517"/>
      <c r="Q220" s="1517"/>
      <c r="R220" s="1561">
        <f t="shared" si="24"/>
        <v>4.0000000000000001E-3</v>
      </c>
      <c r="S220" s="1562"/>
      <c r="T220" s="1562"/>
      <c r="U220" s="1562"/>
      <c r="V220" s="1563"/>
      <c r="W220" s="1564">
        <f t="shared" si="23"/>
        <v>38.26</v>
      </c>
      <c r="X220" s="1565"/>
      <c r="Y220" s="1565"/>
      <c r="Z220" s="1565"/>
      <c r="AA220" s="1566"/>
      <c r="AB220" s="1567">
        <f t="shared" si="25"/>
        <v>650.41999999999996</v>
      </c>
      <c r="AC220" s="1568"/>
      <c r="AD220" s="1568"/>
      <c r="AE220" s="1568"/>
      <c r="AF220" s="1569"/>
    </row>
    <row r="222" spans="2:32" x14ac:dyDescent="0.25">
      <c r="B222" s="171" t="s">
        <v>2488</v>
      </c>
    </row>
    <row r="223" spans="2:32" ht="30" customHeight="1" x14ac:dyDescent="0.25">
      <c r="B223" s="1527" t="s">
        <v>3845</v>
      </c>
      <c r="C223" s="1527"/>
      <c r="D223" s="1527"/>
      <c r="E223" s="1527"/>
      <c r="F223" s="1527"/>
      <c r="G223" s="1527"/>
      <c r="H223" s="1527"/>
      <c r="I223" s="1527"/>
      <c r="J223" s="1527"/>
      <c r="K223" s="1527"/>
      <c r="L223" s="1527"/>
      <c r="M223" s="1527"/>
      <c r="N223" s="1527"/>
      <c r="O223" s="1527"/>
      <c r="P223" s="1527"/>
      <c r="Q223" s="1527"/>
      <c r="R223" s="1527"/>
      <c r="S223" s="1527"/>
      <c r="T223" s="1527"/>
      <c r="U223" s="1527"/>
      <c r="V223" s="1527"/>
      <c r="W223" s="1527"/>
      <c r="X223" s="1527"/>
      <c r="Y223" s="1527"/>
      <c r="Z223" s="1527"/>
      <c r="AA223" s="1527"/>
      <c r="AB223" s="1527"/>
      <c r="AC223" s="1527"/>
      <c r="AD223" s="1527"/>
      <c r="AE223" s="1527"/>
      <c r="AF223" s="1527"/>
    </row>
    <row r="224" spans="2:32" ht="30" customHeight="1" x14ac:dyDescent="0.25">
      <c r="B224" s="1528" t="s">
        <v>2480</v>
      </c>
      <c r="C224" s="1529"/>
      <c r="D224" s="1529"/>
      <c r="E224" s="1529"/>
      <c r="F224" s="1529"/>
      <c r="G224" s="1529"/>
      <c r="H224" s="1529"/>
      <c r="I224" s="1529"/>
      <c r="J224" s="1529"/>
      <c r="K224" s="1529"/>
      <c r="L224" s="1529"/>
      <c r="M224" s="1529"/>
      <c r="N224" s="1529"/>
      <c r="O224" s="1530"/>
      <c r="P224" s="1534" t="s">
        <v>3846</v>
      </c>
      <c r="Q224" s="1535"/>
      <c r="R224" s="1535"/>
      <c r="S224" s="1535"/>
      <c r="T224" s="1535"/>
      <c r="U224" s="1536"/>
      <c r="V224" s="1534" t="s">
        <v>2194</v>
      </c>
      <c r="W224" s="1535"/>
      <c r="X224" s="1535"/>
      <c r="Y224" s="1535"/>
      <c r="Z224" s="1535"/>
      <c r="AA224" s="1536"/>
      <c r="AB224" s="1528" t="s">
        <v>2012</v>
      </c>
      <c r="AC224" s="1529"/>
      <c r="AD224" s="1529"/>
      <c r="AE224" s="1529"/>
      <c r="AF224" s="1530"/>
    </row>
    <row r="225" spans="2:32" ht="53.25" customHeight="1" x14ac:dyDescent="0.25">
      <c r="B225" s="1531"/>
      <c r="C225" s="1532"/>
      <c r="D225" s="1532"/>
      <c r="E225" s="1532"/>
      <c r="F225" s="1532"/>
      <c r="G225" s="1532"/>
      <c r="H225" s="1532"/>
      <c r="I225" s="1532"/>
      <c r="J225" s="1532"/>
      <c r="K225" s="1532"/>
      <c r="L225" s="1532"/>
      <c r="M225" s="1532"/>
      <c r="N225" s="1532"/>
      <c r="O225" s="1533"/>
      <c r="P225" s="1537" t="s">
        <v>3853</v>
      </c>
      <c r="Q225" s="1537"/>
      <c r="R225" s="1537"/>
      <c r="S225" s="1534" t="s">
        <v>3854</v>
      </c>
      <c r="T225" s="1535"/>
      <c r="U225" s="1536"/>
      <c r="V225" s="1537" t="s">
        <v>3853</v>
      </c>
      <c r="W225" s="1537"/>
      <c r="X225" s="1537"/>
      <c r="Y225" s="1534" t="s">
        <v>3854</v>
      </c>
      <c r="Z225" s="1535"/>
      <c r="AA225" s="1536"/>
      <c r="AB225" s="1531"/>
      <c r="AC225" s="1532"/>
      <c r="AD225" s="1532"/>
      <c r="AE225" s="1532"/>
      <c r="AF225" s="1533"/>
    </row>
    <row r="226" spans="2:32" ht="30" customHeight="1" x14ac:dyDescent="0.25">
      <c r="B226" s="1538" t="s">
        <v>2451</v>
      </c>
      <c r="C226" s="1539"/>
      <c r="D226" s="1539"/>
      <c r="E226" s="1539"/>
      <c r="F226" s="1539"/>
      <c r="G226" s="1539"/>
      <c r="H226" s="1539"/>
      <c r="I226" s="1539"/>
      <c r="J226" s="1539"/>
      <c r="K226" s="1539"/>
      <c r="L226" s="1539"/>
      <c r="M226" s="1539"/>
      <c r="N226" s="1539"/>
      <c r="O226" s="1540"/>
      <c r="P226" s="1570">
        <f t="shared" ref="P226:P233" si="26">ROUND(V226*$Q$84/$Q$83,3)</f>
        <v>9.1999999999999998E-2</v>
      </c>
      <c r="Q226" s="1571"/>
      <c r="R226" s="1571"/>
      <c r="S226" s="1570">
        <f t="shared" ref="S226:S233" si="27">ROUND(Y226*$Q$84/$Q$83,3)</f>
        <v>5.0000000000000001E-3</v>
      </c>
      <c r="T226" s="1571"/>
      <c r="U226" s="1571"/>
      <c r="V226" s="1572">
        <f>ROUND((W201+$W$185),2)</f>
        <v>801.95</v>
      </c>
      <c r="W226" s="1573"/>
      <c r="X226" s="1573"/>
      <c r="Y226" s="1572">
        <f>W201</f>
        <v>43.95</v>
      </c>
      <c r="Z226" s="1573"/>
      <c r="AA226" s="1573"/>
      <c r="AB226" s="1567">
        <f>ROUND((AB201+$AB$185),2)</f>
        <v>6679.3</v>
      </c>
      <c r="AC226" s="1568"/>
      <c r="AD226" s="1568"/>
      <c r="AE226" s="1568"/>
      <c r="AF226" s="1569"/>
    </row>
    <row r="227" spans="2:32" ht="30" customHeight="1" x14ac:dyDescent="0.25">
      <c r="B227" s="1538" t="s">
        <v>2452</v>
      </c>
      <c r="C227" s="1539"/>
      <c r="D227" s="1539"/>
      <c r="E227" s="1539"/>
      <c r="F227" s="1539"/>
      <c r="G227" s="1539"/>
      <c r="H227" s="1539"/>
      <c r="I227" s="1539"/>
      <c r="J227" s="1539"/>
      <c r="K227" s="1539"/>
      <c r="L227" s="1539"/>
      <c r="M227" s="1539"/>
      <c r="N227" s="1539"/>
      <c r="O227" s="1540"/>
      <c r="P227" s="1570">
        <f t="shared" si="26"/>
        <v>9.2999999999999999E-2</v>
      </c>
      <c r="Q227" s="1571"/>
      <c r="R227" s="1571"/>
      <c r="S227" s="1570">
        <f t="shared" si="27"/>
        <v>6.0000000000000001E-3</v>
      </c>
      <c r="T227" s="1571"/>
      <c r="U227" s="1571"/>
      <c r="V227" s="1572">
        <f t="shared" ref="V227:V232" si="28">ROUND((W202+$W$185),2)</f>
        <v>810.64</v>
      </c>
      <c r="W227" s="1573"/>
      <c r="X227" s="1573"/>
      <c r="Y227" s="1572">
        <f t="shared" ref="Y227:Y233" si="29">W202</f>
        <v>52.64</v>
      </c>
      <c r="Z227" s="1573"/>
      <c r="AA227" s="1573"/>
      <c r="AB227" s="1567">
        <f t="shared" ref="AB227:AB233" si="30">ROUND((AB202+$AB$185),2)</f>
        <v>6800.96</v>
      </c>
      <c r="AC227" s="1568"/>
      <c r="AD227" s="1568"/>
      <c r="AE227" s="1568"/>
      <c r="AF227" s="1569"/>
    </row>
    <row r="228" spans="2:32" ht="30" customHeight="1" x14ac:dyDescent="0.25">
      <c r="B228" s="1538" t="s">
        <v>2453</v>
      </c>
      <c r="C228" s="1539"/>
      <c r="D228" s="1539"/>
      <c r="E228" s="1539"/>
      <c r="F228" s="1539"/>
      <c r="G228" s="1539"/>
      <c r="H228" s="1539"/>
      <c r="I228" s="1539"/>
      <c r="J228" s="1539"/>
      <c r="K228" s="1539"/>
      <c r="L228" s="1539"/>
      <c r="M228" s="1539"/>
      <c r="N228" s="1539"/>
      <c r="O228" s="1540"/>
      <c r="P228" s="1570">
        <f t="shared" si="26"/>
        <v>9.2999999999999999E-2</v>
      </c>
      <c r="Q228" s="1571"/>
      <c r="R228" s="1571"/>
      <c r="S228" s="1570">
        <f t="shared" si="27"/>
        <v>7.0000000000000001E-3</v>
      </c>
      <c r="T228" s="1571"/>
      <c r="U228" s="1571"/>
      <c r="V228" s="1572">
        <f t="shared" si="28"/>
        <v>818.48</v>
      </c>
      <c r="W228" s="1573"/>
      <c r="X228" s="1573"/>
      <c r="Y228" s="1572">
        <f t="shared" si="29"/>
        <v>60.48</v>
      </c>
      <c r="Z228" s="1573"/>
      <c r="AA228" s="1573"/>
      <c r="AB228" s="1567">
        <f t="shared" si="30"/>
        <v>6910.72</v>
      </c>
      <c r="AC228" s="1568"/>
      <c r="AD228" s="1568"/>
      <c r="AE228" s="1568"/>
      <c r="AF228" s="1569"/>
    </row>
    <row r="229" spans="2:32" ht="30" customHeight="1" x14ac:dyDescent="0.25">
      <c r="B229" s="1538" t="s">
        <v>2454</v>
      </c>
      <c r="C229" s="1539"/>
      <c r="D229" s="1539"/>
      <c r="E229" s="1539"/>
      <c r="F229" s="1539"/>
      <c r="G229" s="1539"/>
      <c r="H229" s="1539"/>
      <c r="I229" s="1539"/>
      <c r="J229" s="1539"/>
      <c r="K229" s="1539"/>
      <c r="L229" s="1539"/>
      <c r="M229" s="1539"/>
      <c r="N229" s="1539"/>
      <c r="O229" s="1540"/>
      <c r="P229" s="1570">
        <f t="shared" si="26"/>
        <v>9.4E-2</v>
      </c>
      <c r="Q229" s="1571"/>
      <c r="R229" s="1571"/>
      <c r="S229" s="1570">
        <f t="shared" si="27"/>
        <v>7.0000000000000001E-3</v>
      </c>
      <c r="T229" s="1571"/>
      <c r="U229" s="1571"/>
      <c r="V229" s="1572">
        <f t="shared" si="28"/>
        <v>821.47</v>
      </c>
      <c r="W229" s="1573"/>
      <c r="X229" s="1573"/>
      <c r="Y229" s="1572">
        <f t="shared" si="29"/>
        <v>63.47</v>
      </c>
      <c r="Z229" s="1573"/>
      <c r="AA229" s="1573"/>
      <c r="AB229" s="1567">
        <f t="shared" si="30"/>
        <v>6952.58</v>
      </c>
      <c r="AC229" s="1568"/>
      <c r="AD229" s="1568"/>
      <c r="AE229" s="1568"/>
      <c r="AF229" s="1569"/>
    </row>
    <row r="230" spans="2:32" ht="30" customHeight="1" x14ac:dyDescent="0.25">
      <c r="B230" s="1538" t="s">
        <v>2455</v>
      </c>
      <c r="C230" s="1539"/>
      <c r="D230" s="1539"/>
      <c r="E230" s="1539"/>
      <c r="F230" s="1539"/>
      <c r="G230" s="1539"/>
      <c r="H230" s="1539"/>
      <c r="I230" s="1539"/>
      <c r="J230" s="1539"/>
      <c r="K230" s="1539"/>
      <c r="L230" s="1539"/>
      <c r="M230" s="1539"/>
      <c r="N230" s="1539"/>
      <c r="O230" s="1540"/>
      <c r="P230" s="1570">
        <f t="shared" si="26"/>
        <v>9.5000000000000001E-2</v>
      </c>
      <c r="Q230" s="1571"/>
      <c r="R230" s="1571"/>
      <c r="S230" s="1570">
        <f t="shared" si="27"/>
        <v>8.0000000000000002E-3</v>
      </c>
      <c r="T230" s="1571"/>
      <c r="U230" s="1571"/>
      <c r="V230" s="1572">
        <f t="shared" si="28"/>
        <v>830.31</v>
      </c>
      <c r="W230" s="1573"/>
      <c r="X230" s="1573"/>
      <c r="Y230" s="1572">
        <f t="shared" si="29"/>
        <v>72.31</v>
      </c>
      <c r="Z230" s="1573"/>
      <c r="AA230" s="1573"/>
      <c r="AB230" s="1567">
        <f t="shared" si="30"/>
        <v>7076.34</v>
      </c>
      <c r="AC230" s="1568"/>
      <c r="AD230" s="1568"/>
      <c r="AE230" s="1568"/>
      <c r="AF230" s="1569"/>
    </row>
    <row r="231" spans="2:32" ht="30" customHeight="1" x14ac:dyDescent="0.25">
      <c r="B231" s="1538" t="s">
        <v>2456</v>
      </c>
      <c r="C231" s="1539"/>
      <c r="D231" s="1539"/>
      <c r="E231" s="1539"/>
      <c r="F231" s="1539"/>
      <c r="G231" s="1539"/>
      <c r="H231" s="1539"/>
      <c r="I231" s="1539"/>
      <c r="J231" s="1539"/>
      <c r="K231" s="1539"/>
      <c r="L231" s="1539"/>
      <c r="M231" s="1539"/>
      <c r="N231" s="1539"/>
      <c r="O231" s="1540"/>
      <c r="P231" s="1570">
        <f t="shared" si="26"/>
        <v>9.2999999999999999E-2</v>
      </c>
      <c r="Q231" s="1571"/>
      <c r="R231" s="1571"/>
      <c r="S231" s="1570">
        <f t="shared" si="27"/>
        <v>7.0000000000000001E-3</v>
      </c>
      <c r="T231" s="1571"/>
      <c r="U231" s="1571"/>
      <c r="V231" s="1572">
        <f t="shared" si="28"/>
        <v>818.42</v>
      </c>
      <c r="W231" s="1573"/>
      <c r="X231" s="1573"/>
      <c r="Y231" s="1572">
        <f t="shared" si="29"/>
        <v>60.42</v>
      </c>
      <c r="Z231" s="1573"/>
      <c r="AA231" s="1573"/>
      <c r="AB231" s="1567">
        <f t="shared" si="30"/>
        <v>6909.88</v>
      </c>
      <c r="AC231" s="1568"/>
      <c r="AD231" s="1568"/>
      <c r="AE231" s="1568"/>
      <c r="AF231" s="1569"/>
    </row>
    <row r="232" spans="2:32" ht="30" customHeight="1" x14ac:dyDescent="0.25">
      <c r="B232" s="1538" t="s">
        <v>2503</v>
      </c>
      <c r="C232" s="1539"/>
      <c r="D232" s="1539"/>
      <c r="E232" s="1539"/>
      <c r="F232" s="1539"/>
      <c r="G232" s="1539"/>
      <c r="H232" s="1539"/>
      <c r="I232" s="1539"/>
      <c r="J232" s="1539"/>
      <c r="K232" s="1539"/>
      <c r="L232" s="1539"/>
      <c r="M232" s="1539"/>
      <c r="N232" s="1539"/>
      <c r="O232" s="1540"/>
      <c r="P232" s="1570">
        <f t="shared" si="26"/>
        <v>9.4E-2</v>
      </c>
      <c r="Q232" s="1571"/>
      <c r="R232" s="1571"/>
      <c r="S232" s="1570">
        <f t="shared" si="27"/>
        <v>7.0000000000000001E-3</v>
      </c>
      <c r="T232" s="1571"/>
      <c r="U232" s="1571"/>
      <c r="V232" s="1572">
        <f t="shared" si="28"/>
        <v>823.59</v>
      </c>
      <c r="W232" s="1573"/>
      <c r="X232" s="1573"/>
      <c r="Y232" s="1572">
        <f t="shared" si="29"/>
        <v>65.59</v>
      </c>
      <c r="Z232" s="1573"/>
      <c r="AA232" s="1573"/>
      <c r="AB232" s="1567">
        <f t="shared" si="30"/>
        <v>6982.26</v>
      </c>
      <c r="AC232" s="1568"/>
      <c r="AD232" s="1568"/>
      <c r="AE232" s="1568"/>
      <c r="AF232" s="1569"/>
    </row>
    <row r="233" spans="2:32" ht="30" customHeight="1" x14ac:dyDescent="0.25">
      <c r="B233" s="1538" t="s">
        <v>2457</v>
      </c>
      <c r="C233" s="1539"/>
      <c r="D233" s="1539"/>
      <c r="E233" s="1539"/>
      <c r="F233" s="1539"/>
      <c r="G233" s="1539"/>
      <c r="H233" s="1539"/>
      <c r="I233" s="1539"/>
      <c r="J233" s="1539"/>
      <c r="K233" s="1539"/>
      <c r="L233" s="1539"/>
      <c r="M233" s="1539"/>
      <c r="N233" s="1539"/>
      <c r="O233" s="1540"/>
      <c r="P233" s="1570">
        <f t="shared" si="26"/>
        <v>9.2999999999999999E-2</v>
      </c>
      <c r="Q233" s="1571"/>
      <c r="R233" s="1571"/>
      <c r="S233" s="1570">
        <f t="shared" si="27"/>
        <v>7.0000000000000001E-3</v>
      </c>
      <c r="T233" s="1571"/>
      <c r="U233" s="1571"/>
      <c r="V233" s="1572">
        <f>ROUND((W208+$W$185),2)</f>
        <v>817.84</v>
      </c>
      <c r="W233" s="1573"/>
      <c r="X233" s="1573"/>
      <c r="Y233" s="1572">
        <f t="shared" si="29"/>
        <v>59.84</v>
      </c>
      <c r="Z233" s="1573"/>
      <c r="AA233" s="1573"/>
      <c r="AB233" s="1567">
        <f t="shared" si="30"/>
        <v>6901.76</v>
      </c>
      <c r="AC233" s="1568"/>
      <c r="AD233" s="1568"/>
      <c r="AE233" s="1568"/>
      <c r="AF233" s="1569"/>
    </row>
    <row r="234" spans="2:32" x14ac:dyDescent="0.25">
      <c r="B234" s="672" t="s">
        <v>3855</v>
      </c>
      <c r="C234" s="497"/>
      <c r="D234" s="497"/>
      <c r="E234" s="497"/>
      <c r="F234" s="497"/>
      <c r="G234" s="497"/>
      <c r="H234" s="497"/>
      <c r="I234" s="497"/>
      <c r="J234" s="497"/>
      <c r="K234" s="497"/>
      <c r="L234" s="497"/>
      <c r="M234" s="497"/>
      <c r="N234" s="497"/>
      <c r="O234" s="497"/>
      <c r="P234" s="669"/>
      <c r="Q234" s="669"/>
      <c r="R234" s="669"/>
      <c r="S234" s="669"/>
      <c r="T234" s="669"/>
      <c r="U234" s="669"/>
      <c r="V234" s="670"/>
      <c r="W234" s="670"/>
      <c r="X234" s="670"/>
      <c r="Y234" s="670"/>
      <c r="Z234" s="670"/>
      <c r="AA234" s="670"/>
      <c r="AB234" s="671"/>
      <c r="AC234" s="671"/>
      <c r="AD234" s="671"/>
      <c r="AE234" s="671"/>
      <c r="AF234" s="671"/>
    </row>
    <row r="235" spans="2:32" x14ac:dyDescent="0.25">
      <c r="B235" s="672" t="s">
        <v>3856</v>
      </c>
      <c r="C235" s="497"/>
      <c r="D235" s="497"/>
      <c r="E235" s="497"/>
      <c r="F235" s="497"/>
      <c r="G235" s="497"/>
      <c r="H235" s="497"/>
      <c r="I235" s="497"/>
      <c r="J235" s="497"/>
      <c r="K235" s="497"/>
      <c r="L235" s="497"/>
      <c r="M235" s="497"/>
      <c r="N235" s="497"/>
      <c r="O235" s="497"/>
      <c r="P235" s="669"/>
      <c r="Q235" s="669"/>
      <c r="R235" s="669"/>
      <c r="S235" s="669"/>
      <c r="T235" s="669"/>
      <c r="U235" s="669"/>
      <c r="V235" s="670"/>
      <c r="W235" s="670"/>
      <c r="X235" s="670"/>
      <c r="Y235" s="670"/>
      <c r="Z235" s="670"/>
      <c r="AA235" s="670"/>
      <c r="AB235" s="671"/>
      <c r="AC235" s="671"/>
      <c r="AD235" s="671"/>
      <c r="AE235" s="671"/>
      <c r="AF235" s="671"/>
    </row>
    <row r="237" spans="2:32" x14ac:dyDescent="0.25">
      <c r="B237" s="171" t="s">
        <v>2489</v>
      </c>
    </row>
    <row r="238" spans="2:32" ht="30" customHeight="1" x14ac:dyDescent="0.25">
      <c r="B238" s="1527" t="s">
        <v>3847</v>
      </c>
      <c r="C238" s="1527"/>
      <c r="D238" s="1527"/>
      <c r="E238" s="1527"/>
      <c r="F238" s="1527"/>
      <c r="G238" s="1527"/>
      <c r="H238" s="1527"/>
      <c r="I238" s="1527"/>
      <c r="J238" s="1527"/>
      <c r="K238" s="1527"/>
      <c r="L238" s="1527"/>
      <c r="M238" s="1527"/>
      <c r="N238" s="1527"/>
      <c r="O238" s="1527"/>
      <c r="P238" s="1527"/>
      <c r="Q238" s="1527"/>
      <c r="R238" s="1527"/>
      <c r="S238" s="1527"/>
      <c r="T238" s="1527"/>
      <c r="U238" s="1527"/>
      <c r="V238" s="1527"/>
      <c r="W238" s="1527"/>
      <c r="X238" s="1527"/>
      <c r="Y238" s="1527"/>
      <c r="Z238" s="1527"/>
      <c r="AA238" s="1527"/>
      <c r="AB238" s="1527"/>
      <c r="AC238" s="1527"/>
      <c r="AD238" s="1527"/>
      <c r="AE238" s="1527"/>
      <c r="AF238" s="1527"/>
    </row>
    <row r="239" spans="2:32" ht="30" customHeight="1" x14ac:dyDescent="0.25">
      <c r="B239" s="1528" t="s">
        <v>2481</v>
      </c>
      <c r="C239" s="1529"/>
      <c r="D239" s="1529"/>
      <c r="E239" s="1529"/>
      <c r="F239" s="1529"/>
      <c r="G239" s="1529"/>
      <c r="H239" s="1529"/>
      <c r="I239" s="1529"/>
      <c r="J239" s="1529"/>
      <c r="K239" s="1529"/>
      <c r="L239" s="1529"/>
      <c r="M239" s="1529"/>
      <c r="N239" s="1529"/>
      <c r="O239" s="1530"/>
      <c r="P239" s="1534" t="s">
        <v>3846</v>
      </c>
      <c r="Q239" s="1535"/>
      <c r="R239" s="1535"/>
      <c r="S239" s="1535"/>
      <c r="T239" s="1535"/>
      <c r="U239" s="1536"/>
      <c r="V239" s="1534" t="s">
        <v>2194</v>
      </c>
      <c r="W239" s="1535"/>
      <c r="X239" s="1535"/>
      <c r="Y239" s="1535"/>
      <c r="Z239" s="1535"/>
      <c r="AA239" s="1536"/>
      <c r="AB239" s="1528" t="s">
        <v>2012</v>
      </c>
      <c r="AC239" s="1529"/>
      <c r="AD239" s="1529"/>
      <c r="AE239" s="1529"/>
      <c r="AF239" s="1530"/>
    </row>
    <row r="240" spans="2:32" ht="50.25" customHeight="1" x14ac:dyDescent="0.25">
      <c r="B240" s="1531"/>
      <c r="C240" s="1532"/>
      <c r="D240" s="1532"/>
      <c r="E240" s="1532"/>
      <c r="F240" s="1532"/>
      <c r="G240" s="1532"/>
      <c r="H240" s="1532"/>
      <c r="I240" s="1532"/>
      <c r="J240" s="1532"/>
      <c r="K240" s="1532"/>
      <c r="L240" s="1532"/>
      <c r="M240" s="1532"/>
      <c r="N240" s="1532"/>
      <c r="O240" s="1533"/>
      <c r="P240" s="1537" t="s">
        <v>3853</v>
      </c>
      <c r="Q240" s="1537"/>
      <c r="R240" s="1537"/>
      <c r="S240" s="1534" t="s">
        <v>3854</v>
      </c>
      <c r="T240" s="1535"/>
      <c r="U240" s="1536"/>
      <c r="V240" s="1537" t="s">
        <v>3853</v>
      </c>
      <c r="W240" s="1537"/>
      <c r="X240" s="1537"/>
      <c r="Y240" s="1534" t="s">
        <v>3854</v>
      </c>
      <c r="Z240" s="1535"/>
      <c r="AA240" s="1536"/>
      <c r="AB240" s="1531"/>
      <c r="AC240" s="1532"/>
      <c r="AD240" s="1532"/>
      <c r="AE240" s="1532"/>
      <c r="AF240" s="1533"/>
    </row>
    <row r="241" spans="1:32" ht="30" customHeight="1" x14ac:dyDescent="0.25">
      <c r="B241" s="1538" t="s">
        <v>2460</v>
      </c>
      <c r="C241" s="1539"/>
      <c r="D241" s="1539"/>
      <c r="E241" s="1539"/>
      <c r="F241" s="1539"/>
      <c r="G241" s="1539"/>
      <c r="H241" s="1539"/>
      <c r="I241" s="1539"/>
      <c r="J241" s="1539"/>
      <c r="K241" s="1539"/>
      <c r="L241" s="1539"/>
      <c r="M241" s="1539"/>
      <c r="N241" s="1539"/>
      <c r="O241" s="1540"/>
      <c r="P241" s="1570">
        <f>ROUND(V241*$Q$84/$Q$83,3)</f>
        <v>6.9000000000000006E-2</v>
      </c>
      <c r="Q241" s="1571"/>
      <c r="R241" s="1571"/>
      <c r="S241" s="1570">
        <f>ROUND(Y241*$Q$84/$Q$83,3)</f>
        <v>4.0000000000000001E-3</v>
      </c>
      <c r="T241" s="1571"/>
      <c r="U241" s="1571"/>
      <c r="V241" s="1572">
        <f>ROUND((W213+$W$186),2)</f>
        <v>605.04999999999995</v>
      </c>
      <c r="W241" s="1573"/>
      <c r="X241" s="1573"/>
      <c r="Y241" s="1572">
        <f>W213</f>
        <v>31.05</v>
      </c>
      <c r="Z241" s="1573"/>
      <c r="AA241" s="1573"/>
      <c r="AB241" s="1567">
        <f>ROUND((AB213+$AB$186),2)</f>
        <v>4545.8500000000004</v>
      </c>
      <c r="AC241" s="1568"/>
      <c r="AD241" s="1568"/>
      <c r="AE241" s="1568"/>
      <c r="AF241" s="1569"/>
    </row>
    <row r="242" spans="1:32" ht="30" customHeight="1" x14ac:dyDescent="0.25">
      <c r="B242" s="1538" t="s">
        <v>2461</v>
      </c>
      <c r="C242" s="1539"/>
      <c r="D242" s="1539"/>
      <c r="E242" s="1539"/>
      <c r="F242" s="1539"/>
      <c r="G242" s="1539"/>
      <c r="H242" s="1539"/>
      <c r="I242" s="1539"/>
      <c r="J242" s="1539"/>
      <c r="K242" s="1539"/>
      <c r="L242" s="1539"/>
      <c r="M242" s="1539"/>
      <c r="N242" s="1539"/>
      <c r="O242" s="1540"/>
      <c r="P242" s="1570">
        <f t="shared" ref="P242:P248" si="31">ROUND(V242*$Q$84/$Q$83,3)</f>
        <v>7.0000000000000007E-2</v>
      </c>
      <c r="Q242" s="1571"/>
      <c r="R242" s="1571"/>
      <c r="S242" s="1570">
        <f t="shared" ref="S242:S248" si="32">ROUND(Y242*$Q$84/$Q$83,3)</f>
        <v>5.0000000000000001E-3</v>
      </c>
      <c r="T242" s="1571"/>
      <c r="U242" s="1571"/>
      <c r="V242" s="1572">
        <f t="shared" ref="V242:V247" si="33">ROUND((W214+$W$186),2)</f>
        <v>614.69000000000005</v>
      </c>
      <c r="W242" s="1573"/>
      <c r="X242" s="1573"/>
      <c r="Y242" s="1572">
        <f t="shared" ref="Y242:Y248" si="34">W214</f>
        <v>40.69</v>
      </c>
      <c r="Z242" s="1573"/>
      <c r="AA242" s="1573"/>
      <c r="AB242" s="1567">
        <f t="shared" ref="AB242:AB247" si="35">ROUND((AB214+$AB$186),2)</f>
        <v>4709.7299999999996</v>
      </c>
      <c r="AC242" s="1568"/>
      <c r="AD242" s="1568"/>
      <c r="AE242" s="1568"/>
      <c r="AF242" s="1569"/>
    </row>
    <row r="243" spans="1:32" ht="30" customHeight="1" x14ac:dyDescent="0.25">
      <c r="B243" s="1538" t="s">
        <v>2462</v>
      </c>
      <c r="C243" s="1539"/>
      <c r="D243" s="1539"/>
      <c r="E243" s="1539"/>
      <c r="F243" s="1539"/>
      <c r="G243" s="1539"/>
      <c r="H243" s="1539"/>
      <c r="I243" s="1539"/>
      <c r="J243" s="1539"/>
      <c r="K243" s="1539"/>
      <c r="L243" s="1539"/>
      <c r="M243" s="1539"/>
      <c r="N243" s="1539"/>
      <c r="O243" s="1540"/>
      <c r="P243" s="1570">
        <f t="shared" si="31"/>
        <v>7.0000000000000007E-2</v>
      </c>
      <c r="Q243" s="1571"/>
      <c r="R243" s="1571"/>
      <c r="S243" s="1570">
        <f t="shared" si="32"/>
        <v>5.0000000000000001E-3</v>
      </c>
      <c r="T243" s="1571"/>
      <c r="U243" s="1571"/>
      <c r="V243" s="1572">
        <f t="shared" si="33"/>
        <v>614.69000000000005</v>
      </c>
      <c r="W243" s="1573"/>
      <c r="X243" s="1573"/>
      <c r="Y243" s="1572">
        <f t="shared" si="34"/>
        <v>40.69</v>
      </c>
      <c r="Z243" s="1573"/>
      <c r="AA243" s="1573"/>
      <c r="AB243" s="1567">
        <f t="shared" si="35"/>
        <v>4709.7299999999996</v>
      </c>
      <c r="AC243" s="1568"/>
      <c r="AD243" s="1568"/>
      <c r="AE243" s="1568"/>
      <c r="AF243" s="1569"/>
    </row>
    <row r="244" spans="1:32" ht="30" customHeight="1" x14ac:dyDescent="0.25">
      <c r="B244" s="1538" t="s">
        <v>2463</v>
      </c>
      <c r="C244" s="1539"/>
      <c r="D244" s="1539"/>
      <c r="E244" s="1539"/>
      <c r="F244" s="1539"/>
      <c r="G244" s="1539"/>
      <c r="H244" s="1539"/>
      <c r="I244" s="1539"/>
      <c r="J244" s="1539"/>
      <c r="K244" s="1539"/>
      <c r="L244" s="1539"/>
      <c r="M244" s="1539"/>
      <c r="N244" s="1539"/>
      <c r="O244" s="1540"/>
      <c r="P244" s="1570">
        <f t="shared" si="31"/>
        <v>7.0999999999999994E-2</v>
      </c>
      <c r="Q244" s="1571"/>
      <c r="R244" s="1571"/>
      <c r="S244" s="1570">
        <f t="shared" si="32"/>
        <v>5.0000000000000001E-3</v>
      </c>
      <c r="T244" s="1571"/>
      <c r="U244" s="1571"/>
      <c r="V244" s="1572">
        <f t="shared" si="33"/>
        <v>620.69000000000005</v>
      </c>
      <c r="W244" s="1573"/>
      <c r="X244" s="1573"/>
      <c r="Y244" s="1572">
        <f t="shared" si="34"/>
        <v>46.69</v>
      </c>
      <c r="Z244" s="1573"/>
      <c r="AA244" s="1573"/>
      <c r="AB244" s="1567">
        <f t="shared" si="35"/>
        <v>4811.7299999999996</v>
      </c>
      <c r="AC244" s="1568"/>
      <c r="AD244" s="1568"/>
      <c r="AE244" s="1568"/>
      <c r="AF244" s="1569"/>
    </row>
    <row r="245" spans="1:32" ht="30" customHeight="1" x14ac:dyDescent="0.25">
      <c r="B245" s="1538" t="s">
        <v>2464</v>
      </c>
      <c r="C245" s="1539"/>
      <c r="D245" s="1539"/>
      <c r="E245" s="1539"/>
      <c r="F245" s="1539"/>
      <c r="G245" s="1539"/>
      <c r="H245" s="1539"/>
      <c r="I245" s="1539"/>
      <c r="J245" s="1539"/>
      <c r="K245" s="1539"/>
      <c r="L245" s="1539"/>
      <c r="M245" s="1539"/>
      <c r="N245" s="1539"/>
      <c r="O245" s="1540"/>
      <c r="P245" s="1570">
        <f t="shared" si="31"/>
        <v>7.0999999999999994E-2</v>
      </c>
      <c r="Q245" s="1571"/>
      <c r="R245" s="1571"/>
      <c r="S245" s="1570">
        <f t="shared" si="32"/>
        <v>5.0000000000000001E-3</v>
      </c>
      <c r="T245" s="1571"/>
      <c r="U245" s="1571"/>
      <c r="V245" s="1572">
        <f t="shared" si="33"/>
        <v>620.69000000000005</v>
      </c>
      <c r="W245" s="1573"/>
      <c r="X245" s="1573"/>
      <c r="Y245" s="1572">
        <f t="shared" si="34"/>
        <v>46.69</v>
      </c>
      <c r="Z245" s="1573"/>
      <c r="AA245" s="1573"/>
      <c r="AB245" s="1567">
        <f t="shared" si="35"/>
        <v>4811.7299999999996</v>
      </c>
      <c r="AC245" s="1568"/>
      <c r="AD245" s="1568"/>
      <c r="AE245" s="1568"/>
      <c r="AF245" s="1569"/>
    </row>
    <row r="246" spans="1:32" ht="30" customHeight="1" x14ac:dyDescent="0.25">
      <c r="B246" s="1538" t="s">
        <v>2465</v>
      </c>
      <c r="C246" s="1539"/>
      <c r="D246" s="1539"/>
      <c r="E246" s="1539"/>
      <c r="F246" s="1539"/>
      <c r="G246" s="1539"/>
      <c r="H246" s="1539"/>
      <c r="I246" s="1539"/>
      <c r="J246" s="1539"/>
      <c r="K246" s="1539"/>
      <c r="L246" s="1539"/>
      <c r="M246" s="1539"/>
      <c r="N246" s="1539"/>
      <c r="O246" s="1540"/>
      <c r="P246" s="1570">
        <f t="shared" si="31"/>
        <v>6.8000000000000005E-2</v>
      </c>
      <c r="Q246" s="1571"/>
      <c r="R246" s="1571"/>
      <c r="S246" s="1570">
        <f t="shared" si="32"/>
        <v>3.0000000000000001E-3</v>
      </c>
      <c r="T246" s="1571"/>
      <c r="U246" s="1571"/>
      <c r="V246" s="1572">
        <f t="shared" si="33"/>
        <v>599.98</v>
      </c>
      <c r="W246" s="1573"/>
      <c r="X246" s="1573"/>
      <c r="Y246" s="1572">
        <f t="shared" si="34"/>
        <v>25.98</v>
      </c>
      <c r="Z246" s="1573"/>
      <c r="AA246" s="1573"/>
      <c r="AB246" s="1567">
        <f t="shared" si="35"/>
        <v>4459.66</v>
      </c>
      <c r="AC246" s="1568"/>
      <c r="AD246" s="1568"/>
      <c r="AE246" s="1568"/>
      <c r="AF246" s="1569"/>
    </row>
    <row r="247" spans="1:32" ht="30" customHeight="1" x14ac:dyDescent="0.25">
      <c r="B247" s="1538" t="s">
        <v>2466</v>
      </c>
      <c r="C247" s="1539"/>
      <c r="D247" s="1539"/>
      <c r="E247" s="1539"/>
      <c r="F247" s="1539"/>
      <c r="G247" s="1539"/>
      <c r="H247" s="1539"/>
      <c r="I247" s="1539"/>
      <c r="J247" s="1539"/>
      <c r="K247" s="1539"/>
      <c r="L247" s="1539"/>
      <c r="M247" s="1539"/>
      <c r="N247" s="1539"/>
      <c r="O247" s="1540"/>
      <c r="P247" s="1570">
        <f t="shared" si="31"/>
        <v>7.0000000000000007E-2</v>
      </c>
      <c r="Q247" s="1571"/>
      <c r="R247" s="1571"/>
      <c r="S247" s="1570">
        <f t="shared" si="32"/>
        <v>4.0000000000000001E-3</v>
      </c>
      <c r="T247" s="1571"/>
      <c r="U247" s="1571"/>
      <c r="V247" s="1572">
        <f t="shared" si="33"/>
        <v>610.02</v>
      </c>
      <c r="W247" s="1573"/>
      <c r="X247" s="1573"/>
      <c r="Y247" s="1572">
        <f t="shared" si="34"/>
        <v>36.020000000000003</v>
      </c>
      <c r="Z247" s="1573"/>
      <c r="AA247" s="1573"/>
      <c r="AB247" s="1567">
        <f t="shared" si="35"/>
        <v>4630.34</v>
      </c>
      <c r="AC247" s="1568"/>
      <c r="AD247" s="1568"/>
      <c r="AE247" s="1568"/>
      <c r="AF247" s="1569"/>
    </row>
    <row r="248" spans="1:32" ht="30" customHeight="1" x14ac:dyDescent="0.25">
      <c r="B248" s="1538" t="s">
        <v>2467</v>
      </c>
      <c r="C248" s="1539"/>
      <c r="D248" s="1539"/>
      <c r="E248" s="1539"/>
      <c r="F248" s="1539"/>
      <c r="G248" s="1539"/>
      <c r="H248" s="1539"/>
      <c r="I248" s="1539"/>
      <c r="J248" s="1539"/>
      <c r="K248" s="1539"/>
      <c r="L248" s="1539"/>
      <c r="M248" s="1539"/>
      <c r="N248" s="1539"/>
      <c r="O248" s="1540"/>
      <c r="P248" s="1570">
        <f t="shared" si="31"/>
        <v>7.0000000000000007E-2</v>
      </c>
      <c r="Q248" s="1571"/>
      <c r="R248" s="1571"/>
      <c r="S248" s="1570">
        <f t="shared" si="32"/>
        <v>4.0000000000000001E-3</v>
      </c>
      <c r="T248" s="1571"/>
      <c r="U248" s="1571"/>
      <c r="V248" s="1572">
        <f>ROUND((W220+$W$186),2)</f>
        <v>612.26</v>
      </c>
      <c r="W248" s="1573"/>
      <c r="X248" s="1573"/>
      <c r="Y248" s="1572">
        <f t="shared" si="34"/>
        <v>38.26</v>
      </c>
      <c r="Z248" s="1573"/>
      <c r="AA248" s="1573"/>
      <c r="AB248" s="1567">
        <f>ROUND((AB220+$AB$186),2)</f>
        <v>4668.42</v>
      </c>
      <c r="AC248" s="1568"/>
      <c r="AD248" s="1568"/>
      <c r="AE248" s="1568"/>
      <c r="AF248" s="1569"/>
    </row>
    <row r="249" spans="1:32" x14ac:dyDescent="0.25">
      <c r="B249" s="672" t="s">
        <v>3857</v>
      </c>
      <c r="C249" s="673"/>
      <c r="D249" s="673"/>
      <c r="E249" s="673"/>
      <c r="F249" s="673"/>
      <c r="G249" s="673"/>
      <c r="H249" s="673"/>
      <c r="I249" s="673"/>
      <c r="J249" s="673"/>
      <c r="K249" s="673"/>
      <c r="L249" s="673"/>
      <c r="M249" s="673"/>
      <c r="N249" s="673"/>
      <c r="O249" s="673"/>
      <c r="P249" s="674"/>
      <c r="Q249" s="674"/>
      <c r="R249" s="674"/>
      <c r="S249" s="674"/>
      <c r="T249" s="674"/>
      <c r="U249" s="674"/>
      <c r="V249" s="675"/>
      <c r="W249" s="675"/>
      <c r="X249" s="675"/>
      <c r="Y249" s="675"/>
      <c r="Z249" s="675"/>
      <c r="AA249" s="675"/>
      <c r="AB249" s="676"/>
      <c r="AC249" s="676"/>
      <c r="AD249" s="676"/>
      <c r="AE249" s="676"/>
      <c r="AF249" s="676"/>
    </row>
    <row r="250" spans="1:32" x14ac:dyDescent="0.25">
      <c r="B250" s="672" t="s">
        <v>3858</v>
      </c>
      <c r="C250" s="673"/>
      <c r="D250" s="673"/>
      <c r="E250" s="673"/>
      <c r="F250" s="673"/>
      <c r="G250" s="673"/>
      <c r="H250" s="673"/>
      <c r="I250" s="673"/>
      <c r="J250" s="673"/>
      <c r="K250" s="673"/>
      <c r="L250" s="673"/>
      <c r="M250" s="673"/>
      <c r="N250" s="673"/>
      <c r="O250" s="673"/>
      <c r="P250" s="674"/>
      <c r="Q250" s="674"/>
      <c r="R250" s="674"/>
      <c r="S250" s="674"/>
      <c r="T250" s="674"/>
      <c r="U250" s="674"/>
      <c r="V250" s="675"/>
      <c r="W250" s="675"/>
      <c r="X250" s="675"/>
      <c r="Y250" s="675"/>
      <c r="Z250" s="675"/>
      <c r="AA250" s="675"/>
      <c r="AB250" s="676"/>
      <c r="AC250" s="676"/>
      <c r="AD250" s="676"/>
      <c r="AE250" s="676"/>
      <c r="AF250" s="676"/>
    </row>
    <row r="252" spans="1:32" x14ac:dyDescent="0.25">
      <c r="A252" s="1472" t="s">
        <v>1753</v>
      </c>
      <c r="B252" s="1472"/>
      <c r="C252" s="1472"/>
      <c r="D252" s="1472"/>
      <c r="E252" s="1472"/>
      <c r="F252" s="1472"/>
      <c r="G252" s="1472"/>
      <c r="H252" s="1472"/>
      <c r="I252" s="1472"/>
      <c r="J252" s="1472"/>
      <c r="K252" s="1472"/>
      <c r="L252" s="1472"/>
      <c r="M252" s="1472"/>
      <c r="N252" s="1472"/>
      <c r="O252" s="1472"/>
      <c r="P252" s="1472"/>
      <c r="Q252" s="1472"/>
      <c r="R252" s="1472"/>
      <c r="S252" s="1472"/>
      <c r="T252" s="1472"/>
      <c r="U252" s="1472"/>
      <c r="V252" s="1472"/>
      <c r="W252" s="1472"/>
      <c r="X252" s="1472"/>
      <c r="Y252" s="1472"/>
      <c r="Z252" s="1472"/>
      <c r="AA252" s="1472"/>
      <c r="AB252" s="1472"/>
      <c r="AC252" s="1472"/>
      <c r="AD252" s="1472"/>
      <c r="AE252" s="1472"/>
      <c r="AF252" s="1472"/>
    </row>
    <row r="254" spans="1:32" ht="30" customHeight="1" x14ac:dyDescent="0.25">
      <c r="A254" s="515" t="s">
        <v>1013</v>
      </c>
      <c r="B254" s="1173" t="s">
        <v>3848</v>
      </c>
      <c r="C254" s="1173"/>
      <c r="D254" s="1173"/>
      <c r="E254" s="1173"/>
      <c r="F254" s="1173"/>
      <c r="G254" s="1173"/>
      <c r="H254" s="1173"/>
      <c r="I254" s="1173"/>
      <c r="J254" s="1173"/>
      <c r="K254" s="1173"/>
      <c r="L254" s="1173"/>
      <c r="M254" s="1173"/>
      <c r="N254" s="1173"/>
      <c r="O254" s="1173"/>
      <c r="P254" s="1173"/>
      <c r="Q254" s="1173"/>
      <c r="R254" s="1173"/>
      <c r="S254" s="1173"/>
      <c r="T254" s="1173"/>
      <c r="U254" s="1173"/>
      <c r="V254" s="1173"/>
      <c r="W254" s="1173"/>
      <c r="X254" s="1173"/>
      <c r="Y254" s="1173"/>
      <c r="Z254" s="1173"/>
      <c r="AA254" s="1173"/>
      <c r="AB254" s="1173"/>
      <c r="AC254" s="1173"/>
      <c r="AD254" s="1173"/>
      <c r="AE254" s="1173"/>
      <c r="AF254" s="1173"/>
    </row>
    <row r="255" spans="1:32" ht="63.75" customHeight="1" x14ac:dyDescent="0.25">
      <c r="A255" s="515" t="s">
        <v>1013</v>
      </c>
      <c r="B255" s="1173" t="s">
        <v>2501</v>
      </c>
      <c r="C255" s="1173"/>
      <c r="D255" s="1173"/>
      <c r="E255" s="1173"/>
      <c r="F255" s="1173"/>
      <c r="G255" s="1173"/>
      <c r="H255" s="1173"/>
      <c r="I255" s="1173"/>
      <c r="J255" s="1173"/>
      <c r="K255" s="1173"/>
      <c r="L255" s="1173"/>
      <c r="M255" s="1173"/>
      <c r="N255" s="1173"/>
      <c r="O255" s="1173"/>
      <c r="P255" s="1173"/>
      <c r="Q255" s="1173"/>
      <c r="R255" s="1173"/>
      <c r="S255" s="1173"/>
      <c r="T255" s="1173"/>
      <c r="U255" s="1173"/>
      <c r="V255" s="1173"/>
      <c r="W255" s="1173"/>
      <c r="X255" s="1173"/>
      <c r="Y255" s="1173"/>
      <c r="Z255" s="1173"/>
      <c r="AA255" s="1173"/>
      <c r="AB255" s="1173"/>
      <c r="AC255" s="1173"/>
      <c r="AD255" s="1173"/>
      <c r="AE255" s="1173"/>
      <c r="AF255" s="1173"/>
    </row>
    <row r="256" spans="1:32" ht="62.25" customHeight="1" x14ac:dyDescent="0.25">
      <c r="A256" s="515" t="s">
        <v>1013</v>
      </c>
      <c r="B256" s="1173" t="s">
        <v>2505</v>
      </c>
      <c r="C256" s="1173"/>
      <c r="D256" s="1173"/>
      <c r="E256" s="1173"/>
      <c r="F256" s="1173"/>
      <c r="G256" s="1173"/>
      <c r="H256" s="1173"/>
      <c r="I256" s="1173"/>
      <c r="J256" s="1173"/>
      <c r="K256" s="1173"/>
      <c r="L256" s="1173"/>
      <c r="M256" s="1173"/>
      <c r="N256" s="1173"/>
      <c r="O256" s="1173"/>
      <c r="P256" s="1173"/>
      <c r="Q256" s="1173"/>
      <c r="R256" s="1173"/>
      <c r="S256" s="1173"/>
      <c r="T256" s="1173"/>
      <c r="U256" s="1173"/>
      <c r="V256" s="1173"/>
      <c r="W256" s="1173"/>
      <c r="X256" s="1173"/>
      <c r="Y256" s="1173"/>
      <c r="Z256" s="1173"/>
      <c r="AA256" s="1173"/>
      <c r="AB256" s="1173"/>
      <c r="AC256" s="1173"/>
      <c r="AD256" s="1173"/>
      <c r="AE256" s="1173"/>
      <c r="AF256" s="1173"/>
    </row>
    <row r="257" spans="1:32" ht="51.75" customHeight="1" x14ac:dyDescent="0.25">
      <c r="A257" s="515" t="s">
        <v>1013</v>
      </c>
      <c r="B257" s="1173" t="s">
        <v>3849</v>
      </c>
      <c r="C257" s="1173"/>
      <c r="D257" s="1173"/>
      <c r="E257" s="1173"/>
      <c r="F257" s="1173"/>
      <c r="G257" s="1173"/>
      <c r="H257" s="1173"/>
      <c r="I257" s="1173"/>
      <c r="J257" s="1173"/>
      <c r="K257" s="1173"/>
      <c r="L257" s="1173"/>
      <c r="M257" s="1173"/>
      <c r="N257" s="1173"/>
      <c r="O257" s="1173"/>
      <c r="P257" s="1173"/>
      <c r="Q257" s="1173"/>
      <c r="R257" s="1173"/>
      <c r="S257" s="1173"/>
      <c r="T257" s="1173"/>
      <c r="U257" s="1173"/>
      <c r="V257" s="1173"/>
      <c r="W257" s="1173"/>
      <c r="X257" s="1173"/>
      <c r="Y257" s="1173"/>
      <c r="Z257" s="1173"/>
      <c r="AA257" s="1173"/>
      <c r="AB257" s="1173"/>
      <c r="AC257" s="1173"/>
      <c r="AD257" s="1173"/>
      <c r="AE257" s="1173"/>
      <c r="AF257" s="1173"/>
    </row>
    <row r="258" spans="1:32" ht="38.25" customHeight="1" x14ac:dyDescent="0.25">
      <c r="A258" s="515" t="s">
        <v>1013</v>
      </c>
      <c r="B258" s="1173" t="s">
        <v>2504</v>
      </c>
      <c r="C258" s="1173"/>
      <c r="D258" s="1173"/>
      <c r="E258" s="1173"/>
      <c r="F258" s="1173"/>
      <c r="G258" s="1173"/>
      <c r="H258" s="1173"/>
      <c r="I258" s="1173"/>
      <c r="J258" s="1173"/>
      <c r="K258" s="1173"/>
      <c r="L258" s="1173"/>
      <c r="M258" s="1173"/>
      <c r="N258" s="1173"/>
      <c r="O258" s="1173"/>
      <c r="P258" s="1173"/>
      <c r="Q258" s="1173"/>
      <c r="R258" s="1173"/>
      <c r="S258" s="1173"/>
      <c r="T258" s="1173"/>
      <c r="U258" s="1173"/>
      <c r="V258" s="1173"/>
      <c r="W258" s="1173"/>
      <c r="X258" s="1173"/>
      <c r="Y258" s="1173"/>
      <c r="Z258" s="1173"/>
      <c r="AA258" s="1173"/>
      <c r="AB258" s="1173"/>
      <c r="AC258" s="1173"/>
      <c r="AD258" s="1173"/>
      <c r="AE258" s="1173"/>
      <c r="AF258" s="1173"/>
    </row>
    <row r="259" spans="1:32" ht="53.25" customHeight="1" x14ac:dyDescent="0.25">
      <c r="A259" s="515" t="s">
        <v>1013</v>
      </c>
      <c r="B259" s="1173" t="s">
        <v>2502</v>
      </c>
      <c r="C259" s="1173"/>
      <c r="D259" s="1173"/>
      <c r="E259" s="1173"/>
      <c r="F259" s="1173"/>
      <c r="G259" s="1173"/>
      <c r="H259" s="1173"/>
      <c r="I259" s="1173"/>
      <c r="J259" s="1173"/>
      <c r="K259" s="1173"/>
      <c r="L259" s="1173"/>
      <c r="M259" s="1173"/>
      <c r="N259" s="1173"/>
      <c r="O259" s="1173"/>
      <c r="P259" s="1173"/>
      <c r="Q259" s="1173"/>
      <c r="R259" s="1173"/>
      <c r="S259" s="1173"/>
      <c r="T259" s="1173"/>
      <c r="U259" s="1173"/>
      <c r="V259" s="1173"/>
      <c r="W259" s="1173"/>
      <c r="X259" s="1173"/>
      <c r="Y259" s="1173"/>
      <c r="Z259" s="1173"/>
      <c r="AA259" s="1173"/>
      <c r="AB259" s="1173"/>
      <c r="AC259" s="1173"/>
      <c r="AD259" s="1173"/>
      <c r="AE259" s="1173"/>
      <c r="AF259" s="1173"/>
    </row>
    <row r="260" spans="1:32" ht="49.5" customHeight="1" x14ac:dyDescent="0.25">
      <c r="A260" s="515" t="s">
        <v>1013</v>
      </c>
      <c r="B260" s="1173" t="s">
        <v>2851</v>
      </c>
      <c r="C260" s="1173"/>
      <c r="D260" s="1173"/>
      <c r="E260" s="1173"/>
      <c r="F260" s="1173"/>
      <c r="G260" s="1173"/>
      <c r="H260" s="1173"/>
      <c r="I260" s="1173"/>
      <c r="J260" s="1173"/>
      <c r="K260" s="1173"/>
      <c r="L260" s="1173"/>
      <c r="M260" s="1173"/>
      <c r="N260" s="1173"/>
      <c r="O260" s="1173"/>
      <c r="P260" s="1173"/>
      <c r="Q260" s="1173"/>
      <c r="R260" s="1173"/>
      <c r="S260" s="1173"/>
      <c r="T260" s="1173"/>
      <c r="U260" s="1173"/>
      <c r="V260" s="1173"/>
      <c r="W260" s="1173"/>
      <c r="X260" s="1173"/>
      <c r="Y260" s="1173"/>
      <c r="Z260" s="1173"/>
      <c r="AA260" s="1173"/>
      <c r="AB260" s="1173"/>
      <c r="AC260" s="1173"/>
      <c r="AD260" s="1173"/>
      <c r="AE260" s="1173"/>
      <c r="AF260" s="1173"/>
    </row>
  </sheetData>
  <sheetProtection algorithmName="SHA-512" hashValue="6EY5PZN4fvSGcCKy9apHNQPXbQoRv6HpEVtbrP+JB/3kJq64DukQ6taSIRGN3gko6TQbUauA0/IhDK4RnVb+dg==" saltValue="SO5hyv6XFxaYk1TSKZmjkQ==" spinCount="100000" sheet="1" objects="1" scenarios="1"/>
  <mergeCells count="603">
    <mergeCell ref="B259:AF259"/>
    <mergeCell ref="B260:AF260"/>
    <mergeCell ref="B248:O248"/>
    <mergeCell ref="P248:R248"/>
    <mergeCell ref="S248:U248"/>
    <mergeCell ref="V248:X248"/>
    <mergeCell ref="Y248:AA248"/>
    <mergeCell ref="AB248:AF248"/>
    <mergeCell ref="A252:AF252"/>
    <mergeCell ref="B254:AF254"/>
    <mergeCell ref="B255:AF255"/>
    <mergeCell ref="B247:O247"/>
    <mergeCell ref="P247:R247"/>
    <mergeCell ref="S247:U247"/>
    <mergeCell ref="V247:X247"/>
    <mergeCell ref="Y247:AA247"/>
    <mergeCell ref="AB247:AF247"/>
    <mergeCell ref="B256:AF256"/>
    <mergeCell ref="B257:AF257"/>
    <mergeCell ref="B258:AF258"/>
    <mergeCell ref="B245:O245"/>
    <mergeCell ref="P245:R245"/>
    <mergeCell ref="S245:U245"/>
    <mergeCell ref="V245:X245"/>
    <mergeCell ref="Y245:AA245"/>
    <mergeCell ref="AB245:AF245"/>
    <mergeCell ref="B246:O246"/>
    <mergeCell ref="P246:R246"/>
    <mergeCell ref="S246:U246"/>
    <mergeCell ref="V246:X246"/>
    <mergeCell ref="Y246:AA246"/>
    <mergeCell ref="AB246:AF246"/>
    <mergeCell ref="B243:O243"/>
    <mergeCell ref="P243:R243"/>
    <mergeCell ref="S243:U243"/>
    <mergeCell ref="V243:X243"/>
    <mergeCell ref="Y243:AA243"/>
    <mergeCell ref="AB243:AF243"/>
    <mergeCell ref="B244:O244"/>
    <mergeCell ref="P244:R244"/>
    <mergeCell ref="S244:U244"/>
    <mergeCell ref="V244:X244"/>
    <mergeCell ref="Y244:AA244"/>
    <mergeCell ref="AB244:AF244"/>
    <mergeCell ref="B241:O241"/>
    <mergeCell ref="P241:R241"/>
    <mergeCell ref="S241:U241"/>
    <mergeCell ref="V241:X241"/>
    <mergeCell ref="Y241:AA241"/>
    <mergeCell ref="AB241:AF241"/>
    <mergeCell ref="B242:O242"/>
    <mergeCell ref="P242:R242"/>
    <mergeCell ref="S242:U242"/>
    <mergeCell ref="V242:X242"/>
    <mergeCell ref="Y242:AA242"/>
    <mergeCell ref="AB242:AF242"/>
    <mergeCell ref="B238:AF238"/>
    <mergeCell ref="B239:O240"/>
    <mergeCell ref="P239:U239"/>
    <mergeCell ref="V239:AA239"/>
    <mergeCell ref="AB239:AF240"/>
    <mergeCell ref="P240:R240"/>
    <mergeCell ref="S240:U240"/>
    <mergeCell ref="V240:X240"/>
    <mergeCell ref="Y240:AA240"/>
    <mergeCell ref="B230:O230"/>
    <mergeCell ref="P230:R230"/>
    <mergeCell ref="S230:U230"/>
    <mergeCell ref="V230:X230"/>
    <mergeCell ref="Y230:AA230"/>
    <mergeCell ref="S232:U232"/>
    <mergeCell ref="V232:X232"/>
    <mergeCell ref="Y232:AA232"/>
    <mergeCell ref="B233:O233"/>
    <mergeCell ref="P233:R233"/>
    <mergeCell ref="S233:U233"/>
    <mergeCell ref="V233:X233"/>
    <mergeCell ref="Y233:AA233"/>
    <mergeCell ref="V228:X228"/>
    <mergeCell ref="Y228:AA228"/>
    <mergeCell ref="AB228:AF228"/>
    <mergeCell ref="B229:O229"/>
    <mergeCell ref="P229:R229"/>
    <mergeCell ref="S229:U229"/>
    <mergeCell ref="V229:X229"/>
    <mergeCell ref="Y229:AA229"/>
    <mergeCell ref="AB229:AF229"/>
    <mergeCell ref="A189:AF189"/>
    <mergeCell ref="J192:M192"/>
    <mergeCell ref="Y192:AB192"/>
    <mergeCell ref="J194:M194"/>
    <mergeCell ref="D196:G196"/>
    <mergeCell ref="S196:V196"/>
    <mergeCell ref="B202:Q202"/>
    <mergeCell ref="R202:V202"/>
    <mergeCell ref="W202:AA202"/>
    <mergeCell ref="AB202:AF202"/>
    <mergeCell ref="B201:Q201"/>
    <mergeCell ref="R201:V201"/>
    <mergeCell ref="W201:AA201"/>
    <mergeCell ref="AB201:AF201"/>
    <mergeCell ref="B200:Q200"/>
    <mergeCell ref="R200:V200"/>
    <mergeCell ref="W200:AA200"/>
    <mergeCell ref="AB200:AF200"/>
    <mergeCell ref="Y176:AA176"/>
    <mergeCell ref="AB176:AF176"/>
    <mergeCell ref="B177:O177"/>
    <mergeCell ref="P177:R177"/>
    <mergeCell ref="S177:U177"/>
    <mergeCell ref="V177:X177"/>
    <mergeCell ref="Y177:AA177"/>
    <mergeCell ref="B178:O178"/>
    <mergeCell ref="P178:R178"/>
    <mergeCell ref="S178:U178"/>
    <mergeCell ref="V178:X178"/>
    <mergeCell ref="Y178:AA178"/>
    <mergeCell ref="P163:R163"/>
    <mergeCell ref="S163:U163"/>
    <mergeCell ref="V163:X163"/>
    <mergeCell ref="Y163:AA163"/>
    <mergeCell ref="AB163:AF163"/>
    <mergeCell ref="B168:AF168"/>
    <mergeCell ref="B169:O170"/>
    <mergeCell ref="P169:U169"/>
    <mergeCell ref="V169:AA169"/>
    <mergeCell ref="AB169:AF170"/>
    <mergeCell ref="P170:R170"/>
    <mergeCell ref="S170:U170"/>
    <mergeCell ref="V170:X170"/>
    <mergeCell ref="Y170:AA170"/>
    <mergeCell ref="B163:O163"/>
    <mergeCell ref="A121:P121"/>
    <mergeCell ref="Q121:T121"/>
    <mergeCell ref="U121:X121"/>
    <mergeCell ref="Y121:AB121"/>
    <mergeCell ref="AC121:AF121"/>
    <mergeCell ref="A124:AF124"/>
    <mergeCell ref="A126:AF126"/>
    <mergeCell ref="B138:Q138"/>
    <mergeCell ref="R138:V138"/>
    <mergeCell ref="W138:AA138"/>
    <mergeCell ref="AB138:AF138"/>
    <mergeCell ref="B133:Q133"/>
    <mergeCell ref="B134:Q134"/>
    <mergeCell ref="AB132:AF132"/>
    <mergeCell ref="R133:V133"/>
    <mergeCell ref="W133:AA133"/>
    <mergeCell ref="AB133:AF133"/>
    <mergeCell ref="R134:V134"/>
    <mergeCell ref="W134:AA134"/>
    <mergeCell ref="AB134:AF134"/>
    <mergeCell ref="R135:V135"/>
    <mergeCell ref="B135:Q135"/>
    <mergeCell ref="B136:Q136"/>
    <mergeCell ref="A122:AF122"/>
    <mergeCell ref="A106:P106"/>
    <mergeCell ref="Q106:T106"/>
    <mergeCell ref="U106:X106"/>
    <mergeCell ref="Y106:AB106"/>
    <mergeCell ref="AC106:AF106"/>
    <mergeCell ref="A109:AF109"/>
    <mergeCell ref="A111:AF111"/>
    <mergeCell ref="Q112:X112"/>
    <mergeCell ref="Y112:AF112"/>
    <mergeCell ref="A112:P112"/>
    <mergeCell ref="AB231:AF231"/>
    <mergeCell ref="AB232:AF232"/>
    <mergeCell ref="AB233:AF233"/>
    <mergeCell ref="B231:O231"/>
    <mergeCell ref="P231:R231"/>
    <mergeCell ref="S231:U231"/>
    <mergeCell ref="V231:X231"/>
    <mergeCell ref="Y231:AA231"/>
    <mergeCell ref="B232:O232"/>
    <mergeCell ref="P232:R232"/>
    <mergeCell ref="AB230:AF230"/>
    <mergeCell ref="B224:O225"/>
    <mergeCell ref="P224:U224"/>
    <mergeCell ref="V224:AA224"/>
    <mergeCell ref="AB224:AF225"/>
    <mergeCell ref="P225:R225"/>
    <mergeCell ref="S225:U225"/>
    <mergeCell ref="V225:X225"/>
    <mergeCell ref="Y225:AA225"/>
    <mergeCell ref="B226:O226"/>
    <mergeCell ref="P226:R226"/>
    <mergeCell ref="S226:U226"/>
    <mergeCell ref="V226:X226"/>
    <mergeCell ref="Y226:AA226"/>
    <mergeCell ref="AB226:AF226"/>
    <mergeCell ref="B227:O227"/>
    <mergeCell ref="P227:R227"/>
    <mergeCell ref="S227:U227"/>
    <mergeCell ref="V227:X227"/>
    <mergeCell ref="Y227:AA227"/>
    <mergeCell ref="AB227:AF227"/>
    <mergeCell ref="B228:O228"/>
    <mergeCell ref="P228:R228"/>
    <mergeCell ref="S228:U228"/>
    <mergeCell ref="B223:AF223"/>
    <mergeCell ref="B219:Q219"/>
    <mergeCell ref="R219:V219"/>
    <mergeCell ref="W219:AA219"/>
    <mergeCell ref="AB219:AF219"/>
    <mergeCell ref="B220:Q220"/>
    <mergeCell ref="R220:V220"/>
    <mergeCell ref="W220:AA220"/>
    <mergeCell ref="AB220:AF220"/>
    <mergeCell ref="B213:Q213"/>
    <mergeCell ref="R213:V213"/>
    <mergeCell ref="W213:AA213"/>
    <mergeCell ref="AB213:AF213"/>
    <mergeCell ref="B217:Q217"/>
    <mergeCell ref="R217:V217"/>
    <mergeCell ref="W217:AA217"/>
    <mergeCell ref="AB217:AF217"/>
    <mergeCell ref="B218:Q218"/>
    <mergeCell ref="R218:V218"/>
    <mergeCell ref="W218:AA218"/>
    <mergeCell ref="AB218:AF218"/>
    <mergeCell ref="B214:Q214"/>
    <mergeCell ref="R214:V214"/>
    <mergeCell ref="W214:AA214"/>
    <mergeCell ref="AB214:AF214"/>
    <mergeCell ref="B215:Q215"/>
    <mergeCell ref="R215:V215"/>
    <mergeCell ref="W215:AA215"/>
    <mergeCell ref="AB215:AF215"/>
    <mergeCell ref="B216:Q216"/>
    <mergeCell ref="R216:V216"/>
    <mergeCell ref="W216:AA216"/>
    <mergeCell ref="AB216:AF216"/>
    <mergeCell ref="B212:Q212"/>
    <mergeCell ref="R212:V212"/>
    <mergeCell ref="W212:AA212"/>
    <mergeCell ref="AB212:AF212"/>
    <mergeCell ref="B207:Q207"/>
    <mergeCell ref="R207:V207"/>
    <mergeCell ref="W207:AA207"/>
    <mergeCell ref="AB207:AF207"/>
    <mergeCell ref="B208:Q208"/>
    <mergeCell ref="R208:V208"/>
    <mergeCell ref="W208:AA208"/>
    <mergeCell ref="AB208:AF208"/>
    <mergeCell ref="B205:Q205"/>
    <mergeCell ref="R205:V205"/>
    <mergeCell ref="W205:AA205"/>
    <mergeCell ref="AB205:AF205"/>
    <mergeCell ref="B206:Q206"/>
    <mergeCell ref="R206:V206"/>
    <mergeCell ref="W206:AA206"/>
    <mergeCell ref="AB206:AF206"/>
    <mergeCell ref="B203:Q203"/>
    <mergeCell ref="R203:V203"/>
    <mergeCell ref="W203:AA203"/>
    <mergeCell ref="AB203:AF203"/>
    <mergeCell ref="B204:Q204"/>
    <mergeCell ref="R204:V204"/>
    <mergeCell ref="W204:AA204"/>
    <mergeCell ref="AB204:AF204"/>
    <mergeCell ref="B184:Q184"/>
    <mergeCell ref="R184:V184"/>
    <mergeCell ref="W184:AA184"/>
    <mergeCell ref="AB184:AF184"/>
    <mergeCell ref="B185:Q185"/>
    <mergeCell ref="R185:V185"/>
    <mergeCell ref="W185:AA185"/>
    <mergeCell ref="AB185:AF185"/>
    <mergeCell ref="B186:Q186"/>
    <mergeCell ref="R186:V186"/>
    <mergeCell ref="W186:AA186"/>
    <mergeCell ref="AB186:AF186"/>
    <mergeCell ref="AB173:AF173"/>
    <mergeCell ref="AB177:AF177"/>
    <mergeCell ref="AB178:AF178"/>
    <mergeCell ref="B173:O173"/>
    <mergeCell ref="P173:R173"/>
    <mergeCell ref="S173:U173"/>
    <mergeCell ref="V173:X173"/>
    <mergeCell ref="Y173:AA173"/>
    <mergeCell ref="B174:O174"/>
    <mergeCell ref="P174:R174"/>
    <mergeCell ref="S174:U174"/>
    <mergeCell ref="V174:X174"/>
    <mergeCell ref="Y174:AA174"/>
    <mergeCell ref="AB174:AF174"/>
    <mergeCell ref="B175:O175"/>
    <mergeCell ref="P175:R175"/>
    <mergeCell ref="S175:U175"/>
    <mergeCell ref="V175:X175"/>
    <mergeCell ref="Y175:AA175"/>
    <mergeCell ref="AB175:AF175"/>
    <mergeCell ref="B176:O176"/>
    <mergeCell ref="P176:R176"/>
    <mergeCell ref="S176:U176"/>
    <mergeCell ref="V176:X176"/>
    <mergeCell ref="AB171:AF171"/>
    <mergeCell ref="AB172:AF172"/>
    <mergeCell ref="B171:O171"/>
    <mergeCell ref="P171:R171"/>
    <mergeCell ref="S171:U171"/>
    <mergeCell ref="V171:X171"/>
    <mergeCell ref="Y171:AA171"/>
    <mergeCell ref="B172:O172"/>
    <mergeCell ref="P172:R172"/>
    <mergeCell ref="S172:U172"/>
    <mergeCell ref="V172:X172"/>
    <mergeCell ref="Y172:AA172"/>
    <mergeCell ref="AB161:AF161"/>
    <mergeCell ref="B161:O161"/>
    <mergeCell ref="P161:R161"/>
    <mergeCell ref="S161:U161"/>
    <mergeCell ref="V161:X161"/>
    <mergeCell ref="Y161:AA161"/>
    <mergeCell ref="B162:O162"/>
    <mergeCell ref="P162:R162"/>
    <mergeCell ref="S162:U162"/>
    <mergeCell ref="V162:X162"/>
    <mergeCell ref="Y162:AA162"/>
    <mergeCell ref="AB162:AF162"/>
    <mergeCell ref="AB158:AF158"/>
    <mergeCell ref="AB159:AF159"/>
    <mergeCell ref="AB160:AF160"/>
    <mergeCell ref="B159:O159"/>
    <mergeCell ref="P159:R159"/>
    <mergeCell ref="S159:U159"/>
    <mergeCell ref="V159:X159"/>
    <mergeCell ref="Y159:AA159"/>
    <mergeCell ref="B160:O160"/>
    <mergeCell ref="P160:R160"/>
    <mergeCell ref="S160:U160"/>
    <mergeCell ref="V160:X160"/>
    <mergeCell ref="Y160:AA160"/>
    <mergeCell ref="B158:O158"/>
    <mergeCell ref="P158:R158"/>
    <mergeCell ref="S158:U158"/>
    <mergeCell ref="V158:X158"/>
    <mergeCell ref="Y158:AA158"/>
    <mergeCell ref="AB156:AF156"/>
    <mergeCell ref="AB157:AF157"/>
    <mergeCell ref="B154:O155"/>
    <mergeCell ref="P154:U154"/>
    <mergeCell ref="V154:AA154"/>
    <mergeCell ref="AB154:AF155"/>
    <mergeCell ref="P155:R155"/>
    <mergeCell ref="S155:U155"/>
    <mergeCell ref="V155:X155"/>
    <mergeCell ref="Y155:AA155"/>
    <mergeCell ref="B156:O156"/>
    <mergeCell ref="P156:R156"/>
    <mergeCell ref="S156:U156"/>
    <mergeCell ref="V156:X156"/>
    <mergeCell ref="Y156:AA156"/>
    <mergeCell ref="B157:O157"/>
    <mergeCell ref="P157:R157"/>
    <mergeCell ref="S157:U157"/>
    <mergeCell ref="V157:X157"/>
    <mergeCell ref="Y157:AA157"/>
    <mergeCell ref="B149:Q149"/>
    <mergeCell ref="R149:V149"/>
    <mergeCell ref="W149:AA149"/>
    <mergeCell ref="AB149:AF149"/>
    <mergeCell ref="B150:Q150"/>
    <mergeCell ref="R150:V150"/>
    <mergeCell ref="W150:AA150"/>
    <mergeCell ref="AB150:AF150"/>
    <mergeCell ref="B153:AF153"/>
    <mergeCell ref="B146:Q146"/>
    <mergeCell ref="R146:V146"/>
    <mergeCell ref="W146:AA146"/>
    <mergeCell ref="AB146:AF146"/>
    <mergeCell ref="B147:Q147"/>
    <mergeCell ref="R147:V147"/>
    <mergeCell ref="W147:AA147"/>
    <mergeCell ref="AB147:AF147"/>
    <mergeCell ref="B148:Q148"/>
    <mergeCell ref="R148:V148"/>
    <mergeCell ref="W148:AA148"/>
    <mergeCell ref="AB148:AF148"/>
    <mergeCell ref="B143:Q143"/>
    <mergeCell ref="R143:V143"/>
    <mergeCell ref="W143:AA143"/>
    <mergeCell ref="AB143:AF143"/>
    <mergeCell ref="B144:Q144"/>
    <mergeCell ref="R144:V144"/>
    <mergeCell ref="W144:AA144"/>
    <mergeCell ref="AB144:AF144"/>
    <mergeCell ref="B145:Q145"/>
    <mergeCell ref="R145:V145"/>
    <mergeCell ref="W145:AA145"/>
    <mergeCell ref="AB145:AF145"/>
    <mergeCell ref="B142:Q142"/>
    <mergeCell ref="R142:V142"/>
    <mergeCell ref="W142:AA142"/>
    <mergeCell ref="AB142:AF142"/>
    <mergeCell ref="R130:V130"/>
    <mergeCell ref="W130:AA130"/>
    <mergeCell ref="AB130:AF130"/>
    <mergeCell ref="R131:V131"/>
    <mergeCell ref="W131:AA131"/>
    <mergeCell ref="AB131:AF131"/>
    <mergeCell ref="B131:Q131"/>
    <mergeCell ref="B132:Q132"/>
    <mergeCell ref="B130:Q130"/>
    <mergeCell ref="W135:AA135"/>
    <mergeCell ref="AB135:AF135"/>
    <mergeCell ref="R136:V136"/>
    <mergeCell ref="W136:AA136"/>
    <mergeCell ref="AB136:AF136"/>
    <mergeCell ref="R137:V137"/>
    <mergeCell ref="W137:AA137"/>
    <mergeCell ref="AB137:AF137"/>
    <mergeCell ref="B137:Q137"/>
    <mergeCell ref="R132:V132"/>
    <mergeCell ref="W132:AA132"/>
    <mergeCell ref="A123:AF123"/>
    <mergeCell ref="A107:AF107"/>
    <mergeCell ref="A108:AF108"/>
    <mergeCell ref="Y120:AB120"/>
    <mergeCell ref="AC113:AF113"/>
    <mergeCell ref="AC114:AF114"/>
    <mergeCell ref="AC115:AF115"/>
    <mergeCell ref="AC116:AF116"/>
    <mergeCell ref="AC117:AF117"/>
    <mergeCell ref="AC118:AF118"/>
    <mergeCell ref="AC119:AF119"/>
    <mergeCell ref="AC120:AF120"/>
    <mergeCell ref="Y113:AB113"/>
    <mergeCell ref="Y114:AB114"/>
    <mergeCell ref="Y115:AB115"/>
    <mergeCell ref="Y116:AB116"/>
    <mergeCell ref="Y117:AB117"/>
    <mergeCell ref="Y118:AB118"/>
    <mergeCell ref="Y119:AB119"/>
    <mergeCell ref="U113:X113"/>
    <mergeCell ref="U114:X114"/>
    <mergeCell ref="U115:X115"/>
    <mergeCell ref="U116:X116"/>
    <mergeCell ref="U117:X117"/>
    <mergeCell ref="U118:X118"/>
    <mergeCell ref="U119:X119"/>
    <mergeCell ref="U120:X120"/>
    <mergeCell ref="A120:P120"/>
    <mergeCell ref="Q113:T113"/>
    <mergeCell ref="Q114:T114"/>
    <mergeCell ref="Q115:T115"/>
    <mergeCell ref="Q116:T116"/>
    <mergeCell ref="Q117:T117"/>
    <mergeCell ref="Q118:T118"/>
    <mergeCell ref="Q119:T119"/>
    <mergeCell ref="Q120:T120"/>
    <mergeCell ref="A113:P113"/>
    <mergeCell ref="A114:P114"/>
    <mergeCell ref="A115:P115"/>
    <mergeCell ref="A116:P116"/>
    <mergeCell ref="A117:P117"/>
    <mergeCell ref="A118:P118"/>
    <mergeCell ref="A119:P119"/>
    <mergeCell ref="AC100:AF100"/>
    <mergeCell ref="AC101:AF101"/>
    <mergeCell ref="AC102:AF102"/>
    <mergeCell ref="AC103:AF103"/>
    <mergeCell ref="AC104:AF104"/>
    <mergeCell ref="AC105:AF105"/>
    <mergeCell ref="Y98:AB98"/>
    <mergeCell ref="Y99:AB99"/>
    <mergeCell ref="Y100:AB100"/>
    <mergeCell ref="Y101:AB101"/>
    <mergeCell ref="Y102:AB102"/>
    <mergeCell ref="Y103:AB103"/>
    <mergeCell ref="Y104:AB104"/>
    <mergeCell ref="Y105:AB105"/>
    <mergeCell ref="A100:P100"/>
    <mergeCell ref="A101:P101"/>
    <mergeCell ref="A102:P102"/>
    <mergeCell ref="A103:P103"/>
    <mergeCell ref="A104:P104"/>
    <mergeCell ref="A105:P105"/>
    <mergeCell ref="A97:P97"/>
    <mergeCell ref="U98:X98"/>
    <mergeCell ref="U99:X99"/>
    <mergeCell ref="U100:X100"/>
    <mergeCell ref="U101:X101"/>
    <mergeCell ref="U102:X102"/>
    <mergeCell ref="U103:X103"/>
    <mergeCell ref="U104:X104"/>
    <mergeCell ref="U105:X105"/>
    <mergeCell ref="Q98:T98"/>
    <mergeCell ref="Q99:T99"/>
    <mergeCell ref="Q100:T100"/>
    <mergeCell ref="Q101:T101"/>
    <mergeCell ref="Q102:T102"/>
    <mergeCell ref="Q103:T103"/>
    <mergeCell ref="Q104:T104"/>
    <mergeCell ref="Q105:T105"/>
    <mergeCell ref="Q97:X97"/>
    <mergeCell ref="U81:V81"/>
    <mergeCell ref="W81:AF81"/>
    <mergeCell ref="A80:D81"/>
    <mergeCell ref="A98:P98"/>
    <mergeCell ref="A99:P99"/>
    <mergeCell ref="AC98:AF98"/>
    <mergeCell ref="AC99:AF99"/>
    <mergeCell ref="A88:D88"/>
    <mergeCell ref="E88:P88"/>
    <mergeCell ref="Q88:T88"/>
    <mergeCell ref="U88:V88"/>
    <mergeCell ref="W88:AF88"/>
    <mergeCell ref="A93:AF93"/>
    <mergeCell ref="A96:AF96"/>
    <mergeCell ref="Y97:AF97"/>
    <mergeCell ref="A92:AF92"/>
    <mergeCell ref="A91:AF91"/>
    <mergeCell ref="A89:AF89"/>
    <mergeCell ref="A90:AF90"/>
    <mergeCell ref="A82:D82"/>
    <mergeCell ref="E82:P82"/>
    <mergeCell ref="Q82:T82"/>
    <mergeCell ref="U82:V82"/>
    <mergeCell ref="W82:AF82"/>
    <mergeCell ref="A3:AF3"/>
    <mergeCell ref="B5:AF5"/>
    <mergeCell ref="B26:AF26"/>
    <mergeCell ref="A84:D84"/>
    <mergeCell ref="E84:P84"/>
    <mergeCell ref="Q84:T84"/>
    <mergeCell ref="U84:V84"/>
    <mergeCell ref="W84:AF84"/>
    <mergeCell ref="A85:D85"/>
    <mergeCell ref="E85:P85"/>
    <mergeCell ref="Q85:T85"/>
    <mergeCell ref="U85:V85"/>
    <mergeCell ref="W85:AF85"/>
    <mergeCell ref="A75:D75"/>
    <mergeCell ref="E75:P75"/>
    <mergeCell ref="Q75:T75"/>
    <mergeCell ref="U75:V75"/>
    <mergeCell ref="W75:AF75"/>
    <mergeCell ref="A74:D74"/>
    <mergeCell ref="E74:P74"/>
    <mergeCell ref="Q74:T74"/>
    <mergeCell ref="U74:V74"/>
    <mergeCell ref="W74:AF74"/>
    <mergeCell ref="W77:AF77"/>
    <mergeCell ref="A1:AF1"/>
    <mergeCell ref="A83:D83"/>
    <mergeCell ref="E83:P83"/>
    <mergeCell ref="Q83:T83"/>
    <mergeCell ref="U83:V83"/>
    <mergeCell ref="W83:AF83"/>
    <mergeCell ref="A87:D87"/>
    <mergeCell ref="E87:P87"/>
    <mergeCell ref="Q87:T87"/>
    <mergeCell ref="U87:V87"/>
    <mergeCell ref="W87:AF87"/>
    <mergeCell ref="A86:D86"/>
    <mergeCell ref="E86:P86"/>
    <mergeCell ref="Q86:T86"/>
    <mergeCell ref="U86:V86"/>
    <mergeCell ref="W86:AF86"/>
    <mergeCell ref="W78:AF78"/>
    <mergeCell ref="A79:D79"/>
    <mergeCell ref="E79:P79"/>
    <mergeCell ref="Q79:T79"/>
    <mergeCell ref="U79:V79"/>
    <mergeCell ref="W79:AF79"/>
    <mergeCell ref="U78:V78"/>
    <mergeCell ref="A72:AF72"/>
    <mergeCell ref="W73:AF73"/>
    <mergeCell ref="A76:D76"/>
    <mergeCell ref="E76:P76"/>
    <mergeCell ref="Q76:T76"/>
    <mergeCell ref="U76:V76"/>
    <mergeCell ref="W76:AF76"/>
    <mergeCell ref="A77:D77"/>
    <mergeCell ref="E77:P77"/>
    <mergeCell ref="Q77:T77"/>
    <mergeCell ref="U77:V77"/>
    <mergeCell ref="E80:P80"/>
    <mergeCell ref="Q80:T80"/>
    <mergeCell ref="U80:V80"/>
    <mergeCell ref="W80:AF80"/>
    <mergeCell ref="E81:P81"/>
    <mergeCell ref="Q81:T81"/>
    <mergeCell ref="B22:AF22"/>
    <mergeCell ref="A24:AF24"/>
    <mergeCell ref="A7:AF7"/>
    <mergeCell ref="B9:I9"/>
    <mergeCell ref="B10:AF10"/>
    <mergeCell ref="B12:I12"/>
    <mergeCell ref="B13:AF13"/>
    <mergeCell ref="B15:I15"/>
    <mergeCell ref="B16:AF16"/>
    <mergeCell ref="B18:I18"/>
    <mergeCell ref="B19:AF19"/>
    <mergeCell ref="A78:D78"/>
    <mergeCell ref="E78:P78"/>
    <mergeCell ref="Q78:T78"/>
    <mergeCell ref="A73:D73"/>
    <mergeCell ref="E73:P73"/>
    <mergeCell ref="Q73:T73"/>
    <mergeCell ref="U73:V73"/>
  </mergeCells>
  <hyperlinks>
    <hyperlink ref="A2" location="TOC!A1" display="Return to TOC" xr:uid="{00000000-0004-0000-4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0:AF66 AF70" numberStoredAsText="1"/>
  </ignoredError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4" tint="0.79998168889431442"/>
    <pageSetUpPr autoPageBreaks="0"/>
  </sheetPr>
  <dimension ref="A1:AF59"/>
  <sheetViews>
    <sheetView workbookViewId="0">
      <selection sqref="A1:AF1"/>
    </sheetView>
  </sheetViews>
  <sheetFormatPr defaultColWidth="2.7109375" defaultRowHeight="15" x14ac:dyDescent="0.25"/>
  <sheetData>
    <row r="1" spans="1:32" ht="19.5" thickBot="1" x14ac:dyDescent="0.3">
      <c r="A1" s="1272" t="s">
        <v>3359</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row>
    <row r="2" spans="1:32" ht="15" customHeight="1" x14ac:dyDescent="0.25">
      <c r="A2" s="376" t="s">
        <v>1702</v>
      </c>
      <c r="B2" s="550"/>
      <c r="C2" s="550"/>
      <c r="D2" s="550"/>
      <c r="E2" s="550"/>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row>
    <row r="3" spans="1:32"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33.75" customHeight="1" x14ac:dyDescent="0.25">
      <c r="A5" s="262"/>
      <c r="B5" s="1151" t="s">
        <v>4634</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ht="14.45" customHeight="1" x14ac:dyDescent="0.25">
      <c r="A6" s="376"/>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25">
      <c r="A9" s="1"/>
      <c r="B9" s="1475" t="s">
        <v>10</v>
      </c>
      <c r="C9" s="1475"/>
      <c r="D9" s="1475"/>
      <c r="E9" s="1475"/>
      <c r="F9" s="1475"/>
      <c r="G9" s="1475"/>
      <c r="H9" s="1475"/>
      <c r="I9" s="1475"/>
      <c r="J9" s="1"/>
      <c r="K9" s="1"/>
      <c r="L9" s="1"/>
      <c r="M9" s="1"/>
      <c r="N9" s="1"/>
      <c r="O9" s="1"/>
      <c r="P9" s="1"/>
      <c r="Q9" s="1"/>
      <c r="R9" s="1"/>
      <c r="S9" s="1"/>
      <c r="T9" s="1"/>
      <c r="U9" s="1"/>
      <c r="V9" s="1"/>
      <c r="W9" s="1"/>
      <c r="X9" s="1"/>
      <c r="Y9" s="1"/>
      <c r="Z9" s="1"/>
      <c r="AA9" s="1"/>
      <c r="AB9" s="1"/>
      <c r="AC9" s="1"/>
      <c r="AD9" s="1"/>
      <c r="AE9" s="1"/>
      <c r="AF9" s="1"/>
    </row>
    <row r="10" spans="1:32" x14ac:dyDescent="0.25">
      <c r="A10" s="4"/>
      <c r="B10" s="1247" t="s">
        <v>3360</v>
      </c>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c r="AE10" s="1247"/>
      <c r="AF10" s="1247"/>
    </row>
    <row r="11" spans="1:32"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25">
      <c r="A12" s="1"/>
      <c r="B12" s="1475" t="s">
        <v>11</v>
      </c>
      <c r="C12" s="1475"/>
      <c r="D12" s="1475"/>
      <c r="E12" s="1475"/>
      <c r="F12" s="1475"/>
      <c r="G12" s="1475"/>
      <c r="H12" s="1475"/>
      <c r="I12" s="1475"/>
      <c r="J12" s="1"/>
      <c r="K12" s="1"/>
      <c r="L12" s="1"/>
      <c r="M12" s="1"/>
      <c r="N12" s="1"/>
      <c r="O12" s="1"/>
      <c r="P12" s="1"/>
      <c r="Q12" s="1"/>
      <c r="R12" s="1"/>
      <c r="S12" s="1"/>
      <c r="T12" s="1"/>
      <c r="U12" s="1"/>
      <c r="V12" s="1"/>
      <c r="W12" s="1"/>
      <c r="X12" s="1"/>
      <c r="Y12" s="1"/>
      <c r="Z12" s="1"/>
      <c r="AA12" s="1"/>
      <c r="AB12" s="1"/>
      <c r="AC12" s="1"/>
      <c r="AD12" s="1"/>
      <c r="AE12" s="1"/>
      <c r="AF12" s="1"/>
    </row>
    <row r="13" spans="1:32" x14ac:dyDescent="0.25">
      <c r="A13" s="1"/>
      <c r="B13" s="1473" t="s">
        <v>3361</v>
      </c>
      <c r="C13" s="1473"/>
      <c r="D13" s="1473"/>
      <c r="E13" s="1473"/>
      <c r="F13" s="1473"/>
      <c r="G13" s="1473"/>
      <c r="H13" s="1473"/>
      <c r="I13" s="1473"/>
      <c r="J13" s="1473"/>
      <c r="K13" s="1473"/>
      <c r="L13" s="1473"/>
      <c r="M13" s="1473"/>
      <c r="N13" s="1473"/>
      <c r="O13" s="1473"/>
      <c r="P13" s="1473"/>
      <c r="Q13" s="1473"/>
      <c r="R13" s="1473"/>
      <c r="S13" s="1473"/>
      <c r="T13" s="1473"/>
      <c r="U13" s="1473"/>
      <c r="V13" s="1473"/>
      <c r="W13" s="1473"/>
      <c r="X13" s="1473"/>
      <c r="Y13" s="1473"/>
      <c r="Z13" s="1473"/>
      <c r="AA13" s="1473"/>
      <c r="AB13" s="1473"/>
      <c r="AC13" s="1473"/>
      <c r="AD13" s="1473"/>
      <c r="AE13" s="1473"/>
      <c r="AF13" s="1473"/>
    </row>
    <row r="14" spans="1:32"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25">
      <c r="A15" s="1"/>
      <c r="B15" s="1475" t="s">
        <v>12</v>
      </c>
      <c r="C15" s="1475"/>
      <c r="D15" s="1475"/>
      <c r="E15" s="1475"/>
      <c r="F15" s="1475"/>
      <c r="G15" s="1475"/>
      <c r="H15" s="1475"/>
      <c r="I15" s="1475"/>
      <c r="J15" s="1"/>
      <c r="K15" s="1"/>
      <c r="L15" s="1"/>
      <c r="M15" s="1"/>
      <c r="N15" s="1"/>
      <c r="O15" s="1"/>
      <c r="P15" s="1"/>
      <c r="Q15" s="1"/>
      <c r="R15" s="1"/>
      <c r="S15" s="1"/>
      <c r="T15" s="1"/>
      <c r="U15" s="1"/>
      <c r="V15" s="1"/>
      <c r="W15" s="1"/>
      <c r="X15" s="1"/>
      <c r="Y15" s="1"/>
      <c r="Z15" s="1"/>
      <c r="AA15" s="1"/>
      <c r="AB15" s="1"/>
      <c r="AC15" s="1"/>
      <c r="AD15" s="1"/>
      <c r="AE15" s="1"/>
      <c r="AF15" s="1"/>
    </row>
    <row r="16" spans="1:32" x14ac:dyDescent="0.25">
      <c r="A16" s="1"/>
      <c r="B16" s="1473" t="s">
        <v>3170</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row>
    <row r="17" spans="1:32"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25">
      <c r="A18" s="1"/>
      <c r="B18" s="1475" t="s">
        <v>13</v>
      </c>
      <c r="C18" s="1475"/>
      <c r="D18" s="1475"/>
      <c r="E18" s="1475"/>
      <c r="F18" s="1475"/>
      <c r="G18" s="1475"/>
      <c r="H18" s="1475"/>
      <c r="I18" s="1475"/>
      <c r="J18" s="1"/>
      <c r="K18" s="1"/>
      <c r="L18" s="1"/>
      <c r="M18" s="1"/>
      <c r="N18" s="1"/>
      <c r="O18" s="1"/>
      <c r="P18" s="1"/>
      <c r="Q18" s="1"/>
      <c r="R18" s="1"/>
      <c r="S18" s="1"/>
      <c r="T18" s="1"/>
      <c r="U18" s="1"/>
      <c r="V18" s="1"/>
      <c r="W18" s="1"/>
      <c r="X18" s="1"/>
      <c r="Y18" s="1"/>
      <c r="Z18" s="1"/>
      <c r="AA18" s="1"/>
      <c r="AB18" s="1"/>
      <c r="AC18" s="1"/>
      <c r="AD18" s="1"/>
      <c r="AE18" s="1"/>
      <c r="AF18" s="1"/>
    </row>
    <row r="19" spans="1:32" x14ac:dyDescent="0.25">
      <c r="A19" s="1"/>
      <c r="B19" s="1151" t="s">
        <v>3362</v>
      </c>
      <c r="C19" s="1473"/>
      <c r="D19" s="1473"/>
      <c r="E19" s="1473"/>
      <c r="F19" s="1473"/>
      <c r="G19" s="1473"/>
      <c r="H19" s="1473"/>
      <c r="I19" s="1473"/>
      <c r="J19" s="1473"/>
      <c r="K19" s="1473"/>
      <c r="L19" s="1473"/>
      <c r="M19" s="1473"/>
      <c r="N19" s="1473"/>
      <c r="O19" s="1473"/>
      <c r="P19" s="1473"/>
      <c r="Q19" s="1473"/>
      <c r="R19" s="1473"/>
      <c r="S19" s="1473"/>
      <c r="T19" s="1473"/>
      <c r="U19" s="1473"/>
      <c r="V19" s="1473"/>
      <c r="W19" s="1473"/>
      <c r="X19" s="1473"/>
      <c r="Y19" s="1473"/>
      <c r="Z19" s="1473"/>
      <c r="AA19" s="1473"/>
      <c r="AB19" s="1473"/>
      <c r="AC19" s="1473"/>
      <c r="AD19" s="1473"/>
      <c r="AE19" s="1473"/>
      <c r="AF19" s="1473"/>
    </row>
    <row r="20" spans="1:32"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25">
      <c r="A21" s="1"/>
      <c r="B21" s="171" t="s">
        <v>20</v>
      </c>
      <c r="C21" s="171"/>
      <c r="D21" s="171"/>
      <c r="E21" s="171"/>
      <c r="F21" s="171"/>
      <c r="G21" s="171"/>
      <c r="H21" s="171"/>
      <c r="I21" s="171"/>
      <c r="J21" s="1"/>
      <c r="K21" s="1"/>
      <c r="L21" s="1"/>
      <c r="M21" s="1"/>
      <c r="N21" s="1"/>
      <c r="O21" s="1"/>
      <c r="P21" s="1"/>
      <c r="Q21" s="1"/>
      <c r="R21" s="1"/>
      <c r="S21" s="1"/>
      <c r="T21" s="1"/>
      <c r="U21" s="1"/>
      <c r="V21" s="1"/>
      <c r="W21" s="1"/>
      <c r="X21" s="1"/>
      <c r="Y21" s="1"/>
      <c r="Z21" s="1"/>
      <c r="AA21" s="1"/>
      <c r="AB21" s="1"/>
      <c r="AC21" s="1"/>
      <c r="AD21" s="1"/>
      <c r="AE21" s="1"/>
      <c r="AF21" s="1"/>
    </row>
    <row r="22" spans="1:32" x14ac:dyDescent="0.25">
      <c r="A22" s="1"/>
      <c r="B22" s="1151" t="s">
        <v>3363</v>
      </c>
      <c r="C22" s="1473"/>
      <c r="D22" s="1473"/>
      <c r="E22" s="1473"/>
      <c r="F22" s="1473"/>
      <c r="G22" s="1473"/>
      <c r="H22" s="1473"/>
      <c r="I22" s="1473"/>
      <c r="J22" s="1473"/>
      <c r="K22" s="1473"/>
      <c r="L22" s="1473"/>
      <c r="M22" s="1473"/>
      <c r="N22" s="1473"/>
      <c r="O22" s="1473"/>
      <c r="P22" s="1473"/>
      <c r="Q22" s="1473"/>
      <c r="R22" s="1473"/>
      <c r="S22" s="1473"/>
      <c r="T22" s="1473"/>
      <c r="U22" s="1473"/>
      <c r="V22" s="1473"/>
      <c r="W22" s="1473"/>
      <c r="X22" s="1473"/>
      <c r="Y22" s="1473"/>
      <c r="Z22" s="1473"/>
      <c r="AA22" s="1473"/>
      <c r="AB22" s="1473"/>
      <c r="AC22" s="1473"/>
      <c r="AD22" s="1473"/>
      <c r="AE22" s="1473"/>
      <c r="AF22" s="1473"/>
    </row>
    <row r="23" spans="1:32"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x14ac:dyDescent="0.25">
      <c r="A25" s="1472" t="s">
        <v>14</v>
      </c>
      <c r="B25" s="1472"/>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row>
    <row r="26" spans="1:32"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2" ht="18" x14ac:dyDescent="0.35">
      <c r="A27" s="3159" t="s">
        <v>329</v>
      </c>
      <c r="B27" s="3159"/>
      <c r="C27" s="3159"/>
      <c r="D27" s="3159"/>
      <c r="E27" s="3159"/>
      <c r="F27" s="3159"/>
      <c r="G27" s="3159"/>
      <c r="H27" s="3159"/>
      <c r="I27" s="3159"/>
      <c r="J27" s="3159"/>
      <c r="K27" s="3160" t="s">
        <v>3373</v>
      </c>
      <c r="L27" s="3160"/>
      <c r="M27" s="3160"/>
      <c r="N27" s="3160"/>
      <c r="O27" s="3160"/>
      <c r="P27" s="3160"/>
      <c r="Q27" s="3160"/>
      <c r="R27" s="3160"/>
      <c r="S27" s="3160"/>
      <c r="T27" s="3160"/>
      <c r="U27" s="3160"/>
      <c r="V27" s="3160"/>
      <c r="W27" s="3160"/>
      <c r="X27" s="3160"/>
      <c r="Y27" s="3160"/>
      <c r="Z27" s="3160"/>
      <c r="AA27" s="3160"/>
      <c r="AB27" s="3160"/>
      <c r="AC27" s="3160"/>
      <c r="AD27" s="3160"/>
      <c r="AE27" s="3160"/>
      <c r="AF27" s="3160"/>
    </row>
    <row r="28" spans="1:32" ht="18" x14ac:dyDescent="0.35">
      <c r="A28" s="3159" t="s">
        <v>3374</v>
      </c>
      <c r="B28" s="3159"/>
      <c r="C28" s="3159"/>
      <c r="D28" s="3159"/>
      <c r="E28" s="3159"/>
      <c r="F28" s="3159"/>
      <c r="G28" s="3159"/>
      <c r="H28" s="3159"/>
      <c r="I28" s="3159"/>
      <c r="J28" s="3159"/>
      <c r="K28" s="3160" t="s">
        <v>3375</v>
      </c>
      <c r="L28" s="3160"/>
      <c r="M28" s="3160"/>
      <c r="N28" s="3160"/>
      <c r="O28" s="3160"/>
      <c r="P28" s="3160"/>
      <c r="Q28" s="3160"/>
      <c r="R28" s="3160"/>
      <c r="S28" s="3160"/>
      <c r="T28" s="3160"/>
      <c r="U28" s="3160"/>
      <c r="V28" s="3160"/>
      <c r="W28" s="3160"/>
      <c r="X28" s="3160"/>
      <c r="Y28" s="3160"/>
      <c r="Z28" s="3160"/>
      <c r="AA28" s="3160"/>
      <c r="AB28" s="3160"/>
      <c r="AC28" s="3160"/>
      <c r="AD28" s="3160"/>
      <c r="AE28" s="3160"/>
      <c r="AF28" s="3160"/>
    </row>
    <row r="29" spans="1:32" x14ac:dyDescent="0.25">
      <c r="A29" s="3159" t="s">
        <v>3350</v>
      </c>
      <c r="B29" s="3159"/>
      <c r="C29" s="3159"/>
      <c r="D29" s="3159"/>
      <c r="E29" s="3159"/>
      <c r="F29" s="3159"/>
      <c r="G29" s="3159"/>
      <c r="H29" s="3159"/>
      <c r="I29" s="3159"/>
      <c r="J29" s="3159"/>
      <c r="K29" s="3160" t="s">
        <v>3376</v>
      </c>
      <c r="L29" s="3160"/>
      <c r="M29" s="3160"/>
      <c r="N29" s="3160"/>
      <c r="O29" s="3160"/>
      <c r="P29" s="3160"/>
      <c r="Q29" s="3160"/>
      <c r="R29" s="3160"/>
      <c r="S29" s="3160"/>
      <c r="T29" s="3160"/>
      <c r="U29" s="3160"/>
      <c r="V29" s="3160"/>
      <c r="W29" s="3160"/>
      <c r="X29" s="3160"/>
      <c r="Y29" s="3160"/>
      <c r="Z29" s="3160"/>
      <c r="AA29" s="3160"/>
      <c r="AB29" s="3160"/>
      <c r="AC29" s="3160"/>
      <c r="AD29" s="3160"/>
      <c r="AE29" s="3160"/>
      <c r="AF29" s="3160"/>
    </row>
    <row r="30" spans="1:32"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spans="1:32" x14ac:dyDescent="0.25">
      <c r="A31" s="1472" t="s">
        <v>15</v>
      </c>
      <c r="B31" s="1472"/>
      <c r="C31" s="1472"/>
      <c r="D31" s="1472"/>
      <c r="E31" s="1472"/>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row>
    <row r="32" spans="1:32" x14ac:dyDescent="0.25">
      <c r="A32" s="1303" t="s">
        <v>16</v>
      </c>
      <c r="B32" s="1303"/>
      <c r="C32" s="1303"/>
      <c r="D32" s="1303"/>
      <c r="E32" s="1303" t="s">
        <v>10</v>
      </c>
      <c r="F32" s="1303"/>
      <c r="G32" s="1303"/>
      <c r="H32" s="1303"/>
      <c r="I32" s="1303"/>
      <c r="J32" s="1303"/>
      <c r="K32" s="1303"/>
      <c r="L32" s="1303"/>
      <c r="M32" s="1303"/>
      <c r="N32" s="1303"/>
      <c r="O32" s="1303"/>
      <c r="P32" s="1303" t="s">
        <v>17</v>
      </c>
      <c r="Q32" s="1303"/>
      <c r="R32" s="1303"/>
      <c r="S32" s="1303"/>
      <c r="T32" s="1303" t="s">
        <v>18</v>
      </c>
      <c r="U32" s="1303"/>
      <c r="V32" s="1303"/>
      <c r="W32" s="1303"/>
      <c r="X32" s="1303" t="s">
        <v>19</v>
      </c>
      <c r="Y32" s="1303"/>
      <c r="Z32" s="1303"/>
      <c r="AA32" s="1303"/>
      <c r="AB32" s="1303"/>
      <c r="AC32" s="1303"/>
      <c r="AD32" s="1303"/>
      <c r="AE32" s="1303"/>
      <c r="AF32" s="1303"/>
    </row>
    <row r="33" spans="1:32" ht="32.25" customHeight="1" x14ac:dyDescent="0.25">
      <c r="A33" s="1134" t="s">
        <v>3377</v>
      </c>
      <c r="B33" s="1134"/>
      <c r="C33" s="1134"/>
      <c r="D33" s="1134"/>
      <c r="E33" s="1135" t="s">
        <v>3364</v>
      </c>
      <c r="F33" s="1135"/>
      <c r="G33" s="1135"/>
      <c r="H33" s="1135"/>
      <c r="I33" s="1135"/>
      <c r="J33" s="1135"/>
      <c r="K33" s="1135"/>
      <c r="L33" s="1135"/>
      <c r="M33" s="1135"/>
      <c r="N33" s="1135"/>
      <c r="O33" s="1135"/>
      <c r="P33" s="3150">
        <v>307</v>
      </c>
      <c r="Q33" s="3151"/>
      <c r="R33" s="3151"/>
      <c r="S33" s="3152"/>
      <c r="T33" s="1606" t="s">
        <v>49</v>
      </c>
      <c r="U33" s="1606"/>
      <c r="V33" s="1606"/>
      <c r="W33" s="1606"/>
      <c r="X33" s="1715" t="s">
        <v>3365</v>
      </c>
      <c r="Y33" s="3149"/>
      <c r="Z33" s="3149"/>
      <c r="AA33" s="3149"/>
      <c r="AB33" s="3149"/>
      <c r="AC33" s="3149"/>
      <c r="AD33" s="3149"/>
      <c r="AE33" s="3149"/>
      <c r="AF33" s="3149"/>
    </row>
    <row r="34" spans="1:32" ht="45" customHeight="1" x14ac:dyDescent="0.25">
      <c r="A34" s="1134" t="s">
        <v>3378</v>
      </c>
      <c r="B34" s="1134"/>
      <c r="C34" s="1134"/>
      <c r="D34" s="1134"/>
      <c r="E34" s="1135" t="s">
        <v>3366</v>
      </c>
      <c r="F34" s="1135"/>
      <c r="G34" s="1135"/>
      <c r="H34" s="1135"/>
      <c r="I34" s="1135"/>
      <c r="J34" s="1135"/>
      <c r="K34" s="1135"/>
      <c r="L34" s="1135"/>
      <c r="M34" s="1135"/>
      <c r="N34" s="1135"/>
      <c r="O34" s="1135"/>
      <c r="P34" s="3150">
        <v>270</v>
      </c>
      <c r="Q34" s="3151"/>
      <c r="R34" s="3151"/>
      <c r="S34" s="3152"/>
      <c r="T34" s="1606" t="s">
        <v>49</v>
      </c>
      <c r="U34" s="1606"/>
      <c r="V34" s="1606"/>
      <c r="W34" s="1606"/>
      <c r="X34" s="1715" t="s">
        <v>3380</v>
      </c>
      <c r="Y34" s="3149"/>
      <c r="Z34" s="3149"/>
      <c r="AA34" s="3149"/>
      <c r="AB34" s="3149"/>
      <c r="AC34" s="3149"/>
      <c r="AD34" s="3149"/>
      <c r="AE34" s="3149"/>
      <c r="AF34" s="3149"/>
    </row>
    <row r="35" spans="1:32" ht="45" customHeight="1" x14ac:dyDescent="0.25">
      <c r="A35" s="1134" t="s">
        <v>3384</v>
      </c>
      <c r="B35" s="1134"/>
      <c r="C35" s="1134"/>
      <c r="D35" s="1134"/>
      <c r="E35" s="1135" t="s">
        <v>3387</v>
      </c>
      <c r="F35" s="1135"/>
      <c r="G35" s="1135"/>
      <c r="H35" s="1135"/>
      <c r="I35" s="1135"/>
      <c r="J35" s="1135"/>
      <c r="K35" s="1135"/>
      <c r="L35" s="1135"/>
      <c r="M35" s="1135"/>
      <c r="N35" s="1135"/>
      <c r="O35" s="1135"/>
      <c r="P35" s="3146">
        <v>0.44</v>
      </c>
      <c r="Q35" s="3147"/>
      <c r="R35" s="3147"/>
      <c r="S35" s="3148"/>
      <c r="T35" s="1606" t="s">
        <v>30</v>
      </c>
      <c r="U35" s="1606"/>
      <c r="V35" s="1606"/>
      <c r="W35" s="1606"/>
      <c r="X35" s="1715" t="s">
        <v>3388</v>
      </c>
      <c r="Y35" s="3149"/>
      <c r="Z35" s="3149"/>
      <c r="AA35" s="3149"/>
      <c r="AB35" s="3149"/>
      <c r="AC35" s="3149"/>
      <c r="AD35" s="3149"/>
      <c r="AE35" s="3149"/>
      <c r="AF35" s="3149"/>
    </row>
    <row r="36" spans="1:32" ht="45" customHeight="1" x14ac:dyDescent="0.25">
      <c r="A36" s="1134" t="s">
        <v>3385</v>
      </c>
      <c r="B36" s="1134"/>
      <c r="C36" s="1134"/>
      <c r="D36" s="1134"/>
      <c r="E36" s="1135" t="s">
        <v>3389</v>
      </c>
      <c r="F36" s="1135"/>
      <c r="G36" s="1135"/>
      <c r="H36" s="1135"/>
      <c r="I36" s="1135"/>
      <c r="J36" s="1135"/>
      <c r="K36" s="1135"/>
      <c r="L36" s="1135"/>
      <c r="M36" s="1135"/>
      <c r="N36" s="1135"/>
      <c r="O36" s="1135"/>
      <c r="P36" s="3146">
        <v>0.56000000000000005</v>
      </c>
      <c r="Q36" s="3147"/>
      <c r="R36" s="3147"/>
      <c r="S36" s="3148"/>
      <c r="T36" s="1606" t="s">
        <v>30</v>
      </c>
      <c r="U36" s="1606"/>
      <c r="V36" s="1606"/>
      <c r="W36" s="1606"/>
      <c r="X36" s="1715" t="s">
        <v>3390</v>
      </c>
      <c r="Y36" s="3149"/>
      <c r="Z36" s="3149"/>
      <c r="AA36" s="3149"/>
      <c r="AB36" s="3149"/>
      <c r="AC36" s="3149"/>
      <c r="AD36" s="3149"/>
      <c r="AE36" s="3149"/>
      <c r="AF36" s="3149"/>
    </row>
    <row r="37" spans="1:32" ht="129.75" customHeight="1" x14ac:dyDescent="0.25">
      <c r="A37" s="1134" t="s">
        <v>3386</v>
      </c>
      <c r="B37" s="1134"/>
      <c r="C37" s="1134"/>
      <c r="D37" s="1134"/>
      <c r="E37" s="1135" t="s">
        <v>3391</v>
      </c>
      <c r="F37" s="1135"/>
      <c r="G37" s="1135"/>
      <c r="H37" s="1135"/>
      <c r="I37" s="1135"/>
      <c r="J37" s="1135"/>
      <c r="K37" s="1135"/>
      <c r="L37" s="1135"/>
      <c r="M37" s="1135"/>
      <c r="N37" s="1135"/>
      <c r="O37" s="1135"/>
      <c r="P37" s="3146">
        <v>0.59</v>
      </c>
      <c r="Q37" s="3147"/>
      <c r="R37" s="3147"/>
      <c r="S37" s="3148"/>
      <c r="T37" s="1606" t="s">
        <v>30</v>
      </c>
      <c r="U37" s="1606"/>
      <c r="V37" s="1606"/>
      <c r="W37" s="1606"/>
      <c r="X37" s="1715" t="s">
        <v>3948</v>
      </c>
      <c r="Y37" s="3149"/>
      <c r="Z37" s="3149"/>
      <c r="AA37" s="3149"/>
      <c r="AB37" s="3149"/>
      <c r="AC37" s="3149"/>
      <c r="AD37" s="3149"/>
      <c r="AE37" s="3149"/>
      <c r="AF37" s="3149"/>
    </row>
    <row r="38" spans="1:32" ht="97.5" customHeight="1" x14ac:dyDescent="0.25">
      <c r="A38" s="1134" t="s">
        <v>3367</v>
      </c>
      <c r="B38" s="1134" t="s">
        <v>1005</v>
      </c>
      <c r="C38" s="1134" t="s">
        <v>1005</v>
      </c>
      <c r="D38" s="1134" t="s">
        <v>1005</v>
      </c>
      <c r="E38" s="1135" t="s">
        <v>3368</v>
      </c>
      <c r="F38" s="1135"/>
      <c r="G38" s="1135"/>
      <c r="H38" s="1135"/>
      <c r="I38" s="1135"/>
      <c r="J38" s="1135"/>
      <c r="K38" s="1135"/>
      <c r="L38" s="1135"/>
      <c r="M38" s="1135"/>
      <c r="N38" s="1135"/>
      <c r="O38" s="1135"/>
      <c r="P38" s="2981">
        <v>215</v>
      </c>
      <c r="Q38" s="2981"/>
      <c r="R38" s="2981"/>
      <c r="S38" s="2981"/>
      <c r="T38" s="1606" t="s">
        <v>3369</v>
      </c>
      <c r="U38" s="1606"/>
      <c r="V38" s="1606"/>
      <c r="W38" s="1606"/>
      <c r="X38" s="1517" t="s">
        <v>3381</v>
      </c>
      <c r="Y38" s="1517"/>
      <c r="Z38" s="1517"/>
      <c r="AA38" s="1517"/>
      <c r="AB38" s="1517"/>
      <c r="AC38" s="1517"/>
      <c r="AD38" s="1517"/>
      <c r="AE38" s="1517"/>
      <c r="AF38" s="1517"/>
    </row>
    <row r="39" spans="1:32" ht="29.1" customHeight="1" x14ac:dyDescent="0.25">
      <c r="A39" s="1134" t="s">
        <v>3379</v>
      </c>
      <c r="B39" s="1134" t="s">
        <v>1005</v>
      </c>
      <c r="C39" s="1134" t="s">
        <v>1005</v>
      </c>
      <c r="D39" s="1134" t="s">
        <v>1005</v>
      </c>
      <c r="E39" s="1135" t="s">
        <v>3370</v>
      </c>
      <c r="F39" s="1135"/>
      <c r="G39" s="1135"/>
      <c r="H39" s="1135"/>
      <c r="I39" s="1135"/>
      <c r="J39" s="1135"/>
      <c r="K39" s="1135"/>
      <c r="L39" s="1135"/>
      <c r="M39" s="1135"/>
      <c r="N39" s="1135"/>
      <c r="O39" s="1135"/>
      <c r="P39" s="2981">
        <v>1.5</v>
      </c>
      <c r="Q39" s="2981"/>
      <c r="R39" s="2981"/>
      <c r="S39" s="2981"/>
      <c r="T39" s="1606" t="s">
        <v>3371</v>
      </c>
      <c r="U39" s="1606"/>
      <c r="V39" s="1606"/>
      <c r="W39" s="1606"/>
      <c r="X39" s="1517" t="s">
        <v>3372</v>
      </c>
      <c r="Y39" s="1517"/>
      <c r="Z39" s="1517"/>
      <c r="AA39" s="1517"/>
      <c r="AB39" s="1517"/>
      <c r="AC39" s="1517"/>
      <c r="AD39" s="1517"/>
      <c r="AE39" s="1517"/>
      <c r="AF39" s="1517"/>
    </row>
    <row r="40" spans="1:32" ht="105.75" customHeight="1" x14ac:dyDescent="0.25">
      <c r="A40" s="1134" t="s">
        <v>29</v>
      </c>
      <c r="B40" s="1134" t="s">
        <v>1005</v>
      </c>
      <c r="C40" s="1134" t="s">
        <v>1005</v>
      </c>
      <c r="D40" s="1134" t="s">
        <v>1005</v>
      </c>
      <c r="E40" s="1135" t="s">
        <v>104</v>
      </c>
      <c r="F40" s="1135"/>
      <c r="G40" s="1135"/>
      <c r="H40" s="1135"/>
      <c r="I40" s="1135"/>
      <c r="J40" s="1135"/>
      <c r="K40" s="1135"/>
      <c r="L40" s="1135"/>
      <c r="M40" s="1135"/>
      <c r="N40" s="1135"/>
      <c r="O40" s="1135"/>
      <c r="P40" s="3158">
        <f>$P$38*$P$39/8760</f>
        <v>3.6815068493150686E-2</v>
      </c>
      <c r="Q40" s="3158"/>
      <c r="R40" s="3158"/>
      <c r="S40" s="3158"/>
      <c r="T40" s="1606" t="s">
        <v>28</v>
      </c>
      <c r="U40" s="1606"/>
      <c r="V40" s="1606"/>
      <c r="W40" s="1606"/>
      <c r="X40" s="1517" t="s">
        <v>3382</v>
      </c>
      <c r="Y40" s="1517"/>
      <c r="Z40" s="1517"/>
      <c r="AA40" s="1517"/>
      <c r="AB40" s="1517"/>
      <c r="AC40" s="1517"/>
      <c r="AD40" s="1517"/>
      <c r="AE40" s="1517"/>
      <c r="AF40" s="1517"/>
    </row>
    <row r="41" spans="1:32" ht="29.1" customHeight="1" x14ac:dyDescent="0.25">
      <c r="A41" s="1134" t="s">
        <v>2724</v>
      </c>
      <c r="B41" s="1134" t="s">
        <v>1004</v>
      </c>
      <c r="C41" s="1134" t="s">
        <v>1004</v>
      </c>
      <c r="D41" s="1134" t="s">
        <v>1004</v>
      </c>
      <c r="E41" s="1135" t="s">
        <v>2217</v>
      </c>
      <c r="F41" s="1135"/>
      <c r="G41" s="1135"/>
      <c r="H41" s="1135"/>
      <c r="I41" s="1135"/>
      <c r="J41" s="1135"/>
      <c r="K41" s="1135"/>
      <c r="L41" s="1135"/>
      <c r="M41" s="1135"/>
      <c r="N41" s="1135"/>
      <c r="O41" s="1135"/>
      <c r="P41" s="1913">
        <f>'Master EUL'!X31</f>
        <v>11</v>
      </c>
      <c r="Q41" s="1913"/>
      <c r="R41" s="1913"/>
      <c r="S41" s="1913"/>
      <c r="T41" s="1606" t="s">
        <v>46</v>
      </c>
      <c r="U41" s="1606"/>
      <c r="V41" s="1606"/>
      <c r="W41" s="1606"/>
      <c r="X41" s="1548" t="s">
        <v>3383</v>
      </c>
      <c r="Y41" s="1548"/>
      <c r="Z41" s="1548"/>
      <c r="AA41" s="1548"/>
      <c r="AB41" s="1548"/>
      <c r="AC41" s="1548"/>
      <c r="AD41" s="1548"/>
      <c r="AE41" s="1548"/>
      <c r="AF41" s="1548"/>
    </row>
    <row r="44" spans="1:32" x14ac:dyDescent="0.25">
      <c r="A44" s="1472" t="s">
        <v>21</v>
      </c>
      <c r="B44" s="1472"/>
      <c r="C44" s="1472"/>
      <c r="D44" s="1472"/>
      <c r="E44" s="1472"/>
      <c r="F44" s="1472"/>
      <c r="G44" s="1472"/>
      <c r="H44" s="1472"/>
      <c r="I44" s="1472"/>
      <c r="J44" s="1472"/>
      <c r="K44" s="1472"/>
      <c r="L44" s="1472"/>
      <c r="M44" s="1472"/>
      <c r="N44" s="1472"/>
      <c r="O44" s="1472"/>
      <c r="P44" s="1472"/>
      <c r="Q44" s="1472"/>
      <c r="R44" s="1472"/>
      <c r="S44" s="1472"/>
      <c r="T44" s="1472"/>
      <c r="U44" s="1472"/>
      <c r="V44" s="1472"/>
      <c r="W44" s="1472"/>
      <c r="X44" s="1472"/>
      <c r="Y44" s="1472"/>
      <c r="Z44" s="1472"/>
      <c r="AA44" s="1472"/>
      <c r="AB44" s="1472"/>
      <c r="AC44" s="1472"/>
      <c r="AD44" s="1472"/>
      <c r="AE44" s="1472"/>
      <c r="AF44" s="1472"/>
    </row>
    <row r="45" spans="1:32" ht="15.75" thickBot="1" x14ac:dyDescent="0.3"/>
    <row r="46" spans="1:32" x14ac:dyDescent="0.25">
      <c r="A46" s="1583" t="s">
        <v>22</v>
      </c>
      <c r="B46" s="1584"/>
      <c r="C46" s="1584"/>
      <c r="D46" s="1584"/>
      <c r="E46" s="1584"/>
      <c r="F46" s="1584"/>
      <c r="G46" s="1584"/>
      <c r="H46" s="1584"/>
      <c r="I46" s="1584" t="s">
        <v>23</v>
      </c>
      <c r="J46" s="1584"/>
      <c r="K46" s="1584"/>
      <c r="L46" s="1584"/>
      <c r="M46" s="1584"/>
      <c r="N46" s="1584"/>
      <c r="O46" s="1584"/>
      <c r="P46" s="1584"/>
      <c r="Q46" s="1584" t="s">
        <v>24</v>
      </c>
      <c r="R46" s="1584"/>
      <c r="S46" s="1584"/>
      <c r="T46" s="1584"/>
      <c r="U46" s="1584"/>
      <c r="V46" s="1584"/>
      <c r="W46" s="1584"/>
      <c r="X46" s="1610"/>
      <c r="Y46" s="1584" t="s">
        <v>2012</v>
      </c>
      <c r="Z46" s="1584"/>
      <c r="AA46" s="1584"/>
      <c r="AB46" s="1584"/>
      <c r="AC46" s="1584"/>
      <c r="AD46" s="1584"/>
      <c r="AE46" s="1584"/>
      <c r="AF46" s="1585"/>
    </row>
    <row r="47" spans="1:32" ht="15.75" thickBot="1" x14ac:dyDescent="0.3">
      <c r="A47" s="1578" t="s">
        <v>3218</v>
      </c>
      <c r="B47" s="1579"/>
      <c r="C47" s="1579"/>
      <c r="D47" s="1579"/>
      <c r="E47" s="1579"/>
      <c r="F47" s="1579"/>
      <c r="G47" s="1579"/>
      <c r="H47" s="1579"/>
      <c r="I47" s="3153">
        <f>ROUND(($Q$47/($P$38*$P$39))*$P$40,3)</f>
        <v>3.0000000000000001E-3</v>
      </c>
      <c r="J47" s="3153"/>
      <c r="K47" s="3153"/>
      <c r="L47" s="3153"/>
      <c r="M47" s="3153"/>
      <c r="N47" s="3153"/>
      <c r="O47" s="3153"/>
      <c r="P47" s="3153"/>
      <c r="Q47" s="3154">
        <f>ROUND(($P$33-$P$34)*($P$35+$P$36*$P$37),2)</f>
        <v>28.5</v>
      </c>
      <c r="R47" s="3154"/>
      <c r="S47" s="3154"/>
      <c r="T47" s="3154"/>
      <c r="U47" s="3154"/>
      <c r="V47" s="3154"/>
      <c r="W47" s="3154"/>
      <c r="X47" s="3155"/>
      <c r="Y47" s="3156">
        <f>ROUND($Q$47*$P$41,2)</f>
        <v>313.5</v>
      </c>
      <c r="Z47" s="3156"/>
      <c r="AA47" s="3156"/>
      <c r="AB47" s="3156"/>
      <c r="AC47" s="3156"/>
      <c r="AD47" s="3156"/>
      <c r="AE47" s="3156"/>
      <c r="AF47" s="3157"/>
    </row>
    <row r="50" spans="1:32" x14ac:dyDescent="0.25">
      <c r="A50" s="1472" t="s">
        <v>1753</v>
      </c>
      <c r="B50" s="1472"/>
      <c r="C50" s="1472"/>
      <c r="D50" s="1472"/>
      <c r="E50" s="1472"/>
      <c r="F50" s="1472"/>
      <c r="G50" s="1472"/>
      <c r="H50" s="1472"/>
      <c r="I50" s="1472"/>
      <c r="J50" s="1472"/>
      <c r="K50" s="1472"/>
      <c r="L50" s="1472"/>
      <c r="M50" s="1472"/>
      <c r="N50" s="1472"/>
      <c r="O50" s="1472"/>
      <c r="P50" s="1472"/>
      <c r="Q50" s="1472"/>
      <c r="R50" s="1472"/>
      <c r="S50" s="1472"/>
      <c r="T50" s="1472"/>
      <c r="U50" s="1472"/>
      <c r="V50" s="1472"/>
      <c r="W50" s="1472"/>
      <c r="X50" s="1472"/>
      <c r="Y50" s="1472"/>
      <c r="Z50" s="1472"/>
      <c r="AA50" s="1472"/>
      <c r="AB50" s="1472"/>
      <c r="AC50" s="1472"/>
      <c r="AD50" s="1472"/>
      <c r="AE50" s="1472"/>
      <c r="AF50" s="1472"/>
    </row>
    <row r="51" spans="1:32"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s="1" customFormat="1" ht="34.5" customHeight="1" x14ac:dyDescent="0.25">
      <c r="A52" s="515" t="s">
        <v>1013</v>
      </c>
      <c r="B52" s="1247" t="s">
        <v>3955</v>
      </c>
      <c r="C52" s="1247"/>
      <c r="D52" s="1247"/>
      <c r="E52" s="1247"/>
      <c r="F52" s="1247"/>
      <c r="G52" s="1247"/>
      <c r="H52" s="1247"/>
      <c r="I52" s="1247"/>
      <c r="J52" s="1247"/>
      <c r="K52" s="1247"/>
      <c r="L52" s="1247"/>
      <c r="M52" s="1247"/>
      <c r="N52" s="1247"/>
      <c r="O52" s="1247"/>
      <c r="P52" s="1247"/>
      <c r="Q52" s="1247"/>
      <c r="R52" s="1247"/>
      <c r="S52" s="1247"/>
      <c r="T52" s="1247"/>
      <c r="U52" s="1247"/>
      <c r="V52" s="1247"/>
      <c r="W52" s="1247"/>
      <c r="X52" s="1247"/>
      <c r="Y52" s="1247"/>
      <c r="Z52" s="1247"/>
      <c r="AA52" s="1247"/>
      <c r="AB52" s="1247"/>
      <c r="AC52" s="1247"/>
      <c r="AD52" s="1247"/>
      <c r="AE52" s="1247"/>
      <c r="AF52" s="1247"/>
    </row>
    <row r="53" spans="1:32" s="1" customFormat="1" ht="34.5" customHeight="1" x14ac:dyDescent="0.25">
      <c r="A53" s="515" t="s">
        <v>1013</v>
      </c>
      <c r="B53" s="1247" t="s">
        <v>3954</v>
      </c>
      <c r="C53" s="1247"/>
      <c r="D53" s="1247"/>
      <c r="E53" s="1247"/>
      <c r="F53" s="1247"/>
      <c r="G53" s="1247"/>
      <c r="H53" s="1247"/>
      <c r="I53" s="1247"/>
      <c r="J53" s="1247"/>
      <c r="K53" s="1247"/>
      <c r="L53" s="1247"/>
      <c r="M53" s="1247"/>
      <c r="N53" s="1247"/>
      <c r="O53" s="1247"/>
      <c r="P53" s="1247"/>
      <c r="Q53" s="1247"/>
      <c r="R53" s="1247"/>
      <c r="S53" s="1247"/>
      <c r="T53" s="1247"/>
      <c r="U53" s="1247"/>
      <c r="V53" s="1247"/>
      <c r="W53" s="1247"/>
      <c r="X53" s="1247"/>
      <c r="Y53" s="1247"/>
      <c r="Z53" s="1247"/>
      <c r="AA53" s="1247"/>
      <c r="AB53" s="1247"/>
      <c r="AC53" s="1247"/>
      <c r="AD53" s="1247"/>
      <c r="AE53" s="1247"/>
      <c r="AF53" s="1247"/>
    </row>
    <row r="54" spans="1:32" ht="50.25" customHeight="1" x14ac:dyDescent="0.25">
      <c r="A54" s="515" t="s">
        <v>1013</v>
      </c>
      <c r="B54" s="1173" t="s">
        <v>2083</v>
      </c>
      <c r="C54" s="1173"/>
      <c r="D54" s="1173"/>
      <c r="E54" s="1173"/>
      <c r="F54" s="1173"/>
      <c r="G54" s="1173"/>
      <c r="H54" s="1173"/>
      <c r="I54" s="1173"/>
      <c r="J54" s="1173"/>
      <c r="K54" s="1173"/>
      <c r="L54" s="1173"/>
      <c r="M54" s="1173"/>
      <c r="N54" s="1173"/>
      <c r="O54" s="1173"/>
      <c r="P54" s="1173"/>
      <c r="Q54" s="1173"/>
      <c r="R54" s="1173"/>
      <c r="S54" s="1173"/>
      <c r="T54" s="1173"/>
      <c r="U54" s="1173"/>
      <c r="V54" s="1173"/>
      <c r="W54" s="1173"/>
      <c r="X54" s="1173"/>
      <c r="Y54" s="1173"/>
      <c r="Z54" s="1173"/>
      <c r="AA54" s="1173"/>
      <c r="AB54" s="1173"/>
      <c r="AC54" s="1173"/>
      <c r="AD54" s="1173"/>
      <c r="AE54" s="1173"/>
      <c r="AF54" s="1173"/>
    </row>
    <row r="55" spans="1:32" ht="35.25" customHeight="1" x14ac:dyDescent="0.25">
      <c r="A55" s="515" t="s">
        <v>1013</v>
      </c>
      <c r="B55" s="1247" t="s">
        <v>3393</v>
      </c>
      <c r="C55" s="1247"/>
      <c r="D55" s="1247"/>
      <c r="E55" s="1247"/>
      <c r="F55" s="1247"/>
      <c r="G55" s="1247"/>
      <c r="H55" s="1247"/>
      <c r="I55" s="1247"/>
      <c r="J55" s="1247"/>
      <c r="K55" s="1247"/>
      <c r="L55" s="1247"/>
      <c r="M55" s="1247"/>
      <c r="N55" s="1247"/>
      <c r="O55" s="1247"/>
      <c r="P55" s="1247"/>
      <c r="Q55" s="1247"/>
      <c r="R55" s="1247"/>
      <c r="S55" s="1247"/>
      <c r="T55" s="1247"/>
      <c r="U55" s="1247"/>
      <c r="V55" s="1247"/>
      <c r="W55" s="1247"/>
      <c r="X55" s="1247"/>
      <c r="Y55" s="1247"/>
      <c r="Z55" s="1247"/>
      <c r="AA55" s="1247"/>
      <c r="AB55" s="1247"/>
      <c r="AC55" s="1247"/>
      <c r="AD55" s="1247"/>
      <c r="AE55" s="1247"/>
      <c r="AF55" s="1247"/>
    </row>
    <row r="56" spans="1:32" ht="35.25" customHeight="1" x14ac:dyDescent="0.25">
      <c r="A56" s="515" t="s">
        <v>1013</v>
      </c>
      <c r="B56" s="1168" t="s">
        <v>2013</v>
      </c>
      <c r="C56" s="1168"/>
      <c r="D56" s="1168"/>
      <c r="E56" s="1168"/>
      <c r="F56" s="1168"/>
      <c r="G56" s="1168"/>
      <c r="H56" s="1168"/>
      <c r="I56" s="1168"/>
      <c r="J56" s="1168"/>
      <c r="K56" s="1168"/>
      <c r="L56" s="1168"/>
      <c r="M56" s="1168"/>
      <c r="N56" s="1168"/>
      <c r="O56" s="1168"/>
      <c r="P56" s="1168"/>
      <c r="Q56" s="1168"/>
      <c r="R56" s="1168"/>
      <c r="S56" s="1168"/>
      <c r="T56" s="1168"/>
      <c r="U56" s="1168"/>
      <c r="V56" s="1168"/>
      <c r="W56" s="1168"/>
      <c r="X56" s="1168"/>
      <c r="Y56" s="1168"/>
      <c r="Z56" s="1168"/>
      <c r="AA56" s="1168"/>
      <c r="AB56" s="1168"/>
      <c r="AC56" s="1168"/>
      <c r="AD56" s="1168"/>
      <c r="AE56" s="1168"/>
      <c r="AF56" s="1168"/>
    </row>
    <row r="57" spans="1:32" ht="34.5" customHeight="1" x14ac:dyDescent="0.25">
      <c r="A57" s="515" t="s">
        <v>1013</v>
      </c>
      <c r="B57" s="1247" t="s">
        <v>3190</v>
      </c>
      <c r="C57" s="1247"/>
      <c r="D57" s="1247"/>
      <c r="E57" s="1247"/>
      <c r="F57" s="1247"/>
      <c r="G57" s="1247"/>
      <c r="H57" s="1247"/>
      <c r="I57" s="1247"/>
      <c r="J57" s="1247"/>
      <c r="K57" s="1247"/>
      <c r="L57" s="1247"/>
      <c r="M57" s="1247"/>
      <c r="N57" s="1247"/>
      <c r="O57" s="1247"/>
      <c r="P57" s="1247"/>
      <c r="Q57" s="1247"/>
      <c r="R57" s="1247"/>
      <c r="S57" s="1247"/>
      <c r="T57" s="1247"/>
      <c r="U57" s="1247"/>
      <c r="V57" s="1247"/>
      <c r="W57" s="1247"/>
      <c r="X57" s="1247"/>
      <c r="Y57" s="1247"/>
      <c r="Z57" s="1247"/>
      <c r="AA57" s="1247"/>
      <c r="AB57" s="1247"/>
      <c r="AC57" s="1247"/>
      <c r="AD57" s="1247"/>
      <c r="AE57" s="1247"/>
      <c r="AF57" s="1247"/>
    </row>
    <row r="58" spans="1:32" ht="31.5" customHeight="1" x14ac:dyDescent="0.25">
      <c r="A58" s="515" t="s">
        <v>1013</v>
      </c>
      <c r="B58" s="1247" t="s">
        <v>3392</v>
      </c>
      <c r="C58" s="1247"/>
      <c r="D58" s="1247"/>
      <c r="E58" s="1247"/>
      <c r="F58" s="1247"/>
      <c r="G58" s="1247"/>
      <c r="H58" s="1247"/>
      <c r="I58" s="1247"/>
      <c r="J58" s="1247"/>
      <c r="K58" s="1247"/>
      <c r="L58" s="1247"/>
      <c r="M58" s="1247"/>
      <c r="N58" s="1247"/>
      <c r="O58" s="1247"/>
      <c r="P58" s="1247"/>
      <c r="Q58" s="1247"/>
      <c r="R58" s="1247"/>
      <c r="S58" s="1247"/>
      <c r="T58" s="1247"/>
      <c r="U58" s="1247"/>
      <c r="V58" s="1247"/>
      <c r="W58" s="1247"/>
      <c r="X58" s="1247"/>
      <c r="Y58" s="1247"/>
      <c r="Z58" s="1247"/>
      <c r="AA58" s="1247"/>
      <c r="AB58" s="1247"/>
      <c r="AC58" s="1247"/>
      <c r="AD58" s="1247"/>
      <c r="AE58" s="1247"/>
      <c r="AF58" s="1247"/>
    </row>
    <row r="59" spans="1:32" ht="50.25" customHeight="1" x14ac:dyDescent="0.25">
      <c r="A59" s="515" t="s">
        <v>1013</v>
      </c>
      <c r="B59" s="1247" t="s">
        <v>3394</v>
      </c>
      <c r="C59" s="1247"/>
      <c r="D59" s="1247"/>
      <c r="E59" s="1247"/>
      <c r="F59" s="1247"/>
      <c r="G59" s="1247"/>
      <c r="H59" s="1247"/>
      <c r="I59" s="1247"/>
      <c r="J59" s="1247"/>
      <c r="K59" s="1247"/>
      <c r="L59" s="1247"/>
      <c r="M59" s="1247"/>
      <c r="N59" s="1247"/>
      <c r="O59" s="1247"/>
      <c r="P59" s="1247"/>
      <c r="Q59" s="1247"/>
      <c r="R59" s="1247"/>
      <c r="S59" s="1247"/>
      <c r="T59" s="1247"/>
      <c r="U59" s="1247"/>
      <c r="V59" s="1247"/>
      <c r="W59" s="1247"/>
      <c r="X59" s="1247"/>
      <c r="Y59" s="1247"/>
      <c r="Z59" s="1247"/>
      <c r="AA59" s="1247"/>
      <c r="AB59" s="1247"/>
      <c r="AC59" s="1247"/>
      <c r="AD59" s="1247"/>
      <c r="AE59" s="1247"/>
      <c r="AF59" s="1247"/>
    </row>
  </sheetData>
  <sheetProtection algorithmName="SHA-512" hashValue="AjpbHA+/pAv3u1jyNbM98YPZoE/pVOQPUQGT2k2wjjoJtiG5wnIDraw/8OqaVwhsnw27+AQbH8R8nZvZN2Ypow==" saltValue="J2ommlwlQsEgclQgdxNxYg==" spinCount="100000" sheet="1" objects="1" scenarios="1"/>
  <mergeCells count="89">
    <mergeCell ref="A25:AF25"/>
    <mergeCell ref="A1:AF1"/>
    <mergeCell ref="A7:AF7"/>
    <mergeCell ref="B9:I9"/>
    <mergeCell ref="B10:AF10"/>
    <mergeCell ref="B12:I12"/>
    <mergeCell ref="B13:AF13"/>
    <mergeCell ref="B15:I15"/>
    <mergeCell ref="B16:AF16"/>
    <mergeCell ref="B18:I18"/>
    <mergeCell ref="B19:AF19"/>
    <mergeCell ref="B22:AF22"/>
    <mergeCell ref="A3:AF3"/>
    <mergeCell ref="B5:AF5"/>
    <mergeCell ref="X34:AF34"/>
    <mergeCell ref="A27:J27"/>
    <mergeCell ref="K27:AF27"/>
    <mergeCell ref="A28:J28"/>
    <mergeCell ref="K28:AF28"/>
    <mergeCell ref="A31:AF31"/>
    <mergeCell ref="A32:D32"/>
    <mergeCell ref="E32:O32"/>
    <mergeCell ref="P32:S32"/>
    <mergeCell ref="T32:W32"/>
    <mergeCell ref="X32:AF32"/>
    <mergeCell ref="A29:J29"/>
    <mergeCell ref="K29:AF29"/>
    <mergeCell ref="X33:AF33"/>
    <mergeCell ref="A33:D33"/>
    <mergeCell ref="E33:O33"/>
    <mergeCell ref="A47:H47"/>
    <mergeCell ref="I47:P47"/>
    <mergeCell ref="Q47:X47"/>
    <mergeCell ref="Y47:AF47"/>
    <mergeCell ref="A40:D40"/>
    <mergeCell ref="E40:O40"/>
    <mergeCell ref="P40:S40"/>
    <mergeCell ref="T40:W40"/>
    <mergeCell ref="X40:AF40"/>
    <mergeCell ref="A41:D41"/>
    <mergeCell ref="E41:O41"/>
    <mergeCell ref="P41:S41"/>
    <mergeCell ref="T41:W41"/>
    <mergeCell ref="X41:AF41"/>
    <mergeCell ref="Y46:AF46"/>
    <mergeCell ref="A44:AF44"/>
    <mergeCell ref="P33:S33"/>
    <mergeCell ref="T33:W33"/>
    <mergeCell ref="A34:D34"/>
    <mergeCell ref="E34:O34"/>
    <mergeCell ref="P34:S34"/>
    <mergeCell ref="T34:W34"/>
    <mergeCell ref="X35:AF35"/>
    <mergeCell ref="A36:D36"/>
    <mergeCell ref="E36:O36"/>
    <mergeCell ref="P36:S36"/>
    <mergeCell ref="T36:W36"/>
    <mergeCell ref="X36:AF36"/>
    <mergeCell ref="A35:D35"/>
    <mergeCell ref="E35:O35"/>
    <mergeCell ref="P35:S35"/>
    <mergeCell ref="T35:W35"/>
    <mergeCell ref="A46:H46"/>
    <mergeCell ref="I46:P46"/>
    <mergeCell ref="Q46:X46"/>
    <mergeCell ref="A38:D38"/>
    <mergeCell ref="E38:O38"/>
    <mergeCell ref="P38:S38"/>
    <mergeCell ref="T38:W38"/>
    <mergeCell ref="X38:AF38"/>
    <mergeCell ref="A39:D39"/>
    <mergeCell ref="E39:O39"/>
    <mergeCell ref="P39:S39"/>
    <mergeCell ref="T39:W39"/>
    <mergeCell ref="X39:AF39"/>
    <mergeCell ref="A37:D37"/>
    <mergeCell ref="E37:O37"/>
    <mergeCell ref="P37:S37"/>
    <mergeCell ref="T37:W37"/>
    <mergeCell ref="X37:AF37"/>
    <mergeCell ref="B59:AF59"/>
    <mergeCell ref="B56:AF56"/>
    <mergeCell ref="A50:AF50"/>
    <mergeCell ref="B54:AF54"/>
    <mergeCell ref="B57:AF57"/>
    <mergeCell ref="B58:AF58"/>
    <mergeCell ref="B55:AF55"/>
    <mergeCell ref="B52:AF52"/>
    <mergeCell ref="B53:AF53"/>
  </mergeCells>
  <hyperlinks>
    <hyperlink ref="A2" location="TOC!A1" display="Return to TOC" xr:uid="{00000000-0004-0000-47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4" tint="0.79998168889431442"/>
    <pageSetUpPr autoPageBreaks="0"/>
  </sheetPr>
  <dimension ref="A1:AF61"/>
  <sheetViews>
    <sheetView workbookViewId="0">
      <selection activeCell="A2" sqref="A2"/>
    </sheetView>
  </sheetViews>
  <sheetFormatPr defaultColWidth="2.7109375" defaultRowHeight="15" x14ac:dyDescent="0.25"/>
  <cols>
    <col min="1" max="1" width="2.7109375" style="564"/>
    <col min="2" max="3" width="2.7109375" style="565"/>
    <col min="4" max="4" width="2.7109375" style="566"/>
    <col min="5" max="32" width="2.7109375" style="561"/>
  </cols>
  <sheetData>
    <row r="1" spans="1:32" ht="18.75" x14ac:dyDescent="0.25">
      <c r="A1" s="3176" t="s">
        <v>3127</v>
      </c>
      <c r="B1" s="3176"/>
      <c r="C1" s="3176"/>
      <c r="D1" s="3176"/>
      <c r="E1" s="3176"/>
      <c r="F1" s="3176"/>
      <c r="G1" s="3176"/>
      <c r="H1" s="3176"/>
      <c r="I1" s="3176"/>
      <c r="J1" s="3176"/>
      <c r="K1" s="3176"/>
      <c r="L1" s="3176"/>
      <c r="M1" s="3176"/>
      <c r="N1" s="3176"/>
      <c r="O1" s="3176"/>
      <c r="P1" s="3176"/>
      <c r="Q1" s="3176"/>
      <c r="R1" s="3176"/>
      <c r="S1" s="3176"/>
      <c r="T1" s="3176"/>
      <c r="U1" s="3176"/>
      <c r="V1" s="3176"/>
      <c r="W1" s="3176"/>
      <c r="X1" s="3176"/>
      <c r="Y1" s="3176"/>
      <c r="Z1" s="3176"/>
      <c r="AA1" s="3176"/>
      <c r="AB1" s="3176"/>
      <c r="AC1" s="3176"/>
      <c r="AD1" s="3176"/>
      <c r="AE1" s="3176"/>
      <c r="AF1" s="3176"/>
    </row>
    <row r="2" spans="1:32" ht="15" customHeight="1" x14ac:dyDescent="0.25">
      <c r="A2" s="376" t="s">
        <v>1702</v>
      </c>
      <c r="B2" s="550"/>
      <c r="C2" s="550"/>
      <c r="D2" s="550"/>
      <c r="E2" s="550"/>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row>
    <row r="3" spans="1:32"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25" customHeight="1" x14ac:dyDescent="0.25">
      <c r="A5" s="262"/>
      <c r="B5" s="1151" t="s">
        <v>3171</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ht="14.45" customHeight="1" x14ac:dyDescent="0.25">
      <c r="A6" s="376"/>
      <c r="B6"/>
      <c r="C6"/>
      <c r="D6"/>
      <c r="E6"/>
      <c r="F6"/>
      <c r="G6"/>
      <c r="H6"/>
      <c r="I6"/>
      <c r="J6"/>
      <c r="K6"/>
      <c r="L6"/>
      <c r="M6"/>
      <c r="N6"/>
      <c r="O6"/>
      <c r="P6"/>
      <c r="Q6"/>
      <c r="R6"/>
      <c r="S6"/>
      <c r="T6"/>
      <c r="U6"/>
      <c r="V6"/>
      <c r="W6"/>
      <c r="X6"/>
      <c r="Y6"/>
      <c r="Z6"/>
      <c r="AA6"/>
      <c r="AB6"/>
      <c r="AC6"/>
      <c r="AD6"/>
      <c r="AE6"/>
      <c r="AF6"/>
    </row>
    <row r="7" spans="1:32" x14ac:dyDescent="0.25">
      <c r="A7" s="3173" t="s">
        <v>9</v>
      </c>
      <c r="B7" s="3174"/>
      <c r="C7" s="3174"/>
      <c r="D7" s="3174"/>
      <c r="E7" s="3174"/>
      <c r="F7" s="3174"/>
      <c r="G7" s="3174"/>
      <c r="H7" s="3174"/>
      <c r="I7" s="3174"/>
      <c r="J7" s="3174"/>
      <c r="K7" s="3174"/>
      <c r="L7" s="3174"/>
      <c r="M7" s="3174"/>
      <c r="N7" s="3174"/>
      <c r="O7" s="3174"/>
      <c r="P7" s="3174"/>
      <c r="Q7" s="3174"/>
      <c r="R7" s="3174"/>
      <c r="S7" s="3174"/>
      <c r="T7" s="3174"/>
      <c r="U7" s="3174"/>
      <c r="V7" s="3174"/>
      <c r="W7" s="3174"/>
      <c r="X7" s="3174"/>
      <c r="Y7" s="3174"/>
      <c r="Z7" s="3174"/>
      <c r="AA7" s="3174"/>
      <c r="AB7" s="3174"/>
      <c r="AC7" s="3174"/>
      <c r="AD7" s="3174"/>
      <c r="AE7" s="3174"/>
      <c r="AF7" s="3175"/>
    </row>
    <row r="8" spans="1:32" x14ac:dyDescent="0.25">
      <c r="A8" s="199"/>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row>
    <row r="9" spans="1:32" x14ac:dyDescent="0.25">
      <c r="A9" s="551"/>
      <c r="B9" s="552" t="s">
        <v>10</v>
      </c>
      <c r="C9" s="552"/>
      <c r="D9" s="552"/>
      <c r="E9" s="552"/>
      <c r="F9" s="552"/>
      <c r="G9" s="552"/>
      <c r="H9" s="552"/>
      <c r="I9" s="552"/>
      <c r="J9" s="551"/>
      <c r="K9" s="551"/>
      <c r="L9" s="551"/>
      <c r="M9" s="551"/>
      <c r="N9" s="551"/>
      <c r="O9" s="551"/>
      <c r="P9" s="551"/>
      <c r="Q9" s="551"/>
      <c r="R9" s="551"/>
      <c r="S9" s="551"/>
      <c r="T9" s="551"/>
      <c r="U9" s="551"/>
      <c r="V9" s="551"/>
      <c r="W9" s="551"/>
      <c r="X9" s="551"/>
      <c r="Y9" s="551"/>
      <c r="Z9" s="551"/>
      <c r="AA9" s="551"/>
      <c r="AB9" s="551"/>
      <c r="AC9" s="551"/>
      <c r="AD9" s="551"/>
      <c r="AE9" s="551"/>
      <c r="AF9" s="551"/>
    </row>
    <row r="10" spans="1:32" x14ac:dyDescent="0.25">
      <c r="A10" s="553"/>
      <c r="B10" s="3177" t="s">
        <v>3128</v>
      </c>
      <c r="C10" s="3177"/>
      <c r="D10" s="3177"/>
      <c r="E10" s="3177"/>
      <c r="F10" s="3177"/>
      <c r="G10" s="3177"/>
      <c r="H10" s="3177"/>
      <c r="I10" s="3177"/>
      <c r="J10" s="3177"/>
      <c r="K10" s="3177"/>
      <c r="L10" s="3177"/>
      <c r="M10" s="3177"/>
      <c r="N10" s="3177"/>
      <c r="O10" s="3177"/>
      <c r="P10" s="3177"/>
      <c r="Q10" s="3177"/>
      <c r="R10" s="3177"/>
      <c r="S10" s="3177"/>
      <c r="T10" s="3177"/>
      <c r="U10" s="3177"/>
      <c r="V10" s="3177"/>
      <c r="W10" s="3177"/>
      <c r="X10" s="3177"/>
      <c r="Y10" s="3177"/>
      <c r="Z10" s="3177"/>
      <c r="AA10" s="3177"/>
      <c r="AB10" s="3177"/>
      <c r="AC10" s="3177"/>
      <c r="AD10" s="3177"/>
      <c r="AE10" s="3177"/>
      <c r="AF10" s="3177"/>
    </row>
    <row r="11" spans="1:32" x14ac:dyDescent="0.25">
      <c r="A11" s="551"/>
      <c r="B11" s="551"/>
      <c r="C11" s="551"/>
      <c r="D11" s="551"/>
      <c r="E11" s="551"/>
      <c r="F11" s="551"/>
      <c r="G11" s="551"/>
      <c r="H11" s="551"/>
      <c r="I11" s="551"/>
      <c r="J11" s="551"/>
      <c r="K11" s="551"/>
      <c r="L11" s="551"/>
      <c r="M11" s="551"/>
      <c r="N11" s="551"/>
      <c r="O11" s="551"/>
      <c r="P11" s="551"/>
      <c r="Q11" s="551"/>
      <c r="R11" s="551"/>
      <c r="S11" s="551"/>
      <c r="T11" s="551"/>
      <c r="U11" s="551"/>
      <c r="V11" s="551"/>
      <c r="W11" s="551"/>
      <c r="X11" s="551"/>
      <c r="Y11" s="551"/>
      <c r="Z11" s="551"/>
      <c r="AA11" s="551"/>
      <c r="AB11" s="551"/>
      <c r="AC11" s="551"/>
      <c r="AD11" s="551"/>
      <c r="AE11" s="551"/>
      <c r="AF11" s="551"/>
    </row>
    <row r="12" spans="1:32" x14ac:dyDescent="0.25">
      <c r="A12" s="551"/>
      <c r="B12" s="552" t="s">
        <v>11</v>
      </c>
      <c r="C12" s="552"/>
      <c r="D12" s="552"/>
      <c r="E12" s="552"/>
      <c r="F12" s="552"/>
      <c r="G12" s="552"/>
      <c r="H12" s="552"/>
      <c r="I12" s="552"/>
      <c r="J12" s="551"/>
      <c r="K12" s="551"/>
      <c r="L12" s="551"/>
      <c r="M12" s="551"/>
      <c r="N12" s="551"/>
      <c r="O12" s="551"/>
      <c r="P12" s="551"/>
      <c r="Q12" s="551"/>
      <c r="R12" s="551"/>
      <c r="S12" s="551"/>
      <c r="T12" s="551"/>
      <c r="U12" s="551"/>
      <c r="V12" s="551"/>
      <c r="W12" s="551"/>
      <c r="X12" s="551"/>
      <c r="Y12" s="551"/>
      <c r="Z12" s="551"/>
      <c r="AA12" s="551"/>
      <c r="AB12" s="551"/>
      <c r="AC12" s="551"/>
      <c r="AD12" s="551"/>
      <c r="AE12" s="551"/>
      <c r="AF12" s="551"/>
    </row>
    <row r="13" spans="1:32" ht="15" customHeight="1" x14ac:dyDescent="0.25">
      <c r="A13" s="551"/>
      <c r="B13" s="3177" t="s">
        <v>3129</v>
      </c>
      <c r="C13" s="3177"/>
      <c r="D13" s="3177"/>
      <c r="E13" s="3177"/>
      <c r="F13" s="3177"/>
      <c r="G13" s="3177"/>
      <c r="H13" s="3177"/>
      <c r="I13" s="3177"/>
      <c r="J13" s="3177"/>
      <c r="K13" s="3177"/>
      <c r="L13" s="3177"/>
      <c r="M13" s="3177"/>
      <c r="N13" s="3177"/>
      <c r="O13" s="3177"/>
      <c r="P13" s="3177"/>
      <c r="Q13" s="3177"/>
      <c r="R13" s="3177"/>
      <c r="S13" s="3177"/>
      <c r="T13" s="3177"/>
      <c r="U13" s="3177"/>
      <c r="V13" s="3177"/>
      <c r="W13" s="3177"/>
      <c r="X13" s="3177"/>
      <c r="Y13" s="3177"/>
      <c r="Z13" s="3177"/>
      <c r="AA13" s="3177"/>
      <c r="AB13" s="3177"/>
      <c r="AC13" s="3177"/>
      <c r="AD13" s="3177"/>
      <c r="AE13" s="3177"/>
      <c r="AF13" s="3177"/>
    </row>
    <row r="14" spans="1:32" x14ac:dyDescent="0.25">
      <c r="A14" s="551"/>
      <c r="B14" s="551"/>
      <c r="C14" s="551"/>
      <c r="D14" s="551"/>
      <c r="E14" s="551"/>
      <c r="F14" s="551"/>
      <c r="G14" s="551"/>
      <c r="H14" s="551"/>
      <c r="I14" s="551"/>
      <c r="J14" s="551"/>
      <c r="K14" s="551"/>
      <c r="L14" s="551"/>
      <c r="M14" s="551"/>
      <c r="N14" s="551"/>
      <c r="O14" s="551"/>
      <c r="P14" s="551"/>
      <c r="Q14" s="551"/>
      <c r="R14" s="551"/>
      <c r="S14" s="551"/>
      <c r="T14" s="551"/>
      <c r="U14" s="551"/>
      <c r="V14" s="551"/>
      <c r="W14" s="551"/>
      <c r="X14" s="551"/>
      <c r="Y14" s="551"/>
      <c r="Z14" s="551"/>
      <c r="AA14" s="551"/>
      <c r="AB14" s="551"/>
      <c r="AC14" s="551"/>
      <c r="AD14" s="551"/>
      <c r="AE14" s="551"/>
      <c r="AF14" s="551"/>
    </row>
    <row r="15" spans="1:32" x14ac:dyDescent="0.25">
      <c r="A15" s="551"/>
      <c r="B15" s="552" t="s">
        <v>12</v>
      </c>
      <c r="C15" s="552"/>
      <c r="D15" s="552"/>
      <c r="E15" s="552"/>
      <c r="F15" s="552"/>
      <c r="G15" s="552"/>
      <c r="H15" s="552"/>
      <c r="I15" s="552"/>
      <c r="J15" s="551"/>
      <c r="K15" s="551"/>
      <c r="L15" s="551"/>
      <c r="M15" s="551"/>
      <c r="N15" s="551"/>
      <c r="O15" s="551"/>
      <c r="P15" s="551"/>
      <c r="Q15" s="551"/>
      <c r="R15" s="551"/>
      <c r="S15" s="551"/>
      <c r="T15" s="551"/>
      <c r="U15" s="551"/>
      <c r="V15" s="551"/>
      <c r="W15" s="551"/>
      <c r="X15" s="551"/>
      <c r="Y15" s="551"/>
      <c r="Z15" s="551"/>
      <c r="AA15" s="551"/>
      <c r="AB15" s="551"/>
      <c r="AC15" s="551"/>
      <c r="AD15" s="551"/>
      <c r="AE15" s="551"/>
      <c r="AF15" s="551"/>
    </row>
    <row r="16" spans="1:32" x14ac:dyDescent="0.25">
      <c r="A16" s="551"/>
      <c r="B16" s="3177" t="s">
        <v>3193</v>
      </c>
      <c r="C16" s="3177"/>
      <c r="D16" s="3177"/>
      <c r="E16" s="3177"/>
      <c r="F16" s="3177"/>
      <c r="G16" s="3177"/>
      <c r="H16" s="3177"/>
      <c r="I16" s="3177"/>
      <c r="J16" s="3177"/>
      <c r="K16" s="3177"/>
      <c r="L16" s="3177"/>
      <c r="M16" s="3177"/>
      <c r="N16" s="3177"/>
      <c r="O16" s="3177"/>
      <c r="P16" s="3177"/>
      <c r="Q16" s="3177"/>
      <c r="R16" s="3177"/>
      <c r="S16" s="3177"/>
      <c r="T16" s="3177"/>
      <c r="U16" s="3177"/>
      <c r="V16" s="3177"/>
      <c r="W16" s="3177"/>
      <c r="X16" s="3177"/>
      <c r="Y16" s="3177"/>
      <c r="Z16" s="3177"/>
      <c r="AA16" s="3177"/>
      <c r="AB16" s="3177"/>
      <c r="AC16" s="3177"/>
      <c r="AD16" s="3177"/>
      <c r="AE16" s="3177"/>
      <c r="AF16" s="3177"/>
    </row>
    <row r="17" spans="1:32" x14ac:dyDescent="0.25">
      <c r="A17" s="551"/>
      <c r="B17" s="551"/>
      <c r="C17" s="551"/>
      <c r="D17" s="551"/>
      <c r="E17" s="551"/>
      <c r="F17" s="551"/>
      <c r="G17" s="551"/>
      <c r="H17" s="551"/>
      <c r="I17" s="551"/>
      <c r="J17" s="551"/>
      <c r="K17" s="551"/>
      <c r="L17" s="551"/>
      <c r="M17" s="551"/>
      <c r="N17" s="551"/>
      <c r="O17" s="551"/>
      <c r="P17" s="551"/>
      <c r="Q17" s="551"/>
      <c r="R17" s="551"/>
      <c r="S17" s="551"/>
      <c r="T17" s="551"/>
      <c r="U17" s="551"/>
      <c r="V17" s="551"/>
      <c r="W17" s="551"/>
      <c r="X17" s="551"/>
      <c r="Y17" s="551"/>
      <c r="Z17" s="551"/>
      <c r="AA17" s="551"/>
      <c r="AB17" s="551"/>
      <c r="AC17" s="551"/>
      <c r="AD17" s="551"/>
      <c r="AE17" s="551"/>
      <c r="AF17" s="551"/>
    </row>
    <row r="18" spans="1:32" x14ac:dyDescent="0.25">
      <c r="A18" s="551"/>
      <c r="B18" s="552" t="s">
        <v>13</v>
      </c>
      <c r="C18" s="552"/>
      <c r="D18" s="552"/>
      <c r="E18" s="552"/>
      <c r="F18" s="552"/>
      <c r="G18" s="552"/>
      <c r="H18" s="552"/>
      <c r="I18" s="552"/>
      <c r="J18" s="551"/>
      <c r="K18" s="551"/>
      <c r="L18" s="551"/>
      <c r="M18" s="551"/>
      <c r="N18" s="551"/>
      <c r="O18" s="551"/>
      <c r="P18" s="551"/>
      <c r="Q18" s="551"/>
      <c r="R18" s="551"/>
      <c r="S18" s="551"/>
      <c r="T18" s="551"/>
      <c r="U18" s="551"/>
      <c r="V18" s="551"/>
      <c r="W18" s="551"/>
      <c r="X18" s="551"/>
      <c r="Y18" s="551"/>
      <c r="Z18" s="551"/>
      <c r="AA18" s="551"/>
      <c r="AB18" s="551"/>
      <c r="AC18" s="551"/>
      <c r="AD18" s="551"/>
      <c r="AE18" s="551"/>
      <c r="AF18" s="551"/>
    </row>
    <row r="19" spans="1:32" x14ac:dyDescent="0.25">
      <c r="A19" s="551"/>
      <c r="B19" s="3177" t="s">
        <v>3194</v>
      </c>
      <c r="C19" s="3177"/>
      <c r="D19" s="3177"/>
      <c r="E19" s="3177"/>
      <c r="F19" s="3177"/>
      <c r="G19" s="3177"/>
      <c r="H19" s="3177"/>
      <c r="I19" s="3177"/>
      <c r="J19" s="3177"/>
      <c r="K19" s="3177"/>
      <c r="L19" s="3177"/>
      <c r="M19" s="3177"/>
      <c r="N19" s="3177"/>
      <c r="O19" s="3177"/>
      <c r="P19" s="3177"/>
      <c r="Q19" s="3177"/>
      <c r="R19" s="3177"/>
      <c r="S19" s="3177"/>
      <c r="T19" s="3177"/>
      <c r="U19" s="3177"/>
      <c r="V19" s="3177"/>
      <c r="W19" s="3177"/>
      <c r="X19" s="3177"/>
      <c r="Y19" s="3177"/>
      <c r="Z19" s="3177"/>
      <c r="AA19" s="3177"/>
      <c r="AB19" s="3177"/>
      <c r="AC19" s="3177"/>
      <c r="AD19" s="3177"/>
      <c r="AE19" s="3177"/>
      <c r="AF19" s="3177"/>
    </row>
    <row r="20" spans="1:32" x14ac:dyDescent="0.25">
      <c r="A20" s="551"/>
      <c r="B20" s="551"/>
      <c r="C20" s="551"/>
      <c r="D20" s="551"/>
      <c r="E20" s="551"/>
      <c r="F20" s="551"/>
      <c r="G20" s="551"/>
      <c r="H20" s="551"/>
      <c r="I20" s="551"/>
      <c r="J20" s="551"/>
      <c r="K20" s="551"/>
      <c r="L20" s="551"/>
      <c r="M20" s="551"/>
      <c r="N20" s="551"/>
      <c r="O20" s="551"/>
      <c r="P20" s="551"/>
      <c r="Q20" s="551"/>
      <c r="R20" s="551"/>
      <c r="S20" s="551"/>
      <c r="T20" s="551"/>
      <c r="U20" s="551"/>
      <c r="V20" s="551"/>
      <c r="W20" s="551"/>
      <c r="X20" s="551"/>
      <c r="Y20" s="551"/>
      <c r="Z20" s="551"/>
      <c r="AA20" s="551"/>
      <c r="AB20" s="551"/>
      <c r="AC20" s="551"/>
      <c r="AD20" s="551"/>
      <c r="AE20" s="551"/>
      <c r="AF20" s="551"/>
    </row>
    <row r="21" spans="1:32" x14ac:dyDescent="0.25">
      <c r="A21" s="551"/>
      <c r="B21" s="552" t="s">
        <v>20</v>
      </c>
      <c r="C21" s="552"/>
      <c r="D21" s="552"/>
      <c r="E21" s="552"/>
      <c r="F21" s="552"/>
      <c r="G21" s="552"/>
      <c r="H21" s="552"/>
      <c r="I21" s="552"/>
      <c r="J21" s="551"/>
      <c r="K21" s="551"/>
      <c r="L21" s="551"/>
      <c r="M21" s="551"/>
      <c r="N21" s="551"/>
      <c r="O21" s="551"/>
      <c r="P21" s="551"/>
      <c r="Q21" s="551"/>
      <c r="R21" s="551"/>
      <c r="S21" s="551"/>
      <c r="T21" s="551"/>
      <c r="U21" s="551"/>
      <c r="V21" s="551"/>
      <c r="W21" s="551"/>
      <c r="X21" s="551"/>
      <c r="Y21" s="551"/>
      <c r="Z21" s="551"/>
      <c r="AA21" s="551"/>
      <c r="AB21" s="551"/>
      <c r="AC21" s="551"/>
      <c r="AD21" s="551"/>
      <c r="AE21" s="551"/>
      <c r="AF21" s="551"/>
    </row>
    <row r="22" spans="1:32" x14ac:dyDescent="0.25">
      <c r="A22" s="551"/>
      <c r="B22" s="3177" t="s">
        <v>3195</v>
      </c>
      <c r="C22" s="3177"/>
      <c r="D22" s="3177"/>
      <c r="E22" s="3177"/>
      <c r="F22" s="3177"/>
      <c r="G22" s="3177"/>
      <c r="H22" s="3177"/>
      <c r="I22" s="3177"/>
      <c r="J22" s="3177"/>
      <c r="K22" s="3177"/>
      <c r="L22" s="3177"/>
      <c r="M22" s="3177"/>
      <c r="N22" s="3177"/>
      <c r="O22" s="3177"/>
      <c r="P22" s="3177"/>
      <c r="Q22" s="3177"/>
      <c r="R22" s="3177"/>
      <c r="S22" s="3177"/>
      <c r="T22" s="3177"/>
      <c r="U22" s="3177"/>
      <c r="V22" s="3177"/>
      <c r="W22" s="3177"/>
      <c r="X22" s="3177"/>
      <c r="Y22" s="3177"/>
      <c r="Z22" s="3177"/>
      <c r="AA22" s="3177"/>
      <c r="AB22" s="3177"/>
      <c r="AC22" s="3177"/>
      <c r="AD22" s="3177"/>
      <c r="AE22" s="3177"/>
      <c r="AF22" s="3177"/>
    </row>
    <row r="23" spans="1:32" x14ac:dyDescent="0.25">
      <c r="A23" s="551"/>
      <c r="B23" s="554"/>
      <c r="C23" s="554"/>
      <c r="D23" s="554"/>
      <c r="E23" s="554"/>
      <c r="F23" s="554"/>
      <c r="G23" s="554"/>
      <c r="H23" s="554"/>
      <c r="I23" s="554"/>
      <c r="J23" s="554"/>
      <c r="K23" s="554"/>
      <c r="L23" s="554"/>
      <c r="M23" s="554"/>
      <c r="N23" s="554"/>
      <c r="O23" s="554"/>
      <c r="P23" s="554"/>
      <c r="Q23" s="554"/>
      <c r="R23" s="554"/>
      <c r="S23" s="554"/>
      <c r="T23" s="554"/>
      <c r="U23" s="554"/>
      <c r="V23" s="554"/>
      <c r="W23" s="554"/>
      <c r="X23" s="554"/>
      <c r="Y23" s="554"/>
      <c r="Z23" s="554"/>
      <c r="AA23" s="554"/>
      <c r="AB23" s="554"/>
      <c r="AC23" s="554"/>
      <c r="AD23" s="554"/>
      <c r="AE23" s="554"/>
      <c r="AF23" s="554"/>
    </row>
    <row r="24" spans="1:32" x14ac:dyDescent="0.25">
      <c r="A24" s="551"/>
      <c r="B24" s="551"/>
      <c r="C24" s="551"/>
      <c r="D24" s="551"/>
      <c r="E24" s="551"/>
      <c r="F24" s="551"/>
      <c r="G24" s="551"/>
      <c r="H24" s="551"/>
      <c r="I24" s="551"/>
      <c r="J24" s="551"/>
      <c r="K24" s="551"/>
      <c r="L24" s="551"/>
      <c r="M24" s="551"/>
      <c r="N24" s="551"/>
      <c r="O24" s="551"/>
      <c r="P24" s="551"/>
      <c r="Q24" s="551"/>
      <c r="R24" s="551"/>
      <c r="S24" s="551"/>
      <c r="T24" s="551"/>
      <c r="U24" s="551"/>
      <c r="V24" s="551"/>
      <c r="W24" s="551"/>
      <c r="X24" s="551"/>
      <c r="Y24" s="551"/>
      <c r="Z24" s="551"/>
      <c r="AA24" s="551"/>
      <c r="AB24" s="551"/>
      <c r="AC24" s="551"/>
      <c r="AD24" s="551"/>
      <c r="AE24" s="551"/>
      <c r="AF24" s="551"/>
    </row>
    <row r="25" spans="1:32" x14ac:dyDescent="0.25">
      <c r="A25" s="3173" t="s">
        <v>14</v>
      </c>
      <c r="B25" s="3174"/>
      <c r="C25" s="3174"/>
      <c r="D25" s="3174"/>
      <c r="E25" s="3174"/>
      <c r="F25" s="3174"/>
      <c r="G25" s="3174"/>
      <c r="H25" s="3174"/>
      <c r="I25" s="3174"/>
      <c r="J25" s="3174"/>
      <c r="K25" s="3174"/>
      <c r="L25" s="3174"/>
      <c r="M25" s="3174"/>
      <c r="N25" s="3174"/>
      <c r="O25" s="3174"/>
      <c r="P25" s="3174"/>
      <c r="Q25" s="3174"/>
      <c r="R25" s="3174"/>
      <c r="S25" s="3174"/>
      <c r="T25" s="3174"/>
      <c r="U25" s="3174"/>
      <c r="V25" s="3174"/>
      <c r="W25" s="3174"/>
      <c r="X25" s="3174"/>
      <c r="Y25" s="3174"/>
      <c r="Z25" s="3174"/>
      <c r="AA25" s="3174"/>
      <c r="AB25" s="3174"/>
      <c r="AC25" s="3174"/>
      <c r="AD25" s="3174"/>
      <c r="AE25" s="3174"/>
      <c r="AF25" s="3175"/>
    </row>
    <row r="26" spans="1:32" x14ac:dyDescent="0.25">
      <c r="A26" s="551"/>
      <c r="B26" s="551"/>
      <c r="C26" s="551"/>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51"/>
      <c r="AB26" s="551"/>
      <c r="AC26" s="551"/>
      <c r="AD26" s="551"/>
      <c r="AE26" s="551"/>
      <c r="AF26" s="551"/>
    </row>
    <row r="27" spans="1:32" x14ac:dyDescent="0.25">
      <c r="A27" s="3161" t="s">
        <v>3175</v>
      </c>
      <c r="B27" s="3161"/>
      <c r="C27" s="3161"/>
      <c r="D27" s="3161"/>
      <c r="E27" s="3161"/>
      <c r="F27" s="3161"/>
      <c r="G27" s="567" t="s">
        <v>3196</v>
      </c>
      <c r="H27" s="551"/>
      <c r="I27" s="551"/>
      <c r="J27" s="551"/>
      <c r="K27" s="551"/>
      <c r="L27" s="551"/>
      <c r="M27" s="551"/>
      <c r="N27" s="551"/>
      <c r="O27" s="551"/>
      <c r="P27" s="551"/>
      <c r="Q27" s="551"/>
      <c r="R27" s="551"/>
      <c r="S27" s="551"/>
      <c r="T27" s="551"/>
      <c r="U27" s="551"/>
      <c r="V27" s="551"/>
      <c r="W27" s="551"/>
      <c r="X27" s="551"/>
      <c r="Y27" s="551"/>
      <c r="Z27" s="551"/>
      <c r="AA27" s="551"/>
      <c r="AB27" s="551"/>
      <c r="AC27" s="551"/>
      <c r="AD27" s="551"/>
      <c r="AE27" s="551"/>
      <c r="AF27" s="551"/>
    </row>
    <row r="28" spans="1:32" x14ac:dyDescent="0.25">
      <c r="A28" s="3161" t="s">
        <v>3177</v>
      </c>
      <c r="B28" s="3161"/>
      <c r="C28" s="3161"/>
      <c r="D28" s="3161"/>
      <c r="E28" s="3161"/>
      <c r="F28" s="3161"/>
      <c r="G28" s="567" t="s">
        <v>3197</v>
      </c>
      <c r="H28" s="551"/>
      <c r="I28" s="551"/>
      <c r="J28" s="551"/>
      <c r="K28" s="551"/>
      <c r="L28" s="551"/>
      <c r="M28" s="551"/>
      <c r="N28" s="551"/>
      <c r="O28" s="551"/>
      <c r="P28" s="551"/>
      <c r="Q28" s="551"/>
      <c r="R28" s="551"/>
      <c r="S28" s="551"/>
      <c r="T28" s="551"/>
      <c r="U28" s="551"/>
      <c r="V28" s="551"/>
      <c r="W28" s="551"/>
      <c r="X28" s="551"/>
      <c r="Y28" s="551"/>
      <c r="Z28" s="551"/>
      <c r="AA28" s="551"/>
      <c r="AB28" s="551"/>
      <c r="AC28" s="551"/>
      <c r="AD28" s="551"/>
      <c r="AE28" s="551"/>
      <c r="AF28" s="551"/>
    </row>
    <row r="29" spans="1:32" x14ac:dyDescent="0.25">
      <c r="A29" s="3161" t="s">
        <v>3179</v>
      </c>
      <c r="B29" s="3161"/>
      <c r="C29" s="3161"/>
      <c r="D29" s="3161"/>
      <c r="E29" s="3161"/>
      <c r="F29" s="3161"/>
      <c r="G29" s="567" t="s">
        <v>3209</v>
      </c>
      <c r="H29" s="567"/>
      <c r="I29" s="567"/>
      <c r="J29" s="567"/>
      <c r="K29" s="551"/>
      <c r="L29" s="551"/>
      <c r="M29" s="551"/>
      <c r="N29" s="551"/>
      <c r="O29" s="551"/>
      <c r="P29" s="551"/>
      <c r="Q29" s="551"/>
      <c r="R29" s="551"/>
      <c r="S29" s="551"/>
      <c r="T29" s="551"/>
      <c r="U29" s="551"/>
      <c r="V29" s="551"/>
      <c r="W29" s="551"/>
      <c r="X29" s="551"/>
      <c r="Y29" s="551"/>
      <c r="Z29" s="551"/>
      <c r="AA29" s="551"/>
      <c r="AB29" s="551"/>
      <c r="AC29" s="551"/>
      <c r="AD29" s="551"/>
      <c r="AE29" s="551"/>
      <c r="AF29" s="551"/>
    </row>
    <row r="30" spans="1:32" x14ac:dyDescent="0.25">
      <c r="A30" s="551"/>
      <c r="B30" s="551"/>
      <c r="C30" s="551"/>
      <c r="D30" s="551"/>
      <c r="E30" s="551"/>
      <c r="F30" s="551"/>
      <c r="G30" s="551"/>
      <c r="H30" s="551"/>
      <c r="I30" s="551"/>
      <c r="J30" s="551"/>
      <c r="K30" s="551"/>
      <c r="L30" s="551"/>
      <c r="M30" s="551"/>
      <c r="N30" s="551"/>
      <c r="O30" s="551"/>
      <c r="P30" s="551"/>
      <c r="Q30" s="551"/>
      <c r="R30" s="551"/>
      <c r="S30" s="551"/>
      <c r="T30" s="551"/>
      <c r="U30" s="551"/>
      <c r="V30" s="551"/>
      <c r="W30" s="551"/>
      <c r="X30" s="551"/>
      <c r="Y30" s="551"/>
      <c r="Z30" s="551"/>
      <c r="AA30" s="551"/>
      <c r="AB30" s="551"/>
      <c r="AC30" s="551"/>
      <c r="AD30" s="551"/>
      <c r="AE30" s="551"/>
      <c r="AF30" s="551"/>
    </row>
    <row r="31" spans="1:32" x14ac:dyDescent="0.25">
      <c r="A31" s="3178" t="s">
        <v>15</v>
      </c>
      <c r="B31" s="3178"/>
      <c r="C31" s="3178"/>
      <c r="D31" s="3178"/>
      <c r="E31" s="3178"/>
      <c r="F31" s="3178"/>
      <c r="G31" s="3178"/>
      <c r="H31" s="3178"/>
      <c r="I31" s="3178"/>
      <c r="J31" s="3178"/>
      <c r="K31" s="3178"/>
      <c r="L31" s="3178"/>
      <c r="M31" s="3178"/>
      <c r="N31" s="3178"/>
      <c r="O31" s="3178"/>
      <c r="P31" s="3178"/>
      <c r="Q31" s="3178"/>
      <c r="R31" s="3178"/>
      <c r="S31" s="3178"/>
      <c r="T31" s="3178"/>
      <c r="U31" s="3178"/>
      <c r="V31" s="3178"/>
      <c r="W31" s="3178"/>
      <c r="X31" s="3178"/>
      <c r="Y31" s="3178"/>
      <c r="Z31" s="3178"/>
      <c r="AA31" s="3178"/>
      <c r="AB31" s="3178"/>
      <c r="AC31" s="3178"/>
      <c r="AD31" s="3178"/>
      <c r="AE31" s="3178"/>
      <c r="AF31" s="3178"/>
    </row>
    <row r="32" spans="1:32" x14ac:dyDescent="0.25">
      <c r="A32" s="3179" t="s">
        <v>16</v>
      </c>
      <c r="B32" s="3179"/>
      <c r="C32" s="3179"/>
      <c r="D32" s="3179"/>
      <c r="E32" s="3179" t="s">
        <v>10</v>
      </c>
      <c r="F32" s="3179"/>
      <c r="G32" s="3179"/>
      <c r="H32" s="3179"/>
      <c r="I32" s="3179"/>
      <c r="J32" s="3179"/>
      <c r="K32" s="3179"/>
      <c r="L32" s="3179"/>
      <c r="M32" s="3179"/>
      <c r="N32" s="3179"/>
      <c r="O32" s="3179"/>
      <c r="P32" s="3179"/>
      <c r="Q32" s="3179" t="s">
        <v>17</v>
      </c>
      <c r="R32" s="3179"/>
      <c r="S32" s="3179"/>
      <c r="T32" s="3179"/>
      <c r="U32" s="3180" t="s">
        <v>18</v>
      </c>
      <c r="V32" s="3181"/>
      <c r="W32" s="3182"/>
      <c r="X32" s="3180" t="s">
        <v>1708</v>
      </c>
      <c r="Y32" s="3181"/>
      <c r="Z32" s="3181"/>
      <c r="AA32" s="3181"/>
      <c r="AB32" s="3181"/>
      <c r="AC32" s="3181"/>
      <c r="AD32" s="3181"/>
      <c r="AE32" s="3181"/>
      <c r="AF32" s="3182"/>
    </row>
    <row r="33" spans="1:32" ht="32.25" customHeight="1" x14ac:dyDescent="0.25">
      <c r="A33" s="1647" t="s">
        <v>78</v>
      </c>
      <c r="B33" s="1648"/>
      <c r="C33" s="1648"/>
      <c r="D33" s="1649"/>
      <c r="E33" s="1647" t="s">
        <v>2874</v>
      </c>
      <c r="F33" s="1648"/>
      <c r="G33" s="1648"/>
      <c r="H33" s="1648"/>
      <c r="I33" s="1648"/>
      <c r="J33" s="1648"/>
      <c r="K33" s="1648"/>
      <c r="L33" s="1648"/>
      <c r="M33" s="1648"/>
      <c r="N33" s="1648"/>
      <c r="O33" s="1648"/>
      <c r="P33" s="1649"/>
      <c r="Q33" s="3167">
        <v>100</v>
      </c>
      <c r="R33" s="3168"/>
      <c r="S33" s="3168"/>
      <c r="T33" s="3169"/>
      <c r="U33" s="3167" t="s">
        <v>3130</v>
      </c>
      <c r="V33" s="3168"/>
      <c r="W33" s="3169"/>
      <c r="X33" s="3170" t="s">
        <v>3207</v>
      </c>
      <c r="Y33" s="3171"/>
      <c r="Z33" s="3171"/>
      <c r="AA33" s="3171"/>
      <c r="AB33" s="3171"/>
      <c r="AC33" s="3171"/>
      <c r="AD33" s="3171"/>
      <c r="AE33" s="3171"/>
      <c r="AF33" s="3172"/>
    </row>
    <row r="34" spans="1:32" ht="48" customHeight="1" x14ac:dyDescent="0.25">
      <c r="A34" s="1647" t="s">
        <v>3173</v>
      </c>
      <c r="B34" s="1648"/>
      <c r="C34" s="1648"/>
      <c r="D34" s="1649"/>
      <c r="E34" s="1647" t="s">
        <v>3131</v>
      </c>
      <c r="F34" s="1648"/>
      <c r="G34" s="1648"/>
      <c r="H34" s="1648"/>
      <c r="I34" s="1648"/>
      <c r="J34" s="1648"/>
      <c r="K34" s="1648"/>
      <c r="L34" s="1648"/>
      <c r="M34" s="1648"/>
      <c r="N34" s="1648"/>
      <c r="O34" s="1648"/>
      <c r="P34" s="1649"/>
      <c r="Q34" s="3164">
        <v>1</v>
      </c>
      <c r="R34" s="3165"/>
      <c r="S34" s="3165"/>
      <c r="T34" s="3166"/>
      <c r="U34" s="3167" t="s">
        <v>3132</v>
      </c>
      <c r="V34" s="3168"/>
      <c r="W34" s="3169"/>
      <c r="X34" s="3170" t="s">
        <v>3203</v>
      </c>
      <c r="Y34" s="3171"/>
      <c r="Z34" s="3171"/>
      <c r="AA34" s="3171"/>
      <c r="AB34" s="3171"/>
      <c r="AC34" s="3171"/>
      <c r="AD34" s="3171"/>
      <c r="AE34" s="3171"/>
      <c r="AF34" s="3172"/>
    </row>
    <row r="35" spans="1:32" ht="48" customHeight="1" x14ac:dyDescent="0.25">
      <c r="A35" s="1647" t="s">
        <v>3174</v>
      </c>
      <c r="B35" s="1648"/>
      <c r="C35" s="1648"/>
      <c r="D35" s="1649"/>
      <c r="E35" s="1647" t="s">
        <v>3134</v>
      </c>
      <c r="F35" s="1648"/>
      <c r="G35" s="1648"/>
      <c r="H35" s="1648"/>
      <c r="I35" s="1648"/>
      <c r="J35" s="1648"/>
      <c r="K35" s="1648"/>
      <c r="L35" s="1648"/>
      <c r="M35" s="1648"/>
      <c r="N35" s="1648"/>
      <c r="O35" s="1648"/>
      <c r="P35" s="1649"/>
      <c r="Q35" s="3164">
        <v>3</v>
      </c>
      <c r="R35" s="3165"/>
      <c r="S35" s="3165"/>
      <c r="T35" s="3166"/>
      <c r="U35" s="3167" t="s">
        <v>3132</v>
      </c>
      <c r="V35" s="3168"/>
      <c r="W35" s="3169"/>
      <c r="X35" s="3170" t="s">
        <v>3203</v>
      </c>
      <c r="Y35" s="3171"/>
      <c r="Z35" s="3171"/>
      <c r="AA35" s="3171"/>
      <c r="AB35" s="3171"/>
      <c r="AC35" s="3171"/>
      <c r="AD35" s="3171"/>
      <c r="AE35" s="3171"/>
      <c r="AF35" s="3172"/>
    </row>
    <row r="36" spans="1:32" ht="27.75" customHeight="1" x14ac:dyDescent="0.25">
      <c r="A36" s="1647" t="s">
        <v>3198</v>
      </c>
      <c r="B36" s="1648"/>
      <c r="C36" s="1648"/>
      <c r="D36" s="1649"/>
      <c r="E36" s="1647" t="s">
        <v>3135</v>
      </c>
      <c r="F36" s="1648"/>
      <c r="G36" s="1648"/>
      <c r="H36" s="1648"/>
      <c r="I36" s="1648"/>
      <c r="J36" s="1648"/>
      <c r="K36" s="1648"/>
      <c r="L36" s="1648"/>
      <c r="M36" s="1648"/>
      <c r="N36" s="1648"/>
      <c r="O36" s="1648"/>
      <c r="P36" s="1649"/>
      <c r="Q36" s="3164">
        <v>1</v>
      </c>
      <c r="R36" s="3165"/>
      <c r="S36" s="3165"/>
      <c r="T36" s="3166"/>
      <c r="U36" s="3167" t="s">
        <v>291</v>
      </c>
      <c r="V36" s="3168"/>
      <c r="W36" s="3169"/>
      <c r="X36" s="3170" t="s">
        <v>3202</v>
      </c>
      <c r="Y36" s="3171"/>
      <c r="Z36" s="3171"/>
      <c r="AA36" s="3171"/>
      <c r="AB36" s="3171"/>
      <c r="AC36" s="3171"/>
      <c r="AD36" s="3171"/>
      <c r="AE36" s="3171"/>
      <c r="AF36" s="3172"/>
    </row>
    <row r="37" spans="1:32" ht="28.5" customHeight="1" x14ac:dyDescent="0.25">
      <c r="A37" s="1647" t="s">
        <v>3199</v>
      </c>
      <c r="B37" s="1648"/>
      <c r="C37" s="1648"/>
      <c r="D37" s="1649"/>
      <c r="E37" s="1647" t="s">
        <v>3136</v>
      </c>
      <c r="F37" s="1648"/>
      <c r="G37" s="1648"/>
      <c r="H37" s="1648"/>
      <c r="I37" s="1648"/>
      <c r="J37" s="1648"/>
      <c r="K37" s="1648"/>
      <c r="L37" s="1648"/>
      <c r="M37" s="1648"/>
      <c r="N37" s="1648"/>
      <c r="O37" s="1648"/>
      <c r="P37" s="1649"/>
      <c r="Q37" s="3164">
        <v>0.6</v>
      </c>
      <c r="R37" s="3165"/>
      <c r="S37" s="3165"/>
      <c r="T37" s="3166"/>
      <c r="U37" s="3167" t="s">
        <v>291</v>
      </c>
      <c r="V37" s="3168"/>
      <c r="W37" s="3169"/>
      <c r="X37" s="3170" t="s">
        <v>3202</v>
      </c>
      <c r="Y37" s="3171"/>
      <c r="Z37" s="3171"/>
      <c r="AA37" s="3171"/>
      <c r="AB37" s="3171"/>
      <c r="AC37" s="3171"/>
      <c r="AD37" s="3171"/>
      <c r="AE37" s="3171"/>
      <c r="AF37" s="3172"/>
    </row>
    <row r="38" spans="1:32" ht="44.25" customHeight="1" x14ac:dyDescent="0.25">
      <c r="A38" s="1647" t="s">
        <v>29</v>
      </c>
      <c r="B38" s="1648"/>
      <c r="C38" s="1648"/>
      <c r="D38" s="1649"/>
      <c r="E38" s="1653" t="s">
        <v>47</v>
      </c>
      <c r="F38" s="1654"/>
      <c r="G38" s="1654"/>
      <c r="H38" s="1654"/>
      <c r="I38" s="1654"/>
      <c r="J38" s="1654"/>
      <c r="K38" s="1654"/>
      <c r="L38" s="1654"/>
      <c r="M38" s="1654"/>
      <c r="N38" s="1654"/>
      <c r="O38" s="1654"/>
      <c r="P38" s="1655"/>
      <c r="Q38" s="3183">
        <f>ROUND(16/24,2)</f>
        <v>0.67</v>
      </c>
      <c r="R38" s="3184"/>
      <c r="S38" s="3184"/>
      <c r="T38" s="3185"/>
      <c r="U38" s="3167" t="s">
        <v>28</v>
      </c>
      <c r="V38" s="3168"/>
      <c r="W38" s="3169"/>
      <c r="X38" s="3186" t="s">
        <v>3205</v>
      </c>
      <c r="Y38" s="3187"/>
      <c r="Z38" s="3187"/>
      <c r="AA38" s="3187"/>
      <c r="AB38" s="3187"/>
      <c r="AC38" s="3187"/>
      <c r="AD38" s="3187"/>
      <c r="AE38" s="3187"/>
      <c r="AF38" s="3188"/>
    </row>
    <row r="39" spans="1:32" ht="46.5" customHeight="1" x14ac:dyDescent="0.25">
      <c r="A39" s="1647" t="s">
        <v>32</v>
      </c>
      <c r="B39" s="1648"/>
      <c r="C39" s="1648"/>
      <c r="D39" s="1649"/>
      <c r="E39" s="1714" t="s">
        <v>3137</v>
      </c>
      <c r="F39" s="1714"/>
      <c r="G39" s="1714"/>
      <c r="H39" s="1714"/>
      <c r="I39" s="1714"/>
      <c r="J39" s="1714"/>
      <c r="K39" s="1714"/>
      <c r="L39" s="1714"/>
      <c r="M39" s="1714"/>
      <c r="N39" s="1714"/>
      <c r="O39" s="1714"/>
      <c r="P39" s="1714"/>
      <c r="Q39" s="3191">
        <f>16*365</f>
        <v>5840</v>
      </c>
      <c r="R39" s="3192"/>
      <c r="S39" s="3192"/>
      <c r="T39" s="3193"/>
      <c r="U39" s="3167" t="s">
        <v>1000</v>
      </c>
      <c r="V39" s="3168"/>
      <c r="W39" s="3168"/>
      <c r="X39" s="3194" t="s">
        <v>3204</v>
      </c>
      <c r="Y39" s="3195"/>
      <c r="Z39" s="3195"/>
      <c r="AA39" s="3195"/>
      <c r="AB39" s="3195"/>
      <c r="AC39" s="3195"/>
      <c r="AD39" s="3195"/>
      <c r="AE39" s="3195"/>
      <c r="AF39" s="3196"/>
    </row>
    <row r="40" spans="1:32" ht="20.25" customHeight="1" x14ac:dyDescent="0.25">
      <c r="A40" s="1647" t="s">
        <v>167</v>
      </c>
      <c r="B40" s="1648"/>
      <c r="C40" s="1648"/>
      <c r="D40" s="1649"/>
      <c r="E40" s="1653" t="s">
        <v>3144</v>
      </c>
      <c r="F40" s="1654"/>
      <c r="G40" s="1654"/>
      <c r="H40" s="1654"/>
      <c r="I40" s="1654"/>
      <c r="J40" s="1654"/>
      <c r="K40" s="1654"/>
      <c r="L40" s="1654"/>
      <c r="M40" s="1654"/>
      <c r="N40" s="1654"/>
      <c r="O40" s="1654"/>
      <c r="P40" s="1655"/>
      <c r="Q40" s="3191">
        <v>1000</v>
      </c>
      <c r="R40" s="3192"/>
      <c r="S40" s="3192"/>
      <c r="T40" s="3193"/>
      <c r="U40" s="3167" t="s">
        <v>293</v>
      </c>
      <c r="V40" s="3168"/>
      <c r="W40" s="3169"/>
      <c r="X40" s="3197"/>
      <c r="Y40" s="3198"/>
      <c r="Z40" s="3198"/>
      <c r="AA40" s="3198"/>
      <c r="AB40" s="3198"/>
      <c r="AC40" s="3198"/>
      <c r="AD40" s="3198"/>
      <c r="AE40" s="3198"/>
      <c r="AF40" s="3199"/>
    </row>
    <row r="41" spans="1:32" ht="50.25" customHeight="1" x14ac:dyDescent="0.25">
      <c r="A41" s="1647" t="s">
        <v>2724</v>
      </c>
      <c r="B41" s="1648"/>
      <c r="C41" s="1648"/>
      <c r="D41" s="1649"/>
      <c r="E41" s="1647" t="s">
        <v>2217</v>
      </c>
      <c r="F41" s="1648"/>
      <c r="G41" s="1648"/>
      <c r="H41" s="1648"/>
      <c r="I41" s="1648"/>
      <c r="J41" s="1648"/>
      <c r="K41" s="1648"/>
      <c r="L41" s="1648"/>
      <c r="M41" s="1648"/>
      <c r="N41" s="1648"/>
      <c r="O41" s="1648"/>
      <c r="P41" s="1649"/>
      <c r="Q41" s="3167">
        <f>'Master EUL'!X35</f>
        <v>9</v>
      </c>
      <c r="R41" s="3168"/>
      <c r="S41" s="3168"/>
      <c r="T41" s="3169"/>
      <c r="U41" s="3167" t="s">
        <v>46</v>
      </c>
      <c r="V41" s="3168"/>
      <c r="W41" s="3168"/>
      <c r="X41" s="3170" t="s">
        <v>3206</v>
      </c>
      <c r="Y41" s="3189"/>
      <c r="Z41" s="3189"/>
      <c r="AA41" s="3189"/>
      <c r="AB41" s="3189"/>
      <c r="AC41" s="3189"/>
      <c r="AD41" s="3189"/>
      <c r="AE41" s="3189"/>
      <c r="AF41" s="3190"/>
    </row>
    <row r="42" spans="1:32" x14ac:dyDescent="0.25">
      <c r="A42" s="551"/>
      <c r="B42" s="551"/>
      <c r="C42" s="551"/>
      <c r="D42" s="551"/>
      <c r="E42" s="551"/>
      <c r="F42" s="551"/>
      <c r="G42" s="551"/>
      <c r="H42" s="551"/>
      <c r="I42" s="551"/>
      <c r="J42" s="551"/>
      <c r="K42" s="551"/>
      <c r="L42" s="551"/>
      <c r="M42" s="551"/>
      <c r="N42" s="551"/>
      <c r="O42" s="551"/>
      <c r="P42" s="551"/>
      <c r="Q42" s="551"/>
      <c r="R42" s="551"/>
      <c r="S42" s="551"/>
      <c r="T42" s="551"/>
      <c r="U42" s="551"/>
      <c r="V42" s="551"/>
      <c r="W42" s="551"/>
      <c r="X42" s="551"/>
      <c r="Y42" s="551"/>
      <c r="Z42" s="551"/>
      <c r="AA42" s="551"/>
      <c r="AB42" s="551"/>
      <c r="AC42" s="551"/>
      <c r="AD42" s="551"/>
      <c r="AE42" s="551"/>
      <c r="AF42" s="551"/>
    </row>
    <row r="43" spans="1:32" x14ac:dyDescent="0.25">
      <c r="A43" s="551"/>
      <c r="B43" s="551"/>
      <c r="C43" s="551"/>
      <c r="D43" s="551"/>
      <c r="E43" s="551"/>
      <c r="F43" s="551"/>
      <c r="G43" s="551"/>
      <c r="H43" s="551"/>
      <c r="I43" s="551"/>
      <c r="J43" s="551"/>
      <c r="K43" s="551"/>
      <c r="L43" s="551"/>
      <c r="M43" s="551"/>
      <c r="N43" s="551"/>
      <c r="O43" s="551"/>
      <c r="P43" s="551"/>
      <c r="Q43" s="551"/>
      <c r="R43" s="551"/>
      <c r="S43" s="551"/>
      <c r="T43" s="551"/>
      <c r="U43" s="551"/>
      <c r="V43" s="551"/>
      <c r="W43" s="551"/>
      <c r="X43" s="551"/>
      <c r="Y43" s="551"/>
      <c r="Z43" s="551"/>
      <c r="AA43" s="551"/>
      <c r="AB43" s="551"/>
      <c r="AC43" s="551"/>
      <c r="AD43" s="551"/>
      <c r="AE43" s="551"/>
      <c r="AF43" s="551"/>
    </row>
    <row r="44" spans="1:32" x14ac:dyDescent="0.25">
      <c r="A44" s="3173" t="s">
        <v>21</v>
      </c>
      <c r="B44" s="3174"/>
      <c r="C44" s="3174"/>
      <c r="D44" s="3174"/>
      <c r="E44" s="3174"/>
      <c r="F44" s="3174"/>
      <c r="G44" s="3174"/>
      <c r="H44" s="3174"/>
      <c r="I44" s="3174"/>
      <c r="J44" s="3174"/>
      <c r="K44" s="3174"/>
      <c r="L44" s="3174"/>
      <c r="M44" s="3174"/>
      <c r="N44" s="3174"/>
      <c r="O44" s="3174"/>
      <c r="P44" s="3174"/>
      <c r="Q44" s="3174"/>
      <c r="R44" s="3174"/>
      <c r="S44" s="3174"/>
      <c r="T44" s="3174"/>
      <c r="U44" s="3174"/>
      <c r="V44" s="3174"/>
      <c r="W44" s="3174"/>
      <c r="X44" s="3174"/>
      <c r="Y44" s="3174"/>
      <c r="Z44" s="3174"/>
      <c r="AA44" s="3174"/>
      <c r="AB44" s="3174"/>
      <c r="AC44" s="3174"/>
      <c r="AD44" s="3174"/>
      <c r="AE44" s="3174"/>
      <c r="AF44" s="3175"/>
    </row>
    <row r="45" spans="1:32" x14ac:dyDescent="0.25">
      <c r="A45" s="199"/>
      <c r="B45" s="555"/>
      <c r="C45" s="555"/>
      <c r="D45" s="555"/>
      <c r="E45" s="555"/>
      <c r="F45" s="555"/>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row>
    <row r="46" spans="1:32" x14ac:dyDescent="0.25">
      <c r="A46" s="556"/>
      <c r="B46" s="568"/>
      <c r="C46" s="568"/>
      <c r="D46" s="569"/>
      <c r="E46" s="569"/>
      <c r="F46" s="569"/>
      <c r="G46" s="569"/>
      <c r="H46" s="3202" t="s">
        <v>129</v>
      </c>
      <c r="I46" s="3202"/>
      <c r="J46" s="3202"/>
      <c r="K46" s="3202" t="s">
        <v>3138</v>
      </c>
      <c r="L46" s="3202"/>
      <c r="M46" s="3202"/>
      <c r="N46" s="570"/>
      <c r="O46" s="569"/>
      <c r="P46" s="569"/>
      <c r="Q46" s="556"/>
      <c r="R46" s="556"/>
      <c r="S46" s="556"/>
      <c r="T46" s="556"/>
      <c r="U46" s="556"/>
      <c r="V46" s="556"/>
      <c r="W46" s="556"/>
      <c r="X46" s="556"/>
      <c r="Y46" s="556"/>
      <c r="Z46" s="556"/>
      <c r="AA46" s="556"/>
      <c r="AB46" s="556"/>
      <c r="AC46" s="556"/>
      <c r="AD46" s="556"/>
      <c r="AE46" s="556"/>
      <c r="AF46" s="556"/>
    </row>
    <row r="47" spans="1:32" x14ac:dyDescent="0.25">
      <c r="A47" s="558"/>
      <c r="B47" s="3203" t="s">
        <v>3139</v>
      </c>
      <c r="C47" s="3203"/>
      <c r="D47" s="3203"/>
      <c r="E47" s="3203"/>
      <c r="F47" s="3203"/>
      <c r="G47" s="3204"/>
      <c r="H47" s="3205">
        <f>Q33/Q34/1000</f>
        <v>0.1</v>
      </c>
      <c r="I47" s="3205"/>
      <c r="J47" s="3205"/>
      <c r="K47" s="3205">
        <f>Q33/Q35/1000</f>
        <v>3.3333333333333333E-2</v>
      </c>
      <c r="L47" s="3205"/>
      <c r="M47" s="3205"/>
      <c r="N47" s="3200" t="s">
        <v>26</v>
      </c>
      <c r="O47" s="3201"/>
      <c r="P47" s="3201"/>
      <c r="Q47" s="556"/>
      <c r="R47" s="557"/>
      <c r="S47" s="557"/>
      <c r="T47" s="556"/>
      <c r="U47" s="556"/>
      <c r="V47" s="556"/>
      <c r="W47" s="556"/>
      <c r="X47" s="556"/>
      <c r="Y47" s="556"/>
      <c r="Z47" s="556"/>
      <c r="AA47" s="556"/>
      <c r="AB47" s="556"/>
      <c r="AC47" s="556"/>
      <c r="AD47" s="556"/>
      <c r="AE47" s="556"/>
      <c r="AF47" s="556"/>
    </row>
    <row r="48" spans="1:32" x14ac:dyDescent="0.25">
      <c r="A48" s="558"/>
      <c r="B48" s="3203" t="s">
        <v>3140</v>
      </c>
      <c r="C48" s="3203"/>
      <c r="D48" s="3203"/>
      <c r="E48" s="3203"/>
      <c r="F48" s="3203"/>
      <c r="G48" s="3204"/>
      <c r="H48" s="3206">
        <f>H47*Q39</f>
        <v>584</v>
      </c>
      <c r="I48" s="3206"/>
      <c r="J48" s="3206"/>
      <c r="K48" s="3206">
        <f>K47*Q39</f>
        <v>194.66666666666666</v>
      </c>
      <c r="L48" s="3206"/>
      <c r="M48" s="3206"/>
      <c r="N48" s="3200" t="s">
        <v>49</v>
      </c>
      <c r="O48" s="3201"/>
      <c r="P48" s="3201"/>
      <c r="Q48" s="556"/>
      <c r="R48" s="557"/>
      <c r="S48" s="557"/>
      <c r="T48" s="556"/>
      <c r="U48" s="556"/>
      <c r="V48" s="556"/>
      <c r="W48" s="556"/>
      <c r="X48" s="556"/>
      <c r="Y48" s="556"/>
      <c r="Z48" s="556"/>
      <c r="AA48" s="556"/>
      <c r="AB48" s="556"/>
      <c r="AC48" s="556"/>
      <c r="AD48" s="556"/>
      <c r="AE48" s="556"/>
      <c r="AF48" s="556"/>
    </row>
    <row r="49" spans="1:32" x14ac:dyDescent="0.25">
      <c r="A49" s="558"/>
      <c r="B49" s="3203" t="s">
        <v>3141</v>
      </c>
      <c r="C49" s="3203"/>
      <c r="D49" s="3203"/>
      <c r="E49" s="3203"/>
      <c r="F49" s="3203"/>
      <c r="G49" s="3204"/>
      <c r="H49" s="3206">
        <f>(8760-Q39)*Q36/1000</f>
        <v>2.92</v>
      </c>
      <c r="I49" s="3206"/>
      <c r="J49" s="3206"/>
      <c r="K49" s="3206">
        <f>(8760-Q39)*Q37/1000</f>
        <v>1.752</v>
      </c>
      <c r="L49" s="3206"/>
      <c r="M49" s="3206"/>
      <c r="N49" s="3200" t="s">
        <v>49</v>
      </c>
      <c r="O49" s="3201"/>
      <c r="P49" s="3201"/>
      <c r="Q49" s="556"/>
      <c r="R49" s="557"/>
      <c r="S49" s="557"/>
      <c r="T49" s="556"/>
      <c r="U49" s="556"/>
      <c r="V49" s="556"/>
      <c r="W49" s="556"/>
      <c r="X49" s="556"/>
      <c r="Y49" s="556"/>
      <c r="Z49" s="556"/>
      <c r="AA49" s="556"/>
      <c r="AB49" s="556"/>
      <c r="AC49" s="556"/>
      <c r="AD49" s="556"/>
      <c r="AE49" s="556"/>
      <c r="AF49" s="556"/>
    </row>
    <row r="50" spans="1:32" x14ac:dyDescent="0.25">
      <c r="A50" s="558"/>
      <c r="B50" s="3203" t="s">
        <v>3142</v>
      </c>
      <c r="C50" s="3203"/>
      <c r="D50" s="3203"/>
      <c r="E50" s="3203"/>
      <c r="F50" s="3203"/>
      <c r="G50" s="3204"/>
      <c r="H50" s="3206">
        <f>SUM(H48:J49)</f>
        <v>586.91999999999996</v>
      </c>
      <c r="I50" s="3206"/>
      <c r="J50" s="3206"/>
      <c r="K50" s="3206">
        <f>SUM(K48:M49)</f>
        <v>196.41866666666667</v>
      </c>
      <c r="L50" s="3206"/>
      <c r="M50" s="3206"/>
      <c r="N50" s="3200" t="s">
        <v>49</v>
      </c>
      <c r="O50" s="3201"/>
      <c r="P50" s="3201"/>
      <c r="Q50" s="556"/>
      <c r="R50" s="557"/>
      <c r="S50" s="557"/>
      <c r="T50" s="556"/>
      <c r="U50" s="556"/>
      <c r="V50" s="556"/>
      <c r="W50" s="556"/>
      <c r="X50" s="556"/>
      <c r="Y50" s="556"/>
      <c r="Z50" s="556"/>
      <c r="AA50" s="556"/>
      <c r="AB50" s="556"/>
      <c r="AC50" s="556"/>
      <c r="AD50" s="556"/>
      <c r="AE50" s="556"/>
      <c r="AF50" s="556"/>
    </row>
    <row r="51" spans="1:32" ht="15.75" thickBot="1" x14ac:dyDescent="0.3">
      <c r="A51" s="559"/>
      <c r="B51" s="560"/>
      <c r="C51" s="560"/>
      <c r="D51" s="561"/>
      <c r="H51" s="562"/>
      <c r="K51" s="562"/>
      <c r="L51" s="562"/>
      <c r="M51" s="563"/>
      <c r="N51" s="557"/>
    </row>
    <row r="52" spans="1:32" x14ac:dyDescent="0.25">
      <c r="A52" s="3213" t="s">
        <v>22</v>
      </c>
      <c r="B52" s="3162"/>
      <c r="C52" s="3162"/>
      <c r="D52" s="3162"/>
      <c r="E52" s="3162"/>
      <c r="F52" s="3162"/>
      <c r="G52" s="3162"/>
      <c r="H52" s="3162"/>
      <c r="I52" s="3162" t="s">
        <v>23</v>
      </c>
      <c r="J52" s="3162"/>
      <c r="K52" s="3162"/>
      <c r="L52" s="3162"/>
      <c r="M52" s="3162"/>
      <c r="N52" s="3162"/>
      <c r="O52" s="3162"/>
      <c r="P52" s="3162"/>
      <c r="Q52" s="3162" t="s">
        <v>24</v>
      </c>
      <c r="R52" s="3162"/>
      <c r="S52" s="3162"/>
      <c r="T52" s="3162"/>
      <c r="U52" s="3162"/>
      <c r="V52" s="3162"/>
      <c r="W52" s="3162"/>
      <c r="X52" s="3207"/>
      <c r="Y52" s="3162" t="s">
        <v>2012</v>
      </c>
      <c r="Z52" s="3162"/>
      <c r="AA52" s="3162"/>
      <c r="AB52" s="3162"/>
      <c r="AC52" s="3162"/>
      <c r="AD52" s="3162"/>
      <c r="AE52" s="3162"/>
      <c r="AF52" s="3163"/>
    </row>
    <row r="53" spans="1:32" ht="15.75" thickBot="1" x14ac:dyDescent="0.3">
      <c r="A53" s="3208" t="s">
        <v>3143</v>
      </c>
      <c r="B53" s="3209"/>
      <c r="C53" s="3209"/>
      <c r="D53" s="3209"/>
      <c r="E53" s="3209"/>
      <c r="F53" s="3209"/>
      <c r="G53" s="3209"/>
      <c r="H53" s="3209"/>
      <c r="I53" s="3210">
        <f>ROUND((H47-K47)*$Q$38,3)</f>
        <v>4.4999999999999998E-2</v>
      </c>
      <c r="J53" s="3210"/>
      <c r="K53" s="3210"/>
      <c r="L53" s="3210"/>
      <c r="M53" s="3210"/>
      <c r="N53" s="3210"/>
      <c r="O53" s="3210"/>
      <c r="P53" s="3210"/>
      <c r="Q53" s="3211">
        <f>ROUND(H50-K50,2)</f>
        <v>390.5</v>
      </c>
      <c r="R53" s="3211"/>
      <c r="S53" s="3211"/>
      <c r="T53" s="3211"/>
      <c r="U53" s="3211"/>
      <c r="V53" s="3211"/>
      <c r="W53" s="3211"/>
      <c r="X53" s="3212"/>
      <c r="Y53" s="1889">
        <f>ROUND($Q$53*$Q$41,2)</f>
        <v>3514.5</v>
      </c>
      <c r="Z53" s="1889"/>
      <c r="AA53" s="1889"/>
      <c r="AB53" s="1889"/>
      <c r="AC53" s="1889"/>
      <c r="AD53" s="1889"/>
      <c r="AE53" s="1889"/>
      <c r="AF53" s="1890"/>
    </row>
    <row r="56" spans="1:32" x14ac:dyDescent="0.25">
      <c r="A56" s="1472" t="s">
        <v>1753</v>
      </c>
      <c r="B56" s="1472"/>
      <c r="C56" s="1472"/>
      <c r="D56" s="1472"/>
      <c r="E56" s="1472"/>
      <c r="F56" s="1472"/>
      <c r="G56" s="1472"/>
      <c r="H56" s="1472"/>
      <c r="I56" s="1472"/>
      <c r="J56" s="1472"/>
      <c r="K56" s="1472"/>
      <c r="L56" s="1472"/>
      <c r="M56" s="1472"/>
      <c r="N56" s="1472"/>
      <c r="O56" s="1472"/>
      <c r="P56" s="1472"/>
      <c r="Q56" s="1472"/>
      <c r="R56" s="1472"/>
      <c r="S56" s="1472"/>
      <c r="T56" s="1472"/>
      <c r="U56" s="1472"/>
      <c r="V56" s="1472"/>
      <c r="W56" s="1472"/>
      <c r="X56" s="1472"/>
      <c r="Y56" s="1472"/>
      <c r="Z56" s="1472"/>
      <c r="AA56" s="1472"/>
      <c r="AB56" s="1472"/>
      <c r="AC56" s="1472"/>
      <c r="AD56" s="1472"/>
      <c r="AE56" s="1472"/>
      <c r="AF56" s="1472"/>
    </row>
    <row r="57" spans="1:32"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row>
    <row r="58" spans="1:32" ht="15" customHeight="1" x14ac:dyDescent="0.25">
      <c r="A58" s="515" t="s">
        <v>1013</v>
      </c>
      <c r="B58" s="1247" t="s">
        <v>3187</v>
      </c>
      <c r="C58" s="1247"/>
      <c r="D58" s="1247"/>
      <c r="E58" s="1247"/>
      <c r="F58" s="1247"/>
      <c r="G58" s="1247"/>
      <c r="H58" s="1247"/>
      <c r="I58" s="1247"/>
      <c r="J58" s="1247"/>
      <c r="K58" s="1247"/>
      <c r="L58" s="1247"/>
      <c r="M58" s="1247"/>
      <c r="N58" s="1247"/>
      <c r="O58" s="1247"/>
      <c r="P58" s="1247"/>
      <c r="Q58" s="1247"/>
      <c r="R58" s="1247"/>
      <c r="S58" s="1247"/>
      <c r="T58" s="1247"/>
      <c r="U58" s="1247"/>
      <c r="V58" s="1247"/>
      <c r="W58" s="1247"/>
      <c r="X58" s="1247"/>
      <c r="Y58" s="1247"/>
      <c r="Z58" s="1247"/>
      <c r="AA58" s="1247"/>
      <c r="AB58" s="1247"/>
      <c r="AC58" s="1247"/>
      <c r="AD58" s="1247"/>
      <c r="AE58" s="1247"/>
      <c r="AF58" s="1247"/>
    </row>
    <row r="59" spans="1:32" ht="50.25" customHeight="1" x14ac:dyDescent="0.25">
      <c r="A59" s="515" t="s">
        <v>1013</v>
      </c>
      <c r="B59" s="1173" t="s">
        <v>2083</v>
      </c>
      <c r="C59" s="1173"/>
      <c r="D59" s="1173"/>
      <c r="E59" s="1173"/>
      <c r="F59" s="1173"/>
      <c r="G59" s="1173"/>
      <c r="H59" s="1173"/>
      <c r="I59" s="1173"/>
      <c r="J59" s="1173"/>
      <c r="K59" s="1173"/>
      <c r="L59" s="1173"/>
      <c r="M59" s="1173"/>
      <c r="N59" s="1173"/>
      <c r="O59" s="1173"/>
      <c r="P59" s="1173"/>
      <c r="Q59" s="1173"/>
      <c r="R59" s="1173"/>
      <c r="S59" s="1173"/>
      <c r="T59" s="1173"/>
      <c r="U59" s="1173"/>
      <c r="V59" s="1173"/>
      <c r="W59" s="1173"/>
      <c r="X59" s="1173"/>
      <c r="Y59" s="1173"/>
      <c r="Z59" s="1173"/>
      <c r="AA59" s="1173"/>
      <c r="AB59" s="1173"/>
      <c r="AC59" s="1173"/>
      <c r="AD59" s="1173"/>
      <c r="AE59" s="1173"/>
      <c r="AF59" s="1173"/>
    </row>
    <row r="60" spans="1:32" ht="34.5" customHeight="1" x14ac:dyDescent="0.25">
      <c r="A60" s="515" t="s">
        <v>1013</v>
      </c>
      <c r="B60" s="1247" t="s">
        <v>3190</v>
      </c>
      <c r="C60" s="1247"/>
      <c r="D60" s="1247"/>
      <c r="E60" s="1247"/>
      <c r="F60" s="1247"/>
      <c r="G60" s="1247"/>
      <c r="H60" s="1247"/>
      <c r="I60" s="1247"/>
      <c r="J60" s="1247"/>
      <c r="K60" s="1247"/>
      <c r="L60" s="1247"/>
      <c r="M60" s="1247"/>
      <c r="N60" s="1247"/>
      <c r="O60" s="1247"/>
      <c r="P60" s="1247"/>
      <c r="Q60" s="1247"/>
      <c r="R60" s="1247"/>
      <c r="S60" s="1247"/>
      <c r="T60" s="1247"/>
      <c r="U60" s="1247"/>
      <c r="V60" s="1247"/>
      <c r="W60" s="1247"/>
      <c r="X60" s="1247"/>
      <c r="Y60" s="1247"/>
      <c r="Z60" s="1247"/>
      <c r="AA60" s="1247"/>
      <c r="AB60" s="1247"/>
      <c r="AC60" s="1247"/>
      <c r="AD60" s="1247"/>
      <c r="AE60" s="1247"/>
      <c r="AF60" s="1247"/>
    </row>
    <row r="61" spans="1:32" ht="31.5" customHeight="1" x14ac:dyDescent="0.25">
      <c r="A61" s="515" t="s">
        <v>1013</v>
      </c>
      <c r="B61" s="1247" t="s">
        <v>3208</v>
      </c>
      <c r="C61" s="1247"/>
      <c r="D61" s="1247"/>
      <c r="E61" s="1247"/>
      <c r="F61" s="1247"/>
      <c r="G61" s="1247"/>
      <c r="H61" s="1247"/>
      <c r="I61" s="1247"/>
      <c r="J61" s="1247"/>
      <c r="K61" s="1247"/>
      <c r="L61" s="1247"/>
      <c r="M61" s="1247"/>
      <c r="N61" s="1247"/>
      <c r="O61" s="1247"/>
      <c r="P61" s="1247"/>
      <c r="Q61" s="1247"/>
      <c r="R61" s="1247"/>
      <c r="S61" s="1247"/>
      <c r="T61" s="1247"/>
      <c r="U61" s="1247"/>
      <c r="V61" s="1247"/>
      <c r="W61" s="1247"/>
      <c r="X61" s="1247"/>
      <c r="Y61" s="1247"/>
      <c r="Z61" s="1247"/>
      <c r="AA61" s="1247"/>
      <c r="AB61" s="1247"/>
      <c r="AC61" s="1247"/>
      <c r="AD61" s="1247"/>
      <c r="AE61" s="1247"/>
      <c r="AF61" s="1247"/>
    </row>
  </sheetData>
  <sheetProtection algorithmName="SHA-512" hashValue="RNyk9eGmz8O7X+4WNGG0YqxmE1vm7TdiDkxHro/yJJ4Fm/DztBrKTtRKVSpPiSVb72kiNG8lqcC395cxyNupEg==" saltValue="yS5utwdkCuKLTZ+K8OiZnQ==" spinCount="100000" sheet="1" objects="1" scenarios="1"/>
  <mergeCells count="96">
    <mergeCell ref="Q52:X52"/>
    <mergeCell ref="A53:H53"/>
    <mergeCell ref="I53:P53"/>
    <mergeCell ref="Q53:X53"/>
    <mergeCell ref="B50:G50"/>
    <mergeCell ref="H50:J50"/>
    <mergeCell ref="K50:M50"/>
    <mergeCell ref="N50:P50"/>
    <mergeCell ref="A52:H52"/>
    <mergeCell ref="I52:P52"/>
    <mergeCell ref="B48:G48"/>
    <mergeCell ref="H48:J48"/>
    <mergeCell ref="K48:M48"/>
    <mergeCell ref="N48:P48"/>
    <mergeCell ref="B49:G49"/>
    <mergeCell ref="H49:J49"/>
    <mergeCell ref="K49:M49"/>
    <mergeCell ref="N49:P49"/>
    <mergeCell ref="N47:P47"/>
    <mergeCell ref="A41:D41"/>
    <mergeCell ref="E41:P41"/>
    <mergeCell ref="Q41:T41"/>
    <mergeCell ref="U41:W41"/>
    <mergeCell ref="H46:J46"/>
    <mergeCell ref="K46:M46"/>
    <mergeCell ref="B47:G47"/>
    <mergeCell ref="H47:J47"/>
    <mergeCell ref="K47:M47"/>
    <mergeCell ref="X41:AF41"/>
    <mergeCell ref="A44:AF44"/>
    <mergeCell ref="A39:D39"/>
    <mergeCell ref="E39:P39"/>
    <mergeCell ref="Q39:T39"/>
    <mergeCell ref="U39:W39"/>
    <mergeCell ref="X39:AF39"/>
    <mergeCell ref="A40:D40"/>
    <mergeCell ref="E40:P40"/>
    <mergeCell ref="Q40:T40"/>
    <mergeCell ref="U40:W40"/>
    <mergeCell ref="X40:AF40"/>
    <mergeCell ref="A37:D37"/>
    <mergeCell ref="E37:P37"/>
    <mergeCell ref="Q37:T37"/>
    <mergeCell ref="U37:W37"/>
    <mergeCell ref="X37:AF37"/>
    <mergeCell ref="A38:D38"/>
    <mergeCell ref="E38:P38"/>
    <mergeCell ref="Q38:T38"/>
    <mergeCell ref="U38:W38"/>
    <mergeCell ref="X38:AF38"/>
    <mergeCell ref="U33:W33"/>
    <mergeCell ref="X33:AF33"/>
    <mergeCell ref="A36:D36"/>
    <mergeCell ref="E36:P36"/>
    <mergeCell ref="Q36:T36"/>
    <mergeCell ref="U36:W36"/>
    <mergeCell ref="X36:AF36"/>
    <mergeCell ref="A35:D35"/>
    <mergeCell ref="E35:P35"/>
    <mergeCell ref="Q35:T35"/>
    <mergeCell ref="U35:W35"/>
    <mergeCell ref="X35:AF35"/>
    <mergeCell ref="A27:F27"/>
    <mergeCell ref="A28:F28"/>
    <mergeCell ref="A31:AF31"/>
    <mergeCell ref="A32:D32"/>
    <mergeCell ref="E32:P32"/>
    <mergeCell ref="Q32:T32"/>
    <mergeCell ref="U32:W32"/>
    <mergeCell ref="X32:AF32"/>
    <mergeCell ref="A25:AF25"/>
    <mergeCell ref="A1:AF1"/>
    <mergeCell ref="A7:AF7"/>
    <mergeCell ref="B10:AF10"/>
    <mergeCell ref="B13:AF13"/>
    <mergeCell ref="B16:AF16"/>
    <mergeCell ref="A3:AF3"/>
    <mergeCell ref="B5:AF5"/>
    <mergeCell ref="B19:AF19"/>
    <mergeCell ref="B22:AF22"/>
    <mergeCell ref="B60:AF60"/>
    <mergeCell ref="B61:AF61"/>
    <mergeCell ref="B59:AF59"/>
    <mergeCell ref="A29:F29"/>
    <mergeCell ref="Y52:AF52"/>
    <mergeCell ref="Y53:AF53"/>
    <mergeCell ref="A56:AF56"/>
    <mergeCell ref="B58:AF58"/>
    <mergeCell ref="A34:D34"/>
    <mergeCell ref="E34:P34"/>
    <mergeCell ref="Q34:T34"/>
    <mergeCell ref="U34:W34"/>
    <mergeCell ref="X34:AF34"/>
    <mergeCell ref="A33:D33"/>
    <mergeCell ref="E33:P33"/>
    <mergeCell ref="Q33:T33"/>
  </mergeCells>
  <hyperlinks>
    <hyperlink ref="A2" location="TOC!A1" display="Return to TOC" xr:uid="{00000000-0004-0000-48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0B0BB-BB2C-44DE-91E6-10EEF88EC7AE}">
  <sheetPr>
    <tabColor theme="4" tint="0.79998168889431442"/>
  </sheetPr>
  <dimension ref="A1:AF74"/>
  <sheetViews>
    <sheetView workbookViewId="0">
      <selection sqref="A1:AF1"/>
    </sheetView>
  </sheetViews>
  <sheetFormatPr defaultColWidth="2.7109375" defaultRowHeight="15" x14ac:dyDescent="0.25"/>
  <sheetData>
    <row r="1" spans="1:32" ht="19.5" thickBot="1" x14ac:dyDescent="0.3">
      <c r="A1" s="1272" t="s">
        <v>6401</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row>
    <row r="2" spans="1:32" ht="15" customHeight="1" x14ac:dyDescent="0.25">
      <c r="A2" s="376" t="s">
        <v>1702</v>
      </c>
      <c r="B2" s="550"/>
      <c r="C2" s="550"/>
      <c r="D2" s="550"/>
      <c r="E2" s="550"/>
    </row>
    <row r="3" spans="1:32"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262"/>
      <c r="B5" s="1589" t="s">
        <v>6349</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2"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row>
    <row r="9" spans="1:32" x14ac:dyDescent="0.25">
      <c r="B9" s="171" t="s">
        <v>10</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row>
    <row r="10" spans="1:32" ht="45" customHeight="1" x14ac:dyDescent="0.25">
      <c r="B10" s="1173" t="s">
        <v>6402</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row>
    <row r="11" spans="1:32" x14ac:dyDescent="0.25">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25">
      <c r="B12" s="171" t="s">
        <v>11</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row>
    <row r="13" spans="1:32" ht="45" customHeight="1" x14ac:dyDescent="0.25">
      <c r="B13" s="1173" t="s">
        <v>6403</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row>
    <row r="14" spans="1:32" x14ac:dyDescent="0.25">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25">
      <c r="B15" s="171" t="s">
        <v>12</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row>
    <row r="16" spans="1:32" x14ac:dyDescent="0.25">
      <c r="B16" s="262" t="s">
        <v>6404</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spans="1:32" x14ac:dyDescent="0.25">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25">
      <c r="B18" s="171" t="s">
        <v>13</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row>
    <row r="19" spans="1:32" ht="30" customHeight="1" x14ac:dyDescent="0.25">
      <c r="B19" s="1173" t="s">
        <v>6405</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row>
    <row r="20" spans="1:32" x14ac:dyDescent="0.25">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25">
      <c r="B21" s="171" t="s">
        <v>20</v>
      </c>
      <c r="C21" s="683"/>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row>
    <row r="22" spans="1:32" ht="30" customHeight="1" x14ac:dyDescent="0.25">
      <c r="B22" s="1173" t="s">
        <v>6406</v>
      </c>
      <c r="C22" s="1173"/>
      <c r="D22" s="1173"/>
      <c r="E22" s="1173"/>
      <c r="F22" s="1173"/>
      <c r="G22" s="1173"/>
      <c r="H22" s="1173"/>
      <c r="I22" s="1173"/>
      <c r="J22" s="1173"/>
      <c r="K22" s="1173"/>
      <c r="L22" s="1173"/>
      <c r="M22" s="1173"/>
      <c r="N22" s="1173"/>
      <c r="O22" s="1173"/>
      <c r="P22" s="1173"/>
      <c r="Q22" s="1173"/>
      <c r="R22" s="1173"/>
      <c r="S22" s="1173"/>
      <c r="T22" s="1173"/>
      <c r="U22" s="1173"/>
      <c r="V22" s="1173"/>
      <c r="W22" s="1173"/>
      <c r="X22" s="1173"/>
      <c r="Y22" s="1173"/>
      <c r="Z22" s="1173"/>
      <c r="AA22" s="1173"/>
      <c r="AB22" s="1173"/>
      <c r="AC22" s="1173"/>
      <c r="AD22" s="1173"/>
      <c r="AE22" s="1173"/>
      <c r="AF22" s="1173"/>
    </row>
    <row r="23" spans="1:32"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x14ac:dyDescent="0.25">
      <c r="A25" s="1472" t="s">
        <v>14</v>
      </c>
      <c r="B25" s="1472"/>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row>
    <row r="26" spans="1:32" x14ac:dyDescent="0.25">
      <c r="A26" s="1"/>
    </row>
    <row r="27" spans="1:32" x14ac:dyDescent="0.25">
      <c r="B27" s="379" t="s">
        <v>5322</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row>
    <row r="28" spans="1:32" x14ac:dyDescent="0.25">
      <c r="B28" s="3"/>
      <c r="C28" s="1"/>
      <c r="D28" s="10"/>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2" x14ac:dyDescent="0.25">
      <c r="B29" s="3"/>
      <c r="D29" s="10"/>
      <c r="E29" s="148"/>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204" t="s">
        <v>1705</v>
      </c>
    </row>
    <row r="30" spans="1:32" x14ac:dyDescent="0.25">
      <c r="B30" s="3"/>
      <c r="D30" s="10"/>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204"/>
    </row>
    <row r="31" spans="1:32" x14ac:dyDescent="0.25">
      <c r="B31" s="1"/>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row>
    <row r="32" spans="1:32" x14ac:dyDescent="0.25">
      <c r="B32" s="379" t="s">
        <v>2194</v>
      </c>
      <c r="C32" s="148"/>
      <c r="D32" s="148"/>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row>
    <row r="33" spans="1:32" x14ac:dyDescent="0.25">
      <c r="B33" s="148"/>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row>
    <row r="34" spans="1:32" x14ac:dyDescent="0.25">
      <c r="B34" s="148"/>
      <c r="C34" s="148"/>
      <c r="D34" s="847"/>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204" t="s">
        <v>1706</v>
      </c>
    </row>
    <row r="35" spans="1:32" x14ac:dyDescent="0.25">
      <c r="B35" s="148"/>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row>
    <row r="36" spans="1:32" x14ac:dyDescent="0.25">
      <c r="B36" s="379" t="s">
        <v>2303</v>
      </c>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row>
    <row r="37" spans="1:32" x14ac:dyDescent="0.25">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row>
    <row r="38" spans="1:32" x14ac:dyDescent="0.25">
      <c r="B38" s="148"/>
      <c r="C38" s="148"/>
      <c r="D38" s="845"/>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3214" t="s">
        <v>1707</v>
      </c>
    </row>
    <row r="39" spans="1:32" x14ac:dyDescent="0.25">
      <c r="B39" s="148"/>
      <c r="C39" s="148"/>
      <c r="D39" s="10"/>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3214"/>
    </row>
    <row r="40" spans="1:32" x14ac:dyDescent="0.25">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row>
    <row r="41" spans="1:32" x14ac:dyDescent="0.25">
      <c r="B41" s="379" t="s">
        <v>1998</v>
      </c>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row>
    <row r="42" spans="1:32" x14ac:dyDescent="0.25">
      <c r="A42" s="148"/>
      <c r="B42" s="148"/>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row>
    <row r="43" spans="1:32" x14ac:dyDescent="0.25">
      <c r="A43" s="148"/>
      <c r="B43" s="304"/>
      <c r="C43" s="148"/>
      <c r="D43" s="8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204" t="s">
        <v>1756</v>
      </c>
    </row>
    <row r="44" spans="1:32" x14ac:dyDescent="0.25">
      <c r="A44" s="148"/>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row>
    <row r="45" spans="1:32" x14ac:dyDescent="0.25">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row>
    <row r="46" spans="1:32" x14ac:dyDescent="0.25">
      <c r="A46" s="1472" t="s">
        <v>15</v>
      </c>
      <c r="B46" s="1472"/>
      <c r="C46" s="1472"/>
      <c r="D46" s="1472"/>
      <c r="E46" s="1472"/>
      <c r="F46" s="1472"/>
      <c r="G46" s="1472"/>
      <c r="H46" s="1472"/>
      <c r="I46" s="1472"/>
      <c r="J46" s="1472"/>
      <c r="K46" s="1472"/>
      <c r="L46" s="1472"/>
      <c r="M46" s="1472"/>
      <c r="N46" s="1472"/>
      <c r="O46" s="1472"/>
      <c r="P46" s="1472"/>
      <c r="Q46" s="1472"/>
      <c r="R46" s="1472"/>
      <c r="S46" s="1472"/>
      <c r="T46" s="1472"/>
      <c r="U46" s="1472"/>
      <c r="V46" s="1472"/>
      <c r="W46" s="1472"/>
      <c r="X46" s="1472"/>
      <c r="Y46" s="1472"/>
      <c r="Z46" s="1472"/>
      <c r="AA46" s="1472"/>
      <c r="AB46" s="1472"/>
      <c r="AC46" s="1472"/>
      <c r="AD46" s="1472"/>
      <c r="AE46" s="1472"/>
      <c r="AF46" s="1472"/>
    </row>
    <row r="47" spans="1:32" x14ac:dyDescent="0.25">
      <c r="A47" s="1474" t="s">
        <v>16</v>
      </c>
      <c r="B47" s="1474"/>
      <c r="C47" s="1474"/>
      <c r="D47" s="1474"/>
      <c r="E47" s="1474" t="s">
        <v>10</v>
      </c>
      <c r="F47" s="1474"/>
      <c r="G47" s="1474"/>
      <c r="H47" s="1474"/>
      <c r="I47" s="1474"/>
      <c r="J47" s="1474"/>
      <c r="K47" s="1474"/>
      <c r="L47" s="1474"/>
      <c r="M47" s="1474"/>
      <c r="N47" s="1474"/>
      <c r="O47" s="1474"/>
      <c r="P47" s="1474" t="s">
        <v>17</v>
      </c>
      <c r="Q47" s="1474"/>
      <c r="R47" s="1474"/>
      <c r="S47" s="1474"/>
      <c r="T47" s="1474" t="s">
        <v>18</v>
      </c>
      <c r="U47" s="1474"/>
      <c r="V47" s="1474"/>
      <c r="W47" s="1474"/>
      <c r="X47" s="1474" t="s">
        <v>1708</v>
      </c>
      <c r="Y47" s="1474"/>
      <c r="Z47" s="1474"/>
      <c r="AA47" s="1474"/>
      <c r="AB47" s="1474"/>
      <c r="AC47" s="1474"/>
      <c r="AD47" s="1474"/>
      <c r="AE47" s="1474"/>
      <c r="AF47" s="1474"/>
    </row>
    <row r="48" spans="1:32" ht="30" customHeight="1" x14ac:dyDescent="0.25">
      <c r="A48" s="1135" t="s">
        <v>6356</v>
      </c>
      <c r="B48" s="1135"/>
      <c r="C48" s="1135"/>
      <c r="D48" s="1135"/>
      <c r="E48" s="1133" t="s">
        <v>6407</v>
      </c>
      <c r="F48" s="1133"/>
      <c r="G48" s="1133"/>
      <c r="H48" s="1133"/>
      <c r="I48" s="1133"/>
      <c r="J48" s="1133"/>
      <c r="K48" s="1133"/>
      <c r="L48" s="1133"/>
      <c r="M48" s="1133"/>
      <c r="N48" s="1133"/>
      <c r="O48" s="1133"/>
      <c r="P48" s="1913" t="s">
        <v>6358</v>
      </c>
      <c r="Q48" s="1913"/>
      <c r="R48" s="1913"/>
      <c r="S48" s="1913"/>
      <c r="T48" s="2496" t="s">
        <v>44</v>
      </c>
      <c r="U48" s="1606"/>
      <c r="V48" s="1606"/>
      <c r="W48" s="1606"/>
      <c r="X48" s="1715"/>
      <c r="Y48" s="1715"/>
      <c r="Z48" s="1715"/>
      <c r="AA48" s="1715"/>
      <c r="AB48" s="1715"/>
      <c r="AC48" s="1715"/>
      <c r="AD48" s="1715"/>
      <c r="AE48" s="1715"/>
      <c r="AF48" s="1715"/>
    </row>
    <row r="49" spans="1:32" ht="105.75" customHeight="1" x14ac:dyDescent="0.25">
      <c r="A49" s="1135" t="s">
        <v>6359</v>
      </c>
      <c r="B49" s="1135"/>
      <c r="C49" s="1135"/>
      <c r="D49" s="1135"/>
      <c r="E49" s="1133" t="s">
        <v>6408</v>
      </c>
      <c r="F49" s="1133"/>
      <c r="G49" s="1133"/>
      <c r="H49" s="1133"/>
      <c r="I49" s="1133"/>
      <c r="J49" s="1133"/>
      <c r="K49" s="1133"/>
      <c r="L49" s="1133"/>
      <c r="M49" s="1133"/>
      <c r="N49" s="1133"/>
      <c r="O49" s="1133"/>
      <c r="P49" s="1482">
        <v>109.82</v>
      </c>
      <c r="Q49" s="1483"/>
      <c r="R49" s="1483"/>
      <c r="S49" s="1484"/>
      <c r="T49" s="1592" t="s">
        <v>44</v>
      </c>
      <c r="U49" s="1575"/>
      <c r="V49" s="1575"/>
      <c r="W49" s="1576"/>
      <c r="X49" s="1715" t="s">
        <v>6409</v>
      </c>
      <c r="Y49" s="1715"/>
      <c r="Z49" s="1715"/>
      <c r="AA49" s="1715"/>
      <c r="AB49" s="1715"/>
      <c r="AC49" s="1715"/>
      <c r="AD49" s="1715"/>
      <c r="AE49" s="1715"/>
      <c r="AF49" s="1715"/>
    </row>
    <row r="50" spans="1:32" ht="30" customHeight="1" x14ac:dyDescent="0.25">
      <c r="A50" s="1134" t="s">
        <v>6410</v>
      </c>
      <c r="B50" s="1134"/>
      <c r="C50" s="1134"/>
      <c r="D50" s="1134"/>
      <c r="E50" s="1133" t="s">
        <v>6411</v>
      </c>
      <c r="F50" s="1133"/>
      <c r="G50" s="1133"/>
      <c r="H50" s="1133"/>
      <c r="I50" s="1133"/>
      <c r="J50" s="1133"/>
      <c r="K50" s="1133"/>
      <c r="L50" s="1133"/>
      <c r="M50" s="1133"/>
      <c r="N50" s="1133"/>
      <c r="O50" s="1133"/>
      <c r="P50" s="1913">
        <v>0.74</v>
      </c>
      <c r="Q50" s="1913"/>
      <c r="R50" s="1913"/>
      <c r="S50" s="1913"/>
      <c r="T50" s="1913"/>
      <c r="U50" s="1913"/>
      <c r="V50" s="1913"/>
      <c r="W50" s="1913"/>
      <c r="X50" s="1517" t="s">
        <v>6412</v>
      </c>
      <c r="Y50" s="1517"/>
      <c r="Z50" s="1517"/>
      <c r="AA50" s="1517"/>
      <c r="AB50" s="1517"/>
      <c r="AC50" s="1517"/>
      <c r="AD50" s="1517"/>
      <c r="AE50" s="1517"/>
      <c r="AF50" s="1517"/>
    </row>
    <row r="51" spans="1:32" ht="30" customHeight="1" x14ac:dyDescent="0.25">
      <c r="A51" s="1132" t="s">
        <v>6413</v>
      </c>
      <c r="B51" s="1132"/>
      <c r="C51" s="1132"/>
      <c r="D51" s="1132"/>
      <c r="E51" s="1133" t="s">
        <v>6414</v>
      </c>
      <c r="F51" s="1133"/>
      <c r="G51" s="1133"/>
      <c r="H51" s="1133"/>
      <c r="I51" s="1133"/>
      <c r="J51" s="1133"/>
      <c r="K51" s="1133"/>
      <c r="L51" s="1133"/>
      <c r="M51" s="1133"/>
      <c r="N51" s="1133"/>
      <c r="O51" s="1133"/>
      <c r="P51" s="1913">
        <v>0.84</v>
      </c>
      <c r="Q51" s="1913"/>
      <c r="R51" s="1913"/>
      <c r="S51" s="1913"/>
      <c r="T51" s="2496"/>
      <c r="U51" s="1606"/>
      <c r="V51" s="1606"/>
      <c r="W51" s="1606"/>
      <c r="X51" s="1538" t="s">
        <v>6377</v>
      </c>
      <c r="Y51" s="1539"/>
      <c r="Z51" s="1539"/>
      <c r="AA51" s="1539"/>
      <c r="AB51" s="1539"/>
      <c r="AC51" s="1539"/>
      <c r="AD51" s="1539"/>
      <c r="AE51" s="1539"/>
      <c r="AF51" s="1540"/>
    </row>
    <row r="52" spans="1:32" ht="30" customHeight="1" x14ac:dyDescent="0.25">
      <c r="A52" s="1135" t="s">
        <v>1516</v>
      </c>
      <c r="B52" s="1135"/>
      <c r="C52" s="1135"/>
      <c r="D52" s="1135"/>
      <c r="E52" s="1133" t="s">
        <v>1001</v>
      </c>
      <c r="F52" s="1133"/>
      <c r="G52" s="1133"/>
      <c r="H52" s="1133"/>
      <c r="I52" s="1133"/>
      <c r="J52" s="1133"/>
      <c r="K52" s="1133"/>
      <c r="L52" s="1133"/>
      <c r="M52" s="1133"/>
      <c r="N52" s="1133"/>
      <c r="O52" s="1133"/>
      <c r="P52" s="3009" t="s">
        <v>6361</v>
      </c>
      <c r="Q52" s="3009"/>
      <c r="R52" s="3009"/>
      <c r="S52" s="3009"/>
      <c r="T52" s="2496" t="s">
        <v>44</v>
      </c>
      <c r="U52" s="1606"/>
      <c r="V52" s="1606"/>
      <c r="W52" s="1606"/>
      <c r="X52" s="1715"/>
      <c r="Y52" s="1715"/>
      <c r="Z52" s="1715"/>
      <c r="AA52" s="1715"/>
      <c r="AB52" s="1715"/>
      <c r="AC52" s="1715"/>
      <c r="AD52" s="1715"/>
      <c r="AE52" s="1715"/>
      <c r="AF52" s="1715"/>
    </row>
    <row r="53" spans="1:32" ht="30" customHeight="1" x14ac:dyDescent="0.25">
      <c r="A53" s="1135" t="s">
        <v>1517</v>
      </c>
      <c r="B53" s="1135"/>
      <c r="C53" s="1135"/>
      <c r="D53" s="1135"/>
      <c r="E53" s="1133" t="s">
        <v>2773</v>
      </c>
      <c r="F53" s="1133"/>
      <c r="G53" s="1133"/>
      <c r="H53" s="1133"/>
      <c r="I53" s="1133"/>
      <c r="J53" s="1133"/>
      <c r="K53" s="1133"/>
      <c r="L53" s="1133"/>
      <c r="M53" s="1133"/>
      <c r="N53" s="1133"/>
      <c r="O53" s="1133"/>
      <c r="P53" s="3009" t="s">
        <v>6379</v>
      </c>
      <c r="Q53" s="3009"/>
      <c r="R53" s="3009"/>
      <c r="S53" s="3009"/>
      <c r="T53" s="2496" t="s">
        <v>26</v>
      </c>
      <c r="U53" s="1606"/>
      <c r="V53" s="1606"/>
      <c r="W53" s="1606"/>
      <c r="X53" s="1715"/>
      <c r="Y53" s="1715"/>
      <c r="Z53" s="1715"/>
      <c r="AA53" s="1715"/>
      <c r="AB53" s="1715"/>
      <c r="AC53" s="1715"/>
      <c r="AD53" s="1715"/>
      <c r="AE53" s="1715"/>
      <c r="AF53" s="1715"/>
    </row>
    <row r="54" spans="1:32" ht="91.5" customHeight="1" x14ac:dyDescent="0.25">
      <c r="A54" s="1134" t="s">
        <v>257</v>
      </c>
      <c r="B54" s="1134" t="s">
        <v>216</v>
      </c>
      <c r="C54" s="1134" t="s">
        <v>216</v>
      </c>
      <c r="D54" s="1134" t="s">
        <v>216</v>
      </c>
      <c r="E54" s="1133" t="s">
        <v>6415</v>
      </c>
      <c r="F54" s="1133" t="s">
        <v>643</v>
      </c>
      <c r="G54" s="1133" t="s">
        <v>643</v>
      </c>
      <c r="H54" s="1133" t="s">
        <v>643</v>
      </c>
      <c r="I54" s="1133" t="s">
        <v>643</v>
      </c>
      <c r="J54" s="1133" t="s">
        <v>643</v>
      </c>
      <c r="K54" s="1133" t="s">
        <v>643</v>
      </c>
      <c r="L54" s="1133" t="s">
        <v>643</v>
      </c>
      <c r="M54" s="1133" t="s">
        <v>643</v>
      </c>
      <c r="N54" s="1133" t="s">
        <v>643</v>
      </c>
      <c r="O54" s="1133" t="s">
        <v>643</v>
      </c>
      <c r="P54" s="1913">
        <v>2588</v>
      </c>
      <c r="Q54" s="1913"/>
      <c r="R54" s="1913"/>
      <c r="S54" s="1913"/>
      <c r="T54" s="1606" t="s">
        <v>45</v>
      </c>
      <c r="U54" s="1606"/>
      <c r="V54" s="1606"/>
      <c r="W54" s="1606"/>
      <c r="X54" s="1517" t="s">
        <v>6416</v>
      </c>
      <c r="Y54" s="1517"/>
      <c r="Z54" s="1517"/>
      <c r="AA54" s="1517"/>
      <c r="AB54" s="1517"/>
      <c r="AC54" s="1517"/>
      <c r="AD54" s="1517"/>
      <c r="AE54" s="1517"/>
      <c r="AF54" s="1517"/>
    </row>
    <row r="55" spans="1:32" ht="129.75" customHeight="1" x14ac:dyDescent="0.25">
      <c r="A55" s="1134" t="s">
        <v>545</v>
      </c>
      <c r="B55" s="1134" t="s">
        <v>545</v>
      </c>
      <c r="C55" s="1134" t="s">
        <v>545</v>
      </c>
      <c r="D55" s="1134" t="s">
        <v>545</v>
      </c>
      <c r="E55" s="1133" t="s">
        <v>6417</v>
      </c>
      <c r="F55" s="1133" t="s">
        <v>546</v>
      </c>
      <c r="G55" s="1133" t="s">
        <v>546</v>
      </c>
      <c r="H55" s="1133" t="s">
        <v>546</v>
      </c>
      <c r="I55" s="1133" t="s">
        <v>546</v>
      </c>
      <c r="J55" s="1133" t="s">
        <v>546</v>
      </c>
      <c r="K55" s="1133" t="s">
        <v>546</v>
      </c>
      <c r="L55" s="1133" t="s">
        <v>546</v>
      </c>
      <c r="M55" s="1133" t="s">
        <v>546</v>
      </c>
      <c r="N55" s="1133" t="s">
        <v>546</v>
      </c>
      <c r="O55" s="1133" t="s">
        <v>546</v>
      </c>
      <c r="P55" s="1913">
        <v>0.6</v>
      </c>
      <c r="Q55" s="1913"/>
      <c r="R55" s="1913"/>
      <c r="S55" s="1913"/>
      <c r="T55" s="1606" t="s">
        <v>28</v>
      </c>
      <c r="U55" s="1606"/>
      <c r="V55" s="1606"/>
      <c r="W55" s="1606"/>
      <c r="X55" s="1517" t="s">
        <v>6418</v>
      </c>
      <c r="Y55" s="1517"/>
      <c r="Z55" s="1517"/>
      <c r="AA55" s="1517"/>
      <c r="AB55" s="1517"/>
      <c r="AC55" s="1517"/>
      <c r="AD55" s="1517"/>
      <c r="AE55" s="1517"/>
      <c r="AF55" s="1517"/>
    </row>
    <row r="56" spans="1:32" ht="30" customHeight="1" x14ac:dyDescent="0.25">
      <c r="A56" s="1135" t="s">
        <v>6385</v>
      </c>
      <c r="B56" s="1135"/>
      <c r="C56" s="1135"/>
      <c r="D56" s="1135"/>
      <c r="E56" s="1135" t="s">
        <v>6386</v>
      </c>
      <c r="F56" s="1135"/>
      <c r="G56" s="1135"/>
      <c r="H56" s="1135"/>
      <c r="I56" s="1135"/>
      <c r="J56" s="1135"/>
      <c r="K56" s="1135"/>
      <c r="L56" s="1135"/>
      <c r="M56" s="1135"/>
      <c r="N56" s="1135"/>
      <c r="O56" s="1135"/>
      <c r="P56" s="3009" t="s">
        <v>6380</v>
      </c>
      <c r="Q56" s="3009"/>
      <c r="R56" s="3009"/>
      <c r="S56" s="3009"/>
      <c r="T56" s="2496" t="s">
        <v>44</v>
      </c>
      <c r="U56" s="1606"/>
      <c r="V56" s="1606"/>
      <c r="W56" s="1606"/>
      <c r="X56" s="1715"/>
      <c r="Y56" s="1715"/>
      <c r="Z56" s="1715"/>
      <c r="AA56" s="1715"/>
      <c r="AB56" s="1715"/>
      <c r="AC56" s="1715"/>
      <c r="AD56" s="1715"/>
      <c r="AE56" s="1715"/>
      <c r="AF56" s="1715"/>
    </row>
    <row r="57" spans="1:32" ht="30" customHeight="1" x14ac:dyDescent="0.25">
      <c r="A57" s="1485" t="s">
        <v>6387</v>
      </c>
      <c r="B57" s="1486" t="s">
        <v>34</v>
      </c>
      <c r="C57" s="1486" t="s">
        <v>34</v>
      </c>
      <c r="D57" s="1487" t="s">
        <v>34</v>
      </c>
      <c r="E57" s="1135" t="s">
        <v>2217</v>
      </c>
      <c r="F57" s="1135" t="s">
        <v>219</v>
      </c>
      <c r="G57" s="1135" t="s">
        <v>219</v>
      </c>
      <c r="H57" s="1135" t="s">
        <v>219</v>
      </c>
      <c r="I57" s="1135" t="s">
        <v>219</v>
      </c>
      <c r="J57" s="1135" t="s">
        <v>219</v>
      </c>
      <c r="K57" s="1135" t="s">
        <v>219</v>
      </c>
      <c r="L57" s="1135" t="s">
        <v>219</v>
      </c>
      <c r="M57" s="1135" t="s">
        <v>219</v>
      </c>
      <c r="N57" s="1135" t="s">
        <v>219</v>
      </c>
      <c r="O57" s="1135" t="s">
        <v>219</v>
      </c>
      <c r="P57" s="1913">
        <f>'Master EUL'!X36</f>
        <v>16</v>
      </c>
      <c r="Q57" s="1913"/>
      <c r="R57" s="1913"/>
      <c r="S57" s="1913"/>
      <c r="T57" s="1606" t="s">
        <v>46</v>
      </c>
      <c r="U57" s="1606"/>
      <c r="V57" s="1606"/>
      <c r="W57" s="1606"/>
      <c r="X57" s="1715" t="s">
        <v>6377</v>
      </c>
      <c r="Y57" s="1715"/>
      <c r="Z57" s="1715"/>
      <c r="AA57" s="1715"/>
      <c r="AB57" s="1715"/>
      <c r="AC57" s="1715"/>
      <c r="AD57" s="1715"/>
      <c r="AE57" s="1715"/>
      <c r="AF57" s="1715"/>
    </row>
    <row r="58" spans="1:32" ht="77.25" customHeight="1" x14ac:dyDescent="0.25">
      <c r="A58" s="1601" t="s">
        <v>6419</v>
      </c>
      <c r="B58" s="1601"/>
      <c r="C58" s="1601"/>
      <c r="D58" s="1601"/>
      <c r="E58" s="1601"/>
      <c r="F58" s="1601"/>
      <c r="G58" s="1601"/>
      <c r="H58" s="1601"/>
      <c r="I58" s="1601"/>
      <c r="J58" s="1601"/>
      <c r="K58" s="1601"/>
      <c r="L58" s="1601"/>
      <c r="M58" s="1601"/>
      <c r="N58" s="1601"/>
      <c r="O58" s="1601"/>
      <c r="P58" s="1601"/>
      <c r="Q58" s="1601"/>
      <c r="R58" s="1601"/>
      <c r="S58" s="1601"/>
      <c r="T58" s="1601"/>
      <c r="U58" s="1601"/>
      <c r="V58" s="1601"/>
      <c r="W58" s="1601"/>
      <c r="X58" s="1601"/>
      <c r="Y58" s="1601"/>
      <c r="Z58" s="1601"/>
      <c r="AA58" s="1601"/>
      <c r="AB58" s="1601"/>
      <c r="AC58" s="1601"/>
      <c r="AD58" s="1601"/>
      <c r="AE58" s="1601"/>
      <c r="AF58" s="1601"/>
    </row>
    <row r="59" spans="1:32" ht="28.5" customHeight="1" x14ac:dyDescent="0.25">
      <c r="A59" s="1686" t="s">
        <v>6420</v>
      </c>
      <c r="B59" s="1686"/>
      <c r="C59" s="1686"/>
      <c r="D59" s="1686"/>
      <c r="E59" s="1686"/>
      <c r="F59" s="1686"/>
      <c r="G59" s="1686"/>
      <c r="H59" s="1686"/>
      <c r="I59" s="1686"/>
      <c r="J59" s="1686"/>
      <c r="K59" s="1686"/>
      <c r="L59" s="1686"/>
      <c r="M59" s="1686"/>
      <c r="N59" s="1686"/>
      <c r="O59" s="1686"/>
      <c r="P59" s="1686"/>
      <c r="Q59" s="1686"/>
      <c r="R59" s="1686"/>
      <c r="S59" s="1686"/>
      <c r="T59" s="1686"/>
      <c r="U59" s="1686"/>
      <c r="V59" s="1686"/>
      <c r="W59" s="1686"/>
      <c r="X59" s="1686"/>
      <c r="Y59" s="1686"/>
      <c r="Z59" s="1686"/>
      <c r="AA59" s="1686"/>
      <c r="AB59" s="1686"/>
      <c r="AC59" s="1686"/>
      <c r="AD59" s="1686"/>
      <c r="AE59" s="1686"/>
      <c r="AF59" s="1686"/>
    </row>
    <row r="60" spans="1:32" ht="114" customHeight="1" x14ac:dyDescent="0.25">
      <c r="A60" s="1686" t="s">
        <v>6421</v>
      </c>
      <c r="B60" s="1686"/>
      <c r="C60" s="1686"/>
      <c r="D60" s="1686"/>
      <c r="E60" s="1686"/>
      <c r="F60" s="1686"/>
      <c r="G60" s="1686"/>
      <c r="H60" s="1686"/>
      <c r="I60" s="1686"/>
      <c r="J60" s="1686"/>
      <c r="K60" s="1686"/>
      <c r="L60" s="1686"/>
      <c r="M60" s="1686"/>
      <c r="N60" s="1686"/>
      <c r="O60" s="1686"/>
      <c r="P60" s="1686"/>
      <c r="Q60" s="1686"/>
      <c r="R60" s="1686"/>
      <c r="S60" s="1686"/>
      <c r="T60" s="1686"/>
      <c r="U60" s="1686"/>
      <c r="V60" s="1686"/>
      <c r="W60" s="1686"/>
      <c r="X60" s="1686"/>
      <c r="Y60" s="1686"/>
      <c r="Z60" s="1686"/>
      <c r="AA60" s="1686"/>
      <c r="AB60" s="1686"/>
      <c r="AC60" s="1686"/>
      <c r="AD60" s="1686"/>
      <c r="AE60" s="1686"/>
      <c r="AF60" s="1686"/>
    </row>
    <row r="61" spans="1:32" x14ac:dyDescent="0.25">
      <c r="A61" s="407"/>
      <c r="B61" s="407"/>
      <c r="C61" s="407"/>
      <c r="D61" s="407"/>
      <c r="E61" s="407"/>
      <c r="F61" s="407"/>
      <c r="G61" s="407"/>
      <c r="H61" s="407"/>
      <c r="I61" s="407"/>
      <c r="J61" s="407"/>
      <c r="K61" s="407"/>
      <c r="L61" s="407"/>
      <c r="M61" s="407"/>
      <c r="N61" s="407"/>
      <c r="O61" s="407"/>
      <c r="P61" s="407"/>
      <c r="Q61" s="407"/>
      <c r="R61" s="407"/>
      <c r="S61" s="407"/>
      <c r="T61" s="407"/>
      <c r="U61" s="407"/>
      <c r="V61" s="407"/>
      <c r="W61" s="407"/>
      <c r="X61" s="407"/>
      <c r="Y61" s="407"/>
      <c r="Z61" s="407"/>
      <c r="AA61" s="407"/>
      <c r="AB61" s="407"/>
      <c r="AC61" s="407"/>
      <c r="AD61" s="407"/>
      <c r="AE61" s="407"/>
      <c r="AF61" s="407"/>
    </row>
    <row r="62" spans="1:32" x14ac:dyDescent="0.25">
      <c r="M62" s="466"/>
      <c r="N62" s="466"/>
      <c r="O62" s="466"/>
      <c r="P62" s="466"/>
      <c r="Q62" s="466"/>
      <c r="R62" s="466"/>
      <c r="S62" s="466"/>
      <c r="T62" s="466"/>
      <c r="U62" s="466"/>
      <c r="V62" s="466"/>
      <c r="W62" s="466"/>
      <c r="X62" s="466"/>
    </row>
    <row r="63" spans="1:32" x14ac:dyDescent="0.25">
      <c r="A63" s="1472" t="s">
        <v>21</v>
      </c>
      <c r="B63" s="1472"/>
      <c r="C63" s="1472"/>
      <c r="D63" s="1472"/>
      <c r="E63" s="1472"/>
      <c r="F63" s="1472"/>
      <c r="G63" s="1472"/>
      <c r="H63" s="1472"/>
      <c r="I63" s="1472"/>
      <c r="J63" s="1472"/>
      <c r="K63" s="1472"/>
      <c r="L63" s="1472"/>
      <c r="M63" s="1472"/>
      <c r="N63" s="1472"/>
      <c r="O63" s="1472"/>
      <c r="P63" s="1472"/>
      <c r="Q63" s="1472"/>
      <c r="R63" s="1472"/>
      <c r="S63" s="1472"/>
      <c r="T63" s="1472"/>
      <c r="U63" s="1472"/>
      <c r="V63" s="1472"/>
      <c r="W63" s="1472"/>
      <c r="X63" s="1472"/>
      <c r="Y63" s="1472"/>
      <c r="Z63" s="1472"/>
      <c r="AA63" s="1472"/>
      <c r="AB63" s="1472"/>
      <c r="AC63" s="1472"/>
      <c r="AD63" s="1472"/>
      <c r="AE63" s="1472"/>
      <c r="AF63" s="1472"/>
    </row>
    <row r="64" spans="1:32" ht="15.75" thickBot="1" x14ac:dyDescent="0.3"/>
    <row r="65" spans="1:32" ht="30" customHeight="1" x14ac:dyDescent="0.25">
      <c r="A65" s="1583" t="s">
        <v>22</v>
      </c>
      <c r="B65" s="1584"/>
      <c r="C65" s="1584"/>
      <c r="D65" s="1584"/>
      <c r="E65" s="1584"/>
      <c r="F65" s="1584"/>
      <c r="G65" s="1584"/>
      <c r="H65" s="1584"/>
      <c r="I65" s="1609" t="s">
        <v>2922</v>
      </c>
      <c r="J65" s="1584"/>
      <c r="K65" s="1584"/>
      <c r="L65" s="1584"/>
      <c r="M65" s="1584"/>
      <c r="N65" s="1584"/>
      <c r="O65" s="1584"/>
      <c r="P65" s="1584"/>
      <c r="Q65" s="1609" t="s">
        <v>2918</v>
      </c>
      <c r="R65" s="1584"/>
      <c r="S65" s="1584"/>
      <c r="T65" s="1584"/>
      <c r="U65" s="1584"/>
      <c r="V65" s="1584"/>
      <c r="W65" s="1584"/>
      <c r="X65" s="1584"/>
      <c r="Y65" s="1609" t="s">
        <v>1786</v>
      </c>
      <c r="Z65" s="1584"/>
      <c r="AA65" s="1584"/>
      <c r="AB65" s="1584"/>
      <c r="AC65" s="1584"/>
      <c r="AD65" s="1584"/>
      <c r="AE65" s="1584"/>
      <c r="AF65" s="1585"/>
    </row>
    <row r="66" spans="1:32" ht="30" customHeight="1" thickBot="1" x14ac:dyDescent="0.3">
      <c r="A66" s="1738" t="s">
        <v>6422</v>
      </c>
      <c r="B66" s="1739"/>
      <c r="C66" s="1739"/>
      <c r="D66" s="1739"/>
      <c r="E66" s="1739"/>
      <c r="F66" s="1739"/>
      <c r="G66" s="1739"/>
      <c r="H66" s="1739"/>
      <c r="I66" s="3215">
        <f>ROUND(Q66*$P$55/$P$54,3)</f>
        <v>3.0000000000000001E-3</v>
      </c>
      <c r="J66" s="3215"/>
      <c r="K66" s="3215"/>
      <c r="L66" s="3215"/>
      <c r="M66" s="3215"/>
      <c r="N66" s="3215"/>
      <c r="O66" s="3215"/>
      <c r="P66" s="3215"/>
      <c r="Q66" s="3068">
        <f>ROUND((($P$49*$P$51/$P$50)-$P$49),2)</f>
        <v>14.84</v>
      </c>
      <c r="R66" s="3069"/>
      <c r="S66" s="3069"/>
      <c r="T66" s="3069"/>
      <c r="U66" s="3069"/>
      <c r="V66" s="3069"/>
      <c r="W66" s="3069"/>
      <c r="X66" s="3070"/>
      <c r="Y66" s="3071">
        <f>ROUND(Q66*$P$57,2)</f>
        <v>237.44</v>
      </c>
      <c r="Z66" s="3071"/>
      <c r="AA66" s="3071"/>
      <c r="AB66" s="3071"/>
      <c r="AC66" s="3071"/>
      <c r="AD66" s="3071"/>
      <c r="AE66" s="3071"/>
      <c r="AF66" s="3072"/>
    </row>
    <row r="68" spans="1:32" x14ac:dyDescent="0.25">
      <c r="B68" s="416"/>
    </row>
    <row r="69" spans="1:32" x14ac:dyDescent="0.25">
      <c r="A69" s="1472" t="s">
        <v>1753</v>
      </c>
      <c r="B69" s="1472"/>
      <c r="C69" s="1472"/>
      <c r="D69" s="1472"/>
      <c r="E69" s="1472"/>
      <c r="F69" s="1472"/>
      <c r="G69" s="1472"/>
      <c r="H69" s="1472"/>
      <c r="I69" s="1472"/>
      <c r="J69" s="1472"/>
      <c r="K69" s="1472"/>
      <c r="L69" s="1472"/>
      <c r="M69" s="1472"/>
      <c r="N69" s="1472"/>
      <c r="O69" s="1472"/>
      <c r="P69" s="1472"/>
      <c r="Q69" s="1472"/>
      <c r="R69" s="1472"/>
      <c r="S69" s="1472"/>
      <c r="T69" s="1472"/>
      <c r="U69" s="1472"/>
      <c r="V69" s="1472"/>
      <c r="W69" s="1472"/>
      <c r="X69" s="1472"/>
      <c r="Y69" s="1472"/>
      <c r="Z69" s="1472"/>
      <c r="AA69" s="1472"/>
      <c r="AB69" s="1472"/>
      <c r="AC69" s="1472"/>
      <c r="AD69" s="1472"/>
      <c r="AE69" s="1472"/>
      <c r="AF69" s="1472"/>
    </row>
    <row r="71" spans="1:32" ht="30" customHeight="1" x14ac:dyDescent="0.25">
      <c r="A71" s="515" t="s">
        <v>1013</v>
      </c>
      <c r="B71" s="1173" t="s">
        <v>6423</v>
      </c>
      <c r="C71" s="1173"/>
      <c r="D71" s="1173"/>
      <c r="E71" s="1173"/>
      <c r="F71" s="1173"/>
      <c r="G71" s="1173"/>
      <c r="H71" s="1173"/>
      <c r="I71" s="1173"/>
      <c r="J71" s="1173"/>
      <c r="K71" s="1173"/>
      <c r="L71" s="1173"/>
      <c r="M71" s="1173"/>
      <c r="N71" s="1173"/>
      <c r="O71" s="1173"/>
      <c r="P71" s="1173"/>
      <c r="Q71" s="1173"/>
      <c r="R71" s="1173"/>
      <c r="S71" s="1173"/>
      <c r="T71" s="1173"/>
      <c r="U71" s="1173"/>
      <c r="V71" s="1173"/>
      <c r="W71" s="1173"/>
      <c r="X71" s="1173"/>
      <c r="Y71" s="1173"/>
      <c r="Z71" s="1173"/>
      <c r="AA71" s="1173"/>
      <c r="AB71" s="1173"/>
      <c r="AC71" s="1173"/>
      <c r="AD71" s="1173"/>
      <c r="AE71" s="1173"/>
      <c r="AF71" s="1173"/>
    </row>
    <row r="72" spans="1:32" x14ac:dyDescent="0.25">
      <c r="A72" s="515" t="s">
        <v>1013</v>
      </c>
      <c r="B72" s="1173" t="s">
        <v>6424</v>
      </c>
      <c r="C72" s="1173"/>
      <c r="D72" s="1173"/>
      <c r="E72" s="1173"/>
      <c r="F72" s="1173"/>
      <c r="G72" s="1173"/>
      <c r="H72" s="1173"/>
      <c r="I72" s="1173"/>
      <c r="J72" s="1173"/>
      <c r="K72" s="1173"/>
      <c r="L72" s="1173"/>
      <c r="M72" s="1173"/>
      <c r="N72" s="1173"/>
      <c r="O72" s="1173"/>
      <c r="P72" s="1173"/>
      <c r="Q72" s="1173"/>
      <c r="R72" s="1173"/>
      <c r="S72" s="1173"/>
      <c r="T72" s="1173"/>
      <c r="U72" s="1173"/>
      <c r="V72" s="1173"/>
      <c r="W72" s="1173"/>
      <c r="X72" s="1173"/>
      <c r="Y72" s="1173"/>
      <c r="Z72" s="1173"/>
      <c r="AA72" s="1173"/>
      <c r="AB72" s="1173"/>
      <c r="AC72" s="1173"/>
      <c r="AD72" s="1173"/>
      <c r="AE72" s="1173"/>
      <c r="AF72" s="1173"/>
    </row>
    <row r="73" spans="1:32" ht="30" customHeight="1" x14ac:dyDescent="0.25">
      <c r="A73" s="515" t="s">
        <v>1013</v>
      </c>
      <c r="B73" s="1173" t="s">
        <v>6425</v>
      </c>
      <c r="C73" s="1173"/>
      <c r="D73" s="1173"/>
      <c r="E73" s="1173"/>
      <c r="F73" s="1173"/>
      <c r="G73" s="1173"/>
      <c r="H73" s="1173"/>
      <c r="I73" s="1173"/>
      <c r="J73" s="1173"/>
      <c r="K73" s="1173"/>
      <c r="L73" s="1173"/>
      <c r="M73" s="1173"/>
      <c r="N73" s="1173"/>
      <c r="O73" s="1173"/>
      <c r="P73" s="1173"/>
      <c r="Q73" s="1173"/>
      <c r="R73" s="1173"/>
      <c r="S73" s="1173"/>
      <c r="T73" s="1173"/>
      <c r="U73" s="1173"/>
      <c r="V73" s="1173"/>
      <c r="W73" s="1173"/>
      <c r="X73" s="1173"/>
      <c r="Y73" s="1173"/>
      <c r="Z73" s="1173"/>
      <c r="AA73" s="1173"/>
      <c r="AB73" s="1173"/>
      <c r="AC73" s="1173"/>
      <c r="AD73" s="1173"/>
      <c r="AE73" s="1173"/>
      <c r="AF73" s="1173"/>
    </row>
    <row r="74" spans="1:32" ht="63.75" customHeight="1" x14ac:dyDescent="0.25">
      <c r="A74" s="515" t="s">
        <v>1013</v>
      </c>
      <c r="B74" s="1173" t="s">
        <v>6426</v>
      </c>
      <c r="C74" s="1173"/>
      <c r="D74" s="1173"/>
      <c r="E74" s="1173"/>
      <c r="F74" s="1173"/>
      <c r="G74" s="1173"/>
      <c r="H74" s="1173"/>
      <c r="I74" s="1173"/>
      <c r="J74" s="1173"/>
      <c r="K74" s="1173"/>
      <c r="L74" s="1173"/>
      <c r="M74" s="1173"/>
      <c r="N74" s="1173"/>
      <c r="O74" s="1173"/>
      <c r="P74" s="1173"/>
      <c r="Q74" s="1173"/>
      <c r="R74" s="1173"/>
      <c r="S74" s="1173"/>
      <c r="T74" s="1173"/>
      <c r="U74" s="1173"/>
      <c r="V74" s="1173"/>
      <c r="W74" s="1173"/>
      <c r="X74" s="1173"/>
      <c r="Y74" s="1173"/>
      <c r="Z74" s="1173"/>
      <c r="AA74" s="1173"/>
      <c r="AB74" s="1173"/>
      <c r="AC74" s="1173"/>
      <c r="AD74" s="1173"/>
      <c r="AE74" s="1173"/>
      <c r="AF74" s="1173"/>
    </row>
  </sheetData>
  <sheetProtection algorithmName="SHA-512" hashValue="bqjLs27anqL49Xaxn6+8GX3IOV0XXUS6Ym6jGUhXgkNcdx3o6ueNnLkzuyztTgx/BPLs3pFCw7kIiKLSAL8ulQ==" saltValue="9vrEbOGKstFQwYkRcFibPw==" spinCount="100000" sheet="1" objects="1" scenarios="1"/>
  <mergeCells count="83">
    <mergeCell ref="B72:AF72"/>
    <mergeCell ref="B73:AF73"/>
    <mergeCell ref="B74:AF74"/>
    <mergeCell ref="A66:H66"/>
    <mergeCell ref="I66:P66"/>
    <mergeCell ref="Q66:X66"/>
    <mergeCell ref="Y66:AF66"/>
    <mergeCell ref="A69:AF69"/>
    <mergeCell ref="B71:AF71"/>
    <mergeCell ref="A58:AF58"/>
    <mergeCell ref="A59:AF59"/>
    <mergeCell ref="A60:AF60"/>
    <mergeCell ref="A63:AF63"/>
    <mergeCell ref="A65:H65"/>
    <mergeCell ref="I65:P65"/>
    <mergeCell ref="Q65:X65"/>
    <mergeCell ref="Y65:AF65"/>
    <mergeCell ref="A56:D56"/>
    <mergeCell ref="E56:O56"/>
    <mergeCell ref="P56:S56"/>
    <mergeCell ref="T56:W56"/>
    <mergeCell ref="X56:AF56"/>
    <mergeCell ref="A57:D57"/>
    <mergeCell ref="E57:O57"/>
    <mergeCell ref="P57:S57"/>
    <mergeCell ref="T57:W57"/>
    <mergeCell ref="X57:AF57"/>
    <mergeCell ref="A54:D54"/>
    <mergeCell ref="E54:O54"/>
    <mergeCell ref="P54:S54"/>
    <mergeCell ref="T54:W54"/>
    <mergeCell ref="X54:AF54"/>
    <mergeCell ref="A55:D55"/>
    <mergeCell ref="E55:O55"/>
    <mergeCell ref="P55:S55"/>
    <mergeCell ref="T55:W55"/>
    <mergeCell ref="X55:AF55"/>
    <mergeCell ref="A52:D52"/>
    <mergeCell ref="E52:O52"/>
    <mergeCell ref="P52:S52"/>
    <mergeCell ref="T52:W52"/>
    <mergeCell ref="X52:AF52"/>
    <mergeCell ref="A53:D53"/>
    <mergeCell ref="E53:O53"/>
    <mergeCell ref="P53:S53"/>
    <mergeCell ref="T53:W53"/>
    <mergeCell ref="X53:AF53"/>
    <mergeCell ref="A50:D50"/>
    <mergeCell ref="E50:O50"/>
    <mergeCell ref="P50:S50"/>
    <mergeCell ref="T50:W50"/>
    <mergeCell ref="X50:AF50"/>
    <mergeCell ref="A51:D51"/>
    <mergeCell ref="E51:O51"/>
    <mergeCell ref="P51:S51"/>
    <mergeCell ref="T51:W51"/>
    <mergeCell ref="X51:AF51"/>
    <mergeCell ref="A48:D48"/>
    <mergeCell ref="E48:O48"/>
    <mergeCell ref="P48:S48"/>
    <mergeCell ref="T48:W48"/>
    <mergeCell ref="X48:AF48"/>
    <mergeCell ref="A49:D49"/>
    <mergeCell ref="E49:O49"/>
    <mergeCell ref="P49:S49"/>
    <mergeCell ref="T49:W49"/>
    <mergeCell ref="X49:AF49"/>
    <mergeCell ref="B19:AF19"/>
    <mergeCell ref="B22:AF22"/>
    <mergeCell ref="A25:AF25"/>
    <mergeCell ref="AF38:AF39"/>
    <mergeCell ref="A46:AF46"/>
    <mergeCell ref="A47:D47"/>
    <mergeCell ref="E47:O47"/>
    <mergeCell ref="P47:S47"/>
    <mergeCell ref="T47:W47"/>
    <mergeCell ref="X47:AF47"/>
    <mergeCell ref="B13:AF13"/>
    <mergeCell ref="A1:AF1"/>
    <mergeCell ref="A3:AF3"/>
    <mergeCell ref="B5:AF5"/>
    <mergeCell ref="A7:AF7"/>
    <mergeCell ref="B10:AF10"/>
  </mergeCells>
  <hyperlinks>
    <hyperlink ref="A2" location="TOC!A1" display="Return to TOC" xr:uid="{0326DB6B-8CCC-43F9-9499-8E7172BF78C9}"/>
  </hyperlinks>
  <pageMargins left="0.7" right="0.7" top="0.75" bottom="0.75" header="0.3" footer="0.3"/>
  <ignoredErrors>
    <ignoredError sqref="AF29:AF43" numberStoredAsText="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AF157"/>
  <sheetViews>
    <sheetView showGridLines="0" zoomScale="75" zoomScaleNormal="75" workbookViewId="0"/>
  </sheetViews>
  <sheetFormatPr defaultColWidth="9.140625" defaultRowHeight="15" x14ac:dyDescent="0.25"/>
  <cols>
    <col min="1" max="1" width="38.85546875" style="638" customWidth="1"/>
    <col min="2" max="2" width="32.140625" style="638" bestFit="1" customWidth="1"/>
    <col min="3" max="3" width="63.28515625" style="638" bestFit="1" customWidth="1"/>
    <col min="4" max="4" width="49.5703125" style="638" customWidth="1"/>
    <col min="5" max="5" width="43.7109375" style="638" bestFit="1" customWidth="1"/>
    <col min="6" max="6" width="25.42578125" style="638" customWidth="1"/>
    <col min="7" max="7" width="48.28515625" style="647" customWidth="1"/>
    <col min="9" max="9" width="9.140625" style="227"/>
  </cols>
  <sheetData>
    <row r="1" spans="1:32" ht="18.75" x14ac:dyDescent="0.25">
      <c r="A1" s="699" t="s">
        <v>4175</v>
      </c>
      <c r="B1" s="700"/>
      <c r="C1" s="700"/>
      <c r="D1" s="700"/>
      <c r="E1" s="700"/>
      <c r="F1" s="700"/>
      <c r="G1" s="954"/>
    </row>
    <row r="2" spans="1:32" x14ac:dyDescent="0.25">
      <c r="A2" s="376" t="s">
        <v>1702</v>
      </c>
    </row>
    <row r="3" spans="1:32" x14ac:dyDescent="0.25">
      <c r="A3" s="779" t="s">
        <v>1630</v>
      </c>
      <c r="B3" s="780"/>
      <c r="C3" s="780"/>
      <c r="D3" s="780"/>
      <c r="E3" s="780"/>
      <c r="F3" s="780"/>
      <c r="G3" s="781"/>
      <c r="H3" s="10"/>
      <c r="I3" s="338"/>
      <c r="J3" s="10"/>
      <c r="K3" s="10"/>
      <c r="L3" s="10"/>
      <c r="M3" s="10"/>
      <c r="N3" s="10"/>
      <c r="O3" s="10"/>
      <c r="P3" s="10"/>
      <c r="Q3" s="10"/>
      <c r="R3" s="10"/>
      <c r="S3" s="10"/>
      <c r="T3" s="10"/>
      <c r="U3" s="10"/>
      <c r="V3" s="10"/>
      <c r="W3" s="10"/>
      <c r="X3" s="10"/>
      <c r="Y3" s="10"/>
      <c r="Z3" s="10"/>
      <c r="AA3" s="10"/>
      <c r="AB3" s="10"/>
      <c r="AC3" s="10"/>
      <c r="AD3" s="10"/>
      <c r="AE3" s="10"/>
      <c r="AF3" s="10"/>
    </row>
    <row r="4" spans="1:32" s="227" customFormat="1" x14ac:dyDescent="0.25">
      <c r="A4" s="638"/>
      <c r="B4" s="638"/>
      <c r="C4" s="638"/>
      <c r="D4" s="638"/>
      <c r="E4" s="638"/>
      <c r="F4" s="638"/>
      <c r="G4" s="647"/>
    </row>
    <row r="5" spans="1:32" s="227" customFormat="1" x14ac:dyDescent="0.25">
      <c r="A5" s="638" t="s">
        <v>6535</v>
      </c>
      <c r="B5" s="638"/>
      <c r="C5" s="638"/>
      <c r="D5" s="638"/>
      <c r="E5" s="638"/>
      <c r="F5" s="638"/>
      <c r="G5" s="647"/>
    </row>
    <row r="6" spans="1:32" s="227" customFormat="1" x14ac:dyDescent="0.25">
      <c r="A6" s="638"/>
      <c r="B6" s="638"/>
      <c r="C6" s="638"/>
      <c r="D6" s="638"/>
      <c r="E6" s="638"/>
      <c r="F6" s="638"/>
      <c r="G6" s="647"/>
    </row>
    <row r="7" spans="1:32" x14ac:dyDescent="0.25">
      <c r="A7" s="782" t="s">
        <v>328</v>
      </c>
      <c r="B7" s="783" t="s">
        <v>4176</v>
      </c>
      <c r="C7" s="783" t="s">
        <v>4177</v>
      </c>
      <c r="D7" s="783" t="s">
        <v>6536</v>
      </c>
      <c r="E7" s="783" t="s">
        <v>5093</v>
      </c>
      <c r="F7" s="783" t="s">
        <v>4178</v>
      </c>
      <c r="G7" s="784" t="s">
        <v>4179</v>
      </c>
    </row>
    <row r="8" spans="1:32" x14ac:dyDescent="0.25">
      <c r="A8" s="704" t="s">
        <v>4180</v>
      </c>
      <c r="B8" s="793" t="s">
        <v>3538</v>
      </c>
      <c r="C8" s="706" t="s">
        <v>5094</v>
      </c>
      <c r="D8" s="791" t="s">
        <v>4181</v>
      </c>
      <c r="E8" s="791" t="s">
        <v>6537</v>
      </c>
      <c r="F8" s="791" t="s">
        <v>6538</v>
      </c>
      <c r="G8" s="792" t="s">
        <v>6562</v>
      </c>
    </row>
    <row r="9" spans="1:32" x14ac:dyDescent="0.25">
      <c r="A9" s="705"/>
      <c r="B9" s="370" t="s">
        <v>1413</v>
      </c>
      <c r="C9" s="706" t="s">
        <v>5095</v>
      </c>
      <c r="D9" s="791" t="s">
        <v>4182</v>
      </c>
      <c r="E9" s="791" t="s">
        <v>6537</v>
      </c>
      <c r="F9" s="791" t="s">
        <v>6538</v>
      </c>
      <c r="G9" s="792" t="s">
        <v>6562</v>
      </c>
    </row>
    <row r="10" spans="1:32" x14ac:dyDescent="0.25">
      <c r="A10" s="705"/>
      <c r="B10" s="370" t="s">
        <v>1602</v>
      </c>
      <c r="C10" s="706" t="s">
        <v>4183</v>
      </c>
      <c r="D10" s="791" t="s">
        <v>4184</v>
      </c>
      <c r="E10" s="791" t="s">
        <v>6537</v>
      </c>
      <c r="F10" s="791" t="s">
        <v>6538</v>
      </c>
      <c r="G10" s="792" t="s">
        <v>6562</v>
      </c>
    </row>
    <row r="11" spans="1:32" x14ac:dyDescent="0.25">
      <c r="A11" s="705"/>
      <c r="B11" s="370" t="s">
        <v>1604</v>
      </c>
      <c r="C11" s="706" t="s">
        <v>4185</v>
      </c>
      <c r="D11" s="791" t="s">
        <v>4186</v>
      </c>
      <c r="E11" s="791" t="s">
        <v>6537</v>
      </c>
      <c r="F11" s="791" t="s">
        <v>6538</v>
      </c>
      <c r="G11" s="792" t="s">
        <v>6562</v>
      </c>
    </row>
    <row r="12" spans="1:32" x14ac:dyDescent="0.25">
      <c r="A12" s="705"/>
      <c r="B12" s="370" t="s">
        <v>1605</v>
      </c>
      <c r="C12" s="706" t="s">
        <v>4187</v>
      </c>
      <c r="D12" s="791" t="s">
        <v>4188</v>
      </c>
      <c r="E12" s="791" t="s">
        <v>6537</v>
      </c>
      <c r="F12" s="791" t="s">
        <v>6538</v>
      </c>
      <c r="G12" s="792" t="s">
        <v>6562</v>
      </c>
    </row>
    <row r="13" spans="1:32" x14ac:dyDescent="0.25">
      <c r="A13" s="705"/>
      <c r="B13" s="370" t="s">
        <v>5044</v>
      </c>
      <c r="C13" s="706" t="s">
        <v>4189</v>
      </c>
      <c r="D13" s="791" t="s">
        <v>4190</v>
      </c>
      <c r="E13" s="791" t="s">
        <v>6537</v>
      </c>
      <c r="F13" s="791" t="s">
        <v>6538</v>
      </c>
      <c r="G13" s="792" t="s">
        <v>6562</v>
      </c>
    </row>
    <row r="14" spans="1:32" x14ac:dyDescent="0.25">
      <c r="A14" s="705"/>
      <c r="B14" s="370"/>
      <c r="C14" s="706" t="s">
        <v>4191</v>
      </c>
      <c r="D14" s="791" t="s">
        <v>4192</v>
      </c>
      <c r="E14" s="791" t="s">
        <v>6537</v>
      </c>
      <c r="F14" s="791" t="s">
        <v>6538</v>
      </c>
      <c r="G14" s="792" t="s">
        <v>6562</v>
      </c>
    </row>
    <row r="15" spans="1:32" x14ac:dyDescent="0.25">
      <c r="A15" s="705"/>
      <c r="B15" s="370"/>
      <c r="C15" s="706" t="s">
        <v>4193</v>
      </c>
      <c r="D15" s="791" t="s">
        <v>4194</v>
      </c>
      <c r="E15" s="791" t="s">
        <v>6537</v>
      </c>
      <c r="F15" s="791" t="s">
        <v>6538</v>
      </c>
      <c r="G15" s="792" t="s">
        <v>6562</v>
      </c>
    </row>
    <row r="16" spans="1:32" x14ac:dyDescent="0.25">
      <c r="A16" s="705"/>
      <c r="B16" s="370"/>
      <c r="C16" s="706" t="s">
        <v>4195</v>
      </c>
      <c r="D16" s="791" t="s">
        <v>4196</v>
      </c>
      <c r="E16" s="791" t="s">
        <v>6537</v>
      </c>
      <c r="F16" s="791" t="s">
        <v>6538</v>
      </c>
      <c r="G16" s="792" t="s">
        <v>6562</v>
      </c>
    </row>
    <row r="17" spans="1:7" x14ac:dyDescent="0.25">
      <c r="A17" s="705"/>
      <c r="B17" s="370"/>
      <c r="C17" s="706" t="s">
        <v>4197</v>
      </c>
      <c r="D17" s="791" t="s">
        <v>4198</v>
      </c>
      <c r="E17" s="791" t="s">
        <v>6537</v>
      </c>
      <c r="F17" s="791" t="s">
        <v>6538</v>
      </c>
      <c r="G17" s="792" t="s">
        <v>6562</v>
      </c>
    </row>
    <row r="18" spans="1:7" x14ac:dyDescent="0.25">
      <c r="A18" s="705"/>
      <c r="B18" s="370"/>
      <c r="C18" s="706" t="s">
        <v>4199</v>
      </c>
      <c r="D18" s="791" t="s">
        <v>4200</v>
      </c>
      <c r="E18" s="791" t="s">
        <v>6537</v>
      </c>
      <c r="F18" s="791" t="s">
        <v>6538</v>
      </c>
      <c r="G18" s="792" t="s">
        <v>6562</v>
      </c>
    </row>
    <row r="19" spans="1:7" x14ac:dyDescent="0.25">
      <c r="A19" s="711"/>
      <c r="B19" s="795"/>
      <c r="C19" s="706" t="s">
        <v>4201</v>
      </c>
      <c r="D19" s="791" t="s">
        <v>4202</v>
      </c>
      <c r="E19" s="791" t="s">
        <v>6537</v>
      </c>
      <c r="F19" s="791" t="s">
        <v>6538</v>
      </c>
      <c r="G19" s="792" t="s">
        <v>6562</v>
      </c>
    </row>
    <row r="20" spans="1:7" x14ac:dyDescent="0.25">
      <c r="A20" s="709" t="s">
        <v>4203</v>
      </c>
      <c r="B20" s="800" t="s">
        <v>5623</v>
      </c>
      <c r="C20" s="786" t="s">
        <v>4204</v>
      </c>
      <c r="D20" s="787" t="s">
        <v>5624</v>
      </c>
      <c r="E20" s="787" t="s">
        <v>6539</v>
      </c>
      <c r="F20" s="787" t="s">
        <v>6540</v>
      </c>
      <c r="G20" s="788" t="s">
        <v>6563</v>
      </c>
    </row>
    <row r="21" spans="1:7" x14ac:dyDescent="0.25">
      <c r="A21" s="703"/>
      <c r="B21" s="814" t="s">
        <v>1304</v>
      </c>
      <c r="C21" s="786" t="s">
        <v>4205</v>
      </c>
      <c r="D21" s="787" t="s">
        <v>5624</v>
      </c>
      <c r="E21" s="787" t="s">
        <v>6539</v>
      </c>
      <c r="F21" s="787" t="s">
        <v>6540</v>
      </c>
      <c r="G21" s="788" t="s">
        <v>6563</v>
      </c>
    </row>
    <row r="22" spans="1:7" x14ac:dyDescent="0.25">
      <c r="A22" s="703"/>
      <c r="B22" s="814" t="s">
        <v>3539</v>
      </c>
      <c r="C22" s="786" t="s">
        <v>4206</v>
      </c>
      <c r="D22" s="787" t="s">
        <v>5624</v>
      </c>
      <c r="E22" s="787" t="s">
        <v>6539</v>
      </c>
      <c r="F22" s="787" t="s">
        <v>6540</v>
      </c>
      <c r="G22" s="788" t="s">
        <v>6563</v>
      </c>
    </row>
    <row r="23" spans="1:7" x14ac:dyDescent="0.25">
      <c r="A23" s="703"/>
      <c r="B23" s="814" t="s">
        <v>1413</v>
      </c>
      <c r="C23" s="709" t="s">
        <v>4207</v>
      </c>
      <c r="D23" s="785" t="s">
        <v>5624</v>
      </c>
      <c r="E23" s="785" t="s">
        <v>6539</v>
      </c>
      <c r="F23" s="785" t="s">
        <v>6540</v>
      </c>
      <c r="G23" s="820" t="s">
        <v>6563</v>
      </c>
    </row>
    <row r="24" spans="1:7" x14ac:dyDescent="0.25">
      <c r="A24" s="710"/>
      <c r="B24" s="816" t="s">
        <v>1384</v>
      </c>
      <c r="C24" s="710"/>
      <c r="D24" s="790"/>
      <c r="E24" s="790"/>
      <c r="F24" s="790"/>
      <c r="G24" s="808"/>
    </row>
    <row r="25" spans="1:7" x14ac:dyDescent="0.25">
      <c r="A25" s="704" t="s">
        <v>4203</v>
      </c>
      <c r="B25" s="701" t="s">
        <v>5625</v>
      </c>
      <c r="C25" s="706" t="s">
        <v>4204</v>
      </c>
      <c r="D25" s="791" t="s">
        <v>5831</v>
      </c>
      <c r="E25" s="791" t="s">
        <v>6539</v>
      </c>
      <c r="F25" s="791" t="s">
        <v>6540</v>
      </c>
      <c r="G25" s="792" t="s">
        <v>6563</v>
      </c>
    </row>
    <row r="26" spans="1:7" x14ac:dyDescent="0.25">
      <c r="A26" s="705" t="s">
        <v>5626</v>
      </c>
      <c r="B26" s="702"/>
      <c r="C26" s="706" t="s">
        <v>4205</v>
      </c>
      <c r="D26" s="791" t="s">
        <v>5831</v>
      </c>
      <c r="E26" s="791" t="s">
        <v>6539</v>
      </c>
      <c r="F26" s="791" t="s">
        <v>6540</v>
      </c>
      <c r="G26" s="792" t="s">
        <v>6563</v>
      </c>
    </row>
    <row r="27" spans="1:7" x14ac:dyDescent="0.25">
      <c r="A27" s="705"/>
      <c r="B27" s="702"/>
      <c r="C27" s="706" t="s">
        <v>4206</v>
      </c>
      <c r="D27" s="791" t="s">
        <v>5831</v>
      </c>
      <c r="E27" s="791" t="s">
        <v>6539</v>
      </c>
      <c r="F27" s="791" t="s">
        <v>6540</v>
      </c>
      <c r="G27" s="792" t="s">
        <v>6563</v>
      </c>
    </row>
    <row r="28" spans="1:7" x14ac:dyDescent="0.25">
      <c r="A28" s="711"/>
      <c r="B28" s="708"/>
      <c r="C28" s="704" t="s">
        <v>4207</v>
      </c>
      <c r="D28" s="791" t="s">
        <v>5831</v>
      </c>
      <c r="E28" s="791" t="s">
        <v>6539</v>
      </c>
      <c r="F28" s="791" t="s">
        <v>6540</v>
      </c>
      <c r="G28" s="792" t="s">
        <v>6563</v>
      </c>
    </row>
    <row r="29" spans="1:7" x14ac:dyDescent="0.25">
      <c r="A29" s="786" t="s">
        <v>4654</v>
      </c>
      <c r="B29" s="707" t="s">
        <v>5029</v>
      </c>
      <c r="C29" s="786" t="s">
        <v>5045</v>
      </c>
      <c r="D29" s="787" t="s">
        <v>5046</v>
      </c>
      <c r="E29" s="787" t="s">
        <v>6541</v>
      </c>
      <c r="F29" s="787" t="s">
        <v>6542</v>
      </c>
      <c r="G29" s="788" t="s">
        <v>6563</v>
      </c>
    </row>
    <row r="30" spans="1:7" x14ac:dyDescent="0.25">
      <c r="A30" s="705" t="s">
        <v>1966</v>
      </c>
      <c r="B30" s="702" t="s">
        <v>1413</v>
      </c>
      <c r="C30" s="796" t="s">
        <v>4208</v>
      </c>
      <c r="D30" s="797" t="s">
        <v>4209</v>
      </c>
      <c r="E30" s="370"/>
      <c r="F30" s="370"/>
      <c r="G30" s="798" t="s">
        <v>4210</v>
      </c>
    </row>
    <row r="31" spans="1:7" x14ac:dyDescent="0.25">
      <c r="A31" s="799" t="s">
        <v>245</v>
      </c>
      <c r="B31" s="800" t="s">
        <v>1288</v>
      </c>
      <c r="C31" s="786" t="s">
        <v>4317</v>
      </c>
      <c r="D31" s="801" t="s">
        <v>5047</v>
      </c>
      <c r="E31" s="801"/>
      <c r="F31" s="802"/>
      <c r="G31" s="788" t="s">
        <v>4236</v>
      </c>
    </row>
    <row r="32" spans="1:7" x14ac:dyDescent="0.25">
      <c r="A32" s="704" t="s">
        <v>4211</v>
      </c>
      <c r="B32" s="701" t="s">
        <v>4212</v>
      </c>
      <c r="C32" s="803" t="s">
        <v>4213</v>
      </c>
      <c r="D32" s="804" t="s">
        <v>4214</v>
      </c>
      <c r="E32" s="791"/>
      <c r="F32" s="791"/>
      <c r="G32" s="792" t="s">
        <v>4215</v>
      </c>
    </row>
    <row r="33" spans="1:7" x14ac:dyDescent="0.25">
      <c r="A33" s="705"/>
      <c r="B33" s="702"/>
      <c r="C33" s="803" t="s">
        <v>4216</v>
      </c>
      <c r="D33" s="804" t="s">
        <v>4217</v>
      </c>
      <c r="E33" s="791"/>
      <c r="F33" s="791"/>
      <c r="G33" s="792" t="s">
        <v>4215</v>
      </c>
    </row>
    <row r="34" spans="1:7" ht="15" customHeight="1" x14ac:dyDescent="0.25">
      <c r="A34" s="705"/>
      <c r="B34" s="702"/>
      <c r="C34" s="803" t="s">
        <v>117</v>
      </c>
      <c r="D34" s="804" t="s">
        <v>4218</v>
      </c>
      <c r="E34" s="791"/>
      <c r="F34" s="791"/>
      <c r="G34" s="792" t="s">
        <v>4215</v>
      </c>
    </row>
    <row r="35" spans="1:7" x14ac:dyDescent="0.25">
      <c r="A35" s="705"/>
      <c r="B35" s="702"/>
      <c r="C35" s="803" t="s">
        <v>4219</v>
      </c>
      <c r="D35" s="804" t="s">
        <v>4220</v>
      </c>
      <c r="E35" s="791"/>
      <c r="F35" s="791"/>
      <c r="G35" s="792" t="s">
        <v>4215</v>
      </c>
    </row>
    <row r="36" spans="1:7" x14ac:dyDescent="0.25">
      <c r="A36" s="705"/>
      <c r="B36" s="702"/>
      <c r="C36" s="803" t="s">
        <v>4221</v>
      </c>
      <c r="D36" s="804" t="s">
        <v>4222</v>
      </c>
      <c r="E36" s="791"/>
      <c r="F36" s="791"/>
      <c r="G36" s="792" t="s">
        <v>4215</v>
      </c>
    </row>
    <row r="37" spans="1:7" x14ac:dyDescent="0.25">
      <c r="A37" s="705"/>
      <c r="B37" s="702"/>
      <c r="C37" s="803" t="s">
        <v>4223</v>
      </c>
      <c r="D37" s="804" t="s">
        <v>4224</v>
      </c>
      <c r="E37" s="791"/>
      <c r="F37" s="791"/>
      <c r="G37" s="792" t="s">
        <v>4215</v>
      </c>
    </row>
    <row r="38" spans="1:7" x14ac:dyDescent="0.25">
      <c r="A38" s="705"/>
      <c r="B38" s="702"/>
      <c r="C38" s="803" t="s">
        <v>4225</v>
      </c>
      <c r="D38" s="804" t="s">
        <v>4226</v>
      </c>
      <c r="E38" s="791" t="s">
        <v>5048</v>
      </c>
      <c r="F38" s="791" t="s">
        <v>6543</v>
      </c>
      <c r="G38" s="792" t="s">
        <v>4215</v>
      </c>
    </row>
    <row r="39" spans="1:7" ht="17.25" x14ac:dyDescent="0.25">
      <c r="A39" s="711"/>
      <c r="B39" s="708"/>
      <c r="C39" s="862" t="s">
        <v>4227</v>
      </c>
      <c r="D39" s="863" t="s">
        <v>5096</v>
      </c>
      <c r="E39" s="864" t="s">
        <v>5048</v>
      </c>
      <c r="F39" s="791" t="s">
        <v>6543</v>
      </c>
      <c r="G39" s="865" t="s">
        <v>4215</v>
      </c>
    </row>
    <row r="40" spans="1:7" x14ac:dyDescent="0.25">
      <c r="A40" s="805" t="s">
        <v>4228</v>
      </c>
      <c r="B40" s="789" t="s">
        <v>4229</v>
      </c>
      <c r="C40" s="710" t="s">
        <v>5627</v>
      </c>
      <c r="D40" s="806" t="s">
        <v>5832</v>
      </c>
      <c r="E40" s="806"/>
      <c r="F40" s="807"/>
      <c r="G40" s="808" t="s">
        <v>5833</v>
      </c>
    </row>
    <row r="41" spans="1:7" x14ac:dyDescent="0.25">
      <c r="A41" s="805" t="s">
        <v>1285</v>
      </c>
      <c r="B41" s="789" t="s">
        <v>3774</v>
      </c>
      <c r="C41" s="786" t="s">
        <v>5670</v>
      </c>
      <c r="D41" s="806" t="s">
        <v>5834</v>
      </c>
      <c r="E41" s="806"/>
      <c r="F41" s="807"/>
      <c r="G41" s="808" t="s">
        <v>5833</v>
      </c>
    </row>
    <row r="42" spans="1:7" x14ac:dyDescent="0.25">
      <c r="A42" s="805"/>
      <c r="B42" s="789" t="s">
        <v>4231</v>
      </c>
      <c r="C42" s="786" t="s">
        <v>5628</v>
      </c>
      <c r="D42" s="806" t="s">
        <v>5835</v>
      </c>
      <c r="E42" s="806"/>
      <c r="F42" s="807"/>
      <c r="G42" s="808" t="s">
        <v>4230</v>
      </c>
    </row>
    <row r="43" spans="1:7" x14ac:dyDescent="0.25">
      <c r="A43" s="805"/>
      <c r="B43" s="789" t="s">
        <v>1600</v>
      </c>
      <c r="C43" s="710" t="s">
        <v>5631</v>
      </c>
      <c r="D43" s="806" t="s">
        <v>5632</v>
      </c>
      <c r="E43" s="806" t="s">
        <v>5630</v>
      </c>
      <c r="F43" s="807" t="s">
        <v>6542</v>
      </c>
      <c r="G43" s="788" t="s">
        <v>5634</v>
      </c>
    </row>
    <row r="44" spans="1:7" x14ac:dyDescent="0.25">
      <c r="A44" s="805"/>
      <c r="B44" s="789"/>
      <c r="C44" s="786" t="s">
        <v>5633</v>
      </c>
      <c r="D44" s="806" t="s">
        <v>5629</v>
      </c>
      <c r="E44" s="806" t="s">
        <v>5630</v>
      </c>
      <c r="F44" s="807" t="s">
        <v>6542</v>
      </c>
      <c r="G44" s="788" t="s">
        <v>5634</v>
      </c>
    </row>
    <row r="45" spans="1:7" x14ac:dyDescent="0.25">
      <c r="A45" s="805"/>
      <c r="B45" s="789"/>
      <c r="C45" s="786" t="s">
        <v>5671</v>
      </c>
      <c r="D45" s="801" t="s">
        <v>5836</v>
      </c>
      <c r="E45" s="801"/>
      <c r="F45" s="802"/>
      <c r="G45" s="788" t="s">
        <v>5634</v>
      </c>
    </row>
    <row r="46" spans="1:7" x14ac:dyDescent="0.25">
      <c r="A46" s="805"/>
      <c r="B46" s="789"/>
      <c r="C46" s="786" t="s">
        <v>5672</v>
      </c>
      <c r="D46" s="801" t="s">
        <v>5837</v>
      </c>
      <c r="E46" s="801"/>
      <c r="F46" s="802"/>
      <c r="G46" s="788" t="s">
        <v>5634</v>
      </c>
    </row>
    <row r="47" spans="1:7" x14ac:dyDescent="0.25">
      <c r="A47" s="805"/>
      <c r="B47" s="789"/>
      <c r="C47" s="786" t="s">
        <v>5673</v>
      </c>
      <c r="D47" s="801" t="s">
        <v>5838</v>
      </c>
      <c r="E47" s="801"/>
      <c r="F47" s="802"/>
      <c r="G47" s="788" t="s">
        <v>5634</v>
      </c>
    </row>
    <row r="48" spans="1:7" x14ac:dyDescent="0.25">
      <c r="A48" s="809" t="s">
        <v>4232</v>
      </c>
      <c r="B48" s="701" t="s">
        <v>4231</v>
      </c>
      <c r="C48" s="706" t="s">
        <v>5635</v>
      </c>
      <c r="D48" s="810" t="s">
        <v>5832</v>
      </c>
      <c r="E48" s="810"/>
      <c r="F48" s="811"/>
      <c r="G48" s="792" t="s">
        <v>4230</v>
      </c>
    </row>
    <row r="49" spans="1:7" x14ac:dyDescent="0.25">
      <c r="A49" s="812"/>
      <c r="B49" s="702" t="s">
        <v>1600</v>
      </c>
      <c r="C49" s="706" t="s">
        <v>5637</v>
      </c>
      <c r="D49" s="810" t="s">
        <v>5835</v>
      </c>
      <c r="E49" s="810"/>
      <c r="F49" s="811"/>
      <c r="G49" s="792" t="s">
        <v>4230</v>
      </c>
    </row>
    <row r="50" spans="1:7" x14ac:dyDescent="0.25">
      <c r="A50" s="812"/>
      <c r="B50" s="702"/>
      <c r="C50" s="706" t="s">
        <v>5638</v>
      </c>
      <c r="D50" s="810" t="s">
        <v>4233</v>
      </c>
      <c r="E50" s="810" t="s">
        <v>5636</v>
      </c>
      <c r="F50" s="811" t="s">
        <v>6542</v>
      </c>
      <c r="G50" s="792" t="s">
        <v>5634</v>
      </c>
    </row>
    <row r="51" spans="1:7" x14ac:dyDescent="0.25">
      <c r="A51" s="812"/>
      <c r="B51" s="702"/>
      <c r="C51" s="706" t="s">
        <v>5639</v>
      </c>
      <c r="D51" s="810" t="s">
        <v>4233</v>
      </c>
      <c r="E51" s="810" t="s">
        <v>5640</v>
      </c>
      <c r="F51" s="811" t="s">
        <v>6542</v>
      </c>
      <c r="G51" s="792" t="s">
        <v>5634</v>
      </c>
    </row>
    <row r="52" spans="1:7" x14ac:dyDescent="0.25">
      <c r="A52" s="812"/>
      <c r="B52" s="702"/>
      <c r="C52" s="706" t="s">
        <v>5674</v>
      </c>
      <c r="D52" s="810" t="s">
        <v>5839</v>
      </c>
      <c r="E52" s="810"/>
      <c r="F52" s="811"/>
      <c r="G52" s="792" t="s">
        <v>5634</v>
      </c>
    </row>
    <row r="53" spans="1:7" x14ac:dyDescent="0.25">
      <c r="A53" s="812"/>
      <c r="B53" s="702"/>
      <c r="C53" s="706" t="s">
        <v>5675</v>
      </c>
      <c r="D53" s="810" t="s">
        <v>5840</v>
      </c>
      <c r="E53" s="810"/>
      <c r="F53" s="811"/>
      <c r="G53" s="792" t="s">
        <v>5634</v>
      </c>
    </row>
    <row r="54" spans="1:7" x14ac:dyDescent="0.25">
      <c r="A54" s="812"/>
      <c r="B54" s="702"/>
      <c r="C54" s="803" t="s">
        <v>5676</v>
      </c>
      <c r="D54" s="810" t="s">
        <v>5841</v>
      </c>
      <c r="E54" s="810"/>
      <c r="F54" s="811"/>
      <c r="G54" s="792" t="s">
        <v>5634</v>
      </c>
    </row>
    <row r="55" spans="1:7" x14ac:dyDescent="0.25">
      <c r="A55" s="799" t="s">
        <v>4234</v>
      </c>
      <c r="B55" s="800" t="s">
        <v>4231</v>
      </c>
      <c r="C55" s="786" t="s">
        <v>5677</v>
      </c>
      <c r="D55" s="801" t="s">
        <v>4235</v>
      </c>
      <c r="E55" s="801"/>
      <c r="F55" s="802"/>
      <c r="G55" s="788" t="s">
        <v>5634</v>
      </c>
    </row>
    <row r="56" spans="1:7" x14ac:dyDescent="0.25">
      <c r="A56" s="805"/>
      <c r="B56" s="814" t="s">
        <v>1600</v>
      </c>
      <c r="C56" s="786" t="s">
        <v>5678</v>
      </c>
      <c r="D56" s="801" t="s">
        <v>4237</v>
      </c>
      <c r="E56" s="801"/>
      <c r="F56" s="802"/>
      <c r="G56" s="788" t="s">
        <v>5634</v>
      </c>
    </row>
    <row r="57" spans="1:7" x14ac:dyDescent="0.25">
      <c r="A57" s="805"/>
      <c r="B57" s="814"/>
      <c r="C57" s="786" t="s">
        <v>5679</v>
      </c>
      <c r="D57" s="801" t="s">
        <v>4237</v>
      </c>
      <c r="E57" s="801"/>
      <c r="F57" s="802"/>
      <c r="G57" s="788" t="s">
        <v>5634</v>
      </c>
    </row>
    <row r="58" spans="1:7" x14ac:dyDescent="0.25">
      <c r="A58" s="809" t="s">
        <v>4238</v>
      </c>
      <c r="B58" s="701" t="s">
        <v>4231</v>
      </c>
      <c r="C58" s="706" t="s">
        <v>5641</v>
      </c>
      <c r="D58" s="810" t="s">
        <v>5642</v>
      </c>
      <c r="E58" s="810"/>
      <c r="F58" s="811"/>
      <c r="G58" s="792" t="s">
        <v>5643</v>
      </c>
    </row>
    <row r="59" spans="1:7" x14ac:dyDescent="0.25">
      <c r="A59" s="812"/>
      <c r="B59" s="702"/>
      <c r="C59" s="706" t="s">
        <v>5842</v>
      </c>
      <c r="D59" s="810" t="s">
        <v>4239</v>
      </c>
      <c r="E59" s="810"/>
      <c r="F59" s="811"/>
      <c r="G59" s="792" t="s">
        <v>5643</v>
      </c>
    </row>
    <row r="60" spans="1:7" x14ac:dyDescent="0.25">
      <c r="A60" s="812"/>
      <c r="B60" s="702"/>
      <c r="C60" s="706" t="s">
        <v>5644</v>
      </c>
      <c r="D60" s="810" t="s">
        <v>5645</v>
      </c>
      <c r="E60" s="810"/>
      <c r="F60" s="811"/>
      <c r="G60" s="792" t="s">
        <v>5643</v>
      </c>
    </row>
    <row r="61" spans="1:7" x14ac:dyDescent="0.25">
      <c r="A61" s="812"/>
      <c r="B61" s="702"/>
      <c r="C61" s="706" t="s">
        <v>5646</v>
      </c>
      <c r="D61" s="810" t="s">
        <v>5647</v>
      </c>
      <c r="E61" s="810"/>
      <c r="F61" s="811"/>
      <c r="G61" s="792" t="s">
        <v>5643</v>
      </c>
    </row>
    <row r="62" spans="1:7" x14ac:dyDescent="0.25">
      <c r="A62" s="812"/>
      <c r="B62" s="702"/>
      <c r="C62" s="706" t="s">
        <v>5843</v>
      </c>
      <c r="D62" s="810" t="s">
        <v>4240</v>
      </c>
      <c r="E62" s="810"/>
      <c r="F62" s="811"/>
      <c r="G62" s="792" t="s">
        <v>5643</v>
      </c>
    </row>
    <row r="63" spans="1:7" x14ac:dyDescent="0.25">
      <c r="A63" s="813"/>
      <c r="B63" s="708"/>
      <c r="C63" s="706" t="s">
        <v>5648</v>
      </c>
      <c r="D63" s="810" t="s">
        <v>5649</v>
      </c>
      <c r="E63" s="810"/>
      <c r="F63" s="811"/>
      <c r="G63" s="792" t="s">
        <v>5643</v>
      </c>
    </row>
    <row r="64" spans="1:7" x14ac:dyDescent="0.25">
      <c r="A64" s="799" t="s">
        <v>4241</v>
      </c>
      <c r="B64" s="800" t="s">
        <v>4231</v>
      </c>
      <c r="C64" s="786" t="s">
        <v>5641</v>
      </c>
      <c r="D64" s="801" t="s">
        <v>5642</v>
      </c>
      <c r="E64" s="801"/>
      <c r="F64" s="802"/>
      <c r="G64" s="788" t="s">
        <v>5643</v>
      </c>
    </row>
    <row r="65" spans="1:7" x14ac:dyDescent="0.25">
      <c r="A65" s="805"/>
      <c r="B65" s="814"/>
      <c r="C65" s="786" t="s">
        <v>5842</v>
      </c>
      <c r="D65" s="801" t="s">
        <v>4239</v>
      </c>
      <c r="E65" s="801"/>
      <c r="F65" s="802"/>
      <c r="G65" s="788" t="s">
        <v>5643</v>
      </c>
    </row>
    <row r="66" spans="1:7" x14ac:dyDescent="0.25">
      <c r="A66" s="805"/>
      <c r="B66" s="814"/>
      <c r="C66" s="786" t="s">
        <v>5644</v>
      </c>
      <c r="D66" s="801" t="s">
        <v>5645</v>
      </c>
      <c r="E66" s="801"/>
      <c r="F66" s="802"/>
      <c r="G66" s="788" t="s">
        <v>5643</v>
      </c>
    </row>
    <row r="67" spans="1:7" x14ac:dyDescent="0.25">
      <c r="A67" s="805"/>
      <c r="B67" s="814"/>
      <c r="C67" s="786" t="s">
        <v>5646</v>
      </c>
      <c r="D67" s="801" t="s">
        <v>5650</v>
      </c>
      <c r="E67" s="801"/>
      <c r="F67" s="802"/>
      <c r="G67" s="788" t="s">
        <v>5643</v>
      </c>
    </row>
    <row r="68" spans="1:7" x14ac:dyDescent="0.25">
      <c r="A68" s="805"/>
      <c r="B68" s="814"/>
      <c r="C68" s="786" t="s">
        <v>5843</v>
      </c>
      <c r="D68" s="801" t="s">
        <v>4242</v>
      </c>
      <c r="E68" s="801"/>
      <c r="F68" s="802"/>
      <c r="G68" s="788" t="s">
        <v>5643</v>
      </c>
    </row>
    <row r="69" spans="1:7" x14ac:dyDescent="0.25">
      <c r="A69" s="815"/>
      <c r="B69" s="816"/>
      <c r="C69" s="786" t="s">
        <v>5648</v>
      </c>
      <c r="D69" s="801" t="s">
        <v>5651</v>
      </c>
      <c r="E69" s="801"/>
      <c r="F69" s="802"/>
      <c r="G69" s="788" t="s">
        <v>5643</v>
      </c>
    </row>
    <row r="70" spans="1:7" x14ac:dyDescent="0.25">
      <c r="A70" s="809" t="s">
        <v>4243</v>
      </c>
      <c r="B70" s="701" t="s">
        <v>4231</v>
      </c>
      <c r="C70" s="706" t="s">
        <v>5652</v>
      </c>
      <c r="D70" s="810" t="s">
        <v>5653</v>
      </c>
      <c r="E70" s="810"/>
      <c r="F70" s="811"/>
      <c r="G70" s="792" t="s">
        <v>5654</v>
      </c>
    </row>
    <row r="71" spans="1:7" x14ac:dyDescent="0.25">
      <c r="A71" s="813"/>
      <c r="B71" s="708"/>
      <c r="C71" s="706" t="s">
        <v>5680</v>
      </c>
      <c r="D71" s="810" t="s">
        <v>4244</v>
      </c>
      <c r="E71" s="810"/>
      <c r="F71" s="811"/>
      <c r="G71" s="792" t="s">
        <v>5654</v>
      </c>
    </row>
    <row r="72" spans="1:7" x14ac:dyDescent="0.25">
      <c r="A72" s="709" t="s">
        <v>4010</v>
      </c>
      <c r="B72" s="800" t="s">
        <v>4245</v>
      </c>
      <c r="C72" s="786" t="s">
        <v>6544</v>
      </c>
      <c r="D72" s="787" t="s">
        <v>4246</v>
      </c>
      <c r="E72" s="787" t="s">
        <v>6545</v>
      </c>
      <c r="F72" s="953" t="s">
        <v>6546</v>
      </c>
      <c r="G72" s="788" t="s">
        <v>5681</v>
      </c>
    </row>
    <row r="73" spans="1:7" x14ac:dyDescent="0.25">
      <c r="A73" s="703"/>
      <c r="B73" s="814"/>
      <c r="C73" s="786" t="s">
        <v>6547</v>
      </c>
      <c r="D73" s="787" t="s">
        <v>4246</v>
      </c>
      <c r="E73" s="787" t="s">
        <v>6548</v>
      </c>
      <c r="F73" s="953" t="s">
        <v>6546</v>
      </c>
      <c r="G73" s="788" t="s">
        <v>5681</v>
      </c>
    </row>
    <row r="74" spans="1:7" x14ac:dyDescent="0.25">
      <c r="A74" s="703"/>
      <c r="B74" s="814" t="s">
        <v>4247</v>
      </c>
      <c r="C74" s="786" t="s">
        <v>6549</v>
      </c>
      <c r="D74" s="787" t="s">
        <v>4248</v>
      </c>
      <c r="E74" s="787" t="s">
        <v>6550</v>
      </c>
      <c r="F74" s="953" t="s">
        <v>6546</v>
      </c>
      <c r="G74" s="788" t="s">
        <v>5681</v>
      </c>
    </row>
    <row r="75" spans="1:7" x14ac:dyDescent="0.25">
      <c r="A75" s="703"/>
      <c r="B75" s="789" t="s">
        <v>3774</v>
      </c>
      <c r="C75" s="786" t="s">
        <v>6551</v>
      </c>
      <c r="D75" s="787" t="s">
        <v>4249</v>
      </c>
      <c r="E75" s="787" t="s">
        <v>6550</v>
      </c>
      <c r="F75" s="953" t="s">
        <v>6546</v>
      </c>
      <c r="G75" s="788" t="s">
        <v>5681</v>
      </c>
    </row>
    <row r="76" spans="1:7" x14ac:dyDescent="0.25">
      <c r="A76" s="710"/>
      <c r="B76" s="816"/>
      <c r="C76" s="786" t="s">
        <v>6552</v>
      </c>
      <c r="D76" s="787" t="s">
        <v>4250</v>
      </c>
      <c r="E76" s="787" t="s">
        <v>6553</v>
      </c>
      <c r="F76" s="953" t="s">
        <v>6546</v>
      </c>
      <c r="G76" s="788" t="s">
        <v>5681</v>
      </c>
    </row>
    <row r="77" spans="1:7" x14ac:dyDescent="0.25">
      <c r="A77" s="705" t="s">
        <v>3125</v>
      </c>
      <c r="B77" s="370" t="s">
        <v>4251</v>
      </c>
      <c r="C77" s="803" t="s">
        <v>4252</v>
      </c>
      <c r="D77" s="791" t="s">
        <v>4253</v>
      </c>
      <c r="E77" s="791"/>
      <c r="F77" s="791"/>
      <c r="G77" s="792" t="s">
        <v>4254</v>
      </c>
    </row>
    <row r="78" spans="1:7" x14ac:dyDescent="0.25">
      <c r="A78" s="705"/>
      <c r="B78" s="370"/>
      <c r="C78" s="803" t="s">
        <v>4255</v>
      </c>
      <c r="D78" s="791" t="s">
        <v>4256</v>
      </c>
      <c r="E78" s="791"/>
      <c r="F78" s="791"/>
      <c r="G78" s="792" t="s">
        <v>4254</v>
      </c>
    </row>
    <row r="79" spans="1:7" x14ac:dyDescent="0.25">
      <c r="A79" s="705"/>
      <c r="B79" s="370"/>
      <c r="C79" s="803" t="s">
        <v>4257</v>
      </c>
      <c r="D79" s="791" t="s">
        <v>4258</v>
      </c>
      <c r="E79" s="791"/>
      <c r="F79" s="791"/>
      <c r="G79" s="792" t="s">
        <v>4254</v>
      </c>
    </row>
    <row r="80" spans="1:7" x14ac:dyDescent="0.25">
      <c r="A80" s="705"/>
      <c r="B80" s="370"/>
      <c r="C80" s="803" t="s">
        <v>4259</v>
      </c>
      <c r="D80" s="791" t="s">
        <v>4260</v>
      </c>
      <c r="E80" s="791"/>
      <c r="F80" s="791"/>
      <c r="G80" s="792" t="s">
        <v>4254</v>
      </c>
    </row>
    <row r="81" spans="1:7" x14ac:dyDescent="0.25">
      <c r="A81" s="705"/>
      <c r="B81" s="370"/>
      <c r="C81" s="817" t="s">
        <v>4261</v>
      </c>
      <c r="D81" s="793" t="s">
        <v>4262</v>
      </c>
      <c r="E81" s="793"/>
      <c r="F81" s="793"/>
      <c r="G81" s="794" t="s">
        <v>4254</v>
      </c>
    </row>
    <row r="82" spans="1:7" ht="18" x14ac:dyDescent="0.25">
      <c r="A82" s="709" t="s">
        <v>4263</v>
      </c>
      <c r="B82" s="800" t="s">
        <v>3841</v>
      </c>
      <c r="C82" s="818" t="s">
        <v>4264</v>
      </c>
      <c r="D82" s="787" t="s">
        <v>5097</v>
      </c>
      <c r="E82" s="787" t="s">
        <v>6554</v>
      </c>
      <c r="F82" s="787"/>
      <c r="G82" s="788" t="s">
        <v>4265</v>
      </c>
    </row>
    <row r="83" spans="1:7" ht="18" x14ac:dyDescent="0.25">
      <c r="A83" s="703"/>
      <c r="B83" s="814" t="s">
        <v>1590</v>
      </c>
      <c r="C83" s="818" t="s">
        <v>4266</v>
      </c>
      <c r="D83" s="787" t="s">
        <v>5098</v>
      </c>
      <c r="E83" s="787" t="s">
        <v>6554</v>
      </c>
      <c r="F83" s="787"/>
      <c r="G83" s="788" t="s">
        <v>4265</v>
      </c>
    </row>
    <row r="84" spans="1:7" ht="18" x14ac:dyDescent="0.25">
      <c r="A84" s="703"/>
      <c r="B84" s="814"/>
      <c r="C84" s="818" t="s">
        <v>4267</v>
      </c>
      <c r="D84" s="787" t="s">
        <v>5099</v>
      </c>
      <c r="E84" s="787" t="s">
        <v>6554</v>
      </c>
      <c r="F84" s="787"/>
      <c r="G84" s="788" t="s">
        <v>4265</v>
      </c>
    </row>
    <row r="85" spans="1:7" ht="18" x14ac:dyDescent="0.25">
      <c r="A85" s="703"/>
      <c r="B85" s="814"/>
      <c r="C85" s="818" t="s">
        <v>4268</v>
      </c>
      <c r="D85" s="787" t="s">
        <v>5100</v>
      </c>
      <c r="E85" s="787" t="s">
        <v>6554</v>
      </c>
      <c r="F85" s="787"/>
      <c r="G85" s="788" t="s">
        <v>4265</v>
      </c>
    </row>
    <row r="86" spans="1:7" ht="18" x14ac:dyDescent="0.25">
      <c r="A86" s="703"/>
      <c r="B86" s="814"/>
      <c r="C86" s="818" t="s">
        <v>4269</v>
      </c>
      <c r="D86" s="787" t="s">
        <v>5101</v>
      </c>
      <c r="E86" s="787" t="s">
        <v>6554</v>
      </c>
      <c r="F86" s="787"/>
      <c r="G86" s="788" t="s">
        <v>4265</v>
      </c>
    </row>
    <row r="87" spans="1:7" ht="18" x14ac:dyDescent="0.25">
      <c r="A87" s="703"/>
      <c r="B87" s="814"/>
      <c r="C87" s="818" t="s">
        <v>4270</v>
      </c>
      <c r="D87" s="787" t="s">
        <v>5102</v>
      </c>
      <c r="E87" s="787" t="s">
        <v>6554</v>
      </c>
      <c r="F87" s="787"/>
      <c r="G87" s="788" t="s">
        <v>4265</v>
      </c>
    </row>
    <row r="88" spans="1:7" ht="18" x14ac:dyDescent="0.25">
      <c r="A88" s="703"/>
      <c r="B88" s="814"/>
      <c r="C88" s="818" t="s">
        <v>4271</v>
      </c>
      <c r="D88" s="787" t="s">
        <v>5103</v>
      </c>
      <c r="E88" s="787" t="s">
        <v>6554</v>
      </c>
      <c r="F88" s="787"/>
      <c r="G88" s="788" t="s">
        <v>4265</v>
      </c>
    </row>
    <row r="89" spans="1:7" ht="18" x14ac:dyDescent="0.25">
      <c r="A89" s="703"/>
      <c r="B89" s="814"/>
      <c r="C89" s="819" t="s">
        <v>4272</v>
      </c>
      <c r="D89" s="785" t="s">
        <v>5104</v>
      </c>
      <c r="E89" s="787" t="s">
        <v>6554</v>
      </c>
      <c r="F89" s="785"/>
      <c r="G89" s="820" t="s">
        <v>4265</v>
      </c>
    </row>
    <row r="90" spans="1:7" ht="18" x14ac:dyDescent="0.25">
      <c r="A90" s="703"/>
      <c r="B90" s="814"/>
      <c r="C90" s="818" t="s">
        <v>4273</v>
      </c>
      <c r="D90" s="785" t="s">
        <v>5105</v>
      </c>
      <c r="E90" s="787" t="s">
        <v>6554</v>
      </c>
      <c r="F90" s="785"/>
      <c r="G90" s="820" t="s">
        <v>4274</v>
      </c>
    </row>
    <row r="91" spans="1:7" ht="18" x14ac:dyDescent="0.25">
      <c r="A91" s="710"/>
      <c r="B91" s="816"/>
      <c r="C91" s="818" t="s">
        <v>4275</v>
      </c>
      <c r="D91" s="785" t="s">
        <v>5106</v>
      </c>
      <c r="E91" s="787" t="s">
        <v>6554</v>
      </c>
      <c r="F91" s="785"/>
      <c r="G91" s="820" t="s">
        <v>4274</v>
      </c>
    </row>
    <row r="92" spans="1:7" x14ac:dyDescent="0.25">
      <c r="A92" s="704" t="s">
        <v>4276</v>
      </c>
      <c r="B92" s="701" t="s">
        <v>1608</v>
      </c>
      <c r="C92" s="803" t="s">
        <v>4277</v>
      </c>
      <c r="D92" s="791" t="s">
        <v>4278</v>
      </c>
      <c r="E92" s="791" t="s">
        <v>6554</v>
      </c>
      <c r="F92" s="791"/>
      <c r="G92" s="792" t="s">
        <v>4265</v>
      </c>
    </row>
    <row r="93" spans="1:7" x14ac:dyDescent="0.25">
      <c r="A93" s="705"/>
      <c r="B93" s="702" t="s">
        <v>5049</v>
      </c>
      <c r="C93" s="803" t="s">
        <v>4279</v>
      </c>
      <c r="D93" s="791" t="s">
        <v>4278</v>
      </c>
      <c r="E93" s="791" t="s">
        <v>6554</v>
      </c>
      <c r="F93" s="791"/>
      <c r="G93" s="792" t="s">
        <v>4265</v>
      </c>
    </row>
    <row r="94" spans="1:7" x14ac:dyDescent="0.25">
      <c r="A94" s="705"/>
      <c r="B94" s="702"/>
      <c r="C94" s="803" t="s">
        <v>4280</v>
      </c>
      <c r="D94" s="791" t="s">
        <v>4281</v>
      </c>
      <c r="E94" s="791"/>
      <c r="F94" s="791"/>
      <c r="G94" s="792" t="s">
        <v>4282</v>
      </c>
    </row>
    <row r="95" spans="1:7" ht="18" x14ac:dyDescent="0.25">
      <c r="A95" s="711"/>
      <c r="B95" s="708"/>
      <c r="C95" s="803" t="s">
        <v>4283</v>
      </c>
      <c r="D95" s="791" t="s">
        <v>5107</v>
      </c>
      <c r="E95" s="791"/>
      <c r="F95" s="791"/>
      <c r="G95" s="792" t="s">
        <v>4282</v>
      </c>
    </row>
    <row r="96" spans="1:7" x14ac:dyDescent="0.25">
      <c r="A96" s="709" t="s">
        <v>4284</v>
      </c>
      <c r="B96" s="785" t="s">
        <v>1349</v>
      </c>
      <c r="C96" s="818" t="s">
        <v>4285</v>
      </c>
      <c r="D96" s="787" t="s">
        <v>5655</v>
      </c>
      <c r="E96" s="787"/>
      <c r="F96" s="787"/>
      <c r="G96" s="707" t="s">
        <v>4286</v>
      </c>
    </row>
    <row r="97" spans="1:7" x14ac:dyDescent="0.25">
      <c r="A97" s="710"/>
      <c r="B97" s="790"/>
      <c r="C97" s="818" t="s">
        <v>4287</v>
      </c>
      <c r="D97" s="787" t="s">
        <v>5656</v>
      </c>
      <c r="E97" s="787"/>
      <c r="F97" s="787"/>
      <c r="G97" s="707" t="s">
        <v>4286</v>
      </c>
    </row>
    <row r="98" spans="1:7" x14ac:dyDescent="0.25">
      <c r="A98" s="705" t="s">
        <v>4288</v>
      </c>
      <c r="B98" s="370" t="s">
        <v>1348</v>
      </c>
      <c r="C98" s="821" t="s">
        <v>4289</v>
      </c>
      <c r="D98" s="795" t="s">
        <v>5656</v>
      </c>
      <c r="E98" s="795"/>
      <c r="F98" s="795"/>
      <c r="G98" s="708" t="s">
        <v>4286</v>
      </c>
    </row>
    <row r="99" spans="1:7" x14ac:dyDescent="0.25">
      <c r="A99" s="709" t="s">
        <v>3218</v>
      </c>
      <c r="B99" s="800" t="s">
        <v>3410</v>
      </c>
      <c r="C99" s="819" t="s">
        <v>4290</v>
      </c>
      <c r="D99" s="785" t="s">
        <v>4291</v>
      </c>
      <c r="E99" s="785"/>
      <c r="F99" s="787"/>
      <c r="G99" s="788" t="s">
        <v>4292</v>
      </c>
    </row>
    <row r="100" spans="1:7" x14ac:dyDescent="0.25">
      <c r="A100" s="710"/>
      <c r="B100" s="816"/>
      <c r="C100" s="819" t="s">
        <v>4293</v>
      </c>
      <c r="D100" s="785" t="s">
        <v>4294</v>
      </c>
      <c r="E100" s="785"/>
      <c r="F100" s="785"/>
      <c r="G100" s="820" t="s">
        <v>4292</v>
      </c>
    </row>
    <row r="101" spans="1:7" ht="17.25" x14ac:dyDescent="0.25">
      <c r="A101" s="705" t="s">
        <v>468</v>
      </c>
      <c r="B101" s="370" t="s">
        <v>1355</v>
      </c>
      <c r="C101" s="803" t="s">
        <v>5108</v>
      </c>
      <c r="D101" s="791" t="s">
        <v>4295</v>
      </c>
      <c r="E101" s="791"/>
      <c r="F101" s="791"/>
      <c r="G101" s="792" t="s">
        <v>4296</v>
      </c>
    </row>
    <row r="102" spans="1:7" ht="17.25" x14ac:dyDescent="0.25">
      <c r="A102" s="705"/>
      <c r="B102" s="370"/>
      <c r="C102" s="803" t="s">
        <v>5109</v>
      </c>
      <c r="D102" s="791" t="s">
        <v>4297</v>
      </c>
      <c r="E102" s="791"/>
      <c r="F102" s="791"/>
      <c r="G102" s="792" t="s">
        <v>4296</v>
      </c>
    </row>
    <row r="103" spans="1:7" ht="17.25" x14ac:dyDescent="0.25">
      <c r="A103" s="705"/>
      <c r="B103" s="370"/>
      <c r="C103" s="817" t="s">
        <v>5110</v>
      </c>
      <c r="D103" s="793" t="s">
        <v>4298</v>
      </c>
      <c r="E103" s="793"/>
      <c r="F103" s="791"/>
      <c r="G103" s="792" t="s">
        <v>4296</v>
      </c>
    </row>
    <row r="104" spans="1:7" ht="17.25" x14ac:dyDescent="0.25">
      <c r="A104" s="705"/>
      <c r="B104" s="370"/>
      <c r="C104" s="817" t="s">
        <v>5111</v>
      </c>
      <c r="D104" s="793" t="s">
        <v>4299</v>
      </c>
      <c r="E104" s="793"/>
      <c r="F104" s="793"/>
      <c r="G104" s="794" t="s">
        <v>4296</v>
      </c>
    </row>
    <row r="105" spans="1:7" ht="17.25" x14ac:dyDescent="0.25">
      <c r="A105" s="709" t="s">
        <v>498</v>
      </c>
      <c r="B105" s="785" t="s">
        <v>4300</v>
      </c>
      <c r="C105" s="818" t="s">
        <v>5112</v>
      </c>
      <c r="D105" s="787" t="s">
        <v>4301</v>
      </c>
      <c r="E105" s="787"/>
      <c r="F105" s="787"/>
      <c r="G105" s="788" t="s">
        <v>4302</v>
      </c>
    </row>
    <row r="106" spans="1:7" ht="17.25" x14ac:dyDescent="0.25">
      <c r="A106" s="703"/>
      <c r="B106" s="789"/>
      <c r="C106" s="818" t="s">
        <v>5113</v>
      </c>
      <c r="D106" s="787" t="s">
        <v>4303</v>
      </c>
      <c r="E106" s="787"/>
      <c r="F106" s="787"/>
      <c r="G106" s="788" t="s">
        <v>4302</v>
      </c>
    </row>
    <row r="107" spans="1:7" ht="17.25" x14ac:dyDescent="0.25">
      <c r="A107" s="703"/>
      <c r="B107" s="789"/>
      <c r="C107" s="818" t="s">
        <v>5114</v>
      </c>
      <c r="D107" s="787" t="s">
        <v>4304</v>
      </c>
      <c r="E107" s="787"/>
      <c r="F107" s="787"/>
      <c r="G107" s="788" t="s">
        <v>4302</v>
      </c>
    </row>
    <row r="108" spans="1:7" x14ac:dyDescent="0.25">
      <c r="A108" s="703"/>
      <c r="B108" s="789"/>
      <c r="C108" s="818" t="s">
        <v>4305</v>
      </c>
      <c r="D108" s="787" t="s">
        <v>4306</v>
      </c>
      <c r="E108" s="787"/>
      <c r="F108" s="787"/>
      <c r="G108" s="788" t="s">
        <v>4302</v>
      </c>
    </row>
    <row r="109" spans="1:7" ht="17.25" x14ac:dyDescent="0.25">
      <c r="A109" s="703"/>
      <c r="B109" s="789"/>
      <c r="C109" s="818" t="s">
        <v>5115</v>
      </c>
      <c r="D109" s="787" t="s">
        <v>4307</v>
      </c>
      <c r="E109" s="787"/>
      <c r="F109" s="787"/>
      <c r="G109" s="788" t="s">
        <v>4302</v>
      </c>
    </row>
    <row r="110" spans="1:7" x14ac:dyDescent="0.25">
      <c r="A110" s="710"/>
      <c r="B110" s="790"/>
      <c r="C110" s="818" t="s">
        <v>4308</v>
      </c>
      <c r="D110" s="787" t="s">
        <v>4309</v>
      </c>
      <c r="E110" s="787"/>
      <c r="F110" s="787"/>
      <c r="G110" s="788" t="s">
        <v>4302</v>
      </c>
    </row>
    <row r="111" spans="1:7" x14ac:dyDescent="0.25">
      <c r="A111" s="704" t="s">
        <v>4310</v>
      </c>
      <c r="B111" s="701" t="s">
        <v>1609</v>
      </c>
      <c r="C111" s="706" t="s">
        <v>4311</v>
      </c>
      <c r="D111" s="791" t="s">
        <v>4312</v>
      </c>
      <c r="E111" s="791"/>
      <c r="F111" s="791"/>
      <c r="G111" s="792" t="s">
        <v>4313</v>
      </c>
    </row>
    <row r="112" spans="1:7" x14ac:dyDescent="0.25">
      <c r="A112" s="711"/>
      <c r="B112" s="708" t="s">
        <v>1308</v>
      </c>
      <c r="C112" s="706" t="s">
        <v>4314</v>
      </c>
      <c r="D112" s="791" t="s">
        <v>4312</v>
      </c>
      <c r="E112" s="791"/>
      <c r="F112" s="791"/>
      <c r="G112" s="792" t="s">
        <v>4313</v>
      </c>
    </row>
    <row r="113" spans="1:9" x14ac:dyDescent="0.25">
      <c r="A113" s="709" t="s">
        <v>4315</v>
      </c>
      <c r="B113" s="800" t="s">
        <v>4316</v>
      </c>
      <c r="C113" s="819" t="s">
        <v>4317</v>
      </c>
      <c r="D113" s="822" t="s">
        <v>4318</v>
      </c>
      <c r="E113" s="785"/>
      <c r="F113" s="785"/>
      <c r="G113" s="820" t="s">
        <v>4319</v>
      </c>
    </row>
    <row r="114" spans="1:9" x14ac:dyDescent="0.25">
      <c r="A114" s="710"/>
      <c r="B114" s="816" t="s">
        <v>4320</v>
      </c>
      <c r="C114" s="823"/>
      <c r="D114" s="824"/>
      <c r="E114" s="790"/>
      <c r="F114" s="790"/>
      <c r="G114" s="825"/>
    </row>
    <row r="115" spans="1:9" x14ac:dyDescent="0.25">
      <c r="A115" s="711" t="s">
        <v>4321</v>
      </c>
      <c r="B115" s="708" t="s">
        <v>4322</v>
      </c>
      <c r="C115" s="817" t="s">
        <v>4317</v>
      </c>
      <c r="D115" s="826" t="s">
        <v>4323</v>
      </c>
      <c r="E115" s="795"/>
      <c r="F115" s="795"/>
      <c r="G115" s="794" t="s">
        <v>4324</v>
      </c>
    </row>
    <row r="116" spans="1:9" x14ac:dyDescent="0.25">
      <c r="A116" s="703" t="s">
        <v>5844</v>
      </c>
      <c r="B116" s="814" t="s">
        <v>5819</v>
      </c>
      <c r="C116" s="819" t="s">
        <v>5845</v>
      </c>
      <c r="D116" s="824" t="s">
        <v>5846</v>
      </c>
      <c r="E116" s="790"/>
      <c r="F116" s="790"/>
      <c r="G116" s="820" t="s">
        <v>5847</v>
      </c>
    </row>
    <row r="117" spans="1:9" x14ac:dyDescent="0.25">
      <c r="A117" s="703"/>
      <c r="B117" s="814"/>
      <c r="C117" s="819" t="s">
        <v>5848</v>
      </c>
      <c r="D117" s="824" t="s">
        <v>5849</v>
      </c>
      <c r="E117" s="790"/>
      <c r="F117" s="790"/>
      <c r="G117" s="820" t="s">
        <v>5847</v>
      </c>
    </row>
    <row r="118" spans="1:9" x14ac:dyDescent="0.25">
      <c r="A118" s="703"/>
      <c r="B118" s="814"/>
      <c r="C118" s="819" t="s">
        <v>5850</v>
      </c>
      <c r="D118" s="824" t="s">
        <v>5851</v>
      </c>
      <c r="E118" s="790"/>
      <c r="F118" s="790"/>
      <c r="G118" s="820" t="s">
        <v>5847</v>
      </c>
      <c r="I118" s="638"/>
    </row>
    <row r="119" spans="1:9" x14ac:dyDescent="0.25">
      <c r="A119" s="704" t="s">
        <v>4325</v>
      </c>
      <c r="B119" s="701" t="s">
        <v>4326</v>
      </c>
      <c r="C119" s="803" t="s">
        <v>4327</v>
      </c>
      <c r="D119" s="804" t="s">
        <v>4328</v>
      </c>
      <c r="E119" s="791"/>
      <c r="F119" s="791"/>
      <c r="G119" s="794" t="s">
        <v>4329</v>
      </c>
    </row>
    <row r="120" spans="1:9" x14ac:dyDescent="0.25">
      <c r="A120" s="705"/>
      <c r="B120" s="702"/>
      <c r="C120" s="817" t="s">
        <v>4330</v>
      </c>
      <c r="D120" s="826" t="s">
        <v>4331</v>
      </c>
      <c r="E120" s="795"/>
      <c r="F120" s="795"/>
      <c r="G120" s="794" t="s">
        <v>4329</v>
      </c>
    </row>
    <row r="121" spans="1:9" x14ac:dyDescent="0.25">
      <c r="A121" s="705"/>
      <c r="B121" s="702"/>
      <c r="C121" s="817" t="s">
        <v>4332</v>
      </c>
      <c r="D121" s="826" t="s">
        <v>4333</v>
      </c>
      <c r="E121" s="795"/>
      <c r="F121" s="795"/>
      <c r="G121" s="794" t="s">
        <v>4329</v>
      </c>
    </row>
    <row r="122" spans="1:9" x14ac:dyDescent="0.25">
      <c r="A122" s="711"/>
      <c r="B122" s="708"/>
      <c r="C122" s="817" t="s">
        <v>4334</v>
      </c>
      <c r="D122" s="826" t="s">
        <v>4335</v>
      </c>
      <c r="E122" s="795"/>
      <c r="F122" s="795"/>
      <c r="G122" s="794" t="s">
        <v>4329</v>
      </c>
    </row>
    <row r="123" spans="1:9" x14ac:dyDescent="0.25">
      <c r="A123" s="709" t="s">
        <v>934</v>
      </c>
      <c r="B123" s="800" t="s">
        <v>4336</v>
      </c>
      <c r="C123" s="819" t="s">
        <v>4317</v>
      </c>
      <c r="D123" s="822" t="s">
        <v>4337</v>
      </c>
      <c r="E123" s="785" t="s">
        <v>6555</v>
      </c>
      <c r="F123" s="785" t="s">
        <v>6556</v>
      </c>
      <c r="G123" s="820" t="s">
        <v>4338</v>
      </c>
    </row>
    <row r="124" spans="1:9" x14ac:dyDescent="0.25">
      <c r="A124" s="710"/>
      <c r="B124" s="816" t="s">
        <v>1488</v>
      </c>
      <c r="C124" s="823"/>
      <c r="D124" s="824"/>
      <c r="E124" s="790"/>
      <c r="F124" s="790"/>
      <c r="G124" s="808"/>
    </row>
    <row r="125" spans="1:9" x14ac:dyDescent="0.25">
      <c r="A125" s="704" t="s">
        <v>4339</v>
      </c>
      <c r="B125" s="701" t="s">
        <v>1610</v>
      </c>
      <c r="C125" s="803" t="s">
        <v>4340</v>
      </c>
      <c r="D125" s="791" t="s">
        <v>5657</v>
      </c>
      <c r="E125" s="1174" t="s">
        <v>6564</v>
      </c>
      <c r="F125" s="1174" t="s">
        <v>6565</v>
      </c>
      <c r="G125" s="792" t="s">
        <v>6566</v>
      </c>
    </row>
    <row r="126" spans="1:9" x14ac:dyDescent="0.25">
      <c r="A126" s="705"/>
      <c r="B126" s="370" t="s">
        <v>1607</v>
      </c>
      <c r="C126" s="803" t="s">
        <v>4341</v>
      </c>
      <c r="D126" s="791" t="s">
        <v>5658</v>
      </c>
      <c r="E126" s="1175"/>
      <c r="F126" s="1175"/>
      <c r="G126" s="792" t="s">
        <v>6566</v>
      </c>
    </row>
    <row r="127" spans="1:9" x14ac:dyDescent="0.25">
      <c r="A127" s="705"/>
      <c r="B127" s="370"/>
      <c r="C127" s="803" t="s">
        <v>4342</v>
      </c>
      <c r="D127" s="791" t="s">
        <v>5659</v>
      </c>
      <c r="E127" s="1175"/>
      <c r="F127" s="1175"/>
      <c r="G127" s="792" t="s">
        <v>6566</v>
      </c>
    </row>
    <row r="128" spans="1:9" x14ac:dyDescent="0.25">
      <c r="A128" s="705"/>
      <c r="B128" s="370"/>
      <c r="C128" s="803" t="s">
        <v>4343</v>
      </c>
      <c r="D128" s="791" t="s">
        <v>5660</v>
      </c>
      <c r="E128" s="1175"/>
      <c r="F128" s="1175"/>
      <c r="G128" s="792" t="s">
        <v>6566</v>
      </c>
    </row>
    <row r="129" spans="1:9" x14ac:dyDescent="0.25">
      <c r="A129" s="705"/>
      <c r="B129" s="370"/>
      <c r="C129" s="803" t="s">
        <v>4344</v>
      </c>
      <c r="D129" s="791" t="s">
        <v>5661</v>
      </c>
      <c r="E129" s="1175"/>
      <c r="F129" s="1175"/>
      <c r="G129" s="792" t="s">
        <v>6566</v>
      </c>
    </row>
    <row r="130" spans="1:9" x14ac:dyDescent="0.25">
      <c r="A130" s="711"/>
      <c r="B130" s="795"/>
      <c r="C130" s="803" t="s">
        <v>4345</v>
      </c>
      <c r="D130" s="791" t="s">
        <v>5662</v>
      </c>
      <c r="E130" s="1176"/>
      <c r="F130" s="1176"/>
      <c r="G130" s="792" t="s">
        <v>6566</v>
      </c>
    </row>
    <row r="131" spans="1:9" x14ac:dyDescent="0.25">
      <c r="A131" s="709" t="s">
        <v>4346</v>
      </c>
      <c r="B131" s="800" t="s">
        <v>1599</v>
      </c>
      <c r="C131" s="819" t="s">
        <v>4317</v>
      </c>
      <c r="D131" s="822" t="s">
        <v>4347</v>
      </c>
      <c r="E131" s="785"/>
      <c r="F131" s="785"/>
      <c r="G131" s="820" t="s">
        <v>4348</v>
      </c>
    </row>
    <row r="132" spans="1:9" x14ac:dyDescent="0.25">
      <c r="A132" s="710"/>
      <c r="B132" s="816" t="s">
        <v>1606</v>
      </c>
      <c r="C132" s="823"/>
      <c r="D132" s="824"/>
      <c r="E132" s="790"/>
      <c r="F132" s="790"/>
      <c r="G132" s="808"/>
    </row>
    <row r="133" spans="1:9" x14ac:dyDescent="0.25">
      <c r="A133" s="711" t="s">
        <v>4349</v>
      </c>
      <c r="B133" s="708" t="s">
        <v>467</v>
      </c>
      <c r="C133" s="817" t="s">
        <v>4317</v>
      </c>
      <c r="D133" s="826" t="s">
        <v>4350</v>
      </c>
      <c r="E133" s="795"/>
      <c r="F133" s="795"/>
      <c r="G133" s="794" t="s">
        <v>4351</v>
      </c>
      <c r="I133" s="638"/>
    </row>
    <row r="134" spans="1:9" x14ac:dyDescent="0.25">
      <c r="A134" s="709" t="s">
        <v>4352</v>
      </c>
      <c r="B134" s="872" t="s">
        <v>467</v>
      </c>
      <c r="C134" s="819" t="s">
        <v>4317</v>
      </c>
      <c r="D134" s="827" t="s">
        <v>5852</v>
      </c>
      <c r="E134" s="827" t="s">
        <v>6557</v>
      </c>
      <c r="F134" s="787" t="s">
        <v>6558</v>
      </c>
      <c r="G134" s="833" t="s">
        <v>5663</v>
      </c>
    </row>
    <row r="135" spans="1:9" x14ac:dyDescent="0.25">
      <c r="A135" s="703"/>
      <c r="B135" s="873"/>
      <c r="C135" s="823"/>
      <c r="D135" s="827" t="s">
        <v>5664</v>
      </c>
      <c r="E135" s="827" t="s">
        <v>5665</v>
      </c>
      <c r="F135" s="787" t="s">
        <v>1595</v>
      </c>
      <c r="G135" s="833" t="s">
        <v>5666</v>
      </c>
      <c r="I135" s="638"/>
    </row>
    <row r="136" spans="1:9" x14ac:dyDescent="0.25">
      <c r="A136" s="710"/>
      <c r="B136" s="874" t="s">
        <v>4855</v>
      </c>
      <c r="C136" s="818" t="s">
        <v>4317</v>
      </c>
      <c r="D136" s="827" t="s">
        <v>5853</v>
      </c>
      <c r="E136" s="827"/>
      <c r="F136" s="787"/>
      <c r="G136" s="833" t="s">
        <v>5663</v>
      </c>
    </row>
    <row r="137" spans="1:9" ht="30" x14ac:dyDescent="0.25">
      <c r="A137" s="711" t="s">
        <v>3126</v>
      </c>
      <c r="B137" s="708" t="s">
        <v>3412</v>
      </c>
      <c r="C137" s="803" t="s">
        <v>4317</v>
      </c>
      <c r="D137" s="826" t="s">
        <v>3577</v>
      </c>
      <c r="E137" s="795" t="s">
        <v>5050</v>
      </c>
      <c r="F137" s="795" t="s">
        <v>1595</v>
      </c>
      <c r="G137" s="792" t="s">
        <v>5051</v>
      </c>
      <c r="I137" s="638"/>
    </row>
    <row r="138" spans="1:9" ht="45" x14ac:dyDescent="0.25">
      <c r="A138" s="710" t="s">
        <v>3320</v>
      </c>
      <c r="B138" s="831" t="s">
        <v>5052</v>
      </c>
      <c r="C138" s="818" t="s">
        <v>4317</v>
      </c>
      <c r="D138" s="832" t="s">
        <v>5667</v>
      </c>
      <c r="E138" s="832"/>
      <c r="F138" s="787"/>
      <c r="G138" s="833" t="s">
        <v>5053</v>
      </c>
      <c r="I138" s="638"/>
    </row>
    <row r="139" spans="1:9" ht="45" x14ac:dyDescent="0.25">
      <c r="A139" s="875" t="s">
        <v>5054</v>
      </c>
      <c r="B139" s="876" t="s">
        <v>5052</v>
      </c>
      <c r="C139" s="877" t="s">
        <v>4317</v>
      </c>
      <c r="D139" s="878" t="s">
        <v>5667</v>
      </c>
      <c r="E139" s="878"/>
      <c r="F139" s="879"/>
      <c r="G139" s="880" t="s">
        <v>5053</v>
      </c>
      <c r="I139" s="638"/>
    </row>
    <row r="140" spans="1:9" ht="150" x14ac:dyDescent="0.25">
      <c r="A140" s="815" t="s">
        <v>5055</v>
      </c>
      <c r="B140" s="831" t="s">
        <v>5052</v>
      </c>
      <c r="C140" s="818" t="s">
        <v>4317</v>
      </c>
      <c r="D140" s="832" t="s">
        <v>5668</v>
      </c>
      <c r="E140" s="832"/>
      <c r="F140" s="787"/>
      <c r="G140" s="833" t="s">
        <v>5053</v>
      </c>
      <c r="I140" s="638"/>
    </row>
    <row r="141" spans="1:9" ht="105" x14ac:dyDescent="0.25">
      <c r="A141" s="711" t="s">
        <v>5056</v>
      </c>
      <c r="B141" s="829" t="s">
        <v>5052</v>
      </c>
      <c r="C141" s="803" t="s">
        <v>4317</v>
      </c>
      <c r="D141" s="830" t="s">
        <v>5669</v>
      </c>
      <c r="E141" s="830"/>
      <c r="F141" s="791"/>
      <c r="G141" s="828" t="s">
        <v>5053</v>
      </c>
    </row>
    <row r="142" spans="1:9" x14ac:dyDescent="0.25">
      <c r="A142" s="710" t="s">
        <v>5057</v>
      </c>
      <c r="B142" s="831" t="s">
        <v>5052</v>
      </c>
      <c r="C142" s="818" t="s">
        <v>4317</v>
      </c>
      <c r="D142" s="827" t="s">
        <v>3577</v>
      </c>
      <c r="E142" s="787" t="s">
        <v>5058</v>
      </c>
      <c r="F142" s="787" t="s">
        <v>6542</v>
      </c>
      <c r="G142" s="788" t="s">
        <v>6559</v>
      </c>
    </row>
    <row r="143" spans="1:9" ht="45" x14ac:dyDescent="0.25">
      <c r="A143" s="711" t="s">
        <v>5059</v>
      </c>
      <c r="B143" s="881" t="s">
        <v>5052</v>
      </c>
      <c r="C143" s="803" t="s">
        <v>4317</v>
      </c>
      <c r="D143" s="804" t="s">
        <v>3577</v>
      </c>
      <c r="E143" s="795" t="s">
        <v>5060</v>
      </c>
      <c r="F143" s="795" t="s">
        <v>1595</v>
      </c>
      <c r="G143" s="792" t="s">
        <v>5061</v>
      </c>
    </row>
    <row r="144" spans="1:9" x14ac:dyDescent="0.25">
      <c r="A144" s="786" t="s">
        <v>5062</v>
      </c>
      <c r="B144" s="837" t="s">
        <v>5052</v>
      </c>
      <c r="C144" s="818" t="s">
        <v>4317</v>
      </c>
      <c r="D144" s="827" t="s">
        <v>3577</v>
      </c>
      <c r="E144" s="790" t="s">
        <v>5063</v>
      </c>
      <c r="F144" s="787" t="s">
        <v>6542</v>
      </c>
      <c r="G144" s="788" t="s">
        <v>6559</v>
      </c>
    </row>
    <row r="145" spans="1:9" ht="45" customHeight="1" x14ac:dyDescent="0.25">
      <c r="A145" s="711" t="s">
        <v>5064</v>
      </c>
      <c r="B145" s="881" t="s">
        <v>5052</v>
      </c>
      <c r="C145" s="803" t="s">
        <v>5065</v>
      </c>
      <c r="D145" s="826" t="s">
        <v>3577</v>
      </c>
      <c r="E145" s="795" t="s">
        <v>5116</v>
      </c>
      <c r="F145" s="795" t="s">
        <v>5066</v>
      </c>
      <c r="G145" s="792" t="s">
        <v>5067</v>
      </c>
    </row>
    <row r="146" spans="1:9" ht="45" x14ac:dyDescent="0.25">
      <c r="A146" s="799" t="s">
        <v>5117</v>
      </c>
      <c r="B146" s="788" t="s">
        <v>5068</v>
      </c>
      <c r="C146" s="818" t="s">
        <v>5069</v>
      </c>
      <c r="D146" s="827" t="s">
        <v>5070</v>
      </c>
      <c r="E146" s="836" t="s">
        <v>5071</v>
      </c>
      <c r="F146" s="787" t="s">
        <v>1595</v>
      </c>
      <c r="G146" s="1177" t="s">
        <v>5072</v>
      </c>
    </row>
    <row r="147" spans="1:9" ht="45" x14ac:dyDescent="0.25">
      <c r="A147" s="703"/>
      <c r="B147" s="788" t="s">
        <v>5073</v>
      </c>
      <c r="C147" s="818" t="s">
        <v>5074</v>
      </c>
      <c r="D147" s="827" t="s">
        <v>5075</v>
      </c>
      <c r="E147" s="836" t="s">
        <v>5076</v>
      </c>
      <c r="F147" s="787" t="s">
        <v>1595</v>
      </c>
      <c r="G147" s="1178"/>
    </row>
    <row r="148" spans="1:9" ht="60" x14ac:dyDescent="0.25">
      <c r="A148" s="703"/>
      <c r="B148" s="837" t="s">
        <v>5052</v>
      </c>
      <c r="C148" s="818" t="s">
        <v>5077</v>
      </c>
      <c r="D148" s="827" t="s">
        <v>3577</v>
      </c>
      <c r="E148" s="836" t="s">
        <v>5078</v>
      </c>
      <c r="F148" s="787" t="s">
        <v>1595</v>
      </c>
      <c r="G148" s="1178"/>
    </row>
    <row r="149" spans="1:9" ht="60" x14ac:dyDescent="0.25">
      <c r="A149" s="703"/>
      <c r="B149" s="837" t="s">
        <v>5052</v>
      </c>
      <c r="C149" s="818" t="s">
        <v>5079</v>
      </c>
      <c r="D149" s="827" t="s">
        <v>3577</v>
      </c>
      <c r="E149" s="836" t="s">
        <v>5080</v>
      </c>
      <c r="F149" s="787" t="s">
        <v>1595</v>
      </c>
      <c r="G149" s="1178"/>
    </row>
    <row r="150" spans="1:9" ht="45" customHeight="1" x14ac:dyDescent="0.25">
      <c r="A150" s="710"/>
      <c r="B150" s="837" t="s">
        <v>5052</v>
      </c>
      <c r="C150" s="818" t="s">
        <v>5081</v>
      </c>
      <c r="D150" s="827" t="s">
        <v>3577</v>
      </c>
      <c r="E150" s="836" t="s">
        <v>5082</v>
      </c>
      <c r="F150" s="787" t="s">
        <v>1595</v>
      </c>
      <c r="G150" s="1179"/>
    </row>
    <row r="151" spans="1:9" ht="45" x14ac:dyDescent="0.25">
      <c r="A151" s="809" t="s">
        <v>5118</v>
      </c>
      <c r="B151" s="882" t="s">
        <v>5083</v>
      </c>
      <c r="C151" s="803" t="s">
        <v>5074</v>
      </c>
      <c r="D151" s="883" t="s">
        <v>5084</v>
      </c>
      <c r="E151" s="835" t="s">
        <v>5085</v>
      </c>
      <c r="F151" s="795" t="s">
        <v>1595</v>
      </c>
      <c r="G151" s="1180" t="s">
        <v>5072</v>
      </c>
    </row>
    <row r="152" spans="1:9" ht="45" x14ac:dyDescent="0.25">
      <c r="A152" s="370"/>
      <c r="B152" s="882" t="s">
        <v>5086</v>
      </c>
      <c r="C152" s="803" t="s">
        <v>5069</v>
      </c>
      <c r="D152" s="883" t="s">
        <v>5087</v>
      </c>
      <c r="E152" s="835" t="s">
        <v>5088</v>
      </c>
      <c r="F152" s="795" t="s">
        <v>1595</v>
      </c>
      <c r="G152" s="1181"/>
    </row>
    <row r="153" spans="1:9" ht="30" x14ac:dyDescent="0.25">
      <c r="A153" s="370"/>
      <c r="B153" s="834" t="s">
        <v>5052</v>
      </c>
      <c r="C153" s="803" t="s">
        <v>5079</v>
      </c>
      <c r="D153" s="883" t="s">
        <v>3577</v>
      </c>
      <c r="E153" s="835" t="s">
        <v>5089</v>
      </c>
      <c r="F153" s="795" t="s">
        <v>1595</v>
      </c>
      <c r="G153" s="1181"/>
    </row>
    <row r="154" spans="1:9" ht="30" x14ac:dyDescent="0.25">
      <c r="A154" s="370"/>
      <c r="B154" s="834" t="s">
        <v>5052</v>
      </c>
      <c r="C154" s="803" t="s">
        <v>5081</v>
      </c>
      <c r="D154" s="883" t="s">
        <v>3577</v>
      </c>
      <c r="E154" s="835" t="s">
        <v>5090</v>
      </c>
      <c r="F154" s="795" t="s">
        <v>1595</v>
      </c>
      <c r="G154" s="1181"/>
    </row>
    <row r="155" spans="1:9" ht="45" x14ac:dyDescent="0.25">
      <c r="A155" s="795"/>
      <c r="B155" s="834" t="s">
        <v>5052</v>
      </c>
      <c r="C155" s="803" t="s">
        <v>5091</v>
      </c>
      <c r="D155" s="883" t="s">
        <v>3577</v>
      </c>
      <c r="E155" s="835" t="s">
        <v>5092</v>
      </c>
      <c r="F155" s="795" t="s">
        <v>1595</v>
      </c>
      <c r="G155" s="1182"/>
    </row>
    <row r="156" spans="1:9" x14ac:dyDescent="0.25">
      <c r="A156" s="638" t="s">
        <v>6560</v>
      </c>
      <c r="B156" s="227"/>
      <c r="G156" s="638"/>
      <c r="I156" s="638"/>
    </row>
    <row r="157" spans="1:9" ht="33.75" customHeight="1" x14ac:dyDescent="0.25">
      <c r="A157" s="1173" t="s">
        <v>6561</v>
      </c>
      <c r="B157" s="1173"/>
      <c r="C157" s="1173"/>
      <c r="D157" s="1173"/>
      <c r="E157" s="1173"/>
      <c r="F157" s="1173"/>
      <c r="G157" s="1173"/>
    </row>
  </sheetData>
  <sheetProtection algorithmName="SHA-512" hashValue="5TqlSrpeV5c0O5MisQsglX2FXv3frl7ZiPnqvt7teJgNLrUHsKm0aMXYELlCZ8dZiUWXtpcV6ValSWkcWgdWhA==" saltValue="Y7JTYLukUTuRt68EinW+0A==" spinCount="100000" sheet="1" objects="1" scenarios="1"/>
  <mergeCells count="5">
    <mergeCell ref="A157:G157"/>
    <mergeCell ref="E125:E130"/>
    <mergeCell ref="F125:F130"/>
    <mergeCell ref="G146:G150"/>
    <mergeCell ref="G151:G155"/>
  </mergeCells>
  <hyperlinks>
    <hyperlink ref="A2" location="TOC!A1" display="Return to TOC" xr:uid="{CBD42176-E7F5-46CB-AA18-C012CC6DEE05}"/>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7" tint="0.79998168889431442"/>
    <pageSetUpPr autoPageBreaks="0"/>
  </sheetPr>
  <dimension ref="A1:AF104"/>
  <sheetViews>
    <sheetView workbookViewId="0">
      <selection sqref="A1:AF1"/>
    </sheetView>
  </sheetViews>
  <sheetFormatPr defaultColWidth="2.7109375" defaultRowHeight="15" x14ac:dyDescent="0.25"/>
  <sheetData>
    <row r="1" spans="1:32" ht="18.75" x14ac:dyDescent="0.25">
      <c r="A1" s="1464" t="s">
        <v>4787</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x14ac:dyDescent="0.25">
      <c r="A2" s="655" t="s">
        <v>1702</v>
      </c>
    </row>
    <row r="3" spans="1:32"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row>
    <row r="4" spans="1:32"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row>
    <row r="5" spans="1:32" x14ac:dyDescent="0.25">
      <c r="A5" s="262"/>
      <c r="B5" s="1589" t="s">
        <v>4788</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9" spans="1:32" x14ac:dyDescent="0.25">
      <c r="B9" s="171" t="s">
        <v>10</v>
      </c>
      <c r="C9" s="171"/>
      <c r="D9" s="171"/>
      <c r="E9" s="171"/>
      <c r="F9" s="171"/>
      <c r="G9" s="171"/>
      <c r="H9" s="171"/>
      <c r="I9" s="171"/>
      <c r="J9" s="1"/>
      <c r="K9" s="1"/>
      <c r="L9" s="1"/>
      <c r="M9" s="1"/>
      <c r="N9" s="1"/>
      <c r="O9" s="1"/>
      <c r="P9" s="1"/>
      <c r="Q9" s="1"/>
      <c r="R9" s="1"/>
      <c r="S9" s="1"/>
      <c r="T9" s="1"/>
      <c r="U9" s="1"/>
      <c r="V9" s="1"/>
      <c r="W9" s="1"/>
      <c r="X9" s="1"/>
      <c r="Y9" s="1"/>
      <c r="Z9" s="1"/>
      <c r="AA9" s="1"/>
      <c r="AB9" s="1"/>
      <c r="AC9" s="1"/>
      <c r="AD9" s="1"/>
      <c r="AE9" s="1"/>
      <c r="AF9" s="1"/>
    </row>
    <row r="10" spans="1:32" ht="140.25" customHeight="1" x14ac:dyDescent="0.25">
      <c r="B10" s="1173" t="s">
        <v>4789</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row>
    <row r="11" spans="1:32" x14ac:dyDescent="0.25">
      <c r="B11" s="647"/>
      <c r="C11" s="647"/>
      <c r="D11" s="647"/>
      <c r="E11" s="647"/>
      <c r="F11" s="647"/>
      <c r="G11" s="647"/>
      <c r="H11" s="647"/>
      <c r="I11" s="647"/>
      <c r="J11" s="647"/>
      <c r="K11" s="647"/>
      <c r="L11" s="647"/>
      <c r="M11" s="647"/>
      <c r="N11" s="647"/>
      <c r="O11" s="647"/>
      <c r="P11" s="647"/>
      <c r="Q11" s="647"/>
      <c r="R11" s="647"/>
      <c r="S11" s="647"/>
      <c r="T11" s="647"/>
      <c r="U11" s="647"/>
      <c r="V11" s="647"/>
      <c r="W11" s="647"/>
      <c r="X11" s="647"/>
      <c r="Y11" s="647"/>
      <c r="Z11" s="647"/>
      <c r="AA11" s="647"/>
      <c r="AB11" s="647"/>
      <c r="AC11" s="647"/>
      <c r="AD11" s="647"/>
      <c r="AE11" s="647"/>
      <c r="AF11" s="647"/>
    </row>
    <row r="12" spans="1:32" ht="87.75" customHeight="1" x14ac:dyDescent="0.25">
      <c r="B12" s="1173" t="s">
        <v>4790</v>
      </c>
      <c r="C12" s="1173"/>
      <c r="D12" s="1173"/>
      <c r="E12" s="1173"/>
      <c r="F12" s="1173"/>
      <c r="G12" s="1173"/>
      <c r="H12" s="1173"/>
      <c r="I12" s="1173"/>
      <c r="J12" s="1173"/>
      <c r="K12" s="1173"/>
      <c r="L12" s="1173"/>
      <c r="M12" s="1173"/>
      <c r="N12" s="1173"/>
      <c r="O12" s="1173"/>
      <c r="P12" s="1173"/>
      <c r="Q12" s="1173"/>
      <c r="R12" s="1173"/>
      <c r="S12" s="1173"/>
      <c r="T12" s="1173"/>
      <c r="U12" s="1173"/>
      <c r="V12" s="1173"/>
      <c r="W12" s="1173"/>
      <c r="X12" s="1173"/>
      <c r="Y12" s="1173"/>
      <c r="Z12" s="1173"/>
      <c r="AA12" s="1173"/>
      <c r="AB12" s="1173"/>
      <c r="AC12" s="1173"/>
      <c r="AD12" s="1173"/>
      <c r="AE12" s="1173"/>
      <c r="AF12" s="1173"/>
    </row>
    <row r="14" spans="1:32" x14ac:dyDescent="0.25">
      <c r="B14" s="171" t="s">
        <v>11</v>
      </c>
      <c r="C14" s="171"/>
      <c r="D14" s="171"/>
      <c r="E14" s="171"/>
      <c r="F14" s="171"/>
      <c r="G14" s="171"/>
      <c r="H14" s="171"/>
      <c r="I14" s="171"/>
      <c r="J14" s="1"/>
      <c r="K14" s="1"/>
      <c r="L14" s="1"/>
      <c r="M14" s="1"/>
      <c r="N14" s="1"/>
      <c r="O14" s="1"/>
      <c r="P14" s="1"/>
      <c r="Q14" s="1"/>
      <c r="R14" s="1"/>
      <c r="S14" s="1"/>
      <c r="T14" s="1"/>
      <c r="U14" s="1"/>
      <c r="V14" s="1"/>
      <c r="W14" s="1"/>
      <c r="X14" s="1"/>
      <c r="Y14" s="1"/>
      <c r="Z14" s="1"/>
      <c r="AA14" s="1"/>
      <c r="AB14" s="1"/>
      <c r="AC14" s="1"/>
      <c r="AD14" s="1"/>
      <c r="AE14" s="1"/>
      <c r="AF14" s="1"/>
    </row>
    <row r="15" spans="1:32" x14ac:dyDescent="0.25">
      <c r="B15" s="335" t="s">
        <v>1453</v>
      </c>
      <c r="C15" s="1247" t="s">
        <v>4791</v>
      </c>
      <c r="D15" s="1247"/>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row>
    <row r="16" spans="1:32" x14ac:dyDescent="0.25">
      <c r="B16" s="335" t="s">
        <v>1454</v>
      </c>
      <c r="C16" s="1247" t="s">
        <v>4792</v>
      </c>
      <c r="D16" s="1247"/>
      <c r="E16" s="1247"/>
      <c r="F16" s="1247"/>
      <c r="G16" s="1247"/>
      <c r="H16" s="1247"/>
      <c r="I16" s="1247"/>
      <c r="J16" s="1247"/>
      <c r="K16" s="1247"/>
      <c r="L16" s="1247"/>
      <c r="M16" s="1247"/>
      <c r="N16" s="1247"/>
      <c r="O16" s="1247"/>
      <c r="P16" s="1247"/>
      <c r="Q16" s="1247"/>
      <c r="R16" s="1247"/>
      <c r="S16" s="1247"/>
      <c r="T16" s="1247"/>
      <c r="U16" s="1247"/>
      <c r="V16" s="1247"/>
      <c r="W16" s="1247"/>
      <c r="X16" s="1247"/>
      <c r="Y16" s="1247"/>
      <c r="Z16" s="1247"/>
      <c r="AA16" s="1247"/>
      <c r="AB16" s="1247"/>
      <c r="AC16" s="1247"/>
      <c r="AD16" s="1247"/>
      <c r="AE16" s="1247"/>
      <c r="AF16" s="1247"/>
    </row>
    <row r="17" spans="1:32" x14ac:dyDescent="0.25">
      <c r="B17" s="335" t="s">
        <v>3012</v>
      </c>
      <c r="C17" s="1247" t="s">
        <v>4793</v>
      </c>
      <c r="D17" s="1247"/>
      <c r="E17" s="1247"/>
      <c r="F17" s="1247"/>
      <c r="G17" s="1247"/>
      <c r="H17" s="1247"/>
      <c r="I17" s="1247"/>
      <c r="J17" s="1247"/>
      <c r="K17" s="1247"/>
      <c r="L17" s="1247"/>
      <c r="M17" s="1247"/>
      <c r="N17" s="1247"/>
      <c r="O17" s="1247"/>
      <c r="P17" s="1247"/>
      <c r="Q17" s="1247"/>
      <c r="R17" s="1247"/>
      <c r="S17" s="1247"/>
      <c r="T17" s="1247"/>
      <c r="U17" s="1247"/>
      <c r="V17" s="1247"/>
      <c r="W17" s="1247"/>
      <c r="X17" s="1247"/>
      <c r="Y17" s="1247"/>
      <c r="Z17" s="1247"/>
      <c r="AA17" s="1247"/>
      <c r="AB17" s="1247"/>
      <c r="AC17" s="1247"/>
      <c r="AD17" s="1247"/>
      <c r="AE17" s="1247"/>
      <c r="AF17" s="1247"/>
    </row>
    <row r="18" spans="1:32" ht="76.5" customHeight="1" x14ac:dyDescent="0.25">
      <c r="B18" s="335" t="s">
        <v>4794</v>
      </c>
      <c r="C18" s="1247" t="s">
        <v>4795</v>
      </c>
      <c r="D18" s="1247"/>
      <c r="E18" s="1247"/>
      <c r="F18" s="1247"/>
      <c r="G18" s="1247"/>
      <c r="H18" s="1247"/>
      <c r="I18" s="1247"/>
      <c r="J18" s="1247"/>
      <c r="K18" s="1247"/>
      <c r="L18" s="1247"/>
      <c r="M18" s="1247"/>
      <c r="N18" s="1247"/>
      <c r="O18" s="1247"/>
      <c r="P18" s="1247"/>
      <c r="Q18" s="1247"/>
      <c r="R18" s="1247"/>
      <c r="S18" s="1247"/>
      <c r="T18" s="1247"/>
      <c r="U18" s="1247"/>
      <c r="V18" s="1247"/>
      <c r="W18" s="1247"/>
      <c r="X18" s="1247"/>
      <c r="Y18" s="1247"/>
      <c r="Z18" s="1247"/>
      <c r="AA18" s="1247"/>
      <c r="AB18" s="1247"/>
      <c r="AC18" s="1247"/>
      <c r="AD18" s="1247"/>
      <c r="AE18" s="1247"/>
      <c r="AF18" s="1247"/>
    </row>
    <row r="19" spans="1:32" ht="35.25" customHeight="1" x14ac:dyDescent="0.25">
      <c r="B19" s="335" t="s">
        <v>4796</v>
      </c>
      <c r="C19" s="1247" t="s">
        <v>4797</v>
      </c>
      <c r="D19" s="1247"/>
      <c r="E19" s="1247"/>
      <c r="F19" s="1247"/>
      <c r="G19" s="1247"/>
      <c r="H19" s="1247"/>
      <c r="I19" s="1247"/>
      <c r="J19" s="1247"/>
      <c r="K19" s="1247"/>
      <c r="L19" s="1247"/>
      <c r="M19" s="1247"/>
      <c r="N19" s="1247"/>
      <c r="O19" s="1247"/>
      <c r="P19" s="1247"/>
      <c r="Q19" s="1247"/>
      <c r="R19" s="1247"/>
      <c r="S19" s="1247"/>
      <c r="T19" s="1247"/>
      <c r="U19" s="1247"/>
      <c r="V19" s="1247"/>
      <c r="W19" s="1247"/>
      <c r="X19" s="1247"/>
      <c r="Y19" s="1247"/>
      <c r="Z19" s="1247"/>
      <c r="AA19" s="1247"/>
      <c r="AB19" s="1247"/>
      <c r="AC19" s="1247"/>
      <c r="AD19" s="1247"/>
      <c r="AE19" s="1247"/>
      <c r="AF19" s="1247"/>
    </row>
    <row r="21" spans="1:32" x14ac:dyDescent="0.25">
      <c r="B21" s="171" t="s">
        <v>12</v>
      </c>
      <c r="C21" s="171"/>
      <c r="D21" s="171"/>
      <c r="E21" s="171"/>
      <c r="F21" s="171"/>
      <c r="G21" s="171"/>
    </row>
    <row r="22" spans="1:32" ht="32.25" customHeight="1" x14ac:dyDescent="0.25">
      <c r="B22" s="1247" t="s">
        <v>4798</v>
      </c>
      <c r="C22" s="1247"/>
      <c r="D22" s="1247"/>
      <c r="E22" s="1247"/>
      <c r="F22" s="1247"/>
      <c r="G22" s="1247"/>
      <c r="H22" s="1247"/>
      <c r="I22" s="1247"/>
      <c r="J22" s="1247"/>
      <c r="K22" s="1247"/>
      <c r="L22" s="1247"/>
      <c r="M22" s="1247"/>
      <c r="N22" s="1247"/>
      <c r="O22" s="1247"/>
      <c r="P22" s="1247"/>
      <c r="Q22" s="1247"/>
      <c r="R22" s="1247"/>
      <c r="S22" s="1247"/>
      <c r="T22" s="1247"/>
      <c r="U22" s="1247"/>
      <c r="V22" s="1247"/>
      <c r="W22" s="1247"/>
      <c r="X22" s="1247"/>
      <c r="Y22" s="1247"/>
      <c r="Z22" s="1247"/>
      <c r="AA22" s="1247"/>
      <c r="AB22" s="1247"/>
      <c r="AC22" s="1247"/>
      <c r="AD22" s="1247"/>
      <c r="AE22" s="1247"/>
      <c r="AF22" s="1247"/>
    </row>
    <row r="24" spans="1:32" x14ac:dyDescent="0.25">
      <c r="B24" s="171" t="s">
        <v>13</v>
      </c>
      <c r="C24" s="171"/>
      <c r="D24" s="171"/>
      <c r="E24" s="171"/>
      <c r="F24" s="171"/>
      <c r="G24" s="171"/>
      <c r="H24" s="171"/>
      <c r="I24" s="171"/>
      <c r="J24" s="1"/>
      <c r="K24" s="1"/>
      <c r="L24" s="1"/>
      <c r="M24" s="1"/>
    </row>
    <row r="25" spans="1:32" ht="63.75" customHeight="1" x14ac:dyDescent="0.25">
      <c r="B25" s="1247" t="s">
        <v>4799</v>
      </c>
      <c r="C25" s="1247"/>
      <c r="D25" s="1247"/>
      <c r="E25" s="1247"/>
      <c r="F25" s="1247"/>
      <c r="G25" s="1247"/>
      <c r="H25" s="1247"/>
      <c r="I25" s="1247"/>
      <c r="J25" s="1247"/>
      <c r="K25" s="1247"/>
      <c r="L25" s="1247"/>
      <c r="M25" s="1247"/>
      <c r="N25" s="1247"/>
      <c r="O25" s="1247"/>
      <c r="P25" s="1247"/>
      <c r="Q25" s="1247"/>
      <c r="R25" s="1247"/>
      <c r="S25" s="1247"/>
      <c r="T25" s="1247"/>
      <c r="U25" s="1247"/>
      <c r="V25" s="1247"/>
      <c r="W25" s="1247"/>
      <c r="X25" s="1247"/>
      <c r="Y25" s="1247"/>
      <c r="Z25" s="1247"/>
      <c r="AA25" s="1247"/>
      <c r="AB25" s="1247"/>
      <c r="AC25" s="1247"/>
      <c r="AD25" s="1247"/>
      <c r="AE25" s="1247"/>
      <c r="AF25" s="1247"/>
    </row>
    <row r="27" spans="1:32" x14ac:dyDescent="0.25">
      <c r="B27" s="171" t="s">
        <v>20</v>
      </c>
      <c r="C27" s="171"/>
      <c r="D27" s="171"/>
      <c r="E27" s="171"/>
      <c r="F27" s="171"/>
      <c r="G27" s="171"/>
      <c r="H27" s="171"/>
      <c r="I27" s="171"/>
      <c r="J27" s="1"/>
      <c r="K27" s="1"/>
      <c r="L27" s="1"/>
      <c r="M27" s="1"/>
      <c r="N27" s="1"/>
    </row>
    <row r="28" spans="1:32" ht="112.5" customHeight="1" x14ac:dyDescent="0.25">
      <c r="B28" s="1247" t="s">
        <v>4800</v>
      </c>
      <c r="C28" s="1247"/>
      <c r="D28" s="1247"/>
      <c r="E28" s="1247"/>
      <c r="F28" s="1247"/>
      <c r="G28" s="1247"/>
      <c r="H28" s="1247"/>
      <c r="I28" s="1247"/>
      <c r="J28" s="1247"/>
      <c r="K28" s="1247"/>
      <c r="L28" s="1247"/>
      <c r="M28" s="1247"/>
      <c r="N28" s="1247"/>
      <c r="O28" s="1247"/>
      <c r="P28" s="1247"/>
      <c r="Q28" s="1247"/>
      <c r="R28" s="1247"/>
      <c r="S28" s="1247"/>
      <c r="T28" s="1247"/>
      <c r="U28" s="1247"/>
      <c r="V28" s="1247"/>
      <c r="W28" s="1247"/>
      <c r="X28" s="1247"/>
      <c r="Y28" s="1247"/>
      <c r="Z28" s="1247"/>
      <c r="AA28" s="1247"/>
      <c r="AB28" s="1247"/>
      <c r="AC28" s="1247"/>
      <c r="AD28" s="1247"/>
      <c r="AE28" s="1247"/>
      <c r="AF28" s="1247"/>
    </row>
    <row r="30" spans="1:32" x14ac:dyDescent="0.25">
      <c r="A30" s="1472" t="s">
        <v>14</v>
      </c>
      <c r="B30" s="1472"/>
      <c r="C30" s="1472"/>
      <c r="D30" s="1472"/>
      <c r="E30" s="1472"/>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row>
    <row r="32" spans="1:32" x14ac:dyDescent="0.25">
      <c r="B32" s="519" t="s">
        <v>2303</v>
      </c>
    </row>
    <row r="34" spans="1:32" x14ac:dyDescent="0.25">
      <c r="L34" s="1"/>
      <c r="M34" s="1"/>
      <c r="N34" s="1"/>
      <c r="O34" s="1"/>
      <c r="P34" s="1"/>
      <c r="Q34" s="1"/>
      <c r="R34" s="1"/>
      <c r="S34" s="1"/>
      <c r="T34" s="1"/>
      <c r="U34" s="1"/>
      <c r="V34" s="1"/>
      <c r="W34" s="1"/>
      <c r="X34" s="1"/>
      <c r="Y34" s="1"/>
      <c r="Z34" s="1"/>
      <c r="AA34" s="1"/>
      <c r="AB34" s="1"/>
      <c r="AC34" s="1"/>
      <c r="AD34" s="1"/>
      <c r="AE34" s="1"/>
    </row>
    <row r="35" spans="1:32" x14ac:dyDescent="0.25">
      <c r="L35" s="1"/>
      <c r="M35" s="1"/>
      <c r="N35" s="1"/>
      <c r="O35" s="1"/>
      <c r="P35" s="1"/>
      <c r="Q35" s="1"/>
      <c r="R35" s="1"/>
      <c r="S35" s="1"/>
      <c r="T35" s="1"/>
      <c r="U35" s="1"/>
      <c r="V35" s="1"/>
      <c r="W35" s="1"/>
      <c r="X35" s="1"/>
      <c r="Y35" s="1"/>
      <c r="Z35" s="1"/>
      <c r="AA35" s="1"/>
      <c r="AB35" s="1"/>
      <c r="AC35" s="1"/>
      <c r="AD35" s="1"/>
      <c r="AE35" s="1"/>
      <c r="AF35" s="204" t="s">
        <v>1705</v>
      </c>
    </row>
    <row r="36" spans="1:32" x14ac:dyDescent="0.25">
      <c r="L36" s="1"/>
      <c r="M36" s="1"/>
      <c r="N36" s="1"/>
      <c r="O36" s="1"/>
      <c r="P36" s="1"/>
      <c r="Q36" s="1"/>
      <c r="R36" s="1"/>
      <c r="S36" s="1"/>
      <c r="T36" s="1"/>
      <c r="U36" s="1"/>
      <c r="V36" s="1"/>
      <c r="W36" s="1"/>
      <c r="X36" s="1"/>
      <c r="Y36" s="1"/>
      <c r="Z36" s="1"/>
      <c r="AA36" s="1"/>
      <c r="AB36" s="1"/>
      <c r="AC36" s="1"/>
      <c r="AD36" s="1"/>
      <c r="AE36" s="1"/>
      <c r="AF36" s="204"/>
    </row>
    <row r="37" spans="1:32" x14ac:dyDescent="0.25">
      <c r="L37" s="1"/>
      <c r="M37" s="1"/>
      <c r="N37" s="1"/>
      <c r="O37" s="1"/>
      <c r="P37" s="1"/>
      <c r="Q37" s="1"/>
      <c r="R37" s="1"/>
      <c r="S37" s="1"/>
      <c r="T37" s="1"/>
      <c r="U37" s="1"/>
      <c r="V37" s="1"/>
      <c r="W37" s="1"/>
      <c r="X37" s="1"/>
      <c r="Y37" s="1"/>
      <c r="Z37" s="1"/>
      <c r="AA37" s="1"/>
      <c r="AB37" s="1"/>
      <c r="AC37" s="1"/>
      <c r="AD37" s="1"/>
      <c r="AE37" s="1"/>
      <c r="AF37" s="1"/>
    </row>
    <row r="38" spans="1:32" x14ac:dyDescent="0.25">
      <c r="B38" s="519" t="s">
        <v>2194</v>
      </c>
      <c r="L38" s="1"/>
      <c r="M38" s="1"/>
      <c r="N38" s="1"/>
      <c r="O38" s="1"/>
      <c r="P38" s="1"/>
      <c r="Q38" s="1"/>
      <c r="R38" s="1"/>
      <c r="S38" s="1"/>
      <c r="T38" s="1"/>
      <c r="U38" s="1"/>
      <c r="V38" s="1"/>
      <c r="W38" s="1"/>
      <c r="X38" s="1"/>
      <c r="Y38" s="1"/>
      <c r="Z38" s="1"/>
      <c r="AA38" s="1"/>
      <c r="AB38" s="1"/>
      <c r="AC38" s="1"/>
      <c r="AD38" s="1"/>
      <c r="AE38" s="1"/>
      <c r="AF38" s="1"/>
    </row>
    <row r="40" spans="1:32" x14ac:dyDescent="0.25">
      <c r="A40" s="415"/>
      <c r="B40" s="415"/>
      <c r="C40" s="415"/>
      <c r="D40" s="415"/>
      <c r="E40" s="415"/>
      <c r="F40" s="415"/>
      <c r="G40" s="415"/>
      <c r="H40" s="415"/>
      <c r="I40" s="415"/>
      <c r="J40" s="415"/>
      <c r="K40" s="19"/>
      <c r="AF40" s="19" t="s">
        <v>1706</v>
      </c>
    </row>
    <row r="41" spans="1:32" x14ac:dyDescent="0.25">
      <c r="A41" s="415"/>
      <c r="B41" s="415"/>
      <c r="C41" s="415"/>
      <c r="D41" s="415"/>
      <c r="E41" s="415"/>
      <c r="F41" s="415"/>
      <c r="G41" s="415"/>
      <c r="H41" s="415"/>
      <c r="I41" s="415"/>
      <c r="J41" s="415"/>
      <c r="K41" s="19"/>
    </row>
    <row r="42" spans="1:32" x14ac:dyDescent="0.25">
      <c r="A42" s="415"/>
      <c r="B42" s="519" t="s">
        <v>1998</v>
      </c>
      <c r="C42" s="415"/>
      <c r="D42" s="415"/>
      <c r="E42" s="415"/>
      <c r="F42" s="415"/>
      <c r="G42" s="415"/>
      <c r="H42" s="415"/>
      <c r="I42" s="415"/>
      <c r="J42" s="415"/>
      <c r="K42" s="19"/>
    </row>
    <row r="43" spans="1:32" x14ac:dyDescent="0.25">
      <c r="A43" s="415"/>
      <c r="B43" s="519"/>
      <c r="C43" s="415"/>
      <c r="D43" s="415"/>
      <c r="E43" s="415"/>
      <c r="F43" s="415"/>
      <c r="G43" s="415"/>
      <c r="H43" s="415"/>
      <c r="I43" s="415"/>
      <c r="J43" s="415"/>
      <c r="K43" s="19"/>
    </row>
    <row r="44" spans="1:32" x14ac:dyDescent="0.25">
      <c r="AF44" s="19" t="s">
        <v>1707</v>
      </c>
    </row>
    <row r="46" spans="1:32" x14ac:dyDescent="0.25">
      <c r="A46" s="1148" t="s">
        <v>15</v>
      </c>
      <c r="B46" s="1149"/>
      <c r="C46" s="1149"/>
      <c r="D46" s="1149"/>
      <c r="E46" s="1149"/>
      <c r="F46" s="1149"/>
      <c r="G46" s="1149"/>
      <c r="H46" s="1149"/>
      <c r="I46" s="1149"/>
      <c r="J46" s="1149"/>
      <c r="K46" s="1149"/>
      <c r="L46" s="1149"/>
      <c r="M46" s="1149"/>
      <c r="N46" s="1149"/>
      <c r="O46" s="1149"/>
      <c r="P46" s="1149"/>
      <c r="Q46" s="1149"/>
      <c r="R46" s="1149"/>
      <c r="S46" s="1149"/>
      <c r="T46" s="1149"/>
      <c r="U46" s="1149"/>
      <c r="V46" s="1149"/>
      <c r="W46" s="1149"/>
      <c r="X46" s="1149"/>
      <c r="Y46" s="1149"/>
      <c r="Z46" s="1149"/>
      <c r="AA46" s="1149"/>
      <c r="AB46" s="1149"/>
      <c r="AC46" s="1149"/>
      <c r="AD46" s="1149"/>
      <c r="AE46" s="1149"/>
      <c r="AF46" s="1150"/>
    </row>
    <row r="47" spans="1:32" x14ac:dyDescent="0.25">
      <c r="A47" s="1474" t="s">
        <v>16</v>
      </c>
      <c r="B47" s="1474"/>
      <c r="C47" s="1474"/>
      <c r="D47" s="1474"/>
      <c r="E47" s="1514" t="s">
        <v>10</v>
      </c>
      <c r="F47" s="1515"/>
      <c r="G47" s="1515"/>
      <c r="H47" s="1515"/>
      <c r="I47" s="1515"/>
      <c r="J47" s="1515"/>
      <c r="K47" s="1515"/>
      <c r="L47" s="1515"/>
      <c r="M47" s="1516"/>
      <c r="N47" s="3219" t="s">
        <v>17</v>
      </c>
      <c r="O47" s="3220"/>
      <c r="P47" s="3220"/>
      <c r="Q47" s="3220"/>
      <c r="R47" s="3220"/>
      <c r="S47" s="3221"/>
      <c r="T47" s="1474" t="s">
        <v>18</v>
      </c>
      <c r="U47" s="1474"/>
      <c r="V47" s="1474"/>
      <c r="W47" s="1603" t="s">
        <v>1708</v>
      </c>
      <c r="X47" s="1603"/>
      <c r="Y47" s="1603"/>
      <c r="Z47" s="1603"/>
      <c r="AA47" s="1603"/>
      <c r="AB47" s="1603"/>
      <c r="AC47" s="1603"/>
      <c r="AD47" s="1603"/>
      <c r="AE47" s="1603"/>
      <c r="AF47" s="1603"/>
    </row>
    <row r="48" spans="1:32" ht="52.5" customHeight="1" x14ac:dyDescent="0.25">
      <c r="A48" s="1134" t="s">
        <v>4801</v>
      </c>
      <c r="B48" s="1134"/>
      <c r="C48" s="1134"/>
      <c r="D48" s="1134"/>
      <c r="E48" s="1479" t="s">
        <v>4802</v>
      </c>
      <c r="F48" s="1480"/>
      <c r="G48" s="1480"/>
      <c r="H48" s="1480"/>
      <c r="I48" s="1480"/>
      <c r="J48" s="1480"/>
      <c r="K48" s="1480"/>
      <c r="L48" s="1480"/>
      <c r="M48" s="1481"/>
      <c r="N48" s="2127" t="s">
        <v>626</v>
      </c>
      <c r="O48" s="2128"/>
      <c r="P48" s="2128"/>
      <c r="Q48" s="2128"/>
      <c r="R48" s="2128"/>
      <c r="S48" s="2129"/>
      <c r="T48" s="1606" t="s">
        <v>4803</v>
      </c>
      <c r="U48" s="1606"/>
      <c r="V48" s="1606"/>
      <c r="W48" s="2901" t="s">
        <v>4804</v>
      </c>
      <c r="X48" s="2902"/>
      <c r="Y48" s="2902"/>
      <c r="Z48" s="2902"/>
      <c r="AA48" s="2902"/>
      <c r="AB48" s="2902"/>
      <c r="AC48" s="2902"/>
      <c r="AD48" s="2902"/>
      <c r="AE48" s="2902"/>
      <c r="AF48" s="2903"/>
    </row>
    <row r="49" spans="1:32" ht="42" customHeight="1" x14ac:dyDescent="0.25">
      <c r="A49" s="1134" t="s">
        <v>4805</v>
      </c>
      <c r="B49" s="1134"/>
      <c r="C49" s="1134"/>
      <c r="D49" s="1134"/>
      <c r="E49" s="1479" t="s">
        <v>4806</v>
      </c>
      <c r="F49" s="1480"/>
      <c r="G49" s="1480"/>
      <c r="H49" s="1480"/>
      <c r="I49" s="1480"/>
      <c r="J49" s="1480"/>
      <c r="K49" s="1480"/>
      <c r="L49" s="1480"/>
      <c r="M49" s="1481"/>
      <c r="N49" s="2127" t="s">
        <v>626</v>
      </c>
      <c r="O49" s="2128"/>
      <c r="P49" s="2128"/>
      <c r="Q49" s="2128"/>
      <c r="R49" s="2128"/>
      <c r="S49" s="2129"/>
      <c r="T49" s="1606" t="s">
        <v>4807</v>
      </c>
      <c r="U49" s="1606"/>
      <c r="V49" s="1606"/>
      <c r="W49" s="3216"/>
      <c r="X49" s="3217"/>
      <c r="Y49" s="3217"/>
      <c r="Z49" s="3217"/>
      <c r="AA49" s="3217"/>
      <c r="AB49" s="3217"/>
      <c r="AC49" s="3217"/>
      <c r="AD49" s="3217"/>
      <c r="AE49" s="3217"/>
      <c r="AF49" s="3218"/>
    </row>
    <row r="50" spans="1:32" ht="40.5" customHeight="1" x14ac:dyDescent="0.25">
      <c r="A50" s="1134" t="s">
        <v>4808</v>
      </c>
      <c r="B50" s="1134"/>
      <c r="C50" s="1134"/>
      <c r="D50" s="1134"/>
      <c r="E50" s="1479" t="s">
        <v>4809</v>
      </c>
      <c r="F50" s="1480"/>
      <c r="G50" s="1480"/>
      <c r="H50" s="1480"/>
      <c r="I50" s="1480"/>
      <c r="J50" s="1480"/>
      <c r="K50" s="1480"/>
      <c r="L50" s="1480"/>
      <c r="M50" s="1481"/>
      <c r="N50" s="2127" t="s">
        <v>626</v>
      </c>
      <c r="O50" s="2128"/>
      <c r="P50" s="2128"/>
      <c r="Q50" s="2128"/>
      <c r="R50" s="2128"/>
      <c r="S50" s="2129"/>
      <c r="T50" s="1606" t="s">
        <v>4807</v>
      </c>
      <c r="U50" s="1606"/>
      <c r="V50" s="1606"/>
      <c r="W50" s="2959"/>
      <c r="X50" s="2960"/>
      <c r="Y50" s="2960"/>
      <c r="Z50" s="2960"/>
      <c r="AA50" s="2960"/>
      <c r="AB50" s="2960"/>
      <c r="AC50" s="2960"/>
      <c r="AD50" s="2960"/>
      <c r="AE50" s="2960"/>
      <c r="AF50" s="2961"/>
    </row>
    <row r="51" spans="1:32" ht="79.5" customHeight="1" x14ac:dyDescent="0.25">
      <c r="A51" s="1134" t="s">
        <v>4810</v>
      </c>
      <c r="B51" s="1134"/>
      <c r="C51" s="1134"/>
      <c r="D51" s="1134"/>
      <c r="E51" s="1479" t="s">
        <v>4811</v>
      </c>
      <c r="F51" s="1480"/>
      <c r="G51" s="1480"/>
      <c r="H51" s="1480"/>
      <c r="I51" s="1480"/>
      <c r="J51" s="1480"/>
      <c r="K51" s="1480"/>
      <c r="L51" s="1480"/>
      <c r="M51" s="1481"/>
      <c r="N51" s="1733" t="s">
        <v>2439</v>
      </c>
      <c r="O51" s="1917"/>
      <c r="P51" s="1917"/>
      <c r="Q51" s="1917"/>
      <c r="R51" s="1917"/>
      <c r="S51" s="1918"/>
      <c r="T51" s="3229" t="s">
        <v>4812</v>
      </c>
      <c r="U51" s="1606"/>
      <c r="V51" s="1606"/>
      <c r="W51" s="1135" t="s">
        <v>4813</v>
      </c>
      <c r="X51" s="1135"/>
      <c r="Y51" s="1135"/>
      <c r="Z51" s="1135"/>
      <c r="AA51" s="1135"/>
      <c r="AB51" s="1135"/>
      <c r="AC51" s="1135"/>
      <c r="AD51" s="1135"/>
      <c r="AE51" s="1135"/>
      <c r="AF51" s="1135"/>
    </row>
    <row r="52" spans="1:32" ht="108" customHeight="1" x14ac:dyDescent="0.25">
      <c r="A52" s="1134" t="s">
        <v>4814</v>
      </c>
      <c r="B52" s="1134"/>
      <c r="C52" s="1134"/>
      <c r="D52" s="1134"/>
      <c r="E52" s="1479" t="s">
        <v>4815</v>
      </c>
      <c r="F52" s="1480"/>
      <c r="G52" s="1480"/>
      <c r="H52" s="1480"/>
      <c r="I52" s="1480"/>
      <c r="J52" s="1480"/>
      <c r="K52" s="1480"/>
      <c r="L52" s="1480"/>
      <c r="M52" s="1481"/>
      <c r="N52" s="1733" t="s">
        <v>1106</v>
      </c>
      <c r="O52" s="1917"/>
      <c r="P52" s="1917"/>
      <c r="Q52" s="1917"/>
      <c r="R52" s="1917"/>
      <c r="S52" s="1918"/>
      <c r="T52" s="2496" t="s">
        <v>28</v>
      </c>
      <c r="U52" s="1606"/>
      <c r="V52" s="1606"/>
      <c r="W52" s="1135" t="s">
        <v>4816</v>
      </c>
      <c r="X52" s="1135"/>
      <c r="Y52" s="1135"/>
      <c r="Z52" s="1135"/>
      <c r="AA52" s="1135"/>
      <c r="AB52" s="1135"/>
      <c r="AC52" s="1135"/>
      <c r="AD52" s="1135"/>
      <c r="AE52" s="1135"/>
      <c r="AF52" s="1135"/>
    </row>
    <row r="53" spans="1:32" ht="54" customHeight="1" x14ac:dyDescent="0.25">
      <c r="A53" s="2962" t="s">
        <v>29</v>
      </c>
      <c r="B53" s="2963"/>
      <c r="C53" s="2963"/>
      <c r="D53" s="2964"/>
      <c r="E53" s="2901" t="s">
        <v>104</v>
      </c>
      <c r="F53" s="2902"/>
      <c r="G53" s="2902"/>
      <c r="H53" s="2902"/>
      <c r="I53" s="2902"/>
      <c r="J53" s="2902"/>
      <c r="K53" s="2902"/>
      <c r="L53" s="2902"/>
      <c r="M53" s="2903"/>
      <c r="N53" s="1600" t="s">
        <v>4010</v>
      </c>
      <c r="O53" s="1600"/>
      <c r="P53" s="1600"/>
      <c r="Q53" s="1600"/>
      <c r="R53" s="3222">
        <v>0.36</v>
      </c>
      <c r="S53" s="3222"/>
      <c r="T53" s="3223" t="s">
        <v>28</v>
      </c>
      <c r="U53" s="3224"/>
      <c r="V53" s="3225"/>
      <c r="W53" s="2901" t="s">
        <v>4817</v>
      </c>
      <c r="X53" s="2902"/>
      <c r="Y53" s="2902"/>
      <c r="Z53" s="2902"/>
      <c r="AA53" s="2902"/>
      <c r="AB53" s="2902"/>
      <c r="AC53" s="2902"/>
      <c r="AD53" s="2902"/>
      <c r="AE53" s="2902"/>
      <c r="AF53" s="2903"/>
    </row>
    <row r="54" spans="1:32" ht="50.25" customHeight="1" x14ac:dyDescent="0.25">
      <c r="A54" s="2965"/>
      <c r="B54" s="2966"/>
      <c r="C54" s="2966"/>
      <c r="D54" s="2967"/>
      <c r="E54" s="2959"/>
      <c r="F54" s="2960"/>
      <c r="G54" s="2960"/>
      <c r="H54" s="2960"/>
      <c r="I54" s="2960"/>
      <c r="J54" s="2960"/>
      <c r="K54" s="2960"/>
      <c r="L54" s="2960"/>
      <c r="M54" s="2961"/>
      <c r="N54" s="1600" t="s">
        <v>4009</v>
      </c>
      <c r="O54" s="1600"/>
      <c r="P54" s="1600"/>
      <c r="Q54" s="1600"/>
      <c r="R54" s="3222">
        <v>0.27</v>
      </c>
      <c r="S54" s="3222"/>
      <c r="T54" s="3226"/>
      <c r="U54" s="3227"/>
      <c r="V54" s="3228"/>
      <c r="W54" s="2959"/>
      <c r="X54" s="2960"/>
      <c r="Y54" s="2960"/>
      <c r="Z54" s="2960"/>
      <c r="AA54" s="2960"/>
      <c r="AB54" s="2960"/>
      <c r="AC54" s="2960"/>
      <c r="AD54" s="2960"/>
      <c r="AE54" s="2960"/>
      <c r="AF54" s="2961"/>
    </row>
    <row r="55" spans="1:32" ht="112.5" customHeight="1" x14ac:dyDescent="0.25">
      <c r="A55" s="1134" t="s">
        <v>42</v>
      </c>
      <c r="B55" s="1134"/>
      <c r="C55" s="1134"/>
      <c r="D55" s="1134"/>
      <c r="E55" s="1479" t="s">
        <v>865</v>
      </c>
      <c r="F55" s="1480"/>
      <c r="G55" s="1480"/>
      <c r="H55" s="1480"/>
      <c r="I55" s="1480"/>
      <c r="J55" s="1480"/>
      <c r="K55" s="1480"/>
      <c r="L55" s="1480"/>
      <c r="M55" s="1481"/>
      <c r="N55" s="1574">
        <f>ROUND(1-0.02/0.6,2)</f>
        <v>0.97</v>
      </c>
      <c r="O55" s="1575"/>
      <c r="P55" s="1575"/>
      <c r="Q55" s="1575"/>
      <c r="R55" s="1575"/>
      <c r="S55" s="1576"/>
      <c r="T55" s="1606" t="s">
        <v>28</v>
      </c>
      <c r="U55" s="1606"/>
      <c r="V55" s="1606"/>
      <c r="W55" s="1135" t="s">
        <v>4818</v>
      </c>
      <c r="X55" s="1135"/>
      <c r="Y55" s="1135"/>
      <c r="Z55" s="1135"/>
      <c r="AA55" s="1135"/>
      <c r="AB55" s="1135"/>
      <c r="AC55" s="1135"/>
      <c r="AD55" s="1135"/>
      <c r="AE55" s="1135"/>
      <c r="AF55" s="1135"/>
    </row>
    <row r="56" spans="1:32" ht="63" customHeight="1" x14ac:dyDescent="0.25">
      <c r="A56" s="1134" t="s">
        <v>2052</v>
      </c>
      <c r="B56" s="1134"/>
      <c r="C56" s="1134"/>
      <c r="D56" s="1134"/>
      <c r="E56" s="1479" t="s">
        <v>2217</v>
      </c>
      <c r="F56" s="1480"/>
      <c r="G56" s="1480"/>
      <c r="H56" s="1480"/>
      <c r="I56" s="1480"/>
      <c r="J56" s="1480"/>
      <c r="K56" s="1480"/>
      <c r="L56" s="1480"/>
      <c r="M56" s="1481"/>
      <c r="N56" s="1574">
        <f>'Master EUL'!X48</f>
        <v>10</v>
      </c>
      <c r="O56" s="1575"/>
      <c r="P56" s="1575"/>
      <c r="Q56" s="1575"/>
      <c r="R56" s="1575"/>
      <c r="S56" s="1576"/>
      <c r="T56" s="1606" t="s">
        <v>46</v>
      </c>
      <c r="U56" s="1606"/>
      <c r="V56" s="1606"/>
      <c r="W56" s="1135" t="s">
        <v>4819</v>
      </c>
      <c r="X56" s="1135"/>
      <c r="Y56" s="1135"/>
      <c r="Z56" s="1135"/>
      <c r="AA56" s="1135"/>
      <c r="AB56" s="1135"/>
      <c r="AC56" s="1135"/>
      <c r="AD56" s="1135"/>
      <c r="AE56" s="1135"/>
      <c r="AF56" s="1135"/>
    </row>
    <row r="57" spans="1:32" ht="77.25" customHeight="1" x14ac:dyDescent="0.25">
      <c r="A57" s="1601" t="s">
        <v>4820</v>
      </c>
      <c r="B57" s="1601"/>
      <c r="C57" s="1601"/>
      <c r="D57" s="1601"/>
      <c r="E57" s="1601"/>
      <c r="F57" s="1601"/>
      <c r="G57" s="1601"/>
      <c r="H57" s="1601"/>
      <c r="I57" s="1601"/>
      <c r="J57" s="1601"/>
      <c r="K57" s="1601"/>
      <c r="L57" s="1601"/>
      <c r="M57" s="1601"/>
      <c r="N57" s="1601"/>
      <c r="O57" s="1601"/>
      <c r="P57" s="1601"/>
      <c r="Q57" s="1601"/>
      <c r="R57" s="1601"/>
      <c r="S57" s="1601"/>
      <c r="T57" s="1601"/>
      <c r="U57" s="1601"/>
      <c r="V57" s="1601"/>
      <c r="W57" s="1601"/>
      <c r="X57" s="1601"/>
      <c r="Y57" s="1601"/>
      <c r="Z57" s="1601"/>
      <c r="AA57" s="1601"/>
      <c r="AB57" s="1601"/>
      <c r="AC57" s="1601"/>
      <c r="AD57" s="1601"/>
      <c r="AE57" s="1601"/>
      <c r="AF57" s="1601"/>
    </row>
    <row r="58" spans="1:32" ht="33" customHeight="1" x14ac:dyDescent="0.25">
      <c r="A58" s="1415" t="s">
        <v>4821</v>
      </c>
      <c r="B58" s="1415"/>
      <c r="C58" s="1415"/>
      <c r="D58" s="1415"/>
      <c r="E58" s="1415"/>
      <c r="F58" s="1415"/>
      <c r="G58" s="1415"/>
      <c r="H58" s="1415"/>
      <c r="I58" s="1415"/>
      <c r="J58" s="1415"/>
      <c r="K58" s="1415"/>
      <c r="L58" s="1415"/>
      <c r="M58" s="1415"/>
      <c r="N58" s="1415"/>
      <c r="O58" s="1415"/>
      <c r="P58" s="1415"/>
      <c r="Q58" s="1415"/>
      <c r="R58" s="1415"/>
      <c r="S58" s="1415"/>
      <c r="T58" s="1415"/>
      <c r="U58" s="1415"/>
      <c r="V58" s="1415"/>
      <c r="W58" s="1415"/>
      <c r="X58" s="1415"/>
      <c r="Y58" s="1415"/>
      <c r="Z58" s="1415"/>
      <c r="AA58" s="1415"/>
      <c r="AB58" s="1415"/>
      <c r="AC58" s="1415"/>
      <c r="AD58" s="1415"/>
      <c r="AE58" s="1415"/>
      <c r="AF58" s="1415"/>
    </row>
    <row r="59" spans="1:32" ht="15.75" x14ac:dyDescent="0.25">
      <c r="A59" s="185"/>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spans="1:32" x14ac:dyDescent="0.25">
      <c r="A60" s="3" t="s">
        <v>4822</v>
      </c>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row>
    <row r="61" spans="1:32" ht="66.75" customHeight="1" x14ac:dyDescent="0.25">
      <c r="A61" s="3230" t="s">
        <v>4823</v>
      </c>
      <c r="B61" s="3231"/>
      <c r="C61" s="3231"/>
      <c r="D61" s="3231"/>
      <c r="E61" s="3231"/>
      <c r="F61" s="3231"/>
      <c r="G61" s="3231"/>
      <c r="H61" s="3232"/>
      <c r="I61" s="3233" t="s">
        <v>4824</v>
      </c>
      <c r="J61" s="3233"/>
      <c r="K61" s="3233"/>
      <c r="L61" s="3233"/>
      <c r="M61" s="3233"/>
      <c r="N61" s="3233"/>
      <c r="O61" s="3233"/>
      <c r="P61" s="3233"/>
      <c r="Q61" s="3233" t="s">
        <v>4825</v>
      </c>
      <c r="R61" s="3233"/>
      <c r="S61" s="3233"/>
      <c r="T61" s="3233"/>
      <c r="U61" s="3233"/>
      <c r="V61" s="3233"/>
      <c r="W61" s="3233"/>
      <c r="X61" s="3233"/>
      <c r="Y61" s="3233" t="s">
        <v>4826</v>
      </c>
      <c r="Z61" s="3233"/>
      <c r="AA61" s="3233"/>
      <c r="AB61" s="3233"/>
      <c r="AC61" s="3233"/>
      <c r="AD61" s="3233"/>
      <c r="AE61" s="3233"/>
      <c r="AF61" s="3233"/>
    </row>
    <row r="62" spans="1:32" x14ac:dyDescent="0.25">
      <c r="A62" s="3234" t="s">
        <v>4827</v>
      </c>
      <c r="B62" s="3235"/>
      <c r="C62" s="3235"/>
      <c r="D62" s="3235"/>
      <c r="E62" s="3235"/>
      <c r="F62" s="3235"/>
      <c r="G62" s="3235"/>
      <c r="H62" s="3236"/>
      <c r="I62" s="3237">
        <f>3.08699999999999/10.7639</f>
        <v>0.28679196202119955</v>
      </c>
      <c r="J62" s="3237"/>
      <c r="K62" s="3237"/>
      <c r="L62" s="3237"/>
      <c r="M62" s="3237"/>
      <c r="N62" s="3237"/>
      <c r="O62" s="3237"/>
      <c r="P62" s="3237"/>
      <c r="Q62" s="3237">
        <f>0.777/10.7639</f>
        <v>7.218573193730897E-2</v>
      </c>
      <c r="R62" s="3237"/>
      <c r="S62" s="3237"/>
      <c r="T62" s="3237"/>
      <c r="U62" s="3237"/>
      <c r="V62" s="3237"/>
      <c r="W62" s="3237"/>
      <c r="X62" s="3237"/>
      <c r="Y62" s="3237">
        <f>0.865/10.7639</f>
        <v>8.036120736907626E-2</v>
      </c>
      <c r="Z62" s="3237"/>
      <c r="AA62" s="3237"/>
      <c r="AB62" s="3237"/>
      <c r="AC62" s="3237"/>
      <c r="AD62" s="3237"/>
      <c r="AE62" s="3237"/>
      <c r="AF62" s="3237"/>
    </row>
    <row r="63" spans="1:32" x14ac:dyDescent="0.25">
      <c r="A63" s="3234" t="s">
        <v>4828</v>
      </c>
      <c r="B63" s="3235"/>
      <c r="C63" s="3235"/>
      <c r="D63" s="3235"/>
      <c r="E63" s="3235"/>
      <c r="F63" s="3235"/>
      <c r="G63" s="3235"/>
      <c r="H63" s="3236"/>
      <c r="I63" s="3237">
        <f>3.208/10.7639</f>
        <v>0.29803324073988058</v>
      </c>
      <c r="J63" s="3237"/>
      <c r="K63" s="3237"/>
      <c r="L63" s="3237"/>
      <c r="M63" s="3237"/>
      <c r="N63" s="3237"/>
      <c r="O63" s="3237"/>
      <c r="P63" s="3237"/>
      <c r="Q63" s="3237">
        <f>0.813/10.7639</f>
        <v>7.5530244613941047E-2</v>
      </c>
      <c r="R63" s="3237"/>
      <c r="S63" s="3237"/>
      <c r="T63" s="3237"/>
      <c r="U63" s="3237"/>
      <c r="V63" s="3237"/>
      <c r="W63" s="3237"/>
      <c r="X63" s="3237"/>
      <c r="Y63" s="3237">
        <f>0.912999999999999/10.7639</f>
        <v>8.4820557604585609E-2</v>
      </c>
      <c r="Z63" s="3237"/>
      <c r="AA63" s="3237"/>
      <c r="AB63" s="3237"/>
      <c r="AC63" s="3237"/>
      <c r="AD63" s="3237"/>
      <c r="AE63" s="3237"/>
      <c r="AF63" s="3237"/>
    </row>
    <row r="64" spans="1:32" x14ac:dyDescent="0.25">
      <c r="A64" s="3234" t="s">
        <v>4829</v>
      </c>
      <c r="B64" s="3235"/>
      <c r="C64" s="3235"/>
      <c r="D64" s="3235"/>
      <c r="E64" s="3235"/>
      <c r="F64" s="3235"/>
      <c r="G64" s="3235"/>
      <c r="H64" s="3236"/>
      <c r="I64" s="3237">
        <f>3.148/10.7639</f>
        <v>0.29245905294549374</v>
      </c>
      <c r="J64" s="3237"/>
      <c r="K64" s="3237"/>
      <c r="L64" s="3237"/>
      <c r="M64" s="3237"/>
      <c r="N64" s="3237"/>
      <c r="O64" s="3237"/>
      <c r="P64" s="3237"/>
      <c r="Q64" s="3237">
        <f>0.795999999999999/10.7639</f>
        <v>7.3950891405531363E-2</v>
      </c>
      <c r="R64" s="3237"/>
      <c r="S64" s="3237"/>
      <c r="T64" s="3237"/>
      <c r="U64" s="3237"/>
      <c r="V64" s="3237"/>
      <c r="W64" s="3237"/>
      <c r="X64" s="3237"/>
      <c r="Y64" s="3237">
        <f>0.889/10.7639</f>
        <v>8.2590882486830983E-2</v>
      </c>
      <c r="Z64" s="3237"/>
      <c r="AA64" s="3237"/>
      <c r="AB64" s="3237"/>
      <c r="AC64" s="3237"/>
      <c r="AD64" s="3237"/>
      <c r="AE64" s="3237"/>
      <c r="AF64" s="3237"/>
    </row>
    <row r="65" spans="1:32" ht="70.5" customHeight="1" x14ac:dyDescent="0.25">
      <c r="A65" s="1601" t="s">
        <v>4830</v>
      </c>
      <c r="B65" s="1601"/>
      <c r="C65" s="1601"/>
      <c r="D65" s="1601"/>
      <c r="E65" s="1601"/>
      <c r="F65" s="1601"/>
      <c r="G65" s="1601"/>
      <c r="H65" s="1601"/>
      <c r="I65" s="1601"/>
      <c r="J65" s="1601"/>
      <c r="K65" s="1601"/>
      <c r="L65" s="1601"/>
      <c r="M65" s="1601"/>
      <c r="N65" s="1601"/>
      <c r="O65" s="1601"/>
      <c r="P65" s="1601"/>
      <c r="Q65" s="1601"/>
      <c r="R65" s="1601"/>
      <c r="S65" s="1601"/>
      <c r="T65" s="1601"/>
      <c r="U65" s="1601"/>
      <c r="V65" s="1601"/>
      <c r="W65" s="1601"/>
      <c r="X65" s="1601"/>
      <c r="Y65" s="1601"/>
      <c r="Z65" s="1601"/>
      <c r="AA65" s="1601"/>
      <c r="AB65" s="1601"/>
      <c r="AC65" s="1601"/>
      <c r="AD65" s="1601"/>
      <c r="AE65" s="1601"/>
      <c r="AF65" s="1601"/>
    </row>
    <row r="66" spans="1:32" x14ac:dyDescent="0.25">
      <c r="A66" s="3"/>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x14ac:dyDescent="0.25">
      <c r="A67" s="3" t="s">
        <v>4831</v>
      </c>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x14ac:dyDescent="0.25">
      <c r="A68" s="3238" t="s">
        <v>4832</v>
      </c>
      <c r="B68" s="3238"/>
      <c r="C68" s="3238"/>
      <c r="D68" s="3238"/>
      <c r="E68" s="3238"/>
      <c r="F68" s="3238"/>
      <c r="G68" s="3238"/>
      <c r="H68" s="3238"/>
      <c r="I68" s="3238"/>
      <c r="J68" s="3238"/>
      <c r="K68" s="3238" t="s">
        <v>4814</v>
      </c>
      <c r="L68" s="3238"/>
      <c r="M68" s="3238"/>
      <c r="N68" s="3238"/>
      <c r="O68" s="2873" t="s">
        <v>4833</v>
      </c>
      <c r="P68" s="2873"/>
      <c r="Q68" s="2873"/>
      <c r="R68" s="2873"/>
      <c r="S68" s="2873"/>
      <c r="T68" s="2873"/>
      <c r="U68" s="2873"/>
      <c r="V68" s="2873"/>
      <c r="W68" s="2873"/>
      <c r="X68" s="2873"/>
      <c r="Y68" s="2873"/>
      <c r="Z68" s="2873"/>
      <c r="AA68" s="2873"/>
      <c r="AB68" s="2873"/>
      <c r="AC68" s="2873"/>
      <c r="AD68" s="2873"/>
      <c r="AE68" s="2873"/>
      <c r="AF68" s="2873"/>
    </row>
    <row r="69" spans="1:32" ht="32.25" customHeight="1" x14ac:dyDescent="0.25">
      <c r="A69" s="3239" t="s">
        <v>4834</v>
      </c>
      <c r="B69" s="3239"/>
      <c r="C69" s="3239"/>
      <c r="D69" s="3239"/>
      <c r="E69" s="3239"/>
      <c r="F69" s="3239"/>
      <c r="G69" s="3239"/>
      <c r="H69" s="3239"/>
      <c r="I69" s="3239"/>
      <c r="J69" s="3239"/>
      <c r="K69" s="3241">
        <v>1</v>
      </c>
      <c r="L69" s="3241"/>
      <c r="M69" s="3241"/>
      <c r="N69" s="3241"/>
      <c r="O69" s="3242" t="s">
        <v>4835</v>
      </c>
      <c r="P69" s="3242"/>
      <c r="Q69" s="3242"/>
      <c r="R69" s="3242"/>
      <c r="S69" s="3242"/>
      <c r="T69" s="3242"/>
      <c r="U69" s="3242"/>
      <c r="V69" s="3242"/>
      <c r="W69" s="3242"/>
      <c r="X69" s="3242"/>
      <c r="Y69" s="3242"/>
      <c r="Z69" s="3242"/>
      <c r="AA69" s="3242"/>
      <c r="AB69" s="3242"/>
      <c r="AC69" s="3242"/>
      <c r="AD69" s="3242"/>
      <c r="AE69" s="3242"/>
      <c r="AF69" s="3242"/>
    </row>
    <row r="70" spans="1:32" x14ac:dyDescent="0.25">
      <c r="A70" s="3239" t="s">
        <v>4836</v>
      </c>
      <c r="B70" s="3239"/>
      <c r="C70" s="3239"/>
      <c r="D70" s="3239"/>
      <c r="E70" s="3239"/>
      <c r="F70" s="3239"/>
      <c r="G70" s="3239"/>
      <c r="H70" s="3239"/>
      <c r="I70" s="3239"/>
      <c r="J70" s="3239"/>
      <c r="K70" s="3239">
        <f>ROUND(AVERAGE(0.92,0.65,0.44,0.44),2)</f>
        <v>0.61</v>
      </c>
      <c r="L70" s="3239"/>
      <c r="M70" s="3239"/>
      <c r="N70" s="3239"/>
      <c r="O70" s="3239" t="s">
        <v>4837</v>
      </c>
      <c r="P70" s="3239"/>
      <c r="Q70" s="3239"/>
      <c r="R70" s="3239"/>
      <c r="S70" s="3239"/>
      <c r="T70" s="3239"/>
      <c r="U70" s="3239"/>
      <c r="V70" s="3239"/>
      <c r="W70" s="3239"/>
      <c r="X70" s="3239"/>
      <c r="Y70" s="3239"/>
      <c r="Z70" s="3239"/>
      <c r="AA70" s="3239"/>
      <c r="AB70" s="3239"/>
      <c r="AC70" s="3239"/>
      <c r="AD70" s="3239"/>
      <c r="AE70" s="3239"/>
      <c r="AF70" s="3239"/>
    </row>
    <row r="71" spans="1:32" x14ac:dyDescent="0.25">
      <c r="A71" s="3239" t="s">
        <v>57</v>
      </c>
      <c r="B71" s="3239"/>
      <c r="C71" s="3239"/>
      <c r="D71" s="3239"/>
      <c r="E71" s="3239"/>
      <c r="F71" s="3239"/>
      <c r="G71" s="3239"/>
      <c r="H71" s="3239"/>
      <c r="I71" s="3239"/>
      <c r="J71" s="3239"/>
      <c r="K71" s="3239">
        <f>ROUND(AVERAGE(K69:K70),2)</f>
        <v>0.81</v>
      </c>
      <c r="L71" s="3239"/>
      <c r="M71" s="3239"/>
      <c r="N71" s="3239"/>
      <c r="O71" s="3239" t="s">
        <v>4838</v>
      </c>
      <c r="P71" s="3239"/>
      <c r="Q71" s="3239"/>
      <c r="R71" s="3239"/>
      <c r="S71" s="3239"/>
      <c r="T71" s="3239"/>
      <c r="U71" s="3239"/>
      <c r="V71" s="3239"/>
      <c r="W71" s="3239"/>
      <c r="X71" s="3239"/>
      <c r="Y71" s="3239"/>
      <c r="Z71" s="3239"/>
      <c r="AA71" s="3239"/>
      <c r="AB71" s="3239"/>
      <c r="AC71" s="3239"/>
      <c r="AD71" s="3239"/>
      <c r="AE71" s="3239"/>
      <c r="AF71" s="3239"/>
    </row>
    <row r="72" spans="1:32" ht="54.75" customHeight="1" x14ac:dyDescent="0.25">
      <c r="A72" s="1601" t="s">
        <v>4839</v>
      </c>
      <c r="B72" s="1601"/>
      <c r="C72" s="1601"/>
      <c r="D72" s="1601"/>
      <c r="E72" s="1601"/>
      <c r="F72" s="1601"/>
      <c r="G72" s="1601"/>
      <c r="H72" s="1601"/>
      <c r="I72" s="1601"/>
      <c r="J72" s="1601"/>
      <c r="K72" s="1601"/>
      <c r="L72" s="1601"/>
      <c r="M72" s="1601"/>
      <c r="N72" s="1601"/>
      <c r="O72" s="1601"/>
      <c r="P72" s="1601"/>
      <c r="Q72" s="1601"/>
      <c r="R72" s="1601"/>
      <c r="S72" s="1601"/>
      <c r="T72" s="1601"/>
      <c r="U72" s="1601"/>
      <c r="V72" s="1601"/>
      <c r="W72" s="1601"/>
      <c r="X72" s="1601"/>
      <c r="Y72" s="1601"/>
      <c r="Z72" s="1601"/>
      <c r="AA72" s="1601"/>
      <c r="AB72" s="1601"/>
      <c r="AC72" s="1601"/>
      <c r="AD72" s="1601"/>
      <c r="AE72" s="1601"/>
      <c r="AF72" s="1601"/>
    </row>
    <row r="73" spans="1:32" x14ac:dyDescent="0.25">
      <c r="A73" s="728"/>
      <c r="B73" s="728"/>
      <c r="C73" s="728"/>
      <c r="D73" s="728"/>
      <c r="E73" s="728"/>
      <c r="F73" s="728"/>
      <c r="G73" s="728"/>
      <c r="H73" s="728"/>
      <c r="I73" s="728"/>
      <c r="J73" s="728"/>
      <c r="K73" s="728"/>
      <c r="L73" s="728"/>
      <c r="M73" s="728"/>
      <c r="N73" s="728"/>
      <c r="O73" s="728"/>
      <c r="P73" s="728"/>
      <c r="Q73" s="728"/>
      <c r="R73" s="728"/>
      <c r="S73" s="728"/>
      <c r="T73" s="728"/>
      <c r="U73" s="728"/>
      <c r="V73" s="728"/>
      <c r="W73" s="728"/>
      <c r="X73" s="728"/>
      <c r="Y73" s="728"/>
      <c r="Z73" s="728"/>
      <c r="AA73" s="728"/>
      <c r="AB73" s="728"/>
      <c r="AC73" s="728"/>
      <c r="AD73" s="728"/>
      <c r="AE73" s="728"/>
      <c r="AF73" s="728"/>
    </row>
    <row r="74" spans="1:32" x14ac:dyDescent="0.25">
      <c r="A74" s="1148" t="s">
        <v>21</v>
      </c>
      <c r="B74" s="1149"/>
      <c r="C74" s="1149"/>
      <c r="D74" s="1149"/>
      <c r="E74" s="1149"/>
      <c r="F74" s="1149"/>
      <c r="G74" s="1149"/>
      <c r="H74" s="1149"/>
      <c r="I74" s="1149"/>
      <c r="J74" s="1149"/>
      <c r="K74" s="1149"/>
      <c r="L74" s="1149"/>
      <c r="M74" s="1149"/>
      <c r="N74" s="1149"/>
      <c r="O74" s="1149"/>
      <c r="P74" s="1149"/>
      <c r="Q74" s="1149"/>
      <c r="R74" s="1149"/>
      <c r="S74" s="1149"/>
      <c r="T74" s="1149"/>
      <c r="U74" s="1149"/>
      <c r="V74" s="1149"/>
      <c r="W74" s="1149"/>
      <c r="X74" s="1149"/>
      <c r="Y74" s="1149"/>
      <c r="Z74" s="1149"/>
      <c r="AA74" s="1149"/>
      <c r="AB74" s="1149"/>
      <c r="AC74" s="1149"/>
      <c r="AD74" s="1149"/>
      <c r="AE74" s="1149"/>
      <c r="AF74" s="1150"/>
    </row>
    <row r="76" spans="1:32" x14ac:dyDescent="0.25">
      <c r="A76" s="642" t="s">
        <v>4442</v>
      </c>
      <c r="B76" s="227"/>
      <c r="C76" s="227"/>
      <c r="D76" s="227"/>
      <c r="E76" s="227"/>
      <c r="F76" s="227"/>
      <c r="G76" s="227"/>
      <c r="H76" s="227"/>
      <c r="I76" s="227"/>
      <c r="J76" s="423"/>
      <c r="K76" s="423"/>
      <c r="L76" s="423"/>
      <c r="M76" s="423"/>
      <c r="N76" s="423"/>
      <c r="O76" s="423"/>
      <c r="P76" s="423"/>
      <c r="Q76" s="423"/>
      <c r="R76" s="423"/>
      <c r="S76" s="227"/>
      <c r="T76" s="227"/>
      <c r="U76" s="227"/>
      <c r="V76" s="227"/>
      <c r="W76" s="227"/>
      <c r="X76" s="227"/>
      <c r="Y76" s="227"/>
      <c r="Z76" s="227"/>
      <c r="AA76" s="227"/>
      <c r="AB76" s="227"/>
      <c r="AC76" s="227"/>
      <c r="AD76" s="227"/>
      <c r="AE76" s="227"/>
      <c r="AF76" s="227"/>
    </row>
    <row r="77" spans="1:32"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row>
    <row r="78" spans="1:32" ht="17.25" x14ac:dyDescent="0.25">
      <c r="A78" s="227"/>
      <c r="B78" s="227" t="s">
        <v>4840</v>
      </c>
      <c r="D78" s="227"/>
      <c r="E78" s="227"/>
      <c r="F78" s="227"/>
      <c r="G78" s="227"/>
      <c r="H78" s="227"/>
      <c r="I78" s="227"/>
      <c r="J78" s="227"/>
      <c r="K78" s="227"/>
      <c r="L78" s="227"/>
      <c r="M78" s="227"/>
      <c r="N78" s="227"/>
      <c r="O78" s="227"/>
      <c r="P78" s="227"/>
      <c r="Q78" s="227"/>
      <c r="R78" s="227"/>
      <c r="S78" s="227"/>
      <c r="T78" s="227"/>
      <c r="U78" s="227"/>
      <c r="W78" s="227"/>
      <c r="X78" s="227"/>
      <c r="Y78" s="227"/>
      <c r="Z78" s="227"/>
      <c r="AA78" s="227"/>
      <c r="AB78" s="227"/>
      <c r="AC78" s="227"/>
      <c r="AD78" s="227"/>
      <c r="AE78" s="227"/>
      <c r="AF78" s="227"/>
    </row>
    <row r="79" spans="1:32" ht="38.25" customHeight="1" x14ac:dyDescent="0.25">
      <c r="A79" s="227"/>
      <c r="B79" s="227"/>
      <c r="C79" s="3240" t="s">
        <v>4841</v>
      </c>
      <c r="D79" s="3240"/>
      <c r="E79" s="3240"/>
      <c r="F79" s="3240"/>
      <c r="G79" s="3240"/>
      <c r="H79" s="3240"/>
      <c r="I79" s="3240"/>
      <c r="J79" s="3240"/>
      <c r="K79" s="3240"/>
      <c r="L79" s="3240"/>
      <c r="M79" s="3240"/>
      <c r="N79" s="3240"/>
      <c r="O79" s="3240"/>
      <c r="P79" s="3240"/>
      <c r="Q79" s="3240"/>
      <c r="R79" s="3240"/>
      <c r="S79" s="3240"/>
      <c r="T79" s="3240"/>
      <c r="U79" s="3240"/>
      <c r="V79" s="3240"/>
      <c r="W79" s="3240"/>
      <c r="X79" s="3240"/>
      <c r="Y79" s="3240"/>
      <c r="Z79" s="3240"/>
      <c r="AA79" s="3240"/>
      <c r="AB79" s="3240"/>
      <c r="AC79" s="3240"/>
      <c r="AD79" s="3240"/>
      <c r="AE79" s="3240"/>
      <c r="AF79" s="3240"/>
    </row>
    <row r="80" spans="1:32" x14ac:dyDescent="0.25">
      <c r="A80" s="227"/>
      <c r="B80" s="227"/>
      <c r="C80" s="227"/>
      <c r="D80" s="227"/>
      <c r="E80" s="227"/>
      <c r="F80" s="1607">
        <v>1000</v>
      </c>
      <c r="G80" s="1607"/>
      <c r="H80" s="1607"/>
      <c r="I80" s="160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row>
    <row r="81" spans="1:32" x14ac:dyDescent="0.25">
      <c r="A81" s="227"/>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66"/>
      <c r="AD81" s="227"/>
      <c r="AE81" s="227"/>
      <c r="AF81" s="227"/>
    </row>
    <row r="82" spans="1:32" x14ac:dyDescent="0.25">
      <c r="A82" s="227"/>
      <c r="B82" s="227" t="s">
        <v>4842</v>
      </c>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row>
    <row r="83" spans="1:32" ht="48" customHeight="1" x14ac:dyDescent="0.25">
      <c r="A83" s="227"/>
      <c r="B83" s="227"/>
      <c r="C83" s="1477" t="s">
        <v>4843</v>
      </c>
      <c r="D83" s="1477"/>
      <c r="E83" s="1477"/>
      <c r="F83" s="1477"/>
      <c r="G83" s="1477"/>
      <c r="H83" s="1477"/>
      <c r="I83" s="1477"/>
      <c r="J83" s="1477"/>
      <c r="K83" s="1477"/>
      <c r="L83" s="1477"/>
      <c r="M83" s="1477"/>
      <c r="N83" s="1477"/>
      <c r="O83" s="1477"/>
      <c r="P83" s="1477"/>
      <c r="Q83" s="1477"/>
      <c r="R83" s="1477"/>
      <c r="S83" s="1477"/>
      <c r="T83" s="1477"/>
      <c r="U83" s="1477"/>
      <c r="V83" s="1477"/>
      <c r="W83" s="1477"/>
      <c r="X83" s="1477"/>
      <c r="Y83" s="1477"/>
      <c r="Z83" s="1477"/>
      <c r="AA83" s="1477"/>
      <c r="AB83" s="1477"/>
      <c r="AC83" s="1477"/>
      <c r="AD83" s="1477"/>
      <c r="AE83" s="1477"/>
      <c r="AF83" s="1477"/>
    </row>
    <row r="84" spans="1:32" x14ac:dyDescent="0.25">
      <c r="A84" s="227"/>
      <c r="B84" s="227"/>
      <c r="C84" s="227"/>
      <c r="D84" s="227"/>
      <c r="E84" s="227"/>
      <c r="F84" s="1607" t="s">
        <v>4827</v>
      </c>
      <c r="G84" s="1607"/>
      <c r="H84" s="1607"/>
      <c r="I84" s="1607"/>
      <c r="J84" s="227"/>
      <c r="K84" s="227"/>
      <c r="L84" s="227"/>
      <c r="M84" s="227"/>
      <c r="N84" s="227"/>
      <c r="O84" s="227"/>
      <c r="P84" s="227"/>
      <c r="Q84" s="227"/>
      <c r="S84" s="227"/>
      <c r="T84" s="227"/>
      <c r="U84" s="227"/>
      <c r="V84" s="227"/>
      <c r="W84" s="227"/>
      <c r="X84" s="227"/>
      <c r="Y84" s="227"/>
      <c r="Z84" s="227"/>
      <c r="AA84" s="227"/>
      <c r="AB84" s="227"/>
      <c r="AC84" s="227"/>
      <c r="AD84" s="227"/>
      <c r="AE84" s="227"/>
      <c r="AF84" s="227"/>
    </row>
    <row r="85" spans="1:32" x14ac:dyDescent="0.25">
      <c r="A85" s="227"/>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row>
    <row r="86" spans="1:32" x14ac:dyDescent="0.25">
      <c r="A86" s="227"/>
      <c r="B86" s="227" t="s">
        <v>4844</v>
      </c>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row>
    <row r="87" spans="1:32" ht="63.75" customHeight="1" x14ac:dyDescent="0.25">
      <c r="A87" s="227"/>
      <c r="B87" s="227"/>
      <c r="C87" s="3240" t="s">
        <v>4845</v>
      </c>
      <c r="D87" s="3240"/>
      <c r="E87" s="3240"/>
      <c r="F87" s="3240"/>
      <c r="G87" s="3240"/>
      <c r="H87" s="3240"/>
      <c r="I87" s="3240"/>
      <c r="J87" s="3240"/>
      <c r="K87" s="3240"/>
      <c r="L87" s="3240"/>
      <c r="M87" s="3240"/>
      <c r="N87" s="3240"/>
      <c r="O87" s="3240"/>
      <c r="P87" s="3240"/>
      <c r="Q87" s="3240"/>
      <c r="R87" s="3240"/>
      <c r="S87" s="3240"/>
      <c r="T87" s="3240"/>
      <c r="U87" s="3240"/>
      <c r="V87" s="3240"/>
      <c r="W87" s="3240"/>
      <c r="X87" s="3240"/>
      <c r="Y87" s="3240"/>
      <c r="Z87" s="3240"/>
      <c r="AA87" s="3240"/>
      <c r="AB87" s="3240"/>
      <c r="AC87" s="3240"/>
      <c r="AD87" s="3240"/>
      <c r="AE87" s="3240"/>
      <c r="AF87" s="3240"/>
    </row>
    <row r="88" spans="1:32" x14ac:dyDescent="0.25">
      <c r="A88" s="227"/>
      <c r="B88" s="227"/>
      <c r="C88" s="227"/>
      <c r="D88" s="227"/>
      <c r="E88" s="227"/>
      <c r="F88" s="1607" t="s">
        <v>4836</v>
      </c>
      <c r="G88" s="1607"/>
      <c r="H88" s="1607"/>
      <c r="I88" s="1607"/>
      <c r="J88" s="227"/>
      <c r="L88" s="227"/>
      <c r="M88" s="227"/>
      <c r="O88" s="227"/>
      <c r="P88" s="227"/>
      <c r="Q88" s="227"/>
      <c r="R88" s="227"/>
      <c r="S88" s="753" t="s">
        <v>4846</v>
      </c>
      <c r="T88" s="227"/>
      <c r="U88" s="2834">
        <f>VLOOKUP(F88,A69:N71,11,FALSE)</f>
        <v>0.61</v>
      </c>
      <c r="V88" s="2835"/>
      <c r="W88" s="2836"/>
      <c r="X88" s="227"/>
      <c r="Y88" s="227"/>
      <c r="Z88" s="227"/>
      <c r="AA88" s="227"/>
      <c r="AB88" s="227"/>
      <c r="AC88" s="227"/>
      <c r="AD88" s="227"/>
      <c r="AE88" s="227"/>
      <c r="AF88" s="227"/>
    </row>
    <row r="89" spans="1:32" x14ac:dyDescent="0.25">
      <c r="A89" s="227"/>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row>
    <row r="90" spans="1:32" x14ac:dyDescent="0.25">
      <c r="A90" s="227"/>
      <c r="B90" s="227" t="s">
        <v>4847</v>
      </c>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row>
    <row r="91" spans="1:32" x14ac:dyDescent="0.25">
      <c r="A91" s="227"/>
      <c r="B91" s="227"/>
      <c r="C91" s="227"/>
      <c r="D91" s="227"/>
      <c r="E91" s="227"/>
      <c r="F91" s="1607" t="s">
        <v>4009</v>
      </c>
      <c r="G91" s="1607"/>
      <c r="H91" s="1607"/>
      <c r="I91" s="1607"/>
      <c r="J91" s="227"/>
      <c r="K91" s="227"/>
      <c r="L91" s="227"/>
      <c r="M91" s="227"/>
      <c r="N91" s="227"/>
      <c r="O91" s="227"/>
      <c r="P91" s="227"/>
      <c r="Q91" s="227"/>
      <c r="R91" s="227"/>
      <c r="S91" s="753" t="s">
        <v>4848</v>
      </c>
      <c r="T91" s="227"/>
      <c r="U91" s="2834">
        <f>VLOOKUP(F91,N53:S54,5,FALSE)</f>
        <v>0.27</v>
      </c>
      <c r="V91" s="2835"/>
      <c r="W91" s="2836"/>
      <c r="X91" s="227"/>
      <c r="Y91" s="227"/>
      <c r="Z91" s="227"/>
      <c r="AA91" s="227"/>
      <c r="AB91" s="227"/>
      <c r="AC91" s="227"/>
      <c r="AD91" s="227"/>
      <c r="AE91" s="227"/>
      <c r="AF91" s="227"/>
    </row>
    <row r="92" spans="1:32" ht="15.75" thickBot="1" x14ac:dyDescent="0.3">
      <c r="A92" s="227"/>
      <c r="B92" s="227"/>
      <c r="C92" s="227"/>
      <c r="D92" s="227"/>
      <c r="E92" s="227"/>
      <c r="F92" s="227"/>
      <c r="G92" s="227"/>
      <c r="H92" s="227"/>
      <c r="I92" s="227"/>
      <c r="J92" s="227"/>
      <c r="K92" s="227"/>
      <c r="L92" s="227"/>
      <c r="M92" s="227"/>
      <c r="N92" s="227"/>
      <c r="O92" s="227"/>
      <c r="P92" s="227"/>
      <c r="Q92" s="227"/>
      <c r="R92" s="227"/>
      <c r="S92" s="227"/>
      <c r="T92" s="227"/>
      <c r="U92" s="227"/>
      <c r="V92" s="227"/>
      <c r="W92" s="227"/>
      <c r="X92" s="227"/>
      <c r="Y92" s="227"/>
      <c r="Z92" s="227"/>
      <c r="AA92" s="227"/>
      <c r="AB92" s="227"/>
      <c r="AC92" s="227"/>
      <c r="AD92" s="227"/>
      <c r="AE92" s="227"/>
      <c r="AF92" s="227"/>
    </row>
    <row r="93" spans="1:32" ht="37.5" customHeight="1" x14ac:dyDescent="0.25">
      <c r="A93" s="2807" t="s">
        <v>22</v>
      </c>
      <c r="B93" s="2808"/>
      <c r="C93" s="2808"/>
      <c r="D93" s="2808"/>
      <c r="E93" s="2808"/>
      <c r="F93" s="2808"/>
      <c r="G93" s="2808"/>
      <c r="H93" s="2809"/>
      <c r="I93" s="1642" t="s">
        <v>2922</v>
      </c>
      <c r="J93" s="1643"/>
      <c r="K93" s="1643"/>
      <c r="L93" s="1643"/>
      <c r="M93" s="1643"/>
      <c r="N93" s="1643"/>
      <c r="O93" s="1643"/>
      <c r="P93" s="1643"/>
      <c r="Q93" s="1642" t="s">
        <v>2918</v>
      </c>
      <c r="R93" s="1643"/>
      <c r="S93" s="1643"/>
      <c r="T93" s="1643"/>
      <c r="U93" s="1643"/>
      <c r="V93" s="1643"/>
      <c r="W93" s="1643"/>
      <c r="X93" s="1643"/>
      <c r="Y93" s="1642" t="s">
        <v>1786</v>
      </c>
      <c r="Z93" s="1643"/>
      <c r="AA93" s="1643"/>
      <c r="AB93" s="1643"/>
      <c r="AC93" s="1643"/>
      <c r="AD93" s="1643"/>
      <c r="AE93" s="1643"/>
      <c r="AF93" s="1644"/>
    </row>
    <row r="94" spans="1:32" ht="30" customHeight="1" thickBot="1" x14ac:dyDescent="0.3">
      <c r="A94" s="2813" t="s">
        <v>4849</v>
      </c>
      <c r="B94" s="2814"/>
      <c r="C94" s="2814"/>
      <c r="D94" s="2814"/>
      <c r="E94" s="2814"/>
      <c r="F94" s="2814"/>
      <c r="G94" s="2814"/>
      <c r="H94" s="2815"/>
      <c r="I94" s="2950">
        <f>ROUND(VLOOKUP(F84,A62:AF64,25,FALSE)*F80*U88*U91/1000,3)</f>
        <v>1.2999999999999999E-2</v>
      </c>
      <c r="J94" s="2950"/>
      <c r="K94" s="2950"/>
      <c r="L94" s="2950"/>
      <c r="M94" s="2950"/>
      <c r="N94" s="2950"/>
      <c r="O94" s="2950"/>
      <c r="P94" s="2950"/>
      <c r="Q94" s="3243">
        <f>ROUND((VLOOKUP(F84,A62:AF64,9,FALSE)+VLOOKUP(F84,A62:AF64,17,FALSE))*F80*U88,2)</f>
        <v>218.98</v>
      </c>
      <c r="R94" s="3243"/>
      <c r="S94" s="3243"/>
      <c r="T94" s="3243"/>
      <c r="U94" s="3243"/>
      <c r="V94" s="3243"/>
      <c r="W94" s="3243"/>
      <c r="X94" s="3243"/>
      <c r="Y94" s="2739">
        <f>ROUND(Q94*N55*N56,2)</f>
        <v>2124.11</v>
      </c>
      <c r="Z94" s="2739"/>
      <c r="AA94" s="2739"/>
      <c r="AB94" s="2739"/>
      <c r="AC94" s="2739"/>
      <c r="AD94" s="2739"/>
      <c r="AE94" s="2739"/>
      <c r="AF94" s="2740"/>
    </row>
    <row r="95" spans="1:32" x14ac:dyDescent="0.25">
      <c r="A95" s="227"/>
      <c r="B95" s="227"/>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c r="AA95" s="227"/>
      <c r="AB95" s="227"/>
      <c r="AC95" s="227"/>
      <c r="AD95" s="227"/>
      <c r="AE95" s="227"/>
      <c r="AF95" s="227"/>
    </row>
    <row r="96" spans="1:32" x14ac:dyDescent="0.25">
      <c r="A96" s="1385" t="s">
        <v>1753</v>
      </c>
      <c r="B96" s="1386"/>
      <c r="C96" s="1386"/>
      <c r="D96" s="1386"/>
      <c r="E96" s="1386"/>
      <c r="F96" s="1386"/>
      <c r="G96" s="1386"/>
      <c r="H96" s="1386"/>
      <c r="I96" s="1386"/>
      <c r="J96" s="1386"/>
      <c r="K96" s="1386"/>
      <c r="L96" s="1386"/>
      <c r="M96" s="1386"/>
      <c r="N96" s="1386"/>
      <c r="O96" s="1386"/>
      <c r="P96" s="1386"/>
      <c r="Q96" s="1386"/>
      <c r="R96" s="1386"/>
      <c r="S96" s="1386"/>
      <c r="T96" s="1386"/>
      <c r="U96" s="1386"/>
      <c r="V96" s="1386"/>
      <c r="W96" s="1386"/>
      <c r="X96" s="1386"/>
      <c r="Y96" s="1386"/>
      <c r="Z96" s="1386"/>
      <c r="AA96" s="1386"/>
      <c r="AB96" s="1386"/>
      <c r="AC96" s="1386"/>
      <c r="AD96" s="1386"/>
      <c r="AE96" s="1386"/>
      <c r="AF96" s="1387"/>
    </row>
    <row r="98" spans="1:32" ht="64.5" customHeight="1" x14ac:dyDescent="0.25">
      <c r="A98" s="517" t="s">
        <v>1013</v>
      </c>
      <c r="B98" s="1168" t="s">
        <v>4850</v>
      </c>
      <c r="C98" s="1168"/>
      <c r="D98" s="1168"/>
      <c r="E98" s="1168"/>
      <c r="F98" s="1168"/>
      <c r="G98" s="1168"/>
      <c r="H98" s="1168"/>
      <c r="I98" s="1168"/>
      <c r="J98" s="1168"/>
      <c r="K98" s="1168"/>
      <c r="L98" s="1168"/>
      <c r="M98" s="1168"/>
      <c r="N98" s="1168"/>
      <c r="O98" s="1168"/>
      <c r="P98" s="1168"/>
      <c r="Q98" s="1168"/>
      <c r="R98" s="1168"/>
      <c r="S98" s="1168"/>
      <c r="T98" s="1168"/>
      <c r="U98" s="1168"/>
      <c r="V98" s="1168"/>
      <c r="W98" s="1168"/>
      <c r="X98" s="1168"/>
      <c r="Y98" s="1168"/>
      <c r="Z98" s="1168"/>
      <c r="AA98" s="1168"/>
      <c r="AB98" s="1168"/>
      <c r="AC98" s="1168"/>
      <c r="AD98" s="1168"/>
      <c r="AE98" s="1168"/>
      <c r="AF98" s="1168"/>
    </row>
    <row r="99" spans="1:32" ht="50.25" customHeight="1" x14ac:dyDescent="0.25">
      <c r="A99" s="517" t="s">
        <v>1013</v>
      </c>
      <c r="B99" s="1173" t="s">
        <v>4851</v>
      </c>
      <c r="C99" s="1173"/>
      <c r="D99" s="1173"/>
      <c r="E99" s="1173"/>
      <c r="F99" s="1173"/>
      <c r="G99" s="1173"/>
      <c r="H99" s="1173"/>
      <c r="I99" s="1173"/>
      <c r="J99" s="1173"/>
      <c r="K99" s="1173"/>
      <c r="L99" s="1173"/>
      <c r="M99" s="1173"/>
      <c r="N99" s="1173"/>
      <c r="O99" s="1173"/>
      <c r="P99" s="1173"/>
      <c r="Q99" s="1173"/>
      <c r="R99" s="1173"/>
      <c r="S99" s="1173"/>
      <c r="T99" s="1173"/>
      <c r="U99" s="1173"/>
      <c r="V99" s="1173"/>
      <c r="W99" s="1173"/>
      <c r="X99" s="1173"/>
      <c r="Y99" s="1173"/>
      <c r="Z99" s="1173"/>
      <c r="AA99" s="1173"/>
      <c r="AB99" s="1173"/>
      <c r="AC99" s="1173"/>
      <c r="AD99" s="1173"/>
      <c r="AE99" s="1173"/>
      <c r="AF99" s="1173"/>
    </row>
    <row r="100" spans="1:32" ht="168" customHeight="1" x14ac:dyDescent="0.25">
      <c r="A100" s="517" t="s">
        <v>1013</v>
      </c>
      <c r="B100" s="1173" t="s">
        <v>4852</v>
      </c>
      <c r="C100" s="1173"/>
      <c r="D100" s="1173"/>
      <c r="E100" s="1173"/>
      <c r="F100" s="1173"/>
      <c r="G100" s="1173"/>
      <c r="H100" s="1173"/>
      <c r="I100" s="1173"/>
      <c r="J100" s="1173"/>
      <c r="K100" s="1173"/>
      <c r="L100" s="1173"/>
      <c r="M100" s="1173"/>
      <c r="N100" s="1173"/>
      <c r="O100" s="1173"/>
      <c r="P100" s="1173"/>
      <c r="Q100" s="1173"/>
      <c r="R100" s="1173"/>
      <c r="S100" s="1173"/>
      <c r="T100" s="1173"/>
      <c r="U100" s="1173"/>
      <c r="V100" s="1173"/>
      <c r="W100" s="1173"/>
      <c r="X100" s="1173"/>
      <c r="Y100" s="1173"/>
      <c r="Z100" s="1173"/>
      <c r="AA100" s="1173"/>
      <c r="AB100" s="1173"/>
      <c r="AC100" s="1173"/>
      <c r="AD100" s="1173"/>
      <c r="AE100" s="1173"/>
      <c r="AF100" s="1173"/>
    </row>
    <row r="101" spans="1:32" ht="51" customHeight="1" x14ac:dyDescent="0.25">
      <c r="A101" s="517" t="s">
        <v>1013</v>
      </c>
      <c r="B101" s="1173" t="s">
        <v>4853</v>
      </c>
      <c r="C101" s="1173"/>
      <c r="D101" s="1173"/>
      <c r="E101" s="1173"/>
      <c r="F101" s="1173"/>
      <c r="G101" s="1173"/>
      <c r="H101" s="1173"/>
      <c r="I101" s="1173"/>
      <c r="J101" s="1173"/>
      <c r="K101" s="1173"/>
      <c r="L101" s="1173"/>
      <c r="M101" s="1173"/>
      <c r="N101" s="1173"/>
      <c r="O101" s="1173"/>
      <c r="P101" s="1173"/>
      <c r="Q101" s="1173"/>
      <c r="R101" s="1173"/>
      <c r="S101" s="1173"/>
      <c r="T101" s="1173"/>
      <c r="U101" s="1173"/>
      <c r="V101" s="1173"/>
      <c r="W101" s="1173"/>
      <c r="X101" s="1173"/>
      <c r="Y101" s="1173"/>
      <c r="Z101" s="1173"/>
      <c r="AA101" s="1173"/>
      <c r="AB101" s="1173"/>
      <c r="AC101" s="1173"/>
      <c r="AD101" s="1173"/>
      <c r="AE101" s="1173"/>
      <c r="AF101" s="1173"/>
    </row>
    <row r="102" spans="1:32" ht="36.75" customHeight="1" x14ac:dyDescent="0.25">
      <c r="A102" s="517" t="s">
        <v>1013</v>
      </c>
      <c r="B102" s="1173" t="s">
        <v>4854</v>
      </c>
      <c r="C102" s="1173"/>
      <c r="D102" s="1173"/>
      <c r="E102" s="1173"/>
      <c r="F102" s="1173"/>
      <c r="G102" s="1173"/>
      <c r="H102" s="1173"/>
      <c r="I102" s="1173"/>
      <c r="J102" s="1173"/>
      <c r="K102" s="1173"/>
      <c r="L102" s="1173"/>
      <c r="M102" s="1173"/>
      <c r="N102" s="1173"/>
      <c r="O102" s="1173"/>
      <c r="P102" s="1173"/>
      <c r="Q102" s="1173"/>
      <c r="R102" s="1173"/>
      <c r="S102" s="1173"/>
      <c r="T102" s="1173"/>
      <c r="U102" s="1173"/>
      <c r="V102" s="1173"/>
      <c r="W102" s="1173"/>
      <c r="X102" s="1173"/>
      <c r="Y102" s="1173"/>
      <c r="Z102" s="1173"/>
      <c r="AA102" s="1173"/>
      <c r="AB102" s="1173"/>
      <c r="AC102" s="1173"/>
      <c r="AD102" s="1173"/>
      <c r="AE102" s="1173"/>
      <c r="AF102" s="1173"/>
    </row>
    <row r="104" spans="1:32" x14ac:dyDescent="0.25">
      <c r="L104" s="227"/>
    </row>
  </sheetData>
  <sheetProtection algorithmName="SHA-512" hashValue="Bpnr9kkfeChRtvaUhrBUl5MvWK2tFvg6dp2edHgiqERMHJRDinjXs38VK7VEYzYRtMMSx4bFlyr/poW4hzUQgw==" saltValue="XXjaRzP6BYTu3uXYpkXjog==" spinCount="100000" sheet="1" objects="1" scenarios="1"/>
  <mergeCells count="118">
    <mergeCell ref="B99:AF99"/>
    <mergeCell ref="B100:AF100"/>
    <mergeCell ref="B101:AF101"/>
    <mergeCell ref="B102:AF102"/>
    <mergeCell ref="A94:H94"/>
    <mergeCell ref="I94:P94"/>
    <mergeCell ref="Q94:X94"/>
    <mergeCell ref="Y94:AF94"/>
    <mergeCell ref="A96:AF96"/>
    <mergeCell ref="B98:AF98"/>
    <mergeCell ref="F91:I91"/>
    <mergeCell ref="U91:W91"/>
    <mergeCell ref="A93:H93"/>
    <mergeCell ref="I93:P93"/>
    <mergeCell ref="Q93:X93"/>
    <mergeCell ref="Y93:AF93"/>
    <mergeCell ref="F80:I80"/>
    <mergeCell ref="C83:AF83"/>
    <mergeCell ref="F84:I84"/>
    <mergeCell ref="C87:AF87"/>
    <mergeCell ref="F88:I88"/>
    <mergeCell ref="U88:W88"/>
    <mergeCell ref="A71:J71"/>
    <mergeCell ref="K71:N71"/>
    <mergeCell ref="O71:AF71"/>
    <mergeCell ref="A72:AF72"/>
    <mergeCell ref="A74:AF74"/>
    <mergeCell ref="C79:AF79"/>
    <mergeCell ref="A69:J69"/>
    <mergeCell ref="K69:N69"/>
    <mergeCell ref="O69:AF69"/>
    <mergeCell ref="A70:J70"/>
    <mergeCell ref="K70:N70"/>
    <mergeCell ref="O70:AF70"/>
    <mergeCell ref="A64:H64"/>
    <mergeCell ref="I64:P64"/>
    <mergeCell ref="Q64:X64"/>
    <mergeCell ref="Y64:AF64"/>
    <mergeCell ref="A65:AF65"/>
    <mergeCell ref="A68:J68"/>
    <mergeCell ref="K68:N68"/>
    <mergeCell ref="O68:AF68"/>
    <mergeCell ref="A62:H62"/>
    <mergeCell ref="I62:P62"/>
    <mergeCell ref="Q62:X62"/>
    <mergeCell ref="Y62:AF62"/>
    <mergeCell ref="A63:H63"/>
    <mergeCell ref="I63:P63"/>
    <mergeCell ref="Q63:X63"/>
    <mergeCell ref="Y63:AF63"/>
    <mergeCell ref="A57:AF57"/>
    <mergeCell ref="A58:AF58"/>
    <mergeCell ref="A61:H61"/>
    <mergeCell ref="I61:P61"/>
    <mergeCell ref="Q61:X61"/>
    <mergeCell ref="Y61:AF61"/>
    <mergeCell ref="A55:D55"/>
    <mergeCell ref="E55:M55"/>
    <mergeCell ref="N55:S55"/>
    <mergeCell ref="T55:V55"/>
    <mergeCell ref="W55:AF55"/>
    <mergeCell ref="A56:D56"/>
    <mergeCell ref="E56:M56"/>
    <mergeCell ref="N56:S56"/>
    <mergeCell ref="T56:V56"/>
    <mergeCell ref="W56:AF56"/>
    <mergeCell ref="A53:D54"/>
    <mergeCell ref="E53:M54"/>
    <mergeCell ref="N53:Q53"/>
    <mergeCell ref="R53:S53"/>
    <mergeCell ref="T53:V54"/>
    <mergeCell ref="W53:AF54"/>
    <mergeCell ref="N54:Q54"/>
    <mergeCell ref="R54:S54"/>
    <mergeCell ref="W51:AF51"/>
    <mergeCell ref="A52:D52"/>
    <mergeCell ref="E52:M52"/>
    <mergeCell ref="N52:S52"/>
    <mergeCell ref="T52:V52"/>
    <mergeCell ref="W52:AF52"/>
    <mergeCell ref="A51:D51"/>
    <mergeCell ref="E51:M51"/>
    <mergeCell ref="N51:S51"/>
    <mergeCell ref="T51:V51"/>
    <mergeCell ref="W48:AF50"/>
    <mergeCell ref="A49:D49"/>
    <mergeCell ref="E49:M49"/>
    <mergeCell ref="N49:S49"/>
    <mergeCell ref="T49:V49"/>
    <mergeCell ref="A50:D50"/>
    <mergeCell ref="B25:AF25"/>
    <mergeCell ref="B28:AF28"/>
    <mergeCell ref="A30:AF30"/>
    <mergeCell ref="A46:AF46"/>
    <mergeCell ref="A47:D47"/>
    <mergeCell ref="E47:M47"/>
    <mergeCell ref="N47:S47"/>
    <mergeCell ref="T47:V47"/>
    <mergeCell ref="W47:AF47"/>
    <mergeCell ref="E50:M50"/>
    <mergeCell ref="N50:S50"/>
    <mergeCell ref="T50:V50"/>
    <mergeCell ref="A48:D48"/>
    <mergeCell ref="E48:M48"/>
    <mergeCell ref="N48:S48"/>
    <mergeCell ref="T48:V48"/>
    <mergeCell ref="C15:AF15"/>
    <mergeCell ref="C16:AF16"/>
    <mergeCell ref="C17:AF17"/>
    <mergeCell ref="C18:AF18"/>
    <mergeCell ref="C19:AF19"/>
    <mergeCell ref="B22:AF22"/>
    <mergeCell ref="A1:AF1"/>
    <mergeCell ref="A3:AF3"/>
    <mergeCell ref="B5:AF5"/>
    <mergeCell ref="A7:AF7"/>
    <mergeCell ref="B10:AF10"/>
    <mergeCell ref="B12:AF12"/>
  </mergeCells>
  <dataValidations count="3">
    <dataValidation type="list" allowBlank="1" showInputMessage="1" showErrorMessage="1" sqref="F84" xr:uid="{00000000-0002-0000-4900-000000000000}">
      <formula1>"East-West,North-South,Mean"</formula1>
    </dataValidation>
    <dataValidation type="list" allowBlank="1" showInputMessage="1" showErrorMessage="1" sqref="F91:I91" xr:uid="{00000000-0002-0000-4900-000001000000}">
      <formula1>"Room AC,Central AC"</formula1>
    </dataValidation>
    <dataValidation type="list" allowBlank="1" showInputMessage="1" showErrorMessage="1" sqref="F88" xr:uid="{00000000-0002-0000-4900-000002000000}">
      <formula1>"Isolated,Close,Average"</formula1>
    </dataValidation>
  </dataValidations>
  <hyperlinks>
    <hyperlink ref="A2" location="TOC!A1" display="Return to TOC" xr:uid="{00000000-0004-0000-49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B15:B19 AF35:AF44" numberStoredAsText="1"/>
  </ignoredError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0">
    <tabColor theme="5" tint="0.79998168889431442"/>
    <pageSetUpPr autoPageBreaks="0"/>
  </sheetPr>
  <dimension ref="A1:AF179"/>
  <sheetViews>
    <sheetView workbookViewId="0">
      <selection sqref="A1:AF1"/>
    </sheetView>
  </sheetViews>
  <sheetFormatPr defaultColWidth="2.7109375" defaultRowHeight="15" x14ac:dyDescent="0.25"/>
  <cols>
    <col min="1" max="4" width="3.140625" customWidth="1"/>
    <col min="7" max="7" width="2.5703125" customWidth="1"/>
  </cols>
  <sheetData>
    <row r="1" spans="1:32" s="1" customFormat="1" ht="18.75" x14ac:dyDescent="0.25">
      <c r="A1" s="1464" t="s">
        <v>1157</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s="1" customFormat="1" ht="14.45" customHeight="1" x14ac:dyDescent="0.25">
      <c r="A2" s="655"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s="1" customForma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s="1" customForma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x14ac:dyDescent="0.25">
      <c r="A5" s="262"/>
      <c r="B5" s="1151" t="s">
        <v>4660</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s="4" customForma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s="1" customFormat="1"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s="1" customForma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x14ac:dyDescent="0.25">
      <c r="B9" s="1475" t="s">
        <v>10</v>
      </c>
      <c r="C9" s="1475"/>
      <c r="D9" s="1475"/>
      <c r="E9" s="1475"/>
      <c r="F9" s="1475"/>
      <c r="G9" s="1475"/>
      <c r="H9" s="1475"/>
      <c r="I9" s="1475"/>
    </row>
    <row r="10" spans="1:32" s="1" customFormat="1" ht="33" customHeight="1" x14ac:dyDescent="0.25">
      <c r="A10" s="4"/>
      <c r="B10" s="1247" t="s">
        <v>4936</v>
      </c>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c r="AE10" s="1247"/>
      <c r="AF10" s="1247"/>
    </row>
    <row r="11" spans="1:32" s="1" customFormat="1" x14ac:dyDescent="0.25"/>
    <row r="12" spans="1:32" s="1" customFormat="1" x14ac:dyDescent="0.25">
      <c r="B12" s="1475" t="s">
        <v>11</v>
      </c>
      <c r="C12" s="1475"/>
      <c r="D12" s="1475"/>
      <c r="E12" s="1475"/>
      <c r="F12" s="1475"/>
      <c r="G12" s="1475"/>
      <c r="H12" s="1475"/>
      <c r="I12" s="1475"/>
    </row>
    <row r="13" spans="1:32" s="1" customFormat="1" x14ac:dyDescent="0.25">
      <c r="B13" s="1473" t="s">
        <v>4937</v>
      </c>
      <c r="C13" s="1473"/>
      <c r="D13" s="1473"/>
      <c r="E13" s="1473"/>
      <c r="F13" s="1473"/>
      <c r="G13" s="1473"/>
      <c r="H13" s="1473"/>
      <c r="I13" s="1473"/>
      <c r="J13" s="1473"/>
      <c r="K13" s="1473"/>
      <c r="L13" s="1473"/>
      <c r="M13" s="1473"/>
      <c r="N13" s="1473"/>
      <c r="O13" s="1473"/>
      <c r="P13" s="1473"/>
      <c r="Q13" s="1473"/>
      <c r="R13" s="1473"/>
      <c r="S13" s="1473"/>
      <c r="T13" s="1473"/>
      <c r="U13" s="1473"/>
      <c r="V13" s="1473"/>
      <c r="W13" s="1473"/>
      <c r="X13" s="1473"/>
      <c r="Y13" s="1473"/>
      <c r="Z13" s="1473"/>
      <c r="AA13" s="1473"/>
      <c r="AB13" s="1473"/>
      <c r="AC13" s="1473"/>
      <c r="AD13" s="1473"/>
      <c r="AE13" s="1473"/>
      <c r="AF13" s="1473"/>
    </row>
    <row r="14" spans="1:32" s="1" customFormat="1" x14ac:dyDescent="0.25"/>
    <row r="15" spans="1:32" s="4" customFormat="1" ht="14.45" customHeight="1" x14ac:dyDescent="0.25">
      <c r="A15" s="1"/>
      <c r="B15" s="1475" t="s">
        <v>12</v>
      </c>
      <c r="C15" s="1475"/>
      <c r="D15" s="1475"/>
      <c r="E15" s="1475"/>
      <c r="F15" s="1475"/>
      <c r="G15" s="1475"/>
      <c r="H15" s="1475"/>
      <c r="I15" s="1475"/>
      <c r="J15" s="1"/>
      <c r="K15" s="1"/>
      <c r="L15" s="1"/>
      <c r="M15" s="1"/>
      <c r="N15" s="1"/>
      <c r="O15" s="1"/>
      <c r="P15" s="1"/>
      <c r="Q15" s="1"/>
      <c r="R15" s="1"/>
      <c r="S15" s="1"/>
      <c r="T15" s="1"/>
      <c r="U15" s="1"/>
      <c r="V15" s="1"/>
      <c r="W15" s="1"/>
      <c r="X15" s="1"/>
      <c r="Y15" s="1"/>
      <c r="Z15" s="1"/>
      <c r="AA15" s="1"/>
      <c r="AB15" s="1"/>
      <c r="AC15" s="1"/>
      <c r="AD15" s="1"/>
      <c r="AE15" s="1"/>
      <c r="AF15" s="1"/>
    </row>
    <row r="16" spans="1:32" s="1" customFormat="1" x14ac:dyDescent="0.25">
      <c r="B16" s="1473" t="s">
        <v>4938</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row>
    <row r="17" spans="1:32" s="1" customFormat="1" x14ac:dyDescent="0.25"/>
    <row r="18" spans="1:32" s="1" customFormat="1" ht="14.45" customHeight="1" x14ac:dyDescent="0.25">
      <c r="B18" s="1475" t="s">
        <v>13</v>
      </c>
      <c r="C18" s="1475"/>
      <c r="D18" s="1475"/>
      <c r="E18" s="1475"/>
      <c r="F18" s="1475"/>
      <c r="G18" s="1475"/>
      <c r="H18" s="1475"/>
      <c r="I18" s="1475"/>
    </row>
    <row r="19" spans="1:32" s="1" customFormat="1" x14ac:dyDescent="0.25">
      <c r="A19" s="4"/>
      <c r="B19" s="1151" t="s">
        <v>4939</v>
      </c>
      <c r="C19" s="1151"/>
      <c r="D19" s="1151"/>
      <c r="E19" s="1151"/>
      <c r="F19" s="1151"/>
      <c r="G19" s="1151"/>
      <c r="H19" s="1151"/>
      <c r="I19" s="1151"/>
      <c r="J19" s="1151"/>
      <c r="K19" s="1151"/>
      <c r="L19" s="1151"/>
      <c r="M19" s="1151"/>
      <c r="N19" s="1151"/>
      <c r="O19" s="1151"/>
      <c r="P19" s="1151"/>
      <c r="Q19" s="1151"/>
      <c r="R19" s="1151"/>
      <c r="S19" s="1151"/>
      <c r="T19" s="1151"/>
      <c r="U19" s="1151"/>
      <c r="V19" s="1151"/>
      <c r="W19" s="1151"/>
      <c r="X19" s="1151"/>
      <c r="Y19" s="1151"/>
      <c r="Z19" s="1151"/>
      <c r="AA19" s="1151"/>
      <c r="AB19" s="1151"/>
      <c r="AC19" s="1151"/>
      <c r="AD19" s="1151"/>
      <c r="AE19" s="1151"/>
      <c r="AF19" s="1151"/>
    </row>
    <row r="20" spans="1:32" s="1" customFormat="1" x14ac:dyDescent="0.25"/>
    <row r="21" spans="1:32" s="1" customFormat="1" x14ac:dyDescent="0.25">
      <c r="B21" s="171" t="s">
        <v>20</v>
      </c>
      <c r="C21" s="171"/>
      <c r="D21" s="171"/>
      <c r="E21" s="171"/>
      <c r="F21" s="171"/>
      <c r="G21" s="171"/>
      <c r="H21" s="171"/>
      <c r="I21" s="171"/>
    </row>
    <row r="22" spans="1:32" s="1" customFormat="1" x14ac:dyDescent="0.25">
      <c r="B22" s="1151" t="s">
        <v>4940</v>
      </c>
      <c r="C22" s="1473"/>
      <c r="D22" s="1473"/>
      <c r="E22" s="1473"/>
      <c r="F22" s="1473"/>
      <c r="G22" s="1473"/>
      <c r="H22" s="1473"/>
      <c r="I22" s="1473"/>
      <c r="J22" s="1473"/>
      <c r="K22" s="1473"/>
      <c r="L22" s="1473"/>
      <c r="M22" s="1473"/>
      <c r="N22" s="1473"/>
      <c r="O22" s="1473"/>
      <c r="P22" s="1473"/>
      <c r="Q22" s="1473"/>
      <c r="R22" s="1473"/>
      <c r="S22" s="1473"/>
      <c r="T22" s="1473"/>
      <c r="U22" s="1473"/>
      <c r="V22" s="1473"/>
      <c r="W22" s="1473"/>
      <c r="X22" s="1473"/>
      <c r="Y22" s="1473"/>
      <c r="Z22" s="1473"/>
      <c r="AA22" s="1473"/>
      <c r="AB22" s="1473"/>
      <c r="AC22" s="1473"/>
      <c r="AD22" s="1473"/>
      <c r="AE22" s="1473"/>
      <c r="AF22" s="1473"/>
    </row>
    <row r="23" spans="1:32" s="1" customFormat="1" ht="14.45" customHeight="1" x14ac:dyDescent="0.25"/>
    <row r="24" spans="1:32" s="1" customFormat="1" ht="17.100000000000001" customHeight="1" x14ac:dyDescent="0.25"/>
    <row r="25" spans="1:32" s="1" customFormat="1" x14ac:dyDescent="0.25">
      <c r="A25" s="1472" t="s">
        <v>14</v>
      </c>
      <c r="B25" s="1472"/>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row>
    <row r="26" spans="1:32" s="1" customFormat="1" x14ac:dyDescent="0.25"/>
    <row r="27" spans="1:32" s="1" customFormat="1" x14ac:dyDescent="0.25">
      <c r="A27"/>
      <c r="B27" s="379" t="s">
        <v>2194</v>
      </c>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row>
    <row r="28" spans="1:32" s="1" customFormat="1" x14ac:dyDescent="0.25">
      <c r="A28"/>
      <c r="B28" s="379"/>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row>
    <row r="29" spans="1:32" s="1" customFormat="1" x14ac:dyDescent="0.25">
      <c r="A29"/>
      <c r="B29" s="379"/>
      <c r="C29" s="148"/>
      <c r="D29" s="148"/>
      <c r="E29" s="148"/>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685" t="s">
        <v>1705</v>
      </c>
    </row>
    <row r="30" spans="1:32" s="1" customFormat="1" x14ac:dyDescent="0.25">
      <c r="A30"/>
      <c r="B30" s="379"/>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685"/>
    </row>
    <row r="31" spans="1:32" s="1" customFormat="1" x14ac:dyDescent="0.25">
      <c r="A31"/>
      <c r="B31" s="379"/>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685"/>
    </row>
    <row r="32" spans="1:32" s="1" customFormat="1" x14ac:dyDescent="0.25">
      <c r="A32"/>
      <c r="B32" s="379"/>
      <c r="C32" s="148"/>
      <c r="D32" s="148"/>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685"/>
    </row>
    <row r="33" spans="1:32" s="1" customFormat="1" x14ac:dyDescent="0.25">
      <c r="A33"/>
      <c r="B33" s="379"/>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row>
    <row r="34" spans="1:32" x14ac:dyDescent="0.25">
      <c r="B34" s="379" t="s">
        <v>2303</v>
      </c>
      <c r="C34" s="148"/>
      <c r="D34" s="148"/>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row>
    <row r="35" spans="1:32" x14ac:dyDescent="0.25">
      <c r="B35" s="379"/>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row>
    <row r="36" spans="1:32" s="8" customFormat="1" x14ac:dyDescent="0.25">
      <c r="A36"/>
      <c r="B36" s="379"/>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685" t="s">
        <v>1706</v>
      </c>
    </row>
    <row r="37" spans="1:32" s="8" customFormat="1" x14ac:dyDescent="0.25">
      <c r="A37"/>
      <c r="B37" s="379"/>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row>
    <row r="38" spans="1:32" s="8" customFormat="1" ht="15" customHeight="1" x14ac:dyDescent="0.25">
      <c r="A38"/>
      <c r="B38" s="379"/>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row>
    <row r="39" spans="1:32" s="8" customFormat="1" x14ac:dyDescent="0.25">
      <c r="A39"/>
      <c r="B39" s="379"/>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row>
    <row r="40" spans="1:32" s="8" customFormat="1" x14ac:dyDescent="0.25">
      <c r="A40"/>
      <c r="B40" s="379" t="s">
        <v>4941</v>
      </c>
      <c r="C40" s="379"/>
      <c r="D40" s="379"/>
      <c r="E40" s="379"/>
      <c r="F40" s="379"/>
      <c r="G40" s="379"/>
      <c r="H40" s="379"/>
      <c r="I40" s="379"/>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row>
    <row r="41" spans="1:32" s="8" customFormat="1" x14ac:dyDescent="0.25">
      <c r="A41" s="37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row>
    <row r="42" spans="1:32" s="8" customFormat="1" x14ac:dyDescent="0.25">
      <c r="A42" s="37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39" t="s">
        <v>1707</v>
      </c>
    </row>
    <row r="43" spans="1:32" s="8" customFormat="1" x14ac:dyDescent="0.25">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row>
    <row r="44" spans="1:32" s="8" customFormat="1" x14ac:dyDescent="0.25">
      <c r="A44"/>
      <c r="B44" s="379" t="s">
        <v>1998</v>
      </c>
      <c r="C44" s="148"/>
      <c r="D44"/>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311"/>
    </row>
    <row r="45" spans="1:32" s="8" customFormat="1" x14ac:dyDescent="0.25">
      <c r="A45" s="148"/>
      <c r="B45" s="148"/>
      <c r="C45" s="148"/>
      <c r="D45"/>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311"/>
    </row>
    <row r="46" spans="1:32" s="8" customFormat="1" x14ac:dyDescent="0.25">
      <c r="A46" s="148"/>
      <c r="B46" s="304"/>
      <c r="C46" s="148"/>
      <c r="D46"/>
      <c r="E46" s="148"/>
      <c r="F46" s="148"/>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148"/>
      <c r="AF46" s="339" t="s">
        <v>1756</v>
      </c>
    </row>
    <row r="47" spans="1:32" s="8" customFormat="1" x14ac:dyDescent="0.25">
      <c r="A47" s="148"/>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311"/>
    </row>
    <row r="48" spans="1:32" s="8" customFormat="1" x14ac:dyDescent="0.25">
      <c r="A48" s="379"/>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row>
    <row r="49" spans="1:32" s="8" customFormat="1" ht="15" customHeight="1" x14ac:dyDescent="0.25">
      <c r="A49" s="1472" t="s">
        <v>15</v>
      </c>
      <c r="B49" s="1472"/>
      <c r="C49" s="1472"/>
      <c r="D49" s="1472"/>
      <c r="E49" s="1472"/>
      <c r="F49" s="1472"/>
      <c r="G49" s="1472"/>
      <c r="H49" s="1472"/>
      <c r="I49" s="1472"/>
      <c r="J49" s="1472"/>
      <c r="K49" s="1472"/>
      <c r="L49" s="1472"/>
      <c r="M49" s="1472"/>
      <c r="N49" s="1472"/>
      <c r="O49" s="1472"/>
      <c r="P49" s="1472"/>
      <c r="Q49" s="1472"/>
      <c r="R49" s="1472"/>
      <c r="S49" s="1472"/>
      <c r="T49" s="1472"/>
      <c r="U49" s="1472"/>
      <c r="V49" s="1472"/>
      <c r="W49" s="1472"/>
      <c r="X49" s="1472"/>
      <c r="Y49" s="1472"/>
      <c r="Z49" s="1472"/>
      <c r="AA49" s="1472"/>
      <c r="AB49" s="1472"/>
      <c r="AC49" s="1472"/>
      <c r="AD49" s="1472"/>
      <c r="AE49" s="1472"/>
      <c r="AF49" s="1472"/>
    </row>
    <row r="50" spans="1:32" s="8" customFormat="1" x14ac:dyDescent="0.25">
      <c r="A50" s="1474" t="s">
        <v>16</v>
      </c>
      <c r="B50" s="1474"/>
      <c r="C50" s="1474"/>
      <c r="D50" s="1474"/>
      <c r="E50" s="1474" t="s">
        <v>10</v>
      </c>
      <c r="F50" s="1474"/>
      <c r="G50" s="1474"/>
      <c r="H50" s="1474"/>
      <c r="I50" s="1474"/>
      <c r="J50" s="1474"/>
      <c r="K50" s="1474"/>
      <c r="L50" s="1474"/>
      <c r="M50" s="1474"/>
      <c r="N50" s="1474"/>
      <c r="O50" s="1474"/>
      <c r="P50" s="1474"/>
      <c r="Q50" s="1474" t="s">
        <v>17</v>
      </c>
      <c r="R50" s="1474"/>
      <c r="S50" s="1474"/>
      <c r="T50" s="1474"/>
      <c r="U50" s="1474" t="s">
        <v>18</v>
      </c>
      <c r="V50" s="1474"/>
      <c r="W50" s="1735" t="s">
        <v>1708</v>
      </c>
      <c r="X50" s="1735"/>
      <c r="Y50" s="1735"/>
      <c r="Z50" s="1735"/>
      <c r="AA50" s="1735"/>
      <c r="AB50" s="1735"/>
      <c r="AC50" s="1735"/>
      <c r="AD50" s="1735"/>
      <c r="AE50" s="1735"/>
      <c r="AF50" s="1735"/>
    </row>
    <row r="51" spans="1:32" s="8" customFormat="1" ht="63.75" customHeight="1" x14ac:dyDescent="0.25">
      <c r="A51" s="1135" t="s">
        <v>4942</v>
      </c>
      <c r="B51" s="1135"/>
      <c r="C51" s="1135"/>
      <c r="D51" s="1135"/>
      <c r="E51" s="1135" t="s">
        <v>532</v>
      </c>
      <c r="F51" s="1135" t="s">
        <v>518</v>
      </c>
      <c r="G51" s="1135" t="s">
        <v>518</v>
      </c>
      <c r="H51" s="1135" t="s">
        <v>518</v>
      </c>
      <c r="I51" s="1135" t="s">
        <v>518</v>
      </c>
      <c r="J51" s="1135" t="s">
        <v>518</v>
      </c>
      <c r="K51" s="1135" t="s">
        <v>518</v>
      </c>
      <c r="L51" s="1135" t="s">
        <v>518</v>
      </c>
      <c r="M51" s="1135" t="s">
        <v>518</v>
      </c>
      <c r="N51" s="1135" t="s">
        <v>518</v>
      </c>
      <c r="O51" s="1135" t="s">
        <v>518</v>
      </c>
      <c r="P51" s="1135" t="s">
        <v>518</v>
      </c>
      <c r="Q51" s="1913" t="s">
        <v>866</v>
      </c>
      <c r="R51" s="1913"/>
      <c r="S51" s="1913"/>
      <c r="T51" s="1913"/>
      <c r="U51" s="1913" t="s">
        <v>291</v>
      </c>
      <c r="V51" s="1913"/>
      <c r="W51" s="1135" t="s">
        <v>1678</v>
      </c>
      <c r="X51" s="1135" t="s">
        <v>519</v>
      </c>
      <c r="Y51" s="1135" t="s">
        <v>519</v>
      </c>
      <c r="Z51" s="1135" t="s">
        <v>519</v>
      </c>
      <c r="AA51" s="1135" t="s">
        <v>519</v>
      </c>
      <c r="AB51" s="1135" t="s">
        <v>519</v>
      </c>
      <c r="AC51" s="1135" t="s">
        <v>519</v>
      </c>
      <c r="AD51" s="1135" t="s">
        <v>519</v>
      </c>
      <c r="AE51" s="1135" t="s">
        <v>519</v>
      </c>
      <c r="AF51" s="1135" t="s">
        <v>519</v>
      </c>
    </row>
    <row r="52" spans="1:32" s="8" customFormat="1" ht="46.5" customHeight="1" x14ac:dyDescent="0.25">
      <c r="A52" s="1135" t="s">
        <v>4943</v>
      </c>
      <c r="B52" s="1135" t="s">
        <v>520</v>
      </c>
      <c r="C52" s="1135" t="s">
        <v>520</v>
      </c>
      <c r="D52" s="1135" t="s">
        <v>520</v>
      </c>
      <c r="E52" s="1135" t="s">
        <v>4944</v>
      </c>
      <c r="F52" s="1135" t="s">
        <v>521</v>
      </c>
      <c r="G52" s="1135" t="s">
        <v>521</v>
      </c>
      <c r="H52" s="1135" t="s">
        <v>521</v>
      </c>
      <c r="I52" s="1135" t="s">
        <v>521</v>
      </c>
      <c r="J52" s="1135" t="s">
        <v>521</v>
      </c>
      <c r="K52" s="1135" t="s">
        <v>521</v>
      </c>
      <c r="L52" s="1135" t="s">
        <v>521</v>
      </c>
      <c r="M52" s="1135" t="s">
        <v>521</v>
      </c>
      <c r="N52" s="1135" t="s">
        <v>521</v>
      </c>
      <c r="O52" s="1135" t="s">
        <v>521</v>
      </c>
      <c r="P52" s="1135" t="s">
        <v>521</v>
      </c>
      <c r="Q52" s="1913" t="s">
        <v>866</v>
      </c>
      <c r="R52" s="1913"/>
      <c r="S52" s="1913"/>
      <c r="T52" s="1913"/>
      <c r="U52" s="1913" t="s">
        <v>291</v>
      </c>
      <c r="V52" s="1913"/>
      <c r="W52" s="1135" t="s">
        <v>4945</v>
      </c>
      <c r="X52" s="1135" t="s">
        <v>522</v>
      </c>
      <c r="Y52" s="1135" t="s">
        <v>522</v>
      </c>
      <c r="Z52" s="1135" t="s">
        <v>522</v>
      </c>
      <c r="AA52" s="1135" t="s">
        <v>522</v>
      </c>
      <c r="AB52" s="1135" t="s">
        <v>522</v>
      </c>
      <c r="AC52" s="1135" t="s">
        <v>522</v>
      </c>
      <c r="AD52" s="1135" t="s">
        <v>522</v>
      </c>
      <c r="AE52" s="1135" t="s">
        <v>522</v>
      </c>
      <c r="AF52" s="1135" t="s">
        <v>522</v>
      </c>
    </row>
    <row r="53" spans="1:32" s="8" customFormat="1" ht="69" customHeight="1" x14ac:dyDescent="0.25">
      <c r="A53" s="1135" t="s">
        <v>4946</v>
      </c>
      <c r="B53" s="1135"/>
      <c r="C53" s="1135"/>
      <c r="D53" s="1135"/>
      <c r="E53" s="1135" t="s">
        <v>4947</v>
      </c>
      <c r="F53" s="1135" t="s">
        <v>518</v>
      </c>
      <c r="G53" s="1135" t="s">
        <v>518</v>
      </c>
      <c r="H53" s="1135" t="s">
        <v>518</v>
      </c>
      <c r="I53" s="1135" t="s">
        <v>518</v>
      </c>
      <c r="J53" s="1135" t="s">
        <v>518</v>
      </c>
      <c r="K53" s="1135" t="s">
        <v>518</v>
      </c>
      <c r="L53" s="1135" t="s">
        <v>518</v>
      </c>
      <c r="M53" s="1135" t="s">
        <v>518</v>
      </c>
      <c r="N53" s="1135" t="s">
        <v>518</v>
      </c>
      <c r="O53" s="1135" t="s">
        <v>518</v>
      </c>
      <c r="P53" s="1135" t="s">
        <v>518</v>
      </c>
      <c r="Q53" s="1913" t="s">
        <v>866</v>
      </c>
      <c r="R53" s="1913"/>
      <c r="S53" s="1913"/>
      <c r="T53" s="1913"/>
      <c r="U53" s="1913" t="s">
        <v>291</v>
      </c>
      <c r="V53" s="1913"/>
      <c r="W53" s="1135" t="s">
        <v>1678</v>
      </c>
      <c r="X53" s="1135" t="s">
        <v>519</v>
      </c>
      <c r="Y53" s="1135" t="s">
        <v>519</v>
      </c>
      <c r="Z53" s="1135" t="s">
        <v>519</v>
      </c>
      <c r="AA53" s="1135" t="s">
        <v>519</v>
      </c>
      <c r="AB53" s="1135" t="s">
        <v>519</v>
      </c>
      <c r="AC53" s="1135" t="s">
        <v>519</v>
      </c>
      <c r="AD53" s="1135" t="s">
        <v>519</v>
      </c>
      <c r="AE53" s="1135" t="s">
        <v>519</v>
      </c>
      <c r="AF53" s="1135" t="s">
        <v>519</v>
      </c>
    </row>
    <row r="54" spans="1:32" s="8" customFormat="1" ht="64.5" customHeight="1" x14ac:dyDescent="0.25">
      <c r="A54" s="1135" t="s">
        <v>4948</v>
      </c>
      <c r="B54" s="1135" t="s">
        <v>520</v>
      </c>
      <c r="C54" s="1135" t="s">
        <v>520</v>
      </c>
      <c r="D54" s="1135" t="s">
        <v>520</v>
      </c>
      <c r="E54" s="1135" t="s">
        <v>4949</v>
      </c>
      <c r="F54" s="1135" t="s">
        <v>521</v>
      </c>
      <c r="G54" s="1135" t="s">
        <v>521</v>
      </c>
      <c r="H54" s="1135" t="s">
        <v>521</v>
      </c>
      <c r="I54" s="1135" t="s">
        <v>521</v>
      </c>
      <c r="J54" s="1135" t="s">
        <v>521</v>
      </c>
      <c r="K54" s="1135" t="s">
        <v>521</v>
      </c>
      <c r="L54" s="1135" t="s">
        <v>521</v>
      </c>
      <c r="M54" s="1135" t="s">
        <v>521</v>
      </c>
      <c r="N54" s="1135" t="s">
        <v>521</v>
      </c>
      <c r="O54" s="1135" t="s">
        <v>521</v>
      </c>
      <c r="P54" s="1135" t="s">
        <v>521</v>
      </c>
      <c r="Q54" s="1913" t="s">
        <v>866</v>
      </c>
      <c r="R54" s="1913"/>
      <c r="S54" s="1913"/>
      <c r="T54" s="1913"/>
      <c r="U54" s="1913" t="s">
        <v>291</v>
      </c>
      <c r="V54" s="1913"/>
      <c r="W54" s="1135" t="s">
        <v>1678</v>
      </c>
      <c r="X54" s="1135" t="s">
        <v>519</v>
      </c>
      <c r="Y54" s="1135" t="s">
        <v>519</v>
      </c>
      <c r="Z54" s="1135" t="s">
        <v>519</v>
      </c>
      <c r="AA54" s="1135" t="s">
        <v>519</v>
      </c>
      <c r="AB54" s="1135" t="s">
        <v>519</v>
      </c>
      <c r="AC54" s="1135" t="s">
        <v>519</v>
      </c>
      <c r="AD54" s="1135" t="s">
        <v>519</v>
      </c>
      <c r="AE54" s="1135" t="s">
        <v>519</v>
      </c>
      <c r="AF54" s="1135" t="s">
        <v>519</v>
      </c>
    </row>
    <row r="55" spans="1:32" s="8" customFormat="1" ht="78.75" customHeight="1" x14ac:dyDescent="0.25">
      <c r="A55" s="1135" t="s">
        <v>4950</v>
      </c>
      <c r="B55" s="1135"/>
      <c r="C55" s="1135"/>
      <c r="D55" s="1135"/>
      <c r="E55" s="1135" t="s">
        <v>4951</v>
      </c>
      <c r="F55" s="1135"/>
      <c r="G55" s="1135"/>
      <c r="H55" s="1135"/>
      <c r="I55" s="1135"/>
      <c r="J55" s="1135"/>
      <c r="K55" s="1135"/>
      <c r="L55" s="1135"/>
      <c r="M55" s="1135"/>
      <c r="N55" s="1135"/>
      <c r="O55" s="1135"/>
      <c r="P55" s="1135"/>
      <c r="Q55" s="1913">
        <v>1.5</v>
      </c>
      <c r="R55" s="1913"/>
      <c r="S55" s="1913"/>
      <c r="T55" s="1913"/>
      <c r="U55" s="1913" t="s">
        <v>28</v>
      </c>
      <c r="V55" s="1913"/>
      <c r="W55" s="1135" t="s">
        <v>4952</v>
      </c>
      <c r="X55" s="1135" t="s">
        <v>522</v>
      </c>
      <c r="Y55" s="1135" t="s">
        <v>522</v>
      </c>
      <c r="Z55" s="1135" t="s">
        <v>522</v>
      </c>
      <c r="AA55" s="1135" t="s">
        <v>522</v>
      </c>
      <c r="AB55" s="1135" t="s">
        <v>522</v>
      </c>
      <c r="AC55" s="1135" t="s">
        <v>522</v>
      </c>
      <c r="AD55" s="1135" t="s">
        <v>522</v>
      </c>
      <c r="AE55" s="1135" t="s">
        <v>522</v>
      </c>
      <c r="AF55" s="1135" t="s">
        <v>522</v>
      </c>
    </row>
    <row r="56" spans="1:32" s="8" customFormat="1" ht="39" customHeight="1" x14ac:dyDescent="0.25">
      <c r="A56" s="1134" t="s">
        <v>29</v>
      </c>
      <c r="B56" s="1134" t="s">
        <v>29</v>
      </c>
      <c r="C56" s="1134" t="s">
        <v>29</v>
      </c>
      <c r="D56" s="1134" t="s">
        <v>29</v>
      </c>
      <c r="E56" s="1135" t="s">
        <v>494</v>
      </c>
      <c r="F56" s="1135" t="s">
        <v>523</v>
      </c>
      <c r="G56" s="1135" t="s">
        <v>523</v>
      </c>
      <c r="H56" s="1135" t="s">
        <v>523</v>
      </c>
      <c r="I56" s="1135" t="s">
        <v>523</v>
      </c>
      <c r="J56" s="1135" t="s">
        <v>523</v>
      </c>
      <c r="K56" s="1135" t="s">
        <v>523</v>
      </c>
      <c r="L56" s="1135" t="s">
        <v>523</v>
      </c>
      <c r="M56" s="1135" t="s">
        <v>523</v>
      </c>
      <c r="N56" s="1135" t="s">
        <v>523</v>
      </c>
      <c r="O56" s="1135" t="s">
        <v>523</v>
      </c>
      <c r="P56" s="1135" t="s">
        <v>523</v>
      </c>
      <c r="Q56" s="2626">
        <f>[5]CF!$I$6</f>
        <v>0.55970548302982814</v>
      </c>
      <c r="R56" s="2626">
        <v>0.22</v>
      </c>
      <c r="S56" s="2626">
        <v>0.22</v>
      </c>
      <c r="T56" s="2626">
        <v>0.22</v>
      </c>
      <c r="U56" s="1913" t="s">
        <v>28</v>
      </c>
      <c r="V56" s="1913"/>
      <c r="W56" s="1135" t="s">
        <v>4953</v>
      </c>
      <c r="X56" s="1135" t="s">
        <v>524</v>
      </c>
      <c r="Y56" s="1135" t="s">
        <v>524</v>
      </c>
      <c r="Z56" s="1135" t="s">
        <v>524</v>
      </c>
      <c r="AA56" s="1135" t="s">
        <v>524</v>
      </c>
      <c r="AB56" s="1135" t="s">
        <v>524</v>
      </c>
      <c r="AC56" s="1135" t="s">
        <v>524</v>
      </c>
      <c r="AD56" s="1135" t="s">
        <v>524</v>
      </c>
      <c r="AE56" s="1135" t="s">
        <v>524</v>
      </c>
      <c r="AF56" s="1135" t="s">
        <v>524</v>
      </c>
    </row>
    <row r="57" spans="1:32" s="8" customFormat="1" ht="54.75" customHeight="1" x14ac:dyDescent="0.25">
      <c r="A57" s="1134" t="s">
        <v>1065</v>
      </c>
      <c r="B57" s="1134" t="s">
        <v>525</v>
      </c>
      <c r="C57" s="1134" t="s">
        <v>525</v>
      </c>
      <c r="D57" s="1134" t="s">
        <v>525</v>
      </c>
      <c r="E57" s="1135" t="s">
        <v>1064</v>
      </c>
      <c r="F57" s="1135" t="s">
        <v>526</v>
      </c>
      <c r="G57" s="1135" t="s">
        <v>526</v>
      </c>
      <c r="H57" s="1135" t="s">
        <v>526</v>
      </c>
      <c r="I57" s="1135" t="s">
        <v>526</v>
      </c>
      <c r="J57" s="1135" t="s">
        <v>526</v>
      </c>
      <c r="K57" s="1135" t="s">
        <v>526</v>
      </c>
      <c r="L57" s="1135" t="s">
        <v>526</v>
      </c>
      <c r="M57" s="1135" t="s">
        <v>526</v>
      </c>
      <c r="N57" s="1135" t="s">
        <v>526</v>
      </c>
      <c r="O57" s="1135" t="s">
        <v>526</v>
      </c>
      <c r="P57" s="1135" t="s">
        <v>526</v>
      </c>
      <c r="Q57" s="1913">
        <v>5</v>
      </c>
      <c r="R57" s="1913">
        <v>5</v>
      </c>
      <c r="S57" s="1913">
        <v>5</v>
      </c>
      <c r="T57" s="1913">
        <v>5</v>
      </c>
      <c r="U57" s="1913" t="s">
        <v>45</v>
      </c>
      <c r="V57" s="1913"/>
      <c r="W57" s="1135" t="s">
        <v>4954</v>
      </c>
      <c r="X57" s="1135" t="s">
        <v>519</v>
      </c>
      <c r="Y57" s="1135" t="s">
        <v>519</v>
      </c>
      <c r="Z57" s="1135" t="s">
        <v>519</v>
      </c>
      <c r="AA57" s="1135" t="s">
        <v>519</v>
      </c>
      <c r="AB57" s="1135" t="s">
        <v>519</v>
      </c>
      <c r="AC57" s="1135" t="s">
        <v>519</v>
      </c>
      <c r="AD57" s="1135" t="s">
        <v>519</v>
      </c>
      <c r="AE57" s="1135" t="s">
        <v>519</v>
      </c>
      <c r="AF57" s="1135" t="s">
        <v>519</v>
      </c>
    </row>
    <row r="58" spans="1:32" s="8" customFormat="1" ht="54" customHeight="1" x14ac:dyDescent="0.25">
      <c r="A58" s="1134" t="s">
        <v>4955</v>
      </c>
      <c r="B58" s="1134" t="s">
        <v>525</v>
      </c>
      <c r="C58" s="1134" t="s">
        <v>525</v>
      </c>
      <c r="D58" s="1134" t="s">
        <v>525</v>
      </c>
      <c r="E58" s="1135" t="s">
        <v>4956</v>
      </c>
      <c r="F58" s="1135" t="s">
        <v>526</v>
      </c>
      <c r="G58" s="1135" t="s">
        <v>526</v>
      </c>
      <c r="H58" s="1135" t="s">
        <v>526</v>
      </c>
      <c r="I58" s="1135" t="s">
        <v>526</v>
      </c>
      <c r="J58" s="1135" t="s">
        <v>526</v>
      </c>
      <c r="K58" s="1135" t="s">
        <v>526</v>
      </c>
      <c r="L58" s="1135" t="s">
        <v>526</v>
      </c>
      <c r="M58" s="1135" t="s">
        <v>526</v>
      </c>
      <c r="N58" s="1135" t="s">
        <v>526</v>
      </c>
      <c r="O58" s="1135" t="s">
        <v>526</v>
      </c>
      <c r="P58" s="1135" t="s">
        <v>526</v>
      </c>
      <c r="Q58" s="1913">
        <v>19</v>
      </c>
      <c r="R58" s="1913">
        <v>5</v>
      </c>
      <c r="S58" s="1913">
        <v>5</v>
      </c>
      <c r="T58" s="1913">
        <v>5</v>
      </c>
      <c r="U58" s="1913" t="s">
        <v>45</v>
      </c>
      <c r="V58" s="1913"/>
      <c r="W58" s="1135" t="s">
        <v>4954</v>
      </c>
      <c r="X58" s="1135" t="s">
        <v>519</v>
      </c>
      <c r="Y58" s="1135" t="s">
        <v>519</v>
      </c>
      <c r="Z58" s="1135" t="s">
        <v>519</v>
      </c>
      <c r="AA58" s="1135" t="s">
        <v>519</v>
      </c>
      <c r="AB58" s="1135" t="s">
        <v>519</v>
      </c>
      <c r="AC58" s="1135" t="s">
        <v>519</v>
      </c>
      <c r="AD58" s="1135" t="s">
        <v>519</v>
      </c>
      <c r="AE58" s="1135" t="s">
        <v>519</v>
      </c>
      <c r="AF58" s="1135" t="s">
        <v>519</v>
      </c>
    </row>
    <row r="59" spans="1:32" s="8" customFormat="1" ht="38.25" customHeight="1" x14ac:dyDescent="0.25">
      <c r="A59" s="1680" t="s">
        <v>3935</v>
      </c>
      <c r="B59" s="1681" t="s">
        <v>34</v>
      </c>
      <c r="C59" s="1681" t="s">
        <v>34</v>
      </c>
      <c r="D59" s="1682" t="s">
        <v>34</v>
      </c>
      <c r="E59" s="1494" t="s">
        <v>2217</v>
      </c>
      <c r="F59" s="1495" t="s">
        <v>219</v>
      </c>
      <c r="G59" s="1495" t="s">
        <v>219</v>
      </c>
      <c r="H59" s="1495" t="s">
        <v>219</v>
      </c>
      <c r="I59" s="1495" t="s">
        <v>219</v>
      </c>
      <c r="J59" s="1495" t="s">
        <v>219</v>
      </c>
      <c r="K59" s="1495" t="s">
        <v>219</v>
      </c>
      <c r="L59" s="1495" t="s">
        <v>219</v>
      </c>
      <c r="M59" s="1495" t="s">
        <v>219</v>
      </c>
      <c r="N59" s="1495" t="s">
        <v>219</v>
      </c>
      <c r="O59" s="1495" t="s">
        <v>219</v>
      </c>
      <c r="P59" s="1496" t="s">
        <v>219</v>
      </c>
      <c r="Q59" s="1913">
        <f>'Master EUL'!X37</f>
        <v>6</v>
      </c>
      <c r="R59" s="1913" t="s">
        <v>527</v>
      </c>
      <c r="S59" s="1913" t="s">
        <v>527</v>
      </c>
      <c r="T59" s="1913" t="s">
        <v>527</v>
      </c>
      <c r="U59" s="1913" t="s">
        <v>46</v>
      </c>
      <c r="V59" s="1913"/>
      <c r="W59" s="1135" t="s">
        <v>4957</v>
      </c>
      <c r="X59" s="1135"/>
      <c r="Y59" s="1135"/>
      <c r="Z59" s="1135"/>
      <c r="AA59" s="1135"/>
      <c r="AB59" s="1135"/>
      <c r="AC59" s="1135"/>
      <c r="AD59" s="1135"/>
      <c r="AE59" s="1135"/>
      <c r="AF59" s="1135"/>
    </row>
    <row r="60" spans="1:32" s="8" customFormat="1" ht="43.5" customHeight="1" x14ac:dyDescent="0.25">
      <c r="A60" s="1416" t="s">
        <v>3730</v>
      </c>
      <c r="B60" s="1416"/>
      <c r="C60" s="1601" t="s">
        <v>4958</v>
      </c>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row>
    <row r="61" spans="1:32" s="8" customFormat="1" x14ac:dyDescent="0.25">
      <c r="A61" s="748"/>
      <c r="B61" s="748"/>
      <c r="C61" s="749"/>
      <c r="D61" s="749"/>
      <c r="E61" s="749"/>
      <c r="F61" s="749"/>
      <c r="G61" s="749"/>
      <c r="H61" s="760"/>
      <c r="I61" s="760"/>
      <c r="J61" s="760"/>
      <c r="K61" s="760"/>
      <c r="L61" s="760"/>
      <c r="M61" s="760"/>
      <c r="N61" s="760"/>
      <c r="O61" s="760"/>
      <c r="P61" s="760"/>
      <c r="Q61" s="760"/>
      <c r="R61" s="760"/>
      <c r="S61" s="760"/>
      <c r="T61" s="760"/>
      <c r="U61" s="760"/>
      <c r="V61" s="749"/>
      <c r="W61" s="749"/>
      <c r="X61" s="749"/>
      <c r="Y61" s="749"/>
      <c r="Z61" s="749"/>
      <c r="AA61" s="749"/>
      <c r="AB61" s="749"/>
      <c r="AC61" s="749"/>
      <c r="AD61" s="749"/>
      <c r="AE61" s="749"/>
      <c r="AF61" s="749"/>
    </row>
    <row r="62" spans="1:32" s="8" customFormat="1" x14ac:dyDescent="0.25">
      <c r="A62" s="748"/>
      <c r="B62" s="748"/>
      <c r="C62" s="423" t="s">
        <v>326</v>
      </c>
      <c r="D62"/>
      <c r="E62"/>
      <c r="F62"/>
      <c r="G62"/>
      <c r="H62" s="1435" t="s">
        <v>4959</v>
      </c>
      <c r="I62" s="1435"/>
      <c r="J62" s="1435"/>
      <c r="K62" s="1435"/>
      <c r="L62" s="1435"/>
      <c r="M62" s="1435"/>
      <c r="N62" s="1435"/>
      <c r="O62" s="1435"/>
      <c r="P62" s="1435"/>
      <c r="Q62" s="1435"/>
      <c r="R62" s="1435"/>
      <c r="S62" s="1435"/>
      <c r="T62" s="1435"/>
      <c r="U62" s="1435"/>
      <c r="V62" s="749"/>
      <c r="W62" s="749"/>
      <c r="X62" s="749"/>
      <c r="Y62" s="749"/>
      <c r="Z62" s="749"/>
      <c r="AA62" s="749"/>
      <c r="AB62" s="749"/>
      <c r="AC62" s="749"/>
      <c r="AD62" s="749"/>
      <c r="AE62" s="749"/>
      <c r="AF62" s="749"/>
    </row>
    <row r="63" spans="1:32" s="8" customFormat="1" x14ac:dyDescent="0.25">
      <c r="A63" s="748"/>
      <c r="B63" s="748"/>
      <c r="C63" s="3010" t="s">
        <v>240</v>
      </c>
      <c r="D63" s="3010"/>
      <c r="E63" s="3010"/>
      <c r="F63" s="3010"/>
      <c r="G63" s="3010"/>
      <c r="H63" s="1457" t="s">
        <v>129</v>
      </c>
      <c r="I63" s="1458"/>
      <c r="J63" s="1458"/>
      <c r="K63" s="1458"/>
      <c r="L63" s="1458"/>
      <c r="M63" s="1458"/>
      <c r="N63" s="1459"/>
      <c r="O63" s="1457" t="s">
        <v>4960</v>
      </c>
      <c r="P63" s="1458"/>
      <c r="Q63" s="1458"/>
      <c r="R63" s="1458"/>
      <c r="S63" s="1458"/>
      <c r="T63" s="1458"/>
      <c r="U63" s="1459"/>
      <c r="V63" s="749"/>
      <c r="W63" s="749"/>
      <c r="X63" s="749"/>
      <c r="Y63" s="749"/>
      <c r="Z63" s="749"/>
      <c r="AA63" s="749"/>
      <c r="AB63" s="749"/>
      <c r="AC63" s="749"/>
      <c r="AD63" s="749"/>
      <c r="AE63" s="749"/>
      <c r="AF63" s="749"/>
    </row>
    <row r="64" spans="1:32" s="1" customFormat="1" x14ac:dyDescent="0.25">
      <c r="A64" s="748"/>
      <c r="B64" s="748"/>
      <c r="C64" s="1245" t="s">
        <v>4961</v>
      </c>
      <c r="D64" s="1245"/>
      <c r="E64" s="1245"/>
      <c r="F64" s="1245"/>
      <c r="G64" s="1245"/>
      <c r="H64" s="3028">
        <v>0.39333333333333331</v>
      </c>
      <c r="I64" s="3029"/>
      <c r="J64" s="3029"/>
      <c r="K64" s="3029"/>
      <c r="L64" s="3029"/>
      <c r="M64" s="3029"/>
      <c r="N64" s="3030"/>
      <c r="O64" s="3028">
        <v>0.31896551724137973</v>
      </c>
      <c r="P64" s="3029"/>
      <c r="Q64" s="3029"/>
      <c r="R64" s="3029"/>
      <c r="S64" s="3029"/>
      <c r="T64" s="3029"/>
      <c r="U64" s="3030"/>
      <c r="V64" s="749"/>
      <c r="W64" s="749"/>
      <c r="X64" s="749"/>
      <c r="Y64" s="749"/>
      <c r="Z64" s="749"/>
      <c r="AA64" s="749"/>
      <c r="AB64" s="749"/>
      <c r="AC64" s="749"/>
      <c r="AD64" s="749"/>
      <c r="AE64" s="749"/>
      <c r="AF64" s="749"/>
    </row>
    <row r="65" spans="1:32" s="1" customFormat="1" x14ac:dyDescent="0.25">
      <c r="A65" s="748"/>
      <c r="B65" s="748"/>
      <c r="C65" s="1245" t="s">
        <v>4962</v>
      </c>
      <c r="D65" s="1245"/>
      <c r="E65" s="1245"/>
      <c r="F65" s="1245"/>
      <c r="G65" s="1245"/>
      <c r="H65" s="3028">
        <v>0.35393258426966295</v>
      </c>
      <c r="I65" s="3029"/>
      <c r="J65" s="3029"/>
      <c r="K65" s="3029"/>
      <c r="L65" s="3029"/>
      <c r="M65" s="3029"/>
      <c r="N65" s="3030"/>
      <c r="O65" s="3028">
        <v>0.3227272727272727</v>
      </c>
      <c r="P65" s="3029"/>
      <c r="Q65" s="3029"/>
      <c r="R65" s="3029"/>
      <c r="S65" s="3029"/>
      <c r="T65" s="3029"/>
      <c r="U65" s="3030"/>
      <c r="V65" s="749"/>
      <c r="W65" s="749"/>
      <c r="X65" s="749"/>
      <c r="Y65" s="749"/>
      <c r="Z65" s="749"/>
      <c r="AA65" s="749"/>
      <c r="AB65" s="749"/>
      <c r="AC65" s="749"/>
      <c r="AD65" s="749"/>
      <c r="AE65" s="749"/>
      <c r="AF65" s="749"/>
    </row>
    <row r="66" spans="1:32" x14ac:dyDescent="0.25">
      <c r="A66" s="748"/>
      <c r="B66" s="748"/>
      <c r="C66" s="1245" t="s">
        <v>4963</v>
      </c>
      <c r="D66" s="1245"/>
      <c r="E66" s="1245"/>
      <c r="F66" s="1245"/>
      <c r="G66" s="1245"/>
      <c r="H66" s="3028">
        <v>0.32905405405405364</v>
      </c>
      <c r="I66" s="3029"/>
      <c r="J66" s="3029"/>
      <c r="K66" s="3029"/>
      <c r="L66" s="3029"/>
      <c r="M66" s="3029"/>
      <c r="N66" s="3030"/>
      <c r="O66" s="3028">
        <v>0.31750000000000012</v>
      </c>
      <c r="P66" s="3029"/>
      <c r="Q66" s="3029"/>
      <c r="R66" s="3029"/>
      <c r="S66" s="3029"/>
      <c r="T66" s="3029"/>
      <c r="U66" s="3030"/>
      <c r="V66" s="749"/>
      <c r="W66" s="749"/>
      <c r="X66" s="749"/>
      <c r="Y66" s="749"/>
      <c r="Z66" s="749"/>
      <c r="AA66" s="749"/>
      <c r="AB66" s="749"/>
      <c r="AC66" s="749"/>
      <c r="AD66" s="749"/>
      <c r="AE66" s="749"/>
      <c r="AF66" s="749"/>
    </row>
    <row r="67" spans="1:32" x14ac:dyDescent="0.25">
      <c r="A67" s="748"/>
      <c r="B67" s="748"/>
      <c r="C67" s="1245" t="s">
        <v>4964</v>
      </c>
      <c r="D67" s="1245"/>
      <c r="E67" s="1245"/>
      <c r="F67" s="1245"/>
      <c r="G67" s="1245"/>
      <c r="H67" s="3028">
        <v>0.32225913621262442</v>
      </c>
      <c r="I67" s="3029"/>
      <c r="J67" s="3029"/>
      <c r="K67" s="3029"/>
      <c r="L67" s="3029"/>
      <c r="M67" s="3029"/>
      <c r="N67" s="3030"/>
      <c r="O67" s="3028">
        <v>0.30454545454545473</v>
      </c>
      <c r="P67" s="3029"/>
      <c r="Q67" s="3029"/>
      <c r="R67" s="3029"/>
      <c r="S67" s="3029"/>
      <c r="T67" s="3029"/>
      <c r="U67" s="3030"/>
      <c r="V67" s="749"/>
      <c r="W67" s="749"/>
      <c r="X67" s="749"/>
      <c r="Y67" s="749"/>
      <c r="Z67" s="749"/>
      <c r="AA67" s="749"/>
      <c r="AB67" s="749"/>
      <c r="AC67" s="749"/>
      <c r="AD67" s="749"/>
      <c r="AE67" s="749"/>
      <c r="AF67" s="749"/>
    </row>
    <row r="68" spans="1:32" x14ac:dyDescent="0.25">
      <c r="A68" s="748"/>
      <c r="B68" s="748"/>
      <c r="C68" s="1245" t="s">
        <v>4965</v>
      </c>
      <c r="D68" s="1245"/>
      <c r="E68" s="1245"/>
      <c r="F68" s="1245"/>
      <c r="G68" s="1245"/>
      <c r="H68" s="3028">
        <v>0.33795620437956125</v>
      </c>
      <c r="I68" s="3029"/>
      <c r="J68" s="3029"/>
      <c r="K68" s="3029"/>
      <c r="L68" s="3029"/>
      <c r="M68" s="3029"/>
      <c r="N68" s="3030"/>
      <c r="O68" s="3028">
        <v>0.3</v>
      </c>
      <c r="P68" s="3029"/>
      <c r="Q68" s="3029"/>
      <c r="R68" s="3029"/>
      <c r="S68" s="3029"/>
      <c r="T68" s="3029"/>
      <c r="U68" s="3030"/>
      <c r="V68" s="749"/>
      <c r="W68" s="749"/>
      <c r="X68" s="749"/>
      <c r="Y68" s="749"/>
      <c r="Z68" s="749"/>
      <c r="AA68" s="749"/>
      <c r="AB68" s="749"/>
      <c r="AC68" s="749"/>
      <c r="AD68" s="749"/>
      <c r="AE68" s="749"/>
      <c r="AF68" s="749"/>
    </row>
    <row r="69" spans="1:32" x14ac:dyDescent="0.25">
      <c r="A69" s="748"/>
      <c r="B69" s="748"/>
      <c r="C69" s="1245" t="s">
        <v>4966</v>
      </c>
      <c r="D69" s="1245"/>
      <c r="E69" s="1245"/>
      <c r="F69" s="1245"/>
      <c r="G69" s="1245"/>
      <c r="H69" s="3028">
        <v>0.33186813186813091</v>
      </c>
      <c r="I69" s="3029"/>
      <c r="J69" s="3029"/>
      <c r="K69" s="3029"/>
      <c r="L69" s="3029"/>
      <c r="M69" s="3029"/>
      <c r="N69" s="3030"/>
      <c r="O69" s="3028">
        <v>0.32083333333333358</v>
      </c>
      <c r="P69" s="3029"/>
      <c r="Q69" s="3029"/>
      <c r="R69" s="3029"/>
      <c r="S69" s="3029"/>
      <c r="T69" s="3029"/>
      <c r="U69" s="3030"/>
      <c r="V69" s="749"/>
      <c r="W69" s="749"/>
      <c r="X69" s="749"/>
      <c r="Y69" s="749"/>
      <c r="Z69" s="749"/>
      <c r="AA69" s="749"/>
      <c r="AB69" s="749"/>
      <c r="AC69" s="749"/>
      <c r="AD69" s="749"/>
      <c r="AE69" s="749"/>
      <c r="AF69" s="749"/>
    </row>
    <row r="70" spans="1:32" x14ac:dyDescent="0.25">
      <c r="A70" s="748"/>
      <c r="B70" s="748"/>
      <c r="C70" s="1245" t="s">
        <v>4967</v>
      </c>
      <c r="D70" s="1245"/>
      <c r="E70" s="1245"/>
      <c r="F70" s="1245"/>
      <c r="G70" s="1245"/>
      <c r="H70" s="3028">
        <v>0.30682730923694801</v>
      </c>
      <c r="I70" s="3029"/>
      <c r="J70" s="3029"/>
      <c r="K70" s="3029"/>
      <c r="L70" s="3029"/>
      <c r="M70" s="3029"/>
      <c r="N70" s="3030"/>
      <c r="O70" s="3028">
        <v>0.29870129870129902</v>
      </c>
      <c r="P70" s="3029"/>
      <c r="Q70" s="3029"/>
      <c r="R70" s="3029"/>
      <c r="S70" s="3029"/>
      <c r="T70" s="3029"/>
      <c r="U70" s="3030"/>
      <c r="V70" s="749"/>
      <c r="W70" s="749"/>
      <c r="X70" s="749"/>
      <c r="Y70" s="749"/>
      <c r="Z70" s="749"/>
      <c r="AA70" s="749"/>
      <c r="AB70" s="749"/>
      <c r="AC70" s="749"/>
      <c r="AD70" s="749"/>
      <c r="AE70" s="749"/>
      <c r="AF70" s="749"/>
    </row>
    <row r="71" spans="1:32" x14ac:dyDescent="0.25">
      <c r="A71" s="748"/>
      <c r="B71" s="748"/>
      <c r="C71" s="1245" t="s">
        <v>4968</v>
      </c>
      <c r="D71" s="1245"/>
      <c r="E71" s="1245"/>
      <c r="F71" s="1245"/>
      <c r="G71" s="1245"/>
      <c r="H71" s="3028">
        <v>0.29863945578231332</v>
      </c>
      <c r="I71" s="3029"/>
      <c r="J71" s="3029"/>
      <c r="K71" s="3029"/>
      <c r="L71" s="3029"/>
      <c r="M71" s="3029"/>
      <c r="N71" s="3030"/>
      <c r="O71" s="3028">
        <v>0.30925925925925946</v>
      </c>
      <c r="P71" s="3029"/>
      <c r="Q71" s="3029"/>
      <c r="R71" s="3029"/>
      <c r="S71" s="3029"/>
      <c r="T71" s="3029"/>
      <c r="U71" s="3030"/>
      <c r="V71" s="749"/>
      <c r="W71" s="749"/>
      <c r="X71" s="749"/>
      <c r="Y71" s="749"/>
      <c r="Z71" s="749"/>
      <c r="AA71" s="749"/>
      <c r="AB71" s="749"/>
      <c r="AC71" s="749"/>
      <c r="AD71" s="749"/>
      <c r="AE71" s="749"/>
      <c r="AF71" s="749"/>
    </row>
    <row r="72" spans="1:32" x14ac:dyDescent="0.25">
      <c r="A72" s="748"/>
      <c r="B72" s="748"/>
      <c r="C72" s="1245" t="s">
        <v>4969</v>
      </c>
      <c r="D72" s="1245"/>
      <c r="E72" s="1245"/>
      <c r="F72" s="1245"/>
      <c r="G72" s="1245"/>
      <c r="H72" s="3028">
        <v>0.29679487179487168</v>
      </c>
      <c r="I72" s="3029"/>
      <c r="J72" s="3029"/>
      <c r="K72" s="3029"/>
      <c r="L72" s="3029"/>
      <c r="M72" s="3029"/>
      <c r="N72" s="3030"/>
      <c r="O72" s="3028">
        <v>0.2491525423728814</v>
      </c>
      <c r="P72" s="3029"/>
      <c r="Q72" s="3029"/>
      <c r="R72" s="3029"/>
      <c r="S72" s="3029"/>
      <c r="T72" s="3029"/>
      <c r="U72" s="3030"/>
      <c r="V72" s="749"/>
      <c r="W72" s="749"/>
      <c r="X72" s="749"/>
      <c r="Y72" s="749"/>
      <c r="Z72" s="749"/>
      <c r="AA72" s="749"/>
      <c r="AB72" s="749"/>
      <c r="AC72" s="749"/>
      <c r="AD72" s="749"/>
      <c r="AE72" s="749"/>
      <c r="AF72" s="749"/>
    </row>
    <row r="73" spans="1:32" x14ac:dyDescent="0.25">
      <c r="A73" s="748"/>
      <c r="B73" s="748"/>
      <c r="C73" s="1245" t="s">
        <v>4970</v>
      </c>
      <c r="D73" s="1245"/>
      <c r="E73" s="1245"/>
      <c r="F73" s="1245"/>
      <c r="G73" s="1245"/>
      <c r="H73" s="3028">
        <v>0.30517241379310328</v>
      </c>
      <c r="I73" s="3029"/>
      <c r="J73" s="3029"/>
      <c r="K73" s="3029"/>
      <c r="L73" s="3029"/>
      <c r="M73" s="3029"/>
      <c r="N73" s="3030"/>
      <c r="O73" s="3028">
        <v>0.28000000000000003</v>
      </c>
      <c r="P73" s="3029"/>
      <c r="Q73" s="3029"/>
      <c r="R73" s="3029"/>
      <c r="S73" s="3029"/>
      <c r="T73" s="3029"/>
      <c r="U73" s="3030"/>
      <c r="V73" s="749"/>
      <c r="W73" s="749"/>
      <c r="X73" s="749"/>
      <c r="Y73" s="749"/>
      <c r="Z73" s="749"/>
      <c r="AA73" s="749"/>
      <c r="AB73" s="749"/>
      <c r="AC73" s="749"/>
      <c r="AD73" s="749"/>
      <c r="AE73" s="749"/>
      <c r="AF73" s="749"/>
    </row>
    <row r="74" spans="1:32" x14ac:dyDescent="0.25">
      <c r="A74" s="748"/>
      <c r="B74" s="748"/>
      <c r="C74" s="1245" t="s">
        <v>4971</v>
      </c>
      <c r="D74" s="1245"/>
      <c r="E74" s="1245"/>
      <c r="F74" s="1245"/>
      <c r="G74" s="1245"/>
      <c r="H74" s="3028">
        <v>0.33132530120481929</v>
      </c>
      <c r="I74" s="3029"/>
      <c r="J74" s="3029"/>
      <c r="K74" s="3029"/>
      <c r="L74" s="3029"/>
      <c r="M74" s="3029"/>
      <c r="N74" s="3030"/>
      <c r="O74" s="3028">
        <v>0.24411764705882349</v>
      </c>
      <c r="P74" s="3029"/>
      <c r="Q74" s="3029"/>
      <c r="R74" s="3029"/>
      <c r="S74" s="3029"/>
      <c r="T74" s="3029"/>
      <c r="U74" s="3030"/>
      <c r="V74" s="749"/>
      <c r="W74" s="749"/>
      <c r="X74" s="749"/>
      <c r="Y74" s="749"/>
      <c r="Z74" s="749"/>
      <c r="AA74" s="749"/>
      <c r="AB74" s="749"/>
      <c r="AC74" s="749"/>
      <c r="AD74" s="749"/>
      <c r="AE74" s="749"/>
      <c r="AF74" s="749"/>
    </row>
    <row r="75" spans="1:32" ht="43.5" customHeight="1" x14ac:dyDescent="0.25">
      <c r="A75" s="748"/>
      <c r="B75" s="748"/>
      <c r="C75" s="1415" t="s">
        <v>4972</v>
      </c>
      <c r="D75" s="1415"/>
      <c r="E75" s="1415"/>
      <c r="F75" s="1415"/>
      <c r="G75" s="1415"/>
      <c r="H75" s="1415"/>
      <c r="I75" s="1415"/>
      <c r="J75" s="1415"/>
      <c r="K75" s="1415"/>
      <c r="L75" s="1415"/>
      <c r="M75" s="1415"/>
      <c r="N75" s="1415"/>
      <c r="O75" s="1415"/>
      <c r="P75" s="1415"/>
      <c r="Q75" s="1415"/>
      <c r="R75" s="1415"/>
      <c r="S75" s="1415"/>
      <c r="T75" s="1415"/>
      <c r="U75" s="1415"/>
      <c r="V75" s="1415"/>
      <c r="W75" s="1415"/>
      <c r="X75" s="1415"/>
      <c r="Y75" s="1415"/>
      <c r="Z75" s="1415"/>
      <c r="AA75" s="1415"/>
      <c r="AB75" s="1415"/>
      <c r="AC75" s="1415"/>
      <c r="AD75" s="1415"/>
      <c r="AE75" s="1415"/>
      <c r="AF75" s="1415"/>
    </row>
    <row r="76" spans="1:32" x14ac:dyDescent="0.25">
      <c r="A76" s="748"/>
      <c r="B76" s="748"/>
      <c r="C76" s="38"/>
      <c r="D76" s="38"/>
      <c r="E76" s="38"/>
      <c r="F76" s="749"/>
      <c r="G76" s="749"/>
      <c r="H76" s="749"/>
      <c r="I76" s="749"/>
      <c r="J76" s="749"/>
      <c r="K76" s="749"/>
      <c r="L76" s="749"/>
      <c r="M76" s="749"/>
      <c r="N76" s="749"/>
      <c r="O76" s="749"/>
      <c r="P76" s="749"/>
      <c r="Q76" s="749"/>
      <c r="R76" s="749"/>
      <c r="S76" s="749"/>
      <c r="T76" s="749"/>
      <c r="U76" s="749"/>
      <c r="V76" s="749"/>
      <c r="W76" s="749"/>
      <c r="X76" s="749"/>
      <c r="Y76" s="749"/>
      <c r="Z76" s="749"/>
      <c r="AA76" s="749"/>
      <c r="AB76" s="749"/>
      <c r="AC76" s="749"/>
      <c r="AD76" s="749"/>
      <c r="AE76" s="749"/>
      <c r="AF76" s="749"/>
    </row>
    <row r="77" spans="1:32" x14ac:dyDescent="0.25">
      <c r="A77" s="748"/>
      <c r="B77" s="748"/>
      <c r="C77" s="423" t="s">
        <v>4410</v>
      </c>
      <c r="H77" s="1435" t="s">
        <v>4973</v>
      </c>
      <c r="I77" s="1435"/>
      <c r="J77" s="1435"/>
      <c r="K77" s="1435"/>
      <c r="L77" s="1435"/>
      <c r="M77" s="1435"/>
      <c r="N77" s="1435"/>
      <c r="O77" s="1435"/>
      <c r="P77" s="1435"/>
      <c r="Q77" s="1435"/>
      <c r="R77" s="1435"/>
      <c r="S77" s="1435"/>
      <c r="T77" s="1435"/>
      <c r="U77" s="1435"/>
      <c r="V77" s="749"/>
      <c r="W77" s="749"/>
      <c r="X77" s="749"/>
      <c r="Y77" s="749"/>
      <c r="Z77" s="749"/>
      <c r="AA77" s="749"/>
      <c r="AB77" s="749"/>
      <c r="AC77" s="749"/>
      <c r="AD77" s="749"/>
      <c r="AE77" s="749"/>
      <c r="AF77" s="749"/>
    </row>
    <row r="78" spans="1:32" x14ac:dyDescent="0.25">
      <c r="A78" s="748"/>
      <c r="B78" s="748"/>
      <c r="C78" s="3010" t="s">
        <v>240</v>
      </c>
      <c r="D78" s="3010"/>
      <c r="E78" s="3010"/>
      <c r="F78" s="3010"/>
      <c r="G78" s="3010"/>
      <c r="H78" s="1457" t="s">
        <v>129</v>
      </c>
      <c r="I78" s="1458"/>
      <c r="J78" s="1458"/>
      <c r="K78" s="1458"/>
      <c r="L78" s="1458"/>
      <c r="M78" s="1458"/>
      <c r="N78" s="1459"/>
      <c r="O78" s="1457" t="s">
        <v>4960</v>
      </c>
      <c r="P78" s="1458"/>
      <c r="Q78" s="1458"/>
      <c r="R78" s="1458"/>
      <c r="S78" s="1458"/>
      <c r="T78" s="1458"/>
      <c r="U78" s="1459"/>
      <c r="V78" s="749"/>
      <c r="W78" s="749"/>
      <c r="X78" s="749"/>
      <c r="Y78" s="749"/>
      <c r="Z78" s="749"/>
      <c r="AA78" s="749"/>
      <c r="AB78" s="749"/>
      <c r="AC78" s="749"/>
      <c r="AD78" s="749"/>
      <c r="AE78" s="749"/>
      <c r="AF78" s="749"/>
    </row>
    <row r="79" spans="1:32" x14ac:dyDescent="0.25">
      <c r="A79" s="748"/>
      <c r="B79" s="748"/>
      <c r="C79" s="1245" t="s">
        <v>4961</v>
      </c>
      <c r="D79" s="1245"/>
      <c r="E79" s="1245"/>
      <c r="F79" s="1245"/>
      <c r="G79" s="1245"/>
      <c r="H79" s="3028">
        <v>22.953333333333333</v>
      </c>
      <c r="I79" s="3029"/>
      <c r="J79" s="3029"/>
      <c r="K79" s="3029"/>
      <c r="L79" s="3029"/>
      <c r="M79" s="3029"/>
      <c r="N79" s="3030"/>
      <c r="O79" s="3028">
        <v>18.192611988911537</v>
      </c>
      <c r="P79" s="3029"/>
      <c r="Q79" s="3029"/>
      <c r="R79" s="3029"/>
      <c r="S79" s="3029"/>
      <c r="T79" s="3029"/>
      <c r="U79" s="3030"/>
      <c r="V79" s="749"/>
      <c r="W79" s="749"/>
      <c r="X79" s="749"/>
      <c r="Y79" s="749"/>
      <c r="Z79" s="749"/>
      <c r="AA79" s="749"/>
      <c r="AB79" s="749"/>
      <c r="AC79" s="749"/>
      <c r="AD79" s="749"/>
      <c r="AE79" s="749"/>
      <c r="AF79" s="749"/>
    </row>
    <row r="80" spans="1:32" x14ac:dyDescent="0.25">
      <c r="A80" s="748"/>
      <c r="B80" s="748"/>
      <c r="C80" s="1245" t="s">
        <v>4962</v>
      </c>
      <c r="D80" s="1245"/>
      <c r="E80" s="1245"/>
      <c r="F80" s="1245"/>
      <c r="G80" s="1245"/>
      <c r="H80" s="3028">
        <v>25.084269662921354</v>
      </c>
      <c r="I80" s="3029"/>
      <c r="J80" s="3029"/>
      <c r="K80" s="3029"/>
      <c r="L80" s="3029"/>
      <c r="M80" s="3029"/>
      <c r="N80" s="3030"/>
      <c r="O80" s="3028">
        <v>18.877944388515829</v>
      </c>
      <c r="P80" s="3029"/>
      <c r="Q80" s="3029"/>
      <c r="R80" s="3029"/>
      <c r="S80" s="3029"/>
      <c r="T80" s="3029"/>
      <c r="U80" s="3030"/>
      <c r="V80" s="749"/>
      <c r="W80" s="749"/>
      <c r="X80" s="749"/>
      <c r="Y80" s="749"/>
      <c r="Z80" s="749"/>
      <c r="AA80" s="749"/>
      <c r="AB80" s="749"/>
      <c r="AC80" s="749"/>
      <c r="AD80" s="749"/>
      <c r="AE80" s="749"/>
      <c r="AF80" s="749"/>
    </row>
    <row r="81" spans="1:32" x14ac:dyDescent="0.25">
      <c r="A81" s="748"/>
      <c r="B81" s="748"/>
      <c r="C81" s="1245" t="s">
        <v>4963</v>
      </c>
      <c r="D81" s="1245"/>
      <c r="E81" s="1245"/>
      <c r="F81" s="1245"/>
      <c r="G81" s="1245"/>
      <c r="H81" s="3028">
        <v>28.63581081081081</v>
      </c>
      <c r="I81" s="3029"/>
      <c r="J81" s="3029"/>
      <c r="K81" s="3029"/>
      <c r="L81" s="3029"/>
      <c r="M81" s="3029"/>
      <c r="N81" s="3030"/>
      <c r="O81" s="3028">
        <v>21.128698034447918</v>
      </c>
      <c r="P81" s="3029"/>
      <c r="Q81" s="3029"/>
      <c r="R81" s="3029"/>
      <c r="S81" s="3029"/>
      <c r="T81" s="3029"/>
      <c r="U81" s="3030"/>
      <c r="V81" s="749"/>
      <c r="W81" s="749"/>
      <c r="X81" s="749"/>
      <c r="Y81" s="749"/>
      <c r="Z81" s="749"/>
      <c r="AA81" s="749"/>
      <c r="AB81" s="749"/>
      <c r="AC81" s="749"/>
      <c r="AD81" s="749"/>
      <c r="AE81" s="749"/>
      <c r="AF81" s="749"/>
    </row>
    <row r="82" spans="1:32" x14ac:dyDescent="0.25">
      <c r="A82" s="748"/>
      <c r="B82" s="748"/>
      <c r="C82" s="1245" t="s">
        <v>4964</v>
      </c>
      <c r="D82" s="1245"/>
      <c r="E82" s="1245"/>
      <c r="F82" s="1245"/>
      <c r="G82" s="1245"/>
      <c r="H82" s="3028">
        <v>34.728239202657761</v>
      </c>
      <c r="I82" s="3029"/>
      <c r="J82" s="3029"/>
      <c r="K82" s="3029"/>
      <c r="L82" s="3029"/>
      <c r="M82" s="3029"/>
      <c r="N82" s="3030"/>
      <c r="O82" s="3028">
        <v>26.475705782022224</v>
      </c>
      <c r="P82" s="3029"/>
      <c r="Q82" s="3029"/>
      <c r="R82" s="3029"/>
      <c r="S82" s="3029"/>
      <c r="T82" s="3029"/>
      <c r="U82" s="3030"/>
      <c r="V82" s="749"/>
      <c r="W82" s="749"/>
      <c r="X82" s="749"/>
      <c r="Y82" s="749"/>
      <c r="Z82" s="749"/>
      <c r="AA82" s="749"/>
      <c r="AB82" s="749"/>
      <c r="AC82" s="749"/>
      <c r="AD82" s="749"/>
      <c r="AE82" s="749"/>
      <c r="AF82" s="749"/>
    </row>
    <row r="83" spans="1:32" x14ac:dyDescent="0.25">
      <c r="A83" s="748"/>
      <c r="B83" s="748"/>
      <c r="C83" s="1245" t="s">
        <v>4965</v>
      </c>
      <c r="D83" s="1245"/>
      <c r="E83" s="1245"/>
      <c r="F83" s="1245"/>
      <c r="G83" s="1245"/>
      <c r="H83" s="3028">
        <v>45.561313868613063</v>
      </c>
      <c r="I83" s="3029"/>
      <c r="J83" s="3029"/>
      <c r="K83" s="3029"/>
      <c r="L83" s="3029"/>
      <c r="M83" s="3029"/>
      <c r="N83" s="3030"/>
      <c r="O83" s="3028">
        <v>31.72244684994341</v>
      </c>
      <c r="P83" s="3029"/>
      <c r="Q83" s="3029"/>
      <c r="R83" s="3029"/>
      <c r="S83" s="3029"/>
      <c r="T83" s="3029"/>
      <c r="U83" s="3030"/>
      <c r="V83" s="749"/>
      <c r="W83" s="749"/>
      <c r="X83" s="749"/>
      <c r="Y83" s="749"/>
      <c r="Z83" s="749"/>
      <c r="AA83" s="749"/>
      <c r="AB83" s="749"/>
      <c r="AC83" s="749"/>
      <c r="AD83" s="749"/>
      <c r="AE83" s="749"/>
      <c r="AF83" s="749"/>
    </row>
    <row r="84" spans="1:32" x14ac:dyDescent="0.25">
      <c r="A84" s="748"/>
      <c r="B84" s="748"/>
      <c r="C84" s="1245" t="s">
        <v>4966</v>
      </c>
      <c r="D84" s="1245"/>
      <c r="E84" s="1245"/>
      <c r="F84" s="1245"/>
      <c r="G84" s="1245"/>
      <c r="H84" s="3028">
        <v>53.8175824175825</v>
      </c>
      <c r="I84" s="3029"/>
      <c r="J84" s="3029"/>
      <c r="K84" s="3029"/>
      <c r="L84" s="3029"/>
      <c r="M84" s="3029"/>
      <c r="N84" s="3030"/>
      <c r="O84" s="3028">
        <v>37.572868318660518</v>
      </c>
      <c r="P84" s="3029"/>
      <c r="Q84" s="3029"/>
      <c r="R84" s="3029"/>
      <c r="S84" s="3029"/>
      <c r="T84" s="3029"/>
      <c r="U84" s="3030"/>
      <c r="V84" s="749"/>
      <c r="W84" s="749"/>
      <c r="X84" s="749"/>
      <c r="Y84" s="749"/>
      <c r="Z84" s="749"/>
      <c r="AA84" s="749"/>
      <c r="AB84" s="749"/>
      <c r="AC84" s="749"/>
      <c r="AD84" s="749"/>
      <c r="AE84" s="749"/>
      <c r="AF84" s="749"/>
    </row>
    <row r="85" spans="1:32" x14ac:dyDescent="0.25">
      <c r="A85" s="748"/>
      <c r="B85" s="748"/>
      <c r="C85" s="1245" t="s">
        <v>4967</v>
      </c>
      <c r="D85" s="1245"/>
      <c r="E85" s="1245"/>
      <c r="F85" s="1245"/>
      <c r="G85" s="1245"/>
      <c r="H85" s="3028">
        <v>68.936947791164656</v>
      </c>
      <c r="I85" s="3029"/>
      <c r="J85" s="3029"/>
      <c r="K85" s="3029"/>
      <c r="L85" s="3029"/>
      <c r="M85" s="3029"/>
      <c r="N85" s="3030"/>
      <c r="O85" s="3028">
        <v>43.869034121527292</v>
      </c>
      <c r="P85" s="3029"/>
      <c r="Q85" s="3029"/>
      <c r="R85" s="3029"/>
      <c r="S85" s="3029"/>
      <c r="T85" s="3029"/>
      <c r="U85" s="3030"/>
      <c r="V85" s="749"/>
      <c r="W85" s="749"/>
      <c r="X85" s="749"/>
      <c r="Y85" s="749"/>
      <c r="Z85" s="749"/>
      <c r="AA85" s="749"/>
      <c r="AB85" s="749"/>
      <c r="AC85" s="749"/>
      <c r="AD85" s="749"/>
      <c r="AE85" s="749"/>
      <c r="AF85" s="749"/>
    </row>
    <row r="86" spans="1:32" x14ac:dyDescent="0.25">
      <c r="A86" s="748"/>
      <c r="B86" s="748"/>
      <c r="C86" s="1245" t="s">
        <v>4968</v>
      </c>
      <c r="D86" s="1245"/>
      <c r="E86" s="1245"/>
      <c r="F86" s="1245"/>
      <c r="G86" s="1245"/>
      <c r="H86" s="3028">
        <v>73.913605442176859</v>
      </c>
      <c r="I86" s="3029"/>
      <c r="J86" s="3029"/>
      <c r="K86" s="3029"/>
      <c r="L86" s="3029"/>
      <c r="M86" s="3029"/>
      <c r="N86" s="3030"/>
      <c r="O86" s="3028">
        <v>50.407234404745473</v>
      </c>
      <c r="P86" s="3029"/>
      <c r="Q86" s="3029"/>
      <c r="R86" s="3029"/>
      <c r="S86" s="3029"/>
      <c r="T86" s="3029"/>
      <c r="U86" s="3030"/>
      <c r="V86" s="749"/>
      <c r="W86" s="749"/>
      <c r="X86" s="749"/>
      <c r="Y86" s="749"/>
      <c r="Z86" s="749"/>
      <c r="AA86" s="749"/>
      <c r="AB86" s="749"/>
      <c r="AC86" s="749"/>
      <c r="AD86" s="749"/>
      <c r="AE86" s="749"/>
      <c r="AF86" s="749"/>
    </row>
    <row r="87" spans="1:32" x14ac:dyDescent="0.25">
      <c r="A87" s="748"/>
      <c r="B87" s="748"/>
      <c r="C87" s="1245" t="s">
        <v>4969</v>
      </c>
      <c r="D87" s="1245"/>
      <c r="E87" s="1245"/>
      <c r="F87" s="1245"/>
      <c r="G87" s="1245"/>
      <c r="H87" s="3028">
        <v>87.362179487179446</v>
      </c>
      <c r="I87" s="3029"/>
      <c r="J87" s="3029"/>
      <c r="K87" s="3029"/>
      <c r="L87" s="3029"/>
      <c r="M87" s="3029"/>
      <c r="N87" s="3030"/>
      <c r="O87" s="3028">
        <v>56.950525340345465</v>
      </c>
      <c r="P87" s="3029"/>
      <c r="Q87" s="3029"/>
      <c r="R87" s="3029"/>
      <c r="S87" s="3029"/>
      <c r="T87" s="3029"/>
      <c r="U87" s="3030"/>
      <c r="V87" s="749"/>
      <c r="W87" s="749"/>
      <c r="X87" s="749"/>
      <c r="Y87" s="749"/>
      <c r="Z87" s="749"/>
      <c r="AA87" s="749"/>
      <c r="AB87" s="749"/>
      <c r="AC87" s="749"/>
      <c r="AD87" s="749"/>
      <c r="AE87" s="749"/>
      <c r="AF87" s="749"/>
    </row>
    <row r="88" spans="1:32" x14ac:dyDescent="0.25">
      <c r="A88" s="748"/>
      <c r="B88" s="748"/>
      <c r="C88" s="1245" t="s">
        <v>4970</v>
      </c>
      <c r="D88" s="1245"/>
      <c r="E88" s="1245"/>
      <c r="F88" s="1245"/>
      <c r="G88" s="1245"/>
      <c r="H88" s="3028">
        <v>87.674137931034451</v>
      </c>
      <c r="I88" s="3029"/>
      <c r="J88" s="3029"/>
      <c r="K88" s="3029"/>
      <c r="L88" s="3029"/>
      <c r="M88" s="3029"/>
      <c r="N88" s="3030"/>
      <c r="O88" s="3028">
        <v>63.25198197164125</v>
      </c>
      <c r="P88" s="3029"/>
      <c r="Q88" s="3029"/>
      <c r="R88" s="3029"/>
      <c r="S88" s="3029"/>
      <c r="T88" s="3029"/>
      <c r="U88" s="3030"/>
      <c r="V88" s="749"/>
      <c r="W88" s="749"/>
      <c r="X88" s="749"/>
      <c r="Y88" s="749"/>
      <c r="Z88" s="749"/>
      <c r="AA88" s="749"/>
      <c r="AB88" s="749"/>
      <c r="AC88" s="749"/>
      <c r="AD88" s="749"/>
      <c r="AE88" s="749"/>
      <c r="AF88" s="749"/>
    </row>
    <row r="89" spans="1:32" x14ac:dyDescent="0.25">
      <c r="A89" s="748"/>
      <c r="B89" s="748"/>
      <c r="C89" s="1245" t="s">
        <v>4971</v>
      </c>
      <c r="D89" s="1245"/>
      <c r="E89" s="1245"/>
      <c r="F89" s="1245"/>
      <c r="G89" s="1245"/>
      <c r="H89" s="3028">
        <v>160.34096385542168</v>
      </c>
      <c r="I89" s="3029"/>
      <c r="J89" s="3029"/>
      <c r="K89" s="3029"/>
      <c r="L89" s="3029"/>
      <c r="M89" s="3029"/>
      <c r="N89" s="3030"/>
      <c r="O89" s="3028">
        <v>69.084603722630504</v>
      </c>
      <c r="P89" s="3029"/>
      <c r="Q89" s="3029"/>
      <c r="R89" s="3029"/>
      <c r="S89" s="3029"/>
      <c r="T89" s="3029"/>
      <c r="U89" s="3030"/>
      <c r="V89" s="749"/>
      <c r="W89" s="749"/>
      <c r="X89" s="749"/>
      <c r="Y89" s="749"/>
      <c r="Z89" s="749"/>
      <c r="AA89" s="749"/>
      <c r="AB89" s="749"/>
      <c r="AC89" s="749"/>
      <c r="AD89" s="749"/>
      <c r="AE89" s="749"/>
      <c r="AF89" s="749"/>
    </row>
    <row r="90" spans="1:32" ht="78" customHeight="1" x14ac:dyDescent="0.25">
      <c r="A90" s="748"/>
      <c r="B90" s="748"/>
      <c r="C90" s="1415" t="s">
        <v>4974</v>
      </c>
      <c r="D90" s="1415"/>
      <c r="E90" s="1415"/>
      <c r="F90" s="1415"/>
      <c r="G90" s="1415"/>
      <c r="H90" s="1415"/>
      <c r="I90" s="1415"/>
      <c r="J90" s="1415"/>
      <c r="K90" s="1415"/>
      <c r="L90" s="1415"/>
      <c r="M90" s="1415"/>
      <c r="N90" s="1415"/>
      <c r="O90" s="1415"/>
      <c r="P90" s="1415"/>
      <c r="Q90" s="1415"/>
      <c r="R90" s="1415"/>
      <c r="S90" s="1415"/>
      <c r="T90" s="1415"/>
      <c r="U90" s="1415"/>
      <c r="V90" s="1415"/>
      <c r="W90" s="1415"/>
      <c r="X90" s="1415"/>
      <c r="Y90" s="1415"/>
      <c r="Z90" s="1415"/>
      <c r="AA90" s="1415"/>
      <c r="AB90" s="1415"/>
      <c r="AC90" s="1415"/>
      <c r="AD90" s="1415"/>
      <c r="AE90" s="1415"/>
      <c r="AF90" s="1415"/>
    </row>
    <row r="91" spans="1:32" x14ac:dyDescent="0.25">
      <c r="A91" s="748"/>
      <c r="B91" s="748"/>
      <c r="C91" s="38"/>
      <c r="D91" s="38"/>
      <c r="E91" s="749"/>
      <c r="F91" s="749"/>
      <c r="G91" s="749"/>
      <c r="H91" s="749"/>
      <c r="I91" s="749"/>
      <c r="J91" s="749"/>
      <c r="K91" s="749"/>
      <c r="L91" s="749"/>
      <c r="M91" s="749"/>
      <c r="N91" s="749"/>
      <c r="O91" s="749"/>
      <c r="P91" s="749"/>
      <c r="Q91" s="749"/>
      <c r="R91" s="749"/>
      <c r="S91" s="749"/>
      <c r="T91" s="749"/>
      <c r="U91" s="749"/>
      <c r="V91" s="749"/>
      <c r="W91" s="749"/>
      <c r="X91" s="749"/>
      <c r="Y91" s="749"/>
      <c r="Z91" s="749"/>
      <c r="AA91" s="749"/>
      <c r="AB91" s="749"/>
      <c r="AC91" s="749"/>
      <c r="AD91" s="749"/>
      <c r="AE91" s="749"/>
      <c r="AF91" s="749"/>
    </row>
    <row r="92" spans="1:32" ht="18.75" x14ac:dyDescent="0.3">
      <c r="A92" s="24"/>
      <c r="C92" s="423" t="s">
        <v>4975</v>
      </c>
      <c r="H92" s="1435" t="s">
        <v>4433</v>
      </c>
      <c r="I92" s="1435"/>
      <c r="J92" s="1435"/>
      <c r="K92" s="1435"/>
      <c r="L92" s="1435"/>
      <c r="M92" s="1435"/>
      <c r="N92" s="1435"/>
      <c r="O92" s="1435"/>
      <c r="P92" s="1435"/>
      <c r="Q92" s="1435"/>
      <c r="R92" s="1435"/>
      <c r="S92" s="1435"/>
      <c r="T92" s="1435"/>
      <c r="U92" s="1435"/>
    </row>
    <row r="93" spans="1:32" x14ac:dyDescent="0.25">
      <c r="A93" s="282"/>
      <c r="B93" s="8"/>
      <c r="C93" s="3010" t="s">
        <v>240</v>
      </c>
      <c r="D93" s="3010"/>
      <c r="E93" s="3010"/>
      <c r="F93" s="3010"/>
      <c r="G93" s="3010"/>
      <c r="H93" s="761" t="s">
        <v>4976</v>
      </c>
      <c r="I93" s="746"/>
      <c r="J93" s="761"/>
      <c r="K93" s="746"/>
      <c r="L93" s="746"/>
      <c r="M93" s="745"/>
      <c r="N93" s="745"/>
      <c r="O93" s="1457" t="s">
        <v>4977</v>
      </c>
      <c r="P93" s="1458"/>
      <c r="Q93" s="1458"/>
      <c r="R93" s="1458"/>
      <c r="S93" s="1458"/>
      <c r="T93" s="1458"/>
      <c r="U93" s="1459"/>
      <c r="V93" s="8"/>
      <c r="W93" s="8"/>
      <c r="X93" s="8"/>
      <c r="Y93" s="8"/>
      <c r="Z93" s="8"/>
      <c r="AA93" s="8"/>
      <c r="AB93" s="8"/>
      <c r="AC93" s="8"/>
      <c r="AD93" s="8"/>
      <c r="AE93" s="8"/>
      <c r="AF93" s="8"/>
    </row>
    <row r="94" spans="1:32" x14ac:dyDescent="0.25">
      <c r="A94" s="8"/>
      <c r="B94" s="8"/>
      <c r="C94" s="1245" t="s">
        <v>4961</v>
      </c>
      <c r="D94" s="1245"/>
      <c r="E94" s="1245"/>
      <c r="F94" s="1245"/>
      <c r="G94" s="1245"/>
      <c r="H94" s="3028">
        <f t="shared" ref="H94:H104" si="0">(H79-O79)/1000*$Q$57*365+(H64-O64)/1000*$Q$58*365</f>
        <v>9.2040572581674756</v>
      </c>
      <c r="I94" s="3029"/>
      <c r="J94" s="3029"/>
      <c r="K94" s="3029"/>
      <c r="L94" s="3029"/>
      <c r="M94" s="3029"/>
      <c r="N94" s="3030"/>
      <c r="O94" s="3028">
        <f t="shared" ref="O94:O104" si="1">(H79-O79)*1.5/1000*$Q$57*365+(H64-O64)*1.5/1000*$Q$58*365</f>
        <v>13.806085887251212</v>
      </c>
      <c r="P94" s="3029"/>
      <c r="Q94" s="3029"/>
      <c r="R94" s="3029"/>
      <c r="S94" s="3029"/>
      <c r="T94" s="3029"/>
      <c r="U94" s="3030"/>
      <c r="V94" s="8"/>
      <c r="W94" s="8"/>
      <c r="X94" s="8"/>
      <c r="Y94" s="8"/>
      <c r="Z94" s="8"/>
      <c r="AA94" s="8"/>
      <c r="AB94" s="8"/>
      <c r="AC94" s="8"/>
      <c r="AD94" s="8"/>
      <c r="AE94" s="8"/>
      <c r="AF94" s="8"/>
    </row>
    <row r="95" spans="1:32" x14ac:dyDescent="0.25">
      <c r="A95" s="8"/>
      <c r="B95" s="8"/>
      <c r="C95" s="1245" t="s">
        <v>4962</v>
      </c>
      <c r="D95" s="1245"/>
      <c r="E95" s="1245"/>
      <c r="F95" s="1245"/>
      <c r="G95" s="1245"/>
      <c r="H95" s="3028">
        <f t="shared" si="0"/>
        <v>11.54295246133656</v>
      </c>
      <c r="I95" s="3029"/>
      <c r="J95" s="3029"/>
      <c r="K95" s="3029"/>
      <c r="L95" s="3029"/>
      <c r="M95" s="3029"/>
      <c r="N95" s="3030"/>
      <c r="O95" s="3028">
        <f t="shared" si="1"/>
        <v>17.314428692004842</v>
      </c>
      <c r="P95" s="3029"/>
      <c r="Q95" s="3029"/>
      <c r="R95" s="3029"/>
      <c r="S95" s="3029"/>
      <c r="T95" s="3029"/>
      <c r="U95" s="3030"/>
      <c r="V95" s="8"/>
      <c r="W95" s="8"/>
      <c r="X95" s="8"/>
      <c r="Y95" s="8"/>
      <c r="Z95" s="8"/>
      <c r="AA95" s="8"/>
      <c r="AB95" s="8"/>
      <c r="AC95" s="8"/>
      <c r="AD95" s="8"/>
      <c r="AE95" s="8"/>
      <c r="AF95" s="8"/>
    </row>
    <row r="96" spans="1:32" x14ac:dyDescent="0.25">
      <c r="A96" s="8"/>
      <c r="B96" s="8"/>
      <c r="C96" s="1245" t="s">
        <v>4963</v>
      </c>
      <c r="D96" s="1245"/>
      <c r="E96" s="1245"/>
      <c r="F96" s="1245"/>
      <c r="G96" s="1245"/>
      <c r="H96" s="3028">
        <f t="shared" si="0"/>
        <v>13.780608181727137</v>
      </c>
      <c r="I96" s="3029"/>
      <c r="J96" s="3029"/>
      <c r="K96" s="3029"/>
      <c r="L96" s="3029"/>
      <c r="M96" s="3029"/>
      <c r="N96" s="3030"/>
      <c r="O96" s="3028">
        <f t="shared" si="1"/>
        <v>20.670912272590709</v>
      </c>
      <c r="P96" s="3029"/>
      <c r="Q96" s="3029"/>
      <c r="R96" s="3029"/>
      <c r="S96" s="3029"/>
      <c r="T96" s="3029"/>
      <c r="U96" s="3030"/>
      <c r="V96" s="8"/>
      <c r="W96" s="8"/>
      <c r="X96" s="8"/>
      <c r="Y96" s="8"/>
      <c r="Z96" s="8"/>
      <c r="AA96" s="8"/>
      <c r="AB96" s="8"/>
      <c r="AC96" s="8"/>
      <c r="AD96" s="8"/>
      <c r="AE96" s="8"/>
      <c r="AF96" s="8"/>
    </row>
    <row r="97" spans="1:32" x14ac:dyDescent="0.25">
      <c r="A97" s="8"/>
      <c r="B97" s="8"/>
      <c r="C97" s="1245" t="s">
        <v>4964</v>
      </c>
      <c r="D97" s="1245"/>
      <c r="E97" s="1245"/>
      <c r="F97" s="1245"/>
      <c r="G97" s="1245"/>
      <c r="H97" s="3028">
        <f t="shared" si="0"/>
        <v>15.183717875021673</v>
      </c>
      <c r="I97" s="3029"/>
      <c r="J97" s="3029"/>
      <c r="K97" s="3029"/>
      <c r="L97" s="3029"/>
      <c r="M97" s="3029"/>
      <c r="N97" s="3030"/>
      <c r="O97" s="3028">
        <f t="shared" si="1"/>
        <v>22.775576812532513</v>
      </c>
      <c r="P97" s="3029"/>
      <c r="Q97" s="3029"/>
      <c r="R97" s="3029"/>
      <c r="S97" s="3029"/>
      <c r="T97" s="3029"/>
      <c r="U97" s="3030"/>
      <c r="V97" s="8"/>
      <c r="W97" s="8"/>
      <c r="X97" s="8"/>
      <c r="Y97" s="8"/>
      <c r="Z97" s="8"/>
      <c r="AA97" s="8"/>
      <c r="AB97" s="8"/>
      <c r="AC97" s="8"/>
      <c r="AD97" s="8"/>
      <c r="AE97" s="8"/>
      <c r="AF97" s="8"/>
    </row>
    <row r="98" spans="1:32" x14ac:dyDescent="0.25">
      <c r="A98" s="8"/>
      <c r="B98" s="8"/>
      <c r="C98" s="1245" t="s">
        <v>4965</v>
      </c>
      <c r="D98" s="1245"/>
      <c r="E98" s="1245"/>
      <c r="F98" s="1245"/>
      <c r="G98" s="1245"/>
      <c r="H98" s="3028">
        <f t="shared" si="0"/>
        <v>25.51915858644437</v>
      </c>
      <c r="I98" s="3029"/>
      <c r="J98" s="3029"/>
      <c r="K98" s="3029"/>
      <c r="L98" s="3029"/>
      <c r="M98" s="3029"/>
      <c r="N98" s="3030"/>
      <c r="O98" s="3028">
        <f t="shared" si="1"/>
        <v>38.278737879666565</v>
      </c>
      <c r="P98" s="3029"/>
      <c r="Q98" s="3029"/>
      <c r="R98" s="3029"/>
      <c r="S98" s="3029"/>
      <c r="T98" s="3029"/>
      <c r="U98" s="3030"/>
      <c r="V98" s="8"/>
      <c r="W98" s="8"/>
      <c r="X98" s="8"/>
      <c r="Y98" s="8"/>
      <c r="Z98" s="8"/>
      <c r="AA98" s="8"/>
      <c r="AB98" s="8"/>
      <c r="AC98" s="8"/>
      <c r="AD98" s="8"/>
      <c r="AE98" s="8"/>
      <c r="AF98" s="8"/>
    </row>
    <row r="99" spans="1:32" x14ac:dyDescent="0.25">
      <c r="A99" s="8"/>
      <c r="B99" s="8"/>
      <c r="C99" s="1245" t="s">
        <v>4966</v>
      </c>
      <c r="D99" s="1245"/>
      <c r="E99" s="1245"/>
      <c r="F99" s="1245"/>
      <c r="G99" s="1245"/>
      <c r="H99" s="3028">
        <f t="shared" si="0"/>
        <v>29.723129558371436</v>
      </c>
      <c r="I99" s="3029"/>
      <c r="J99" s="3029"/>
      <c r="K99" s="3029"/>
      <c r="L99" s="3029"/>
      <c r="M99" s="3029"/>
      <c r="N99" s="3030"/>
      <c r="O99" s="3028">
        <f t="shared" si="1"/>
        <v>44.58469433755716</v>
      </c>
      <c r="P99" s="3029"/>
      <c r="Q99" s="3029"/>
      <c r="R99" s="3029"/>
      <c r="S99" s="3029"/>
      <c r="T99" s="3029"/>
      <c r="U99" s="3030"/>
      <c r="V99" s="8"/>
      <c r="W99" s="8"/>
      <c r="X99" s="8"/>
      <c r="Y99" s="8"/>
      <c r="Z99" s="8"/>
      <c r="AA99" s="8"/>
      <c r="AB99" s="8"/>
      <c r="AC99" s="8"/>
      <c r="AD99" s="8"/>
      <c r="AE99" s="8"/>
      <c r="AF99" s="8"/>
    </row>
    <row r="100" spans="1:32" x14ac:dyDescent="0.25">
      <c r="A100" s="8"/>
      <c r="B100" s="8"/>
      <c r="C100" s="1245" t="s">
        <v>4967</v>
      </c>
      <c r="D100" s="1245"/>
      <c r="E100" s="1245"/>
      <c r="F100" s="1245"/>
      <c r="G100" s="1245"/>
      <c r="H100" s="3028">
        <f t="shared" si="0"/>
        <v>45.805296330152913</v>
      </c>
      <c r="I100" s="3029"/>
      <c r="J100" s="3029"/>
      <c r="K100" s="3029"/>
      <c r="L100" s="3029"/>
      <c r="M100" s="3029"/>
      <c r="N100" s="3030"/>
      <c r="O100" s="3028">
        <f t="shared" si="1"/>
        <v>68.70794449522937</v>
      </c>
      <c r="P100" s="3029"/>
      <c r="Q100" s="3029"/>
      <c r="R100" s="3029"/>
      <c r="S100" s="3029"/>
      <c r="T100" s="3029"/>
      <c r="U100" s="3030"/>
      <c r="V100" s="8"/>
      <c r="W100" s="8"/>
      <c r="X100" s="8"/>
      <c r="Y100" s="8"/>
      <c r="Z100" s="8"/>
      <c r="AA100" s="8"/>
      <c r="AB100" s="8"/>
      <c r="AC100" s="8"/>
      <c r="AD100" s="8"/>
      <c r="AE100" s="8"/>
      <c r="AF100" s="8"/>
    </row>
    <row r="101" spans="1:32" x14ac:dyDescent="0.25">
      <c r="A101" s="8"/>
      <c r="B101" s="8"/>
      <c r="C101" s="1245" t="s">
        <v>4968</v>
      </c>
      <c r="D101" s="1245"/>
      <c r="E101" s="1245"/>
      <c r="F101" s="1245"/>
      <c r="G101" s="1245"/>
      <c r="H101" s="3028">
        <f t="shared" si="0"/>
        <v>42.825478806199655</v>
      </c>
      <c r="I101" s="3029"/>
      <c r="J101" s="3029"/>
      <c r="K101" s="3029"/>
      <c r="L101" s="3029"/>
      <c r="M101" s="3029"/>
      <c r="N101" s="3030"/>
      <c r="O101" s="3028">
        <f t="shared" si="1"/>
        <v>64.238218209299475</v>
      </c>
      <c r="P101" s="3029"/>
      <c r="Q101" s="3029"/>
      <c r="R101" s="3029"/>
      <c r="S101" s="3029"/>
      <c r="T101" s="3029"/>
      <c r="U101" s="3030"/>
      <c r="V101" s="8"/>
      <c r="W101" s="8"/>
      <c r="X101" s="8"/>
      <c r="Y101" s="8"/>
      <c r="Z101" s="8"/>
      <c r="AA101" s="8"/>
      <c r="AB101" s="8"/>
      <c r="AC101" s="8"/>
      <c r="AD101" s="8"/>
      <c r="AE101" s="8"/>
      <c r="AF101" s="8"/>
    </row>
    <row r="102" spans="1:32" x14ac:dyDescent="0.25">
      <c r="A102" s="8"/>
      <c r="B102" s="8"/>
      <c r="C102" s="1245" t="s">
        <v>4969</v>
      </c>
      <c r="D102" s="1245"/>
      <c r="E102" s="1245"/>
      <c r="F102" s="1245"/>
      <c r="G102" s="1245"/>
      <c r="H102" s="3028">
        <f t="shared" si="0"/>
        <v>55.831668372513519</v>
      </c>
      <c r="I102" s="3029"/>
      <c r="J102" s="3029"/>
      <c r="K102" s="3029"/>
      <c r="L102" s="3029"/>
      <c r="M102" s="3029"/>
      <c r="N102" s="3030"/>
      <c r="O102" s="3028">
        <f t="shared" si="1"/>
        <v>83.747502558770279</v>
      </c>
      <c r="P102" s="3029"/>
      <c r="Q102" s="3029"/>
      <c r="R102" s="3029"/>
      <c r="S102" s="3029"/>
      <c r="T102" s="3029"/>
      <c r="U102" s="3030"/>
      <c r="V102" s="8"/>
      <c r="W102" s="8"/>
      <c r="X102" s="8"/>
      <c r="Y102" s="8"/>
      <c r="Z102" s="8"/>
      <c r="AA102" s="8"/>
      <c r="AB102" s="8"/>
      <c r="AC102" s="8"/>
      <c r="AD102" s="8"/>
      <c r="AE102" s="8"/>
      <c r="AF102" s="8"/>
    </row>
    <row r="103" spans="1:32" x14ac:dyDescent="0.25">
      <c r="A103" s="8"/>
      <c r="B103" s="8"/>
      <c r="C103" s="1245" t="s">
        <v>4970</v>
      </c>
      <c r="D103" s="1245"/>
      <c r="E103" s="1245"/>
      <c r="F103" s="1245"/>
      <c r="G103" s="1245"/>
      <c r="H103" s="3028">
        <f t="shared" si="0"/>
        <v>44.745005315547765</v>
      </c>
      <c r="I103" s="3029"/>
      <c r="J103" s="3029"/>
      <c r="K103" s="3029"/>
      <c r="L103" s="3029"/>
      <c r="M103" s="3029"/>
      <c r="N103" s="3030"/>
      <c r="O103" s="3028">
        <f t="shared" si="1"/>
        <v>67.117507973321651</v>
      </c>
      <c r="P103" s="3029"/>
      <c r="Q103" s="3029"/>
      <c r="R103" s="3029"/>
      <c r="S103" s="3029"/>
      <c r="T103" s="3029"/>
      <c r="U103" s="3030"/>
      <c r="V103" s="8"/>
      <c r="W103" s="8"/>
      <c r="X103" s="8"/>
      <c r="Y103" s="8"/>
      <c r="Z103" s="8"/>
      <c r="AA103" s="8"/>
      <c r="AB103" s="8"/>
      <c r="AC103" s="8"/>
      <c r="AD103" s="8"/>
      <c r="AE103" s="8"/>
      <c r="AF103" s="8"/>
    </row>
    <row r="104" spans="1:32" x14ac:dyDescent="0.25">
      <c r="A104" s="8"/>
      <c r="B104" s="8"/>
      <c r="C104" s="1245" t="s">
        <v>4971</v>
      </c>
      <c r="D104" s="1245"/>
      <c r="E104" s="1245"/>
      <c r="F104" s="1245"/>
      <c r="G104" s="1245"/>
      <c r="H104" s="3028">
        <f t="shared" si="0"/>
        <v>167.14764232384638</v>
      </c>
      <c r="I104" s="3029"/>
      <c r="J104" s="3029"/>
      <c r="K104" s="3029"/>
      <c r="L104" s="3029"/>
      <c r="M104" s="3029"/>
      <c r="N104" s="3030"/>
      <c r="O104" s="3028">
        <f t="shared" si="1"/>
        <v>250.72146348576953</v>
      </c>
      <c r="P104" s="3029"/>
      <c r="Q104" s="3029"/>
      <c r="R104" s="3029"/>
      <c r="S104" s="3029"/>
      <c r="T104" s="3029"/>
      <c r="U104" s="3030"/>
      <c r="V104" s="8"/>
      <c r="W104" s="8"/>
      <c r="X104" s="8"/>
      <c r="Y104" s="8"/>
      <c r="Z104" s="8"/>
      <c r="AA104" s="8"/>
      <c r="AB104" s="8"/>
      <c r="AC104" s="8"/>
      <c r="AD104" s="8"/>
      <c r="AE104" s="8"/>
      <c r="AF104" s="8"/>
    </row>
    <row r="105" spans="1:32"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x14ac:dyDescent="0.25">
      <c r="A106" s="8"/>
      <c r="B106" s="8"/>
      <c r="C106" s="423" t="s">
        <v>4978</v>
      </c>
      <c r="H106" s="1435" t="s">
        <v>4979</v>
      </c>
      <c r="I106" s="1435"/>
      <c r="J106" s="1435"/>
      <c r="K106" s="1435"/>
      <c r="L106" s="1435"/>
      <c r="M106" s="1435"/>
      <c r="N106" s="1435"/>
      <c r="O106" s="1435"/>
      <c r="P106" s="1435"/>
      <c r="Q106" s="1435"/>
      <c r="R106" s="1435"/>
      <c r="S106" s="1435"/>
      <c r="T106" s="1435"/>
      <c r="U106" s="1435"/>
      <c r="V106" s="8"/>
      <c r="W106" s="8"/>
      <c r="X106" s="8"/>
      <c r="Y106" s="8"/>
      <c r="Z106" s="8"/>
      <c r="AA106" s="8"/>
      <c r="AB106" s="8"/>
      <c r="AC106" s="8"/>
      <c r="AD106" s="8"/>
      <c r="AE106" s="8"/>
      <c r="AF106" s="8"/>
    </row>
    <row r="107" spans="1:32" x14ac:dyDescent="0.25">
      <c r="A107" s="8"/>
      <c r="B107" s="8"/>
      <c r="C107" s="3010" t="s">
        <v>240</v>
      </c>
      <c r="D107" s="3010"/>
      <c r="E107" s="3010"/>
      <c r="F107" s="3010"/>
      <c r="G107" s="3010"/>
      <c r="H107" s="761" t="s">
        <v>4976</v>
      </c>
      <c r="I107" s="746"/>
      <c r="J107" s="761"/>
      <c r="K107" s="746"/>
      <c r="L107" s="746"/>
      <c r="M107" s="745"/>
      <c r="N107" s="745"/>
      <c r="O107" s="1457" t="s">
        <v>4977</v>
      </c>
      <c r="P107" s="1458"/>
      <c r="Q107" s="1458"/>
      <c r="R107" s="1458"/>
      <c r="S107" s="1458"/>
      <c r="T107" s="1458"/>
      <c r="U107" s="1459"/>
      <c r="V107" s="8"/>
      <c r="W107" s="8"/>
      <c r="X107" s="8"/>
      <c r="Y107" s="8"/>
      <c r="Z107" s="8"/>
      <c r="AA107" s="8"/>
      <c r="AB107" s="8"/>
      <c r="AC107" s="8"/>
      <c r="AD107" s="8"/>
      <c r="AE107" s="8"/>
      <c r="AF107" s="8"/>
    </row>
    <row r="108" spans="1:32" x14ac:dyDescent="0.25">
      <c r="A108" s="8"/>
      <c r="B108" s="8"/>
      <c r="C108" s="1245" t="s">
        <v>4961</v>
      </c>
      <c r="D108" s="1245"/>
      <c r="E108" s="1245"/>
      <c r="F108" s="1245"/>
      <c r="G108" s="1245"/>
      <c r="H108" s="3244">
        <f>((H79-O79)/1000)*$Q$56</f>
        <v>2.6646018396500144E-3</v>
      </c>
      <c r="I108" s="3245"/>
      <c r="J108" s="3245"/>
      <c r="K108" s="3245"/>
      <c r="L108" s="3245"/>
      <c r="M108" s="3245"/>
      <c r="N108" s="3246"/>
      <c r="O108" s="3244">
        <f>((H79-O79)*1.5/1000)*$Q$56</f>
        <v>3.9969027594750212E-3</v>
      </c>
      <c r="P108" s="3245"/>
      <c r="Q108" s="3245"/>
      <c r="R108" s="3245"/>
      <c r="S108" s="3245"/>
      <c r="T108" s="3245"/>
      <c r="U108" s="3246"/>
      <c r="V108" s="8"/>
      <c r="W108" s="8"/>
      <c r="X108" s="8"/>
      <c r="Y108" s="8"/>
      <c r="Z108" s="8"/>
      <c r="AA108" s="8"/>
      <c r="AB108" s="8"/>
      <c r="AC108" s="8"/>
      <c r="AD108" s="8"/>
      <c r="AE108" s="8"/>
      <c r="AF108" s="8"/>
    </row>
    <row r="109" spans="1:32" x14ac:dyDescent="0.25">
      <c r="A109" s="8"/>
      <c r="B109" s="8"/>
      <c r="C109" s="1245" t="s">
        <v>4962</v>
      </c>
      <c r="D109" s="1245"/>
      <c r="E109" s="1245"/>
      <c r="F109" s="1245"/>
      <c r="G109" s="1245"/>
      <c r="H109" s="3244">
        <f t="shared" ref="H109:H117" si="2">((H80-O80)/1000)*$Q$56</f>
        <v>3.4737142855513752E-3</v>
      </c>
      <c r="I109" s="3245"/>
      <c r="J109" s="3245"/>
      <c r="K109" s="3245"/>
      <c r="L109" s="3245"/>
      <c r="M109" s="3245"/>
      <c r="N109" s="3246"/>
      <c r="O109" s="3244">
        <f t="shared" ref="O109:O117" si="3">((H80-O80)*1.5/1000)*$Q$56</f>
        <v>5.2105714283270637E-3</v>
      </c>
      <c r="P109" s="3245"/>
      <c r="Q109" s="3245"/>
      <c r="R109" s="3245"/>
      <c r="S109" s="3245"/>
      <c r="T109" s="3245"/>
      <c r="U109" s="3246"/>
      <c r="V109" s="8"/>
      <c r="W109" s="8"/>
      <c r="X109" s="8"/>
      <c r="Y109" s="8"/>
      <c r="Z109" s="8"/>
      <c r="AA109" s="8"/>
      <c r="AB109" s="8"/>
      <c r="AC109" s="8"/>
      <c r="AD109" s="8"/>
      <c r="AE109" s="8"/>
      <c r="AF109" s="8"/>
    </row>
    <row r="110" spans="1:32" x14ac:dyDescent="0.25">
      <c r="A110" s="8"/>
      <c r="B110" s="8"/>
      <c r="C110" s="1245" t="s">
        <v>4963</v>
      </c>
      <c r="D110" s="1245"/>
      <c r="E110" s="1245"/>
      <c r="F110" s="1245"/>
      <c r="G110" s="1245"/>
      <c r="H110" s="3244">
        <f t="shared" si="2"/>
        <v>4.2017721826535862E-3</v>
      </c>
      <c r="I110" s="3245"/>
      <c r="J110" s="3245"/>
      <c r="K110" s="3245"/>
      <c r="L110" s="3245"/>
      <c r="M110" s="3245"/>
      <c r="N110" s="3246"/>
      <c r="O110" s="3244">
        <f t="shared" si="3"/>
        <v>6.3026582739803801E-3</v>
      </c>
      <c r="P110" s="3245"/>
      <c r="Q110" s="3245"/>
      <c r="R110" s="3245"/>
      <c r="S110" s="3245"/>
      <c r="T110" s="3245"/>
      <c r="U110" s="3246"/>
      <c r="V110" s="8"/>
      <c r="W110" s="8"/>
      <c r="X110" s="8"/>
      <c r="Y110" s="8"/>
      <c r="Z110" s="8"/>
      <c r="AA110" s="8"/>
      <c r="AB110" s="8"/>
      <c r="AC110" s="8"/>
      <c r="AD110" s="8"/>
      <c r="AE110" s="8"/>
      <c r="AF110" s="8"/>
    </row>
    <row r="111" spans="1:32" x14ac:dyDescent="0.25">
      <c r="A111" s="8"/>
      <c r="B111" s="8"/>
      <c r="C111" s="1245" t="s">
        <v>4964</v>
      </c>
      <c r="D111" s="1245"/>
      <c r="E111" s="1245"/>
      <c r="F111" s="1245"/>
      <c r="G111" s="1245"/>
      <c r="H111" s="3244">
        <f t="shared" si="2"/>
        <v>4.6189882044166131E-3</v>
      </c>
      <c r="I111" s="3245"/>
      <c r="J111" s="3245"/>
      <c r="K111" s="3245"/>
      <c r="L111" s="3245"/>
      <c r="M111" s="3245"/>
      <c r="N111" s="3246"/>
      <c r="O111" s="3244">
        <f t="shared" si="3"/>
        <v>6.9284823066249187E-3</v>
      </c>
      <c r="P111" s="3245"/>
      <c r="Q111" s="3245"/>
      <c r="R111" s="3245"/>
      <c r="S111" s="3245"/>
      <c r="T111" s="3245"/>
      <c r="U111" s="3246"/>
      <c r="V111" s="8"/>
      <c r="W111" s="8"/>
      <c r="X111" s="8"/>
      <c r="Y111" s="8"/>
      <c r="Z111" s="8"/>
      <c r="AA111" s="8"/>
      <c r="AB111" s="8"/>
      <c r="AC111" s="8"/>
      <c r="AD111" s="8"/>
      <c r="AE111" s="8"/>
      <c r="AF111" s="8"/>
    </row>
    <row r="112" spans="1:32" x14ac:dyDescent="0.25">
      <c r="A112" s="8"/>
      <c r="B112" s="8"/>
      <c r="C112" s="1245" t="s">
        <v>4965</v>
      </c>
      <c r="D112" s="1245"/>
      <c r="E112" s="1245"/>
      <c r="F112" s="1245"/>
      <c r="G112" s="1245"/>
      <c r="H112" s="3244">
        <f t="shared" si="2"/>
        <v>7.7456897492700558E-3</v>
      </c>
      <c r="I112" s="3245"/>
      <c r="J112" s="3245"/>
      <c r="K112" s="3245"/>
      <c r="L112" s="3245"/>
      <c r="M112" s="3245"/>
      <c r="N112" s="3246"/>
      <c r="O112" s="3244">
        <f t="shared" si="3"/>
        <v>1.1618534623905084E-2</v>
      </c>
      <c r="P112" s="3245"/>
      <c r="Q112" s="3245"/>
      <c r="R112" s="3245"/>
      <c r="S112" s="3245"/>
      <c r="T112" s="3245"/>
      <c r="U112" s="3246"/>
      <c r="V112" s="8"/>
      <c r="W112" s="8"/>
      <c r="X112" s="8"/>
      <c r="Y112" s="8"/>
      <c r="Z112" s="8"/>
      <c r="AA112" s="8"/>
      <c r="AB112" s="8"/>
      <c r="AC112" s="8"/>
      <c r="AD112" s="8"/>
      <c r="AE112" s="8"/>
      <c r="AF112" s="8"/>
    </row>
    <row r="113" spans="1:32" x14ac:dyDescent="0.25">
      <c r="A113" s="8"/>
      <c r="B113" s="8"/>
      <c r="C113" s="1245" t="s">
        <v>4966</v>
      </c>
      <c r="D113" s="1245"/>
      <c r="E113" s="1245"/>
      <c r="F113" s="1245"/>
      <c r="G113" s="1245"/>
      <c r="H113" s="3244">
        <f t="shared" si="2"/>
        <v>9.0922555514185866E-3</v>
      </c>
      <c r="I113" s="3245"/>
      <c r="J113" s="3245"/>
      <c r="K113" s="3245"/>
      <c r="L113" s="3245"/>
      <c r="M113" s="3245"/>
      <c r="N113" s="3246"/>
      <c r="O113" s="3244">
        <f t="shared" si="3"/>
        <v>1.3638383327127881E-2</v>
      </c>
      <c r="P113" s="3245"/>
      <c r="Q113" s="3245"/>
      <c r="R113" s="3245"/>
      <c r="S113" s="3245"/>
      <c r="T113" s="3245"/>
      <c r="U113" s="3246"/>
      <c r="V113" s="8"/>
      <c r="W113" s="8"/>
      <c r="X113" s="8"/>
      <c r="Y113" s="8"/>
      <c r="Z113" s="8"/>
      <c r="AA113" s="8"/>
      <c r="AB113" s="8"/>
      <c r="AC113" s="8"/>
      <c r="AD113" s="8"/>
      <c r="AE113" s="8"/>
      <c r="AF113" s="8"/>
    </row>
    <row r="114" spans="1:32" x14ac:dyDescent="0.25">
      <c r="A114" s="8"/>
      <c r="B114" s="8"/>
      <c r="C114" s="1245" t="s">
        <v>4967</v>
      </c>
      <c r="D114" s="1245"/>
      <c r="E114" s="1245"/>
      <c r="F114" s="1245"/>
      <c r="G114" s="1245"/>
      <c r="H114" s="3244">
        <f t="shared" si="2"/>
        <v>1.4030648729014413E-2</v>
      </c>
      <c r="I114" s="3245"/>
      <c r="J114" s="3245"/>
      <c r="K114" s="3245"/>
      <c r="L114" s="3245"/>
      <c r="M114" s="3245"/>
      <c r="N114" s="3246"/>
      <c r="O114" s="3244">
        <f t="shared" si="3"/>
        <v>2.1045973093521617E-2</v>
      </c>
      <c r="P114" s="3245"/>
      <c r="Q114" s="3245"/>
      <c r="R114" s="3245"/>
      <c r="S114" s="3245"/>
      <c r="T114" s="3245"/>
      <c r="U114" s="3246"/>
      <c r="V114" s="8"/>
      <c r="W114" s="8"/>
      <c r="X114" s="8"/>
      <c r="Y114" s="8"/>
      <c r="Z114" s="8"/>
      <c r="AA114" s="8"/>
      <c r="AB114" s="8"/>
      <c r="AC114" s="8"/>
      <c r="AD114" s="8"/>
      <c r="AE114" s="8"/>
      <c r="AF114" s="8"/>
    </row>
    <row r="115" spans="1:32" x14ac:dyDescent="0.25">
      <c r="A115" s="8"/>
      <c r="B115" s="8"/>
      <c r="C115" s="1245" t="s">
        <v>4968</v>
      </c>
      <c r="D115" s="1245"/>
      <c r="E115" s="1245"/>
      <c r="F115" s="1245"/>
      <c r="G115" s="1245"/>
      <c r="H115" s="3244">
        <f t="shared" si="2"/>
        <v>1.3156644755783896E-2</v>
      </c>
      <c r="I115" s="3245"/>
      <c r="J115" s="3245"/>
      <c r="K115" s="3245"/>
      <c r="L115" s="3245"/>
      <c r="M115" s="3245"/>
      <c r="N115" s="3246"/>
      <c r="O115" s="3244">
        <f t="shared" si="3"/>
        <v>1.9734967133675844E-2</v>
      </c>
      <c r="P115" s="3245"/>
      <c r="Q115" s="3245"/>
      <c r="R115" s="3245"/>
      <c r="S115" s="3245"/>
      <c r="T115" s="3245"/>
      <c r="U115" s="3246"/>
      <c r="V115" s="8"/>
      <c r="W115" s="8"/>
      <c r="X115" s="8"/>
      <c r="Y115" s="8"/>
      <c r="Z115" s="8"/>
      <c r="AA115" s="8"/>
      <c r="AB115" s="8"/>
      <c r="AC115" s="8"/>
      <c r="AD115" s="8"/>
      <c r="AE115" s="8"/>
      <c r="AF115" s="8"/>
    </row>
    <row r="116" spans="1:32" x14ac:dyDescent="0.25">
      <c r="A116" s="8"/>
      <c r="B116" s="8"/>
      <c r="C116" s="1245" t="s">
        <v>4969</v>
      </c>
      <c r="D116" s="1245"/>
      <c r="E116" s="1245"/>
      <c r="F116" s="1245"/>
      <c r="G116" s="1245"/>
      <c r="H116" s="3244">
        <f t="shared" si="2"/>
        <v>1.702156957398979E-2</v>
      </c>
      <c r="I116" s="3245"/>
      <c r="J116" s="3245"/>
      <c r="K116" s="3245"/>
      <c r="L116" s="3245"/>
      <c r="M116" s="3245"/>
      <c r="N116" s="3246"/>
      <c r="O116" s="3244">
        <f t="shared" si="3"/>
        <v>2.5532354360984683E-2</v>
      </c>
      <c r="P116" s="3245"/>
      <c r="Q116" s="3245"/>
      <c r="R116" s="3245"/>
      <c r="S116" s="3245"/>
      <c r="T116" s="3245"/>
      <c r="U116" s="3246"/>
      <c r="V116" s="8"/>
      <c r="W116" s="8"/>
      <c r="X116" s="8"/>
      <c r="Y116" s="8"/>
      <c r="Z116" s="8"/>
      <c r="AA116" s="8"/>
      <c r="AB116" s="8"/>
      <c r="AC116" s="8"/>
      <c r="AD116" s="8"/>
      <c r="AE116" s="8"/>
      <c r="AF116" s="8"/>
    </row>
    <row r="117" spans="1:32" x14ac:dyDescent="0.25">
      <c r="A117" s="8"/>
      <c r="B117" s="8"/>
      <c r="C117" s="1245" t="s">
        <v>4970</v>
      </c>
      <c r="D117" s="1245"/>
      <c r="E117" s="1245"/>
      <c r="F117" s="1245"/>
      <c r="G117" s="1245"/>
      <c r="H117" s="3244">
        <f t="shared" si="2"/>
        <v>1.3669214597881967E-2</v>
      </c>
      <c r="I117" s="3245"/>
      <c r="J117" s="3245"/>
      <c r="K117" s="3245"/>
      <c r="L117" s="3245"/>
      <c r="M117" s="3245"/>
      <c r="N117" s="3246"/>
      <c r="O117" s="3244">
        <f t="shared" si="3"/>
        <v>2.0503821896822955E-2</v>
      </c>
      <c r="P117" s="3245"/>
      <c r="Q117" s="3245"/>
      <c r="R117" s="3245"/>
      <c r="S117" s="3245"/>
      <c r="T117" s="3245"/>
      <c r="U117" s="3246"/>
      <c r="V117" s="8"/>
      <c r="W117" s="8"/>
      <c r="X117" s="8"/>
      <c r="Y117" s="8"/>
      <c r="Z117" s="8"/>
      <c r="AA117" s="8"/>
      <c r="AB117" s="8"/>
      <c r="AC117" s="8"/>
      <c r="AD117" s="8"/>
      <c r="AE117" s="8"/>
      <c r="AF117" s="8"/>
    </row>
    <row r="118" spans="1:32" x14ac:dyDescent="0.25">
      <c r="A118" s="8"/>
      <c r="B118" s="8"/>
      <c r="C118" s="1245" t="s">
        <v>4971</v>
      </c>
      <c r="D118" s="1245"/>
      <c r="E118" s="1245"/>
      <c r="F118" s="1245"/>
      <c r="G118" s="1245"/>
      <c r="H118" s="3244">
        <f>((H89-O89)/1000)*$Q$56</f>
        <v>5.1076685127667838E-2</v>
      </c>
      <c r="I118" s="3245"/>
      <c r="J118" s="3245"/>
      <c r="K118" s="3245"/>
      <c r="L118" s="3245"/>
      <c r="M118" s="3245"/>
      <c r="N118" s="3246"/>
      <c r="O118" s="3244">
        <f>((H89-O89)*1.5/1000)*$Q$56</f>
        <v>7.6615027691501747E-2</v>
      </c>
      <c r="P118" s="3245"/>
      <c r="Q118" s="3245"/>
      <c r="R118" s="3245"/>
      <c r="S118" s="3245"/>
      <c r="T118" s="3245"/>
      <c r="U118" s="3246"/>
      <c r="V118" s="8"/>
      <c r="W118" s="8"/>
      <c r="X118" s="8"/>
      <c r="Y118" s="8"/>
      <c r="Z118" s="8"/>
      <c r="AA118" s="8"/>
      <c r="AB118" s="8"/>
      <c r="AC118" s="8"/>
      <c r="AD118" s="8"/>
      <c r="AE118" s="8"/>
      <c r="AF118" s="8"/>
    </row>
    <row r="119" spans="1:32"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x14ac:dyDescent="0.25">
      <c r="A120" s="8"/>
      <c r="B120" s="8"/>
      <c r="C120" s="423" t="s">
        <v>4980</v>
      </c>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x14ac:dyDescent="0.25">
      <c r="A121" s="8"/>
      <c r="B121" s="8"/>
      <c r="C121" s="3010" t="s">
        <v>240</v>
      </c>
      <c r="D121" s="3010"/>
      <c r="E121" s="3010"/>
      <c r="F121" s="3010"/>
      <c r="G121" s="3010"/>
      <c r="H121" s="1457" t="s">
        <v>4981</v>
      </c>
      <c r="I121" s="1458"/>
      <c r="J121" s="1458"/>
      <c r="K121" s="1458"/>
      <c r="L121" s="1458"/>
      <c r="M121" s="1458"/>
      <c r="N121" s="1459"/>
      <c r="O121" s="8"/>
      <c r="P121" s="8"/>
      <c r="Q121" s="8"/>
      <c r="R121" s="8"/>
      <c r="S121" s="8"/>
      <c r="T121" s="8"/>
      <c r="U121" s="8"/>
      <c r="V121" s="8"/>
      <c r="W121" s="8"/>
      <c r="X121" s="8"/>
      <c r="Y121" s="8"/>
      <c r="Z121" s="8"/>
      <c r="AA121" s="8"/>
      <c r="AB121" s="8"/>
      <c r="AC121" s="8"/>
      <c r="AD121" s="8"/>
      <c r="AE121" s="8"/>
      <c r="AF121" s="8"/>
    </row>
    <row r="122" spans="1:32" x14ac:dyDescent="0.25">
      <c r="A122" s="8"/>
      <c r="B122" s="8"/>
      <c r="C122" s="1358" t="s">
        <v>4982</v>
      </c>
      <c r="D122" s="1293"/>
      <c r="E122" s="1293"/>
      <c r="F122" s="1293"/>
      <c r="G122" s="1359"/>
      <c r="H122" s="3247">
        <f>(1.45)/(1.45+0.71)</f>
        <v>0.67129629629629628</v>
      </c>
      <c r="I122" s="3248"/>
      <c r="J122" s="3248"/>
      <c r="K122" s="3248"/>
      <c r="L122" s="3248"/>
      <c r="M122" s="3248"/>
      <c r="N122" s="3249"/>
      <c r="O122" s="8"/>
      <c r="P122" s="8"/>
      <c r="Q122" s="8"/>
      <c r="R122" s="8"/>
      <c r="S122" s="8"/>
      <c r="T122" s="8"/>
      <c r="U122" s="8"/>
      <c r="V122" s="8"/>
      <c r="W122" s="8"/>
      <c r="X122" s="8"/>
      <c r="Y122" s="8"/>
      <c r="Z122" s="8"/>
      <c r="AA122" s="8"/>
      <c r="AB122" s="8"/>
      <c r="AC122" s="8"/>
      <c r="AD122" s="8"/>
      <c r="AE122" s="8"/>
      <c r="AF122" s="8"/>
    </row>
    <row r="123" spans="1:32" x14ac:dyDescent="0.25">
      <c r="A123" s="8"/>
      <c r="B123" s="8"/>
      <c r="C123" s="1245" t="s">
        <v>4983</v>
      </c>
      <c r="D123" s="1245"/>
      <c r="E123" s="1245"/>
      <c r="F123" s="1245"/>
      <c r="G123" s="1245"/>
      <c r="H123" s="3247">
        <f>(0.71)/(1.45+0.71)</f>
        <v>0.32870370370370366</v>
      </c>
      <c r="I123" s="3248"/>
      <c r="J123" s="3248"/>
      <c r="K123" s="3248"/>
      <c r="L123" s="3248"/>
      <c r="M123" s="3248"/>
      <c r="N123" s="3249"/>
      <c r="O123" s="8"/>
      <c r="P123" s="8"/>
      <c r="Q123" s="8"/>
      <c r="R123" s="8"/>
      <c r="S123" s="8"/>
      <c r="T123" s="8"/>
      <c r="U123" s="8"/>
      <c r="V123" s="8"/>
      <c r="W123" s="8"/>
      <c r="X123" s="8"/>
      <c r="Y123" s="8"/>
      <c r="Z123" s="8"/>
      <c r="AA123" s="8"/>
      <c r="AB123" s="8"/>
      <c r="AC123" s="8"/>
      <c r="AD123" s="8"/>
      <c r="AE123" s="8"/>
      <c r="AF123" s="8"/>
    </row>
    <row r="124" spans="1:32" ht="41.25" customHeight="1" x14ac:dyDescent="0.25">
      <c r="A124" s="8"/>
      <c r="B124" s="8"/>
      <c r="C124" s="1415" t="s">
        <v>4984</v>
      </c>
      <c r="D124" s="1415"/>
      <c r="E124" s="1415"/>
      <c r="F124" s="1415"/>
      <c r="G124" s="1415"/>
      <c r="H124" s="1415"/>
      <c r="I124" s="1415"/>
      <c r="J124" s="1415"/>
      <c r="K124" s="1415"/>
      <c r="L124" s="1415"/>
      <c r="M124" s="1415"/>
      <c r="N124" s="1415"/>
      <c r="O124" s="1415"/>
      <c r="P124" s="1415"/>
      <c r="Q124" s="1415"/>
      <c r="R124" s="1415"/>
      <c r="S124" s="1415"/>
      <c r="T124" s="1415"/>
      <c r="U124" s="1415"/>
      <c r="V124" s="1415"/>
      <c r="W124" s="1415"/>
      <c r="X124" s="1415"/>
      <c r="Y124" s="1415"/>
      <c r="Z124" s="1415"/>
      <c r="AA124" s="1415"/>
      <c r="AB124" s="1415"/>
      <c r="AC124" s="1415"/>
      <c r="AD124" s="1415"/>
      <c r="AE124" s="1415"/>
      <c r="AF124" s="1415"/>
    </row>
    <row r="125" spans="1:32"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x14ac:dyDescent="0.25">
      <c r="A126" s="8"/>
      <c r="B126" s="8"/>
      <c r="C126" s="423" t="s">
        <v>4985</v>
      </c>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x14ac:dyDescent="0.25">
      <c r="A127" s="8"/>
      <c r="B127" s="8"/>
      <c r="C127" s="3010" t="s">
        <v>240</v>
      </c>
      <c r="D127" s="3010"/>
      <c r="E127" s="3010"/>
      <c r="F127" s="3010"/>
      <c r="G127" s="3010"/>
      <c r="H127" s="1457" t="s">
        <v>4981</v>
      </c>
      <c r="I127" s="1458"/>
      <c r="J127" s="1458"/>
      <c r="K127" s="1458"/>
      <c r="L127" s="1458"/>
      <c r="M127" s="1458"/>
      <c r="N127" s="1459"/>
      <c r="O127" s="8"/>
      <c r="P127" s="8"/>
      <c r="Q127" s="8"/>
      <c r="R127" s="8"/>
      <c r="S127" s="8"/>
      <c r="T127" s="8"/>
      <c r="U127" s="8"/>
      <c r="V127" s="8"/>
      <c r="W127" s="8"/>
      <c r="X127" s="8"/>
      <c r="Y127" s="8"/>
      <c r="Z127" s="8"/>
      <c r="AA127" s="8"/>
      <c r="AB127" s="8"/>
      <c r="AC127" s="8"/>
      <c r="AD127" s="8"/>
      <c r="AE127" s="8"/>
      <c r="AF127" s="8"/>
    </row>
    <row r="128" spans="1:32" x14ac:dyDescent="0.25">
      <c r="A128" s="8"/>
      <c r="B128" s="8"/>
      <c r="C128" s="1358" t="s">
        <v>4986</v>
      </c>
      <c r="D128" s="1293"/>
      <c r="E128" s="1293"/>
      <c r="F128" s="1293"/>
      <c r="G128" s="1359"/>
      <c r="H128" s="3247">
        <v>0.1205357142857143</v>
      </c>
      <c r="I128" s="3248"/>
      <c r="J128" s="3248"/>
      <c r="K128" s="3248"/>
      <c r="L128" s="3248"/>
      <c r="M128" s="3248"/>
      <c r="N128" s="3249"/>
      <c r="O128" s="8"/>
      <c r="P128" s="8"/>
      <c r="Q128" s="8"/>
      <c r="R128" s="8"/>
      <c r="S128" s="8"/>
      <c r="T128" s="8"/>
      <c r="U128" s="8"/>
      <c r="V128" s="8"/>
      <c r="W128" s="8"/>
      <c r="X128" s="8"/>
      <c r="Y128" s="8"/>
      <c r="Z128" s="8"/>
      <c r="AA128" s="8"/>
      <c r="AB128" s="8"/>
      <c r="AC128" s="8"/>
      <c r="AD128" s="8"/>
      <c r="AE128" s="8"/>
      <c r="AF128" s="8"/>
    </row>
    <row r="129" spans="1:32" x14ac:dyDescent="0.25">
      <c r="A129" s="8"/>
      <c r="B129" s="8"/>
      <c r="C129" s="1245" t="s">
        <v>4987</v>
      </c>
      <c r="D129" s="1245">
        <v>32.799999999999997</v>
      </c>
      <c r="E129" s="1245">
        <v>0</v>
      </c>
      <c r="F129" s="1245">
        <v>0</v>
      </c>
      <c r="G129" s="1245">
        <v>0</v>
      </c>
      <c r="H129" s="3247">
        <v>0.26339285714285715</v>
      </c>
      <c r="I129" s="3248"/>
      <c r="J129" s="3248"/>
      <c r="K129" s="3248"/>
      <c r="L129" s="3248"/>
      <c r="M129" s="3248"/>
      <c r="N129" s="3249"/>
      <c r="O129" s="8"/>
      <c r="P129" s="8"/>
      <c r="Q129" s="8"/>
      <c r="R129" s="8"/>
      <c r="S129" s="8"/>
      <c r="T129" s="8"/>
      <c r="U129" s="8"/>
      <c r="V129" s="8"/>
      <c r="W129" s="8"/>
      <c r="X129" s="8"/>
      <c r="Y129" s="8"/>
      <c r="Z129" s="8"/>
      <c r="AA129" s="8"/>
      <c r="AB129" s="8"/>
      <c r="AC129" s="8"/>
      <c r="AD129" s="8"/>
      <c r="AE129" s="8"/>
      <c r="AF129" s="8"/>
    </row>
    <row r="130" spans="1:32" x14ac:dyDescent="0.25">
      <c r="A130" s="8"/>
      <c r="B130" s="8"/>
      <c r="C130" s="1245" t="s">
        <v>4988</v>
      </c>
      <c r="D130" s="1245">
        <v>23</v>
      </c>
      <c r="E130" s="1245">
        <v>0</v>
      </c>
      <c r="F130" s="1245">
        <v>0</v>
      </c>
      <c r="G130" s="1245">
        <v>0</v>
      </c>
      <c r="H130" s="3247">
        <v>0.25446428571428575</v>
      </c>
      <c r="I130" s="3248"/>
      <c r="J130" s="3248"/>
      <c r="K130" s="3248"/>
      <c r="L130" s="3248"/>
      <c r="M130" s="3248"/>
      <c r="N130" s="3249"/>
      <c r="O130" s="8"/>
      <c r="P130" s="8"/>
      <c r="Q130" s="8"/>
      <c r="R130" s="8"/>
      <c r="S130" s="8"/>
      <c r="T130" s="8"/>
      <c r="U130" s="8"/>
      <c r="V130" s="8"/>
      <c r="W130" s="8"/>
      <c r="X130" s="8"/>
      <c r="Y130" s="8"/>
      <c r="Z130" s="8"/>
      <c r="AA130" s="8"/>
      <c r="AB130" s="8"/>
      <c r="AC130" s="8"/>
      <c r="AD130" s="8"/>
      <c r="AE130" s="8"/>
      <c r="AF130" s="8"/>
    </row>
    <row r="131" spans="1:32" x14ac:dyDescent="0.25">
      <c r="A131" s="8"/>
      <c r="B131" s="8"/>
      <c r="C131" s="1245" t="s">
        <v>4989</v>
      </c>
      <c r="D131" s="1245">
        <v>23</v>
      </c>
      <c r="E131" s="1245">
        <v>0</v>
      </c>
      <c r="F131" s="1245">
        <v>0</v>
      </c>
      <c r="G131" s="1245">
        <v>0</v>
      </c>
      <c r="H131" s="3247">
        <v>0.25446428571428575</v>
      </c>
      <c r="I131" s="3248"/>
      <c r="J131" s="3248"/>
      <c r="K131" s="3248"/>
      <c r="L131" s="3248"/>
      <c r="M131" s="3248"/>
      <c r="N131" s="3249"/>
      <c r="O131" s="8"/>
      <c r="P131" s="8"/>
      <c r="Q131" s="8"/>
      <c r="R131" s="8"/>
      <c r="S131" s="8"/>
      <c r="T131" s="8"/>
      <c r="U131" s="8"/>
      <c r="V131" s="8"/>
      <c r="W131" s="8"/>
      <c r="X131" s="8"/>
      <c r="Y131" s="8"/>
      <c r="Z131" s="8"/>
      <c r="AA131" s="8"/>
      <c r="AB131" s="8"/>
      <c r="AC131" s="8"/>
      <c r="AD131" s="8"/>
      <c r="AE131" s="8"/>
      <c r="AF131" s="8"/>
    </row>
    <row r="132" spans="1:32" x14ac:dyDescent="0.25">
      <c r="A132" s="8"/>
      <c r="B132" s="8"/>
      <c r="C132" s="1245" t="s">
        <v>4990</v>
      </c>
      <c r="D132" s="1245">
        <v>2.4</v>
      </c>
      <c r="E132" s="1245">
        <v>0</v>
      </c>
      <c r="F132" s="1245">
        <v>0</v>
      </c>
      <c r="G132" s="1245">
        <v>0</v>
      </c>
      <c r="H132" s="3247">
        <v>0.10714285714285715</v>
      </c>
      <c r="I132" s="3248"/>
      <c r="J132" s="3248"/>
      <c r="K132" s="3248"/>
      <c r="L132" s="3248"/>
      <c r="M132" s="3248"/>
      <c r="N132" s="3249"/>
      <c r="O132" s="8"/>
      <c r="P132" s="8"/>
      <c r="Q132" s="8"/>
      <c r="R132" s="8"/>
      <c r="S132" s="8"/>
      <c r="T132" s="8"/>
      <c r="U132" s="8"/>
      <c r="V132" s="8"/>
      <c r="W132" s="8"/>
      <c r="X132" s="8"/>
      <c r="Y132" s="8"/>
      <c r="Z132" s="8"/>
      <c r="AA132" s="8"/>
      <c r="AB132" s="8"/>
      <c r="AC132" s="8"/>
      <c r="AD132" s="8"/>
      <c r="AE132" s="8"/>
      <c r="AF132" s="8"/>
    </row>
    <row r="133" spans="1:32" ht="30" customHeight="1" x14ac:dyDescent="0.25">
      <c r="A133" s="8"/>
      <c r="B133" s="8"/>
      <c r="C133" s="1415" t="s">
        <v>4991</v>
      </c>
      <c r="D133" s="1415"/>
      <c r="E133" s="1415"/>
      <c r="F133" s="1415"/>
      <c r="G133" s="1415"/>
      <c r="H133" s="1415"/>
      <c r="I133" s="1415"/>
      <c r="J133" s="1415"/>
      <c r="K133" s="1415"/>
      <c r="L133" s="1415"/>
      <c r="M133" s="1415"/>
      <c r="N133" s="1415"/>
      <c r="O133" s="1415"/>
      <c r="P133" s="1415"/>
      <c r="Q133" s="1415"/>
      <c r="R133" s="1415"/>
      <c r="S133" s="1415"/>
      <c r="T133" s="1415"/>
      <c r="U133" s="1415"/>
      <c r="V133" s="1415"/>
      <c r="W133" s="1415"/>
      <c r="X133" s="1415"/>
      <c r="Y133" s="1415"/>
      <c r="Z133" s="1415"/>
      <c r="AA133" s="1415"/>
      <c r="AB133" s="1415"/>
      <c r="AC133" s="1415"/>
      <c r="AD133" s="1415"/>
      <c r="AE133" s="1415"/>
      <c r="AF133" s="1415"/>
    </row>
    <row r="134" spans="1:32" ht="54" customHeight="1" x14ac:dyDescent="0.25">
      <c r="A134" s="8"/>
      <c r="B134" s="8"/>
      <c r="C134" s="1415" t="s">
        <v>4992</v>
      </c>
      <c r="D134" s="1415"/>
      <c r="E134" s="1415"/>
      <c r="F134" s="1415"/>
      <c r="G134" s="1415"/>
      <c r="H134" s="1415"/>
      <c r="I134" s="1415"/>
      <c r="J134" s="1415"/>
      <c r="K134" s="1415"/>
      <c r="L134" s="1415"/>
      <c r="M134" s="1415"/>
      <c r="N134" s="1415"/>
      <c r="O134" s="1415"/>
      <c r="P134" s="1415"/>
      <c r="Q134" s="1415"/>
      <c r="R134" s="1415"/>
      <c r="S134" s="1415"/>
      <c r="T134" s="1415"/>
      <c r="U134" s="1415"/>
      <c r="V134" s="1415"/>
      <c r="W134" s="1415"/>
      <c r="X134" s="1415"/>
      <c r="Y134" s="1415"/>
      <c r="Z134" s="1415"/>
      <c r="AA134" s="1415"/>
      <c r="AB134" s="1415"/>
      <c r="AC134" s="1415"/>
      <c r="AD134" s="1415"/>
      <c r="AE134" s="1415"/>
      <c r="AF134" s="1415"/>
    </row>
    <row r="135" spans="1:32"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x14ac:dyDescent="0.25">
      <c r="A136" s="8"/>
      <c r="B136" s="8"/>
      <c r="C136" s="423" t="s">
        <v>4993</v>
      </c>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x14ac:dyDescent="0.25">
      <c r="A137" s="8"/>
      <c r="B137" s="8"/>
      <c r="C137" s="3010" t="s">
        <v>240</v>
      </c>
      <c r="D137" s="3010"/>
      <c r="E137" s="3010"/>
      <c r="F137" s="3010"/>
      <c r="G137" s="3010"/>
      <c r="H137" s="1457" t="s">
        <v>4981</v>
      </c>
      <c r="I137" s="1458"/>
      <c r="J137" s="1458"/>
      <c r="K137" s="1458"/>
      <c r="L137" s="1458"/>
      <c r="M137" s="1458"/>
      <c r="N137" s="1459"/>
      <c r="O137" s="8"/>
      <c r="P137" s="8"/>
      <c r="Q137" s="8"/>
      <c r="R137" s="8"/>
      <c r="S137" s="8"/>
      <c r="T137" s="8"/>
      <c r="U137" s="8"/>
      <c r="V137" s="8"/>
      <c r="W137" s="8"/>
      <c r="X137" s="8"/>
      <c r="Y137" s="8"/>
      <c r="Z137" s="8"/>
      <c r="AA137" s="8"/>
      <c r="AB137" s="8"/>
      <c r="AC137" s="8"/>
      <c r="AD137" s="8"/>
      <c r="AE137" s="8"/>
      <c r="AF137" s="8"/>
    </row>
    <row r="138" spans="1:32" x14ac:dyDescent="0.25">
      <c r="A138" s="8"/>
      <c r="B138" s="8"/>
      <c r="C138" s="1245" t="s">
        <v>4961</v>
      </c>
      <c r="D138" s="1245"/>
      <c r="E138" s="1245"/>
      <c r="F138" s="1245"/>
      <c r="G138" s="1245"/>
      <c r="H138" s="3247">
        <f>(1/3)*$H$128*$H$122/SUM($H$128:$N$130)</f>
        <v>4.2249417249417248E-2</v>
      </c>
      <c r="I138" s="3248"/>
      <c r="J138" s="3248"/>
      <c r="K138" s="3248"/>
      <c r="L138" s="3248"/>
      <c r="M138" s="3248"/>
      <c r="N138" s="3249"/>
      <c r="O138" s="8"/>
      <c r="P138" s="8"/>
      <c r="Q138" s="8"/>
      <c r="R138" s="8"/>
      <c r="S138" s="8"/>
      <c r="T138" s="8"/>
      <c r="U138" s="8"/>
      <c r="V138" s="8"/>
      <c r="W138" s="8"/>
      <c r="X138" s="8"/>
      <c r="Y138" s="8"/>
      <c r="Z138" s="8"/>
      <c r="AA138" s="8"/>
      <c r="AB138" s="8"/>
      <c r="AC138" s="8"/>
      <c r="AD138" s="8"/>
      <c r="AE138" s="8"/>
      <c r="AF138" s="8"/>
    </row>
    <row r="139" spans="1:32" x14ac:dyDescent="0.25">
      <c r="A139" s="8"/>
      <c r="B139" s="8"/>
      <c r="C139" s="1245" t="s">
        <v>4962</v>
      </c>
      <c r="D139" s="1245"/>
      <c r="E139" s="1245"/>
      <c r="F139" s="1245"/>
      <c r="G139" s="1245"/>
      <c r="H139" s="3247">
        <f>(1/3)*$H$128*$H$122/SUM($H$128:$N$130)</f>
        <v>4.2249417249417248E-2</v>
      </c>
      <c r="I139" s="3248"/>
      <c r="J139" s="3248"/>
      <c r="K139" s="3248"/>
      <c r="L139" s="3248"/>
      <c r="M139" s="3248"/>
      <c r="N139" s="3249"/>
      <c r="O139" s="8"/>
      <c r="P139" s="8"/>
      <c r="Q139" s="8"/>
      <c r="R139" s="8"/>
      <c r="S139" s="8"/>
      <c r="T139" s="8"/>
      <c r="U139" s="8"/>
      <c r="V139" s="8"/>
      <c r="W139" s="8"/>
      <c r="X139" s="8"/>
      <c r="Y139" s="8"/>
      <c r="Z139" s="8"/>
      <c r="AA139" s="8"/>
      <c r="AB139" s="8"/>
      <c r="AC139" s="8"/>
      <c r="AD139" s="8"/>
      <c r="AE139" s="8"/>
      <c r="AF139" s="8"/>
    </row>
    <row r="140" spans="1:32" x14ac:dyDescent="0.25">
      <c r="A140" s="8"/>
      <c r="B140" s="8"/>
      <c r="C140" s="1245" t="s">
        <v>4963</v>
      </c>
      <c r="D140" s="1245"/>
      <c r="E140" s="1245"/>
      <c r="F140" s="1245"/>
      <c r="G140" s="1245"/>
      <c r="H140" s="3247">
        <f>(1/3)*$H$128*$H$122/SUM($H$128:$N$130)</f>
        <v>4.2249417249417248E-2</v>
      </c>
      <c r="I140" s="3248"/>
      <c r="J140" s="3248"/>
      <c r="K140" s="3248"/>
      <c r="L140" s="3248"/>
      <c r="M140" s="3248"/>
      <c r="N140" s="3249"/>
      <c r="O140" s="8"/>
      <c r="P140" s="8"/>
      <c r="Q140" s="8"/>
      <c r="R140" s="8"/>
      <c r="S140" s="8"/>
      <c r="T140" s="8"/>
      <c r="U140" s="8"/>
      <c r="V140" s="8"/>
      <c r="W140" s="8"/>
      <c r="X140" s="8"/>
      <c r="Y140" s="8"/>
      <c r="Z140" s="8"/>
      <c r="AA140" s="8"/>
      <c r="AB140" s="8"/>
      <c r="AC140" s="8"/>
      <c r="AD140" s="8"/>
      <c r="AE140" s="8"/>
      <c r="AF140" s="8"/>
    </row>
    <row r="141" spans="1:32" x14ac:dyDescent="0.25">
      <c r="A141" s="8"/>
      <c r="B141" s="8"/>
      <c r="C141" s="1245" t="s">
        <v>4964</v>
      </c>
      <c r="D141" s="1245"/>
      <c r="E141" s="1245"/>
      <c r="F141" s="1245"/>
      <c r="G141" s="1245"/>
      <c r="H141" s="3247">
        <f>(1/2)*$H$129*$H$122/SUM($H$128:$N$130)</f>
        <v>0.13848420098420097</v>
      </c>
      <c r="I141" s="3248"/>
      <c r="J141" s="3248"/>
      <c r="K141" s="3248"/>
      <c r="L141" s="3248"/>
      <c r="M141" s="3248"/>
      <c r="N141" s="3249"/>
      <c r="O141" s="8"/>
      <c r="P141" s="8"/>
      <c r="Q141" s="8"/>
      <c r="R141" s="8"/>
      <c r="S141" s="8"/>
      <c r="T141" s="8"/>
      <c r="U141" s="8"/>
      <c r="V141" s="8"/>
      <c r="W141" s="8"/>
      <c r="X141" s="8"/>
      <c r="Y141" s="8"/>
      <c r="Z141" s="8"/>
      <c r="AA141" s="8"/>
      <c r="AB141" s="8"/>
      <c r="AC141" s="8"/>
      <c r="AD141" s="8"/>
      <c r="AE141" s="8"/>
      <c r="AF141" s="8"/>
    </row>
    <row r="142" spans="1:32" x14ac:dyDescent="0.25">
      <c r="A142" s="8"/>
      <c r="B142" s="8"/>
      <c r="C142" s="1245" t="s">
        <v>4965</v>
      </c>
      <c r="D142" s="1245"/>
      <c r="E142" s="1245"/>
      <c r="F142" s="1245"/>
      <c r="G142" s="1245"/>
      <c r="H142" s="3247">
        <f>(1/2)*$H$129*$H$122/SUM($H$128:$N$130)</f>
        <v>0.13848420098420097</v>
      </c>
      <c r="I142" s="3248"/>
      <c r="J142" s="3248"/>
      <c r="K142" s="3248"/>
      <c r="L142" s="3248"/>
      <c r="M142" s="3248"/>
      <c r="N142" s="3249"/>
      <c r="O142" s="8"/>
      <c r="P142" s="8"/>
      <c r="Q142" s="8"/>
      <c r="R142" s="8"/>
      <c r="S142" s="8"/>
      <c r="T142" s="8"/>
      <c r="U142" s="8"/>
      <c r="V142" s="8"/>
      <c r="W142" s="8"/>
      <c r="X142" s="8"/>
      <c r="Y142" s="8"/>
      <c r="Z142" s="8"/>
      <c r="AA142" s="8"/>
      <c r="AB142" s="8"/>
      <c r="AC142" s="8"/>
      <c r="AD142" s="8"/>
      <c r="AE142" s="8"/>
      <c r="AF142" s="8"/>
    </row>
    <row r="143" spans="1:32" x14ac:dyDescent="0.25">
      <c r="A143" s="8"/>
      <c r="B143" s="8"/>
      <c r="C143" s="1245" t="s">
        <v>4966</v>
      </c>
      <c r="D143" s="1245"/>
      <c r="E143" s="1245"/>
      <c r="F143" s="1245"/>
      <c r="G143" s="1245"/>
      <c r="H143" s="3247">
        <f>$H$122*$H$130*(1/2)/SUM($H$128:$N$130)</f>
        <v>0.13378982128982128</v>
      </c>
      <c r="I143" s="3248"/>
      <c r="J143" s="3248"/>
      <c r="K143" s="3248"/>
      <c r="L143" s="3248"/>
      <c r="M143" s="3248"/>
      <c r="N143" s="3249"/>
      <c r="O143" s="8"/>
      <c r="P143" s="8"/>
      <c r="Q143" s="8"/>
      <c r="R143" s="8"/>
      <c r="S143" s="8"/>
      <c r="T143" s="8"/>
      <c r="U143" s="8"/>
      <c r="V143" s="8"/>
      <c r="W143" s="8"/>
      <c r="X143" s="8"/>
      <c r="Y143" s="8"/>
      <c r="Z143" s="8"/>
      <c r="AA143" s="8"/>
      <c r="AB143" s="8"/>
      <c r="AC143" s="8"/>
      <c r="AD143" s="8"/>
      <c r="AE143" s="8"/>
      <c r="AF143" s="8"/>
    </row>
    <row r="144" spans="1:32" x14ac:dyDescent="0.25">
      <c r="A144" s="8"/>
      <c r="B144" s="8"/>
      <c r="C144" s="1245" t="s">
        <v>4967</v>
      </c>
      <c r="D144" s="1245"/>
      <c r="E144" s="1245"/>
      <c r="F144" s="1245"/>
      <c r="G144" s="1245"/>
      <c r="H144" s="3247">
        <f>$H$122*$H$130*(1/2)/SUM($H$128:$N$130)</f>
        <v>0.13378982128982128</v>
      </c>
      <c r="I144" s="3248"/>
      <c r="J144" s="3248"/>
      <c r="K144" s="3248"/>
      <c r="L144" s="3248"/>
      <c r="M144" s="3248"/>
      <c r="N144" s="3249"/>
      <c r="O144" s="8"/>
      <c r="P144" s="8"/>
      <c r="Q144" s="8"/>
      <c r="R144" s="8"/>
      <c r="S144" s="8"/>
      <c r="T144" s="8"/>
      <c r="U144" s="8"/>
      <c r="V144" s="8"/>
      <c r="W144" s="8"/>
      <c r="X144" s="8"/>
      <c r="Y144" s="8"/>
      <c r="Z144" s="8"/>
      <c r="AA144" s="8"/>
      <c r="AB144" s="8"/>
      <c r="AC144" s="8"/>
      <c r="AD144" s="8"/>
      <c r="AE144" s="8"/>
      <c r="AF144" s="8"/>
    </row>
    <row r="145" spans="1:32" x14ac:dyDescent="0.25">
      <c r="A145" s="8"/>
      <c r="B145" s="8"/>
      <c r="C145" s="1245" t="s">
        <v>4968</v>
      </c>
      <c r="D145" s="1245"/>
      <c r="E145" s="1245"/>
      <c r="F145" s="1245"/>
      <c r="G145" s="1245"/>
      <c r="H145" s="3247">
        <f>$H$123*$H$131*(1/2)/SUM($H$131:$N$132)</f>
        <v>0.11565500685871055</v>
      </c>
      <c r="I145" s="3248"/>
      <c r="J145" s="3248"/>
      <c r="K145" s="3248"/>
      <c r="L145" s="3248"/>
      <c r="M145" s="3248"/>
      <c r="N145" s="3249"/>
      <c r="O145" s="8"/>
      <c r="P145" s="8"/>
      <c r="Q145" s="8"/>
      <c r="R145" s="8"/>
      <c r="S145" s="8"/>
      <c r="T145" s="8"/>
      <c r="U145" s="8"/>
      <c r="V145" s="8"/>
      <c r="W145" s="8"/>
      <c r="X145" s="8"/>
      <c r="Y145" s="8"/>
      <c r="Z145" s="8"/>
      <c r="AA145" s="8"/>
      <c r="AB145" s="8"/>
      <c r="AC145" s="8"/>
      <c r="AD145" s="8"/>
      <c r="AE145" s="8"/>
      <c r="AF145" s="8"/>
    </row>
    <row r="146" spans="1:32" x14ac:dyDescent="0.25">
      <c r="A146" s="8"/>
      <c r="B146" s="8"/>
      <c r="C146" s="1245" t="s">
        <v>4969</v>
      </c>
      <c r="D146" s="1245"/>
      <c r="E146" s="1245"/>
      <c r="F146" s="1245"/>
      <c r="G146" s="1245"/>
      <c r="H146" s="3247">
        <f>$H$123*$H$131*(1/2)/SUM($H$131:$N$132)</f>
        <v>0.11565500685871055</v>
      </c>
      <c r="I146" s="3248"/>
      <c r="J146" s="3248"/>
      <c r="K146" s="3248"/>
      <c r="L146" s="3248"/>
      <c r="M146" s="3248"/>
      <c r="N146" s="3249"/>
      <c r="O146" s="8"/>
      <c r="P146" s="8"/>
      <c r="Q146" s="8"/>
      <c r="R146" s="8"/>
      <c r="S146" s="8"/>
      <c r="T146" s="8"/>
      <c r="U146" s="8"/>
      <c r="V146" s="8"/>
      <c r="W146" s="8"/>
      <c r="X146" s="8"/>
      <c r="Y146" s="8"/>
      <c r="Z146" s="8"/>
      <c r="AA146" s="8"/>
      <c r="AB146" s="8"/>
      <c r="AC146" s="8"/>
      <c r="AD146" s="8"/>
      <c r="AE146" s="8"/>
      <c r="AF146" s="8"/>
    </row>
    <row r="147" spans="1:32" x14ac:dyDescent="0.25">
      <c r="A147" s="8"/>
      <c r="B147" s="8"/>
      <c r="C147" s="1245" t="s">
        <v>4970</v>
      </c>
      <c r="D147" s="1245"/>
      <c r="E147" s="1245"/>
      <c r="F147" s="1245"/>
      <c r="G147" s="1245"/>
      <c r="H147" s="3247">
        <f>$H$123*$H$132*(1/2)/SUM($H$131:$N$132)</f>
        <v>4.8696844993141281E-2</v>
      </c>
      <c r="I147" s="3248"/>
      <c r="J147" s="3248"/>
      <c r="K147" s="3248"/>
      <c r="L147" s="3248"/>
      <c r="M147" s="3248"/>
      <c r="N147" s="3249"/>
      <c r="O147" s="8"/>
      <c r="P147" s="8"/>
      <c r="Q147" s="8"/>
      <c r="R147" s="8"/>
      <c r="S147" s="8"/>
      <c r="T147" s="8"/>
      <c r="U147" s="8"/>
      <c r="V147" s="8"/>
      <c r="W147" s="8"/>
      <c r="X147" s="8"/>
      <c r="Y147" s="8"/>
      <c r="Z147" s="8"/>
      <c r="AA147" s="8"/>
      <c r="AB147" s="8"/>
      <c r="AC147" s="8"/>
      <c r="AD147" s="8"/>
      <c r="AE147" s="8"/>
      <c r="AF147" s="8"/>
    </row>
    <row r="148" spans="1:32" x14ac:dyDescent="0.25">
      <c r="A148" s="8"/>
      <c r="B148" s="8"/>
      <c r="C148" s="1245" t="s">
        <v>4971</v>
      </c>
      <c r="D148" s="1245"/>
      <c r="E148" s="1245"/>
      <c r="F148" s="1245"/>
      <c r="G148" s="1245"/>
      <c r="H148" s="3247">
        <f>$H$123*$H$132*(1/2)/SUM($H$131:$N$132)</f>
        <v>4.8696844993141281E-2</v>
      </c>
      <c r="I148" s="3248"/>
      <c r="J148" s="3248"/>
      <c r="K148" s="3248"/>
      <c r="L148" s="3248"/>
      <c r="M148" s="3248"/>
      <c r="N148" s="3249"/>
      <c r="O148" s="8"/>
      <c r="P148" s="8"/>
      <c r="Q148" s="8"/>
      <c r="R148" s="8"/>
      <c r="S148" s="8"/>
      <c r="T148" s="8"/>
      <c r="U148" s="8"/>
      <c r="V148" s="8"/>
      <c r="W148" s="8"/>
      <c r="X148" s="8"/>
      <c r="Y148" s="8"/>
      <c r="Z148" s="8"/>
      <c r="AA148" s="8"/>
      <c r="AB148" s="8"/>
      <c r="AC148" s="8"/>
      <c r="AD148" s="8"/>
      <c r="AE148" s="8"/>
      <c r="AF148" s="8"/>
    </row>
    <row r="149" spans="1:32" ht="40.5" customHeight="1" x14ac:dyDescent="0.25">
      <c r="A149" s="8"/>
      <c r="B149" s="8"/>
      <c r="C149" s="1415" t="s">
        <v>4994</v>
      </c>
      <c r="D149" s="1415"/>
      <c r="E149" s="1415"/>
      <c r="F149" s="1415"/>
      <c r="G149" s="1415"/>
      <c r="H149" s="1415"/>
      <c r="I149" s="1415"/>
      <c r="J149" s="1415"/>
      <c r="K149" s="1415"/>
      <c r="L149" s="1415"/>
      <c r="M149" s="1415"/>
      <c r="N149" s="1415"/>
      <c r="O149" s="1415"/>
      <c r="P149" s="1415"/>
      <c r="Q149" s="1415"/>
      <c r="R149" s="1415"/>
      <c r="S149" s="1415"/>
      <c r="T149" s="1415"/>
      <c r="U149" s="1415"/>
      <c r="V149" s="1415"/>
      <c r="W149" s="1415"/>
      <c r="X149" s="1415"/>
      <c r="Y149" s="1415"/>
      <c r="Z149" s="1415"/>
      <c r="AA149" s="1415"/>
      <c r="AB149" s="1415"/>
      <c r="AC149" s="1415"/>
      <c r="AD149" s="1415"/>
      <c r="AE149" s="1415"/>
      <c r="AF149" s="1415"/>
    </row>
    <row r="150" spans="1:32" ht="29.25" customHeight="1" x14ac:dyDescent="0.25">
      <c r="A150" s="8"/>
      <c r="B150" s="8"/>
      <c r="C150" s="1415" t="s">
        <v>4995</v>
      </c>
      <c r="D150" s="1415"/>
      <c r="E150" s="1415"/>
      <c r="F150" s="1415"/>
      <c r="G150" s="1415"/>
      <c r="H150" s="1415"/>
      <c r="I150" s="1415"/>
      <c r="J150" s="1415"/>
      <c r="K150" s="1415"/>
      <c r="L150" s="1415"/>
      <c r="M150" s="1415"/>
      <c r="N150" s="1415"/>
      <c r="O150" s="1415"/>
      <c r="P150" s="1415"/>
      <c r="Q150" s="1415"/>
      <c r="R150" s="1415"/>
      <c r="S150" s="1415"/>
      <c r="T150" s="1415"/>
      <c r="U150" s="1415"/>
      <c r="V150" s="1415"/>
      <c r="W150" s="1415"/>
      <c r="X150" s="1415"/>
      <c r="Y150" s="1415"/>
      <c r="Z150" s="1415"/>
      <c r="AA150" s="1415"/>
      <c r="AB150" s="1415"/>
      <c r="AC150" s="1415"/>
      <c r="AD150" s="1415"/>
      <c r="AE150" s="1415"/>
      <c r="AF150" s="1415"/>
    </row>
    <row r="151" spans="1:32" x14ac:dyDescent="0.25">
      <c r="A151" s="8"/>
      <c r="B151" s="8"/>
      <c r="C151" s="8"/>
      <c r="D151" s="8"/>
      <c r="E151" s="8"/>
      <c r="F151" s="8"/>
      <c r="G151" s="8"/>
      <c r="H151" s="8"/>
      <c r="I151" s="8"/>
      <c r="J151" s="8"/>
      <c r="K151" s="8"/>
      <c r="L151" s="8"/>
      <c r="M151" s="8"/>
      <c r="N151" s="8"/>
      <c r="O151" s="8"/>
      <c r="P151" s="192"/>
      <c r="Q151" s="8"/>
      <c r="R151" s="8"/>
      <c r="S151" s="8"/>
      <c r="T151" s="8"/>
      <c r="U151" s="8"/>
      <c r="V151" s="8"/>
      <c r="W151" s="8"/>
      <c r="X151" s="8"/>
      <c r="Y151" s="8"/>
      <c r="Z151" s="8"/>
      <c r="AA151" s="8"/>
      <c r="AB151" s="8"/>
      <c r="AC151" s="8"/>
      <c r="AD151" s="8"/>
      <c r="AE151" s="8"/>
      <c r="AF151" s="8"/>
    </row>
    <row r="152" spans="1:32"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x14ac:dyDescent="0.25">
      <c r="A153" s="1148" t="s">
        <v>21</v>
      </c>
      <c r="B153" s="1149"/>
      <c r="C153" s="1149"/>
      <c r="D153" s="1149"/>
      <c r="E153" s="1149"/>
      <c r="F153" s="1149"/>
      <c r="G153" s="1149"/>
      <c r="H153" s="1149"/>
      <c r="I153" s="1149"/>
      <c r="J153" s="1149"/>
      <c r="K153" s="1149"/>
      <c r="L153" s="1149"/>
      <c r="M153" s="1149"/>
      <c r="N153" s="1149"/>
      <c r="O153" s="1149"/>
      <c r="P153" s="1149"/>
      <c r="Q153" s="1149"/>
      <c r="R153" s="1149"/>
      <c r="S153" s="1149"/>
      <c r="T153" s="1149"/>
      <c r="U153" s="1149"/>
      <c r="V153" s="1149"/>
      <c r="W153" s="1149"/>
      <c r="X153" s="1149"/>
      <c r="Y153" s="1149"/>
      <c r="Z153" s="1149"/>
      <c r="AA153" s="1149"/>
      <c r="AB153" s="1149"/>
      <c r="AC153" s="1149"/>
      <c r="AD153" s="1149"/>
      <c r="AE153" s="1149"/>
      <c r="AF153" s="1150"/>
    </row>
    <row r="154" spans="1:32"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row>
    <row r="155" spans="1:32" x14ac:dyDescent="0.25">
      <c r="A155" s="3"/>
      <c r="B155" s="642" t="s">
        <v>4996</v>
      </c>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row>
    <row r="156" spans="1:32" ht="15.75" thickBot="1" x14ac:dyDescent="0.3">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row>
    <row r="157" spans="1:32" x14ac:dyDescent="0.25">
      <c r="A157" s="1583" t="s">
        <v>22</v>
      </c>
      <c r="B157" s="1584"/>
      <c r="C157" s="1584"/>
      <c r="D157" s="1584"/>
      <c r="E157" s="1584"/>
      <c r="F157" s="1584"/>
      <c r="G157" s="1584"/>
      <c r="H157" s="1584"/>
      <c r="I157" s="1584" t="s">
        <v>23</v>
      </c>
      <c r="J157" s="1584"/>
      <c r="K157" s="1584"/>
      <c r="L157" s="1584"/>
      <c r="M157" s="1584"/>
      <c r="N157" s="1584"/>
      <c r="O157" s="1584"/>
      <c r="P157" s="1584"/>
      <c r="Q157" s="1584" t="s">
        <v>24</v>
      </c>
      <c r="R157" s="1584"/>
      <c r="S157" s="1584"/>
      <c r="T157" s="1584"/>
      <c r="U157" s="1584"/>
      <c r="V157" s="1584"/>
      <c r="W157" s="1584"/>
      <c r="X157" s="1610"/>
      <c r="Y157" s="1879" t="s">
        <v>2012</v>
      </c>
      <c r="Z157" s="2808"/>
      <c r="AA157" s="2808"/>
      <c r="AB157" s="2808"/>
      <c r="AC157" s="2808"/>
      <c r="AD157" s="2808"/>
      <c r="AE157" s="2808"/>
      <c r="AF157" s="3250"/>
    </row>
    <row r="158" spans="1:32" x14ac:dyDescent="0.25">
      <c r="A158" s="1782" t="s">
        <v>4997</v>
      </c>
      <c r="B158" s="1243"/>
      <c r="C158" s="1243"/>
      <c r="D158" s="1243"/>
      <c r="E158" s="1243"/>
      <c r="F158" s="1243"/>
      <c r="G158" s="1243"/>
      <c r="H158" s="1243"/>
      <c r="I158" s="3251">
        <f>ROUND(SUMPRODUCT($H$138:$N$148,$H$108:$N$118),3)</f>
        <v>1.2E-2</v>
      </c>
      <c r="J158" s="3251"/>
      <c r="K158" s="3251"/>
      <c r="L158" s="3251"/>
      <c r="M158" s="3251"/>
      <c r="N158" s="3251"/>
      <c r="O158" s="3251"/>
      <c r="P158" s="3251"/>
      <c r="Q158" s="3252">
        <f>ROUND(SUMPRODUCT($H$138:$N$148,$H$94:$N$104),2)</f>
        <v>38.93</v>
      </c>
      <c r="R158" s="3252"/>
      <c r="S158" s="3252"/>
      <c r="T158" s="3252"/>
      <c r="U158" s="3252"/>
      <c r="V158" s="3252"/>
      <c r="W158" s="3252"/>
      <c r="X158" s="3252"/>
      <c r="Y158" s="3253">
        <f>ROUND(Q158*$Q$59,2)</f>
        <v>233.58</v>
      </c>
      <c r="Z158" s="3254"/>
      <c r="AA158" s="3254"/>
      <c r="AB158" s="3254"/>
      <c r="AC158" s="3254"/>
      <c r="AD158" s="3254"/>
      <c r="AE158" s="3254"/>
      <c r="AF158" s="3255"/>
    </row>
    <row r="159" spans="1:32" ht="15.75" thickBot="1" x14ac:dyDescent="0.3">
      <c r="A159" s="3256" t="s">
        <v>4998</v>
      </c>
      <c r="B159" s="3257"/>
      <c r="C159" s="3257"/>
      <c r="D159" s="3257"/>
      <c r="E159" s="3257"/>
      <c r="F159" s="3257"/>
      <c r="G159" s="3257"/>
      <c r="H159" s="3257"/>
      <c r="I159" s="3258">
        <f>ROUND(SUMPRODUCT($H$138:$N$148,$O$108:$U$118),3)</f>
        <v>1.7999999999999999E-2</v>
      </c>
      <c r="J159" s="3258"/>
      <c r="K159" s="3258"/>
      <c r="L159" s="3258"/>
      <c r="M159" s="3258"/>
      <c r="N159" s="3258"/>
      <c r="O159" s="3258"/>
      <c r="P159" s="3258"/>
      <c r="Q159" s="3259">
        <f>ROUND(SUMPRODUCT($H$138:$N$148,$O$94:$U$104),2)</f>
        <v>58.39</v>
      </c>
      <c r="R159" s="3259"/>
      <c r="S159" s="3259"/>
      <c r="T159" s="3259"/>
      <c r="U159" s="3259"/>
      <c r="V159" s="3259"/>
      <c r="W159" s="3259"/>
      <c r="X159" s="3260"/>
      <c r="Y159" s="3261">
        <f>ROUND(Q159*$Q$59,2)</f>
        <v>350.34</v>
      </c>
      <c r="Z159" s="3262"/>
      <c r="AA159" s="3262"/>
      <c r="AB159" s="3262"/>
      <c r="AC159" s="3262"/>
      <c r="AD159" s="3262"/>
      <c r="AE159" s="3262"/>
      <c r="AF159" s="3263"/>
    </row>
    <row r="160" spans="1:32" x14ac:dyDescent="0.25">
      <c r="A160" s="7"/>
      <c r="B160" s="7"/>
      <c r="C160" s="7"/>
      <c r="D160" s="7"/>
      <c r="E160" s="7"/>
      <c r="F160" s="7"/>
      <c r="G160" s="7"/>
      <c r="H160" s="7"/>
      <c r="I160" s="762"/>
      <c r="J160" s="762"/>
      <c r="K160" s="762"/>
      <c r="L160" s="762"/>
      <c r="M160" s="762"/>
      <c r="N160" s="762"/>
      <c r="O160" s="762"/>
      <c r="P160" s="762"/>
      <c r="Q160" s="762"/>
      <c r="R160" s="762"/>
      <c r="S160" s="762"/>
      <c r="T160" s="762"/>
      <c r="U160" s="762"/>
      <c r="V160" s="762"/>
      <c r="W160" s="762"/>
      <c r="X160" s="762"/>
    </row>
    <row r="161" spans="1:32" x14ac:dyDescent="0.25">
      <c r="A161" s="7"/>
      <c r="B161" s="642" t="s">
        <v>4999</v>
      </c>
      <c r="C161" s="7"/>
      <c r="D161" s="7"/>
      <c r="E161" s="7"/>
      <c r="F161" s="7"/>
      <c r="G161" s="7"/>
      <c r="H161" s="7"/>
      <c r="I161" s="762"/>
      <c r="J161" s="762"/>
      <c r="K161" s="762"/>
      <c r="L161" s="762"/>
      <c r="M161" s="762"/>
      <c r="N161" s="762"/>
      <c r="O161" s="762"/>
      <c r="P161" s="762"/>
      <c r="Q161" s="762"/>
      <c r="R161" s="762"/>
      <c r="S161" s="762"/>
      <c r="T161" s="762"/>
      <c r="U161" s="762"/>
      <c r="V161" s="762"/>
      <c r="W161" s="762"/>
      <c r="X161" s="762"/>
    </row>
    <row r="162" spans="1:32" x14ac:dyDescent="0.25">
      <c r="A162" s="7"/>
      <c r="C162" s="7"/>
      <c r="D162" s="7"/>
      <c r="E162" s="7"/>
      <c r="F162" s="7"/>
      <c r="G162" s="7"/>
      <c r="H162" s="7"/>
      <c r="I162" s="762"/>
      <c r="J162" s="762"/>
      <c r="K162" s="762"/>
      <c r="L162" s="762"/>
      <c r="M162" s="762"/>
      <c r="N162" s="762"/>
      <c r="O162" s="762"/>
      <c r="P162" s="762"/>
      <c r="Q162" s="762"/>
      <c r="R162" s="762"/>
      <c r="S162" s="762"/>
      <c r="T162" s="762"/>
      <c r="U162" s="762"/>
      <c r="V162" s="762"/>
      <c r="W162" s="762"/>
      <c r="X162" s="762"/>
    </row>
    <row r="163" spans="1:32" x14ac:dyDescent="0.25">
      <c r="A163" s="7"/>
      <c r="B163" s="227" t="s">
        <v>5000</v>
      </c>
      <c r="C163" s="7"/>
      <c r="D163" s="7"/>
      <c r="E163" s="7"/>
      <c r="F163" s="2109" t="s">
        <v>4976</v>
      </c>
      <c r="G163" s="2110"/>
      <c r="H163" s="2110"/>
      <c r="I163" s="2110"/>
      <c r="J163" s="2110"/>
      <c r="K163" s="2110"/>
      <c r="L163" s="2110"/>
      <c r="M163" s="2111"/>
      <c r="N163" s="762"/>
      <c r="P163" s="762"/>
      <c r="Q163" s="763" t="s">
        <v>5001</v>
      </c>
      <c r="R163" s="2109" t="s">
        <v>4965</v>
      </c>
      <c r="S163" s="2110"/>
      <c r="T163" s="2110"/>
      <c r="U163" s="2110"/>
      <c r="V163" s="2111"/>
      <c r="W163" s="762"/>
      <c r="X163" s="762"/>
    </row>
    <row r="164" spans="1:32" ht="15.75" thickBot="1" x14ac:dyDescent="0.3">
      <c r="A164" s="7"/>
      <c r="B164" s="692"/>
      <c r="C164" s="7"/>
      <c r="D164" s="7"/>
      <c r="E164" s="7"/>
      <c r="F164" s="7"/>
      <c r="G164" s="7"/>
      <c r="H164" s="7"/>
      <c r="I164" s="762"/>
      <c r="J164" s="762"/>
      <c r="K164" s="762"/>
      <c r="L164" s="762"/>
      <c r="M164" s="762"/>
      <c r="N164" s="762"/>
      <c r="O164" s="762"/>
      <c r="P164" s="762"/>
      <c r="Q164" s="762"/>
      <c r="R164" s="762"/>
      <c r="S164" s="762"/>
      <c r="T164" s="762"/>
      <c r="U164" s="762"/>
      <c r="V164" s="762"/>
      <c r="W164" s="762"/>
      <c r="X164" s="762"/>
    </row>
    <row r="165" spans="1:32" x14ac:dyDescent="0.25">
      <c r="A165" s="1810" t="s">
        <v>22</v>
      </c>
      <c r="B165" s="1643"/>
      <c r="C165" s="1643"/>
      <c r="D165" s="1643"/>
      <c r="E165" s="1643"/>
      <c r="F165" s="1643"/>
      <c r="G165" s="1643"/>
      <c r="H165" s="1643"/>
      <c r="I165" s="1643" t="s">
        <v>23</v>
      </c>
      <c r="J165" s="1643"/>
      <c r="K165" s="1643"/>
      <c r="L165" s="1643"/>
      <c r="M165" s="1643"/>
      <c r="N165" s="1643"/>
      <c r="O165" s="1643"/>
      <c r="P165" s="1643"/>
      <c r="Q165" s="1643" t="s">
        <v>24</v>
      </c>
      <c r="R165" s="1643"/>
      <c r="S165" s="1643"/>
      <c r="T165" s="1643"/>
      <c r="U165" s="1643"/>
      <c r="V165" s="1643"/>
      <c r="W165" s="1643"/>
      <c r="X165" s="1643"/>
      <c r="Y165" s="1879" t="s">
        <v>2012</v>
      </c>
      <c r="Z165" s="2808"/>
      <c r="AA165" s="2808"/>
      <c r="AB165" s="2808"/>
      <c r="AC165" s="2808"/>
      <c r="AD165" s="2808"/>
      <c r="AE165" s="2808"/>
      <c r="AF165" s="3250"/>
    </row>
    <row r="166" spans="1:32" ht="31.5" customHeight="1" thickBot="1" x14ac:dyDescent="0.3">
      <c r="A166" s="3264" t="str">
        <f>$F$163&amp;" "&amp;$R$163</f>
        <v>ENERGY STAR non-4K 35" - 39"</v>
      </c>
      <c r="B166" s="3265"/>
      <c r="C166" s="3265"/>
      <c r="D166" s="3265"/>
      <c r="E166" s="3265"/>
      <c r="F166" s="3265"/>
      <c r="G166" s="3265"/>
      <c r="H166" s="3265"/>
      <c r="I166" s="2485">
        <f>ROUND(INDEX($H$108:$U$118,MATCH($R$163,$C$108:$C$118,0),MATCH($F$163,$H$107:$U$107,0)),3)</f>
        <v>8.0000000000000002E-3</v>
      </c>
      <c r="J166" s="2485"/>
      <c r="K166" s="2485"/>
      <c r="L166" s="2485"/>
      <c r="M166" s="2485"/>
      <c r="N166" s="2485"/>
      <c r="O166" s="2485"/>
      <c r="P166" s="2485"/>
      <c r="Q166" s="2486">
        <f>ROUND(INDEX($H$94:$U$104,MATCH($R$163,$C$94:$C$104,0),MATCH($F$163,$H$93:$U$93,0)),2)</f>
        <v>25.52</v>
      </c>
      <c r="R166" s="2486"/>
      <c r="S166" s="2486"/>
      <c r="T166" s="2486"/>
      <c r="U166" s="2486"/>
      <c r="V166" s="2486"/>
      <c r="W166" s="2486"/>
      <c r="X166" s="2486"/>
      <c r="Y166" s="3266">
        <f>ROUND(Q166*$Q$59,2)</f>
        <v>153.12</v>
      </c>
      <c r="Z166" s="3267"/>
      <c r="AA166" s="3267"/>
      <c r="AB166" s="3267"/>
      <c r="AC166" s="3267"/>
      <c r="AD166" s="3267"/>
      <c r="AE166" s="3267"/>
      <c r="AF166" s="3268"/>
    </row>
    <row r="167" spans="1:32" x14ac:dyDescent="0.25">
      <c r="A167" s="7"/>
      <c r="B167" s="7"/>
      <c r="C167" s="7"/>
      <c r="D167" s="7"/>
      <c r="E167" s="7"/>
      <c r="F167" s="7"/>
      <c r="G167" s="7"/>
      <c r="H167" s="7"/>
      <c r="I167" s="762"/>
      <c r="J167" s="762"/>
      <c r="K167" s="762"/>
      <c r="L167" s="762"/>
      <c r="M167" s="762"/>
      <c r="N167" s="762"/>
      <c r="O167" s="762"/>
      <c r="P167" s="762"/>
      <c r="Q167" s="762"/>
      <c r="R167" s="762"/>
      <c r="S167" s="762"/>
      <c r="T167" s="762"/>
      <c r="U167" s="762"/>
      <c r="V167" s="762"/>
      <c r="W167" s="762"/>
      <c r="X167" s="762"/>
    </row>
    <row r="169" spans="1:32" x14ac:dyDescent="0.25">
      <c r="A169" s="1148" t="s">
        <v>1753</v>
      </c>
      <c r="B169" s="1149"/>
      <c r="C169" s="1149"/>
      <c r="D169" s="1149"/>
      <c r="E169" s="1149"/>
      <c r="F169" s="1149"/>
      <c r="G169" s="1149"/>
      <c r="H169" s="1149"/>
      <c r="I169" s="1149"/>
      <c r="J169" s="1149"/>
      <c r="K169" s="1149"/>
      <c r="L169" s="1149"/>
      <c r="M169" s="1149"/>
      <c r="N169" s="1149"/>
      <c r="O169" s="1149"/>
      <c r="P169" s="1149"/>
      <c r="Q169" s="1149"/>
      <c r="R169" s="1149"/>
      <c r="S169" s="1149"/>
      <c r="T169" s="1149"/>
      <c r="U169" s="1149"/>
      <c r="V169" s="1149"/>
      <c r="W169" s="1149"/>
      <c r="X169" s="1149"/>
      <c r="Y169" s="1149"/>
      <c r="Z169" s="1149"/>
      <c r="AA169" s="1149"/>
      <c r="AB169" s="1149"/>
      <c r="AC169" s="1149"/>
      <c r="AD169" s="1149"/>
      <c r="AE169" s="1149"/>
      <c r="AF169" s="1150"/>
    </row>
    <row r="171" spans="1:32" x14ac:dyDescent="0.25">
      <c r="A171" s="515" t="s">
        <v>1013</v>
      </c>
      <c r="B171" s="3269" t="s">
        <v>5002</v>
      </c>
      <c r="C171" s="3269"/>
      <c r="D171" s="3269"/>
      <c r="E171" s="3269"/>
      <c r="F171" s="3269"/>
      <c r="G171" s="3269"/>
      <c r="H171" s="3269"/>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69"/>
      <c r="AD171" s="3269"/>
      <c r="AE171" s="3269"/>
      <c r="AF171" s="3269"/>
    </row>
    <row r="172" spans="1:32" ht="51.75" customHeight="1" x14ac:dyDescent="0.25">
      <c r="A172" s="517" t="s">
        <v>1013</v>
      </c>
      <c r="B172" s="1173" t="s">
        <v>5003</v>
      </c>
      <c r="C172" s="1173"/>
      <c r="D172" s="1173"/>
      <c r="E172" s="1173"/>
      <c r="F172" s="1173"/>
      <c r="G172" s="1173"/>
      <c r="H172" s="1173"/>
      <c r="I172" s="1173"/>
      <c r="J172" s="1173"/>
      <c r="K172" s="1173"/>
      <c r="L172" s="1173"/>
      <c r="M172" s="1173"/>
      <c r="N172" s="1173"/>
      <c r="O172" s="1173"/>
      <c r="P172" s="1173"/>
      <c r="Q172" s="1173"/>
      <c r="R172" s="1173"/>
      <c r="S172" s="1173"/>
      <c r="T172" s="1173"/>
      <c r="U172" s="1173"/>
      <c r="V172" s="1173"/>
      <c r="W172" s="1173"/>
      <c r="X172" s="1173"/>
      <c r="Y172" s="1173"/>
      <c r="Z172" s="1173"/>
      <c r="AA172" s="1173"/>
      <c r="AB172" s="1173"/>
      <c r="AC172" s="1173"/>
      <c r="AD172" s="1173"/>
      <c r="AE172" s="1173"/>
      <c r="AF172" s="1173"/>
    </row>
    <row r="173" spans="1:32" ht="65.25" customHeight="1" x14ac:dyDescent="0.25">
      <c r="A173" s="517" t="s">
        <v>1013</v>
      </c>
      <c r="B173" s="1173" t="s">
        <v>5004</v>
      </c>
      <c r="C173" s="1173"/>
      <c r="D173" s="1173"/>
      <c r="E173" s="1173"/>
      <c r="F173" s="1173"/>
      <c r="G173" s="1173"/>
      <c r="H173" s="1173"/>
      <c r="I173" s="1173"/>
      <c r="J173" s="1173"/>
      <c r="K173" s="1173"/>
      <c r="L173" s="1173"/>
      <c r="M173" s="1173"/>
      <c r="N173" s="1173"/>
      <c r="O173" s="1173"/>
      <c r="P173" s="1173"/>
      <c r="Q173" s="1173"/>
      <c r="R173" s="1173"/>
      <c r="S173" s="1173"/>
      <c r="T173" s="1173"/>
      <c r="U173" s="1173"/>
      <c r="V173" s="1173"/>
      <c r="W173" s="1173"/>
      <c r="X173" s="1173"/>
      <c r="Y173" s="1173"/>
      <c r="Z173" s="1173"/>
      <c r="AA173" s="1173"/>
      <c r="AB173" s="1173"/>
      <c r="AC173" s="1173"/>
      <c r="AD173" s="1173"/>
      <c r="AE173" s="1173"/>
      <c r="AF173" s="1173"/>
    </row>
    <row r="174" spans="1:32" ht="64.5" customHeight="1" x14ac:dyDescent="0.25">
      <c r="A174" s="517" t="s">
        <v>1013</v>
      </c>
      <c r="B174" s="1173" t="s">
        <v>5005</v>
      </c>
      <c r="C174" s="1173"/>
      <c r="D174" s="1173"/>
      <c r="E174" s="1173"/>
      <c r="F174" s="1173"/>
      <c r="G174" s="1173"/>
      <c r="H174" s="1173"/>
      <c r="I174" s="1173"/>
      <c r="J174" s="1173"/>
      <c r="K174" s="1173"/>
      <c r="L174" s="1173"/>
      <c r="M174" s="1173"/>
      <c r="N174" s="1173"/>
      <c r="O174" s="1173"/>
      <c r="P174" s="1173"/>
      <c r="Q174" s="1173"/>
      <c r="R174" s="1173"/>
      <c r="S174" s="1173"/>
      <c r="T174" s="1173"/>
      <c r="U174" s="1173"/>
      <c r="V174" s="1173"/>
      <c r="W174" s="1173"/>
      <c r="X174" s="1173"/>
      <c r="Y174" s="1173"/>
      <c r="Z174" s="1173"/>
      <c r="AA174" s="1173"/>
      <c r="AB174" s="1173"/>
      <c r="AC174" s="1173"/>
      <c r="AD174" s="1173"/>
      <c r="AE174" s="1173"/>
      <c r="AF174" s="1173"/>
    </row>
    <row r="175" spans="1:32" x14ac:dyDescent="0.25">
      <c r="A175" s="515" t="s">
        <v>1013</v>
      </c>
      <c r="B175" s="1173" t="s">
        <v>5006</v>
      </c>
      <c r="C175" s="1173"/>
      <c r="D175" s="1173"/>
      <c r="E175" s="1173"/>
      <c r="F175" s="1173"/>
      <c r="G175" s="1173"/>
      <c r="H175" s="1173"/>
      <c r="I175" s="1173"/>
      <c r="J175" s="1173"/>
      <c r="K175" s="1173"/>
      <c r="L175" s="1173"/>
      <c r="M175" s="1173"/>
      <c r="N175" s="1173"/>
      <c r="O175" s="1173"/>
      <c r="P175" s="1173"/>
      <c r="Q175" s="1173"/>
      <c r="R175" s="1173"/>
      <c r="S175" s="1173"/>
      <c r="T175" s="1173"/>
      <c r="U175" s="1173"/>
      <c r="V175" s="1173"/>
      <c r="W175" s="1173"/>
      <c r="X175" s="1173"/>
      <c r="Y175" s="1173"/>
      <c r="Z175" s="1173"/>
      <c r="AA175" s="1173"/>
      <c r="AB175" s="1173"/>
      <c r="AC175" s="1173"/>
      <c r="AD175" s="1173"/>
      <c r="AE175" s="1173"/>
      <c r="AF175" s="1173"/>
    </row>
    <row r="176" spans="1:32" ht="49.5" customHeight="1" x14ac:dyDescent="0.25">
      <c r="A176" s="515" t="s">
        <v>1013</v>
      </c>
      <c r="B176" s="1173" t="s">
        <v>5007</v>
      </c>
      <c r="C176" s="1173"/>
      <c r="D176" s="1173"/>
      <c r="E176" s="1173"/>
      <c r="F176" s="1173"/>
      <c r="G176" s="1173"/>
      <c r="H176" s="1173"/>
      <c r="I176" s="1173"/>
      <c r="J176" s="1173"/>
      <c r="K176" s="1173"/>
      <c r="L176" s="1173"/>
      <c r="M176" s="1173"/>
      <c r="N176" s="1173"/>
      <c r="O176" s="1173"/>
      <c r="P176" s="1173"/>
      <c r="Q176" s="1173"/>
      <c r="R176" s="1173"/>
      <c r="S176" s="1173"/>
      <c r="T176" s="1173"/>
      <c r="U176" s="1173"/>
      <c r="V176" s="1173"/>
      <c r="W176" s="1173"/>
      <c r="X176" s="1173"/>
      <c r="Y176" s="1173"/>
      <c r="Z176" s="1173"/>
      <c r="AA176" s="1173"/>
      <c r="AB176" s="1173"/>
      <c r="AC176" s="1173"/>
      <c r="AD176" s="1173"/>
      <c r="AE176" s="1173"/>
      <c r="AF176" s="1173"/>
    </row>
    <row r="177" spans="1:32" ht="36.75" customHeight="1" x14ac:dyDescent="0.25">
      <c r="A177" s="515" t="s">
        <v>1013</v>
      </c>
      <c r="B177" s="1173" t="s">
        <v>5008</v>
      </c>
      <c r="C177" s="1173"/>
      <c r="D177" s="1173"/>
      <c r="E177" s="1173"/>
      <c r="F177" s="1173"/>
      <c r="G177" s="1173"/>
      <c r="H177" s="1173"/>
      <c r="I177" s="1173"/>
      <c r="J177" s="1173"/>
      <c r="K177" s="1173"/>
      <c r="L177" s="1173"/>
      <c r="M177" s="1173"/>
      <c r="N177" s="1173"/>
      <c r="O177" s="1173"/>
      <c r="P177" s="1173"/>
      <c r="Q177" s="1173"/>
      <c r="R177" s="1173"/>
      <c r="S177" s="1173"/>
      <c r="T177" s="1173"/>
      <c r="U177" s="1173"/>
      <c r="V177" s="1173"/>
      <c r="W177" s="1173"/>
      <c r="X177" s="1173"/>
      <c r="Y177" s="1173"/>
      <c r="Z177" s="1173"/>
      <c r="AA177" s="1173"/>
      <c r="AB177" s="1173"/>
      <c r="AC177" s="1173"/>
      <c r="AD177" s="1173"/>
      <c r="AE177" s="1173"/>
      <c r="AF177" s="1173"/>
    </row>
    <row r="178" spans="1:32" ht="36.75" customHeight="1" x14ac:dyDescent="0.25">
      <c r="A178" s="515" t="s">
        <v>1013</v>
      </c>
      <c r="B178" s="1173" t="s">
        <v>5009</v>
      </c>
      <c r="C178" s="1173"/>
      <c r="D178" s="1173"/>
      <c r="E178" s="1173"/>
      <c r="F178" s="1173"/>
      <c r="G178" s="1173"/>
      <c r="H178" s="1173"/>
      <c r="I178" s="1173"/>
      <c r="J178" s="1173"/>
      <c r="K178" s="1173"/>
      <c r="L178" s="1173"/>
      <c r="M178" s="1173"/>
      <c r="N178" s="1173"/>
      <c r="O178" s="1173"/>
      <c r="P178" s="1173"/>
      <c r="Q178" s="1173"/>
      <c r="R178" s="1173"/>
      <c r="S178" s="1173"/>
      <c r="T178" s="1173"/>
      <c r="U178" s="1173"/>
      <c r="V178" s="1173"/>
      <c r="W178" s="1173"/>
      <c r="X178" s="1173"/>
      <c r="Y178" s="1173"/>
      <c r="Z178" s="1173"/>
      <c r="AA178" s="1173"/>
      <c r="AB178" s="1173"/>
      <c r="AC178" s="1173"/>
      <c r="AD178" s="1173"/>
      <c r="AE178" s="1173"/>
      <c r="AF178" s="1173"/>
    </row>
    <row r="179" spans="1:32" x14ac:dyDescent="0.25">
      <c r="A179" s="515"/>
    </row>
  </sheetData>
  <sheetProtection algorithmName="SHA-512" hashValue="UquZWUmG8QPV3wvIsQym8m3yZhmNu/9TZqPFOyl/dLVyvRpkYqMj2ckTRrv//I0kGz+WXNTzXDE7wGFHwvJ/nw==" saltValue="szlICskJoAifZieDGJ2Lxg==" spinCount="100000" sheet="1" objects="1" scenarios="1"/>
  <mergeCells count="294">
    <mergeCell ref="B175:AF175"/>
    <mergeCell ref="B176:AF176"/>
    <mergeCell ref="B177:AF177"/>
    <mergeCell ref="B178:AF178"/>
    <mergeCell ref="A166:H166"/>
    <mergeCell ref="I166:P166"/>
    <mergeCell ref="Q166:X166"/>
    <mergeCell ref="Y166:AF166"/>
    <mergeCell ref="A169:AF169"/>
    <mergeCell ref="B171:AF171"/>
    <mergeCell ref="B172:AF172"/>
    <mergeCell ref="B173:AF173"/>
    <mergeCell ref="B174:AF174"/>
    <mergeCell ref="A159:H159"/>
    <mergeCell ref="I159:P159"/>
    <mergeCell ref="Q159:X159"/>
    <mergeCell ref="Y159:AF159"/>
    <mergeCell ref="F163:M163"/>
    <mergeCell ref="R163:V163"/>
    <mergeCell ref="A165:H165"/>
    <mergeCell ref="I165:P165"/>
    <mergeCell ref="Q165:X165"/>
    <mergeCell ref="Y165:AF165"/>
    <mergeCell ref="C149:AF149"/>
    <mergeCell ref="C150:AF150"/>
    <mergeCell ref="A153:AF153"/>
    <mergeCell ref="A157:H157"/>
    <mergeCell ref="I157:P157"/>
    <mergeCell ref="Q157:X157"/>
    <mergeCell ref="Y157:AF157"/>
    <mergeCell ref="A158:H158"/>
    <mergeCell ref="I158:P158"/>
    <mergeCell ref="Q158:X158"/>
    <mergeCell ref="Y158:AF158"/>
    <mergeCell ref="C144:G144"/>
    <mergeCell ref="H144:N144"/>
    <mergeCell ref="C145:G145"/>
    <mergeCell ref="H145:N145"/>
    <mergeCell ref="C146:G146"/>
    <mergeCell ref="H146:N146"/>
    <mergeCell ref="C147:G147"/>
    <mergeCell ref="H147:N147"/>
    <mergeCell ref="C148:G148"/>
    <mergeCell ref="H148:N148"/>
    <mergeCell ref="C139:G139"/>
    <mergeCell ref="H139:N139"/>
    <mergeCell ref="C140:G140"/>
    <mergeCell ref="H140:N140"/>
    <mergeCell ref="C141:G141"/>
    <mergeCell ref="H141:N141"/>
    <mergeCell ref="C142:G142"/>
    <mergeCell ref="H142:N142"/>
    <mergeCell ref="C143:G143"/>
    <mergeCell ref="H143:N143"/>
    <mergeCell ref="C131:G131"/>
    <mergeCell ref="H131:N131"/>
    <mergeCell ref="C132:G132"/>
    <mergeCell ref="H132:N132"/>
    <mergeCell ref="C133:AF133"/>
    <mergeCell ref="C134:AF134"/>
    <mergeCell ref="C137:G137"/>
    <mergeCell ref="H137:N137"/>
    <mergeCell ref="C138:G138"/>
    <mergeCell ref="H138:N138"/>
    <mergeCell ref="C124:AF124"/>
    <mergeCell ref="C127:G127"/>
    <mergeCell ref="H127:N127"/>
    <mergeCell ref="C128:G128"/>
    <mergeCell ref="H128:N128"/>
    <mergeCell ref="C129:G129"/>
    <mergeCell ref="H129:N129"/>
    <mergeCell ref="C130:G130"/>
    <mergeCell ref="H130:N130"/>
    <mergeCell ref="C118:G118"/>
    <mergeCell ref="H118:N118"/>
    <mergeCell ref="O118:U118"/>
    <mergeCell ref="C121:G121"/>
    <mergeCell ref="H121:N121"/>
    <mergeCell ref="C122:G122"/>
    <mergeCell ref="H122:N122"/>
    <mergeCell ref="C123:G123"/>
    <mergeCell ref="H123:N123"/>
    <mergeCell ref="C115:G115"/>
    <mergeCell ref="H115:N115"/>
    <mergeCell ref="O115:U115"/>
    <mergeCell ref="C116:G116"/>
    <mergeCell ref="H116:N116"/>
    <mergeCell ref="O116:U116"/>
    <mergeCell ref="C117:G117"/>
    <mergeCell ref="H117:N117"/>
    <mergeCell ref="O117:U117"/>
    <mergeCell ref="C112:G112"/>
    <mergeCell ref="H112:N112"/>
    <mergeCell ref="O112:U112"/>
    <mergeCell ref="C113:G113"/>
    <mergeCell ref="H113:N113"/>
    <mergeCell ref="O113:U113"/>
    <mergeCell ref="C114:G114"/>
    <mergeCell ref="H114:N114"/>
    <mergeCell ref="O114:U114"/>
    <mergeCell ref="C109:G109"/>
    <mergeCell ref="H109:N109"/>
    <mergeCell ref="O109:U109"/>
    <mergeCell ref="C110:G110"/>
    <mergeCell ref="H110:N110"/>
    <mergeCell ref="O110:U110"/>
    <mergeCell ref="C111:G111"/>
    <mergeCell ref="H111:N111"/>
    <mergeCell ref="O111:U111"/>
    <mergeCell ref="C104:G104"/>
    <mergeCell ref="H104:N104"/>
    <mergeCell ref="O104:U104"/>
    <mergeCell ref="H106:U106"/>
    <mergeCell ref="C107:G107"/>
    <mergeCell ref="O107:U107"/>
    <mergeCell ref="C108:G108"/>
    <mergeCell ref="H108:N108"/>
    <mergeCell ref="O108:U108"/>
    <mergeCell ref="C101:G101"/>
    <mergeCell ref="H101:N101"/>
    <mergeCell ref="O101:U101"/>
    <mergeCell ref="C102:G102"/>
    <mergeCell ref="H102:N102"/>
    <mergeCell ref="O102:U102"/>
    <mergeCell ref="C103:G103"/>
    <mergeCell ref="H103:N103"/>
    <mergeCell ref="O103:U103"/>
    <mergeCell ref="C98:G98"/>
    <mergeCell ref="H98:N98"/>
    <mergeCell ref="O98:U98"/>
    <mergeCell ref="C99:G99"/>
    <mergeCell ref="H99:N99"/>
    <mergeCell ref="O99:U99"/>
    <mergeCell ref="C100:G100"/>
    <mergeCell ref="H100:N100"/>
    <mergeCell ref="O100:U100"/>
    <mergeCell ref="C95:G95"/>
    <mergeCell ref="H95:N95"/>
    <mergeCell ref="O95:U95"/>
    <mergeCell ref="C96:G96"/>
    <mergeCell ref="H96:N96"/>
    <mergeCell ref="O96:U96"/>
    <mergeCell ref="C97:G97"/>
    <mergeCell ref="H97:N97"/>
    <mergeCell ref="O97:U97"/>
    <mergeCell ref="C89:G89"/>
    <mergeCell ref="H89:N89"/>
    <mergeCell ref="O89:U89"/>
    <mergeCell ref="C90:AF90"/>
    <mergeCell ref="H92:U92"/>
    <mergeCell ref="C93:G93"/>
    <mergeCell ref="O93:U93"/>
    <mergeCell ref="C94:G94"/>
    <mergeCell ref="H94:N94"/>
    <mergeCell ref="O94:U94"/>
    <mergeCell ref="C86:G86"/>
    <mergeCell ref="H86:N86"/>
    <mergeCell ref="O86:U86"/>
    <mergeCell ref="C87:G87"/>
    <mergeCell ref="H87:N87"/>
    <mergeCell ref="O87:U87"/>
    <mergeCell ref="C88:G88"/>
    <mergeCell ref="H88:N88"/>
    <mergeCell ref="O88:U88"/>
    <mergeCell ref="C83:G83"/>
    <mergeCell ref="H83:N83"/>
    <mergeCell ref="O83:U83"/>
    <mergeCell ref="C84:G84"/>
    <mergeCell ref="H84:N84"/>
    <mergeCell ref="O84:U84"/>
    <mergeCell ref="C85:G85"/>
    <mergeCell ref="H85:N85"/>
    <mergeCell ref="O85:U85"/>
    <mergeCell ref="C80:G80"/>
    <mergeCell ref="H80:N80"/>
    <mergeCell ref="O80:U80"/>
    <mergeCell ref="C81:G81"/>
    <mergeCell ref="H81:N81"/>
    <mergeCell ref="O81:U81"/>
    <mergeCell ref="C82:G82"/>
    <mergeCell ref="H82:N82"/>
    <mergeCell ref="O82:U82"/>
    <mergeCell ref="C74:G74"/>
    <mergeCell ref="H74:N74"/>
    <mergeCell ref="O74:U74"/>
    <mergeCell ref="C75:AF75"/>
    <mergeCell ref="H77:U77"/>
    <mergeCell ref="C78:G78"/>
    <mergeCell ref="H78:N78"/>
    <mergeCell ref="O78:U78"/>
    <mergeCell ref="C79:G79"/>
    <mergeCell ref="H79:N79"/>
    <mergeCell ref="O79:U79"/>
    <mergeCell ref="C71:G71"/>
    <mergeCell ref="H71:N71"/>
    <mergeCell ref="O71:U71"/>
    <mergeCell ref="C72:G72"/>
    <mergeCell ref="H72:N72"/>
    <mergeCell ref="O72:U72"/>
    <mergeCell ref="C73:G73"/>
    <mergeCell ref="H73:N73"/>
    <mergeCell ref="O73:U73"/>
    <mergeCell ref="C68:G68"/>
    <mergeCell ref="H68:N68"/>
    <mergeCell ref="O68:U68"/>
    <mergeCell ref="C69:G69"/>
    <mergeCell ref="H69:N69"/>
    <mergeCell ref="O69:U69"/>
    <mergeCell ref="C70:G70"/>
    <mergeCell ref="H70:N70"/>
    <mergeCell ref="O70:U70"/>
    <mergeCell ref="C65:G65"/>
    <mergeCell ref="H65:N65"/>
    <mergeCell ref="O65:U65"/>
    <mergeCell ref="C66:G66"/>
    <mergeCell ref="H66:N66"/>
    <mergeCell ref="O66:U66"/>
    <mergeCell ref="C67:G67"/>
    <mergeCell ref="H67:N67"/>
    <mergeCell ref="O67:U67"/>
    <mergeCell ref="A60:B60"/>
    <mergeCell ref="C60:AF60"/>
    <mergeCell ref="H62:U62"/>
    <mergeCell ref="C63:G63"/>
    <mergeCell ref="H63:N63"/>
    <mergeCell ref="O63:U63"/>
    <mergeCell ref="C64:G64"/>
    <mergeCell ref="H64:N64"/>
    <mergeCell ref="O64:U64"/>
    <mergeCell ref="A58:D58"/>
    <mergeCell ref="E58:P58"/>
    <mergeCell ref="Q58:T58"/>
    <mergeCell ref="U58:V58"/>
    <mergeCell ref="W58:AF58"/>
    <mergeCell ref="A59:D59"/>
    <mergeCell ref="E59:P59"/>
    <mergeCell ref="Q59:T59"/>
    <mergeCell ref="U59:V59"/>
    <mergeCell ref="W59:AF59"/>
    <mergeCell ref="W55:AF55"/>
    <mergeCell ref="E56:P56"/>
    <mergeCell ref="Q56:T56"/>
    <mergeCell ref="W56:AF56"/>
    <mergeCell ref="A57:D57"/>
    <mergeCell ref="E57:P57"/>
    <mergeCell ref="Q57:T57"/>
    <mergeCell ref="U57:V57"/>
    <mergeCell ref="W57:AF57"/>
    <mergeCell ref="A1:AF1"/>
    <mergeCell ref="U55:V55"/>
    <mergeCell ref="U56:V56"/>
    <mergeCell ref="A56:D56"/>
    <mergeCell ref="A55:D55"/>
    <mergeCell ref="E55:P55"/>
    <mergeCell ref="Q55:T55"/>
    <mergeCell ref="U54:V54"/>
    <mergeCell ref="A54:D54"/>
    <mergeCell ref="E54:P54"/>
    <mergeCell ref="Q54:T54"/>
    <mergeCell ref="W54:AF54"/>
    <mergeCell ref="U53:V53"/>
    <mergeCell ref="A53:D53"/>
    <mergeCell ref="E53:P53"/>
    <mergeCell ref="Q53:T53"/>
    <mergeCell ref="W53:AF53"/>
    <mergeCell ref="U52:V52"/>
    <mergeCell ref="A52:D52"/>
    <mergeCell ref="E52:P52"/>
    <mergeCell ref="Q52:T52"/>
    <mergeCell ref="W52:AF52"/>
    <mergeCell ref="U51:V51"/>
    <mergeCell ref="A51:D51"/>
    <mergeCell ref="B19:AF19"/>
    <mergeCell ref="B22:AF22"/>
    <mergeCell ref="A25:AF25"/>
    <mergeCell ref="A3:AF3"/>
    <mergeCell ref="E51:P51"/>
    <mergeCell ref="Q51:T51"/>
    <mergeCell ref="W51:AF51"/>
    <mergeCell ref="U50:V50"/>
    <mergeCell ref="A50:D50"/>
    <mergeCell ref="E50:P50"/>
    <mergeCell ref="Q50:T50"/>
    <mergeCell ref="W50:AF50"/>
    <mergeCell ref="A49:AF49"/>
    <mergeCell ref="B5:AF5"/>
    <mergeCell ref="A7:AF7"/>
    <mergeCell ref="B9:I9"/>
    <mergeCell ref="B10:AF10"/>
    <mergeCell ref="B12:I12"/>
    <mergeCell ref="B13:AF13"/>
    <mergeCell ref="B15:I15"/>
    <mergeCell ref="B16:AF16"/>
    <mergeCell ref="B18:I18"/>
  </mergeCells>
  <dataValidations count="2">
    <dataValidation type="list" allowBlank="1" showInputMessage="1" showErrorMessage="1" sqref="F163" xr:uid="{00000000-0002-0000-4A00-000000000000}">
      <formula1>"ENERGY STAR non-4K, ENERGY STAR 4K"</formula1>
    </dataValidation>
    <dataValidation type="list" allowBlank="1" showInputMessage="1" showErrorMessage="1" sqref="R163:V163" xr:uid="{00000000-0002-0000-4A00-000001000000}">
      <formula1>$C$94:$C$104</formula1>
    </dataValidation>
  </dataValidations>
  <hyperlinks>
    <hyperlink ref="A2" location="TOC!A1" display="Return to TOC" xr:uid="{00000000-0004-0000-4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46" numberStoredAsText="1"/>
  </ignoredError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1">
    <tabColor theme="5" tint="0.79998168889431442"/>
    <pageSetUpPr autoPageBreaks="0"/>
  </sheetPr>
  <dimension ref="A1:AF47"/>
  <sheetViews>
    <sheetView workbookViewId="0">
      <selection sqref="A1:AF1"/>
    </sheetView>
  </sheetViews>
  <sheetFormatPr defaultColWidth="2.7109375" defaultRowHeight="15" x14ac:dyDescent="0.25"/>
  <sheetData>
    <row r="1" spans="1:32" s="1" customFormat="1" ht="18.75" x14ac:dyDescent="0.25">
      <c r="A1" s="1464" t="s">
        <v>1158</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s="1" customFormat="1"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s="1" customFormat="1" x14ac:dyDescent="0.25">
      <c r="A3" s="1472" t="s">
        <v>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row>
    <row r="4" spans="1:32" s="1" customForma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x14ac:dyDescent="0.25">
      <c r="B5" s="1475" t="s">
        <v>10</v>
      </c>
      <c r="C5" s="1475"/>
      <c r="D5" s="1475"/>
      <c r="E5" s="1475"/>
      <c r="F5" s="1475"/>
      <c r="G5" s="1475"/>
      <c r="H5" s="1475"/>
      <c r="I5" s="1475"/>
    </row>
    <row r="6" spans="1:32" s="4" customFormat="1" ht="32.25" customHeight="1" x14ac:dyDescent="0.25">
      <c r="B6" s="1151" t="s">
        <v>1069</v>
      </c>
      <c r="C6" s="1151"/>
      <c r="D6" s="1151"/>
      <c r="E6" s="1151"/>
      <c r="F6" s="1151"/>
      <c r="G6" s="1151"/>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c r="AE6" s="1151"/>
      <c r="AF6" s="1151"/>
    </row>
    <row r="7" spans="1:32" s="1" customFormat="1" x14ac:dyDescent="0.25"/>
    <row r="8" spans="1:32" s="1" customFormat="1" x14ac:dyDescent="0.25">
      <c r="B8" s="1475" t="s">
        <v>11</v>
      </c>
      <c r="C8" s="1475"/>
      <c r="D8" s="1475"/>
      <c r="E8" s="1475"/>
      <c r="F8" s="1475"/>
      <c r="G8" s="1475"/>
      <c r="H8" s="1475"/>
      <c r="I8" s="1475"/>
    </row>
    <row r="9" spans="1:32" s="1" customFormat="1" x14ac:dyDescent="0.25">
      <c r="B9" s="1473" t="s">
        <v>469</v>
      </c>
      <c r="C9" s="1473"/>
      <c r="D9" s="1473"/>
      <c r="E9" s="1473"/>
      <c r="F9" s="1473"/>
      <c r="G9" s="1473"/>
      <c r="H9" s="1473"/>
      <c r="I9" s="1473"/>
      <c r="J9" s="1473"/>
      <c r="K9" s="1473"/>
      <c r="L9" s="1473"/>
      <c r="M9" s="1473"/>
      <c r="N9" s="1473"/>
      <c r="O9" s="1473"/>
      <c r="P9" s="1473"/>
      <c r="Q9" s="1473"/>
      <c r="R9" s="1473"/>
      <c r="S9" s="1473"/>
      <c r="T9" s="1473"/>
      <c r="U9" s="1473"/>
      <c r="V9" s="1473"/>
      <c r="W9" s="1473"/>
      <c r="X9" s="1473"/>
      <c r="Y9" s="1473"/>
      <c r="Z9" s="1473"/>
      <c r="AA9" s="1473"/>
      <c r="AB9" s="1473"/>
      <c r="AC9" s="1473"/>
      <c r="AD9" s="1473"/>
      <c r="AE9" s="1473"/>
      <c r="AF9" s="1473"/>
    </row>
    <row r="10" spans="1:32" s="1" customFormat="1" x14ac:dyDescent="0.25"/>
    <row r="11" spans="1:32" s="1" customFormat="1" x14ac:dyDescent="0.25">
      <c r="B11" s="1475" t="s">
        <v>12</v>
      </c>
      <c r="C11" s="1475"/>
      <c r="D11" s="1475"/>
      <c r="E11" s="1475"/>
      <c r="F11" s="1475"/>
      <c r="G11" s="1475"/>
      <c r="H11" s="1475"/>
      <c r="I11" s="1475"/>
    </row>
    <row r="12" spans="1:32" s="1" customFormat="1" x14ac:dyDescent="0.25">
      <c r="B12" s="1473" t="s">
        <v>1066</v>
      </c>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row>
    <row r="13" spans="1:32" s="1" customFormat="1" x14ac:dyDescent="0.25"/>
    <row r="14" spans="1:32" s="1" customFormat="1" x14ac:dyDescent="0.25">
      <c r="B14" s="1475" t="s">
        <v>13</v>
      </c>
      <c r="C14" s="1475"/>
      <c r="D14" s="1475"/>
      <c r="E14" s="1475"/>
      <c r="F14" s="1475"/>
      <c r="G14" s="1475"/>
      <c r="H14" s="1475"/>
      <c r="I14" s="1475"/>
    </row>
    <row r="15" spans="1:32" s="4" customFormat="1" ht="14.45" customHeight="1" x14ac:dyDescent="0.25">
      <c r="B15" s="1151" t="s">
        <v>1068</v>
      </c>
      <c r="C15" s="1151"/>
      <c r="D15" s="1151"/>
      <c r="E15" s="1151"/>
      <c r="F15" s="1151"/>
      <c r="G15" s="1151"/>
      <c r="H15" s="1151"/>
      <c r="I15" s="1151"/>
      <c r="J15" s="1151"/>
      <c r="K15" s="1151"/>
      <c r="L15" s="1151"/>
      <c r="M15" s="1151"/>
      <c r="N15" s="1151"/>
      <c r="O15" s="1151"/>
      <c r="P15" s="1151"/>
      <c r="Q15" s="1151"/>
      <c r="R15" s="1151"/>
      <c r="S15" s="1151"/>
      <c r="T15" s="1151"/>
      <c r="U15" s="1151"/>
      <c r="V15" s="1151"/>
      <c r="W15" s="1151"/>
      <c r="X15" s="1151"/>
      <c r="Y15" s="1151"/>
      <c r="Z15" s="1151"/>
      <c r="AA15" s="1151"/>
      <c r="AB15" s="1151"/>
      <c r="AC15" s="1151"/>
      <c r="AD15" s="1151"/>
      <c r="AE15" s="1151"/>
      <c r="AF15" s="1151"/>
    </row>
    <row r="16" spans="1:32" s="1" customFormat="1" x14ac:dyDescent="0.25"/>
    <row r="17" spans="1:32" s="1" customFormat="1" x14ac:dyDescent="0.25">
      <c r="B17" s="171" t="s">
        <v>20</v>
      </c>
      <c r="C17" s="171"/>
      <c r="D17" s="171"/>
      <c r="E17" s="171"/>
      <c r="F17" s="171"/>
      <c r="G17" s="171"/>
      <c r="H17" s="171"/>
      <c r="I17" s="171"/>
    </row>
    <row r="18" spans="1:32" s="1" customFormat="1" ht="14.45" customHeight="1" x14ac:dyDescent="0.25">
      <c r="B18" s="1151" t="s">
        <v>1067</v>
      </c>
      <c r="C18" s="1473"/>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row>
    <row r="19" spans="1:32" s="1" customFormat="1" x14ac:dyDescent="0.25"/>
    <row r="20" spans="1:32" s="1" customFormat="1" x14ac:dyDescent="0.25"/>
    <row r="21" spans="1:32" s="1" customFormat="1" x14ac:dyDescent="0.25">
      <c r="A21" s="1472" t="s">
        <v>14</v>
      </c>
      <c r="B21" s="1472"/>
      <c r="C21" s="1472"/>
      <c r="D21" s="1472"/>
      <c r="E21" s="1472"/>
      <c r="F21" s="1472"/>
      <c r="G21" s="1472"/>
      <c r="H21" s="1472"/>
      <c r="I21" s="1472"/>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row>
    <row r="22" spans="1:32" s="1" customFormat="1" x14ac:dyDescent="0.25"/>
    <row r="23" spans="1:32" s="1" customFormat="1" ht="14.45" customHeight="1" x14ac:dyDescent="0.25">
      <c r="A23" s="3271" t="s">
        <v>1070</v>
      </c>
      <c r="B23" s="3271"/>
      <c r="C23" s="3271"/>
      <c r="D23" s="3271"/>
      <c r="E23" s="3271"/>
      <c r="F23" s="3271"/>
      <c r="G23" s="3271"/>
      <c r="H23" s="3271"/>
      <c r="I23" s="3271"/>
      <c r="J23" s="3271"/>
      <c r="K23" s="3273" t="s">
        <v>2178</v>
      </c>
      <c r="L23" s="3273"/>
      <c r="M23" s="3273"/>
      <c r="N23" s="3273"/>
      <c r="O23" s="3273"/>
      <c r="P23" s="3273"/>
      <c r="Q23" s="3273"/>
      <c r="R23" s="3273"/>
      <c r="S23" s="3273"/>
      <c r="T23" s="3273"/>
      <c r="U23" s="3273"/>
      <c r="V23" s="3273"/>
      <c r="W23" s="3273"/>
      <c r="X23" s="3273"/>
      <c r="Y23" s="3273"/>
      <c r="Z23" s="3273"/>
      <c r="AA23" s="3273"/>
      <c r="AB23" s="3273"/>
      <c r="AC23" s="3273"/>
      <c r="AD23" s="3273"/>
      <c r="AE23" s="3273"/>
      <c r="AF23" s="3273"/>
    </row>
    <row r="24" spans="1:32" s="1" customFormat="1" ht="31.9" customHeight="1" x14ac:dyDescent="0.25">
      <c r="A24" s="3272" t="s">
        <v>1071</v>
      </c>
      <c r="B24" s="3272"/>
      <c r="C24" s="3272"/>
      <c r="D24" s="3272"/>
      <c r="E24" s="3272"/>
      <c r="F24" s="3272"/>
      <c r="G24" s="3272"/>
      <c r="H24" s="3272"/>
      <c r="I24" s="3272"/>
      <c r="J24" s="3272"/>
      <c r="K24" s="3274" t="s">
        <v>2179</v>
      </c>
      <c r="L24" s="3274"/>
      <c r="M24" s="3274"/>
      <c r="N24" s="3274"/>
      <c r="O24" s="3274"/>
      <c r="P24" s="3274"/>
      <c r="Q24" s="3274"/>
      <c r="R24" s="3274"/>
      <c r="S24" s="3274"/>
      <c r="T24" s="3274"/>
      <c r="U24" s="3274"/>
      <c r="V24" s="3274"/>
      <c r="W24" s="3274"/>
      <c r="X24" s="3274"/>
      <c r="Y24" s="3274"/>
      <c r="Z24" s="3274"/>
      <c r="AA24" s="3274"/>
      <c r="AB24" s="3274"/>
      <c r="AC24" s="3274"/>
      <c r="AD24" s="3274"/>
      <c r="AE24" s="3274"/>
      <c r="AF24" s="3274"/>
    </row>
    <row r="25" spans="1:32" s="1" customFormat="1" x14ac:dyDescent="0.25"/>
    <row r="26" spans="1:32" s="1" customFormat="1" x14ac:dyDescent="0.25"/>
    <row r="27" spans="1:32" s="1" customFormat="1" x14ac:dyDescent="0.25">
      <c r="A27" s="1472" t="s">
        <v>15</v>
      </c>
      <c r="B27" s="1472"/>
      <c r="C27" s="1472"/>
      <c r="D27" s="1472"/>
      <c r="E27" s="1472"/>
      <c r="F27" s="1472"/>
      <c r="G27" s="1472"/>
      <c r="H27" s="1472"/>
      <c r="I27" s="1472"/>
      <c r="J27" s="1472"/>
      <c r="K27" s="1472"/>
      <c r="L27" s="1472"/>
      <c r="M27" s="1472"/>
      <c r="N27" s="1472"/>
      <c r="O27" s="1472"/>
      <c r="P27" s="1472"/>
      <c r="Q27" s="1472"/>
      <c r="R27" s="1472"/>
      <c r="S27" s="1472"/>
      <c r="T27" s="1472"/>
      <c r="U27" s="1472"/>
      <c r="V27" s="1472"/>
      <c r="W27" s="1472"/>
      <c r="X27" s="1472"/>
      <c r="Y27" s="1472"/>
      <c r="Z27" s="1472"/>
      <c r="AA27" s="1472"/>
      <c r="AB27" s="1472"/>
      <c r="AC27" s="1472"/>
      <c r="AD27" s="1472"/>
      <c r="AE27" s="1472"/>
      <c r="AF27" s="1472"/>
    </row>
    <row r="28" spans="1:32" s="1" customFormat="1" x14ac:dyDescent="0.25">
      <c r="A28" s="1474" t="s">
        <v>16</v>
      </c>
      <c r="B28" s="1474"/>
      <c r="C28" s="1474"/>
      <c r="D28" s="1474"/>
      <c r="E28" s="1474" t="s">
        <v>10</v>
      </c>
      <c r="F28" s="1474"/>
      <c r="G28" s="1474"/>
      <c r="H28" s="1474"/>
      <c r="I28" s="1474"/>
      <c r="J28" s="1474"/>
      <c r="K28" s="1474"/>
      <c r="L28" s="1474"/>
      <c r="M28" s="1474"/>
      <c r="N28" s="1474"/>
      <c r="O28" s="1474"/>
      <c r="P28" s="1474"/>
      <c r="Q28" s="1474" t="s">
        <v>17</v>
      </c>
      <c r="R28" s="1474"/>
      <c r="S28" s="1474"/>
      <c r="T28" s="1474"/>
      <c r="U28" s="1474" t="s">
        <v>18</v>
      </c>
      <c r="V28" s="1474"/>
      <c r="W28" s="1474" t="s">
        <v>19</v>
      </c>
      <c r="X28" s="1474"/>
      <c r="Y28" s="1474"/>
      <c r="Z28" s="1474"/>
      <c r="AA28" s="1474"/>
      <c r="AB28" s="1474"/>
      <c r="AC28" s="1474"/>
      <c r="AD28" s="1474"/>
      <c r="AE28" s="1474"/>
      <c r="AF28" s="1474"/>
    </row>
    <row r="29" spans="1:32" s="1" customFormat="1" ht="44.25" customHeight="1" x14ac:dyDescent="0.25">
      <c r="A29" s="3275" t="s">
        <v>1667</v>
      </c>
      <c r="B29" s="3276" t="s">
        <v>1072</v>
      </c>
      <c r="C29" s="3276" t="s">
        <v>1072</v>
      </c>
      <c r="D29" s="3277" t="s">
        <v>1072</v>
      </c>
      <c r="E29" s="3278" t="s">
        <v>532</v>
      </c>
      <c r="F29" s="3278" t="s">
        <v>532</v>
      </c>
      <c r="G29" s="3278" t="s">
        <v>532</v>
      </c>
      <c r="H29" s="3278" t="s">
        <v>532</v>
      </c>
      <c r="I29" s="3278" t="s">
        <v>532</v>
      </c>
      <c r="J29" s="3278" t="s">
        <v>532</v>
      </c>
      <c r="K29" s="3278" t="s">
        <v>532</v>
      </c>
      <c r="L29" s="3278" t="s">
        <v>532</v>
      </c>
      <c r="M29" s="3278" t="s">
        <v>532</v>
      </c>
      <c r="N29" s="3278" t="s">
        <v>532</v>
      </c>
      <c r="O29" s="3278" t="s">
        <v>532</v>
      </c>
      <c r="P29" s="3278" t="s">
        <v>532</v>
      </c>
      <c r="Q29" s="3279">
        <v>30</v>
      </c>
      <c r="R29" s="3279">
        <v>30</v>
      </c>
      <c r="S29" s="3279">
        <v>30</v>
      </c>
      <c r="T29" s="3279">
        <v>30</v>
      </c>
      <c r="U29" s="3242" t="s">
        <v>291</v>
      </c>
      <c r="V29" s="3242"/>
      <c r="W29" s="3278" t="s">
        <v>1668</v>
      </c>
      <c r="X29" s="3278" t="s">
        <v>533</v>
      </c>
      <c r="Y29" s="3278" t="s">
        <v>533</v>
      </c>
      <c r="Z29" s="3278" t="s">
        <v>533</v>
      </c>
      <c r="AA29" s="3278" t="s">
        <v>533</v>
      </c>
      <c r="AB29" s="3278" t="s">
        <v>533</v>
      </c>
      <c r="AC29" s="3278" t="s">
        <v>533</v>
      </c>
      <c r="AD29" s="3278" t="s">
        <v>533</v>
      </c>
      <c r="AE29" s="3278" t="s">
        <v>533</v>
      </c>
      <c r="AF29" s="3278" t="s">
        <v>533</v>
      </c>
    </row>
    <row r="30" spans="1:32" s="1" customFormat="1" x14ac:dyDescent="0.25">
      <c r="A30" s="3275" t="s">
        <v>1669</v>
      </c>
      <c r="B30" s="3276" t="s">
        <v>1073</v>
      </c>
      <c r="C30" s="3276" t="s">
        <v>1073</v>
      </c>
      <c r="D30" s="3277" t="s">
        <v>1073</v>
      </c>
      <c r="E30" s="3278" t="s">
        <v>534</v>
      </c>
      <c r="F30" s="3278" t="s">
        <v>534</v>
      </c>
      <c r="G30" s="3278" t="s">
        <v>534</v>
      </c>
      <c r="H30" s="3278" t="s">
        <v>534</v>
      </c>
      <c r="I30" s="3278" t="s">
        <v>534</v>
      </c>
      <c r="J30" s="3278" t="s">
        <v>534</v>
      </c>
      <c r="K30" s="3278" t="s">
        <v>534</v>
      </c>
      <c r="L30" s="3278" t="s">
        <v>534</v>
      </c>
      <c r="M30" s="3278" t="s">
        <v>534</v>
      </c>
      <c r="N30" s="3278" t="s">
        <v>534</v>
      </c>
      <c r="O30" s="3278" t="s">
        <v>534</v>
      </c>
      <c r="P30" s="3278" t="s">
        <v>534</v>
      </c>
      <c r="Q30" s="3279">
        <v>12</v>
      </c>
      <c r="R30" s="3279">
        <v>12</v>
      </c>
      <c r="S30" s="3279">
        <v>12</v>
      </c>
      <c r="T30" s="3279">
        <v>12</v>
      </c>
      <c r="U30" s="3242" t="s">
        <v>291</v>
      </c>
      <c r="V30" s="3242"/>
      <c r="W30" s="3278"/>
      <c r="X30" s="3278"/>
      <c r="Y30" s="3278"/>
      <c r="Z30" s="3278"/>
      <c r="AA30" s="3278"/>
      <c r="AB30" s="3278"/>
      <c r="AC30" s="3278"/>
      <c r="AD30" s="3278"/>
      <c r="AE30" s="3278"/>
      <c r="AF30" s="3278"/>
    </row>
    <row r="31" spans="1:32" s="1" customFormat="1" x14ac:dyDescent="0.25">
      <c r="A31" s="3275" t="s">
        <v>1670</v>
      </c>
      <c r="B31" s="3276" t="s">
        <v>1074</v>
      </c>
      <c r="C31" s="3276" t="s">
        <v>1074</v>
      </c>
      <c r="D31" s="3277" t="s">
        <v>1074</v>
      </c>
      <c r="E31" s="3278" t="s">
        <v>535</v>
      </c>
      <c r="F31" s="3278" t="s">
        <v>535</v>
      </c>
      <c r="G31" s="3278" t="s">
        <v>535</v>
      </c>
      <c r="H31" s="3278" t="s">
        <v>535</v>
      </c>
      <c r="I31" s="3278" t="s">
        <v>535</v>
      </c>
      <c r="J31" s="3278" t="s">
        <v>535</v>
      </c>
      <c r="K31" s="3278" t="s">
        <v>535</v>
      </c>
      <c r="L31" s="3278" t="s">
        <v>535</v>
      </c>
      <c r="M31" s="3278" t="s">
        <v>535</v>
      </c>
      <c r="N31" s="3278" t="s">
        <v>535</v>
      </c>
      <c r="O31" s="3278" t="s">
        <v>535</v>
      </c>
      <c r="P31" s="3278" t="s">
        <v>535</v>
      </c>
      <c r="Q31" s="3279">
        <v>4</v>
      </c>
      <c r="R31" s="3279">
        <v>4</v>
      </c>
      <c r="S31" s="3279">
        <v>4</v>
      </c>
      <c r="T31" s="3279">
        <v>4</v>
      </c>
      <c r="U31" s="3242" t="s">
        <v>291</v>
      </c>
      <c r="V31" s="3242"/>
      <c r="W31" s="3278"/>
      <c r="X31" s="3278"/>
      <c r="Y31" s="3278"/>
      <c r="Z31" s="3278"/>
      <c r="AA31" s="3278"/>
      <c r="AB31" s="3278"/>
      <c r="AC31" s="3278"/>
      <c r="AD31" s="3278"/>
      <c r="AE31" s="3278"/>
      <c r="AF31" s="3278"/>
    </row>
    <row r="32" spans="1:32" s="1" customFormat="1" ht="47.25" customHeight="1" x14ac:dyDescent="0.25">
      <c r="A32" s="3275" t="s">
        <v>1671</v>
      </c>
      <c r="B32" s="3276" t="s">
        <v>1075</v>
      </c>
      <c r="C32" s="3276" t="s">
        <v>1075</v>
      </c>
      <c r="D32" s="3277" t="s">
        <v>1075</v>
      </c>
      <c r="E32" s="3278" t="s">
        <v>536</v>
      </c>
      <c r="F32" s="3278" t="s">
        <v>536</v>
      </c>
      <c r="G32" s="3278" t="s">
        <v>536</v>
      </c>
      <c r="H32" s="3278" t="s">
        <v>536</v>
      </c>
      <c r="I32" s="3278" t="s">
        <v>536</v>
      </c>
      <c r="J32" s="3278" t="s">
        <v>536</v>
      </c>
      <c r="K32" s="3278" t="s">
        <v>536</v>
      </c>
      <c r="L32" s="3278" t="s">
        <v>536</v>
      </c>
      <c r="M32" s="3278" t="s">
        <v>536</v>
      </c>
      <c r="N32" s="3278" t="s">
        <v>536</v>
      </c>
      <c r="O32" s="3278" t="s">
        <v>536</v>
      </c>
      <c r="P32" s="3278" t="s">
        <v>536</v>
      </c>
      <c r="Q32" s="3280">
        <v>20.2</v>
      </c>
      <c r="R32" s="3280">
        <v>20.2</v>
      </c>
      <c r="S32" s="3280">
        <v>20.2</v>
      </c>
      <c r="T32" s="3280">
        <v>20.2</v>
      </c>
      <c r="U32" s="3242" t="s">
        <v>291</v>
      </c>
      <c r="V32" s="3242"/>
      <c r="W32" s="3278" t="s">
        <v>3069</v>
      </c>
      <c r="X32" s="3278" t="s">
        <v>537</v>
      </c>
      <c r="Y32" s="3278" t="s">
        <v>537</v>
      </c>
      <c r="Z32" s="3278" t="s">
        <v>537</v>
      </c>
      <c r="AA32" s="3278" t="s">
        <v>537</v>
      </c>
      <c r="AB32" s="3278" t="s">
        <v>537</v>
      </c>
      <c r="AC32" s="3278" t="s">
        <v>537</v>
      </c>
      <c r="AD32" s="3278" t="s">
        <v>537</v>
      </c>
      <c r="AE32" s="3278" t="s">
        <v>537</v>
      </c>
      <c r="AF32" s="3278" t="s">
        <v>537</v>
      </c>
    </row>
    <row r="33" spans="1:32" s="1" customFormat="1" x14ac:dyDescent="0.25">
      <c r="A33" s="3275" t="s">
        <v>1672</v>
      </c>
      <c r="B33" s="3276" t="s">
        <v>1076</v>
      </c>
      <c r="C33" s="3276" t="s">
        <v>1076</v>
      </c>
      <c r="D33" s="3277" t="s">
        <v>1076</v>
      </c>
      <c r="E33" s="3278" t="s">
        <v>538</v>
      </c>
      <c r="F33" s="3278" t="s">
        <v>538</v>
      </c>
      <c r="G33" s="3278" t="s">
        <v>538</v>
      </c>
      <c r="H33" s="3278" t="s">
        <v>538</v>
      </c>
      <c r="I33" s="3278" t="s">
        <v>538</v>
      </c>
      <c r="J33" s="3278" t="s">
        <v>538</v>
      </c>
      <c r="K33" s="3278" t="s">
        <v>538</v>
      </c>
      <c r="L33" s="3278" t="s">
        <v>538</v>
      </c>
      <c r="M33" s="3278" t="s">
        <v>538</v>
      </c>
      <c r="N33" s="3278" t="s">
        <v>538</v>
      </c>
      <c r="O33" s="3278" t="s">
        <v>538</v>
      </c>
      <c r="P33" s="3278" t="s">
        <v>538</v>
      </c>
      <c r="Q33" s="3280">
        <v>3.5</v>
      </c>
      <c r="R33" s="3280">
        <v>3.5</v>
      </c>
      <c r="S33" s="3280">
        <v>3.5</v>
      </c>
      <c r="T33" s="3280">
        <v>3.5</v>
      </c>
      <c r="U33" s="3242" t="s">
        <v>291</v>
      </c>
      <c r="V33" s="3242"/>
      <c r="W33" s="3278"/>
      <c r="X33" s="3278"/>
      <c r="Y33" s="3278"/>
      <c r="Z33" s="3278"/>
      <c r="AA33" s="3278"/>
      <c r="AB33" s="3278"/>
      <c r="AC33" s="3278"/>
      <c r="AD33" s="3278"/>
      <c r="AE33" s="3278"/>
      <c r="AF33" s="3278"/>
    </row>
    <row r="34" spans="1:32" s="1" customFormat="1" x14ac:dyDescent="0.25">
      <c r="A34" s="3275" t="s">
        <v>1673</v>
      </c>
      <c r="B34" s="3276" t="s">
        <v>1077</v>
      </c>
      <c r="C34" s="3276" t="s">
        <v>1077</v>
      </c>
      <c r="D34" s="3277" t="s">
        <v>1077</v>
      </c>
      <c r="E34" s="3278" t="s">
        <v>539</v>
      </c>
      <c r="F34" s="3278" t="s">
        <v>539</v>
      </c>
      <c r="G34" s="3278" t="s">
        <v>539</v>
      </c>
      <c r="H34" s="3278" t="s">
        <v>539</v>
      </c>
      <c r="I34" s="3278" t="s">
        <v>539</v>
      </c>
      <c r="J34" s="3278" t="s">
        <v>539</v>
      </c>
      <c r="K34" s="3278" t="s">
        <v>539</v>
      </c>
      <c r="L34" s="3278" t="s">
        <v>539</v>
      </c>
      <c r="M34" s="3278" t="s">
        <v>539</v>
      </c>
      <c r="N34" s="3278" t="s">
        <v>539</v>
      </c>
      <c r="O34" s="3278" t="s">
        <v>539</v>
      </c>
      <c r="P34" s="3278" t="s">
        <v>539</v>
      </c>
      <c r="Q34" s="3280">
        <v>0.5</v>
      </c>
      <c r="R34" s="3280">
        <v>0.5</v>
      </c>
      <c r="S34" s="3280">
        <v>0.5</v>
      </c>
      <c r="T34" s="3280">
        <v>0.5</v>
      </c>
      <c r="U34" s="3242" t="s">
        <v>291</v>
      </c>
      <c r="V34" s="3242"/>
      <c r="W34" s="3278"/>
      <c r="X34" s="3278"/>
      <c r="Y34" s="3278"/>
      <c r="Z34" s="3278"/>
      <c r="AA34" s="3278"/>
      <c r="AB34" s="3278"/>
      <c r="AC34" s="3278"/>
      <c r="AD34" s="3278"/>
      <c r="AE34" s="3278"/>
      <c r="AF34" s="3278"/>
    </row>
    <row r="35" spans="1:32" s="1" customFormat="1" ht="45.75" customHeight="1" x14ac:dyDescent="0.25">
      <c r="A35" s="3275" t="s">
        <v>1674</v>
      </c>
      <c r="B35" s="3276" t="s">
        <v>540</v>
      </c>
      <c r="C35" s="3276" t="s">
        <v>540</v>
      </c>
      <c r="D35" s="3277" t="s">
        <v>540</v>
      </c>
      <c r="E35" s="3278" t="s">
        <v>541</v>
      </c>
      <c r="F35" s="3278" t="s">
        <v>541</v>
      </c>
      <c r="G35" s="3278" t="s">
        <v>541</v>
      </c>
      <c r="H35" s="3278" t="s">
        <v>541</v>
      </c>
      <c r="I35" s="3278" t="s">
        <v>541</v>
      </c>
      <c r="J35" s="3278" t="s">
        <v>541</v>
      </c>
      <c r="K35" s="3278" t="s">
        <v>541</v>
      </c>
      <c r="L35" s="3278" t="s">
        <v>541</v>
      </c>
      <c r="M35" s="3278" t="s">
        <v>541</v>
      </c>
      <c r="N35" s="3278" t="s">
        <v>541</v>
      </c>
      <c r="O35" s="3278" t="s">
        <v>541</v>
      </c>
      <c r="P35" s="3278" t="s">
        <v>541</v>
      </c>
      <c r="Q35" s="3281">
        <v>1580</v>
      </c>
      <c r="R35" s="3281">
        <v>1580</v>
      </c>
      <c r="S35" s="3281">
        <v>1580</v>
      </c>
      <c r="T35" s="3281">
        <v>1580</v>
      </c>
      <c r="U35" s="3242" t="s">
        <v>45</v>
      </c>
      <c r="V35" s="3242"/>
      <c r="W35" s="3278" t="s">
        <v>1675</v>
      </c>
      <c r="X35" s="3278" t="s">
        <v>533</v>
      </c>
      <c r="Y35" s="3278" t="s">
        <v>533</v>
      </c>
      <c r="Z35" s="3278" t="s">
        <v>533</v>
      </c>
      <c r="AA35" s="3278" t="s">
        <v>533</v>
      </c>
      <c r="AB35" s="3278" t="s">
        <v>533</v>
      </c>
      <c r="AC35" s="3278" t="s">
        <v>533</v>
      </c>
      <c r="AD35" s="3278" t="s">
        <v>533</v>
      </c>
      <c r="AE35" s="3278" t="s">
        <v>533</v>
      </c>
      <c r="AF35" s="3278" t="s">
        <v>533</v>
      </c>
    </row>
    <row r="36" spans="1:32" s="1" customFormat="1" x14ac:dyDescent="0.25">
      <c r="A36" s="3234" t="s">
        <v>1676</v>
      </c>
      <c r="B36" s="3235"/>
      <c r="C36" s="3235"/>
      <c r="D36" s="3236"/>
      <c r="E36" s="3278" t="s">
        <v>542</v>
      </c>
      <c r="F36" s="3278" t="s">
        <v>542</v>
      </c>
      <c r="G36" s="3278" t="s">
        <v>542</v>
      </c>
      <c r="H36" s="3278" t="s">
        <v>542</v>
      </c>
      <c r="I36" s="3278" t="s">
        <v>542</v>
      </c>
      <c r="J36" s="3278" t="s">
        <v>542</v>
      </c>
      <c r="K36" s="3278" t="s">
        <v>542</v>
      </c>
      <c r="L36" s="3278" t="s">
        <v>542</v>
      </c>
      <c r="M36" s="3278" t="s">
        <v>542</v>
      </c>
      <c r="N36" s="3278" t="s">
        <v>542</v>
      </c>
      <c r="O36" s="3278" t="s">
        <v>542</v>
      </c>
      <c r="P36" s="3278" t="s">
        <v>542</v>
      </c>
      <c r="Q36" s="3281">
        <v>730</v>
      </c>
      <c r="R36" s="3281">
        <v>730</v>
      </c>
      <c r="S36" s="3281">
        <v>730</v>
      </c>
      <c r="T36" s="3281">
        <v>730</v>
      </c>
      <c r="U36" s="3242" t="s">
        <v>45</v>
      </c>
      <c r="V36" s="3242"/>
      <c r="W36" s="3278"/>
      <c r="X36" s="3278"/>
      <c r="Y36" s="3278"/>
      <c r="Z36" s="3278"/>
      <c r="AA36" s="3278"/>
      <c r="AB36" s="3278"/>
      <c r="AC36" s="3278"/>
      <c r="AD36" s="3278"/>
      <c r="AE36" s="3278"/>
      <c r="AF36" s="3278"/>
    </row>
    <row r="37" spans="1:32" s="1" customFormat="1" x14ac:dyDescent="0.25">
      <c r="A37" s="3234" t="s">
        <v>1677</v>
      </c>
      <c r="B37" s="3235" t="s">
        <v>543</v>
      </c>
      <c r="C37" s="3235" t="s">
        <v>543</v>
      </c>
      <c r="D37" s="3236" t="s">
        <v>543</v>
      </c>
      <c r="E37" s="3278" t="s">
        <v>544</v>
      </c>
      <c r="F37" s="3278" t="s">
        <v>544</v>
      </c>
      <c r="G37" s="3278" t="s">
        <v>544</v>
      </c>
      <c r="H37" s="3278" t="s">
        <v>544</v>
      </c>
      <c r="I37" s="3278" t="s">
        <v>544</v>
      </c>
      <c r="J37" s="3278" t="s">
        <v>544</v>
      </c>
      <c r="K37" s="3278" t="s">
        <v>544</v>
      </c>
      <c r="L37" s="3278" t="s">
        <v>544</v>
      </c>
      <c r="M37" s="3278" t="s">
        <v>544</v>
      </c>
      <c r="N37" s="3278" t="s">
        <v>544</v>
      </c>
      <c r="O37" s="3278" t="s">
        <v>544</v>
      </c>
      <c r="P37" s="3278" t="s">
        <v>544</v>
      </c>
      <c r="Q37" s="3281">
        <v>6450</v>
      </c>
      <c r="R37" s="3281">
        <v>6450</v>
      </c>
      <c r="S37" s="3281">
        <v>6450</v>
      </c>
      <c r="T37" s="3281">
        <v>6450</v>
      </c>
      <c r="U37" s="3242" t="s">
        <v>45</v>
      </c>
      <c r="V37" s="3242"/>
      <c r="W37" s="3278"/>
      <c r="X37" s="3278"/>
      <c r="Y37" s="3278"/>
      <c r="Z37" s="3278"/>
      <c r="AA37" s="3278"/>
      <c r="AB37" s="3278"/>
      <c r="AC37" s="3278"/>
      <c r="AD37" s="3278"/>
      <c r="AE37" s="3278"/>
      <c r="AF37" s="3278"/>
    </row>
    <row r="38" spans="1:32" s="1" customFormat="1" ht="57.6" customHeight="1" x14ac:dyDescent="0.25">
      <c r="A38" s="3234" t="s">
        <v>545</v>
      </c>
      <c r="B38" s="3235" t="s">
        <v>545</v>
      </c>
      <c r="C38" s="3235" t="s">
        <v>545</v>
      </c>
      <c r="D38" s="3236" t="s">
        <v>545</v>
      </c>
      <c r="E38" s="3278" t="s">
        <v>104</v>
      </c>
      <c r="F38" s="3278" t="s">
        <v>546</v>
      </c>
      <c r="G38" s="3278" t="s">
        <v>546</v>
      </c>
      <c r="H38" s="3278" t="s">
        <v>546</v>
      </c>
      <c r="I38" s="3278" t="s">
        <v>546</v>
      </c>
      <c r="J38" s="3278" t="s">
        <v>546</v>
      </c>
      <c r="K38" s="3278" t="s">
        <v>546</v>
      </c>
      <c r="L38" s="3278" t="s">
        <v>546</v>
      </c>
      <c r="M38" s="3278" t="s">
        <v>546</v>
      </c>
      <c r="N38" s="3278" t="s">
        <v>546</v>
      </c>
      <c r="O38" s="3278" t="s">
        <v>546</v>
      </c>
      <c r="P38" s="3278" t="s">
        <v>546</v>
      </c>
      <c r="Q38" s="3282">
        <v>0.22</v>
      </c>
      <c r="R38" s="3282">
        <v>0.22</v>
      </c>
      <c r="S38" s="3282">
        <v>0.22</v>
      </c>
      <c r="T38" s="3282">
        <v>0.22</v>
      </c>
      <c r="U38" s="3242" t="s">
        <v>28</v>
      </c>
      <c r="V38" s="3242"/>
      <c r="W38" s="3278" t="s">
        <v>547</v>
      </c>
      <c r="X38" s="3278" t="s">
        <v>547</v>
      </c>
      <c r="Y38" s="3278" t="s">
        <v>547</v>
      </c>
      <c r="Z38" s="3278" t="s">
        <v>547</v>
      </c>
      <c r="AA38" s="3278" t="s">
        <v>547</v>
      </c>
      <c r="AB38" s="3278" t="s">
        <v>547</v>
      </c>
      <c r="AC38" s="3278" t="s">
        <v>547</v>
      </c>
      <c r="AD38" s="3278" t="s">
        <v>547</v>
      </c>
      <c r="AE38" s="3278" t="s">
        <v>547</v>
      </c>
      <c r="AF38" s="3278" t="s">
        <v>547</v>
      </c>
    </row>
    <row r="39" spans="1:32" s="1" customFormat="1" x14ac:dyDescent="0.25">
      <c r="A39" s="3234" t="s">
        <v>42</v>
      </c>
      <c r="B39" s="3235" t="s">
        <v>42</v>
      </c>
      <c r="C39" s="3235" t="s">
        <v>42</v>
      </c>
      <c r="D39" s="3236" t="s">
        <v>42</v>
      </c>
      <c r="E39" s="3278" t="s">
        <v>865</v>
      </c>
      <c r="F39" s="3278" t="s">
        <v>548</v>
      </c>
      <c r="G39" s="3278" t="s">
        <v>548</v>
      </c>
      <c r="H39" s="3278" t="s">
        <v>548</v>
      </c>
      <c r="I39" s="3278" t="s">
        <v>548</v>
      </c>
      <c r="J39" s="3278" t="s">
        <v>548</v>
      </c>
      <c r="K39" s="3278" t="s">
        <v>548</v>
      </c>
      <c r="L39" s="3278" t="s">
        <v>548</v>
      </c>
      <c r="M39" s="3278" t="s">
        <v>548</v>
      </c>
      <c r="N39" s="3278" t="s">
        <v>548</v>
      </c>
      <c r="O39" s="3278" t="s">
        <v>548</v>
      </c>
      <c r="P39" s="3278" t="s">
        <v>548</v>
      </c>
      <c r="Q39" s="3284">
        <v>1</v>
      </c>
      <c r="R39" s="3284">
        <v>1</v>
      </c>
      <c r="S39" s="3284">
        <v>1</v>
      </c>
      <c r="T39" s="3284">
        <v>1</v>
      </c>
      <c r="U39" s="3242" t="s">
        <v>28</v>
      </c>
      <c r="V39" s="3242"/>
      <c r="W39" s="3278"/>
      <c r="X39" s="3278"/>
      <c r="Y39" s="3278"/>
      <c r="Z39" s="3278"/>
      <c r="AA39" s="3278"/>
      <c r="AB39" s="3278"/>
      <c r="AC39" s="3278"/>
      <c r="AD39" s="3278"/>
      <c r="AE39" s="3278"/>
      <c r="AF39" s="3278"/>
    </row>
    <row r="40" spans="1:32" s="1" customFormat="1" ht="45.75" customHeight="1" x14ac:dyDescent="0.25">
      <c r="A40" s="3234" t="s">
        <v>34</v>
      </c>
      <c r="B40" s="3235" t="s">
        <v>549</v>
      </c>
      <c r="C40" s="3235" t="s">
        <v>549</v>
      </c>
      <c r="D40" s="3236" t="s">
        <v>549</v>
      </c>
      <c r="E40" s="3278" t="s">
        <v>35</v>
      </c>
      <c r="F40" s="3278" t="s">
        <v>550</v>
      </c>
      <c r="G40" s="3278" t="s">
        <v>550</v>
      </c>
      <c r="H40" s="3278" t="s">
        <v>550</v>
      </c>
      <c r="I40" s="3278" t="s">
        <v>550</v>
      </c>
      <c r="J40" s="3278" t="s">
        <v>550</v>
      </c>
      <c r="K40" s="3278" t="s">
        <v>550</v>
      </c>
      <c r="L40" s="3278" t="s">
        <v>550</v>
      </c>
      <c r="M40" s="3278" t="s">
        <v>550</v>
      </c>
      <c r="N40" s="3278" t="s">
        <v>550</v>
      </c>
      <c r="O40" s="3278" t="s">
        <v>550</v>
      </c>
      <c r="P40" s="3278" t="s">
        <v>550</v>
      </c>
      <c r="Q40" s="3242">
        <f>'Master EUL'!X39</f>
        <v>4</v>
      </c>
      <c r="R40" s="3242">
        <v>7</v>
      </c>
      <c r="S40" s="3242">
        <v>7</v>
      </c>
      <c r="T40" s="3242">
        <v>7</v>
      </c>
      <c r="U40" s="3242" t="s">
        <v>46</v>
      </c>
      <c r="V40" s="3242"/>
      <c r="W40" s="3278" t="s">
        <v>3070</v>
      </c>
      <c r="X40" s="3278" t="s">
        <v>551</v>
      </c>
      <c r="Y40" s="3278" t="s">
        <v>551</v>
      </c>
      <c r="Z40" s="3278" t="s">
        <v>551</v>
      </c>
      <c r="AA40" s="3278" t="s">
        <v>551</v>
      </c>
      <c r="AB40" s="3278" t="s">
        <v>551</v>
      </c>
      <c r="AC40" s="3278" t="s">
        <v>551</v>
      </c>
      <c r="AD40" s="3278" t="s">
        <v>551</v>
      </c>
      <c r="AE40" s="3278" t="s">
        <v>551</v>
      </c>
      <c r="AF40" s="3278" t="s">
        <v>551</v>
      </c>
    </row>
    <row r="41" spans="1:32" ht="45.95" customHeight="1" x14ac:dyDescent="0.25">
      <c r="A41" s="2438" t="s">
        <v>1048</v>
      </c>
      <c r="B41" s="2438"/>
      <c r="C41" s="3283" t="s">
        <v>1078</v>
      </c>
      <c r="D41" s="3283"/>
      <c r="E41" s="3283"/>
      <c r="F41" s="3283"/>
      <c r="G41" s="3283"/>
      <c r="H41" s="3283"/>
      <c r="I41" s="3283"/>
      <c r="J41" s="3283"/>
      <c r="K41" s="3283"/>
      <c r="L41" s="3283"/>
      <c r="M41" s="3283"/>
      <c r="N41" s="3283"/>
      <c r="O41" s="3283"/>
      <c r="P41" s="3283"/>
      <c r="Q41" s="3283"/>
      <c r="R41" s="3283"/>
      <c r="S41" s="3283"/>
      <c r="T41" s="3283"/>
      <c r="U41" s="3283"/>
      <c r="V41" s="3283"/>
      <c r="W41" s="3283"/>
      <c r="X41" s="3283"/>
      <c r="Y41" s="3283"/>
      <c r="Z41" s="3283"/>
      <c r="AA41" s="3283"/>
      <c r="AB41" s="3283"/>
      <c r="AC41" s="3283"/>
      <c r="AD41" s="3283"/>
      <c r="AE41" s="3283"/>
      <c r="AF41" s="3283"/>
    </row>
    <row r="42" spans="1:32" ht="14.45" customHeight="1" x14ac:dyDescent="0.3">
      <c r="A42" s="24"/>
    </row>
    <row r="43" spans="1:32" ht="14.45" customHeight="1" x14ac:dyDescent="0.25">
      <c r="A43" s="147"/>
    </row>
    <row r="44" spans="1:32" s="1" customFormat="1" x14ac:dyDescent="0.25">
      <c r="A44" s="1472" t="s">
        <v>21</v>
      </c>
      <c r="B44" s="1472"/>
      <c r="C44" s="1472"/>
      <c r="D44" s="1472"/>
      <c r="E44" s="1472"/>
      <c r="F44" s="1472"/>
      <c r="G44" s="1472"/>
      <c r="H44" s="1472"/>
      <c r="I44" s="1472"/>
      <c r="J44" s="1472"/>
      <c r="K44" s="1472"/>
      <c r="L44" s="1472"/>
      <c r="M44" s="1472"/>
      <c r="N44" s="1472"/>
      <c r="O44" s="1472"/>
      <c r="P44" s="1472"/>
      <c r="Q44" s="1472"/>
      <c r="R44" s="1472"/>
      <c r="S44" s="1472"/>
      <c r="T44" s="1472"/>
      <c r="U44" s="1472"/>
      <c r="V44" s="1472"/>
      <c r="W44" s="1472"/>
      <c r="X44" s="1472"/>
      <c r="Y44" s="1472"/>
      <c r="Z44" s="1472"/>
      <c r="AA44" s="1472"/>
      <c r="AB44" s="1472"/>
      <c r="AC44" s="1472"/>
      <c r="AD44" s="1472"/>
      <c r="AE44" s="1472"/>
      <c r="AF44" s="1472"/>
    </row>
    <row r="45" spans="1:32" s="1" customFormat="1" ht="15.75" thickBot="1" x14ac:dyDescent="0.3">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x14ac:dyDescent="0.25">
      <c r="A46" s="1583" t="s">
        <v>22</v>
      </c>
      <c r="B46" s="1584"/>
      <c r="C46" s="1584"/>
      <c r="D46" s="1584"/>
      <c r="E46" s="1584"/>
      <c r="F46" s="1584"/>
      <c r="G46" s="1584"/>
      <c r="H46" s="1584"/>
      <c r="I46" s="1584" t="s">
        <v>23</v>
      </c>
      <c r="J46" s="1584"/>
      <c r="K46" s="1584"/>
      <c r="L46" s="1584"/>
      <c r="M46" s="1584"/>
      <c r="N46" s="1584"/>
      <c r="O46" s="1584"/>
      <c r="P46" s="1584"/>
      <c r="Q46" s="1584" t="s">
        <v>24</v>
      </c>
      <c r="R46" s="1584"/>
      <c r="S46" s="1584"/>
      <c r="T46" s="1584"/>
      <c r="U46" s="1584"/>
      <c r="V46" s="1584"/>
      <c r="W46" s="1584"/>
      <c r="X46" s="1585"/>
    </row>
    <row r="47" spans="1:32" ht="15.75" thickBot="1" x14ac:dyDescent="0.3">
      <c r="A47" s="1578" t="s">
        <v>1332</v>
      </c>
      <c r="B47" s="1579"/>
      <c r="C47" s="1579"/>
      <c r="D47" s="1579"/>
      <c r="E47" s="1579"/>
      <c r="F47" s="1579"/>
      <c r="G47" s="1579"/>
      <c r="H47" s="1579"/>
      <c r="I47" s="3153">
        <f>ROUND(Q39*((Q29-Q32)/1000)*Q38,3)</f>
        <v>2E-3</v>
      </c>
      <c r="J47" s="3153"/>
      <c r="K47" s="3153"/>
      <c r="L47" s="3153"/>
      <c r="M47" s="3153"/>
      <c r="N47" s="3153"/>
      <c r="O47" s="3153"/>
      <c r="P47" s="3153"/>
      <c r="Q47" s="3154">
        <f>ROUND((((Q29-Q32)*Q35)+((Q30-Q33)*Q36)+((Q31-Q34)*Q37))/1000,2)</f>
        <v>44.26</v>
      </c>
      <c r="R47" s="3154"/>
      <c r="S47" s="3154"/>
      <c r="T47" s="3154"/>
      <c r="U47" s="3154"/>
      <c r="V47" s="3154"/>
      <c r="W47" s="3154"/>
      <c r="X47" s="3270"/>
    </row>
  </sheetData>
  <sheetProtection algorithmName="SHA-512" hashValue="yQ5hjqgGgK5zXlYVZoihiKWoWhm+kSgKOyeZDnL5KX295ocG4F/5zpalR/kw2+yuAEkYff1sw4nvoaTslf6CbA==" saltValue="gvY7X6/87CQxmKQEGbA6Xg==" spinCount="100000" sheet="1" objects="1" scenarios="1"/>
  <mergeCells count="91">
    <mergeCell ref="A1:AF1"/>
    <mergeCell ref="A44:AF44"/>
    <mergeCell ref="A41:B41"/>
    <mergeCell ref="C41:AF41"/>
    <mergeCell ref="A40:D40"/>
    <mergeCell ref="E40:P40"/>
    <mergeCell ref="Q40:T40"/>
    <mergeCell ref="U40:V40"/>
    <mergeCell ref="W40:AF40"/>
    <mergeCell ref="A39:D39"/>
    <mergeCell ref="E39:P39"/>
    <mergeCell ref="Q39:T39"/>
    <mergeCell ref="U39:V39"/>
    <mergeCell ref="W39:AF39"/>
    <mergeCell ref="A38:D38"/>
    <mergeCell ref="E38:P38"/>
    <mergeCell ref="Q38:T38"/>
    <mergeCell ref="U38:V38"/>
    <mergeCell ref="W38:AF38"/>
    <mergeCell ref="A37:D37"/>
    <mergeCell ref="E37:P37"/>
    <mergeCell ref="Q37:T37"/>
    <mergeCell ref="U37:V37"/>
    <mergeCell ref="W37:AF37"/>
    <mergeCell ref="A36:D36"/>
    <mergeCell ref="E36:P36"/>
    <mergeCell ref="Q36:T36"/>
    <mergeCell ref="U36:V36"/>
    <mergeCell ref="W36:AF36"/>
    <mergeCell ref="A35:D35"/>
    <mergeCell ref="E35:P35"/>
    <mergeCell ref="Q35:T35"/>
    <mergeCell ref="U35:V35"/>
    <mergeCell ref="W35:AF35"/>
    <mergeCell ref="A34:D34"/>
    <mergeCell ref="E34:P34"/>
    <mergeCell ref="Q34:T34"/>
    <mergeCell ref="U34:V34"/>
    <mergeCell ref="W34:AF34"/>
    <mergeCell ref="A33:D33"/>
    <mergeCell ref="E33:P33"/>
    <mergeCell ref="Q33:T33"/>
    <mergeCell ref="U33:V33"/>
    <mergeCell ref="W33:AF33"/>
    <mergeCell ref="A32:D32"/>
    <mergeCell ref="E32:P32"/>
    <mergeCell ref="Q32:T32"/>
    <mergeCell ref="U32:V32"/>
    <mergeCell ref="W32:AF32"/>
    <mergeCell ref="A31:D31"/>
    <mergeCell ref="E31:P31"/>
    <mergeCell ref="Q31:T31"/>
    <mergeCell ref="U31:V31"/>
    <mergeCell ref="W31:AF31"/>
    <mergeCell ref="A30:D30"/>
    <mergeCell ref="E30:P30"/>
    <mergeCell ref="Q30:T30"/>
    <mergeCell ref="U30:V30"/>
    <mergeCell ref="W30:AF30"/>
    <mergeCell ref="A29:D29"/>
    <mergeCell ref="E29:P29"/>
    <mergeCell ref="Q29:T29"/>
    <mergeCell ref="U29:V29"/>
    <mergeCell ref="W29:AF29"/>
    <mergeCell ref="A28:D28"/>
    <mergeCell ref="E28:P28"/>
    <mergeCell ref="Q28:T28"/>
    <mergeCell ref="U28:V28"/>
    <mergeCell ref="W28:AF28"/>
    <mergeCell ref="B18:AF18"/>
    <mergeCell ref="A21:AF21"/>
    <mergeCell ref="A27:AF27"/>
    <mergeCell ref="A23:J23"/>
    <mergeCell ref="A24:J24"/>
    <mergeCell ref="K23:AF23"/>
    <mergeCell ref="K24:AF24"/>
    <mergeCell ref="B11:I11"/>
    <mergeCell ref="B12:AF12"/>
    <mergeCell ref="B14:I14"/>
    <mergeCell ref="B15:AF15"/>
    <mergeCell ref="A3:AF3"/>
    <mergeCell ref="B5:I5"/>
    <mergeCell ref="B6:AF6"/>
    <mergeCell ref="B8:I8"/>
    <mergeCell ref="B9:AF9"/>
    <mergeCell ref="A46:H46"/>
    <mergeCell ref="I46:P46"/>
    <mergeCell ref="Q46:X46"/>
    <mergeCell ref="A47:H47"/>
    <mergeCell ref="I47:P47"/>
    <mergeCell ref="Q47:X47"/>
  </mergeCells>
  <hyperlinks>
    <hyperlink ref="A2" location="TOC!A1" display="Return to TOC" xr:uid="{00000000-0004-0000-4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42">
    <tabColor theme="7" tint="0.79998168889431442"/>
    <pageSetUpPr autoPageBreaks="0"/>
  </sheetPr>
  <dimension ref="A1:BT103"/>
  <sheetViews>
    <sheetView workbookViewId="0">
      <selection activeCell="A2" sqref="A2"/>
    </sheetView>
  </sheetViews>
  <sheetFormatPr defaultColWidth="2.7109375" defaultRowHeight="15" x14ac:dyDescent="0.25"/>
  <cols>
    <col min="1" max="32" width="2.7109375" style="341"/>
  </cols>
  <sheetData>
    <row r="1" spans="1:32" s="1" customFormat="1" ht="18.75" x14ac:dyDescent="0.25">
      <c r="A1" s="2039" t="s">
        <v>3124</v>
      </c>
      <c r="B1" s="2039"/>
      <c r="C1" s="2039"/>
      <c r="D1" s="2039"/>
      <c r="E1" s="2039"/>
      <c r="F1" s="2039"/>
      <c r="G1" s="2039"/>
      <c r="H1" s="2039"/>
      <c r="I1" s="2039"/>
      <c r="J1" s="2039"/>
      <c r="K1" s="2039"/>
      <c r="L1" s="2039"/>
      <c r="M1" s="2039"/>
      <c r="N1" s="2039"/>
      <c r="O1" s="2039"/>
      <c r="P1" s="2039"/>
      <c r="Q1" s="2039"/>
      <c r="R1" s="2039"/>
      <c r="S1" s="2039"/>
      <c r="T1" s="2039"/>
      <c r="U1" s="2039"/>
      <c r="V1" s="2039"/>
      <c r="W1" s="2039"/>
      <c r="X1" s="2039"/>
      <c r="Y1" s="2039"/>
      <c r="Z1" s="2039"/>
      <c r="AA1" s="2039"/>
      <c r="AB1" s="2039"/>
      <c r="AC1" s="2039"/>
      <c r="AD1" s="2039"/>
      <c r="AE1" s="2039"/>
      <c r="AF1" s="2039"/>
    </row>
    <row r="2" spans="1:32" s="1" customFormat="1" ht="14.45" customHeight="1" x14ac:dyDescent="0.25">
      <c r="A2" s="376" t="s">
        <v>1702</v>
      </c>
      <c r="B2" s="542"/>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row>
    <row r="3" spans="1:32"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45" customHeight="1" x14ac:dyDescent="0.25">
      <c r="A5" s="262"/>
      <c r="B5" s="1151" t="s">
        <v>4643</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ht="14.45" customHeight="1" x14ac:dyDescent="0.25">
      <c r="A6" s="376"/>
      <c r="B6"/>
      <c r="C6"/>
      <c r="D6"/>
      <c r="E6"/>
      <c r="F6"/>
      <c r="G6"/>
      <c r="H6"/>
      <c r="I6"/>
      <c r="J6"/>
      <c r="K6"/>
      <c r="L6"/>
      <c r="M6"/>
      <c r="N6"/>
      <c r="O6"/>
      <c r="P6"/>
      <c r="Q6"/>
      <c r="R6"/>
      <c r="S6"/>
      <c r="T6"/>
      <c r="U6"/>
      <c r="V6"/>
      <c r="W6"/>
      <c r="X6"/>
      <c r="Y6"/>
      <c r="Z6"/>
      <c r="AA6"/>
      <c r="AB6"/>
      <c r="AC6"/>
      <c r="AD6"/>
      <c r="AE6"/>
      <c r="AF6"/>
    </row>
    <row r="7" spans="1:32" s="1" customFormat="1" x14ac:dyDescent="0.25">
      <c r="A7" s="2040" t="s">
        <v>9</v>
      </c>
      <c r="B7" s="2040"/>
      <c r="C7" s="2040"/>
      <c r="D7" s="2040"/>
      <c r="E7" s="2040"/>
      <c r="F7" s="2040"/>
      <c r="G7" s="2040"/>
      <c r="H7" s="2040"/>
      <c r="I7" s="2040"/>
      <c r="J7" s="2040"/>
      <c r="K7" s="2040"/>
      <c r="L7" s="2040"/>
      <c r="M7" s="2040"/>
      <c r="N7" s="2040"/>
      <c r="O7" s="2040"/>
      <c r="P7" s="2040"/>
      <c r="Q7" s="2040"/>
      <c r="R7" s="2040"/>
      <c r="S7" s="2040"/>
      <c r="T7" s="2040"/>
      <c r="U7" s="2040"/>
      <c r="V7" s="2040"/>
      <c r="W7" s="2040"/>
      <c r="X7" s="2040"/>
      <c r="Y7" s="2040"/>
      <c r="Z7" s="2040"/>
      <c r="AA7" s="2040"/>
      <c r="AB7" s="2040"/>
      <c r="AC7" s="2040"/>
      <c r="AD7" s="2040"/>
      <c r="AE7" s="2040"/>
      <c r="AF7" s="2040"/>
    </row>
    <row r="8" spans="1:32" s="1" customFormat="1" x14ac:dyDescent="0.25">
      <c r="A8" s="543"/>
      <c r="B8" s="543"/>
      <c r="C8" s="543"/>
      <c r="D8" s="543"/>
      <c r="E8" s="543"/>
      <c r="F8" s="543"/>
      <c r="G8" s="543"/>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row>
    <row r="9" spans="1:32" s="1" customFormat="1" x14ac:dyDescent="0.25">
      <c r="A9" s="544"/>
      <c r="B9" s="2034" t="s">
        <v>10</v>
      </c>
      <c r="C9" s="2034"/>
      <c r="D9" s="2034"/>
      <c r="E9" s="2034"/>
      <c r="F9" s="2034"/>
      <c r="G9" s="2034"/>
      <c r="H9" s="2034"/>
      <c r="I9" s="2034"/>
      <c r="J9" s="544"/>
      <c r="K9" s="544"/>
      <c r="L9" s="544"/>
      <c r="M9" s="544"/>
      <c r="N9" s="544"/>
      <c r="O9" s="544"/>
      <c r="P9" s="544"/>
      <c r="Q9" s="544"/>
      <c r="R9" s="544"/>
      <c r="S9" s="544"/>
      <c r="T9" s="544"/>
      <c r="U9" s="544"/>
      <c r="V9" s="544"/>
      <c r="W9" s="544"/>
      <c r="X9" s="544"/>
      <c r="Y9" s="544"/>
      <c r="Z9" s="544"/>
      <c r="AA9" s="544"/>
      <c r="AB9" s="544"/>
      <c r="AC9" s="544"/>
      <c r="AD9" s="544"/>
      <c r="AE9" s="544"/>
      <c r="AF9" s="544"/>
    </row>
    <row r="10" spans="1:32" s="4" customFormat="1" ht="61.5" customHeight="1" x14ac:dyDescent="0.25">
      <c r="A10" s="545"/>
      <c r="B10" s="2035" t="s">
        <v>3734</v>
      </c>
      <c r="C10" s="2036"/>
      <c r="D10" s="2036"/>
      <c r="E10" s="2036"/>
      <c r="F10" s="2036"/>
      <c r="G10" s="2036"/>
      <c r="H10" s="2036"/>
      <c r="I10" s="2036"/>
      <c r="J10" s="2036"/>
      <c r="K10" s="2036"/>
      <c r="L10" s="2036"/>
      <c r="M10" s="2036"/>
      <c r="N10" s="2036"/>
      <c r="O10" s="2036"/>
      <c r="P10" s="2036"/>
      <c r="Q10" s="2036"/>
      <c r="R10" s="2036"/>
      <c r="S10" s="2036"/>
      <c r="T10" s="2036"/>
      <c r="U10" s="2036"/>
      <c r="V10" s="2036"/>
      <c r="W10" s="2036"/>
      <c r="X10" s="2036"/>
      <c r="Y10" s="2036"/>
      <c r="Z10" s="2036"/>
      <c r="AA10" s="2036"/>
      <c r="AB10" s="2036"/>
      <c r="AC10" s="2036"/>
      <c r="AD10" s="2036"/>
      <c r="AE10" s="2036"/>
      <c r="AF10" s="2036"/>
    </row>
    <row r="11" spans="1:32" s="1" customFormat="1" x14ac:dyDescent="0.25">
      <c r="A11" s="544"/>
      <c r="B11" s="544"/>
      <c r="C11" s="544"/>
      <c r="D11" s="544"/>
      <c r="E11" s="544"/>
      <c r="F11" s="544"/>
      <c r="G11" s="544"/>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row>
    <row r="12" spans="1:32" s="1" customFormat="1" x14ac:dyDescent="0.25">
      <c r="A12" s="544"/>
      <c r="B12" s="2034" t="s">
        <v>11</v>
      </c>
      <c r="C12" s="2034"/>
      <c r="D12" s="2034"/>
      <c r="E12" s="2034"/>
      <c r="F12" s="2034"/>
      <c r="G12" s="2034"/>
      <c r="H12" s="2034"/>
      <c r="I12" s="203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row>
    <row r="13" spans="1:32" s="1" customFormat="1" ht="49.5" customHeight="1" x14ac:dyDescent="0.25">
      <c r="A13" s="544"/>
      <c r="B13" s="2035" t="s">
        <v>3506</v>
      </c>
      <c r="C13" s="2036"/>
      <c r="D13" s="2036"/>
      <c r="E13" s="2036"/>
      <c r="F13" s="2036"/>
      <c r="G13" s="2036"/>
      <c r="H13" s="2036"/>
      <c r="I13" s="2036"/>
      <c r="J13" s="2036"/>
      <c r="K13" s="2036"/>
      <c r="L13" s="2036"/>
      <c r="M13" s="2036"/>
      <c r="N13" s="2036"/>
      <c r="O13" s="2036"/>
      <c r="P13" s="2036"/>
      <c r="Q13" s="2036"/>
      <c r="R13" s="2036"/>
      <c r="S13" s="2036"/>
      <c r="T13" s="2036"/>
      <c r="U13" s="2036"/>
      <c r="V13" s="2036"/>
      <c r="W13" s="2036"/>
      <c r="X13" s="2036"/>
      <c r="Y13" s="2036"/>
      <c r="Z13" s="2036"/>
      <c r="AA13" s="2036"/>
      <c r="AB13" s="2036"/>
      <c r="AC13" s="2036"/>
      <c r="AD13" s="2036"/>
      <c r="AE13" s="2036"/>
      <c r="AF13" s="2036"/>
    </row>
    <row r="14" spans="1:32" s="1" customFormat="1" x14ac:dyDescent="0.25">
      <c r="A14" s="544"/>
      <c r="B14" s="544"/>
      <c r="C14" s="544"/>
      <c r="D14" s="544"/>
      <c r="E14" s="544"/>
      <c r="F14" s="544"/>
      <c r="G14" s="544"/>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row>
    <row r="15" spans="1:32" s="1" customFormat="1" x14ac:dyDescent="0.25">
      <c r="A15" s="544"/>
      <c r="B15" s="2034" t="s">
        <v>12</v>
      </c>
      <c r="C15" s="2034"/>
      <c r="D15" s="2034"/>
      <c r="E15" s="2034"/>
      <c r="F15" s="2034"/>
      <c r="G15" s="2034"/>
      <c r="H15" s="2034"/>
      <c r="I15" s="203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row>
    <row r="16" spans="1:32" s="1" customFormat="1" x14ac:dyDescent="0.25">
      <c r="A16" s="544"/>
      <c r="B16" s="2037" t="s">
        <v>3438</v>
      </c>
      <c r="C16" s="2038"/>
      <c r="D16" s="2038"/>
      <c r="E16" s="2038"/>
      <c r="F16" s="2038"/>
      <c r="G16" s="2038"/>
      <c r="H16" s="2038"/>
      <c r="I16" s="2038"/>
      <c r="J16" s="2038"/>
      <c r="K16" s="2038"/>
      <c r="L16" s="2038"/>
      <c r="M16" s="2038"/>
      <c r="N16" s="2038"/>
      <c r="O16" s="2038"/>
      <c r="P16" s="2038"/>
      <c r="Q16" s="2038"/>
      <c r="R16" s="2038"/>
      <c r="S16" s="2038"/>
      <c r="T16" s="2038"/>
      <c r="U16" s="2038"/>
      <c r="V16" s="2038"/>
      <c r="W16" s="2038"/>
      <c r="X16" s="2038"/>
      <c r="Y16" s="2038"/>
      <c r="Z16" s="2038"/>
      <c r="AA16" s="2038"/>
      <c r="AB16" s="2038"/>
      <c r="AC16" s="2038"/>
      <c r="AD16" s="2038"/>
      <c r="AE16" s="2038"/>
      <c r="AF16" s="2038"/>
    </row>
    <row r="17" spans="1:68" s="1" customFormat="1" x14ac:dyDescent="0.25">
      <c r="A17" s="544"/>
      <c r="B17" s="544"/>
      <c r="C17" s="544"/>
      <c r="D17" s="544"/>
      <c r="E17" s="544"/>
      <c r="F17" s="544"/>
      <c r="G17" s="544"/>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row>
    <row r="18" spans="1:68" s="1" customFormat="1" x14ac:dyDescent="0.25">
      <c r="A18" s="544"/>
      <c r="B18" s="2034" t="s">
        <v>13</v>
      </c>
      <c r="C18" s="2034"/>
      <c r="D18" s="2034"/>
      <c r="E18" s="2034"/>
      <c r="F18" s="2034"/>
      <c r="G18" s="2034"/>
      <c r="H18" s="2034"/>
      <c r="I18" s="203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row>
    <row r="19" spans="1:68" s="4" customFormat="1" ht="66.75" customHeight="1" x14ac:dyDescent="0.25">
      <c r="A19" s="545"/>
      <c r="B19" s="2035" t="s">
        <v>3545</v>
      </c>
      <c r="C19" s="2036"/>
      <c r="D19" s="2036"/>
      <c r="E19" s="2036"/>
      <c r="F19" s="2036"/>
      <c r="G19" s="2036"/>
      <c r="H19" s="2036"/>
      <c r="I19" s="2036"/>
      <c r="J19" s="2036"/>
      <c r="K19" s="2036"/>
      <c r="L19" s="2036"/>
      <c r="M19" s="2036"/>
      <c r="N19" s="2036"/>
      <c r="O19" s="2036"/>
      <c r="P19" s="2036"/>
      <c r="Q19" s="2036"/>
      <c r="R19" s="2036"/>
      <c r="S19" s="2036"/>
      <c r="T19" s="2036"/>
      <c r="U19" s="2036"/>
      <c r="V19" s="2036"/>
      <c r="W19" s="2036"/>
      <c r="X19" s="2036"/>
      <c r="Y19" s="2036"/>
      <c r="Z19" s="2036"/>
      <c r="AA19" s="2036"/>
      <c r="AB19" s="2036"/>
      <c r="AC19" s="2036"/>
      <c r="AD19" s="2036"/>
      <c r="AE19" s="2036"/>
      <c r="AF19" s="2036"/>
    </row>
    <row r="20" spans="1:68" s="4" customFormat="1" x14ac:dyDescent="0.25">
      <c r="A20" s="545"/>
      <c r="B20" s="600"/>
      <c r="C20" s="601"/>
      <c r="D20" s="601"/>
      <c r="E20" s="601"/>
      <c r="F20" s="601"/>
      <c r="G20" s="601"/>
      <c r="H20" s="601"/>
      <c r="I20" s="601"/>
      <c r="J20" s="601"/>
      <c r="K20" s="601"/>
      <c r="L20" s="601"/>
      <c r="M20" s="601"/>
      <c r="N20" s="601"/>
      <c r="O20" s="601"/>
      <c r="P20" s="601"/>
      <c r="Q20" s="601"/>
      <c r="R20" s="601"/>
      <c r="S20" s="601"/>
      <c r="T20" s="601"/>
      <c r="U20" s="601"/>
      <c r="V20" s="601"/>
      <c r="W20" s="601"/>
      <c r="X20" s="601"/>
      <c r="Y20" s="601"/>
      <c r="Z20" s="601"/>
      <c r="AA20" s="601"/>
      <c r="AB20" s="601"/>
      <c r="AC20" s="601"/>
      <c r="AD20" s="601"/>
      <c r="AE20" s="601"/>
      <c r="AF20" s="601"/>
    </row>
    <row r="21" spans="1:68" s="4" customFormat="1" ht="81" customHeight="1" x14ac:dyDescent="0.25">
      <c r="A21" s="545"/>
      <c r="B21" s="2035" t="s">
        <v>3546</v>
      </c>
      <c r="C21" s="2036"/>
      <c r="D21" s="2036"/>
      <c r="E21" s="2036"/>
      <c r="F21" s="2036"/>
      <c r="G21" s="2036"/>
      <c r="H21" s="2036"/>
      <c r="I21" s="2036"/>
      <c r="J21" s="2036"/>
      <c r="K21" s="2036"/>
      <c r="L21" s="2036"/>
      <c r="M21" s="2036"/>
      <c r="N21" s="2036"/>
      <c r="O21" s="2036"/>
      <c r="P21" s="2036"/>
      <c r="Q21" s="2036"/>
      <c r="R21" s="2036"/>
      <c r="S21" s="2036"/>
      <c r="T21" s="2036"/>
      <c r="U21" s="2036"/>
      <c r="V21" s="2036"/>
      <c r="W21" s="2036"/>
      <c r="X21" s="2036"/>
      <c r="Y21" s="2036"/>
      <c r="Z21" s="2036"/>
      <c r="AA21" s="2036"/>
      <c r="AB21" s="2036"/>
      <c r="AC21" s="2036"/>
      <c r="AD21" s="2036"/>
      <c r="AE21" s="2036"/>
      <c r="AF21" s="2036"/>
    </row>
    <row r="22" spans="1:68" s="4" customFormat="1" x14ac:dyDescent="0.25">
      <c r="A22" s="545"/>
      <c r="B22" s="600"/>
      <c r="C22" s="601"/>
      <c r="D22" s="601"/>
      <c r="E22" s="601"/>
      <c r="F22" s="601"/>
      <c r="G22" s="601"/>
      <c r="H22" s="601"/>
      <c r="I22" s="601"/>
      <c r="J22" s="601"/>
      <c r="K22" s="601"/>
      <c r="L22" s="601"/>
      <c r="M22" s="601"/>
      <c r="N22" s="601"/>
      <c r="O22" s="601"/>
      <c r="P22" s="601"/>
      <c r="Q22" s="601"/>
      <c r="R22" s="601"/>
      <c r="S22" s="601"/>
      <c r="T22" s="601"/>
      <c r="U22" s="601"/>
      <c r="V22" s="601"/>
      <c r="W22" s="601"/>
      <c r="X22" s="601"/>
      <c r="Y22" s="601"/>
      <c r="Z22" s="601"/>
      <c r="AA22" s="601"/>
      <c r="AB22" s="601"/>
      <c r="AC22" s="601"/>
      <c r="AD22" s="601"/>
      <c r="AE22" s="601"/>
      <c r="AF22" s="601"/>
    </row>
    <row r="23" spans="1:68" s="4" customFormat="1" ht="51.75" customHeight="1" x14ac:dyDescent="0.25">
      <c r="A23" s="545"/>
      <c r="B23" s="2035" t="s">
        <v>3547</v>
      </c>
      <c r="C23" s="2036"/>
      <c r="D23" s="2036"/>
      <c r="E23" s="2036"/>
      <c r="F23" s="2036"/>
      <c r="G23" s="2036"/>
      <c r="H23" s="2036"/>
      <c r="I23" s="2036"/>
      <c r="J23" s="2036"/>
      <c r="K23" s="2036"/>
      <c r="L23" s="2036"/>
      <c r="M23" s="2036"/>
      <c r="N23" s="2036"/>
      <c r="O23" s="2036"/>
      <c r="P23" s="2036"/>
      <c r="Q23" s="2036"/>
      <c r="R23" s="2036"/>
      <c r="S23" s="2036"/>
      <c r="T23" s="2036"/>
      <c r="U23" s="2036"/>
      <c r="V23" s="2036"/>
      <c r="W23" s="2036"/>
      <c r="X23" s="2036"/>
      <c r="Y23" s="2036"/>
      <c r="Z23" s="2036"/>
      <c r="AA23" s="2036"/>
      <c r="AB23" s="2036"/>
      <c r="AC23" s="2036"/>
      <c r="AD23" s="2036"/>
      <c r="AE23" s="2036"/>
      <c r="AF23" s="2036"/>
    </row>
    <row r="24" spans="1:68" s="1" customFormat="1" x14ac:dyDescent="0.25">
      <c r="A24" s="544"/>
      <c r="B24" s="544"/>
      <c r="C24" s="544"/>
      <c r="D24" s="544"/>
      <c r="E24" s="544"/>
      <c r="F24" s="544"/>
      <c r="G24" s="544"/>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row>
    <row r="25" spans="1:68" s="1" customFormat="1" x14ac:dyDescent="0.25">
      <c r="A25" s="544"/>
      <c r="B25" s="549" t="s">
        <v>20</v>
      </c>
      <c r="C25" s="549"/>
      <c r="D25" s="549"/>
      <c r="E25" s="549"/>
      <c r="F25" s="549"/>
      <c r="G25" s="549"/>
      <c r="H25" s="549"/>
      <c r="I25" s="549"/>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row>
    <row r="26" spans="1:68" s="1" customFormat="1" ht="78" customHeight="1" x14ac:dyDescent="0.25">
      <c r="A26" s="544"/>
      <c r="B26" s="2035" t="s">
        <v>3735</v>
      </c>
      <c r="C26" s="2038"/>
      <c r="D26" s="2038"/>
      <c r="E26" s="2038"/>
      <c r="F26" s="2038"/>
      <c r="G26" s="2038"/>
      <c r="H26" s="2038"/>
      <c r="I26" s="2038"/>
      <c r="J26" s="2038"/>
      <c r="K26" s="2038"/>
      <c r="L26" s="2038"/>
      <c r="M26" s="2038"/>
      <c r="N26" s="2038"/>
      <c r="O26" s="2038"/>
      <c r="P26" s="2038"/>
      <c r="Q26" s="2038"/>
      <c r="R26" s="2038"/>
      <c r="S26" s="2038"/>
      <c r="T26" s="2038"/>
      <c r="U26" s="2038"/>
      <c r="V26" s="2038"/>
      <c r="W26" s="2038"/>
      <c r="X26" s="2038"/>
      <c r="Y26" s="2038"/>
      <c r="Z26" s="2038"/>
      <c r="AA26" s="2038"/>
      <c r="AB26" s="2038"/>
      <c r="AC26" s="2038"/>
      <c r="AD26" s="2038"/>
      <c r="AE26" s="2038"/>
      <c r="AF26" s="2038"/>
    </row>
    <row r="27" spans="1:68" s="1" customFormat="1" x14ac:dyDescent="0.25">
      <c r="A27" s="544"/>
      <c r="B27" s="600"/>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row>
    <row r="28" spans="1:68" s="1" customFormat="1" ht="16.5" customHeight="1" x14ac:dyDescent="0.25">
      <c r="A28" s="544"/>
      <c r="B28" s="2035" t="s">
        <v>3765</v>
      </c>
      <c r="C28" s="2038"/>
      <c r="D28" s="2038"/>
      <c r="E28" s="2038"/>
      <c r="F28" s="2038"/>
      <c r="G28" s="2038"/>
      <c r="H28" s="2038"/>
      <c r="I28" s="2038"/>
      <c r="J28" s="2038"/>
      <c r="K28" s="2038"/>
      <c r="L28" s="2038"/>
      <c r="M28" s="2038"/>
      <c r="N28" s="2038"/>
      <c r="O28" s="2038"/>
      <c r="P28" s="2038"/>
      <c r="Q28" s="2038"/>
      <c r="R28" s="2038"/>
      <c r="S28" s="2038"/>
      <c r="T28" s="2038"/>
      <c r="U28" s="2038"/>
      <c r="V28" s="2038"/>
      <c r="W28" s="2038"/>
      <c r="X28" s="2038"/>
      <c r="Y28" s="2038"/>
      <c r="Z28" s="2038"/>
      <c r="AA28" s="2038"/>
      <c r="AB28" s="2038"/>
      <c r="AC28" s="2038"/>
      <c r="AD28" s="2038"/>
      <c r="AE28" s="2038"/>
      <c r="AF28" s="2038"/>
    </row>
    <row r="29" spans="1:68" s="1" customFormat="1" x14ac:dyDescent="0.25">
      <c r="A29" s="544"/>
      <c r="B29" s="600"/>
      <c r="C29" s="612"/>
      <c r="D29" s="612"/>
      <c r="E29" s="612"/>
      <c r="F29" s="612"/>
      <c r="G29" s="612"/>
      <c r="H29" s="612"/>
      <c r="I29" s="612"/>
      <c r="J29" s="612"/>
      <c r="K29" s="612"/>
      <c r="L29" s="612"/>
      <c r="M29" s="612"/>
      <c r="N29" s="612"/>
      <c r="O29" s="612"/>
      <c r="P29" s="612"/>
      <c r="Q29" s="612"/>
      <c r="R29" s="612"/>
      <c r="S29" s="612"/>
      <c r="T29" s="612"/>
      <c r="U29" s="612"/>
      <c r="V29" s="612"/>
      <c r="W29" s="612"/>
      <c r="X29" s="612"/>
      <c r="Y29" s="612"/>
      <c r="Z29" s="612"/>
      <c r="AA29" s="612"/>
      <c r="AB29" s="612"/>
      <c r="AC29" s="612"/>
      <c r="AD29" s="612"/>
      <c r="AE29" s="612"/>
      <c r="AF29" s="612"/>
    </row>
    <row r="30" spans="1:68" s="1" customFormat="1" ht="52.5" customHeight="1" x14ac:dyDescent="0.25">
      <c r="A30" s="544"/>
      <c r="B30" s="2035" t="s">
        <v>3766</v>
      </c>
      <c r="C30" s="2038"/>
      <c r="D30" s="2038"/>
      <c r="E30" s="2038"/>
      <c r="F30" s="2038"/>
      <c r="G30" s="2038"/>
      <c r="H30" s="2038"/>
      <c r="I30" s="2038"/>
      <c r="J30" s="2038"/>
      <c r="K30" s="2038"/>
      <c r="L30" s="2038"/>
      <c r="M30" s="2038"/>
      <c r="N30" s="2038"/>
      <c r="O30" s="2038"/>
      <c r="P30" s="2038"/>
      <c r="Q30" s="2038"/>
      <c r="R30" s="2038"/>
      <c r="S30" s="2038"/>
      <c r="T30" s="2038"/>
      <c r="U30" s="2038"/>
      <c r="V30" s="2038"/>
      <c r="W30" s="2038"/>
      <c r="X30" s="2038"/>
      <c r="Y30" s="2038"/>
      <c r="Z30" s="2038"/>
      <c r="AA30" s="2038"/>
      <c r="AB30" s="2038"/>
      <c r="AC30" s="2038"/>
      <c r="AD30" s="2038"/>
      <c r="AE30" s="2038"/>
      <c r="AF30" s="2038"/>
    </row>
    <row r="31" spans="1:68" s="1" customFormat="1" x14ac:dyDescent="0.25">
      <c r="A31" s="544"/>
      <c r="B31" s="544"/>
      <c r="C31" s="544"/>
      <c r="D31" s="544"/>
      <c r="E31" s="544"/>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row>
    <row r="32" spans="1:68" x14ac:dyDescent="0.25">
      <c r="A32" s="545"/>
      <c r="B32" s="2042" t="s">
        <v>3622</v>
      </c>
      <c r="C32" s="2042"/>
      <c r="D32" s="2042"/>
      <c r="E32" s="2042"/>
      <c r="F32" s="2042"/>
      <c r="G32" s="2042"/>
      <c r="H32" s="2042"/>
      <c r="I32" s="2042"/>
      <c r="J32" s="2042"/>
      <c r="K32" s="2042"/>
      <c r="L32" s="2042"/>
      <c r="M32" s="2042"/>
      <c r="N32" s="2042"/>
      <c r="O32" s="2042"/>
      <c r="P32" s="2042"/>
      <c r="Q32" s="2042"/>
      <c r="R32" s="2042"/>
      <c r="S32" s="2042"/>
      <c r="T32" s="2042"/>
      <c r="U32" s="2042"/>
      <c r="V32" s="2042"/>
      <c r="W32" s="2042"/>
      <c r="X32" s="2042"/>
      <c r="Y32" s="2042"/>
      <c r="Z32" s="2042"/>
      <c r="AA32" s="2042"/>
      <c r="AB32" s="2042"/>
      <c r="AC32" s="2042"/>
      <c r="AD32" s="2042"/>
      <c r="AE32" s="2042"/>
      <c r="AF32" s="2042"/>
      <c r="AL32" s="621"/>
      <c r="AM32" s="622"/>
      <c r="AN32" s="622"/>
      <c r="AO32" s="622"/>
      <c r="AP32" s="622"/>
      <c r="AQ32" s="622"/>
      <c r="AR32" s="622"/>
      <c r="AS32" s="622"/>
      <c r="AT32" s="622"/>
      <c r="AU32" s="622"/>
      <c r="AV32" s="622"/>
      <c r="AW32" s="622"/>
      <c r="AX32" s="622"/>
      <c r="AY32" s="622"/>
      <c r="AZ32" s="622"/>
      <c r="BA32" s="622"/>
      <c r="BB32" s="622"/>
      <c r="BC32" s="622"/>
      <c r="BD32" s="622"/>
      <c r="BE32" s="622"/>
      <c r="BF32" s="622"/>
      <c r="BG32" s="622"/>
      <c r="BH32" s="622"/>
      <c r="BI32" s="622"/>
      <c r="BJ32" s="622"/>
      <c r="BK32" s="622"/>
      <c r="BL32" s="622"/>
      <c r="BM32" s="622"/>
      <c r="BN32" s="622"/>
      <c r="BO32" s="622"/>
      <c r="BP32" s="622"/>
    </row>
    <row r="33" spans="1:68" ht="17.25" x14ac:dyDescent="0.25">
      <c r="A33" s="545"/>
      <c r="B33" s="2043" t="s">
        <v>3549</v>
      </c>
      <c r="C33" s="2044"/>
      <c r="D33" s="2044"/>
      <c r="E33" s="2044"/>
      <c r="F33" s="2044"/>
      <c r="G33" s="2044"/>
      <c r="H33" s="2045"/>
      <c r="I33" s="2041" t="s">
        <v>3550</v>
      </c>
      <c r="J33" s="2041"/>
      <c r="K33" s="2041"/>
      <c r="L33" s="2041"/>
      <c r="M33" s="2041"/>
      <c r="N33" s="2041"/>
      <c r="O33" s="2041" t="s">
        <v>3551</v>
      </c>
      <c r="P33" s="2041"/>
      <c r="Q33" s="2041"/>
      <c r="R33" s="2041"/>
      <c r="S33" s="2041"/>
      <c r="T33" s="2041"/>
      <c r="U33" s="2041" t="s">
        <v>3552</v>
      </c>
      <c r="V33" s="2041"/>
      <c r="W33" s="2041"/>
      <c r="X33" s="2041"/>
      <c r="Y33" s="2041"/>
      <c r="Z33" s="2041"/>
      <c r="AA33" s="2041"/>
      <c r="AB33" s="2041"/>
      <c r="AC33" s="2041"/>
      <c r="AD33" s="2041"/>
      <c r="AE33" s="2041"/>
      <c r="AF33" s="2041"/>
      <c r="AL33" s="623"/>
      <c r="AM33" s="622"/>
      <c r="AN33" s="622"/>
      <c r="AO33" s="622"/>
      <c r="AP33" s="622"/>
      <c r="AQ33" s="622"/>
      <c r="AR33" s="622"/>
      <c r="AS33" s="622"/>
      <c r="AT33" s="622"/>
      <c r="AU33" s="622"/>
      <c r="AV33" s="622"/>
      <c r="AW33" s="622"/>
      <c r="AX33" s="622"/>
      <c r="AY33" s="622"/>
      <c r="AZ33" s="622"/>
      <c r="BA33" s="622"/>
      <c r="BB33" s="622"/>
      <c r="BC33" s="622"/>
      <c r="BD33" s="622"/>
      <c r="BE33" s="622"/>
      <c r="BF33" s="622"/>
      <c r="BG33" s="622"/>
      <c r="BH33" s="622"/>
      <c r="BI33" s="622"/>
      <c r="BJ33" s="622"/>
      <c r="BK33" s="622"/>
      <c r="BL33" s="622"/>
      <c r="BM33" s="622"/>
      <c r="BN33" s="622"/>
      <c r="BO33" s="622"/>
      <c r="BP33" s="622"/>
    </row>
    <row r="34" spans="1:68" ht="18" x14ac:dyDescent="0.25">
      <c r="A34" s="545"/>
      <c r="B34" s="2046"/>
      <c r="C34" s="2047"/>
      <c r="D34" s="2047"/>
      <c r="E34" s="2047"/>
      <c r="F34" s="2047"/>
      <c r="G34" s="2047"/>
      <c r="H34" s="2048"/>
      <c r="I34" s="2041" t="s">
        <v>3553</v>
      </c>
      <c r="J34" s="2041"/>
      <c r="K34" s="2041"/>
      <c r="L34" s="2041" t="s">
        <v>3554</v>
      </c>
      <c r="M34" s="2041"/>
      <c r="N34" s="2041"/>
      <c r="O34" s="2041" t="s">
        <v>3555</v>
      </c>
      <c r="P34" s="2041"/>
      <c r="Q34" s="2041"/>
      <c r="R34" s="2041" t="s">
        <v>3556</v>
      </c>
      <c r="S34" s="2041"/>
      <c r="T34" s="2041"/>
      <c r="U34" s="2041" t="s">
        <v>3557</v>
      </c>
      <c r="V34" s="2041"/>
      <c r="W34" s="2041"/>
      <c r="X34" s="2041" t="s">
        <v>3558</v>
      </c>
      <c r="Y34" s="2041"/>
      <c r="Z34" s="2041"/>
      <c r="AA34" s="2041" t="s">
        <v>3559</v>
      </c>
      <c r="AB34" s="2041"/>
      <c r="AC34" s="2041"/>
      <c r="AD34" s="2041" t="s">
        <v>3560</v>
      </c>
      <c r="AE34" s="2041"/>
      <c r="AF34" s="2041"/>
      <c r="AL34" s="623"/>
      <c r="AM34" s="622"/>
      <c r="AN34" s="622"/>
      <c r="AO34" s="622"/>
      <c r="AP34" s="622"/>
      <c r="AQ34" s="622"/>
      <c r="AR34" s="622"/>
      <c r="AS34" s="622"/>
      <c r="AT34" s="622"/>
      <c r="AU34" s="622"/>
      <c r="AV34" s="622"/>
      <c r="AW34" s="622"/>
      <c r="AX34" s="622"/>
      <c r="AY34" s="622"/>
      <c r="AZ34" s="622"/>
      <c r="BA34" s="622"/>
      <c r="BB34" s="622"/>
      <c r="BC34" s="622"/>
      <c r="BD34" s="622"/>
      <c r="BE34" s="622"/>
      <c r="BF34" s="622"/>
      <c r="BG34" s="622"/>
      <c r="BH34" s="622"/>
      <c r="BI34" s="622"/>
      <c r="BJ34" s="622"/>
      <c r="BK34" s="622"/>
      <c r="BL34" s="622"/>
      <c r="BM34" s="622"/>
      <c r="BN34" s="622"/>
      <c r="BO34" s="622"/>
      <c r="BP34" s="622"/>
    </row>
    <row r="35" spans="1:68" x14ac:dyDescent="0.25">
      <c r="A35" s="545"/>
      <c r="B35" s="2052" t="s">
        <v>3561</v>
      </c>
      <c r="C35" s="2052"/>
      <c r="D35" s="2052"/>
      <c r="E35" s="2052"/>
      <c r="F35" s="2052"/>
      <c r="G35" s="2052"/>
      <c r="H35" s="2052"/>
      <c r="I35" s="2051">
        <f>ROUND(L35/1.01,1)</f>
        <v>9.6</v>
      </c>
      <c r="J35" s="2051"/>
      <c r="K35" s="2051"/>
      <c r="L35" s="2051">
        <v>9.6999999999999993</v>
      </c>
      <c r="M35" s="2051"/>
      <c r="N35" s="2051"/>
      <c r="O35" s="2051">
        <v>11</v>
      </c>
      <c r="P35" s="2051"/>
      <c r="Q35" s="2051"/>
      <c r="R35" s="2051">
        <f>ROUND(O35*1.01,1)</f>
        <v>11.1</v>
      </c>
      <c r="S35" s="2051"/>
      <c r="T35" s="2051"/>
      <c r="U35" s="2051">
        <v>12.1</v>
      </c>
      <c r="V35" s="2051"/>
      <c r="W35" s="2051"/>
      <c r="X35" s="2051">
        <f>ROUND(U35*1.01,1)</f>
        <v>12.2</v>
      </c>
      <c r="Y35" s="2051"/>
      <c r="Z35" s="2051"/>
      <c r="AA35" s="2051">
        <f>ROUND(U35-0.05*U35,1)</f>
        <v>11.5</v>
      </c>
      <c r="AB35" s="2051"/>
      <c r="AC35" s="2051"/>
      <c r="AD35" s="2051">
        <f>ROUND(AA35*1.01,1)</f>
        <v>11.6</v>
      </c>
      <c r="AE35" s="2051"/>
      <c r="AF35" s="2051"/>
      <c r="AL35" s="623"/>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row>
    <row r="36" spans="1:68" x14ac:dyDescent="0.25">
      <c r="A36" s="545"/>
      <c r="B36" s="2052" t="s">
        <v>3562</v>
      </c>
      <c r="C36" s="2052"/>
      <c r="D36" s="2052"/>
      <c r="E36" s="2052"/>
      <c r="F36" s="2052"/>
      <c r="G36" s="2052"/>
      <c r="H36" s="2052"/>
      <c r="I36" s="2051">
        <f t="shared" ref="I36:I38" si="0">ROUND(L36/1.01,1)</f>
        <v>9.6999999999999993</v>
      </c>
      <c r="J36" s="2051"/>
      <c r="K36" s="2051"/>
      <c r="L36" s="2051">
        <v>9.8000000000000007</v>
      </c>
      <c r="M36" s="2051"/>
      <c r="N36" s="2051"/>
      <c r="O36" s="2051">
        <v>10.9</v>
      </c>
      <c r="P36" s="2051"/>
      <c r="Q36" s="2051"/>
      <c r="R36" s="2051">
        <f t="shared" ref="R36:R38" si="1">ROUND(O36*1.01,1)</f>
        <v>11</v>
      </c>
      <c r="S36" s="2051"/>
      <c r="T36" s="2051"/>
      <c r="U36" s="2051">
        <v>12</v>
      </c>
      <c r="V36" s="2051"/>
      <c r="W36" s="2051"/>
      <c r="X36" s="2051">
        <f t="shared" ref="X36:X38" si="2">ROUND(U36*1.01,1)</f>
        <v>12.1</v>
      </c>
      <c r="Y36" s="2051"/>
      <c r="Z36" s="2051"/>
      <c r="AA36" s="2051">
        <f t="shared" ref="AA36:AA38" si="3">ROUND(U36-0.05*U36,1)</f>
        <v>11.4</v>
      </c>
      <c r="AB36" s="2051"/>
      <c r="AC36" s="2051"/>
      <c r="AD36" s="2051">
        <f t="shared" ref="AD36:AD38" si="4">ROUND(AA36*1.01,1)</f>
        <v>11.5</v>
      </c>
      <c r="AE36" s="2051"/>
      <c r="AF36" s="2051"/>
      <c r="AL36" s="623"/>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row>
    <row r="37" spans="1:68" x14ac:dyDescent="0.25">
      <c r="A37" s="545"/>
      <c r="B37" s="2052" t="s">
        <v>3563</v>
      </c>
      <c r="C37" s="2052"/>
      <c r="D37" s="2052"/>
      <c r="E37" s="2052"/>
      <c r="F37" s="2052"/>
      <c r="G37" s="2052"/>
      <c r="H37" s="2052"/>
      <c r="I37" s="2051">
        <f t="shared" si="0"/>
        <v>9.6</v>
      </c>
      <c r="J37" s="2051"/>
      <c r="K37" s="2051"/>
      <c r="L37" s="2051">
        <v>9.6999999999999993</v>
      </c>
      <c r="M37" s="2051"/>
      <c r="N37" s="2051"/>
      <c r="O37" s="2051">
        <v>10.7</v>
      </c>
      <c r="P37" s="2051"/>
      <c r="Q37" s="2051"/>
      <c r="R37" s="2051">
        <f t="shared" si="1"/>
        <v>10.8</v>
      </c>
      <c r="S37" s="2051"/>
      <c r="T37" s="2051"/>
      <c r="U37" s="2051">
        <v>11.8</v>
      </c>
      <c r="V37" s="2051"/>
      <c r="W37" s="2051"/>
      <c r="X37" s="2051">
        <f t="shared" si="2"/>
        <v>11.9</v>
      </c>
      <c r="Y37" s="2051"/>
      <c r="Z37" s="2051"/>
      <c r="AA37" s="2051">
        <f t="shared" si="3"/>
        <v>11.2</v>
      </c>
      <c r="AB37" s="2051"/>
      <c r="AC37" s="2051"/>
      <c r="AD37" s="2051">
        <f t="shared" si="4"/>
        <v>11.3</v>
      </c>
      <c r="AE37" s="2051"/>
      <c r="AF37" s="2051"/>
      <c r="AL37" s="623"/>
      <c r="AM37" s="622"/>
      <c r="AN37" s="622"/>
      <c r="AO37" s="622"/>
      <c r="AP37" s="622"/>
      <c r="AQ37" s="622"/>
      <c r="AR37" s="622"/>
      <c r="AS37" s="622"/>
      <c r="AT37" s="622"/>
      <c r="AU37" s="622"/>
      <c r="AV37" s="622"/>
      <c r="AW37" s="622"/>
      <c r="AX37" s="622"/>
      <c r="AY37" s="622"/>
      <c r="AZ37" s="622"/>
      <c r="BA37" s="622"/>
      <c r="BB37" s="622"/>
      <c r="BC37" s="622"/>
      <c r="BD37" s="622"/>
      <c r="BE37" s="622"/>
      <c r="BF37" s="622"/>
      <c r="BG37" s="622"/>
      <c r="BH37" s="622"/>
      <c r="BI37" s="622"/>
      <c r="BJ37" s="622"/>
      <c r="BK37" s="622"/>
      <c r="BL37" s="622"/>
      <c r="BM37" s="622"/>
      <c r="BN37" s="622"/>
      <c r="BO37" s="622"/>
      <c r="BP37" s="622"/>
    </row>
    <row r="38" spans="1:68" x14ac:dyDescent="0.25">
      <c r="A38" s="545"/>
      <c r="B38" s="2052" t="s">
        <v>3564</v>
      </c>
      <c r="C38" s="2052"/>
      <c r="D38" s="2052"/>
      <c r="E38" s="2052"/>
      <c r="F38" s="2052"/>
      <c r="G38" s="2052"/>
      <c r="H38" s="2052"/>
      <c r="I38" s="2051">
        <f t="shared" si="0"/>
        <v>8.4</v>
      </c>
      <c r="J38" s="2051"/>
      <c r="K38" s="2051"/>
      <c r="L38" s="2051">
        <v>8.5</v>
      </c>
      <c r="M38" s="2051"/>
      <c r="N38" s="2051"/>
      <c r="O38" s="2051">
        <v>9.4</v>
      </c>
      <c r="P38" s="2051"/>
      <c r="Q38" s="2051"/>
      <c r="R38" s="2051">
        <f t="shared" si="1"/>
        <v>9.5</v>
      </c>
      <c r="S38" s="2051"/>
      <c r="T38" s="2051"/>
      <c r="U38" s="2051">
        <v>10.3</v>
      </c>
      <c r="V38" s="2051"/>
      <c r="W38" s="2051"/>
      <c r="X38" s="2051">
        <f t="shared" si="2"/>
        <v>10.4</v>
      </c>
      <c r="Y38" s="2051"/>
      <c r="Z38" s="2051"/>
      <c r="AA38" s="2051">
        <f t="shared" si="3"/>
        <v>9.8000000000000007</v>
      </c>
      <c r="AB38" s="2051"/>
      <c r="AC38" s="2051"/>
      <c r="AD38" s="2051">
        <f t="shared" si="4"/>
        <v>9.9</v>
      </c>
      <c r="AE38" s="2051"/>
      <c r="AF38" s="2051"/>
      <c r="AL38" s="623"/>
      <c r="AM38" s="622"/>
      <c r="AN38" s="622"/>
      <c r="AO38" s="622"/>
      <c r="AP38" s="622"/>
      <c r="AQ38" s="622"/>
      <c r="AR38" s="622"/>
      <c r="AS38" s="622"/>
      <c r="AT38" s="622"/>
      <c r="AU38" s="622"/>
      <c r="AV38" s="622"/>
      <c r="AW38" s="622"/>
      <c r="AX38" s="622"/>
      <c r="AY38" s="622"/>
      <c r="AZ38" s="622"/>
      <c r="BA38" s="622"/>
      <c r="BB38" s="622"/>
      <c r="BC38" s="622"/>
      <c r="BD38" s="622"/>
      <c r="BE38" s="622"/>
      <c r="BF38" s="622"/>
      <c r="BG38" s="622"/>
      <c r="BH38" s="622"/>
      <c r="BI38" s="622"/>
      <c r="BJ38" s="622"/>
      <c r="BK38" s="622"/>
      <c r="BL38" s="622"/>
      <c r="BM38" s="622"/>
      <c r="BN38" s="622"/>
      <c r="BO38" s="622"/>
      <c r="BP38" s="622"/>
    </row>
    <row r="39" spans="1:68" ht="49.5" customHeight="1" x14ac:dyDescent="0.25">
      <c r="A39" s="545"/>
      <c r="B39" s="2054" t="s">
        <v>3565</v>
      </c>
      <c r="C39" s="2054"/>
      <c r="D39" s="2054"/>
      <c r="E39" s="2054"/>
      <c r="F39" s="2054"/>
      <c r="G39" s="2054"/>
      <c r="H39" s="2054"/>
      <c r="I39" s="2054"/>
      <c r="J39" s="2054"/>
      <c r="K39" s="2054"/>
      <c r="L39" s="2054"/>
      <c r="M39" s="2054"/>
      <c r="N39" s="2054"/>
      <c r="O39" s="2054"/>
      <c r="P39" s="2054"/>
      <c r="Q39" s="2054"/>
      <c r="R39" s="2054"/>
      <c r="S39" s="2054"/>
      <c r="T39" s="2054"/>
      <c r="U39" s="2054"/>
      <c r="V39" s="2054"/>
      <c r="W39" s="2054"/>
      <c r="X39" s="2054"/>
      <c r="Y39" s="2054"/>
      <c r="Z39" s="2054"/>
      <c r="AA39" s="2054"/>
      <c r="AB39" s="2054"/>
      <c r="AC39" s="2054"/>
      <c r="AD39" s="2054"/>
      <c r="AE39" s="2054"/>
      <c r="AF39" s="2054"/>
      <c r="AL39" s="622"/>
      <c r="AM39" s="622"/>
      <c r="AN39" s="622"/>
      <c r="AO39" s="622"/>
      <c r="AP39" s="622"/>
      <c r="AQ39" s="622"/>
      <c r="AR39" s="622"/>
      <c r="AS39" s="622"/>
      <c r="AT39" s="622"/>
      <c r="AU39" s="622"/>
      <c r="AV39" s="622"/>
      <c r="AW39" s="622"/>
      <c r="AX39" s="622"/>
      <c r="AY39" s="622"/>
      <c r="AZ39" s="622"/>
      <c r="BA39" s="622"/>
      <c r="BB39" s="622"/>
      <c r="BC39" s="622"/>
      <c r="BD39" s="622"/>
      <c r="BE39" s="622"/>
      <c r="BF39" s="622"/>
      <c r="BG39" s="622"/>
      <c r="BH39" s="622"/>
      <c r="BI39" s="622"/>
      <c r="BJ39" s="622"/>
      <c r="BK39" s="622"/>
      <c r="BL39" s="622"/>
      <c r="BM39" s="622"/>
      <c r="BN39" s="622"/>
      <c r="BO39" s="622"/>
      <c r="BP39" s="622"/>
    </row>
    <row r="40" spans="1:68" ht="44.25" customHeight="1" x14ac:dyDescent="0.25">
      <c r="A40" s="545"/>
      <c r="B40" s="2053" t="s">
        <v>3566</v>
      </c>
      <c r="C40" s="2053"/>
      <c r="D40" s="2053"/>
      <c r="E40" s="2053"/>
      <c r="F40" s="2053"/>
      <c r="G40" s="2053"/>
      <c r="H40" s="2053"/>
      <c r="I40" s="2053"/>
      <c r="J40" s="2053"/>
      <c r="K40" s="2053"/>
      <c r="L40" s="2053"/>
      <c r="M40" s="2053"/>
      <c r="N40" s="2053"/>
      <c r="O40" s="2053"/>
      <c r="P40" s="2053"/>
      <c r="Q40" s="2053"/>
      <c r="R40" s="2053"/>
      <c r="S40" s="2053"/>
      <c r="T40" s="2053"/>
      <c r="U40" s="2053"/>
      <c r="V40" s="2053"/>
      <c r="W40" s="2053"/>
      <c r="X40" s="2053"/>
      <c r="Y40" s="2053"/>
      <c r="Z40" s="2053"/>
      <c r="AA40" s="2053"/>
      <c r="AB40" s="2053"/>
      <c r="AC40" s="2053"/>
      <c r="AD40" s="2053"/>
      <c r="AE40" s="2053"/>
      <c r="AF40" s="2053"/>
      <c r="AL40" s="622"/>
      <c r="AM40" s="622"/>
      <c r="AN40" s="622"/>
      <c r="AO40" s="622"/>
      <c r="AP40" s="622"/>
      <c r="AQ40" s="622"/>
      <c r="AR40" s="622"/>
      <c r="AS40" s="622"/>
      <c r="AT40" s="622"/>
      <c r="AU40" s="622"/>
      <c r="AV40" s="622"/>
      <c r="AW40" s="622"/>
      <c r="AX40" s="622"/>
      <c r="AY40" s="622"/>
      <c r="AZ40" s="622"/>
      <c r="BA40" s="622"/>
      <c r="BB40" s="622"/>
      <c r="BC40" s="622"/>
      <c r="BD40" s="622"/>
      <c r="BE40" s="622"/>
      <c r="BF40" s="622"/>
      <c r="BG40" s="622"/>
      <c r="BH40" s="622"/>
      <c r="BI40" s="622"/>
      <c r="BJ40" s="622"/>
      <c r="BK40" s="622"/>
      <c r="BL40" s="622"/>
      <c r="BM40" s="622"/>
      <c r="BN40" s="622"/>
      <c r="BO40" s="622"/>
      <c r="BP40" s="622"/>
    </row>
    <row r="41" spans="1:68" ht="42.75" customHeight="1" x14ac:dyDescent="0.25">
      <c r="A41" s="545"/>
      <c r="B41" s="2053" t="s">
        <v>3567</v>
      </c>
      <c r="C41" s="2053"/>
      <c r="D41" s="2053"/>
      <c r="E41" s="2053"/>
      <c r="F41" s="2053"/>
      <c r="G41" s="2053"/>
      <c r="H41" s="2053"/>
      <c r="I41" s="2053"/>
      <c r="J41" s="2053"/>
      <c r="K41" s="2053"/>
      <c r="L41" s="2053"/>
      <c r="M41" s="2053"/>
      <c r="N41" s="2053"/>
      <c r="O41" s="2053"/>
      <c r="P41" s="2053"/>
      <c r="Q41" s="2053"/>
      <c r="R41" s="2053"/>
      <c r="S41" s="2053"/>
      <c r="T41" s="2053"/>
      <c r="U41" s="2053"/>
      <c r="V41" s="2053"/>
      <c r="W41" s="2053"/>
      <c r="X41" s="2053"/>
      <c r="Y41" s="2053"/>
      <c r="Z41" s="2053"/>
      <c r="AA41" s="2053"/>
      <c r="AB41" s="2053"/>
      <c r="AC41" s="2053"/>
      <c r="AD41" s="2053"/>
      <c r="AE41" s="2053"/>
      <c r="AF41" s="2053"/>
      <c r="AL41" s="622"/>
      <c r="AM41" s="622"/>
      <c r="AN41" s="622"/>
      <c r="AO41" s="622"/>
      <c r="AP41" s="622"/>
      <c r="AQ41" s="622"/>
      <c r="AR41" s="622"/>
      <c r="AS41" s="622"/>
      <c r="AT41" s="622"/>
      <c r="AU41" s="622"/>
      <c r="AV41" s="622"/>
      <c r="AW41" s="622"/>
      <c r="AX41" s="622"/>
      <c r="AY41" s="622"/>
      <c r="AZ41" s="622"/>
      <c r="BA41" s="622"/>
      <c r="BB41" s="622"/>
      <c r="BC41" s="622"/>
      <c r="BD41" s="622"/>
      <c r="BE41" s="622"/>
      <c r="BF41" s="622"/>
      <c r="BG41" s="622"/>
      <c r="BH41" s="622"/>
      <c r="BI41" s="622"/>
      <c r="BJ41" s="622"/>
      <c r="BK41" s="622"/>
      <c r="BL41" s="622"/>
      <c r="BM41" s="622"/>
      <c r="BN41" s="622"/>
      <c r="BO41" s="622"/>
      <c r="BP41" s="622"/>
    </row>
    <row r="42" spans="1:68" x14ac:dyDescent="0.25">
      <c r="A42" s="545"/>
      <c r="B42" s="600"/>
      <c r="C42" s="601"/>
      <c r="D42" s="601"/>
      <c r="E42" s="601"/>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L42" s="624"/>
    </row>
    <row r="43" spans="1:68" x14ac:dyDescent="0.25">
      <c r="A43" s="544"/>
      <c r="B43" s="544"/>
      <c r="C43" s="544"/>
      <c r="D43" s="544"/>
      <c r="E43" s="544"/>
      <c r="F43" s="544"/>
      <c r="G43" s="544"/>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L43" s="624"/>
    </row>
    <row r="44" spans="1:68" s="1" customFormat="1" x14ac:dyDescent="0.25">
      <c r="A44" s="2040" t="s">
        <v>14</v>
      </c>
      <c r="B44" s="2040"/>
      <c r="C44" s="2040"/>
      <c r="D44" s="2040"/>
      <c r="E44" s="2040"/>
      <c r="F44" s="2040"/>
      <c r="G44" s="2040"/>
      <c r="H44" s="2040"/>
      <c r="I44" s="2040"/>
      <c r="J44" s="2040"/>
      <c r="K44" s="2040"/>
      <c r="L44" s="2040"/>
      <c r="M44" s="2040"/>
      <c r="N44" s="2040"/>
      <c r="O44" s="2040"/>
      <c r="P44" s="2040"/>
      <c r="Q44" s="2040"/>
      <c r="R44" s="2040"/>
      <c r="S44" s="2040"/>
      <c r="T44" s="2040"/>
      <c r="U44" s="2040"/>
      <c r="V44" s="2040"/>
      <c r="W44" s="2040"/>
      <c r="X44" s="2040"/>
      <c r="Y44" s="2040"/>
      <c r="Z44" s="2040"/>
      <c r="AA44" s="2040"/>
      <c r="AB44" s="2040"/>
      <c r="AC44" s="2040"/>
      <c r="AD44" s="2040"/>
      <c r="AE44" s="2040"/>
      <c r="AF44" s="2040"/>
    </row>
    <row r="45" spans="1:68" s="1" customFormat="1" x14ac:dyDescent="0.25">
      <c r="A45" s="719"/>
      <c r="B45" s="719"/>
      <c r="C45" s="719"/>
      <c r="D45" s="719"/>
      <c r="E45" s="719"/>
      <c r="F45" s="719"/>
      <c r="G45" s="719"/>
      <c r="H45" s="719"/>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row>
    <row r="46" spans="1:68" x14ac:dyDescent="0.25">
      <c r="A46" s="262"/>
      <c r="B46" s="379" t="s">
        <v>3439</v>
      </c>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L46" s="584"/>
    </row>
    <row r="47" spans="1:68" x14ac:dyDescent="0.25">
      <c r="A47" s="262"/>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L47" s="584"/>
    </row>
    <row r="48" spans="1:68" x14ac:dyDescent="0.25">
      <c r="A48" s="2021"/>
      <c r="B48" s="2021"/>
      <c r="C48" s="2021"/>
      <c r="D48" s="2021"/>
      <c r="E48" s="2021"/>
      <c r="F48" s="2021"/>
      <c r="G48" s="2021"/>
      <c r="H48" s="2021"/>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t="s">
        <v>1705</v>
      </c>
      <c r="AL48" s="584"/>
    </row>
    <row r="49" spans="1:38" x14ac:dyDescent="0.25">
      <c r="A49" s="193"/>
      <c r="B49" s="193"/>
      <c r="C49" s="193"/>
      <c r="D49" s="193"/>
      <c r="E49" s="193"/>
      <c r="F49" s="193"/>
      <c r="G49" s="193"/>
      <c r="H49" s="193"/>
      <c r="I49" s="520"/>
      <c r="J49" s="520"/>
      <c r="K49" s="520"/>
      <c r="L49" s="520"/>
      <c r="M49" s="520"/>
      <c r="N49" s="520"/>
      <c r="O49" s="520"/>
      <c r="P49" s="520"/>
      <c r="Q49" s="520"/>
      <c r="R49" s="520"/>
      <c r="S49" s="520"/>
      <c r="T49" s="520"/>
      <c r="U49" s="520"/>
      <c r="V49" s="520"/>
      <c r="W49" s="520"/>
      <c r="X49" s="520"/>
      <c r="Y49" s="520"/>
      <c r="Z49" s="520"/>
      <c r="AA49" s="520"/>
      <c r="AB49" s="520"/>
      <c r="AC49" s="520"/>
      <c r="AD49" s="520"/>
      <c r="AE49" s="520"/>
      <c r="AF49" s="520"/>
      <c r="AL49" s="584"/>
    </row>
    <row r="50" spans="1:38" x14ac:dyDescent="0.25">
      <c r="A50" s="262"/>
      <c r="B50" s="379" t="s">
        <v>3440</v>
      </c>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L50" s="584"/>
    </row>
    <row r="51" spans="1:38" x14ac:dyDescent="0.25">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L51" s="584"/>
    </row>
    <row r="52" spans="1:38" x14ac:dyDescent="0.25">
      <c r="A52" s="2021"/>
      <c r="B52" s="2021"/>
      <c r="C52" s="2021"/>
      <c r="D52" s="2021"/>
      <c r="E52" s="2021"/>
      <c r="F52" s="2021"/>
      <c r="G52" s="2021"/>
      <c r="H52" s="2021"/>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t="s">
        <v>1706</v>
      </c>
      <c r="AL52" s="584"/>
    </row>
    <row r="53" spans="1:38" x14ac:dyDescent="0.25">
      <c r="A53" s="193"/>
      <c r="B53" s="193"/>
      <c r="C53" s="193"/>
      <c r="D53" s="193"/>
      <c r="E53" s="193"/>
      <c r="F53" s="193"/>
      <c r="G53" s="193"/>
      <c r="H53" s="193"/>
      <c r="I53" s="520"/>
      <c r="J53" s="520"/>
      <c r="K53" s="520"/>
      <c r="L53" s="520"/>
      <c r="M53" s="520"/>
      <c r="N53" s="520"/>
      <c r="O53" s="520"/>
      <c r="P53" s="520"/>
      <c r="Q53" s="520"/>
      <c r="R53" s="520"/>
      <c r="S53" s="520"/>
      <c r="T53" s="520"/>
      <c r="U53" s="520"/>
      <c r="V53" s="520"/>
      <c r="W53" s="520"/>
      <c r="X53" s="520"/>
      <c r="Y53" s="520"/>
      <c r="Z53" s="520"/>
      <c r="AA53" s="520"/>
      <c r="AB53" s="520"/>
      <c r="AC53" s="520"/>
      <c r="AD53" s="520"/>
      <c r="AE53" s="520"/>
      <c r="AF53" s="520"/>
      <c r="AL53" s="584"/>
    </row>
    <row r="54" spans="1:38" x14ac:dyDescent="0.25">
      <c r="A54" s="193"/>
      <c r="B54" s="519" t="s">
        <v>3441</v>
      </c>
      <c r="C54" s="193"/>
      <c r="D54" s="193"/>
      <c r="E54" s="193"/>
      <c r="F54" s="193"/>
      <c r="G54" s="193"/>
      <c r="H54" s="193"/>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L54" s="584"/>
    </row>
    <row r="55" spans="1:38" x14ac:dyDescent="0.25">
      <c r="A55" s="193"/>
      <c r="B55" s="193"/>
      <c r="C55" s="193"/>
      <c r="D55" s="193"/>
      <c r="E55" s="193"/>
      <c r="F55" s="193"/>
      <c r="G55" s="193"/>
      <c r="H55" s="193"/>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c r="AF55" s="520"/>
      <c r="AL55" s="584"/>
    </row>
    <row r="56" spans="1:38" x14ac:dyDescent="0.25">
      <c r="A56" s="2021"/>
      <c r="B56" s="2021"/>
      <c r="C56" s="2021"/>
      <c r="D56" s="2021"/>
      <c r="E56" s="2021"/>
      <c r="F56" s="2021"/>
      <c r="G56" s="2021"/>
      <c r="H56" s="2021"/>
      <c r="I56" s="196"/>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t="s">
        <v>1707</v>
      </c>
      <c r="AL56" s="584"/>
    </row>
    <row r="57" spans="1:38" x14ac:dyDescent="0.25">
      <c r="A57" s="193"/>
      <c r="B57" s="193"/>
      <c r="C57" s="193"/>
      <c r="D57" s="193"/>
      <c r="E57" s="192"/>
      <c r="F57" s="262"/>
      <c r="G57" s="193"/>
      <c r="H57" s="193"/>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c r="AF57" s="520"/>
      <c r="AL57" s="584"/>
    </row>
    <row r="58" spans="1:38" x14ac:dyDescent="0.25">
      <c r="A58" s="193"/>
      <c r="B58" s="519" t="s">
        <v>3442</v>
      </c>
      <c r="C58" s="193"/>
      <c r="D58" s="193"/>
      <c r="E58" s="193"/>
      <c r="F58" s="193"/>
      <c r="G58" s="193"/>
      <c r="H58" s="193"/>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c r="AF58" s="520"/>
      <c r="AL58" s="584"/>
    </row>
    <row r="59" spans="1:38" x14ac:dyDescent="0.25">
      <c r="A59" s="193"/>
      <c r="B59" s="193"/>
      <c r="C59" s="193"/>
      <c r="D59" s="193"/>
      <c r="E59" s="193"/>
      <c r="F59" s="193"/>
      <c r="G59" s="193"/>
      <c r="H59" s="193"/>
      <c r="I59" s="520"/>
      <c r="J59" s="520"/>
      <c r="K59" s="520"/>
      <c r="L59" s="520"/>
      <c r="M59" s="520"/>
      <c r="N59" s="520"/>
      <c r="O59" s="520"/>
      <c r="P59" s="520"/>
      <c r="Q59" s="520"/>
      <c r="R59" s="520"/>
      <c r="S59" s="520"/>
      <c r="T59" s="520"/>
      <c r="U59" s="520"/>
      <c r="V59" s="520"/>
      <c r="W59" s="520"/>
      <c r="X59" s="520"/>
      <c r="Y59" s="520"/>
      <c r="Z59" s="520"/>
      <c r="AA59" s="520"/>
      <c r="AB59" s="520"/>
      <c r="AC59" s="520"/>
      <c r="AD59" s="520"/>
      <c r="AE59" s="520"/>
      <c r="AF59" s="520"/>
      <c r="AL59" s="584"/>
    </row>
    <row r="60" spans="1:38" x14ac:dyDescent="0.25">
      <c r="A60" s="2021"/>
      <c r="B60" s="2021"/>
      <c r="C60" s="2021"/>
      <c r="D60" s="2021"/>
      <c r="E60" s="2021"/>
      <c r="F60" s="2021"/>
      <c r="G60" s="2021"/>
      <c r="H60" s="2021"/>
      <c r="I60" s="196"/>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t="s">
        <v>1756</v>
      </c>
      <c r="AL60" s="584"/>
    </row>
    <row r="61" spans="1:38" x14ac:dyDescent="0.25">
      <c r="A61" s="193"/>
      <c r="B61" s="193"/>
      <c r="C61" s="193"/>
      <c r="D61" s="193"/>
      <c r="E61" s="192"/>
      <c r="F61" s="262"/>
      <c r="G61" s="193"/>
      <c r="H61" s="193"/>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c r="AF61" s="520"/>
      <c r="AL61" s="584"/>
    </row>
    <row r="62" spans="1:38" x14ac:dyDescent="0.25">
      <c r="A62" s="193"/>
      <c r="B62" s="519" t="s">
        <v>3443</v>
      </c>
      <c r="C62" s="193"/>
      <c r="D62" s="193"/>
      <c r="E62" s="193"/>
      <c r="F62" s="193"/>
      <c r="G62" s="193"/>
      <c r="H62" s="193"/>
      <c r="I62" s="520"/>
      <c r="J62" s="520"/>
      <c r="K62" s="520"/>
      <c r="L62" s="520"/>
      <c r="M62" s="520"/>
      <c r="N62" s="520"/>
      <c r="O62" s="520"/>
      <c r="P62" s="520"/>
      <c r="Q62" s="520"/>
      <c r="R62" s="520"/>
      <c r="S62" s="520"/>
      <c r="T62" s="520"/>
      <c r="U62" s="520"/>
      <c r="V62" s="520"/>
      <c r="W62" s="520"/>
      <c r="X62" s="520"/>
      <c r="Y62" s="520"/>
      <c r="Z62" s="520"/>
      <c r="AA62" s="520"/>
      <c r="AB62" s="520"/>
      <c r="AC62" s="520"/>
      <c r="AD62" s="520"/>
      <c r="AE62" s="520"/>
      <c r="AF62" s="520"/>
      <c r="AL62" s="584"/>
    </row>
    <row r="63" spans="1:38" x14ac:dyDescent="0.25">
      <c r="A63" s="193"/>
      <c r="B63" s="193"/>
      <c r="C63" s="193"/>
      <c r="D63" s="193"/>
      <c r="E63" s="193"/>
      <c r="F63" s="193"/>
      <c r="G63" s="193"/>
      <c r="H63" s="193"/>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0"/>
      <c r="AL63" s="584"/>
    </row>
    <row r="64" spans="1:38" x14ac:dyDescent="0.25">
      <c r="A64" s="2021"/>
      <c r="B64" s="2021"/>
      <c r="C64" s="2021"/>
      <c r="D64" s="2021"/>
      <c r="E64" s="2021"/>
      <c r="F64" s="2021"/>
      <c r="G64" s="2021"/>
      <c r="H64" s="2021"/>
      <c r="I64" s="419"/>
      <c r="J64" s="196"/>
      <c r="K64" s="196"/>
      <c r="L64" s="196"/>
      <c r="M64" s="196"/>
      <c r="N64" s="196"/>
      <c r="O64" s="196"/>
      <c r="P64" s="196"/>
      <c r="Q64" s="196"/>
      <c r="R64" s="196"/>
      <c r="S64" s="196"/>
      <c r="T64" s="196"/>
      <c r="U64" s="196"/>
      <c r="V64" s="196"/>
      <c r="W64" s="196"/>
      <c r="X64" s="196"/>
      <c r="Y64" s="196"/>
      <c r="Z64" s="196"/>
      <c r="AA64" s="196"/>
      <c r="AB64" s="196"/>
      <c r="AC64" s="196"/>
      <c r="AD64" s="196"/>
      <c r="AE64" s="196"/>
      <c r="AF64" s="419" t="s">
        <v>1788</v>
      </c>
      <c r="AL64" s="584"/>
    </row>
    <row r="65" spans="1:72" x14ac:dyDescent="0.25">
      <c r="A65" s="262"/>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L65" s="584"/>
    </row>
    <row r="66" spans="1:72" x14ac:dyDescent="0.25">
      <c r="A66" s="193"/>
      <c r="B66" s="519" t="s">
        <v>3444</v>
      </c>
      <c r="C66" s="193"/>
      <c r="D66" s="193"/>
      <c r="E66" s="193"/>
      <c r="F66" s="193"/>
      <c r="G66" s="193"/>
      <c r="H66" s="193"/>
      <c r="I66" s="520"/>
      <c r="J66" s="520"/>
      <c r="K66" s="520"/>
      <c r="L66" s="520"/>
      <c r="M66" s="520"/>
      <c r="N66" s="520"/>
      <c r="O66" s="520"/>
      <c r="P66" s="520"/>
      <c r="Q66" s="520"/>
      <c r="R66" s="520"/>
      <c r="S66" s="520"/>
      <c r="T66" s="520"/>
      <c r="U66" s="520"/>
      <c r="V66" s="520"/>
      <c r="W66" s="520"/>
      <c r="X66" s="520"/>
      <c r="Y66" s="520"/>
      <c r="Z66" s="520"/>
      <c r="AA66" s="520"/>
      <c r="AB66" s="520"/>
      <c r="AC66" s="520"/>
      <c r="AD66" s="520"/>
      <c r="AE66" s="520"/>
      <c r="AF66" s="520"/>
      <c r="AL66" s="584"/>
    </row>
    <row r="67" spans="1:72" x14ac:dyDescent="0.25">
      <c r="A67" s="193"/>
      <c r="B67" s="193"/>
      <c r="C67" s="193"/>
      <c r="D67" s="193"/>
      <c r="E67" s="193"/>
      <c r="F67" s="193"/>
      <c r="G67" s="193"/>
      <c r="H67" s="193"/>
      <c r="I67" s="520"/>
      <c r="J67" s="520"/>
      <c r="K67" s="520"/>
      <c r="L67" s="520"/>
      <c r="M67" s="520"/>
      <c r="N67" s="520"/>
      <c r="O67" s="520"/>
      <c r="P67" s="520"/>
      <c r="Q67" s="520"/>
      <c r="R67" s="520"/>
      <c r="S67" s="520"/>
      <c r="T67" s="520"/>
      <c r="U67" s="520"/>
      <c r="V67" s="520"/>
      <c r="W67" s="520"/>
      <c r="X67" s="520"/>
      <c r="Y67" s="520"/>
      <c r="Z67" s="520"/>
      <c r="AA67" s="520"/>
      <c r="AB67" s="520"/>
      <c r="AC67" s="520"/>
      <c r="AD67" s="520"/>
      <c r="AE67" s="520"/>
      <c r="AF67" s="520"/>
      <c r="AL67" s="584"/>
    </row>
    <row r="68" spans="1:72" x14ac:dyDescent="0.25">
      <c r="A68" s="2021"/>
      <c r="B68" s="2021"/>
      <c r="C68" s="2021"/>
      <c r="D68" s="2021"/>
      <c r="E68" s="2021"/>
      <c r="F68" s="2021"/>
      <c r="G68" s="2021"/>
      <c r="H68" s="2021"/>
      <c r="I68" s="419"/>
      <c r="J68" s="196"/>
      <c r="K68" s="196"/>
      <c r="L68" s="196"/>
      <c r="M68" s="196"/>
      <c r="N68" s="196"/>
      <c r="O68" s="196"/>
      <c r="P68" s="196"/>
      <c r="Q68" s="196"/>
      <c r="R68" s="196"/>
      <c r="S68" s="196"/>
      <c r="T68" s="196"/>
      <c r="U68" s="196"/>
      <c r="V68" s="196"/>
      <c r="W68" s="196"/>
      <c r="X68" s="196"/>
      <c r="Y68" s="196"/>
      <c r="Z68" s="196"/>
      <c r="AA68" s="196"/>
      <c r="AB68" s="196"/>
      <c r="AC68" s="196"/>
      <c r="AD68" s="196"/>
      <c r="AE68" s="196"/>
      <c r="AF68" s="419" t="s">
        <v>1789</v>
      </c>
      <c r="AL68" s="584"/>
    </row>
    <row r="69" spans="1:72" x14ac:dyDescent="0.25">
      <c r="A69" s="717"/>
      <c r="B69" s="717"/>
      <c r="C69" s="717"/>
      <c r="D69" s="717"/>
      <c r="E69" s="717"/>
      <c r="F69" s="717"/>
      <c r="G69" s="717"/>
      <c r="H69" s="717"/>
      <c r="I69" s="262"/>
      <c r="J69" s="262"/>
      <c r="K69" s="262"/>
      <c r="L69" s="262"/>
      <c r="M69" s="262"/>
      <c r="N69" s="262"/>
      <c r="O69" s="262"/>
      <c r="P69" s="262"/>
      <c r="Q69" s="262"/>
      <c r="R69" s="262"/>
      <c r="S69" s="262"/>
      <c r="T69" s="262"/>
      <c r="U69" s="262"/>
      <c r="V69" s="262"/>
      <c r="W69" s="262"/>
      <c r="X69" s="262"/>
      <c r="Y69" s="262"/>
      <c r="Z69" s="262"/>
      <c r="AA69" s="262"/>
      <c r="AB69" s="262"/>
      <c r="AC69" s="262"/>
      <c r="AD69" s="262"/>
      <c r="AE69" s="262"/>
      <c r="AF69" s="262"/>
      <c r="AL69" s="584"/>
    </row>
    <row r="70" spans="1:72" s="1" customFormat="1" x14ac:dyDescent="0.25">
      <c r="A70" s="2040" t="s">
        <v>15</v>
      </c>
      <c r="B70" s="2040"/>
      <c r="C70" s="2040"/>
      <c r="D70" s="2040"/>
      <c r="E70" s="2040"/>
      <c r="F70" s="2040"/>
      <c r="G70" s="2040"/>
      <c r="H70" s="2040"/>
      <c r="I70" s="2040"/>
      <c r="J70" s="2040"/>
      <c r="K70" s="2040"/>
      <c r="L70" s="2040"/>
      <c r="M70" s="2040"/>
      <c r="N70" s="2040"/>
      <c r="O70" s="2040"/>
      <c r="P70" s="2040"/>
      <c r="Q70" s="2040"/>
      <c r="R70" s="2040"/>
      <c r="S70" s="2040"/>
      <c r="T70" s="2040"/>
      <c r="U70" s="2040"/>
      <c r="V70" s="2040"/>
      <c r="W70" s="2040"/>
      <c r="X70" s="2040"/>
      <c r="Y70" s="2040"/>
      <c r="Z70" s="2040"/>
      <c r="AA70" s="2040"/>
      <c r="AB70" s="2040"/>
      <c r="AC70" s="2040"/>
      <c r="AD70" s="2040"/>
      <c r="AE70" s="2040"/>
      <c r="AF70" s="204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s="1" customFormat="1" x14ac:dyDescent="0.25">
      <c r="A71" s="2055" t="s">
        <v>16</v>
      </c>
      <c r="B71" s="2055"/>
      <c r="C71" s="2055"/>
      <c r="D71" s="2055"/>
      <c r="E71" s="2055" t="s">
        <v>10</v>
      </c>
      <c r="F71" s="2055"/>
      <c r="G71" s="2055"/>
      <c r="H71" s="2055"/>
      <c r="I71" s="2055"/>
      <c r="J71" s="2055"/>
      <c r="K71" s="2055"/>
      <c r="L71" s="2055"/>
      <c r="M71" s="2055"/>
      <c r="N71" s="2055"/>
      <c r="O71" s="2055"/>
      <c r="P71" s="2055"/>
      <c r="Q71" s="2055" t="s">
        <v>17</v>
      </c>
      <c r="R71" s="2055"/>
      <c r="S71" s="2055"/>
      <c r="T71" s="2055"/>
      <c r="U71" s="2056" t="s">
        <v>18</v>
      </c>
      <c r="V71" s="2057"/>
      <c r="W71" s="2058"/>
      <c r="X71" s="2056" t="s">
        <v>1708</v>
      </c>
      <c r="Y71" s="2057"/>
      <c r="Z71" s="2057"/>
      <c r="AA71" s="2057"/>
      <c r="AB71" s="2057"/>
      <c r="AC71" s="2057"/>
      <c r="AD71" s="2057"/>
      <c r="AE71" s="2057"/>
      <c r="AF71" s="2058"/>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s="1" customFormat="1" ht="65.25" customHeight="1" x14ac:dyDescent="0.25">
      <c r="A72" s="2059" t="s">
        <v>2874</v>
      </c>
      <c r="B72" s="2060" t="s">
        <v>552</v>
      </c>
      <c r="C72" s="2060" t="s">
        <v>552</v>
      </c>
      <c r="D72" s="2061" t="s">
        <v>552</v>
      </c>
      <c r="E72" s="2062" t="s">
        <v>4639</v>
      </c>
      <c r="F72" s="2062"/>
      <c r="G72" s="2062" t="s">
        <v>553</v>
      </c>
      <c r="H72" s="2062"/>
      <c r="I72" s="2062" t="s">
        <v>553</v>
      </c>
      <c r="J72" s="2062"/>
      <c r="K72" s="2062" t="s">
        <v>553</v>
      </c>
      <c r="L72" s="2062"/>
      <c r="M72" s="2062" t="s">
        <v>553</v>
      </c>
      <c r="N72" s="2062"/>
      <c r="O72" s="2062" t="s">
        <v>553</v>
      </c>
      <c r="P72" s="2062"/>
      <c r="Q72" s="2078" t="s">
        <v>2875</v>
      </c>
      <c r="R72" s="2078">
        <v>1.28</v>
      </c>
      <c r="S72" s="2078">
        <v>1.28</v>
      </c>
      <c r="T72" s="2078">
        <v>1.28</v>
      </c>
      <c r="U72" s="2072" t="s">
        <v>2876</v>
      </c>
      <c r="V72" s="2073"/>
      <c r="W72" s="2074"/>
      <c r="X72" s="2067" t="s">
        <v>4640</v>
      </c>
      <c r="Y72" s="2068"/>
      <c r="Z72" s="2068"/>
      <c r="AA72" s="2068"/>
      <c r="AB72" s="2068"/>
      <c r="AC72" s="2068"/>
      <c r="AD72" s="2068"/>
      <c r="AE72" s="2068"/>
      <c r="AF72" s="2069"/>
    </row>
    <row r="73" spans="1:72" s="1" customFormat="1" ht="64.5" customHeight="1" x14ac:dyDescent="0.25">
      <c r="A73" s="2059" t="s">
        <v>3452</v>
      </c>
      <c r="B73" s="2060" t="s">
        <v>212</v>
      </c>
      <c r="C73" s="2060" t="s">
        <v>212</v>
      </c>
      <c r="D73" s="2061" t="s">
        <v>212</v>
      </c>
      <c r="E73" s="2062" t="s">
        <v>3473</v>
      </c>
      <c r="F73" s="2062"/>
      <c r="G73" s="2062" t="s">
        <v>214</v>
      </c>
      <c r="H73" s="2062"/>
      <c r="I73" s="2062" t="s">
        <v>214</v>
      </c>
      <c r="J73" s="2062"/>
      <c r="K73" s="2062" t="s">
        <v>214</v>
      </c>
      <c r="L73" s="2062"/>
      <c r="M73" s="2062" t="s">
        <v>214</v>
      </c>
      <c r="N73" s="2062"/>
      <c r="O73" s="2062" t="s">
        <v>214</v>
      </c>
      <c r="P73" s="2062"/>
      <c r="Q73" s="2070" t="s">
        <v>626</v>
      </c>
      <c r="R73" s="2070" t="s">
        <v>215</v>
      </c>
      <c r="S73" s="2070" t="s">
        <v>215</v>
      </c>
      <c r="T73" s="2070" t="s">
        <v>215</v>
      </c>
      <c r="U73" s="2072" t="s">
        <v>2878</v>
      </c>
      <c r="V73" s="2073"/>
      <c r="W73" s="2074"/>
      <c r="X73" s="2075" t="s">
        <v>3446</v>
      </c>
      <c r="Y73" s="2076"/>
      <c r="Z73" s="2076"/>
      <c r="AA73" s="2076"/>
      <c r="AB73" s="2076"/>
      <c r="AC73" s="2076"/>
      <c r="AD73" s="2076"/>
      <c r="AE73" s="2076"/>
      <c r="AF73" s="2077"/>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s="1" customFormat="1" ht="61.5" customHeight="1" x14ac:dyDescent="0.25">
      <c r="A74" s="2059" t="s">
        <v>3453</v>
      </c>
      <c r="B74" s="2060" t="s">
        <v>212</v>
      </c>
      <c r="C74" s="2060" t="s">
        <v>212</v>
      </c>
      <c r="D74" s="2061" t="s">
        <v>212</v>
      </c>
      <c r="E74" s="2062" t="s">
        <v>3474</v>
      </c>
      <c r="F74" s="2062"/>
      <c r="G74" s="2062" t="s">
        <v>214</v>
      </c>
      <c r="H74" s="2062"/>
      <c r="I74" s="2062" t="s">
        <v>214</v>
      </c>
      <c r="J74" s="2062"/>
      <c r="K74" s="2062" t="s">
        <v>214</v>
      </c>
      <c r="L74" s="2062"/>
      <c r="M74" s="2062" t="s">
        <v>214</v>
      </c>
      <c r="N74" s="2062"/>
      <c r="O74" s="2062" t="s">
        <v>214</v>
      </c>
      <c r="P74" s="2062"/>
      <c r="Q74" s="2070" t="s">
        <v>626</v>
      </c>
      <c r="R74" s="2070" t="s">
        <v>215</v>
      </c>
      <c r="S74" s="2070" t="s">
        <v>215</v>
      </c>
      <c r="T74" s="2070" t="s">
        <v>215</v>
      </c>
      <c r="U74" s="2072" t="s">
        <v>2878</v>
      </c>
      <c r="V74" s="2073"/>
      <c r="W74" s="2074"/>
      <c r="X74" s="2075" t="s">
        <v>3507</v>
      </c>
      <c r="Y74" s="2076"/>
      <c r="Z74" s="2076"/>
      <c r="AA74" s="2076"/>
      <c r="AB74" s="2076"/>
      <c r="AC74" s="2076"/>
      <c r="AD74" s="2076"/>
      <c r="AE74" s="2076"/>
      <c r="AF74" s="2077"/>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s="1" customFormat="1" ht="71.25" customHeight="1" x14ac:dyDescent="0.25">
      <c r="A75" s="2059" t="s">
        <v>3455</v>
      </c>
      <c r="B75" s="2060" t="s">
        <v>213</v>
      </c>
      <c r="C75" s="2060" t="s">
        <v>213</v>
      </c>
      <c r="D75" s="2061" t="s">
        <v>213</v>
      </c>
      <c r="E75" s="2062" t="s">
        <v>3475</v>
      </c>
      <c r="F75" s="2062"/>
      <c r="G75" s="2062" t="s">
        <v>214</v>
      </c>
      <c r="H75" s="2062"/>
      <c r="I75" s="2062" t="s">
        <v>214</v>
      </c>
      <c r="J75" s="2062"/>
      <c r="K75" s="2062" t="s">
        <v>214</v>
      </c>
      <c r="L75" s="2062"/>
      <c r="M75" s="2062" t="s">
        <v>214</v>
      </c>
      <c r="N75" s="2062"/>
      <c r="O75" s="2062" t="s">
        <v>214</v>
      </c>
      <c r="P75" s="2062"/>
      <c r="Q75" s="3285" t="s">
        <v>2877</v>
      </c>
      <c r="R75" s="3285" t="s">
        <v>215</v>
      </c>
      <c r="S75" s="3285" t="s">
        <v>215</v>
      </c>
      <c r="T75" s="3285" t="s">
        <v>215</v>
      </c>
      <c r="U75" s="2072" t="s">
        <v>2878</v>
      </c>
      <c r="V75" s="2073"/>
      <c r="W75" s="2074"/>
      <c r="X75" s="2067" t="s">
        <v>3767</v>
      </c>
      <c r="Y75" s="2068"/>
      <c r="Z75" s="2068"/>
      <c r="AA75" s="2068"/>
      <c r="AB75" s="2068"/>
      <c r="AC75" s="2068"/>
      <c r="AD75" s="2068"/>
      <c r="AE75" s="2068"/>
      <c r="AF75" s="2069"/>
    </row>
    <row r="76" spans="1:72" s="1" customFormat="1" ht="53.25" customHeight="1" x14ac:dyDescent="0.25">
      <c r="A76" s="2059" t="s">
        <v>3450</v>
      </c>
      <c r="B76" s="2060" t="s">
        <v>212</v>
      </c>
      <c r="C76" s="2060" t="s">
        <v>212</v>
      </c>
      <c r="D76" s="2061" t="s">
        <v>212</v>
      </c>
      <c r="E76" s="2062" t="s">
        <v>3476</v>
      </c>
      <c r="F76" s="2062"/>
      <c r="G76" s="2062" t="s">
        <v>214</v>
      </c>
      <c r="H76" s="2062"/>
      <c r="I76" s="2062" t="s">
        <v>214</v>
      </c>
      <c r="J76" s="2062"/>
      <c r="K76" s="2062" t="s">
        <v>214</v>
      </c>
      <c r="L76" s="2062"/>
      <c r="M76" s="2062" t="s">
        <v>214</v>
      </c>
      <c r="N76" s="2062"/>
      <c r="O76" s="2062" t="s">
        <v>214</v>
      </c>
      <c r="P76" s="2062"/>
      <c r="Q76" s="2070" t="s">
        <v>626</v>
      </c>
      <c r="R76" s="2070" t="s">
        <v>215</v>
      </c>
      <c r="S76" s="2070" t="s">
        <v>215</v>
      </c>
      <c r="T76" s="2070" t="s">
        <v>215</v>
      </c>
      <c r="U76" s="2072" t="s">
        <v>2878</v>
      </c>
      <c r="V76" s="2073"/>
      <c r="W76" s="2074"/>
      <c r="X76" s="2075" t="s">
        <v>3508</v>
      </c>
      <c r="Y76" s="2076"/>
      <c r="Z76" s="2076"/>
      <c r="AA76" s="2076"/>
      <c r="AB76" s="2076"/>
      <c r="AC76" s="2076"/>
      <c r="AD76" s="2076"/>
      <c r="AE76" s="2076"/>
      <c r="AF76" s="2077"/>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s="1" customFormat="1" ht="62.25" customHeight="1" x14ac:dyDescent="0.25">
      <c r="A77" s="2059" t="s">
        <v>3451</v>
      </c>
      <c r="B77" s="2060" t="s">
        <v>212</v>
      </c>
      <c r="C77" s="2060" t="s">
        <v>212</v>
      </c>
      <c r="D77" s="2061" t="s">
        <v>212</v>
      </c>
      <c r="E77" s="2062" t="s">
        <v>3477</v>
      </c>
      <c r="F77" s="2062"/>
      <c r="G77" s="2062" t="s">
        <v>214</v>
      </c>
      <c r="H77" s="2062"/>
      <c r="I77" s="2062" t="s">
        <v>214</v>
      </c>
      <c r="J77" s="2062"/>
      <c r="K77" s="2062" t="s">
        <v>214</v>
      </c>
      <c r="L77" s="2062"/>
      <c r="M77" s="2062" t="s">
        <v>214</v>
      </c>
      <c r="N77" s="2062"/>
      <c r="O77" s="2062" t="s">
        <v>214</v>
      </c>
      <c r="P77" s="2062"/>
      <c r="Q77" s="2070" t="s">
        <v>626</v>
      </c>
      <c r="R77" s="2070" t="s">
        <v>215</v>
      </c>
      <c r="S77" s="2070" t="s">
        <v>215</v>
      </c>
      <c r="T77" s="2070" t="s">
        <v>215</v>
      </c>
      <c r="U77" s="2072" t="s">
        <v>2878</v>
      </c>
      <c r="V77" s="2073"/>
      <c r="W77" s="2074"/>
      <c r="X77" s="2075" t="s">
        <v>3445</v>
      </c>
      <c r="Y77" s="2076"/>
      <c r="Z77" s="2076"/>
      <c r="AA77" s="2076"/>
      <c r="AB77" s="2076"/>
      <c r="AC77" s="2076"/>
      <c r="AD77" s="2076"/>
      <c r="AE77" s="2076"/>
      <c r="AF77" s="20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s="1" customFormat="1" ht="137.25" customHeight="1" x14ac:dyDescent="0.25">
      <c r="A78" s="2059" t="s">
        <v>3454</v>
      </c>
      <c r="B78" s="2060" t="s">
        <v>213</v>
      </c>
      <c r="C78" s="2060" t="s">
        <v>213</v>
      </c>
      <c r="D78" s="2061" t="s">
        <v>213</v>
      </c>
      <c r="E78" s="2062" t="s">
        <v>3478</v>
      </c>
      <c r="F78" s="2062"/>
      <c r="G78" s="2062" t="s">
        <v>214</v>
      </c>
      <c r="H78" s="2062"/>
      <c r="I78" s="2062" t="s">
        <v>214</v>
      </c>
      <c r="J78" s="2062"/>
      <c r="K78" s="2062" t="s">
        <v>214</v>
      </c>
      <c r="L78" s="2062"/>
      <c r="M78" s="2062" t="s">
        <v>214</v>
      </c>
      <c r="N78" s="2062"/>
      <c r="O78" s="2062" t="s">
        <v>214</v>
      </c>
      <c r="P78" s="2062"/>
      <c r="Q78" s="3285" t="s">
        <v>2877</v>
      </c>
      <c r="R78" s="3285" t="s">
        <v>215</v>
      </c>
      <c r="S78" s="3285" t="s">
        <v>215</v>
      </c>
      <c r="T78" s="3285" t="s">
        <v>215</v>
      </c>
      <c r="U78" s="2072" t="s">
        <v>2878</v>
      </c>
      <c r="V78" s="2073"/>
      <c r="W78" s="2074"/>
      <c r="X78" s="2067" t="s">
        <v>3768</v>
      </c>
      <c r="Y78" s="2068"/>
      <c r="Z78" s="2068"/>
      <c r="AA78" s="2068"/>
      <c r="AB78" s="2068"/>
      <c r="AC78" s="2068"/>
      <c r="AD78" s="2068"/>
      <c r="AE78" s="2068"/>
      <c r="AF78" s="2069"/>
    </row>
    <row r="79" spans="1:72" s="1" customFormat="1" ht="91.5" customHeight="1" x14ac:dyDescent="0.25">
      <c r="A79" s="2059" t="s">
        <v>29</v>
      </c>
      <c r="B79" s="2060" t="s">
        <v>29</v>
      </c>
      <c r="C79" s="2060" t="s">
        <v>29</v>
      </c>
      <c r="D79" s="2061" t="s">
        <v>29</v>
      </c>
      <c r="E79" s="2062" t="s">
        <v>104</v>
      </c>
      <c r="F79" s="2062"/>
      <c r="G79" s="2062" t="s">
        <v>546</v>
      </c>
      <c r="H79" s="2062"/>
      <c r="I79" s="2062" t="s">
        <v>546</v>
      </c>
      <c r="J79" s="2062"/>
      <c r="K79" s="2062" t="s">
        <v>546</v>
      </c>
      <c r="L79" s="2062"/>
      <c r="M79" s="2062" t="s">
        <v>546</v>
      </c>
      <c r="N79" s="2062"/>
      <c r="O79" s="2062" t="s">
        <v>546</v>
      </c>
      <c r="P79" s="2062"/>
      <c r="Q79" s="2071">
        <v>0.36</v>
      </c>
      <c r="R79" s="2071">
        <v>0.5</v>
      </c>
      <c r="S79" s="2071">
        <v>0.5</v>
      </c>
      <c r="T79" s="2071">
        <v>0.5</v>
      </c>
      <c r="U79" s="2072" t="s">
        <v>28</v>
      </c>
      <c r="V79" s="2073"/>
      <c r="W79" s="2074" t="s">
        <v>1080</v>
      </c>
      <c r="X79" s="2075" t="s">
        <v>3629</v>
      </c>
      <c r="Y79" s="2076"/>
      <c r="Z79" s="2076"/>
      <c r="AA79" s="2076"/>
      <c r="AB79" s="2076"/>
      <c r="AC79" s="2076"/>
      <c r="AD79" s="2076"/>
      <c r="AE79" s="2076"/>
      <c r="AF79" s="2077"/>
    </row>
    <row r="80" spans="1:72" s="1" customFormat="1" ht="122.25" customHeight="1" x14ac:dyDescent="0.25">
      <c r="A80" s="2059" t="s">
        <v>257</v>
      </c>
      <c r="B80" s="2060" t="s">
        <v>216</v>
      </c>
      <c r="C80" s="2060" t="s">
        <v>216</v>
      </c>
      <c r="D80" s="2061" t="s">
        <v>216</v>
      </c>
      <c r="E80" s="2062" t="s">
        <v>1175</v>
      </c>
      <c r="F80" s="2062"/>
      <c r="G80" s="2062" t="s">
        <v>217</v>
      </c>
      <c r="H80" s="2062"/>
      <c r="I80" s="2062" t="s">
        <v>217</v>
      </c>
      <c r="J80" s="2062"/>
      <c r="K80" s="2062" t="s">
        <v>217</v>
      </c>
      <c r="L80" s="2062"/>
      <c r="M80" s="2062" t="s">
        <v>217</v>
      </c>
      <c r="N80" s="2062"/>
      <c r="O80" s="2062" t="s">
        <v>217</v>
      </c>
      <c r="P80" s="2062"/>
      <c r="Q80" s="2078">
        <v>2528</v>
      </c>
      <c r="R80" s="2078">
        <v>1825</v>
      </c>
      <c r="S80" s="2078">
        <v>1825</v>
      </c>
      <c r="T80" s="2078">
        <v>1825</v>
      </c>
      <c r="U80" s="2072" t="s">
        <v>1000</v>
      </c>
      <c r="V80" s="2073"/>
      <c r="W80" s="2074" t="s">
        <v>1081</v>
      </c>
      <c r="X80" s="2075" t="s">
        <v>3448</v>
      </c>
      <c r="Y80" s="2076"/>
      <c r="Z80" s="2076"/>
      <c r="AA80" s="2076"/>
      <c r="AB80" s="2076"/>
      <c r="AC80" s="2076"/>
      <c r="AD80" s="2076"/>
      <c r="AE80" s="2076"/>
      <c r="AF80" s="2077"/>
    </row>
    <row r="81" spans="1:32" s="1" customFormat="1" ht="43.15" customHeight="1" x14ac:dyDescent="0.25">
      <c r="A81" s="2059" t="s">
        <v>42</v>
      </c>
      <c r="B81" s="2060" t="s">
        <v>42</v>
      </c>
      <c r="C81" s="2060" t="s">
        <v>42</v>
      </c>
      <c r="D81" s="2061" t="s">
        <v>42</v>
      </c>
      <c r="E81" s="2062" t="s">
        <v>865</v>
      </c>
      <c r="F81" s="2062"/>
      <c r="G81" s="2062" t="s">
        <v>548</v>
      </c>
      <c r="H81" s="2062"/>
      <c r="I81" s="2062" t="s">
        <v>548</v>
      </c>
      <c r="J81" s="2062"/>
      <c r="K81" s="2062" t="s">
        <v>548</v>
      </c>
      <c r="L81" s="2062"/>
      <c r="M81" s="2062" t="s">
        <v>548</v>
      </c>
      <c r="N81" s="2062"/>
      <c r="O81" s="2062" t="s">
        <v>548</v>
      </c>
      <c r="P81" s="2062"/>
      <c r="Q81" s="2071">
        <v>1</v>
      </c>
      <c r="R81" s="2071">
        <v>1</v>
      </c>
      <c r="S81" s="2071">
        <v>1</v>
      </c>
      <c r="T81" s="2071">
        <v>1</v>
      </c>
      <c r="U81" s="2072" t="s">
        <v>28</v>
      </c>
      <c r="V81" s="2073"/>
      <c r="W81" s="2074"/>
      <c r="X81" s="2075"/>
      <c r="Y81" s="2076"/>
      <c r="Z81" s="2076"/>
      <c r="AA81" s="2076"/>
      <c r="AB81" s="2076"/>
      <c r="AC81" s="2076"/>
      <c r="AD81" s="2076"/>
      <c r="AE81" s="2076"/>
      <c r="AF81" s="2077"/>
    </row>
    <row r="82" spans="1:32" s="1" customFormat="1" ht="43.15" customHeight="1" x14ac:dyDescent="0.25">
      <c r="A82" s="1647" t="s">
        <v>167</v>
      </c>
      <c r="B82" s="1648"/>
      <c r="C82" s="1648"/>
      <c r="D82" s="1649"/>
      <c r="E82" s="1653" t="s">
        <v>3457</v>
      </c>
      <c r="F82" s="1654"/>
      <c r="G82" s="1654"/>
      <c r="H82" s="1654"/>
      <c r="I82" s="1654"/>
      <c r="J82" s="1654"/>
      <c r="K82" s="1654"/>
      <c r="L82" s="1654"/>
      <c r="M82" s="1654"/>
      <c r="N82" s="1654"/>
      <c r="O82" s="1654"/>
      <c r="P82" s="1655"/>
      <c r="Q82" s="2078">
        <v>1000</v>
      </c>
      <c r="R82" s="2078"/>
      <c r="S82" s="2078"/>
      <c r="T82" s="2078"/>
      <c r="U82" s="2072" t="s">
        <v>293</v>
      </c>
      <c r="V82" s="2073"/>
      <c r="W82" s="2074"/>
      <c r="X82" s="2075"/>
      <c r="Y82" s="2076"/>
      <c r="Z82" s="2076"/>
      <c r="AA82" s="2076"/>
      <c r="AB82" s="2076"/>
      <c r="AC82" s="2076"/>
      <c r="AD82" s="2076"/>
      <c r="AE82" s="2076"/>
      <c r="AF82" s="2077"/>
    </row>
    <row r="83" spans="1:32" s="1" customFormat="1" ht="37.5" customHeight="1" x14ac:dyDescent="0.25">
      <c r="A83" s="1680" t="s">
        <v>1828</v>
      </c>
      <c r="B83" s="1681"/>
      <c r="C83" s="1681"/>
      <c r="D83" s="1682"/>
      <c r="E83" s="1494" t="s">
        <v>3458</v>
      </c>
      <c r="F83" s="1495"/>
      <c r="G83" s="1495"/>
      <c r="H83" s="1495"/>
      <c r="I83" s="1495"/>
      <c r="J83" s="1495"/>
      <c r="K83" s="1495"/>
      <c r="L83" s="1495"/>
      <c r="M83" s="1495"/>
      <c r="N83" s="1495"/>
      <c r="O83" s="1495"/>
      <c r="P83" s="1496"/>
      <c r="Q83" s="2071">
        <f>Q84/3</f>
        <v>3</v>
      </c>
      <c r="R83" s="2071"/>
      <c r="S83" s="2071"/>
      <c r="T83" s="2071"/>
      <c r="U83" s="2072" t="s">
        <v>46</v>
      </c>
      <c r="V83" s="2073"/>
      <c r="W83" s="2074"/>
      <c r="X83" s="2075" t="s">
        <v>3459</v>
      </c>
      <c r="Y83" s="2076"/>
      <c r="Z83" s="2076"/>
      <c r="AA83" s="2076"/>
      <c r="AB83" s="2076"/>
      <c r="AC83" s="2076"/>
      <c r="AD83" s="2076"/>
      <c r="AE83" s="2076"/>
      <c r="AF83" s="2077"/>
    </row>
    <row r="84" spans="1:32" s="1" customFormat="1" ht="37.5" customHeight="1" x14ac:dyDescent="0.25">
      <c r="A84" s="1680" t="s">
        <v>2724</v>
      </c>
      <c r="B84" s="1681"/>
      <c r="C84" s="1681"/>
      <c r="D84" s="1682"/>
      <c r="E84" s="1494" t="s">
        <v>2217</v>
      </c>
      <c r="F84" s="1495"/>
      <c r="G84" s="1495"/>
      <c r="H84" s="1495"/>
      <c r="I84" s="1495"/>
      <c r="J84" s="1495"/>
      <c r="K84" s="1495"/>
      <c r="L84" s="1495"/>
      <c r="M84" s="1495"/>
      <c r="N84" s="1495"/>
      <c r="O84" s="1495"/>
      <c r="P84" s="1496"/>
      <c r="Q84" s="2071">
        <f>'Master EUL'!X21</f>
        <v>9</v>
      </c>
      <c r="R84" s="2071"/>
      <c r="S84" s="2071"/>
      <c r="T84" s="2071"/>
      <c r="U84" s="2072" t="s">
        <v>46</v>
      </c>
      <c r="V84" s="2073"/>
      <c r="W84" s="2074"/>
      <c r="X84" s="2075" t="s">
        <v>3456</v>
      </c>
      <c r="Y84" s="2076"/>
      <c r="Z84" s="2076"/>
      <c r="AA84" s="2076"/>
      <c r="AB84" s="2076"/>
      <c r="AC84" s="2076"/>
      <c r="AD84" s="2076"/>
      <c r="AE84" s="2076"/>
      <c r="AF84" s="2077"/>
    </row>
    <row r="85" spans="1:32" s="1" customFormat="1" ht="16.5" customHeight="1" x14ac:dyDescent="0.25">
      <c r="A85" s="2080" t="s">
        <v>3630</v>
      </c>
      <c r="B85" s="2080"/>
      <c r="C85" s="2080"/>
      <c r="D85" s="2080"/>
      <c r="E85" s="2080"/>
      <c r="F85" s="2080"/>
      <c r="G85" s="2080"/>
      <c r="H85" s="2080"/>
      <c r="I85" s="2080"/>
      <c r="J85" s="2080"/>
      <c r="K85" s="2080"/>
      <c r="L85" s="2080"/>
      <c r="M85" s="2080"/>
      <c r="N85" s="2080"/>
      <c r="O85" s="2080"/>
      <c r="P85" s="2080"/>
      <c r="Q85" s="2080"/>
      <c r="R85" s="2080"/>
      <c r="S85" s="2080"/>
      <c r="T85" s="2080"/>
      <c r="U85" s="2080"/>
      <c r="V85" s="2080"/>
      <c r="W85" s="2080"/>
      <c r="X85" s="2080"/>
      <c r="Y85" s="2080"/>
      <c r="Z85" s="2080"/>
      <c r="AA85" s="2080"/>
      <c r="AB85" s="2080"/>
      <c r="AC85" s="2080"/>
      <c r="AD85" s="2080"/>
      <c r="AE85" s="2080"/>
      <c r="AF85" s="2080"/>
    </row>
    <row r="86" spans="1:32" s="1" customFormat="1" ht="54.75" customHeight="1" x14ac:dyDescent="0.25">
      <c r="A86" s="2080" t="s">
        <v>3631</v>
      </c>
      <c r="B86" s="2080"/>
      <c r="C86" s="2080"/>
      <c r="D86" s="2080"/>
      <c r="E86" s="2080"/>
      <c r="F86" s="2080"/>
      <c r="G86" s="2080"/>
      <c r="H86" s="2080"/>
      <c r="I86" s="2080"/>
      <c r="J86" s="2080"/>
      <c r="K86" s="2080"/>
      <c r="L86" s="2080"/>
      <c r="M86" s="2080"/>
      <c r="N86" s="2080"/>
      <c r="O86" s="2080"/>
      <c r="P86" s="2080"/>
      <c r="Q86" s="2080"/>
      <c r="R86" s="2080"/>
      <c r="S86" s="2080"/>
      <c r="T86" s="2080"/>
      <c r="U86" s="2080"/>
      <c r="V86" s="2080"/>
      <c r="W86" s="2080"/>
      <c r="X86" s="2080"/>
      <c r="Y86" s="2080"/>
      <c r="Z86" s="2080"/>
      <c r="AA86" s="2080"/>
      <c r="AB86" s="2080"/>
      <c r="AC86" s="2080"/>
      <c r="AD86" s="2080"/>
      <c r="AE86" s="2080"/>
      <c r="AF86" s="2080"/>
    </row>
    <row r="87" spans="1:32" s="1" customFormat="1" ht="108.75" customHeight="1" x14ac:dyDescent="0.25">
      <c r="A87" s="2079" t="s">
        <v>3573</v>
      </c>
      <c r="B87" s="2079"/>
      <c r="C87" s="2079"/>
      <c r="D87" s="2079"/>
      <c r="E87" s="2079"/>
      <c r="F87" s="2079"/>
      <c r="G87" s="2079"/>
      <c r="H87" s="2079"/>
      <c r="I87" s="2079"/>
      <c r="J87" s="2079"/>
      <c r="K87" s="2079"/>
      <c r="L87" s="2079"/>
      <c r="M87" s="2079"/>
      <c r="N87" s="2079"/>
      <c r="O87" s="2079"/>
      <c r="P87" s="2079"/>
      <c r="Q87" s="2079"/>
      <c r="R87" s="2079"/>
      <c r="S87" s="2079"/>
      <c r="T87" s="2079"/>
      <c r="U87" s="2079"/>
      <c r="V87" s="2079"/>
      <c r="W87" s="2079"/>
      <c r="X87" s="2079"/>
      <c r="Y87" s="2079"/>
      <c r="Z87" s="2079"/>
      <c r="AA87" s="2079"/>
      <c r="AB87" s="2079"/>
      <c r="AC87" s="2079"/>
      <c r="AD87" s="2079"/>
      <c r="AE87" s="2079"/>
      <c r="AF87" s="2079"/>
    </row>
    <row r="88" spans="1:32" s="1" customFormat="1" x14ac:dyDescent="0.25">
      <c r="A88" s="585"/>
      <c r="B88" s="585"/>
      <c r="C88" s="585"/>
      <c r="D88" s="585"/>
      <c r="E88" s="586"/>
      <c r="F88" s="586"/>
      <c r="G88" s="586"/>
      <c r="H88" s="586"/>
      <c r="I88" s="586"/>
      <c r="J88" s="586"/>
      <c r="K88" s="586"/>
      <c r="L88" s="586"/>
      <c r="M88" s="586"/>
      <c r="N88" s="586"/>
      <c r="O88" s="586"/>
      <c r="P88" s="586"/>
      <c r="Q88" s="587"/>
      <c r="R88" s="587"/>
      <c r="S88" s="587"/>
      <c r="T88" s="587"/>
      <c r="U88" s="587"/>
      <c r="V88" s="587"/>
      <c r="W88" s="587"/>
      <c r="X88" s="586"/>
      <c r="Y88" s="586"/>
      <c r="Z88" s="586"/>
      <c r="AA88" s="586"/>
      <c r="AB88" s="586"/>
      <c r="AC88" s="586"/>
      <c r="AD88" s="586"/>
      <c r="AE88" s="586"/>
      <c r="AF88" s="586"/>
    </row>
    <row r="89" spans="1:32" s="1" customFormat="1" x14ac:dyDescent="0.25">
      <c r="A89" s="2040" t="s">
        <v>21</v>
      </c>
      <c r="B89" s="2040"/>
      <c r="C89" s="2040"/>
      <c r="D89" s="2040"/>
      <c r="E89" s="2040"/>
      <c r="F89" s="2040"/>
      <c r="G89" s="2040"/>
      <c r="H89" s="2040"/>
      <c r="I89" s="2040"/>
      <c r="J89" s="2040"/>
      <c r="K89" s="2040"/>
      <c r="L89" s="2040"/>
      <c r="M89" s="2040"/>
      <c r="N89" s="2040"/>
      <c r="O89" s="2040"/>
      <c r="P89" s="2040"/>
      <c r="Q89" s="2040"/>
      <c r="R89" s="2040"/>
      <c r="S89" s="2040"/>
      <c r="T89" s="2040"/>
      <c r="U89" s="2040"/>
      <c r="V89" s="2040"/>
      <c r="W89" s="2040"/>
      <c r="X89" s="2040"/>
      <c r="Y89" s="2040"/>
      <c r="Z89" s="2040"/>
      <c r="AA89" s="2040"/>
      <c r="AB89" s="2040"/>
      <c r="AC89" s="2040"/>
      <c r="AD89" s="2040"/>
      <c r="AE89" s="2040"/>
      <c r="AF89" s="2040"/>
    </row>
    <row r="90" spans="1:32" s="148" customFormat="1" x14ac:dyDescent="0.25">
      <c r="A90" s="546"/>
      <c r="B90" s="548"/>
      <c r="C90" s="547"/>
      <c r="D90" s="547"/>
      <c r="E90" s="547"/>
      <c r="F90" s="547"/>
      <c r="G90" s="547"/>
      <c r="H90" s="547"/>
      <c r="I90" s="547"/>
      <c r="J90" s="547"/>
      <c r="K90" s="547"/>
      <c r="L90" s="547"/>
      <c r="M90" s="547"/>
      <c r="N90" s="547"/>
      <c r="O90" s="547"/>
      <c r="P90" s="547"/>
      <c r="Q90" s="547"/>
      <c r="R90" s="547"/>
      <c r="S90" s="547"/>
      <c r="T90" s="547"/>
      <c r="U90" s="547"/>
      <c r="V90" s="547"/>
      <c r="W90" s="547"/>
      <c r="X90" s="547"/>
      <c r="Y90" s="547"/>
      <c r="Z90" s="547"/>
      <c r="AA90" s="547"/>
      <c r="AB90" s="547"/>
      <c r="AC90" s="547"/>
      <c r="AD90" s="547"/>
      <c r="AE90" s="547"/>
      <c r="AF90" s="547"/>
    </row>
    <row r="91" spans="1:32" x14ac:dyDescent="0.25">
      <c r="A91" s="227"/>
      <c r="B91" s="1168" t="s">
        <v>3462</v>
      </c>
      <c r="C91" s="1168"/>
      <c r="D91" s="1168"/>
      <c r="E91" s="1168"/>
      <c r="F91" s="1168"/>
      <c r="G91" s="1168"/>
      <c r="H91" s="1168"/>
      <c r="I91" s="1168"/>
      <c r="J91" s="1168"/>
      <c r="K91" s="1168"/>
      <c r="L91" s="1168"/>
      <c r="M91" s="1168"/>
      <c r="N91" s="1168"/>
      <c r="O91" s="1168"/>
      <c r="P91" s="1168"/>
      <c r="Q91" s="1168"/>
      <c r="R91" s="1168"/>
      <c r="S91" s="1168"/>
      <c r="T91" s="1168"/>
      <c r="U91" s="1168"/>
      <c r="V91" s="1168"/>
      <c r="W91" s="1168"/>
      <c r="X91" s="1168"/>
      <c r="Y91" s="1168"/>
      <c r="Z91" s="1168"/>
      <c r="AA91" s="1168"/>
      <c r="AB91" s="1168"/>
      <c r="AC91" s="1168"/>
      <c r="AD91" s="1168"/>
      <c r="AE91" s="1168"/>
      <c r="AF91" s="1168"/>
    </row>
    <row r="92" spans="1:32" x14ac:dyDescent="0.25">
      <c r="A92" s="227"/>
      <c r="B92" s="227"/>
      <c r="C92" s="227"/>
      <c r="D92" s="227"/>
      <c r="E92" s="227"/>
      <c r="F92" s="227"/>
      <c r="G92" s="3286" t="s">
        <v>2914</v>
      </c>
      <c r="H92" s="3286"/>
      <c r="I92" s="3286"/>
      <c r="J92" s="3286"/>
      <c r="K92" s="3286"/>
      <c r="L92" s="3286"/>
      <c r="M92" s="3286"/>
      <c r="N92" s="3286"/>
      <c r="O92" s="3286"/>
      <c r="P92" s="227"/>
      <c r="Q92" s="227"/>
      <c r="R92" s="227"/>
      <c r="S92" s="227"/>
      <c r="T92" s="227"/>
      <c r="U92" s="227"/>
      <c r="V92" s="227"/>
      <c r="W92" s="227"/>
      <c r="X92" s="227"/>
      <c r="Y92" s="227"/>
      <c r="Z92" s="227"/>
      <c r="AA92" s="227"/>
      <c r="AB92" s="227"/>
      <c r="AC92" s="227"/>
      <c r="AD92" s="227"/>
      <c r="AE92" s="227"/>
      <c r="AF92" s="227"/>
    </row>
    <row r="93" spans="1:32" s="148" customFormat="1" ht="15" customHeight="1" x14ac:dyDescent="0.25">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row>
    <row r="94" spans="1:32" x14ac:dyDescent="0.25">
      <c r="A94" s="1621" t="s">
        <v>1753</v>
      </c>
      <c r="B94" s="1621"/>
      <c r="C94" s="1621"/>
      <c r="D94" s="1621"/>
      <c r="E94" s="1621"/>
      <c r="F94" s="1621"/>
      <c r="G94" s="1621"/>
      <c r="H94" s="1621"/>
      <c r="I94" s="1621"/>
      <c r="J94" s="1621"/>
      <c r="K94" s="1621"/>
      <c r="L94" s="1621"/>
      <c r="M94" s="1621"/>
      <c r="N94" s="1621"/>
      <c r="O94" s="1621"/>
      <c r="P94" s="1621"/>
      <c r="Q94" s="1621"/>
      <c r="R94" s="1621"/>
      <c r="S94" s="1621"/>
      <c r="T94" s="1621"/>
      <c r="U94" s="1621"/>
      <c r="V94" s="1621"/>
      <c r="W94" s="1621"/>
      <c r="X94" s="1621"/>
      <c r="Y94" s="1621"/>
      <c r="Z94" s="1621"/>
      <c r="AA94" s="1621"/>
      <c r="AB94" s="1621"/>
      <c r="AC94" s="1621"/>
      <c r="AD94" s="1621"/>
      <c r="AE94" s="1621"/>
      <c r="AF94" s="1621"/>
    </row>
    <row r="95" spans="1:32" x14ac:dyDescent="0.25">
      <c r="A95" s="190"/>
      <c r="B95" s="190"/>
      <c r="C95" s="190"/>
      <c r="D95" s="190"/>
      <c r="E95" s="190"/>
      <c r="F95" s="190"/>
      <c r="G95" s="190"/>
      <c r="H95" s="190"/>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row>
    <row r="96" spans="1:32" ht="63.75" customHeight="1" x14ac:dyDescent="0.25">
      <c r="A96" s="517" t="s">
        <v>1013</v>
      </c>
      <c r="B96" s="1168" t="s">
        <v>3632</v>
      </c>
      <c r="C96" s="1168"/>
      <c r="D96" s="1168"/>
      <c r="E96" s="1168"/>
      <c r="F96" s="1168"/>
      <c r="G96" s="1168"/>
      <c r="H96" s="1168"/>
      <c r="I96" s="1168"/>
      <c r="J96" s="1168"/>
      <c r="K96" s="1168"/>
      <c r="L96" s="1168"/>
      <c r="M96" s="1168"/>
      <c r="N96" s="1168"/>
      <c r="O96" s="1168"/>
      <c r="P96" s="1168"/>
      <c r="Q96" s="1168"/>
      <c r="R96" s="1168"/>
      <c r="S96" s="1168"/>
      <c r="T96" s="1168"/>
      <c r="U96" s="1168"/>
      <c r="V96" s="1168"/>
      <c r="W96" s="1168"/>
      <c r="X96" s="1168"/>
      <c r="Y96" s="1168"/>
      <c r="Z96" s="1168"/>
      <c r="AA96" s="1168"/>
      <c r="AB96" s="1168"/>
      <c r="AC96" s="1168"/>
      <c r="AD96" s="1168"/>
      <c r="AE96" s="1168"/>
      <c r="AF96" s="1168"/>
    </row>
    <row r="97" spans="1:32" ht="46.5" customHeight="1" x14ac:dyDescent="0.25">
      <c r="A97" s="515" t="s">
        <v>1013</v>
      </c>
      <c r="B97" s="1173" t="s">
        <v>2083</v>
      </c>
      <c r="C97" s="1173"/>
      <c r="D97" s="1173"/>
      <c r="E97" s="1173"/>
      <c r="F97" s="1173"/>
      <c r="G97" s="1173"/>
      <c r="H97" s="1173"/>
      <c r="I97" s="1173"/>
      <c r="J97" s="1173"/>
      <c r="K97" s="1173"/>
      <c r="L97" s="1173"/>
      <c r="M97" s="1173"/>
      <c r="N97" s="1173"/>
      <c r="O97" s="1173"/>
      <c r="P97" s="1173"/>
      <c r="Q97" s="1173"/>
      <c r="R97" s="1173"/>
      <c r="S97" s="1173"/>
      <c r="T97" s="1173"/>
      <c r="U97" s="1173"/>
      <c r="V97" s="1173"/>
      <c r="W97" s="1173"/>
      <c r="X97" s="1173"/>
      <c r="Y97" s="1173"/>
      <c r="Z97" s="1173"/>
      <c r="AA97" s="1173"/>
      <c r="AB97" s="1173"/>
      <c r="AC97" s="1173"/>
      <c r="AD97" s="1173"/>
      <c r="AE97" s="1173"/>
      <c r="AF97" s="1173"/>
    </row>
    <row r="98" spans="1:32" ht="66.75" customHeight="1" x14ac:dyDescent="0.25">
      <c r="A98" s="515" t="s">
        <v>1013</v>
      </c>
      <c r="B98" s="1247" t="s">
        <v>3460</v>
      </c>
      <c r="C98" s="1247"/>
      <c r="D98" s="1247"/>
      <c r="E98" s="1247"/>
      <c r="F98" s="1247"/>
      <c r="G98" s="1247"/>
      <c r="H98" s="1247"/>
      <c r="I98" s="1247"/>
      <c r="J98" s="1247"/>
      <c r="K98" s="1247"/>
      <c r="L98" s="1247"/>
      <c r="M98" s="1247"/>
      <c r="N98" s="1247"/>
      <c r="O98" s="1247"/>
      <c r="P98" s="1247"/>
      <c r="Q98" s="1247"/>
      <c r="R98" s="1247"/>
      <c r="S98" s="1247"/>
      <c r="T98" s="1247"/>
      <c r="U98" s="1247"/>
      <c r="V98" s="1247"/>
      <c r="W98" s="1247"/>
      <c r="X98" s="1247"/>
      <c r="Y98" s="1247"/>
      <c r="Z98" s="1247"/>
      <c r="AA98" s="1247"/>
      <c r="AB98" s="1247"/>
      <c r="AC98" s="1247"/>
      <c r="AD98" s="1247"/>
      <c r="AE98" s="1247"/>
      <c r="AF98" s="1247"/>
    </row>
    <row r="99" spans="1:32" ht="50.25" customHeight="1" x14ac:dyDescent="0.25">
      <c r="A99" s="517" t="s">
        <v>1013</v>
      </c>
      <c r="B99" s="1168" t="s">
        <v>3505</v>
      </c>
      <c r="C99" s="1168"/>
      <c r="D99" s="1168"/>
      <c r="E99" s="1168"/>
      <c r="F99" s="1168"/>
      <c r="G99" s="1168"/>
      <c r="H99" s="1168"/>
      <c r="I99" s="1168"/>
      <c r="J99" s="1168"/>
      <c r="K99" s="1168"/>
      <c r="L99" s="1168"/>
      <c r="M99" s="1168"/>
      <c r="N99" s="1168"/>
      <c r="O99" s="1168"/>
      <c r="P99" s="1168"/>
      <c r="Q99" s="1168"/>
      <c r="R99" s="1168"/>
      <c r="S99" s="1168"/>
      <c r="T99" s="1168"/>
      <c r="U99" s="1168"/>
      <c r="V99" s="1168"/>
      <c r="W99" s="1168"/>
      <c r="X99" s="1168"/>
      <c r="Y99" s="1168"/>
      <c r="Z99" s="1168"/>
      <c r="AA99" s="1168"/>
      <c r="AB99" s="1168"/>
      <c r="AC99" s="1168"/>
      <c r="AD99" s="1168"/>
      <c r="AE99" s="1168"/>
      <c r="AF99" s="1168"/>
    </row>
    <row r="100" spans="1:32" ht="33.75" customHeight="1" x14ac:dyDescent="0.25">
      <c r="A100" s="517" t="s">
        <v>1013</v>
      </c>
      <c r="B100" s="1168" t="s">
        <v>3461</v>
      </c>
      <c r="C100" s="1168"/>
      <c r="D100" s="1168"/>
      <c r="E100" s="1168"/>
      <c r="F100" s="1168"/>
      <c r="G100" s="1168"/>
      <c r="H100" s="1168"/>
      <c r="I100" s="1168"/>
      <c r="J100" s="1168"/>
      <c r="K100" s="1168"/>
      <c r="L100" s="1168"/>
      <c r="M100" s="1168"/>
      <c r="N100" s="1168"/>
      <c r="O100" s="1168"/>
      <c r="P100" s="1168"/>
      <c r="Q100" s="1168"/>
      <c r="R100" s="1168"/>
      <c r="S100" s="1168"/>
      <c r="T100" s="1168"/>
      <c r="U100" s="1168"/>
      <c r="V100" s="1168"/>
      <c r="W100" s="1168"/>
      <c r="X100" s="1168"/>
      <c r="Y100" s="1168"/>
      <c r="Z100" s="1168"/>
      <c r="AA100" s="1168"/>
      <c r="AB100" s="1168"/>
      <c r="AC100" s="1168"/>
      <c r="AD100" s="1168"/>
      <c r="AE100" s="1168"/>
      <c r="AF100" s="1168"/>
    </row>
    <row r="101" spans="1:32" ht="33.75" customHeight="1" x14ac:dyDescent="0.25">
      <c r="A101" s="517" t="s">
        <v>1013</v>
      </c>
      <c r="B101" s="1168" t="s">
        <v>3482</v>
      </c>
      <c r="C101" s="1168"/>
      <c r="D101" s="1168"/>
      <c r="E101" s="1168"/>
      <c r="F101" s="1168"/>
      <c r="G101" s="1168"/>
      <c r="H101" s="1168"/>
      <c r="I101" s="1168"/>
      <c r="J101" s="1168"/>
      <c r="K101" s="1168"/>
      <c r="L101" s="1168"/>
      <c r="M101" s="1168"/>
      <c r="N101" s="1168"/>
      <c r="O101" s="1168"/>
      <c r="P101" s="1168"/>
      <c r="Q101" s="1168"/>
      <c r="R101" s="1168"/>
      <c r="S101" s="1168"/>
      <c r="T101" s="1168"/>
      <c r="U101" s="1168"/>
      <c r="V101" s="1168"/>
      <c r="W101" s="1168"/>
      <c r="X101" s="1168"/>
      <c r="Y101" s="1168"/>
      <c r="Z101" s="1168"/>
      <c r="AA101" s="1168"/>
      <c r="AB101" s="1168"/>
      <c r="AC101" s="1168"/>
      <c r="AD101" s="1168"/>
      <c r="AE101" s="1168"/>
      <c r="AF101" s="1168"/>
    </row>
    <row r="102" spans="1:32" ht="34.5" customHeight="1" x14ac:dyDescent="0.25">
      <c r="A102" s="515" t="s">
        <v>1013</v>
      </c>
      <c r="B102" s="1173" t="s">
        <v>3633</v>
      </c>
      <c r="C102" s="1173"/>
      <c r="D102" s="1173"/>
      <c r="E102" s="1173"/>
      <c r="F102" s="1173"/>
      <c r="G102" s="1173"/>
      <c r="H102" s="1173"/>
      <c r="I102" s="1173"/>
      <c r="J102" s="1173"/>
      <c r="K102" s="1173"/>
      <c r="L102" s="1173"/>
      <c r="M102" s="1173"/>
      <c r="N102" s="1173"/>
      <c r="O102" s="1173"/>
      <c r="P102" s="1173"/>
      <c r="Q102" s="1173"/>
      <c r="R102" s="1173"/>
      <c r="S102" s="1173"/>
      <c r="T102" s="1173"/>
      <c r="U102" s="1173"/>
      <c r="V102" s="1173"/>
      <c r="W102" s="1173"/>
      <c r="X102" s="1173"/>
      <c r="Y102" s="1173"/>
      <c r="Z102" s="1173"/>
      <c r="AA102" s="1173"/>
      <c r="AB102" s="1173"/>
      <c r="AC102" s="1173"/>
      <c r="AD102" s="1173"/>
      <c r="AE102" s="1173"/>
      <c r="AF102" s="1173"/>
    </row>
    <row r="103" spans="1:32" ht="66" customHeight="1" x14ac:dyDescent="0.25">
      <c r="A103" s="517" t="s">
        <v>1013</v>
      </c>
      <c r="B103" s="1168" t="s">
        <v>2872</v>
      </c>
      <c r="C103" s="1168"/>
      <c r="D103" s="1168"/>
      <c r="E103" s="1168"/>
      <c r="F103" s="1168"/>
      <c r="G103" s="1168"/>
      <c r="H103" s="1168"/>
      <c r="I103" s="1168"/>
      <c r="J103" s="1168"/>
      <c r="K103" s="1168"/>
      <c r="L103" s="1168"/>
      <c r="M103" s="1168"/>
      <c r="N103" s="1168"/>
      <c r="O103" s="1168"/>
      <c r="P103" s="1168"/>
      <c r="Q103" s="1168"/>
      <c r="R103" s="1168"/>
      <c r="S103" s="1168"/>
      <c r="T103" s="1168"/>
      <c r="U103" s="1168"/>
      <c r="V103" s="1168"/>
      <c r="W103" s="1168"/>
      <c r="X103" s="1168"/>
      <c r="Y103" s="1168"/>
      <c r="Z103" s="1168"/>
      <c r="AA103" s="1168"/>
      <c r="AB103" s="1168"/>
      <c r="AC103" s="1168"/>
      <c r="AD103" s="1168"/>
      <c r="AE103" s="1168"/>
      <c r="AF103" s="1168"/>
    </row>
  </sheetData>
  <sheetProtection algorithmName="SHA-512" hashValue="AutRirjlFhxMC4B66Ej746tY+Nu1+hAJx8dq8ZLgfH78dCkBz6BuaTypPPvKiVw7nrpTSeMoDoStX/7IKgSmlg==" saltValue="/COrrDZGwrF/Ehllvk9k+A==" spinCount="100000" sheet="1" objects="1" scenarios="1"/>
  <mergeCells count="162">
    <mergeCell ref="AA37:AC37"/>
    <mergeCell ref="B28:AF28"/>
    <mergeCell ref="B39:AF39"/>
    <mergeCell ref="B40:AF40"/>
    <mergeCell ref="B41:AF41"/>
    <mergeCell ref="A87:AF87"/>
    <mergeCell ref="B38:H38"/>
    <mergeCell ref="I38:K38"/>
    <mergeCell ref="L38:N38"/>
    <mergeCell ref="O38:Q38"/>
    <mergeCell ref="R38:T38"/>
    <mergeCell ref="U38:W38"/>
    <mergeCell ref="X38:Z38"/>
    <mergeCell ref="AA38:AC38"/>
    <mergeCell ref="AD38:AF38"/>
    <mergeCell ref="Q77:T77"/>
    <mergeCell ref="U77:W77"/>
    <mergeCell ref="A64:H64"/>
    <mergeCell ref="A52:H52"/>
    <mergeCell ref="A60:H60"/>
    <mergeCell ref="A68:H68"/>
    <mergeCell ref="U78:W78"/>
    <mergeCell ref="X78:AF78"/>
    <mergeCell ref="U81:W81"/>
    <mergeCell ref="AD37:AF37"/>
    <mergeCell ref="L35:N35"/>
    <mergeCell ref="O35:Q35"/>
    <mergeCell ref="R35:T35"/>
    <mergeCell ref="U35:W35"/>
    <mergeCell ref="X35:Z35"/>
    <mergeCell ref="AA35:AC35"/>
    <mergeCell ref="AD35:AF35"/>
    <mergeCell ref="B36:H36"/>
    <mergeCell ref="I36:K36"/>
    <mergeCell ref="L36:N36"/>
    <mergeCell ref="O36:Q36"/>
    <mergeCell ref="R36:T36"/>
    <mergeCell ref="U36:W36"/>
    <mergeCell ref="X36:Z36"/>
    <mergeCell ref="AA36:AC36"/>
    <mergeCell ref="AD36:AF36"/>
    <mergeCell ref="B37:H37"/>
    <mergeCell ref="I37:K37"/>
    <mergeCell ref="L37:N37"/>
    <mergeCell ref="O37:Q37"/>
    <mergeCell ref="R37:T37"/>
    <mergeCell ref="U37:W37"/>
    <mergeCell ref="X37:Z37"/>
    <mergeCell ref="A1:AF1"/>
    <mergeCell ref="A89:AF89"/>
    <mergeCell ref="A70:AF70"/>
    <mergeCell ref="A84:D84"/>
    <mergeCell ref="E84:P84"/>
    <mergeCell ref="Q84:T84"/>
    <mergeCell ref="U84:W84"/>
    <mergeCell ref="X84:AF84"/>
    <mergeCell ref="A82:D82"/>
    <mergeCell ref="E82:P82"/>
    <mergeCell ref="Q82:T82"/>
    <mergeCell ref="U82:W82"/>
    <mergeCell ref="A71:D71"/>
    <mergeCell ref="E71:P71"/>
    <mergeCell ref="Q71:T71"/>
    <mergeCell ref="X82:AF82"/>
    <mergeCell ref="A72:D72"/>
    <mergeCell ref="E72:P72"/>
    <mergeCell ref="Q72:T72"/>
    <mergeCell ref="A81:D81"/>
    <mergeCell ref="E81:P81"/>
    <mergeCell ref="Q81:T81"/>
    <mergeCell ref="U72:W72"/>
    <mergeCell ref="U71:W71"/>
    <mergeCell ref="A3:AF3"/>
    <mergeCell ref="B5:AF5"/>
    <mergeCell ref="A76:D76"/>
    <mergeCell ref="E76:P76"/>
    <mergeCell ref="Q76:T76"/>
    <mergeCell ref="A7:AF7"/>
    <mergeCell ref="B9:I9"/>
    <mergeCell ref="B10:AF10"/>
    <mergeCell ref="B12:I12"/>
    <mergeCell ref="B13:AF13"/>
    <mergeCell ref="B26:AF26"/>
    <mergeCell ref="A44:AF44"/>
    <mergeCell ref="B15:I15"/>
    <mergeCell ref="B16:AF16"/>
    <mergeCell ref="B18:I18"/>
    <mergeCell ref="B19:AF19"/>
    <mergeCell ref="X71:AF71"/>
    <mergeCell ref="U76:W76"/>
    <mergeCell ref="X76:AF76"/>
    <mergeCell ref="X72:AF72"/>
    <mergeCell ref="B21:AF21"/>
    <mergeCell ref="B23:AF23"/>
    <mergeCell ref="A48:H48"/>
    <mergeCell ref="A56:H56"/>
    <mergeCell ref="B103:AF103"/>
    <mergeCell ref="A73:D73"/>
    <mergeCell ref="E73:P73"/>
    <mergeCell ref="Q73:T73"/>
    <mergeCell ref="U73:W73"/>
    <mergeCell ref="X73:AF73"/>
    <mergeCell ref="A86:AF86"/>
    <mergeCell ref="A83:D83"/>
    <mergeCell ref="E83:P83"/>
    <mergeCell ref="Q83:T83"/>
    <mergeCell ref="U83:W83"/>
    <mergeCell ref="X83:AF83"/>
    <mergeCell ref="A74:D74"/>
    <mergeCell ref="E74:P74"/>
    <mergeCell ref="Q74:T74"/>
    <mergeCell ref="U74:W74"/>
    <mergeCell ref="X74:AF74"/>
    <mergeCell ref="A80:D80"/>
    <mergeCell ref="E80:P80"/>
    <mergeCell ref="Q80:T80"/>
    <mergeCell ref="U79:W79"/>
    <mergeCell ref="X79:AF79"/>
    <mergeCell ref="U80:W80"/>
    <mergeCell ref="X80:AF80"/>
    <mergeCell ref="A79:D79"/>
    <mergeCell ref="E79:P79"/>
    <mergeCell ref="Q79:T79"/>
    <mergeCell ref="A77:D77"/>
    <mergeCell ref="E77:P77"/>
    <mergeCell ref="B99:AF99"/>
    <mergeCell ref="B100:AF100"/>
    <mergeCell ref="B102:AF102"/>
    <mergeCell ref="B98:AF98"/>
    <mergeCell ref="A94:AF94"/>
    <mergeCell ref="B96:AF96"/>
    <mergeCell ref="B97:AF97"/>
    <mergeCell ref="B101:AF101"/>
    <mergeCell ref="A85:AF85"/>
    <mergeCell ref="G92:O92"/>
    <mergeCell ref="B91:AF91"/>
    <mergeCell ref="A78:D78"/>
    <mergeCell ref="X81:AF81"/>
    <mergeCell ref="B30:AF30"/>
    <mergeCell ref="X77:AF77"/>
    <mergeCell ref="A75:D75"/>
    <mergeCell ref="E75:P75"/>
    <mergeCell ref="Q75:T75"/>
    <mergeCell ref="U75:W75"/>
    <mergeCell ref="X75:AF75"/>
    <mergeCell ref="E78:P78"/>
    <mergeCell ref="Q78:T78"/>
    <mergeCell ref="B32:AF32"/>
    <mergeCell ref="B33:H34"/>
    <mergeCell ref="I33:N33"/>
    <mergeCell ref="O33:T33"/>
    <mergeCell ref="U33:AF33"/>
    <mergeCell ref="I34:K34"/>
    <mergeCell ref="L34:N34"/>
    <mergeCell ref="O34:Q34"/>
    <mergeCell ref="R34:T34"/>
    <mergeCell ref="U34:W34"/>
    <mergeCell ref="X34:Z34"/>
    <mergeCell ref="AA34:AC34"/>
    <mergeCell ref="AD34:AF34"/>
    <mergeCell ref="B35:H35"/>
    <mergeCell ref="I35:K35"/>
  </mergeCells>
  <hyperlinks>
    <hyperlink ref="A2" location="TOC!A1" display="Return to TOC" xr:uid="{00000000-0004-0000-4C00-000000000000}"/>
    <hyperlink ref="G92:O92" location="R_HVAC_AC_WKST!A1" display="R_HVAC_AC_WKST" xr:uid="{00000000-0004-0000-4C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48:AF49 AF57 AF54:AF55 AF62:AF63 AF52:AF53 AF64:AF68 AF56 AF58:AF61" numberStoredAsText="1"/>
    <ignoredError sqref="AA35:AC38" formula="1"/>
  </ignoredError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A42F9-7B41-434C-BF4A-800195271673}">
  <sheetPr codeName="Sheet54">
    <tabColor theme="7" tint="0.79998168889431442"/>
    <pageSetUpPr autoPageBreaks="0"/>
  </sheetPr>
  <dimension ref="A1:AM76"/>
  <sheetViews>
    <sheetView workbookViewId="0">
      <selection sqref="A1:AF1"/>
    </sheetView>
  </sheetViews>
  <sheetFormatPr defaultColWidth="2.7109375" defaultRowHeight="15" x14ac:dyDescent="0.25"/>
  <cols>
    <col min="1" max="32" width="2.7109375" style="227"/>
  </cols>
  <sheetData>
    <row r="1" spans="1:32" s="1" customFormat="1" ht="15" customHeight="1" x14ac:dyDescent="0.25">
      <c r="A1" s="1464" t="s">
        <v>2905</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s="1" customFormat="1" ht="14.45" customHeight="1" x14ac:dyDescent="0.25">
      <c r="A2" s="376"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row>
    <row r="3" spans="1:32"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262"/>
      <c r="B5" s="1622" t="s">
        <v>5706</v>
      </c>
      <c r="C5" s="1622"/>
      <c r="D5" s="1622"/>
      <c r="E5" s="1622"/>
      <c r="F5" s="1622"/>
      <c r="G5" s="1622"/>
      <c r="H5" s="1622"/>
      <c r="I5" s="1622"/>
      <c r="J5" s="1622"/>
      <c r="K5" s="1622"/>
      <c r="L5" s="1622"/>
      <c r="M5" s="1622"/>
      <c r="N5" s="1622"/>
      <c r="O5" s="1622"/>
      <c r="P5" s="1622"/>
      <c r="Q5" s="1622"/>
      <c r="R5" s="1622"/>
      <c r="S5" s="1622"/>
      <c r="T5" s="1622"/>
      <c r="U5" s="1622"/>
      <c r="V5" s="1622"/>
      <c r="W5" s="1622"/>
      <c r="X5" s="1622"/>
      <c r="Y5" s="1622"/>
      <c r="Z5" s="1622"/>
      <c r="AA5" s="1622"/>
      <c r="AB5" s="1622"/>
      <c r="AC5" s="1622"/>
      <c r="AD5" s="1622"/>
      <c r="AE5" s="1622"/>
      <c r="AF5" s="1622"/>
    </row>
    <row r="6" spans="1:32" s="1" customFormat="1" ht="15" customHeight="1" x14ac:dyDescent="0.25">
      <c r="A6" s="529"/>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row>
    <row r="7" spans="1:32" s="1" customFormat="1" ht="15" customHeight="1"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row>
    <row r="8" spans="1:32" s="1" customFormat="1" ht="15" customHeight="1" x14ac:dyDescent="0.25">
      <c r="A8" s="19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row>
    <row r="9" spans="1:32" s="1" customFormat="1" ht="15" customHeight="1"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row>
    <row r="10" spans="1:32" s="4" customFormat="1" ht="187.5" customHeight="1" x14ac:dyDescent="0.25">
      <c r="A10" s="263"/>
      <c r="B10" s="1173" t="s">
        <v>4575</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row>
    <row r="11" spans="1:32" s="1" customFormat="1" ht="15" customHeight="1"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row>
    <row r="12" spans="1:32" s="1" customFormat="1" ht="15" customHeight="1"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row>
    <row r="13" spans="1:32" s="1" customFormat="1" x14ac:dyDescent="0.25">
      <c r="A13" s="262"/>
      <c r="B13" s="1173" t="s">
        <v>4576</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row>
    <row r="14" spans="1:32" s="1" customFormat="1" ht="15" customHeight="1" x14ac:dyDescent="0.2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row>
    <row r="15" spans="1:32" s="1" customFormat="1" ht="15" customHeight="1" x14ac:dyDescent="0.25">
      <c r="A15" s="262"/>
      <c r="B15" s="1845" t="s">
        <v>12</v>
      </c>
      <c r="C15" s="1845"/>
      <c r="D15" s="1845"/>
      <c r="E15" s="1845"/>
      <c r="F15" s="1845"/>
      <c r="G15" s="1845"/>
      <c r="H15" s="1845"/>
      <c r="I15" s="1845"/>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row>
    <row r="16" spans="1:32" s="1" customFormat="1" ht="15" customHeight="1" x14ac:dyDescent="0.25">
      <c r="A16" s="262"/>
      <c r="B16" s="1589" t="s">
        <v>2906</v>
      </c>
      <c r="C16" s="1589"/>
      <c r="D16" s="1589"/>
      <c r="E16" s="1589"/>
      <c r="F16" s="1589"/>
      <c r="G16" s="1589"/>
      <c r="H16" s="1589"/>
      <c r="I16" s="1589"/>
      <c r="J16" s="1589"/>
      <c r="K16" s="1589"/>
      <c r="L16" s="1589"/>
      <c r="M16" s="1589"/>
      <c r="N16" s="1589"/>
      <c r="O16" s="1589"/>
      <c r="P16" s="1589"/>
      <c r="Q16" s="1589"/>
      <c r="R16" s="1589"/>
      <c r="S16" s="1589"/>
      <c r="T16" s="1589"/>
      <c r="U16" s="1589"/>
      <c r="V16" s="1589"/>
      <c r="W16" s="1589"/>
      <c r="X16" s="1589"/>
      <c r="Y16" s="1589"/>
      <c r="Z16" s="1589"/>
      <c r="AA16" s="1589"/>
      <c r="AB16" s="1589"/>
      <c r="AC16" s="1589"/>
      <c r="AD16" s="1589"/>
      <c r="AE16" s="1589"/>
      <c r="AF16" s="1589"/>
    </row>
    <row r="17" spans="1:39" s="1" customFormat="1" ht="15" customHeight="1" x14ac:dyDescent="0.25">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row>
    <row r="18" spans="1:39" s="1" customFormat="1" ht="15" customHeight="1" x14ac:dyDescent="0.25">
      <c r="A18" s="262"/>
      <c r="B18" s="1845" t="s">
        <v>13</v>
      </c>
      <c r="C18" s="1845"/>
      <c r="D18" s="1845"/>
      <c r="E18" s="1845"/>
      <c r="F18" s="1845"/>
      <c r="G18" s="1845"/>
      <c r="H18" s="1845"/>
      <c r="I18" s="1845"/>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row>
    <row r="19" spans="1:39" s="4" customFormat="1" ht="63" customHeight="1" x14ac:dyDescent="0.25">
      <c r="A19" s="263"/>
      <c r="B19" s="1173" t="s">
        <v>5707</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M19" s="1"/>
    </row>
    <row r="20" spans="1:39" s="1" customFormat="1" ht="15" customHeight="1" x14ac:dyDescent="0.25">
      <c r="A20" s="263"/>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row>
    <row r="21" spans="1:39" s="1" customFormat="1" ht="15.75" customHeight="1" x14ac:dyDescent="0.25">
      <c r="A21" s="263"/>
      <c r="B21" s="338" t="s">
        <v>3043</v>
      </c>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row>
    <row r="22" spans="1:39" s="1" customFormat="1" ht="15" customHeight="1" x14ac:dyDescent="0.25">
      <c r="A22" s="263"/>
      <c r="B22" s="1819" t="s">
        <v>2880</v>
      </c>
      <c r="C22" s="1720"/>
      <c r="D22" s="1720"/>
      <c r="E22" s="1720"/>
      <c r="F22" s="1720"/>
      <c r="G22" s="1720"/>
      <c r="H22" s="2825"/>
      <c r="I22" s="1439" t="s">
        <v>129</v>
      </c>
      <c r="J22" s="1440"/>
      <c r="K22" s="1440"/>
      <c r="L22" s="1440"/>
      <c r="M22" s="1440"/>
      <c r="N22" s="1440"/>
      <c r="O22" s="1440"/>
      <c r="P22" s="1440"/>
      <c r="Q22" s="1440"/>
      <c r="R22" s="1440"/>
      <c r="S22" s="1440"/>
      <c r="T22" s="1440"/>
      <c r="U22" s="1440"/>
      <c r="V22" s="1440"/>
      <c r="W22" s="1440"/>
      <c r="X22" s="1440"/>
      <c r="Y22" s="1440"/>
      <c r="Z22" s="1440"/>
      <c r="AA22" s="1440"/>
      <c r="AB22" s="1440"/>
      <c r="AC22" s="1440"/>
      <c r="AD22" s="1440"/>
      <c r="AE22" s="1440"/>
      <c r="AF22" s="1441"/>
    </row>
    <row r="23" spans="1:39" s="1" customFormat="1" ht="31.5" customHeight="1" x14ac:dyDescent="0.25">
      <c r="A23" s="263"/>
      <c r="B23" s="2826"/>
      <c r="C23" s="2827"/>
      <c r="D23" s="2827"/>
      <c r="E23" s="2827"/>
      <c r="F23" s="2827"/>
      <c r="G23" s="2827"/>
      <c r="H23" s="2828"/>
      <c r="I23" s="1439" t="s">
        <v>5708</v>
      </c>
      <c r="J23" s="1440"/>
      <c r="K23" s="1440"/>
      <c r="L23" s="1440"/>
      <c r="M23" s="1440"/>
      <c r="N23" s="1441"/>
      <c r="O23" s="1439" t="s">
        <v>5709</v>
      </c>
      <c r="P23" s="1440"/>
      <c r="Q23" s="1440"/>
      <c r="R23" s="1440"/>
      <c r="S23" s="1440"/>
      <c r="T23" s="1441"/>
      <c r="U23" s="1439" t="s">
        <v>5710</v>
      </c>
      <c r="V23" s="1440"/>
      <c r="W23" s="1440"/>
      <c r="X23" s="1440"/>
      <c r="Y23" s="1440"/>
      <c r="Z23" s="1441"/>
      <c r="AA23" s="1439" t="s">
        <v>5711</v>
      </c>
      <c r="AB23" s="1440"/>
      <c r="AC23" s="1440"/>
      <c r="AD23" s="1440"/>
      <c r="AE23" s="1440"/>
      <c r="AF23" s="1441"/>
    </row>
    <row r="24" spans="1:39" s="1" customFormat="1" ht="30" customHeight="1" x14ac:dyDescent="0.25">
      <c r="A24" s="263"/>
      <c r="B24" s="2004" t="s">
        <v>2910</v>
      </c>
      <c r="C24" s="1670"/>
      <c r="D24" s="1670"/>
      <c r="E24" s="1670"/>
      <c r="F24" s="1670"/>
      <c r="G24" s="1670"/>
      <c r="H24" s="1671"/>
      <c r="I24" s="3287">
        <v>10.9</v>
      </c>
      <c r="J24" s="3288"/>
      <c r="K24" s="3288"/>
      <c r="L24" s="3288" t="s">
        <v>3988</v>
      </c>
      <c r="M24" s="3288"/>
      <c r="N24" s="3289"/>
      <c r="O24" s="3287">
        <f>ROUND(I24*1.01,1)</f>
        <v>11</v>
      </c>
      <c r="P24" s="3288"/>
      <c r="Q24" s="3288"/>
      <c r="R24" s="3288" t="s">
        <v>308</v>
      </c>
      <c r="S24" s="3288"/>
      <c r="T24" s="3289"/>
      <c r="U24" s="3295" t="s">
        <v>3577</v>
      </c>
      <c r="V24" s="3296"/>
      <c r="W24" s="3296"/>
      <c r="X24" s="3288"/>
      <c r="Y24" s="3288"/>
      <c r="Z24" s="3289"/>
      <c r="AA24" s="3295" t="s">
        <v>3577</v>
      </c>
      <c r="AB24" s="3296"/>
      <c r="AC24" s="3296"/>
      <c r="AD24" s="3288"/>
      <c r="AE24" s="3288"/>
      <c r="AF24" s="3289"/>
    </row>
    <row r="25" spans="1:39" s="1" customFormat="1" ht="30" customHeight="1" x14ac:dyDescent="0.25">
      <c r="A25" s="263"/>
      <c r="B25" s="2004" t="s">
        <v>2911</v>
      </c>
      <c r="C25" s="1670"/>
      <c r="D25" s="1670"/>
      <c r="E25" s="1670"/>
      <c r="F25" s="1670"/>
      <c r="G25" s="1670"/>
      <c r="H25" s="1671"/>
      <c r="I25" s="3287">
        <v>10.7</v>
      </c>
      <c r="J25" s="3288"/>
      <c r="K25" s="3288"/>
      <c r="L25" s="3288" t="s">
        <v>3988</v>
      </c>
      <c r="M25" s="3288"/>
      <c r="N25" s="3289"/>
      <c r="O25" s="3287">
        <f>ROUND(I25*1.01,1)</f>
        <v>10.8</v>
      </c>
      <c r="P25" s="3288"/>
      <c r="Q25" s="3288"/>
      <c r="R25" s="3288" t="s">
        <v>308</v>
      </c>
      <c r="S25" s="3288"/>
      <c r="T25" s="3289"/>
      <c r="U25" s="3295" t="s">
        <v>3577</v>
      </c>
      <c r="V25" s="3296"/>
      <c r="W25" s="3296"/>
      <c r="X25" s="3288"/>
      <c r="Y25" s="3288"/>
      <c r="Z25" s="3289"/>
      <c r="AA25" s="3295" t="s">
        <v>3577</v>
      </c>
      <c r="AB25" s="3296"/>
      <c r="AC25" s="3296"/>
      <c r="AD25" s="3288"/>
      <c r="AE25" s="3288"/>
      <c r="AF25" s="3289"/>
    </row>
    <row r="26" spans="1:39" s="1" customFormat="1" ht="30" customHeight="1" x14ac:dyDescent="0.25">
      <c r="A26" s="263"/>
      <c r="B26" s="2004" t="s">
        <v>5721</v>
      </c>
      <c r="C26" s="1670"/>
      <c r="D26" s="1670"/>
      <c r="E26" s="1670"/>
      <c r="F26" s="1670"/>
      <c r="G26" s="1670"/>
      <c r="H26" s="1671"/>
      <c r="I26" s="3287">
        <v>9.4</v>
      </c>
      <c r="J26" s="3288"/>
      <c r="K26" s="3288"/>
      <c r="L26" s="3288" t="s">
        <v>3988</v>
      </c>
      <c r="M26" s="3288"/>
      <c r="N26" s="3289"/>
      <c r="O26" s="3287">
        <f>ROUND(I26*1.01,1)</f>
        <v>9.5</v>
      </c>
      <c r="P26" s="3288"/>
      <c r="Q26" s="3288"/>
      <c r="R26" s="3288" t="s">
        <v>308</v>
      </c>
      <c r="S26" s="3288"/>
      <c r="T26" s="3289"/>
      <c r="U26" s="3295" t="s">
        <v>3577</v>
      </c>
      <c r="V26" s="3296"/>
      <c r="W26" s="3296"/>
      <c r="X26" s="3288"/>
      <c r="Y26" s="3288"/>
      <c r="Z26" s="3289"/>
      <c r="AA26" s="3295" t="s">
        <v>3577</v>
      </c>
      <c r="AB26" s="3296"/>
      <c r="AC26" s="3296"/>
      <c r="AD26" s="3288"/>
      <c r="AE26" s="3288"/>
      <c r="AF26" s="3289"/>
    </row>
    <row r="27" spans="1:39" s="1" customFormat="1" ht="30" customHeight="1" x14ac:dyDescent="0.25">
      <c r="A27" s="263"/>
      <c r="B27" s="2004" t="s">
        <v>5722</v>
      </c>
      <c r="C27" s="1670"/>
      <c r="D27" s="1670"/>
      <c r="E27" s="1670"/>
      <c r="F27" s="1670"/>
      <c r="G27" s="1670"/>
      <c r="H27" s="1671"/>
      <c r="I27" s="3287">
        <v>14.3</v>
      </c>
      <c r="J27" s="3288"/>
      <c r="K27" s="3288"/>
      <c r="L27" s="3288" t="s">
        <v>5712</v>
      </c>
      <c r="M27" s="3288"/>
      <c r="N27" s="3289"/>
      <c r="O27" s="3287">
        <v>11.7</v>
      </c>
      <c r="P27" s="3288"/>
      <c r="Q27" s="3288"/>
      <c r="R27" s="3288" t="s">
        <v>5713</v>
      </c>
      <c r="S27" s="3288"/>
      <c r="T27" s="3289"/>
      <c r="U27" s="3287">
        <f>ROUND(I27*1.049,1)</f>
        <v>15</v>
      </c>
      <c r="V27" s="3288"/>
      <c r="W27" s="3288"/>
      <c r="X27" s="3288" t="s">
        <v>1008</v>
      </c>
      <c r="Y27" s="3288"/>
      <c r="Z27" s="3289"/>
      <c r="AA27" s="3287">
        <f>ROUND(O27*1.043,1)</f>
        <v>12.2</v>
      </c>
      <c r="AB27" s="3288"/>
      <c r="AC27" s="3288"/>
      <c r="AD27" s="3288" t="s">
        <v>308</v>
      </c>
      <c r="AE27" s="3288"/>
      <c r="AF27" s="3289"/>
    </row>
    <row r="28" spans="1:39" ht="30" customHeight="1" x14ac:dyDescent="0.25">
      <c r="B28" s="2004" t="s">
        <v>5723</v>
      </c>
      <c r="C28" s="1670"/>
      <c r="D28" s="1670"/>
      <c r="E28" s="1670"/>
      <c r="F28" s="1670"/>
      <c r="G28" s="1670"/>
      <c r="H28" s="1671"/>
      <c r="I28" s="3287">
        <v>13.8</v>
      </c>
      <c r="J28" s="3288"/>
      <c r="K28" s="3288"/>
      <c r="L28" s="3288" t="s">
        <v>5712</v>
      </c>
      <c r="M28" s="3288"/>
      <c r="N28" s="3289"/>
      <c r="O28" s="3287">
        <v>11.2</v>
      </c>
      <c r="P28" s="3288"/>
      <c r="Q28" s="3288"/>
      <c r="R28" s="3288" t="s">
        <v>5713</v>
      </c>
      <c r="S28" s="3288"/>
      <c r="T28" s="3289"/>
      <c r="U28" s="3287">
        <f>ROUND(I28*1.034,1)</f>
        <v>14.3</v>
      </c>
      <c r="V28" s="3288"/>
      <c r="W28" s="3288"/>
      <c r="X28" s="3288" t="s">
        <v>1008</v>
      </c>
      <c r="Y28" s="3288"/>
      <c r="Z28" s="3289"/>
      <c r="AA28" s="3287">
        <f>ROUND(O28*1.034,1)</f>
        <v>11.6</v>
      </c>
      <c r="AB28" s="3288"/>
      <c r="AC28" s="3288"/>
      <c r="AD28" s="3288" t="s">
        <v>308</v>
      </c>
      <c r="AE28" s="3288"/>
      <c r="AF28" s="3289"/>
    </row>
    <row r="29" spans="1:39" ht="121.5" customHeight="1" x14ac:dyDescent="0.25">
      <c r="B29" s="3290" t="s">
        <v>5714</v>
      </c>
      <c r="C29" s="3290"/>
      <c r="D29" s="3290"/>
      <c r="E29" s="3290"/>
      <c r="F29" s="3290"/>
      <c r="G29" s="3290"/>
      <c r="H29" s="3290"/>
      <c r="I29" s="3290"/>
      <c r="J29" s="3290"/>
      <c r="K29" s="3290"/>
      <c r="L29" s="3290"/>
      <c r="M29" s="3290"/>
      <c r="N29" s="3290"/>
      <c r="O29" s="3290"/>
      <c r="P29" s="3290"/>
      <c r="Q29" s="3290"/>
      <c r="R29" s="3290"/>
      <c r="S29" s="3290"/>
      <c r="T29" s="3290"/>
      <c r="U29" s="3290"/>
      <c r="V29" s="3290"/>
      <c r="W29" s="3290"/>
      <c r="X29" s="3290"/>
      <c r="Y29" s="3290"/>
      <c r="Z29" s="3290"/>
      <c r="AA29" s="3290"/>
      <c r="AB29" s="3290"/>
      <c r="AC29" s="3290"/>
      <c r="AD29" s="3290"/>
      <c r="AE29" s="3290"/>
      <c r="AF29" s="3290"/>
    </row>
    <row r="30" spans="1:39" s="1" customFormat="1" ht="15" customHeight="1" x14ac:dyDescent="0.25">
      <c r="A30" s="262"/>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row>
    <row r="31" spans="1:39" s="1" customFormat="1" ht="15" customHeight="1" x14ac:dyDescent="0.25">
      <c r="A31" s="262"/>
      <c r="B31" s="414" t="s">
        <v>20</v>
      </c>
      <c r="C31" s="414"/>
      <c r="D31" s="414"/>
      <c r="E31" s="414"/>
      <c r="F31" s="414"/>
      <c r="G31" s="414"/>
      <c r="H31" s="414"/>
      <c r="I31" s="414"/>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row>
    <row r="32" spans="1:39" s="1" customFormat="1" ht="36.75" customHeight="1" x14ac:dyDescent="0.25">
      <c r="A32" s="262"/>
      <c r="B32" s="1173" t="s">
        <v>4577</v>
      </c>
      <c r="C32" s="1287"/>
      <c r="D32" s="1287"/>
      <c r="E32" s="1287"/>
      <c r="F32" s="1287"/>
      <c r="G32" s="1287"/>
      <c r="H32" s="1287"/>
      <c r="I32" s="1287"/>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row>
    <row r="33" spans="1:32" s="1" customFormat="1" ht="15" customHeight="1" x14ac:dyDescent="0.25">
      <c r="A33" s="262"/>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row>
    <row r="34" spans="1:32" s="1" customFormat="1" ht="15" customHeight="1" x14ac:dyDescent="0.25">
      <c r="A34" s="1621" t="s">
        <v>14</v>
      </c>
      <c r="B34" s="1621"/>
      <c r="C34" s="1621"/>
      <c r="D34" s="1621"/>
      <c r="E34" s="1621"/>
      <c r="F34" s="1621"/>
      <c r="G34" s="1621"/>
      <c r="H34" s="1621"/>
      <c r="I34" s="1621"/>
      <c r="J34" s="1621"/>
      <c r="K34" s="1621"/>
      <c r="L34" s="1621"/>
      <c r="M34" s="1621"/>
      <c r="N34" s="1621"/>
      <c r="O34" s="1621"/>
      <c r="P34" s="1621"/>
      <c r="Q34" s="1621"/>
      <c r="R34" s="1621"/>
      <c r="S34" s="1621"/>
      <c r="T34" s="1621"/>
      <c r="U34" s="1621"/>
      <c r="V34" s="1621"/>
      <c r="W34" s="1621"/>
      <c r="X34" s="1621"/>
      <c r="Y34" s="1621"/>
      <c r="Z34" s="1621"/>
      <c r="AA34" s="1621"/>
      <c r="AB34" s="1621"/>
      <c r="AC34" s="1621"/>
      <c r="AD34" s="1621"/>
      <c r="AE34" s="1621"/>
      <c r="AF34" s="1621"/>
    </row>
    <row r="35" spans="1:32" s="1" customFormat="1" ht="15" customHeight="1" x14ac:dyDescent="0.25">
      <c r="A35" s="720"/>
      <c r="B35" s="720"/>
      <c r="C35" s="720"/>
      <c r="D35" s="720"/>
      <c r="E35" s="720"/>
      <c r="F35" s="720"/>
      <c r="G35" s="720"/>
      <c r="H35" s="720"/>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row>
    <row r="36" spans="1:32" s="1" customFormat="1" ht="15" customHeight="1" x14ac:dyDescent="0.25">
      <c r="A36" s="262"/>
      <c r="B36" s="519" t="s">
        <v>2303</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row>
    <row r="37" spans="1:32" s="1" customFormat="1" ht="15" customHeight="1" x14ac:dyDescent="0.25">
      <c r="A37" s="262"/>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row>
    <row r="38" spans="1:32" s="1" customFormat="1" ht="15" customHeight="1" x14ac:dyDescent="0.25">
      <c r="A38" s="2021"/>
      <c r="B38" s="2021"/>
      <c r="C38" s="2021"/>
      <c r="D38" s="2021"/>
      <c r="E38" s="2021"/>
      <c r="F38" s="2021"/>
      <c r="G38" s="2021"/>
      <c r="H38" s="2021"/>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t="s">
        <v>1705</v>
      </c>
    </row>
    <row r="39" spans="1:32" s="1" customFormat="1" ht="15" customHeight="1" x14ac:dyDescent="0.25">
      <c r="A39" s="193"/>
      <c r="B39" s="193"/>
      <c r="C39" s="193"/>
      <c r="D39" s="193"/>
      <c r="E39" s="193"/>
      <c r="F39" s="193"/>
      <c r="G39" s="193"/>
      <c r="H39" s="193"/>
      <c r="I39" s="520"/>
      <c r="J39" s="520"/>
      <c r="K39" s="520"/>
      <c r="L39" s="520"/>
      <c r="M39" s="520"/>
      <c r="N39" s="520"/>
      <c r="O39" s="520"/>
      <c r="P39" s="520"/>
      <c r="Q39" s="520"/>
      <c r="R39" s="520"/>
      <c r="S39" s="520"/>
      <c r="T39" s="520"/>
      <c r="U39" s="520"/>
      <c r="V39" s="520"/>
      <c r="W39" s="520"/>
      <c r="X39" s="520"/>
      <c r="Y39" s="520"/>
      <c r="Z39" s="520"/>
      <c r="AA39" s="520"/>
      <c r="AB39" s="520"/>
      <c r="AC39" s="520"/>
      <c r="AD39" s="520"/>
      <c r="AE39" s="520"/>
      <c r="AF39" s="520"/>
    </row>
    <row r="40" spans="1:32" s="1" customFormat="1" ht="15" customHeight="1" x14ac:dyDescent="0.25">
      <c r="A40" s="193"/>
      <c r="B40" s="519" t="s">
        <v>2194</v>
      </c>
      <c r="C40" s="193"/>
      <c r="D40" s="193"/>
      <c r="E40" s="193"/>
      <c r="F40" s="193"/>
      <c r="G40" s="193"/>
      <c r="H40" s="193"/>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c r="AF40" s="520"/>
    </row>
    <row r="41" spans="1:32" s="1" customFormat="1" ht="15" customHeight="1" x14ac:dyDescent="0.25">
      <c r="A41" s="193"/>
      <c r="B41" s="193"/>
      <c r="C41" s="193"/>
      <c r="D41" s="193"/>
      <c r="E41" s="193"/>
      <c r="F41" s="193"/>
      <c r="G41" s="193"/>
      <c r="H41" s="193"/>
      <c r="I41" s="520"/>
      <c r="J41" s="520"/>
      <c r="K41" s="520"/>
      <c r="L41" s="520"/>
      <c r="M41" s="520"/>
      <c r="N41" s="520"/>
      <c r="O41" s="520"/>
      <c r="P41" s="520"/>
      <c r="Q41" s="520"/>
      <c r="R41" s="520"/>
      <c r="S41" s="520"/>
      <c r="T41" s="520"/>
      <c r="U41" s="520"/>
      <c r="V41" s="520"/>
      <c r="W41" s="520"/>
      <c r="X41" s="520"/>
      <c r="Y41" s="520"/>
      <c r="Z41" s="520"/>
      <c r="AA41" s="520"/>
      <c r="AB41" s="520"/>
      <c r="AC41" s="520"/>
      <c r="AD41" s="520"/>
      <c r="AE41" s="520"/>
      <c r="AF41" s="520"/>
    </row>
    <row r="42" spans="1:32" s="1" customFormat="1" ht="15" customHeight="1" x14ac:dyDescent="0.25">
      <c r="A42" s="2021"/>
      <c r="B42" s="2021"/>
      <c r="C42" s="2021"/>
      <c r="D42" s="2021"/>
      <c r="E42" s="2021"/>
      <c r="F42" s="2021"/>
      <c r="G42" s="2021"/>
      <c r="H42" s="2021"/>
      <c r="I42" s="196"/>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t="s">
        <v>1706</v>
      </c>
    </row>
    <row r="43" spans="1:32" s="1" customFormat="1" ht="15" customHeight="1" x14ac:dyDescent="0.25">
      <c r="A43" s="193"/>
      <c r="B43" s="193"/>
      <c r="C43" s="193"/>
      <c r="D43" s="193"/>
      <c r="E43" s="192"/>
      <c r="F43" s="262"/>
      <c r="G43" s="193"/>
      <c r="H43" s="193"/>
      <c r="I43" s="520"/>
      <c r="J43" s="520"/>
      <c r="K43" s="520"/>
      <c r="L43" s="520"/>
      <c r="M43" s="520"/>
      <c r="N43" s="520"/>
      <c r="O43" s="520"/>
      <c r="P43" s="520"/>
      <c r="Q43" s="520"/>
      <c r="R43" s="520"/>
      <c r="S43" s="520"/>
      <c r="T43" s="520"/>
      <c r="U43" s="520"/>
      <c r="V43" s="520"/>
      <c r="W43" s="520"/>
      <c r="X43" s="520"/>
      <c r="Y43" s="520"/>
      <c r="Z43" s="520"/>
      <c r="AA43" s="520"/>
      <c r="AB43" s="520"/>
      <c r="AC43" s="520"/>
      <c r="AD43" s="520"/>
      <c r="AE43" s="520"/>
      <c r="AF43" s="520"/>
    </row>
    <row r="44" spans="1:32" s="1" customFormat="1" ht="15" customHeight="1" x14ac:dyDescent="0.25">
      <c r="A44" s="193"/>
      <c r="B44" s="519" t="s">
        <v>1998</v>
      </c>
      <c r="C44" s="193"/>
      <c r="D44" s="193"/>
      <c r="E44" s="193"/>
      <c r="F44" s="193"/>
      <c r="G44" s="193"/>
      <c r="H44" s="193"/>
      <c r="I44" s="520"/>
      <c r="J44" s="520"/>
      <c r="K44" s="520"/>
      <c r="L44" s="520"/>
      <c r="M44" s="520"/>
      <c r="N44" s="520"/>
      <c r="O44" s="520"/>
      <c r="P44" s="520"/>
      <c r="Q44" s="520"/>
      <c r="R44" s="520"/>
      <c r="S44" s="520"/>
      <c r="T44" s="520"/>
      <c r="U44" s="520"/>
      <c r="V44" s="520"/>
      <c r="W44" s="520"/>
      <c r="X44" s="520"/>
      <c r="Y44" s="520"/>
      <c r="Z44" s="520"/>
      <c r="AA44" s="520"/>
      <c r="AB44" s="520"/>
      <c r="AC44" s="520"/>
      <c r="AD44" s="520"/>
      <c r="AE44" s="520"/>
      <c r="AF44" s="520"/>
    </row>
    <row r="45" spans="1:32" ht="15" customHeight="1" x14ac:dyDescent="0.25">
      <c r="A45" s="193"/>
      <c r="B45" s="193"/>
      <c r="C45" s="193"/>
      <c r="D45" s="193"/>
      <c r="E45" s="193"/>
      <c r="F45" s="193"/>
      <c r="G45" s="193"/>
      <c r="H45" s="193"/>
      <c r="I45" s="520"/>
      <c r="J45" s="520"/>
      <c r="K45" s="520"/>
      <c r="L45" s="520"/>
      <c r="M45" s="520"/>
      <c r="N45" s="520"/>
      <c r="O45" s="520"/>
      <c r="P45" s="520"/>
      <c r="Q45" s="520"/>
      <c r="R45" s="520"/>
      <c r="S45" s="520"/>
      <c r="T45" s="520"/>
      <c r="U45" s="520"/>
      <c r="V45" s="520"/>
      <c r="W45" s="520"/>
      <c r="X45" s="520"/>
      <c r="Y45" s="520"/>
      <c r="Z45" s="520"/>
      <c r="AA45" s="520"/>
      <c r="AB45" s="520"/>
      <c r="AC45" s="520"/>
      <c r="AD45" s="520"/>
      <c r="AE45" s="520"/>
      <c r="AF45" s="520"/>
    </row>
    <row r="46" spans="1:32" ht="15" customHeight="1" x14ac:dyDescent="0.25">
      <c r="A46" s="2021"/>
      <c r="B46" s="2021"/>
      <c r="C46" s="2021"/>
      <c r="D46" s="2021"/>
      <c r="E46" s="2021"/>
      <c r="F46" s="2021"/>
      <c r="G46" s="2021"/>
      <c r="H46" s="2021"/>
      <c r="I46" s="419"/>
      <c r="J46" s="196"/>
      <c r="K46" s="196"/>
      <c r="L46" s="196"/>
      <c r="M46" s="196"/>
      <c r="N46" s="196"/>
      <c r="O46" s="196"/>
      <c r="P46" s="196"/>
      <c r="Q46" s="196"/>
      <c r="R46" s="196"/>
      <c r="S46" s="196"/>
      <c r="T46" s="196"/>
      <c r="U46" s="196"/>
      <c r="V46" s="196"/>
      <c r="W46" s="196"/>
      <c r="X46" s="196"/>
      <c r="Y46" s="196"/>
      <c r="Z46" s="196"/>
      <c r="AA46" s="196"/>
      <c r="AB46" s="196"/>
      <c r="AC46" s="196"/>
      <c r="AD46" s="196"/>
      <c r="AE46" s="196"/>
      <c r="AF46" s="419" t="s">
        <v>1707</v>
      </c>
    </row>
    <row r="47" spans="1:32" ht="15" customHeight="1" x14ac:dyDescent="0.25">
      <c r="A47" s="717"/>
      <c r="B47" s="717"/>
      <c r="C47" s="717"/>
      <c r="D47" s="717"/>
      <c r="E47" s="717"/>
      <c r="F47" s="717"/>
      <c r="G47" s="717"/>
      <c r="H47" s="717"/>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row>
    <row r="48" spans="1:32" ht="15" customHeight="1" x14ac:dyDescent="0.25">
      <c r="A48" s="1621" t="s">
        <v>15</v>
      </c>
      <c r="B48" s="1621"/>
      <c r="C48" s="1621"/>
      <c r="D48" s="1621"/>
      <c r="E48" s="1621"/>
      <c r="F48" s="1621"/>
      <c r="G48" s="1621"/>
      <c r="H48" s="1621"/>
      <c r="I48" s="1621"/>
      <c r="J48" s="1621"/>
      <c r="K48" s="1621"/>
      <c r="L48" s="1621"/>
      <c r="M48" s="1621"/>
      <c r="N48" s="1621"/>
      <c r="O48" s="1621"/>
      <c r="P48" s="1621"/>
      <c r="Q48" s="1621"/>
      <c r="R48" s="1621"/>
      <c r="S48" s="1621"/>
      <c r="T48" s="1621"/>
      <c r="U48" s="1621"/>
      <c r="V48" s="1621"/>
      <c r="W48" s="1621"/>
      <c r="X48" s="1621"/>
      <c r="Y48" s="1621"/>
      <c r="Z48" s="1621"/>
      <c r="AA48" s="1621"/>
      <c r="AB48" s="1621"/>
      <c r="AC48" s="1621"/>
      <c r="AD48" s="1621"/>
      <c r="AE48" s="1621"/>
      <c r="AF48" s="1621"/>
    </row>
    <row r="49" spans="1:32" ht="15" customHeight="1" x14ac:dyDescent="0.25">
      <c r="A49" s="1697" t="s">
        <v>16</v>
      </c>
      <c r="B49" s="1698"/>
      <c r="C49" s="1698"/>
      <c r="D49" s="1699"/>
      <c r="E49" s="1697" t="s">
        <v>10</v>
      </c>
      <c r="F49" s="1698"/>
      <c r="G49" s="1698"/>
      <c r="H49" s="1698"/>
      <c r="I49" s="1698"/>
      <c r="J49" s="1698"/>
      <c r="K49" s="1698"/>
      <c r="L49" s="1698"/>
      <c r="M49" s="1698"/>
      <c r="N49" s="1698"/>
      <c r="O49" s="1698"/>
      <c r="P49" s="1699"/>
      <c r="Q49" s="1697" t="s">
        <v>17</v>
      </c>
      <c r="R49" s="1698"/>
      <c r="S49" s="1698"/>
      <c r="T49" s="1699"/>
      <c r="U49" s="1697" t="s">
        <v>18</v>
      </c>
      <c r="V49" s="1698"/>
      <c r="W49" s="1699"/>
      <c r="X49" s="1697" t="s">
        <v>1708</v>
      </c>
      <c r="Y49" s="1698"/>
      <c r="Z49" s="1698"/>
      <c r="AA49" s="1698"/>
      <c r="AB49" s="1698"/>
      <c r="AC49" s="1698"/>
      <c r="AD49" s="1698"/>
      <c r="AE49" s="1698"/>
      <c r="AF49" s="1699"/>
    </row>
    <row r="50" spans="1:32" ht="45.75" customHeight="1" x14ac:dyDescent="0.25">
      <c r="A50" s="1680" t="s">
        <v>2874</v>
      </c>
      <c r="B50" s="1681"/>
      <c r="C50" s="1681"/>
      <c r="D50" s="1682"/>
      <c r="E50" s="1494" t="s">
        <v>4641</v>
      </c>
      <c r="F50" s="1495"/>
      <c r="G50" s="1495"/>
      <c r="H50" s="1495"/>
      <c r="I50" s="1495"/>
      <c r="J50" s="1495"/>
      <c r="K50" s="1495"/>
      <c r="L50" s="1495"/>
      <c r="M50" s="1495"/>
      <c r="N50" s="1495"/>
      <c r="O50" s="1495"/>
      <c r="P50" s="1496"/>
      <c r="Q50" s="1497" t="s">
        <v>2875</v>
      </c>
      <c r="R50" s="1498"/>
      <c r="S50" s="1498"/>
      <c r="T50" s="1499"/>
      <c r="U50" s="1683" t="s">
        <v>2876</v>
      </c>
      <c r="V50" s="1684"/>
      <c r="W50" s="1685"/>
      <c r="X50" s="1538" t="s">
        <v>3447</v>
      </c>
      <c r="Y50" s="1539"/>
      <c r="Z50" s="1539"/>
      <c r="AA50" s="1539"/>
      <c r="AB50" s="1539"/>
      <c r="AC50" s="1539"/>
      <c r="AD50" s="1539"/>
      <c r="AE50" s="1539"/>
      <c r="AF50" s="1540"/>
    </row>
    <row r="51" spans="1:32" ht="46.5" customHeight="1" x14ac:dyDescent="0.25">
      <c r="A51" s="1680" t="s">
        <v>2887</v>
      </c>
      <c r="B51" s="1681"/>
      <c r="C51" s="1681"/>
      <c r="D51" s="1682"/>
      <c r="E51" s="1494" t="s">
        <v>3470</v>
      </c>
      <c r="F51" s="1495"/>
      <c r="G51" s="1495"/>
      <c r="H51" s="1495"/>
      <c r="I51" s="1495"/>
      <c r="J51" s="1495"/>
      <c r="K51" s="1495"/>
      <c r="L51" s="1495"/>
      <c r="M51" s="1495"/>
      <c r="N51" s="1495"/>
      <c r="O51" s="1495"/>
      <c r="P51" s="1496"/>
      <c r="Q51" s="1497" t="s">
        <v>626</v>
      </c>
      <c r="R51" s="1498"/>
      <c r="S51" s="1498"/>
      <c r="T51" s="1499"/>
      <c r="U51" s="1683" t="s">
        <v>2878</v>
      </c>
      <c r="V51" s="1684"/>
      <c r="W51" s="1685"/>
      <c r="X51" s="1538" t="s">
        <v>5715</v>
      </c>
      <c r="Y51" s="1539"/>
      <c r="Z51" s="1539"/>
      <c r="AA51" s="1539"/>
      <c r="AB51" s="1539"/>
      <c r="AC51" s="1539"/>
      <c r="AD51" s="1539"/>
      <c r="AE51" s="1539"/>
      <c r="AF51" s="1540"/>
    </row>
    <row r="52" spans="1:32" ht="45.75" customHeight="1" x14ac:dyDescent="0.25">
      <c r="A52" s="1680" t="s">
        <v>2888</v>
      </c>
      <c r="B52" s="1681"/>
      <c r="C52" s="1681"/>
      <c r="D52" s="1682"/>
      <c r="E52" s="1494" t="s">
        <v>3471</v>
      </c>
      <c r="F52" s="1495"/>
      <c r="G52" s="1495"/>
      <c r="H52" s="1495"/>
      <c r="I52" s="1495"/>
      <c r="J52" s="1495"/>
      <c r="K52" s="1495"/>
      <c r="L52" s="1495"/>
      <c r="M52" s="1495"/>
      <c r="N52" s="1495"/>
      <c r="O52" s="1495"/>
      <c r="P52" s="1496"/>
      <c r="Q52" s="1497" t="s">
        <v>2877</v>
      </c>
      <c r="R52" s="1498"/>
      <c r="S52" s="1498"/>
      <c r="T52" s="1499"/>
      <c r="U52" s="1683" t="s">
        <v>2878</v>
      </c>
      <c r="V52" s="1684"/>
      <c r="W52" s="1685"/>
      <c r="X52" s="1538" t="s">
        <v>4578</v>
      </c>
      <c r="Y52" s="1539"/>
      <c r="Z52" s="1539"/>
      <c r="AA52" s="1539"/>
      <c r="AB52" s="1539"/>
      <c r="AC52" s="1539"/>
      <c r="AD52" s="1539"/>
      <c r="AE52" s="1539"/>
      <c r="AF52" s="1540"/>
    </row>
    <row r="53" spans="1:32" s="1" customFormat="1" ht="60" customHeight="1" x14ac:dyDescent="0.25">
      <c r="A53" s="1680" t="s">
        <v>5720</v>
      </c>
      <c r="B53" s="1681"/>
      <c r="C53" s="1681"/>
      <c r="D53" s="1682"/>
      <c r="E53" s="1494" t="s">
        <v>5716</v>
      </c>
      <c r="F53" s="1495"/>
      <c r="G53" s="1495"/>
      <c r="H53" s="1495"/>
      <c r="I53" s="1495"/>
      <c r="J53" s="1495"/>
      <c r="K53" s="1495"/>
      <c r="L53" s="1495"/>
      <c r="M53" s="1495"/>
      <c r="N53" s="1495"/>
      <c r="O53" s="1495"/>
      <c r="P53" s="1496"/>
      <c r="Q53" s="1497" t="s">
        <v>626</v>
      </c>
      <c r="R53" s="1498"/>
      <c r="S53" s="1498"/>
      <c r="T53" s="1499"/>
      <c r="U53" s="1683" t="s">
        <v>2878</v>
      </c>
      <c r="V53" s="1684"/>
      <c r="W53" s="1685"/>
      <c r="X53" s="1538" t="s">
        <v>5715</v>
      </c>
      <c r="Y53" s="1539"/>
      <c r="Z53" s="1539"/>
      <c r="AA53" s="1539"/>
      <c r="AB53" s="1539"/>
      <c r="AC53" s="1539"/>
      <c r="AD53" s="1539"/>
      <c r="AE53" s="1539"/>
      <c r="AF53" s="1540"/>
    </row>
    <row r="54" spans="1:32" ht="33.75" customHeight="1" x14ac:dyDescent="0.25">
      <c r="A54" s="1680" t="s">
        <v>2912</v>
      </c>
      <c r="B54" s="1681"/>
      <c r="C54" s="1681"/>
      <c r="D54" s="1682"/>
      <c r="E54" s="1494" t="s">
        <v>3472</v>
      </c>
      <c r="F54" s="1495"/>
      <c r="G54" s="1495"/>
      <c r="H54" s="1495"/>
      <c r="I54" s="1495"/>
      <c r="J54" s="1495"/>
      <c r="K54" s="1495"/>
      <c r="L54" s="1495"/>
      <c r="M54" s="1495"/>
      <c r="N54" s="1495"/>
      <c r="O54" s="1495"/>
      <c r="P54" s="1496"/>
      <c r="Q54" s="1497" t="s">
        <v>2877</v>
      </c>
      <c r="R54" s="1498"/>
      <c r="S54" s="1498"/>
      <c r="T54" s="1499"/>
      <c r="U54" s="1683" t="s">
        <v>2878</v>
      </c>
      <c r="V54" s="1684"/>
      <c r="W54" s="1685"/>
      <c r="X54" s="1538" t="s">
        <v>3764</v>
      </c>
      <c r="Y54" s="1539"/>
      <c r="Z54" s="1539"/>
      <c r="AA54" s="1539"/>
      <c r="AB54" s="1539"/>
      <c r="AC54" s="1539"/>
      <c r="AD54" s="1539"/>
      <c r="AE54" s="1539"/>
      <c r="AF54" s="1540"/>
    </row>
    <row r="55" spans="1:32" ht="99" customHeight="1" x14ac:dyDescent="0.25">
      <c r="A55" s="1488" t="s">
        <v>29</v>
      </c>
      <c r="B55" s="1489"/>
      <c r="C55" s="1489"/>
      <c r="D55" s="1490"/>
      <c r="E55" s="1494" t="s">
        <v>3499</v>
      </c>
      <c r="F55" s="1495"/>
      <c r="G55" s="1495"/>
      <c r="H55" s="1495"/>
      <c r="I55" s="1495"/>
      <c r="J55" s="1495"/>
      <c r="K55" s="1495"/>
      <c r="L55" s="1495"/>
      <c r="M55" s="1495"/>
      <c r="N55" s="1495"/>
      <c r="O55" s="1495"/>
      <c r="P55" s="1496"/>
      <c r="Q55" s="1650">
        <v>0.36</v>
      </c>
      <c r="R55" s="1498"/>
      <c r="S55" s="1498"/>
      <c r="T55" s="1499"/>
      <c r="U55" s="1683" t="s">
        <v>28</v>
      </c>
      <c r="V55" s="1684"/>
      <c r="W55" s="1685"/>
      <c r="X55" s="1538" t="s">
        <v>3449</v>
      </c>
      <c r="Y55" s="1539"/>
      <c r="Z55" s="1539"/>
      <c r="AA55" s="1539"/>
      <c r="AB55" s="1539"/>
      <c r="AC55" s="1539"/>
      <c r="AD55" s="1539"/>
      <c r="AE55" s="1539"/>
      <c r="AF55" s="1540"/>
    </row>
    <row r="56" spans="1:32" ht="99" customHeight="1" x14ac:dyDescent="0.25">
      <c r="A56" s="1491"/>
      <c r="B56" s="1492"/>
      <c r="C56" s="1492"/>
      <c r="D56" s="1493"/>
      <c r="E56" s="1494" t="s">
        <v>3500</v>
      </c>
      <c r="F56" s="1495"/>
      <c r="G56" s="1495"/>
      <c r="H56" s="1495"/>
      <c r="I56" s="1495"/>
      <c r="J56" s="1495"/>
      <c r="K56" s="1495"/>
      <c r="L56" s="1495"/>
      <c r="M56" s="1495"/>
      <c r="N56" s="1495"/>
      <c r="O56" s="1495"/>
      <c r="P56" s="1496"/>
      <c r="Q56" s="1650">
        <v>0.27</v>
      </c>
      <c r="R56" s="1498"/>
      <c r="S56" s="1498"/>
      <c r="T56" s="1499"/>
      <c r="U56" s="1683" t="s">
        <v>28</v>
      </c>
      <c r="V56" s="1684"/>
      <c r="W56" s="1685"/>
      <c r="X56" s="1538" t="s">
        <v>3481</v>
      </c>
      <c r="Y56" s="1539"/>
      <c r="Z56" s="1539"/>
      <c r="AA56" s="1539"/>
      <c r="AB56" s="1539"/>
      <c r="AC56" s="1539"/>
      <c r="AD56" s="1539"/>
      <c r="AE56" s="1539"/>
      <c r="AF56" s="1540"/>
    </row>
    <row r="57" spans="1:32" ht="125.25" customHeight="1" x14ac:dyDescent="0.25">
      <c r="A57" s="1488" t="s">
        <v>257</v>
      </c>
      <c r="B57" s="1489"/>
      <c r="C57" s="1489"/>
      <c r="D57" s="1490"/>
      <c r="E57" s="1494" t="s">
        <v>3501</v>
      </c>
      <c r="F57" s="1495"/>
      <c r="G57" s="1495"/>
      <c r="H57" s="1495"/>
      <c r="I57" s="1495"/>
      <c r="J57" s="1495"/>
      <c r="K57" s="1495"/>
      <c r="L57" s="1495"/>
      <c r="M57" s="1495"/>
      <c r="N57" s="1495"/>
      <c r="O57" s="1495"/>
      <c r="P57" s="1496"/>
      <c r="Q57" s="1656">
        <v>2528</v>
      </c>
      <c r="R57" s="1498"/>
      <c r="S57" s="1498"/>
      <c r="T57" s="1499"/>
      <c r="U57" s="1683" t="s">
        <v>1000</v>
      </c>
      <c r="V57" s="1684"/>
      <c r="W57" s="1685"/>
      <c r="X57" s="1538" t="s">
        <v>3503</v>
      </c>
      <c r="Y57" s="1539"/>
      <c r="Z57" s="1539"/>
      <c r="AA57" s="1539"/>
      <c r="AB57" s="1539"/>
      <c r="AC57" s="1539"/>
      <c r="AD57" s="1539"/>
      <c r="AE57" s="1539"/>
      <c r="AF57" s="1540"/>
    </row>
    <row r="58" spans="1:32" ht="125.25" customHeight="1" x14ac:dyDescent="0.25">
      <c r="A58" s="1491"/>
      <c r="B58" s="1492"/>
      <c r="C58" s="1492"/>
      <c r="D58" s="1493"/>
      <c r="E58" s="1494" t="s">
        <v>3502</v>
      </c>
      <c r="F58" s="1495"/>
      <c r="G58" s="1495"/>
      <c r="H58" s="1495"/>
      <c r="I58" s="1495"/>
      <c r="J58" s="1495"/>
      <c r="K58" s="1495"/>
      <c r="L58" s="1495"/>
      <c r="M58" s="1495"/>
      <c r="N58" s="1495"/>
      <c r="O58" s="1495"/>
      <c r="P58" s="1496"/>
      <c r="Q58" s="1656">
        <v>1884</v>
      </c>
      <c r="R58" s="1498"/>
      <c r="S58" s="1498"/>
      <c r="T58" s="1499"/>
      <c r="U58" s="1683" t="s">
        <v>1000</v>
      </c>
      <c r="V58" s="1684"/>
      <c r="W58" s="1685"/>
      <c r="X58" s="1538" t="s">
        <v>3504</v>
      </c>
      <c r="Y58" s="1539"/>
      <c r="Z58" s="1539"/>
      <c r="AA58" s="1539"/>
      <c r="AB58" s="1539"/>
      <c r="AC58" s="1539"/>
      <c r="AD58" s="1539"/>
      <c r="AE58" s="1539"/>
      <c r="AF58" s="1540"/>
    </row>
    <row r="59" spans="1:32" ht="40.5" customHeight="1" x14ac:dyDescent="0.25">
      <c r="A59" s="1680" t="s">
        <v>42</v>
      </c>
      <c r="B59" s="1681"/>
      <c r="C59" s="1681"/>
      <c r="D59" s="1682"/>
      <c r="E59" s="1494" t="s">
        <v>2907</v>
      </c>
      <c r="F59" s="1495"/>
      <c r="G59" s="1495"/>
      <c r="H59" s="1495"/>
      <c r="I59" s="1495"/>
      <c r="J59" s="1495"/>
      <c r="K59" s="1495"/>
      <c r="L59" s="1495"/>
      <c r="M59" s="1495"/>
      <c r="N59" s="1495"/>
      <c r="O59" s="1495"/>
      <c r="P59" s="1496"/>
      <c r="Q59" s="3292">
        <v>1</v>
      </c>
      <c r="R59" s="3293"/>
      <c r="S59" s="3293"/>
      <c r="T59" s="3294"/>
      <c r="U59" s="1683" t="s">
        <v>28</v>
      </c>
      <c r="V59" s="1684"/>
      <c r="W59" s="1685"/>
      <c r="X59" s="1538"/>
      <c r="Y59" s="1539"/>
      <c r="Z59" s="1539"/>
      <c r="AA59" s="1539"/>
      <c r="AB59" s="1539"/>
      <c r="AC59" s="1539"/>
      <c r="AD59" s="1539"/>
      <c r="AE59" s="1539"/>
      <c r="AF59" s="1540"/>
    </row>
    <row r="60" spans="1:32" s="1" customFormat="1" ht="40.5" customHeight="1" x14ac:dyDescent="0.25">
      <c r="A60" s="1647" t="s">
        <v>167</v>
      </c>
      <c r="B60" s="1648"/>
      <c r="C60" s="1648"/>
      <c r="D60" s="1649"/>
      <c r="E60" s="1653" t="s">
        <v>3457</v>
      </c>
      <c r="F60" s="1654"/>
      <c r="G60" s="1654"/>
      <c r="H60" s="1654"/>
      <c r="I60" s="1654"/>
      <c r="J60" s="1654"/>
      <c r="K60" s="1654"/>
      <c r="L60" s="1654"/>
      <c r="M60" s="1654"/>
      <c r="N60" s="1654"/>
      <c r="O60" s="1654"/>
      <c r="P60" s="1655"/>
      <c r="Q60" s="2078">
        <v>1000</v>
      </c>
      <c r="R60" s="2078"/>
      <c r="S60" s="2078"/>
      <c r="T60" s="2078"/>
      <c r="U60" s="2072" t="s">
        <v>293</v>
      </c>
      <c r="V60" s="2073"/>
      <c r="W60" s="2074"/>
      <c r="X60" s="2075"/>
      <c r="Y60" s="2076"/>
      <c r="Z60" s="2076"/>
      <c r="AA60" s="2076"/>
      <c r="AB60" s="2076"/>
      <c r="AC60" s="2076"/>
      <c r="AD60" s="2076"/>
      <c r="AE60" s="2076"/>
      <c r="AF60" s="2077"/>
    </row>
    <row r="61" spans="1:32" ht="45" customHeight="1" x14ac:dyDescent="0.25">
      <c r="A61" s="1680" t="s">
        <v>2724</v>
      </c>
      <c r="B61" s="1681"/>
      <c r="C61" s="1681"/>
      <c r="D61" s="1682"/>
      <c r="E61" s="1494" t="s">
        <v>2217</v>
      </c>
      <c r="F61" s="1495"/>
      <c r="G61" s="1495"/>
      <c r="H61" s="1495"/>
      <c r="I61" s="1495"/>
      <c r="J61" s="1495"/>
      <c r="K61" s="1495"/>
      <c r="L61" s="1495"/>
      <c r="M61" s="1495"/>
      <c r="N61" s="1495"/>
      <c r="O61" s="1495"/>
      <c r="P61" s="1496"/>
      <c r="Q61" s="1497">
        <f>'Master EUL'!X20</f>
        <v>15</v>
      </c>
      <c r="R61" s="1498"/>
      <c r="S61" s="1498"/>
      <c r="T61" s="1499"/>
      <c r="U61" s="2072" t="s">
        <v>46</v>
      </c>
      <c r="V61" s="2073"/>
      <c r="W61" s="2074"/>
      <c r="X61" s="1538" t="s">
        <v>2811</v>
      </c>
      <c r="Y61" s="1539"/>
      <c r="Z61" s="1539"/>
      <c r="AA61" s="1539"/>
      <c r="AB61" s="1539"/>
      <c r="AC61" s="1539"/>
      <c r="AD61" s="1539"/>
      <c r="AE61" s="1539"/>
      <c r="AF61" s="1540"/>
    </row>
    <row r="62" spans="1:32" x14ac:dyDescent="0.25">
      <c r="B62" s="443"/>
    </row>
    <row r="63" spans="1:32" x14ac:dyDescent="0.25">
      <c r="A63" s="1621" t="s">
        <v>21</v>
      </c>
      <c r="B63" s="1621"/>
      <c r="C63" s="1621"/>
      <c r="D63" s="1621"/>
      <c r="E63" s="1621"/>
      <c r="F63" s="1621"/>
      <c r="G63" s="1621"/>
      <c r="H63" s="1621"/>
      <c r="I63" s="1621"/>
      <c r="J63" s="1621"/>
      <c r="K63" s="1621"/>
      <c r="L63" s="1621"/>
      <c r="M63" s="1621"/>
      <c r="N63" s="1621"/>
      <c r="O63" s="1621"/>
      <c r="P63" s="1621"/>
      <c r="Q63" s="1621"/>
      <c r="R63" s="1621"/>
      <c r="S63" s="1621"/>
      <c r="T63" s="1621"/>
      <c r="U63" s="1621"/>
      <c r="V63" s="1621"/>
      <c r="W63" s="1621"/>
      <c r="X63" s="1621"/>
      <c r="Y63" s="1621"/>
      <c r="Z63" s="1621"/>
      <c r="AA63" s="1621"/>
      <c r="AB63" s="1621"/>
      <c r="AC63" s="1621"/>
      <c r="AD63" s="1621"/>
      <c r="AE63" s="1621"/>
      <c r="AF63" s="1621"/>
    </row>
    <row r="64" spans="1:32" x14ac:dyDescent="0.25">
      <c r="A64" s="530"/>
      <c r="B64" s="192"/>
    </row>
    <row r="65" spans="1:32" x14ac:dyDescent="0.25">
      <c r="B65" s="1168" t="s">
        <v>3462</v>
      </c>
      <c r="C65" s="1168"/>
      <c r="D65" s="1168"/>
      <c r="E65" s="1168"/>
      <c r="F65" s="1168"/>
      <c r="G65" s="1168"/>
      <c r="H65" s="1168"/>
      <c r="I65" s="1168"/>
      <c r="J65" s="1168"/>
      <c r="K65" s="1168"/>
      <c r="L65" s="1168"/>
      <c r="M65" s="1168"/>
      <c r="N65" s="1168"/>
      <c r="O65" s="1168"/>
      <c r="P65" s="1168"/>
      <c r="Q65" s="1168"/>
      <c r="R65" s="1168"/>
      <c r="S65" s="1168"/>
      <c r="T65" s="1168"/>
      <c r="U65" s="1168"/>
      <c r="V65" s="1168"/>
      <c r="W65" s="1168"/>
      <c r="X65" s="1168"/>
      <c r="Y65" s="1168"/>
      <c r="Z65" s="1168"/>
      <c r="AA65" s="1168"/>
      <c r="AB65" s="1168"/>
      <c r="AC65" s="1168"/>
      <c r="AD65" s="1168"/>
      <c r="AE65" s="1168"/>
      <c r="AF65" s="1168"/>
    </row>
    <row r="66" spans="1:32" x14ac:dyDescent="0.25">
      <c r="G66" s="3291" t="s">
        <v>5717</v>
      </c>
      <c r="H66" s="3291"/>
      <c r="I66" s="3291"/>
      <c r="J66" s="3291"/>
      <c r="K66" s="3291"/>
      <c r="L66" s="3291"/>
      <c r="M66" s="3291"/>
      <c r="N66" s="3291"/>
      <c r="O66" s="3291"/>
    </row>
    <row r="68" spans="1:32" x14ac:dyDescent="0.25">
      <c r="A68" s="1621" t="s">
        <v>1753</v>
      </c>
      <c r="B68" s="1621"/>
      <c r="C68" s="1621"/>
      <c r="D68" s="1621"/>
      <c r="E68" s="1621"/>
      <c r="F68" s="1621"/>
      <c r="G68" s="1621"/>
      <c r="H68" s="1621"/>
      <c r="I68" s="1621"/>
      <c r="J68" s="1621"/>
      <c r="K68" s="1621"/>
      <c r="L68" s="1621"/>
      <c r="M68" s="1621"/>
      <c r="N68" s="1621"/>
      <c r="O68" s="1621"/>
      <c r="P68" s="1621"/>
      <c r="Q68" s="1621"/>
      <c r="R68" s="1621"/>
      <c r="S68" s="1621"/>
      <c r="T68" s="1621"/>
      <c r="U68" s="1621"/>
      <c r="V68" s="1621"/>
      <c r="W68" s="1621"/>
      <c r="X68" s="1621"/>
      <c r="Y68" s="1621"/>
      <c r="Z68" s="1621"/>
      <c r="AA68" s="1621"/>
      <c r="AB68" s="1621"/>
      <c r="AC68" s="1621"/>
      <c r="AD68" s="1621"/>
      <c r="AE68" s="1621"/>
      <c r="AF68" s="1621"/>
    </row>
    <row r="69" spans="1:32" x14ac:dyDescent="0.25">
      <c r="A69" s="190"/>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row>
    <row r="70" spans="1:32" x14ac:dyDescent="0.25">
      <c r="A70" s="517" t="s">
        <v>1013</v>
      </c>
      <c r="B70" s="1168" t="s">
        <v>5703</v>
      </c>
      <c r="C70" s="1168"/>
      <c r="D70" s="1168"/>
      <c r="E70" s="1168"/>
      <c r="F70" s="1168"/>
      <c r="G70" s="1168"/>
      <c r="H70" s="1168"/>
      <c r="I70" s="1168"/>
      <c r="J70" s="1168"/>
      <c r="K70" s="1168"/>
      <c r="L70" s="1168"/>
      <c r="M70" s="1168"/>
      <c r="N70" s="1168"/>
      <c r="O70" s="1168"/>
      <c r="P70" s="1168"/>
      <c r="Q70" s="1168"/>
      <c r="R70" s="1168"/>
      <c r="S70" s="1168"/>
      <c r="T70" s="1168"/>
      <c r="U70" s="1168"/>
      <c r="V70" s="1168"/>
      <c r="W70" s="1168"/>
      <c r="X70" s="1168"/>
      <c r="Y70" s="1168"/>
      <c r="Z70" s="1168"/>
      <c r="AA70" s="1168"/>
      <c r="AB70" s="1168"/>
      <c r="AC70" s="1168"/>
      <c r="AD70" s="1168"/>
      <c r="AE70" s="1168"/>
      <c r="AF70" s="1168"/>
    </row>
    <row r="71" spans="1:32" x14ac:dyDescent="0.25">
      <c r="A71" s="517" t="s">
        <v>1013</v>
      </c>
      <c r="B71" s="1168" t="s">
        <v>5704</v>
      </c>
      <c r="C71" s="1168"/>
      <c r="D71" s="1168"/>
      <c r="E71" s="1168"/>
      <c r="F71" s="1168"/>
      <c r="G71" s="1168"/>
      <c r="H71" s="1168"/>
      <c r="I71" s="1168"/>
      <c r="J71" s="1168"/>
      <c r="K71" s="1168"/>
      <c r="L71" s="1168"/>
      <c r="M71" s="1168"/>
      <c r="N71" s="1168"/>
      <c r="O71" s="1168"/>
      <c r="P71" s="1168"/>
      <c r="Q71" s="1168"/>
      <c r="R71" s="1168"/>
      <c r="S71" s="1168"/>
      <c r="T71" s="1168"/>
      <c r="U71" s="1168"/>
      <c r="V71" s="1168"/>
      <c r="W71" s="1168"/>
      <c r="X71" s="1168"/>
      <c r="Y71" s="1168"/>
      <c r="Z71" s="1168"/>
      <c r="AA71" s="1168"/>
      <c r="AB71" s="1168"/>
      <c r="AC71" s="1168"/>
      <c r="AD71" s="1168"/>
      <c r="AE71" s="1168"/>
      <c r="AF71" s="1168"/>
    </row>
    <row r="72" spans="1:32" ht="33" customHeight="1" x14ac:dyDescent="0.25">
      <c r="A72" s="517" t="s">
        <v>1013</v>
      </c>
      <c r="B72" s="1168" t="s">
        <v>5705</v>
      </c>
      <c r="C72" s="1168"/>
      <c r="D72" s="1168"/>
      <c r="E72" s="1168"/>
      <c r="F72" s="1168"/>
      <c r="G72" s="1168"/>
      <c r="H72" s="1168"/>
      <c r="I72" s="1168"/>
      <c r="J72" s="1168"/>
      <c r="K72" s="1168"/>
      <c r="L72" s="1168"/>
      <c r="M72" s="1168"/>
      <c r="N72" s="1168"/>
      <c r="O72" s="1168"/>
      <c r="P72" s="1168"/>
      <c r="Q72" s="1168"/>
      <c r="R72" s="1168"/>
      <c r="S72" s="1168"/>
      <c r="T72" s="1168"/>
      <c r="U72" s="1168"/>
      <c r="V72" s="1168"/>
      <c r="W72" s="1168"/>
      <c r="X72" s="1168"/>
      <c r="Y72" s="1168"/>
      <c r="Z72" s="1168"/>
      <c r="AA72" s="1168"/>
      <c r="AB72" s="1168"/>
      <c r="AC72" s="1168"/>
      <c r="AD72" s="1168"/>
      <c r="AE72" s="1168"/>
      <c r="AF72" s="1168"/>
    </row>
    <row r="73" spans="1:32" ht="32.25" customHeight="1" x14ac:dyDescent="0.25">
      <c r="A73" s="517" t="s">
        <v>1013</v>
      </c>
      <c r="B73" s="1168" t="s">
        <v>5718</v>
      </c>
      <c r="C73" s="1168"/>
      <c r="D73" s="1168"/>
      <c r="E73" s="1168"/>
      <c r="F73" s="1168"/>
      <c r="G73" s="1168"/>
      <c r="H73" s="1168"/>
      <c r="I73" s="1168"/>
      <c r="J73" s="1168"/>
      <c r="K73" s="1168"/>
      <c r="L73" s="1168"/>
      <c r="M73" s="1168"/>
      <c r="N73" s="1168"/>
      <c r="O73" s="1168"/>
      <c r="P73" s="1168"/>
      <c r="Q73" s="1168"/>
      <c r="R73" s="1168"/>
      <c r="S73" s="1168"/>
      <c r="T73" s="1168"/>
      <c r="U73" s="1168"/>
      <c r="V73" s="1168"/>
      <c r="W73" s="1168"/>
      <c r="X73" s="1168"/>
      <c r="Y73" s="1168"/>
      <c r="Z73" s="1168"/>
      <c r="AA73" s="1168"/>
      <c r="AB73" s="1168"/>
      <c r="AC73" s="1168"/>
      <c r="AD73" s="1168"/>
      <c r="AE73" s="1168"/>
      <c r="AF73" s="1168"/>
    </row>
    <row r="74" spans="1:32" ht="66.75" customHeight="1" x14ac:dyDescent="0.25">
      <c r="A74" s="517" t="s">
        <v>1013</v>
      </c>
      <c r="B74" s="1173" t="s">
        <v>5719</v>
      </c>
      <c r="C74" s="1173"/>
      <c r="D74" s="1173"/>
      <c r="E74" s="1173"/>
      <c r="F74" s="1173"/>
      <c r="G74" s="1173"/>
      <c r="H74" s="1173"/>
      <c r="I74" s="1173"/>
      <c r="J74" s="1173"/>
      <c r="K74" s="1173"/>
      <c r="L74" s="1173"/>
      <c r="M74" s="1173"/>
      <c r="N74" s="1173"/>
      <c r="O74" s="1173"/>
      <c r="P74" s="1173"/>
      <c r="Q74" s="1173"/>
      <c r="R74" s="1173"/>
      <c r="S74" s="1173"/>
      <c r="T74" s="1173"/>
      <c r="U74" s="1173"/>
      <c r="V74" s="1173"/>
      <c r="W74" s="1173"/>
      <c r="X74" s="1173"/>
      <c r="Y74" s="1173"/>
      <c r="Z74" s="1173"/>
      <c r="AA74" s="1173"/>
      <c r="AB74" s="1173"/>
      <c r="AC74" s="1173"/>
      <c r="AD74" s="1173"/>
      <c r="AE74" s="1173"/>
      <c r="AF74" s="1173"/>
    </row>
    <row r="75" spans="1:32" ht="33.75" customHeight="1" x14ac:dyDescent="0.25">
      <c r="A75" s="517" t="s">
        <v>1013</v>
      </c>
      <c r="B75" s="1168" t="s">
        <v>3482</v>
      </c>
      <c r="C75" s="1168"/>
      <c r="D75" s="1168"/>
      <c r="E75" s="1168"/>
      <c r="F75" s="1168"/>
      <c r="G75" s="1168"/>
      <c r="H75" s="1168"/>
      <c r="I75" s="1168"/>
      <c r="J75" s="1168"/>
      <c r="K75" s="1168"/>
      <c r="L75" s="1168"/>
      <c r="M75" s="1168"/>
      <c r="N75" s="1168"/>
      <c r="O75" s="1168"/>
      <c r="P75" s="1168"/>
      <c r="Q75" s="1168"/>
      <c r="R75" s="1168"/>
      <c r="S75" s="1168"/>
      <c r="T75" s="1168"/>
      <c r="U75" s="1168"/>
      <c r="V75" s="1168"/>
      <c r="W75" s="1168"/>
      <c r="X75" s="1168"/>
      <c r="Y75" s="1168"/>
      <c r="Z75" s="1168"/>
      <c r="AA75" s="1168"/>
      <c r="AB75" s="1168"/>
      <c r="AC75" s="1168"/>
      <c r="AD75" s="1168"/>
      <c r="AE75" s="1168"/>
      <c r="AF75" s="1168"/>
    </row>
    <row r="76" spans="1:32" ht="65.25" customHeight="1" x14ac:dyDescent="0.25">
      <c r="A76" s="517" t="s">
        <v>1013</v>
      </c>
      <c r="B76" s="1168" t="s">
        <v>2872</v>
      </c>
      <c r="C76" s="1168"/>
      <c r="D76" s="1168"/>
      <c r="E76" s="1168"/>
      <c r="F76" s="1168"/>
      <c r="G76" s="1168"/>
      <c r="H76" s="1168"/>
      <c r="I76" s="1168"/>
      <c r="J76" s="1168"/>
      <c r="K76" s="1168"/>
      <c r="L76" s="1168"/>
      <c r="M76" s="1168"/>
      <c r="N76" s="1168"/>
      <c r="O76" s="1168"/>
      <c r="P76" s="1168"/>
      <c r="Q76" s="1168"/>
      <c r="R76" s="1168"/>
      <c r="S76" s="1168"/>
      <c r="T76" s="1168"/>
      <c r="U76" s="1168"/>
      <c r="V76" s="1168"/>
      <c r="W76" s="1168"/>
      <c r="X76" s="1168"/>
      <c r="Y76" s="1168"/>
      <c r="Z76" s="1168"/>
      <c r="AA76" s="1168"/>
      <c r="AB76" s="1168"/>
      <c r="AC76" s="1168"/>
      <c r="AD76" s="1168"/>
      <c r="AE76" s="1168"/>
      <c r="AF76" s="1168"/>
    </row>
  </sheetData>
  <sheetProtection algorithmName="SHA-512" hashValue="NELmO/c3iEkwV/d2AIKw3ravm0tsNhDDeVooE9Qxle9aQEb8gZU4cBoFqyVu4IRVO06K/KGjYGvDospMbxnj9g==" saltValue="H9JMxLXqqojFYxE84hggrA==" spinCount="100000" sheet="1" objects="1" scenarios="1"/>
  <mergeCells count="144">
    <mergeCell ref="A1:AF1"/>
    <mergeCell ref="A3:AF3"/>
    <mergeCell ref="B5:AF5"/>
    <mergeCell ref="A7:AF7"/>
    <mergeCell ref="B9:I9"/>
    <mergeCell ref="B10:AF10"/>
    <mergeCell ref="B24:H24"/>
    <mergeCell ref="I24:K24"/>
    <mergeCell ref="L24:N24"/>
    <mergeCell ref="O24:Q24"/>
    <mergeCell ref="R24:T24"/>
    <mergeCell ref="U24:W24"/>
    <mergeCell ref="X24:Z24"/>
    <mergeCell ref="AA24:AC24"/>
    <mergeCell ref="AD24:AF24"/>
    <mergeCell ref="B12:I12"/>
    <mergeCell ref="B13:AF13"/>
    <mergeCell ref="B15:I15"/>
    <mergeCell ref="B16:AF16"/>
    <mergeCell ref="B18:I18"/>
    <mergeCell ref="B19:AF19"/>
    <mergeCell ref="B22:H23"/>
    <mergeCell ref="I22:AF22"/>
    <mergeCell ref="I23:N23"/>
    <mergeCell ref="O23:T23"/>
    <mergeCell ref="U23:Z23"/>
    <mergeCell ref="AA23:AF23"/>
    <mergeCell ref="B32:AF32"/>
    <mergeCell ref="A34:AF34"/>
    <mergeCell ref="B25:H25"/>
    <mergeCell ref="I25:K25"/>
    <mergeCell ref="L25:N25"/>
    <mergeCell ref="O25:Q25"/>
    <mergeCell ref="R25:T25"/>
    <mergeCell ref="U25:W25"/>
    <mergeCell ref="X25:Z25"/>
    <mergeCell ref="AA25:AC25"/>
    <mergeCell ref="AD25:AF25"/>
    <mergeCell ref="B26:H26"/>
    <mergeCell ref="I26:K26"/>
    <mergeCell ref="L26:N26"/>
    <mergeCell ref="O26:Q26"/>
    <mergeCell ref="R26:T26"/>
    <mergeCell ref="U26:W26"/>
    <mergeCell ref="X26:Z26"/>
    <mergeCell ref="AA26:AC26"/>
    <mergeCell ref="AD26:AF26"/>
    <mergeCell ref="B27:H27"/>
    <mergeCell ref="A38:H38"/>
    <mergeCell ref="A42:H42"/>
    <mergeCell ref="A46:H46"/>
    <mergeCell ref="A48:AF48"/>
    <mergeCell ref="A49:D49"/>
    <mergeCell ref="E49:P49"/>
    <mergeCell ref="Q49:T49"/>
    <mergeCell ref="U49:W49"/>
    <mergeCell ref="X49:AF49"/>
    <mergeCell ref="A50:D50"/>
    <mergeCell ref="E50:P50"/>
    <mergeCell ref="Q50:T50"/>
    <mergeCell ref="U50:W50"/>
    <mergeCell ref="X50:AF50"/>
    <mergeCell ref="A51:D51"/>
    <mergeCell ref="E51:P51"/>
    <mergeCell ref="Q51:T51"/>
    <mergeCell ref="U51:W51"/>
    <mergeCell ref="X51:AF51"/>
    <mergeCell ref="A52:D52"/>
    <mergeCell ref="E52:P52"/>
    <mergeCell ref="Q52:T52"/>
    <mergeCell ref="U52:W52"/>
    <mergeCell ref="X52:AF52"/>
    <mergeCell ref="A53:D53"/>
    <mergeCell ref="E53:P53"/>
    <mergeCell ref="Q53:T53"/>
    <mergeCell ref="U53:W53"/>
    <mergeCell ref="X53:AF53"/>
    <mergeCell ref="A54:D54"/>
    <mergeCell ref="E54:P54"/>
    <mergeCell ref="Q54:T54"/>
    <mergeCell ref="U54:W54"/>
    <mergeCell ref="X54:AF54"/>
    <mergeCell ref="A55:D56"/>
    <mergeCell ref="E55:P55"/>
    <mergeCell ref="Q55:T55"/>
    <mergeCell ref="U55:W55"/>
    <mergeCell ref="X55:AF55"/>
    <mergeCell ref="X58:AF58"/>
    <mergeCell ref="A59:D59"/>
    <mergeCell ref="E59:P59"/>
    <mergeCell ref="Q59:T59"/>
    <mergeCell ref="U59:W59"/>
    <mergeCell ref="X59:AF59"/>
    <mergeCell ref="E56:P56"/>
    <mergeCell ref="Q56:T56"/>
    <mergeCell ref="U56:W56"/>
    <mergeCell ref="X56:AF56"/>
    <mergeCell ref="A57:D58"/>
    <mergeCell ref="E57:P57"/>
    <mergeCell ref="Q57:T57"/>
    <mergeCell ref="U57:W57"/>
    <mergeCell ref="X57:AF57"/>
    <mergeCell ref="E58:P58"/>
    <mergeCell ref="Q58:T58"/>
    <mergeCell ref="U58:W58"/>
    <mergeCell ref="B74:AF74"/>
    <mergeCell ref="B75:AF75"/>
    <mergeCell ref="B76:AF76"/>
    <mergeCell ref="A63:AF63"/>
    <mergeCell ref="B65:AF65"/>
    <mergeCell ref="G66:O66"/>
    <mergeCell ref="A68:AF68"/>
    <mergeCell ref="B72:AF72"/>
    <mergeCell ref="B73:AF73"/>
    <mergeCell ref="B70:AF70"/>
    <mergeCell ref="B71:AF71"/>
    <mergeCell ref="I27:K27"/>
    <mergeCell ref="L27:N27"/>
    <mergeCell ref="O27:Q27"/>
    <mergeCell ref="R27:T27"/>
    <mergeCell ref="U27:W27"/>
    <mergeCell ref="X27:Z27"/>
    <mergeCell ref="AA27:AC27"/>
    <mergeCell ref="AD27:AF27"/>
    <mergeCell ref="B29:AF29"/>
    <mergeCell ref="B28:H28"/>
    <mergeCell ref="I28:K28"/>
    <mergeCell ref="L28:N28"/>
    <mergeCell ref="O28:Q28"/>
    <mergeCell ref="R28:T28"/>
    <mergeCell ref="U28:W28"/>
    <mergeCell ref="X28:Z28"/>
    <mergeCell ref="AA28:AC28"/>
    <mergeCell ref="AD28:AF28"/>
    <mergeCell ref="A60:D60"/>
    <mergeCell ref="E60:P60"/>
    <mergeCell ref="Q60:T60"/>
    <mergeCell ref="U60:W60"/>
    <mergeCell ref="X60:AF60"/>
    <mergeCell ref="A61:D61"/>
    <mergeCell ref="E61:P61"/>
    <mergeCell ref="Q61:T61"/>
    <mergeCell ref="U61:W61"/>
    <mergeCell ref="X61:AF61"/>
  </mergeCells>
  <hyperlinks>
    <hyperlink ref="A2" location="TOC!A1" display="Return to TOC" xr:uid="{2F97C2DC-5184-4704-A45F-E5C6E82B1A36}"/>
    <hyperlink ref="G66:O66" location="R_HVAC_AC_WKST_2!A1" display="R_HVAC_AC_WKST_2" xr:uid="{956A4BEF-24F7-4454-9661-BE8457466F12}"/>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8:AF46" numberStoredAsText="1"/>
  </ignoredError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532AA-B94C-4017-BFDA-85305719247A}">
  <sheetPr>
    <tabColor theme="7" tint="0.79998168889431442"/>
  </sheetPr>
  <dimension ref="A1:BZ114"/>
  <sheetViews>
    <sheetView workbookViewId="0">
      <selection activeCell="A2" sqref="A2"/>
    </sheetView>
  </sheetViews>
  <sheetFormatPr defaultColWidth="2.7109375" defaultRowHeight="15" x14ac:dyDescent="0.25"/>
  <cols>
    <col min="1" max="32" width="2.7109375" style="1"/>
  </cols>
  <sheetData>
    <row r="1" spans="1:66" ht="18.75" x14ac:dyDescent="0.25">
      <c r="A1" s="1464" t="s">
        <v>1160</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G1" s="1"/>
      <c r="AH1" s="1"/>
      <c r="AI1" s="1"/>
      <c r="AJ1" s="1"/>
      <c r="AL1" s="851"/>
      <c r="AM1" s="1"/>
      <c r="AN1" s="1"/>
      <c r="AO1" s="1"/>
      <c r="AP1" s="1"/>
      <c r="AQ1" s="930"/>
    </row>
    <row r="2" spans="1:66" ht="18.75" x14ac:dyDescent="0.25">
      <c r="A2" s="655" t="s">
        <v>1702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1"/>
      <c r="AH2" s="1"/>
      <c r="AI2" s="1"/>
      <c r="AJ2" s="1"/>
      <c r="AL2" s="692"/>
    </row>
    <row r="3" spans="1:66"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c r="AL3" s="692"/>
    </row>
    <row r="4" spans="1:66"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L4" s="692"/>
    </row>
    <row r="5" spans="1:66" ht="36.75" customHeight="1" x14ac:dyDescent="0.25">
      <c r="A5" s="262"/>
      <c r="B5" s="1173" t="s">
        <v>6343</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L5" s="624"/>
      <c r="AM5" s="839"/>
      <c r="AN5" s="839"/>
      <c r="AO5" s="839"/>
      <c r="AP5" s="839"/>
      <c r="AQ5" s="839"/>
      <c r="AR5" s="839"/>
      <c r="AS5" s="839"/>
      <c r="AT5" s="839"/>
      <c r="AU5" s="839"/>
      <c r="AV5" s="839"/>
      <c r="AW5" s="839"/>
      <c r="AX5" s="839"/>
      <c r="AY5" s="839"/>
      <c r="AZ5" s="839"/>
      <c r="BA5" s="839"/>
      <c r="BB5" s="839"/>
      <c r="BC5" s="839"/>
      <c r="BD5" s="839"/>
      <c r="BE5" s="839"/>
      <c r="BF5" s="839"/>
      <c r="BG5" s="839"/>
      <c r="BH5" s="839"/>
      <c r="BI5" s="839"/>
      <c r="BJ5" s="839"/>
      <c r="BK5" s="839"/>
      <c r="BL5" s="839"/>
      <c r="BM5" s="839"/>
      <c r="BN5" s="839"/>
    </row>
    <row r="6" spans="1:66" ht="18.75" x14ac:dyDescent="0.25">
      <c r="A6" s="529"/>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1"/>
      <c r="AH6" s="1"/>
      <c r="AI6" s="1"/>
      <c r="AJ6" s="1"/>
      <c r="AL6" s="692"/>
    </row>
    <row r="7" spans="1:66" x14ac:dyDescent="0.25">
      <c r="A7" s="1385" t="s">
        <v>9</v>
      </c>
      <c r="B7" s="1386"/>
      <c r="C7" s="1386"/>
      <c r="D7" s="1386"/>
      <c r="E7" s="1386"/>
      <c r="F7" s="1386"/>
      <c r="G7" s="1386"/>
      <c r="H7" s="1386"/>
      <c r="I7" s="1386"/>
      <c r="J7" s="1386"/>
      <c r="K7" s="1386"/>
      <c r="L7" s="1386"/>
      <c r="M7" s="1386"/>
      <c r="N7" s="1386"/>
      <c r="O7" s="1386"/>
      <c r="P7" s="1386"/>
      <c r="Q7" s="1386"/>
      <c r="R7" s="1386"/>
      <c r="S7" s="1386"/>
      <c r="T7" s="1386"/>
      <c r="U7" s="1386"/>
      <c r="V7" s="1386"/>
      <c r="W7" s="1386"/>
      <c r="X7" s="1386"/>
      <c r="Y7" s="1386"/>
      <c r="Z7" s="1386"/>
      <c r="AA7" s="1386"/>
      <c r="AB7" s="1386"/>
      <c r="AC7" s="1386"/>
      <c r="AD7" s="1386"/>
      <c r="AE7" s="1386"/>
      <c r="AF7" s="1387"/>
      <c r="AG7" s="1"/>
      <c r="AH7" s="1"/>
      <c r="AI7" s="1"/>
      <c r="AJ7" s="1"/>
      <c r="AL7" s="692"/>
    </row>
    <row r="8" spans="1:66" x14ac:dyDescent="0.25">
      <c r="A8" s="19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
      <c r="AH8" s="1"/>
      <c r="AI8" s="1"/>
      <c r="AJ8" s="1"/>
      <c r="AL8" s="692"/>
    </row>
    <row r="9" spans="1:66"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c r="AG9" s="1"/>
      <c r="AH9" s="1"/>
      <c r="AI9" s="1"/>
      <c r="AJ9" s="1"/>
      <c r="AL9" s="692"/>
    </row>
    <row r="10" spans="1:66" ht="39.75" customHeight="1" x14ac:dyDescent="0.25">
      <c r="A10" s="263"/>
      <c r="B10" s="1173" t="s">
        <v>3498</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G10" s="4"/>
      <c r="AH10" s="4"/>
      <c r="AI10" s="4"/>
      <c r="AJ10" s="4"/>
      <c r="AL10" s="692"/>
    </row>
    <row r="11" spans="1:66"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G11" s="1"/>
      <c r="AH11" s="1"/>
      <c r="AI11" s="1"/>
      <c r="AJ11" s="1"/>
      <c r="AL11" s="692"/>
    </row>
    <row r="12" spans="1:66"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1"/>
      <c r="AH12" s="1"/>
      <c r="AI12" s="1"/>
      <c r="AJ12" s="1"/>
      <c r="AL12" s="692"/>
    </row>
    <row r="13" spans="1:66" ht="141.75" customHeight="1" x14ac:dyDescent="0.25">
      <c r="A13" s="262"/>
      <c r="B13" s="1173" t="s">
        <v>6344</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G13" s="1"/>
      <c r="AH13" s="1"/>
      <c r="AI13" s="1"/>
      <c r="AJ13" s="1"/>
      <c r="AL13" s="692"/>
    </row>
    <row r="14" spans="1:66" x14ac:dyDescent="0.2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1"/>
      <c r="AH14" s="1"/>
      <c r="AI14" s="1"/>
      <c r="AJ14" s="1"/>
      <c r="AL14" s="692"/>
    </row>
    <row r="15" spans="1:66" x14ac:dyDescent="0.25">
      <c r="A15" s="262"/>
      <c r="B15" s="1845" t="s">
        <v>12</v>
      </c>
      <c r="C15" s="1845"/>
      <c r="D15" s="1845"/>
      <c r="E15" s="1845"/>
      <c r="F15" s="1845"/>
      <c r="G15" s="1845"/>
      <c r="H15" s="1845"/>
      <c r="I15" s="1845"/>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1"/>
      <c r="AH15" s="1"/>
      <c r="AI15" s="1"/>
      <c r="AJ15" s="1"/>
      <c r="AL15" s="692"/>
    </row>
    <row r="16" spans="1:66" x14ac:dyDescent="0.25">
      <c r="A16" s="262"/>
      <c r="B16" s="1703" t="s">
        <v>3463</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c r="AG16" s="1"/>
      <c r="AH16" s="1"/>
      <c r="AI16" s="1"/>
      <c r="AJ16" s="1"/>
      <c r="AL16" s="692"/>
    </row>
    <row r="17" spans="1:65" x14ac:dyDescent="0.25">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1"/>
      <c r="AH17" s="1"/>
      <c r="AI17" s="1"/>
      <c r="AJ17" s="1"/>
      <c r="AL17" s="692"/>
    </row>
    <row r="18" spans="1:65" x14ac:dyDescent="0.25">
      <c r="A18" s="262"/>
      <c r="B18" s="1845" t="s">
        <v>13</v>
      </c>
      <c r="C18" s="1845"/>
      <c r="D18" s="1845"/>
      <c r="E18" s="1845"/>
      <c r="F18" s="1845"/>
      <c r="G18" s="1845"/>
      <c r="H18" s="1845"/>
      <c r="I18" s="1845"/>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1"/>
      <c r="AH18" s="1"/>
      <c r="AI18" s="1"/>
      <c r="AJ18" s="1"/>
      <c r="AL18" s="692"/>
    </row>
    <row r="19" spans="1:65" ht="105" customHeight="1" x14ac:dyDescent="0.25">
      <c r="A19" s="263"/>
      <c r="B19" s="2049" t="s">
        <v>5726</v>
      </c>
      <c r="C19" s="2049"/>
      <c r="D19" s="2049"/>
      <c r="E19" s="2049"/>
      <c r="F19" s="2049"/>
      <c r="G19" s="2049"/>
      <c r="H19" s="2049"/>
      <c r="I19" s="2049"/>
      <c r="J19" s="2049"/>
      <c r="K19" s="2049"/>
      <c r="L19" s="2049"/>
      <c r="M19" s="2049"/>
      <c r="N19" s="2049"/>
      <c r="O19" s="2049"/>
      <c r="P19" s="2049"/>
      <c r="Q19" s="2049"/>
      <c r="R19" s="2049"/>
      <c r="S19" s="2049"/>
      <c r="T19" s="2049"/>
      <c r="U19" s="2049"/>
      <c r="V19" s="2049"/>
      <c r="W19" s="2049"/>
      <c r="X19" s="2049"/>
      <c r="Y19" s="2049"/>
      <c r="Z19" s="2049"/>
      <c r="AA19" s="2049"/>
      <c r="AB19" s="2049"/>
      <c r="AC19" s="2049"/>
      <c r="AD19" s="2049"/>
      <c r="AE19" s="2049"/>
      <c r="AF19" s="2049"/>
      <c r="AG19" s="4"/>
      <c r="AH19" s="4"/>
      <c r="AI19" s="4"/>
      <c r="AJ19" s="4"/>
      <c r="AL19" s="839"/>
      <c r="AM19" s="839"/>
      <c r="AN19" s="839"/>
      <c r="AO19" s="839"/>
      <c r="AP19" s="839"/>
      <c r="AQ19" s="839"/>
      <c r="AR19" s="839"/>
      <c r="AS19" s="839"/>
      <c r="AT19" s="839"/>
      <c r="AU19" s="839"/>
      <c r="AV19" s="839"/>
      <c r="AW19" s="839"/>
      <c r="AX19" s="839"/>
      <c r="AY19" s="839"/>
      <c r="AZ19" s="839"/>
      <c r="BA19" s="839"/>
      <c r="BB19" s="839"/>
      <c r="BC19" s="839"/>
      <c r="BD19" s="839"/>
      <c r="BE19" s="839"/>
      <c r="BF19" s="839"/>
      <c r="BG19" s="839"/>
      <c r="BH19" s="839"/>
      <c r="BI19" s="839"/>
      <c r="BJ19" s="839"/>
      <c r="BK19" s="839"/>
      <c r="BL19" s="839"/>
      <c r="BM19" s="839"/>
    </row>
    <row r="20" spans="1:65" x14ac:dyDescent="0.25">
      <c r="A20" s="263"/>
      <c r="B20" s="867"/>
      <c r="C20" s="867"/>
      <c r="D20" s="867"/>
      <c r="E20" s="867"/>
      <c r="F20" s="867"/>
      <c r="G20" s="867"/>
      <c r="H20" s="867"/>
      <c r="I20" s="867"/>
      <c r="J20" s="867"/>
      <c r="K20" s="867"/>
      <c r="L20" s="867"/>
      <c r="M20" s="867"/>
      <c r="N20" s="867"/>
      <c r="O20" s="867"/>
      <c r="P20" s="867"/>
      <c r="Q20" s="867"/>
      <c r="R20" s="867"/>
      <c r="S20" s="867"/>
      <c r="T20" s="867"/>
      <c r="U20" s="867"/>
      <c r="V20" s="867"/>
      <c r="W20" s="867"/>
      <c r="X20" s="867"/>
      <c r="Y20" s="867"/>
      <c r="Z20" s="867"/>
      <c r="AA20" s="867"/>
      <c r="AB20" s="867"/>
      <c r="AC20" s="867"/>
      <c r="AD20" s="867"/>
      <c r="AE20" s="867"/>
      <c r="AF20" s="867"/>
      <c r="AG20" s="4"/>
      <c r="AH20" s="4"/>
      <c r="AI20" s="4"/>
      <c r="AJ20" s="4"/>
      <c r="AL20" s="885"/>
      <c r="AM20" s="885"/>
      <c r="AN20" s="885"/>
      <c r="AO20" s="885"/>
      <c r="AP20" s="885"/>
      <c r="AQ20" s="885"/>
      <c r="AR20" s="885"/>
      <c r="AS20" s="885"/>
      <c r="AT20" s="885"/>
      <c r="AU20" s="885"/>
      <c r="AV20" s="885"/>
      <c r="AW20" s="885"/>
      <c r="AX20" s="885"/>
      <c r="AY20" s="885"/>
      <c r="AZ20" s="885"/>
      <c r="BA20" s="885"/>
      <c r="BB20" s="885"/>
      <c r="BC20" s="885"/>
      <c r="BD20" s="885"/>
      <c r="BE20" s="885"/>
      <c r="BF20" s="885"/>
      <c r="BG20" s="885"/>
      <c r="BH20" s="885"/>
      <c r="BI20" s="885"/>
      <c r="BJ20" s="885"/>
      <c r="BK20" s="885"/>
      <c r="BL20" s="885"/>
      <c r="BM20" s="885"/>
    </row>
    <row r="21" spans="1:65" ht="90" customHeight="1" x14ac:dyDescent="0.25">
      <c r="A21" s="263"/>
      <c r="B21" s="2049" t="s">
        <v>5727</v>
      </c>
      <c r="C21" s="2049"/>
      <c r="D21" s="2049"/>
      <c r="E21" s="2049"/>
      <c r="F21" s="2049"/>
      <c r="G21" s="2049"/>
      <c r="H21" s="2049"/>
      <c r="I21" s="2049"/>
      <c r="J21" s="2049"/>
      <c r="K21" s="2049"/>
      <c r="L21" s="2049"/>
      <c r="M21" s="2049"/>
      <c r="N21" s="2049"/>
      <c r="O21" s="2049"/>
      <c r="P21" s="2049"/>
      <c r="Q21" s="2049"/>
      <c r="R21" s="2049"/>
      <c r="S21" s="2049"/>
      <c r="T21" s="2049"/>
      <c r="U21" s="2049"/>
      <c r="V21" s="2049"/>
      <c r="W21" s="2049"/>
      <c r="X21" s="2049"/>
      <c r="Y21" s="2049"/>
      <c r="Z21" s="2049"/>
      <c r="AA21" s="2049"/>
      <c r="AB21" s="2049"/>
      <c r="AC21" s="2049"/>
      <c r="AD21" s="2049"/>
      <c r="AE21" s="2049"/>
      <c r="AF21" s="2049"/>
      <c r="AG21" s="4"/>
      <c r="AH21" s="4"/>
      <c r="AI21" s="4"/>
      <c r="AJ21" s="4"/>
      <c r="AL21" s="839"/>
      <c r="AM21" s="885"/>
      <c r="AN21" s="885"/>
      <c r="AO21" s="885"/>
      <c r="AP21" s="885"/>
      <c r="AQ21" s="885"/>
      <c r="AR21" s="885"/>
      <c r="AS21" s="885"/>
      <c r="AT21" s="885"/>
      <c r="AU21" s="885"/>
      <c r="AV21" s="885"/>
      <c r="AW21" s="885"/>
      <c r="AX21" s="885"/>
      <c r="AY21" s="885"/>
      <c r="AZ21" s="885"/>
      <c r="BA21" s="885"/>
      <c r="BB21" s="885"/>
      <c r="BC21" s="885"/>
      <c r="BD21" s="885"/>
      <c r="BE21" s="885"/>
      <c r="BF21" s="885"/>
      <c r="BG21" s="885"/>
      <c r="BH21" s="885"/>
      <c r="BI21" s="885"/>
      <c r="BJ21" s="885"/>
      <c r="BK21" s="885"/>
      <c r="BL21" s="885"/>
      <c r="BM21" s="885"/>
    </row>
    <row r="22" spans="1:65" x14ac:dyDescent="0.25">
      <c r="A22" s="263"/>
      <c r="B22" s="867"/>
      <c r="C22" s="867"/>
      <c r="D22" s="867"/>
      <c r="E22" s="867"/>
      <c r="F22" s="867"/>
      <c r="G22" s="867"/>
      <c r="H22" s="867"/>
      <c r="I22" s="867"/>
      <c r="J22" s="867"/>
      <c r="K22" s="867"/>
      <c r="L22" s="867"/>
      <c r="M22" s="867"/>
      <c r="N22" s="867"/>
      <c r="O22" s="867"/>
      <c r="P22" s="867"/>
      <c r="Q22" s="867"/>
      <c r="R22" s="867"/>
      <c r="S22" s="867"/>
      <c r="T22" s="867"/>
      <c r="U22" s="867"/>
      <c r="V22" s="867"/>
      <c r="W22" s="867"/>
      <c r="X22" s="867"/>
      <c r="Y22" s="867"/>
      <c r="Z22" s="867"/>
      <c r="AA22" s="867"/>
      <c r="AB22" s="867"/>
      <c r="AC22" s="867"/>
      <c r="AD22" s="867"/>
      <c r="AE22" s="867"/>
      <c r="AF22" s="867"/>
      <c r="AG22" s="4"/>
      <c r="AH22" s="4"/>
      <c r="AI22" s="4"/>
      <c r="AJ22" s="4"/>
      <c r="AL22" s="692"/>
    </row>
    <row r="23" spans="1:65" ht="34.5" customHeight="1" x14ac:dyDescent="0.25">
      <c r="A23" s="263"/>
      <c r="B23" s="2049" t="s">
        <v>5728</v>
      </c>
      <c r="C23" s="2049"/>
      <c r="D23" s="2049"/>
      <c r="E23" s="2049"/>
      <c r="F23" s="2049"/>
      <c r="G23" s="2049"/>
      <c r="H23" s="2049"/>
      <c r="I23" s="2049"/>
      <c r="J23" s="2049"/>
      <c r="K23" s="2049"/>
      <c r="L23" s="2049"/>
      <c r="M23" s="2049"/>
      <c r="N23" s="2049"/>
      <c r="O23" s="2049"/>
      <c r="P23" s="2049"/>
      <c r="Q23" s="2049"/>
      <c r="R23" s="2049"/>
      <c r="S23" s="2049"/>
      <c r="T23" s="2049"/>
      <c r="U23" s="2049"/>
      <c r="V23" s="2049"/>
      <c r="W23" s="2049"/>
      <c r="X23" s="2049"/>
      <c r="Y23" s="2049"/>
      <c r="Z23" s="2049"/>
      <c r="AA23" s="2049"/>
      <c r="AB23" s="2049"/>
      <c r="AC23" s="2049"/>
      <c r="AD23" s="2049"/>
      <c r="AE23" s="2049"/>
      <c r="AF23" s="2049"/>
      <c r="AG23" s="4"/>
      <c r="AH23" s="4"/>
      <c r="AI23" s="4"/>
      <c r="AJ23" s="4"/>
      <c r="AL23" s="839"/>
      <c r="AM23" s="839"/>
      <c r="AN23" s="839"/>
      <c r="AO23" s="839"/>
      <c r="AP23" s="839"/>
      <c r="AQ23" s="839"/>
      <c r="AR23" s="839"/>
      <c r="AS23" s="839"/>
      <c r="AT23" s="839"/>
      <c r="AU23" s="839"/>
      <c r="AV23" s="839"/>
      <c r="AW23" s="839"/>
      <c r="AX23" s="839"/>
      <c r="AY23" s="839"/>
      <c r="AZ23" s="839"/>
      <c r="BA23" s="839"/>
      <c r="BB23" s="839"/>
      <c r="BC23" s="839"/>
      <c r="BD23" s="839"/>
      <c r="BE23" s="839"/>
      <c r="BF23" s="839"/>
      <c r="BG23" s="839"/>
      <c r="BH23" s="839"/>
      <c r="BI23" s="839"/>
      <c r="BJ23" s="839"/>
      <c r="BK23" s="839"/>
      <c r="BL23" s="839"/>
      <c r="BM23" s="839"/>
    </row>
    <row r="24" spans="1:65" x14ac:dyDescent="0.25">
      <c r="A24" s="263"/>
      <c r="B24" s="867"/>
      <c r="C24" s="867"/>
      <c r="D24" s="867"/>
      <c r="E24" s="867"/>
      <c r="F24" s="867"/>
      <c r="G24" s="867"/>
      <c r="H24" s="867"/>
      <c r="I24" s="867"/>
      <c r="J24" s="867"/>
      <c r="K24" s="867"/>
      <c r="L24" s="867"/>
      <c r="M24" s="867"/>
      <c r="N24" s="867"/>
      <c r="O24" s="867"/>
      <c r="P24" s="867"/>
      <c r="Q24" s="867"/>
      <c r="R24" s="867"/>
      <c r="S24" s="867"/>
      <c r="T24" s="867"/>
      <c r="U24" s="867"/>
      <c r="V24" s="867"/>
      <c r="W24" s="867"/>
      <c r="X24" s="867"/>
      <c r="Y24" s="867"/>
      <c r="Z24" s="867"/>
      <c r="AA24" s="867"/>
      <c r="AB24" s="867"/>
      <c r="AC24" s="867"/>
      <c r="AD24" s="867"/>
      <c r="AE24" s="867"/>
      <c r="AF24" s="867"/>
      <c r="AG24" s="4"/>
      <c r="AH24" s="4"/>
      <c r="AI24" s="4"/>
      <c r="AJ24" s="4"/>
      <c r="AL24" s="839"/>
      <c r="AM24" s="839"/>
      <c r="AN24" s="839"/>
      <c r="AO24" s="839"/>
      <c r="AP24" s="839"/>
      <c r="AQ24" s="839"/>
      <c r="AR24" s="839"/>
      <c r="AS24" s="839"/>
      <c r="AT24" s="839"/>
      <c r="AU24" s="839"/>
      <c r="AV24" s="839"/>
      <c r="AW24" s="839"/>
      <c r="AX24" s="839"/>
      <c r="AY24" s="839"/>
      <c r="AZ24" s="839"/>
      <c r="BA24" s="839"/>
      <c r="BB24" s="839"/>
      <c r="BC24" s="839"/>
      <c r="BD24" s="839"/>
      <c r="BE24" s="839"/>
      <c r="BF24" s="839"/>
      <c r="BG24" s="839"/>
      <c r="BH24" s="839"/>
      <c r="BI24" s="839"/>
      <c r="BJ24" s="839"/>
      <c r="BK24" s="839"/>
      <c r="BL24" s="839"/>
      <c r="BM24" s="839"/>
    </row>
    <row r="25" spans="1:65" ht="81.75" customHeight="1" x14ac:dyDescent="0.25">
      <c r="A25" s="263"/>
      <c r="B25" s="3314" t="s">
        <v>5766</v>
      </c>
      <c r="C25" s="2049"/>
      <c r="D25" s="2049"/>
      <c r="E25" s="2049"/>
      <c r="F25" s="2049"/>
      <c r="G25" s="2049"/>
      <c r="H25" s="2049"/>
      <c r="I25" s="2049"/>
      <c r="J25" s="2049"/>
      <c r="K25" s="2049"/>
      <c r="L25" s="2049"/>
      <c r="M25" s="2049"/>
      <c r="N25" s="2049"/>
      <c r="O25" s="2049"/>
      <c r="P25" s="2049"/>
      <c r="Q25" s="2049"/>
      <c r="R25" s="2049"/>
      <c r="S25" s="2049"/>
      <c r="T25" s="2049"/>
      <c r="U25" s="2049"/>
      <c r="V25" s="2049"/>
      <c r="W25" s="2049"/>
      <c r="X25" s="2049"/>
      <c r="Y25" s="2049"/>
      <c r="Z25" s="2049"/>
      <c r="AA25" s="2049"/>
      <c r="AB25" s="2049"/>
      <c r="AC25" s="2049"/>
      <c r="AD25" s="2049"/>
      <c r="AE25" s="2049"/>
      <c r="AF25" s="2049"/>
      <c r="AG25" s="4"/>
      <c r="AH25" s="4"/>
      <c r="AI25" s="4"/>
      <c r="AJ25" s="4"/>
      <c r="AL25" s="839"/>
      <c r="AM25" s="839"/>
      <c r="AN25" s="839"/>
      <c r="AO25" s="839"/>
      <c r="AP25" s="839"/>
      <c r="AQ25" s="839"/>
      <c r="AR25" s="839"/>
      <c r="AS25" s="839"/>
      <c r="AT25" s="839"/>
      <c r="AU25" s="839"/>
      <c r="AV25" s="839"/>
      <c r="AW25" s="839"/>
      <c r="AX25" s="839"/>
      <c r="AY25" s="839"/>
      <c r="AZ25" s="839"/>
      <c r="BA25" s="839"/>
      <c r="BB25" s="839"/>
      <c r="BC25" s="839"/>
      <c r="BD25" s="839"/>
      <c r="BE25" s="839"/>
      <c r="BF25" s="839"/>
      <c r="BG25" s="839"/>
      <c r="BH25" s="839"/>
      <c r="BI25" s="839"/>
      <c r="BJ25" s="839"/>
      <c r="BK25" s="839"/>
      <c r="BL25" s="839"/>
      <c r="BM25" s="839"/>
    </row>
    <row r="26" spans="1:65" x14ac:dyDescent="0.25">
      <c r="A26" s="263"/>
      <c r="B26" s="867"/>
      <c r="C26" s="867"/>
      <c r="D26" s="867"/>
      <c r="E26" s="867"/>
      <c r="F26" s="867"/>
      <c r="G26" s="867"/>
      <c r="H26" s="867"/>
      <c r="I26" s="867"/>
      <c r="J26" s="867"/>
      <c r="K26" s="867"/>
      <c r="L26" s="867"/>
      <c r="M26" s="867"/>
      <c r="N26" s="867"/>
      <c r="O26" s="867"/>
      <c r="P26" s="867"/>
      <c r="Q26" s="867"/>
      <c r="R26" s="867"/>
      <c r="S26" s="867"/>
      <c r="T26" s="867"/>
      <c r="U26" s="867"/>
      <c r="V26" s="867"/>
      <c r="W26" s="867"/>
      <c r="X26" s="867"/>
      <c r="Y26" s="867"/>
      <c r="Z26" s="867"/>
      <c r="AA26" s="867"/>
      <c r="AB26" s="867"/>
      <c r="AC26" s="867"/>
      <c r="AD26" s="867"/>
      <c r="AE26" s="867"/>
      <c r="AF26" s="867"/>
      <c r="AG26" s="4"/>
      <c r="AH26" s="4"/>
      <c r="AI26" s="4"/>
      <c r="AJ26" s="4"/>
      <c r="AL26" s="885"/>
      <c r="AM26" s="885"/>
      <c r="AN26" s="885"/>
      <c r="AO26" s="885"/>
      <c r="AP26" s="885"/>
      <c r="AQ26" s="885"/>
      <c r="AR26" s="885"/>
      <c r="AS26" s="885"/>
      <c r="AT26" s="885"/>
      <c r="AU26" s="885"/>
      <c r="AV26" s="885"/>
      <c r="AW26" s="885"/>
      <c r="AX26" s="885"/>
      <c r="AY26" s="885"/>
      <c r="AZ26" s="885"/>
      <c r="BA26" s="885"/>
      <c r="BB26" s="885"/>
      <c r="BC26" s="885"/>
      <c r="BD26" s="885"/>
      <c r="BE26" s="885"/>
      <c r="BF26" s="885"/>
      <c r="BG26" s="885"/>
      <c r="BH26" s="885"/>
      <c r="BI26" s="885"/>
      <c r="BJ26" s="885"/>
      <c r="BK26" s="885"/>
      <c r="BL26" s="885"/>
      <c r="BM26" s="885"/>
    </row>
    <row r="27" spans="1:65" ht="15" customHeight="1" x14ac:dyDescent="0.25">
      <c r="A27" s="263"/>
      <c r="B27" s="338" t="s">
        <v>5729</v>
      </c>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263"/>
      <c r="AE27" s="263"/>
      <c r="AF27" s="263"/>
      <c r="AG27" s="4"/>
      <c r="AH27" s="4"/>
      <c r="AI27" s="4"/>
      <c r="AJ27" s="4"/>
      <c r="AL27" s="839"/>
      <c r="AM27" s="839"/>
      <c r="AN27" s="839"/>
      <c r="AO27" s="839"/>
      <c r="AP27" s="839"/>
      <c r="AQ27" s="839"/>
      <c r="AR27" s="839"/>
      <c r="AS27" s="839"/>
      <c r="AT27" s="839"/>
      <c r="AU27" s="839"/>
      <c r="AV27" s="839"/>
      <c r="AW27" s="839"/>
      <c r="AX27" s="839"/>
      <c r="AY27" s="839"/>
      <c r="AZ27" s="839"/>
      <c r="BA27" s="839"/>
      <c r="BB27" s="839"/>
      <c r="BC27" s="839"/>
      <c r="BD27" s="839"/>
      <c r="BE27" s="839"/>
      <c r="BF27" s="839"/>
      <c r="BG27" s="839"/>
      <c r="BH27" s="839"/>
      <c r="BI27" s="839"/>
      <c r="BJ27" s="839"/>
      <c r="BK27" s="839"/>
      <c r="BL27" s="839"/>
      <c r="BM27" s="839"/>
    </row>
    <row r="28" spans="1:65" ht="15" customHeight="1" x14ac:dyDescent="0.25">
      <c r="A28" s="263"/>
      <c r="B28" s="1819" t="s">
        <v>2879</v>
      </c>
      <c r="C28" s="1720"/>
      <c r="D28" s="1720"/>
      <c r="E28" s="1720"/>
      <c r="F28" s="1720"/>
      <c r="G28" s="1720"/>
      <c r="H28" s="1720"/>
      <c r="I28" s="1720"/>
      <c r="J28" s="1720"/>
      <c r="K28" s="1720"/>
      <c r="L28" s="1720"/>
      <c r="M28" s="2825"/>
      <c r="N28" s="1439" t="s">
        <v>5730</v>
      </c>
      <c r="O28" s="1440"/>
      <c r="P28" s="1440"/>
      <c r="Q28" s="1440"/>
      <c r="R28" s="1440"/>
      <c r="S28" s="1440"/>
      <c r="T28" s="1440"/>
      <c r="U28" s="1440"/>
      <c r="V28" s="1440"/>
      <c r="W28" s="1440"/>
      <c r="X28" s="1440"/>
      <c r="Y28" s="1441"/>
      <c r="Z28" s="1819" t="s">
        <v>5731</v>
      </c>
      <c r="AA28" s="1720"/>
      <c r="AB28" s="1720"/>
      <c r="AC28" s="1720"/>
      <c r="AD28" s="1720"/>
      <c r="AE28" s="2825"/>
      <c r="AF28" s="263"/>
      <c r="AG28" s="4"/>
      <c r="AH28" s="4"/>
      <c r="AI28" s="4"/>
      <c r="AJ28" s="4"/>
      <c r="AL28" s="839"/>
      <c r="AM28" s="839"/>
      <c r="AN28" s="839"/>
      <c r="AO28" s="839"/>
      <c r="AP28" s="839"/>
      <c r="AQ28" s="839"/>
      <c r="AR28" s="839"/>
      <c r="AS28" s="839"/>
      <c r="AT28" s="839"/>
      <c r="AU28" s="839"/>
      <c r="AV28" s="839"/>
      <c r="AW28" s="839"/>
      <c r="AX28" s="839"/>
      <c r="AY28" s="839"/>
      <c r="AZ28" s="839"/>
      <c r="BA28" s="839"/>
      <c r="BB28" s="839"/>
      <c r="BC28" s="839"/>
      <c r="BD28" s="839"/>
      <c r="BE28" s="839"/>
      <c r="BF28" s="839"/>
      <c r="BG28" s="839"/>
      <c r="BH28" s="839"/>
      <c r="BI28" s="839"/>
      <c r="BJ28" s="839"/>
      <c r="BK28" s="839"/>
      <c r="BL28" s="839"/>
      <c r="BM28" s="839"/>
    </row>
    <row r="29" spans="1:65" ht="92.25" customHeight="1" x14ac:dyDescent="0.25">
      <c r="A29" s="263"/>
      <c r="B29" s="3315"/>
      <c r="C29" s="3316"/>
      <c r="D29" s="3316"/>
      <c r="E29" s="3316"/>
      <c r="F29" s="3316"/>
      <c r="G29" s="3316"/>
      <c r="H29" s="3316"/>
      <c r="I29" s="3316"/>
      <c r="J29" s="3316"/>
      <c r="K29" s="3316"/>
      <c r="L29" s="3316"/>
      <c r="M29" s="3317"/>
      <c r="N29" s="1319" t="s">
        <v>3637</v>
      </c>
      <c r="O29" s="1319"/>
      <c r="P29" s="1319"/>
      <c r="Q29" s="1319"/>
      <c r="R29" s="1319"/>
      <c r="S29" s="1319"/>
      <c r="T29" s="1319" t="s">
        <v>3635</v>
      </c>
      <c r="U29" s="1319"/>
      <c r="V29" s="1319"/>
      <c r="W29" s="1319"/>
      <c r="X29" s="1319"/>
      <c r="Y29" s="1319"/>
      <c r="Z29" s="2826"/>
      <c r="AA29" s="2827"/>
      <c r="AB29" s="2827"/>
      <c r="AC29" s="2827"/>
      <c r="AD29" s="2827"/>
      <c r="AE29" s="2828"/>
      <c r="AF29" s="263"/>
      <c r="AG29" s="4"/>
      <c r="AH29" s="4"/>
      <c r="AI29" s="4"/>
      <c r="AJ29" s="4"/>
      <c r="AL29" s="885"/>
      <c r="AM29" s="885"/>
      <c r="AN29" s="885"/>
      <c r="AO29" s="885"/>
      <c r="AP29" s="885"/>
      <c r="AQ29" s="885"/>
      <c r="AR29" s="885"/>
      <c r="AS29" s="885"/>
      <c r="AT29" s="38"/>
      <c r="AU29" s="38"/>
      <c r="AW29" s="885"/>
      <c r="AX29" s="885"/>
      <c r="AY29" s="885"/>
      <c r="AZ29" s="885"/>
      <c r="BA29" s="885"/>
      <c r="BB29" s="885"/>
      <c r="BC29" s="885"/>
      <c r="BD29" s="885"/>
      <c r="BE29" s="885"/>
      <c r="BF29" s="885"/>
      <c r="BG29" s="885"/>
      <c r="BH29" s="885"/>
      <c r="BI29" s="885"/>
      <c r="BJ29" s="885"/>
      <c r="BK29" s="885"/>
      <c r="BL29" s="885"/>
      <c r="BM29" s="885"/>
    </row>
    <row r="30" spans="1:65" x14ac:dyDescent="0.25">
      <c r="A30" s="263"/>
      <c r="B30" s="2826"/>
      <c r="C30" s="2827"/>
      <c r="D30" s="2827"/>
      <c r="E30" s="2827"/>
      <c r="F30" s="2827"/>
      <c r="G30" s="2827"/>
      <c r="H30" s="2827"/>
      <c r="I30" s="2827"/>
      <c r="J30" s="2827"/>
      <c r="K30" s="2827"/>
      <c r="L30" s="2827"/>
      <c r="M30" s="2828"/>
      <c r="N30" s="1319" t="s">
        <v>1008</v>
      </c>
      <c r="O30" s="1319"/>
      <c r="P30" s="1319"/>
      <c r="Q30" s="1319" t="s">
        <v>308</v>
      </c>
      <c r="R30" s="1319"/>
      <c r="S30" s="1319"/>
      <c r="T30" s="1319" t="s">
        <v>1008</v>
      </c>
      <c r="U30" s="1319"/>
      <c r="V30" s="1319"/>
      <c r="W30" s="1319" t="s">
        <v>308</v>
      </c>
      <c r="X30" s="1319"/>
      <c r="Y30" s="1319"/>
      <c r="Z30" s="1319" t="s">
        <v>5712</v>
      </c>
      <c r="AA30" s="1319"/>
      <c r="AB30" s="1319"/>
      <c r="AC30" s="1319" t="s">
        <v>5713</v>
      </c>
      <c r="AD30" s="1319"/>
      <c r="AE30" s="1319"/>
      <c r="AF30" s="263"/>
      <c r="AG30" s="4"/>
      <c r="AH30" s="4"/>
      <c r="AI30" s="4"/>
      <c r="AJ30" s="4"/>
      <c r="AL30" s="839"/>
      <c r="AM30" s="885"/>
      <c r="AN30" s="885"/>
      <c r="AO30" s="885"/>
      <c r="AP30" s="885"/>
      <c r="AQ30" s="885"/>
      <c r="AR30" s="885"/>
      <c r="AS30" s="885"/>
      <c r="AV30" s="931"/>
      <c r="AW30" s="885"/>
      <c r="AX30" s="885"/>
      <c r="AY30" s="885"/>
      <c r="AZ30" s="885"/>
      <c r="BA30" s="885"/>
      <c r="BB30" s="885"/>
      <c r="BC30" s="885"/>
      <c r="BD30" s="885"/>
      <c r="BE30" s="885"/>
      <c r="BF30" s="885"/>
      <c r="BG30" s="885"/>
      <c r="BH30" s="885"/>
      <c r="BI30" s="885"/>
      <c r="BJ30" s="885"/>
      <c r="BK30" s="885"/>
      <c r="BL30" s="885"/>
      <c r="BM30" s="885"/>
    </row>
    <row r="31" spans="1:65" x14ac:dyDescent="0.25">
      <c r="A31" s="263"/>
      <c r="B31" s="1874" t="s">
        <v>5732</v>
      </c>
      <c r="C31" s="1874"/>
      <c r="D31" s="1874"/>
      <c r="E31" s="1874"/>
      <c r="F31" s="1874"/>
      <c r="G31" s="1874"/>
      <c r="H31" s="1874"/>
      <c r="I31" s="1874"/>
      <c r="J31" s="1874"/>
      <c r="K31" s="1874"/>
      <c r="L31" s="1874"/>
      <c r="M31" s="1874"/>
      <c r="N31" s="3313">
        <v>11</v>
      </c>
      <c r="O31" s="3313"/>
      <c r="P31" s="3313"/>
      <c r="Q31" s="3313">
        <v>9.9</v>
      </c>
      <c r="R31" s="3313"/>
      <c r="S31" s="3313"/>
      <c r="T31" s="3313">
        <v>13</v>
      </c>
      <c r="U31" s="3313"/>
      <c r="V31" s="3313"/>
      <c r="W31" s="3313">
        <v>10</v>
      </c>
      <c r="X31" s="3313"/>
      <c r="Y31" s="3313"/>
      <c r="Z31" s="3313">
        <v>14.3</v>
      </c>
      <c r="AA31" s="3313"/>
      <c r="AB31" s="3313"/>
      <c r="AC31" s="3313">
        <v>11.7</v>
      </c>
      <c r="AD31" s="3313"/>
      <c r="AE31" s="3313"/>
      <c r="AF31" s="263"/>
      <c r="AG31" s="4"/>
      <c r="AH31" s="4"/>
      <c r="AI31" s="4"/>
      <c r="AJ31" s="4"/>
      <c r="AL31" s="885"/>
      <c r="AM31" s="885"/>
      <c r="AN31" s="885"/>
      <c r="AO31" s="885"/>
      <c r="AP31" s="885"/>
      <c r="AQ31" s="885"/>
      <c r="AR31" s="885"/>
      <c r="AS31" s="885"/>
      <c r="AV31" s="931"/>
      <c r="AW31" s="885"/>
      <c r="AX31" s="885"/>
      <c r="AY31" s="885"/>
      <c r="AZ31" s="885"/>
      <c r="BA31" s="885"/>
      <c r="BB31" s="885"/>
      <c r="BC31" s="885"/>
      <c r="BD31" s="885"/>
      <c r="BE31" s="885"/>
      <c r="BF31" s="885"/>
      <c r="BG31" s="885"/>
      <c r="BH31" s="885"/>
      <c r="BI31" s="885"/>
      <c r="BJ31" s="885"/>
      <c r="BK31" s="885"/>
      <c r="BL31" s="885"/>
      <c r="BM31" s="885"/>
    </row>
    <row r="32" spans="1:65" x14ac:dyDescent="0.25">
      <c r="A32" s="263"/>
      <c r="B32" s="1874" t="s">
        <v>5733</v>
      </c>
      <c r="C32" s="1874"/>
      <c r="D32" s="1874"/>
      <c r="E32" s="1874"/>
      <c r="F32" s="1874"/>
      <c r="G32" s="1874"/>
      <c r="H32" s="1874"/>
      <c r="I32" s="1874"/>
      <c r="J32" s="1874"/>
      <c r="K32" s="1874"/>
      <c r="L32" s="1874"/>
      <c r="M32" s="1874"/>
      <c r="N32" s="3313">
        <v>11</v>
      </c>
      <c r="O32" s="3313"/>
      <c r="P32" s="3313"/>
      <c r="Q32" s="3313">
        <v>9.9</v>
      </c>
      <c r="R32" s="3313"/>
      <c r="S32" s="3313"/>
      <c r="T32" s="3313">
        <v>13</v>
      </c>
      <c r="U32" s="3313"/>
      <c r="V32" s="3313"/>
      <c r="W32" s="3313">
        <v>10</v>
      </c>
      <c r="X32" s="3313"/>
      <c r="Y32" s="3313"/>
      <c r="Z32" s="3313">
        <v>13.8</v>
      </c>
      <c r="AA32" s="3313"/>
      <c r="AB32" s="3313"/>
      <c r="AC32" s="3313">
        <v>11.2</v>
      </c>
      <c r="AD32" s="3313"/>
      <c r="AE32" s="3313"/>
      <c r="AF32" s="263"/>
      <c r="AG32" s="4"/>
      <c r="AH32" s="4"/>
      <c r="AI32" s="4"/>
      <c r="AJ32" s="4"/>
      <c r="AL32" s="885"/>
      <c r="AM32" s="885"/>
      <c r="AN32" s="885"/>
      <c r="AO32" s="885"/>
      <c r="AP32" s="885"/>
      <c r="AQ32" s="885"/>
      <c r="AR32" s="885"/>
      <c r="AS32" s="885"/>
      <c r="AV32" s="931"/>
      <c r="AW32" s="885"/>
      <c r="AX32" s="885"/>
      <c r="AY32" s="885"/>
      <c r="AZ32" s="885"/>
      <c r="BA32" s="885"/>
      <c r="BB32" s="885"/>
      <c r="BC32" s="885"/>
      <c r="BD32" s="885"/>
      <c r="BE32" s="885"/>
      <c r="BF32" s="885"/>
      <c r="BG32" s="885"/>
      <c r="BH32" s="885"/>
      <c r="BI32" s="885"/>
      <c r="BJ32" s="885"/>
      <c r="BK32" s="885"/>
      <c r="BL32" s="885"/>
      <c r="BM32" s="885"/>
    </row>
    <row r="33" spans="1:65" x14ac:dyDescent="0.25">
      <c r="A33" s="263"/>
      <c r="B33" s="1874" t="s">
        <v>5734</v>
      </c>
      <c r="C33" s="1874"/>
      <c r="D33" s="1874"/>
      <c r="E33" s="1874"/>
      <c r="F33" s="1874"/>
      <c r="G33" s="1874"/>
      <c r="H33" s="1874"/>
      <c r="I33" s="1874"/>
      <c r="J33" s="1874"/>
      <c r="K33" s="1874"/>
      <c r="L33" s="1874"/>
      <c r="M33" s="1874"/>
      <c r="N33" s="3313">
        <v>11</v>
      </c>
      <c r="O33" s="3313"/>
      <c r="P33" s="3313"/>
      <c r="Q33" s="3313">
        <v>9.9</v>
      </c>
      <c r="R33" s="3313"/>
      <c r="S33" s="3313"/>
      <c r="T33" s="3313">
        <v>13</v>
      </c>
      <c r="U33" s="3313"/>
      <c r="V33" s="3313"/>
      <c r="W33" s="3313">
        <v>10</v>
      </c>
      <c r="X33" s="3313"/>
      <c r="Y33" s="3313"/>
      <c r="Z33" s="3313">
        <v>13.4</v>
      </c>
      <c r="AA33" s="3313"/>
      <c r="AB33" s="3313"/>
      <c r="AC33" s="3313">
        <v>10.6</v>
      </c>
      <c r="AD33" s="3313"/>
      <c r="AE33" s="3313"/>
      <c r="AF33" s="263"/>
      <c r="AG33" s="4"/>
      <c r="AH33" s="4"/>
      <c r="AI33" s="4"/>
      <c r="AJ33" s="4"/>
      <c r="AL33" s="885"/>
      <c r="AM33" s="885"/>
      <c r="AN33" s="885"/>
      <c r="AO33" s="885"/>
      <c r="AP33" s="885"/>
      <c r="AQ33" s="885"/>
      <c r="AR33" s="885"/>
      <c r="AS33" s="885"/>
      <c r="AW33" s="885"/>
      <c r="AX33" s="885"/>
      <c r="AY33" s="885"/>
      <c r="AZ33" s="885"/>
      <c r="BA33" s="885"/>
      <c r="BB33" s="885"/>
      <c r="BC33" s="885"/>
      <c r="BD33" s="885"/>
      <c r="BE33" s="885"/>
      <c r="BF33" s="885"/>
      <c r="BG33" s="885"/>
      <c r="BH33" s="885"/>
      <c r="BI33" s="885"/>
      <c r="BJ33" s="885"/>
      <c r="BK33" s="885"/>
      <c r="BL33" s="885"/>
      <c r="BM33" s="885"/>
    </row>
    <row r="34" spans="1:65" ht="15" customHeight="1" x14ac:dyDescent="0.25">
      <c r="A34" s="263"/>
      <c r="B34" s="3290" t="s">
        <v>5735</v>
      </c>
      <c r="C34" s="3290"/>
      <c r="D34" s="3290"/>
      <c r="E34" s="3290"/>
      <c r="F34" s="3290"/>
      <c r="G34" s="3290"/>
      <c r="H34" s="3290"/>
      <c r="I34" s="3290"/>
      <c r="J34" s="3290"/>
      <c r="K34" s="3290"/>
      <c r="L34" s="3290"/>
      <c r="M34" s="3290"/>
      <c r="N34" s="3290"/>
      <c r="O34" s="3290"/>
      <c r="P34" s="3290"/>
      <c r="Q34" s="3290"/>
      <c r="R34" s="3290"/>
      <c r="S34" s="3290"/>
      <c r="T34" s="3290"/>
      <c r="U34" s="3290"/>
      <c r="V34" s="3290"/>
      <c r="W34" s="3290"/>
      <c r="X34" s="3290"/>
      <c r="Y34" s="3290"/>
      <c r="Z34" s="3290"/>
      <c r="AA34" s="3290"/>
      <c r="AB34" s="3290"/>
      <c r="AC34" s="3290"/>
      <c r="AD34" s="3290"/>
      <c r="AE34" s="3290"/>
      <c r="AF34" s="3290"/>
      <c r="AG34" s="4"/>
      <c r="AH34" s="4"/>
      <c r="AI34" s="4"/>
      <c r="AJ34" s="4"/>
      <c r="AL34" s="885"/>
      <c r="AM34" s="885"/>
      <c r="AN34" s="885"/>
      <c r="AO34" s="885"/>
      <c r="AP34" s="885"/>
      <c r="AQ34" s="885"/>
      <c r="AR34" s="885"/>
      <c r="AS34" s="885"/>
      <c r="AW34" s="885"/>
      <c r="AX34" s="885"/>
      <c r="AY34" s="885"/>
      <c r="AZ34" s="885"/>
      <c r="BA34" s="885"/>
      <c r="BB34" s="885"/>
      <c r="BC34" s="885"/>
      <c r="BD34" s="885"/>
      <c r="BE34" s="885"/>
      <c r="BF34" s="885"/>
      <c r="BG34" s="885"/>
      <c r="BH34" s="885"/>
      <c r="BI34" s="885"/>
      <c r="BJ34" s="885"/>
      <c r="BK34" s="885"/>
      <c r="BL34" s="885"/>
      <c r="BM34" s="885"/>
    </row>
    <row r="35" spans="1:65" x14ac:dyDescent="0.25">
      <c r="A35" s="262"/>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1"/>
      <c r="AH35" s="1"/>
      <c r="AI35" s="1"/>
      <c r="AJ35" s="1"/>
      <c r="AL35" s="692"/>
      <c r="AT35" s="227"/>
      <c r="AU35" s="227"/>
    </row>
    <row r="36" spans="1:65" x14ac:dyDescent="0.25">
      <c r="A36" s="262"/>
      <c r="B36" s="414" t="s">
        <v>20</v>
      </c>
      <c r="C36" s="414"/>
      <c r="D36" s="414"/>
      <c r="E36" s="414"/>
      <c r="F36" s="414"/>
      <c r="G36" s="414"/>
      <c r="H36" s="414"/>
      <c r="I36" s="414"/>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1"/>
      <c r="AH36" s="1"/>
      <c r="AI36" s="1"/>
      <c r="AJ36" s="1"/>
      <c r="AL36" s="386"/>
      <c r="AT36" s="227"/>
      <c r="AU36" s="227"/>
    </row>
    <row r="37" spans="1:65" ht="39.75" customHeight="1" x14ac:dyDescent="0.25">
      <c r="A37" s="262"/>
      <c r="B37" s="1173" t="s">
        <v>6345</v>
      </c>
      <c r="C37" s="1287"/>
      <c r="D37" s="1287"/>
      <c r="E37" s="1287"/>
      <c r="F37" s="1287"/>
      <c r="G37" s="1287"/>
      <c r="H37" s="1287"/>
      <c r="I37" s="1287"/>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
      <c r="AH37" s="1"/>
      <c r="AI37" s="1"/>
      <c r="AJ37" s="1"/>
      <c r="AL37" s="2020"/>
      <c r="AM37" s="2020"/>
      <c r="AN37" s="2020"/>
      <c r="AO37" s="2020"/>
      <c r="AP37" s="2020"/>
      <c r="AQ37" s="2020"/>
      <c r="AR37" s="2020"/>
      <c r="AS37" s="2020"/>
      <c r="AT37" s="2020"/>
      <c r="AU37" s="2020"/>
      <c r="AV37" s="2020"/>
      <c r="AW37" s="2020"/>
      <c r="AX37" s="2020"/>
      <c r="AY37" s="2020"/>
      <c r="AZ37" s="2020"/>
      <c r="BA37" s="2020"/>
      <c r="BB37" s="2020"/>
      <c r="BC37" s="2020"/>
      <c r="BD37" s="2020"/>
      <c r="BE37" s="2020"/>
      <c r="BF37" s="2020"/>
      <c r="BG37" s="2020"/>
      <c r="BH37" s="2020"/>
      <c r="BI37" s="2020"/>
      <c r="BJ37" s="2020"/>
      <c r="BK37" s="2020"/>
      <c r="BL37" s="2020"/>
      <c r="BM37" s="2020"/>
    </row>
    <row r="38" spans="1:65" x14ac:dyDescent="0.25">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1"/>
      <c r="AH38" s="1"/>
      <c r="AI38" s="1"/>
      <c r="AJ38" s="1"/>
      <c r="AL38" s="839"/>
    </row>
    <row r="39" spans="1:65" x14ac:dyDescent="0.25">
      <c r="A39" s="262"/>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1"/>
      <c r="AH39" s="1"/>
      <c r="AI39" s="1"/>
      <c r="AJ39" s="1"/>
      <c r="AL39" s="692"/>
    </row>
    <row r="40" spans="1:65" x14ac:dyDescent="0.25">
      <c r="A40" s="1621" t="s">
        <v>14</v>
      </c>
      <c r="B40" s="1621"/>
      <c r="C40" s="1621"/>
      <c r="D40" s="1621"/>
      <c r="E40" s="1621"/>
      <c r="F40" s="1621"/>
      <c r="G40" s="1621"/>
      <c r="H40" s="1621"/>
      <c r="I40" s="1621"/>
      <c r="J40" s="1621"/>
      <c r="K40" s="1621"/>
      <c r="L40" s="1621"/>
      <c r="M40" s="1621"/>
      <c r="N40" s="1621"/>
      <c r="O40" s="1621"/>
      <c r="P40" s="1621"/>
      <c r="Q40" s="1621"/>
      <c r="R40" s="1621"/>
      <c r="S40" s="1621"/>
      <c r="T40" s="1621"/>
      <c r="U40" s="1621"/>
      <c r="V40" s="1621"/>
      <c r="W40" s="1621"/>
      <c r="X40" s="1621"/>
      <c r="Y40" s="1621"/>
      <c r="Z40" s="1621"/>
      <c r="AA40" s="1621"/>
      <c r="AB40" s="1621"/>
      <c r="AC40" s="1621"/>
      <c r="AD40" s="1621"/>
      <c r="AE40" s="1621"/>
      <c r="AF40" s="1621"/>
      <c r="AG40" s="1"/>
      <c r="AH40" s="1"/>
      <c r="AI40" s="1"/>
      <c r="AJ40" s="1"/>
      <c r="AL40" s="692"/>
    </row>
    <row r="41" spans="1:65" x14ac:dyDescent="0.25">
      <c r="A41" s="720"/>
      <c r="B41" s="720"/>
      <c r="C41" s="720"/>
      <c r="D41" s="720"/>
      <c r="E41" s="720"/>
      <c r="F41" s="720"/>
      <c r="G41" s="720"/>
      <c r="H41" s="720"/>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1"/>
      <c r="AH41" s="1"/>
      <c r="AI41" s="1"/>
      <c r="AJ41" s="1"/>
      <c r="AL41" s="885"/>
      <c r="AM41" s="885"/>
      <c r="AN41" s="885"/>
      <c r="AO41" s="885"/>
      <c r="AP41" s="885"/>
      <c r="AQ41" s="885"/>
      <c r="AR41" s="885"/>
      <c r="AS41" s="885"/>
      <c r="AT41" s="885"/>
      <c r="AU41" s="885"/>
      <c r="AV41" s="885"/>
      <c r="AW41" s="885"/>
      <c r="AX41" s="885"/>
      <c r="AY41" s="885"/>
      <c r="AZ41" s="885"/>
      <c r="BA41" s="885"/>
      <c r="BB41" s="885"/>
      <c r="BC41" s="885"/>
      <c r="BD41" s="885"/>
      <c r="BE41" s="885"/>
      <c r="BF41" s="885"/>
      <c r="BG41" s="885"/>
      <c r="BH41" s="885"/>
      <c r="BI41" s="885"/>
      <c r="BJ41" s="885"/>
      <c r="BK41" s="885"/>
      <c r="BL41" s="885"/>
      <c r="BM41" s="885"/>
    </row>
    <row r="42" spans="1:65" x14ac:dyDescent="0.25">
      <c r="A42" s="262"/>
      <c r="B42" s="519" t="s">
        <v>3464</v>
      </c>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L42" s="692"/>
    </row>
    <row r="43" spans="1:65" x14ac:dyDescent="0.25">
      <c r="A43" s="262"/>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L43" s="692"/>
    </row>
    <row r="44" spans="1:65" x14ac:dyDescent="0.25">
      <c r="A44" s="2021"/>
      <c r="B44" s="2021"/>
      <c r="C44" s="2021"/>
      <c r="D44" s="2021"/>
      <c r="E44" s="2021"/>
      <c r="F44" s="2021"/>
      <c r="G44" s="2021"/>
      <c r="H44" s="2021"/>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t="s">
        <v>1705</v>
      </c>
      <c r="AL44" s="692"/>
    </row>
    <row r="45" spans="1:65" x14ac:dyDescent="0.25">
      <c r="A45" s="193"/>
      <c r="B45" s="193"/>
      <c r="C45" s="193"/>
      <c r="D45" s="193"/>
      <c r="E45" s="193"/>
      <c r="F45" s="193"/>
      <c r="G45" s="193"/>
      <c r="H45" s="193"/>
      <c r="I45" s="520"/>
      <c r="J45" s="520"/>
      <c r="K45" s="520"/>
      <c r="L45" s="520"/>
      <c r="M45" s="520"/>
      <c r="N45" s="520"/>
      <c r="O45" s="520"/>
      <c r="P45" s="520"/>
      <c r="Q45" s="520"/>
      <c r="R45" s="520"/>
      <c r="S45" s="520"/>
      <c r="T45" s="520"/>
      <c r="U45" s="520"/>
      <c r="V45" s="520"/>
      <c r="W45" s="520"/>
      <c r="X45" s="520"/>
      <c r="Y45" s="520"/>
      <c r="Z45" s="520"/>
      <c r="AA45" s="520"/>
      <c r="AB45" s="520"/>
      <c r="AC45" s="520"/>
      <c r="AD45" s="520"/>
      <c r="AE45" s="520"/>
      <c r="AF45" s="520"/>
      <c r="AL45" s="692"/>
    </row>
    <row r="46" spans="1:65" x14ac:dyDescent="0.25">
      <c r="A46" s="262"/>
      <c r="B46" s="519" t="s">
        <v>3465</v>
      </c>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L46" s="692"/>
    </row>
    <row r="47" spans="1:65" x14ac:dyDescent="0.25">
      <c r="A47" s="262"/>
      <c r="B47" s="262"/>
      <c r="C47" s="866" t="s">
        <v>5736</v>
      </c>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L47" s="692"/>
      <c r="AU47" s="227"/>
    </row>
    <row r="48" spans="1:65" x14ac:dyDescent="0.25">
      <c r="A48" s="262"/>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L48" s="692"/>
    </row>
    <row r="49" spans="1:47" x14ac:dyDescent="0.25">
      <c r="A49" s="2021"/>
      <c r="B49" s="2021"/>
      <c r="C49" s="2021"/>
      <c r="D49" s="2021"/>
      <c r="E49" s="2021"/>
      <c r="F49" s="2021"/>
      <c r="G49" s="2021"/>
      <c r="H49" s="2021"/>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t="s">
        <v>1706</v>
      </c>
      <c r="AL49" s="692"/>
    </row>
    <row r="50" spans="1:47" x14ac:dyDescent="0.25">
      <c r="A50" s="193"/>
      <c r="B50" s="193"/>
      <c r="C50" s="193"/>
      <c r="D50" s="193"/>
      <c r="E50" s="193"/>
      <c r="F50" s="193"/>
      <c r="G50" s="193"/>
      <c r="H50" s="193"/>
      <c r="I50" s="520"/>
      <c r="J50" s="520"/>
      <c r="K50" s="520"/>
      <c r="L50" s="520"/>
      <c r="M50" s="520"/>
      <c r="N50" s="520"/>
      <c r="O50" s="520"/>
      <c r="P50" s="520"/>
      <c r="Q50" s="520"/>
      <c r="R50" s="520"/>
      <c r="S50" s="520"/>
      <c r="T50" s="520"/>
      <c r="U50" s="520"/>
      <c r="V50" s="520"/>
      <c r="W50" s="520"/>
      <c r="X50" s="520"/>
      <c r="Y50" s="520"/>
      <c r="Z50" s="520"/>
      <c r="AA50" s="520"/>
      <c r="AB50" s="520"/>
      <c r="AC50" s="520"/>
      <c r="AD50" s="520"/>
      <c r="AE50" s="520"/>
      <c r="AF50" s="520"/>
      <c r="AL50" s="692"/>
    </row>
    <row r="51" spans="1:47" x14ac:dyDescent="0.25">
      <c r="A51" s="193"/>
      <c r="B51" s="519" t="s">
        <v>2192</v>
      </c>
      <c r="C51" s="193"/>
      <c r="D51" s="193"/>
      <c r="E51" s="193"/>
      <c r="F51" s="193"/>
      <c r="G51" s="193"/>
      <c r="H51" s="193"/>
      <c r="I51" s="520"/>
      <c r="J51" s="520"/>
      <c r="K51" s="520"/>
      <c r="L51" s="520"/>
      <c r="M51" s="520"/>
      <c r="N51" s="520"/>
      <c r="O51" s="520"/>
      <c r="P51" s="520"/>
      <c r="Q51" s="520"/>
      <c r="R51" s="520"/>
      <c r="S51" s="520"/>
      <c r="T51" s="520"/>
      <c r="U51" s="520"/>
      <c r="V51" s="520"/>
      <c r="W51" s="520"/>
      <c r="X51" s="520"/>
      <c r="Y51" s="520"/>
      <c r="Z51" s="520"/>
      <c r="AA51" s="520"/>
      <c r="AB51" s="520"/>
      <c r="AC51" s="520"/>
      <c r="AD51" s="520"/>
      <c r="AE51" s="520"/>
      <c r="AF51" s="520"/>
      <c r="AL51" s="692"/>
    </row>
    <row r="52" spans="1:47" x14ac:dyDescent="0.25">
      <c r="A52" s="193"/>
      <c r="B52" s="193"/>
      <c r="C52" s="193"/>
      <c r="D52" s="193"/>
      <c r="E52" s="193"/>
      <c r="F52" s="193"/>
      <c r="G52" s="193"/>
      <c r="H52" s="193"/>
      <c r="I52" s="520"/>
      <c r="J52" s="520"/>
      <c r="K52" s="520"/>
      <c r="L52" s="520"/>
      <c r="M52" s="520"/>
      <c r="N52" s="520"/>
      <c r="O52" s="520"/>
      <c r="P52" s="520"/>
      <c r="Q52" s="520"/>
      <c r="R52" s="520"/>
      <c r="S52" s="520"/>
      <c r="T52" s="520"/>
      <c r="U52" s="520"/>
      <c r="V52" s="520"/>
      <c r="W52" s="520"/>
      <c r="X52" s="520"/>
      <c r="Y52" s="520"/>
      <c r="Z52" s="520"/>
      <c r="AA52" s="520"/>
      <c r="AB52" s="520"/>
      <c r="AC52" s="520"/>
      <c r="AD52" s="520"/>
      <c r="AE52" s="520"/>
      <c r="AF52" s="520"/>
      <c r="AL52" s="692"/>
    </row>
    <row r="53" spans="1:47" x14ac:dyDescent="0.25">
      <c r="A53" s="2021"/>
      <c r="B53" s="2021"/>
      <c r="C53" s="2021"/>
      <c r="D53" s="2021"/>
      <c r="E53" s="2021"/>
      <c r="F53" s="2021"/>
      <c r="G53" s="2021"/>
      <c r="H53" s="2021"/>
      <c r="I53" s="196"/>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t="s">
        <v>1707</v>
      </c>
      <c r="AL53" s="692"/>
    </row>
    <row r="54" spans="1:47" x14ac:dyDescent="0.25">
      <c r="A54" s="193"/>
      <c r="B54" s="193"/>
      <c r="C54" s="193"/>
      <c r="D54" s="193"/>
      <c r="E54" s="192"/>
      <c r="F54" s="262"/>
      <c r="G54" s="193"/>
      <c r="H54" s="193"/>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L54" s="692"/>
    </row>
    <row r="55" spans="1:47" x14ac:dyDescent="0.25">
      <c r="A55" s="193"/>
      <c r="B55" s="519" t="s">
        <v>3466</v>
      </c>
      <c r="C55" s="193"/>
      <c r="D55" s="193"/>
      <c r="E55" s="193"/>
      <c r="F55" s="193"/>
      <c r="G55" s="193"/>
      <c r="H55" s="193"/>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c r="AF55" s="520"/>
      <c r="AL55" s="692"/>
    </row>
    <row r="56" spans="1:47" x14ac:dyDescent="0.25">
      <c r="A56" s="262"/>
      <c r="B56" s="262"/>
      <c r="C56" s="866" t="s">
        <v>5736</v>
      </c>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L56" s="692"/>
      <c r="AU56" s="227"/>
    </row>
    <row r="57" spans="1:47" x14ac:dyDescent="0.25">
      <c r="A57" s="193"/>
      <c r="B57" s="193"/>
      <c r="C57" s="193"/>
      <c r="D57" s="193"/>
      <c r="E57" s="193"/>
      <c r="F57" s="193"/>
      <c r="G57" s="193"/>
      <c r="H57" s="193"/>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c r="AF57" s="520"/>
      <c r="AL57" s="692"/>
    </row>
    <row r="58" spans="1:47" x14ac:dyDescent="0.25">
      <c r="A58" s="2021"/>
      <c r="B58" s="2021"/>
      <c r="C58" s="2021"/>
      <c r="D58" s="2021"/>
      <c r="E58" s="2021"/>
      <c r="F58" s="2021"/>
      <c r="G58" s="2021"/>
      <c r="H58" s="2021"/>
      <c r="I58" s="196"/>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t="s">
        <v>1756</v>
      </c>
      <c r="AL58" s="692"/>
    </row>
    <row r="59" spans="1:47" x14ac:dyDescent="0.25">
      <c r="A59" s="193"/>
      <c r="B59" s="193"/>
      <c r="C59" s="193"/>
      <c r="D59" s="193"/>
      <c r="E59" s="192"/>
      <c r="F59" s="262"/>
      <c r="G59" s="193"/>
      <c r="H59" s="193"/>
      <c r="I59" s="520"/>
      <c r="J59" s="520"/>
      <c r="K59" s="520"/>
      <c r="L59" s="520"/>
      <c r="M59" s="520"/>
      <c r="N59" s="520"/>
      <c r="O59" s="520"/>
      <c r="P59" s="520"/>
      <c r="Q59" s="520"/>
      <c r="R59" s="520"/>
      <c r="S59" s="520"/>
      <c r="T59" s="520"/>
      <c r="U59" s="520"/>
      <c r="V59" s="520"/>
      <c r="W59" s="520"/>
      <c r="X59" s="520"/>
      <c r="Y59" s="520"/>
      <c r="Z59" s="520"/>
      <c r="AA59" s="520"/>
      <c r="AB59" s="520"/>
      <c r="AC59" s="520"/>
      <c r="AD59" s="520"/>
      <c r="AE59" s="520"/>
      <c r="AF59" s="520"/>
      <c r="AL59" s="692"/>
    </row>
    <row r="60" spans="1:47" x14ac:dyDescent="0.25">
      <c r="A60" s="193"/>
      <c r="B60" s="519" t="s">
        <v>3443</v>
      </c>
      <c r="C60" s="193"/>
      <c r="D60" s="193"/>
      <c r="E60" s="193"/>
      <c r="F60" s="193"/>
      <c r="G60" s="193"/>
      <c r="H60" s="193"/>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c r="AF60" s="520"/>
      <c r="AL60" s="692"/>
    </row>
    <row r="61" spans="1:47" x14ac:dyDescent="0.25">
      <c r="A61" s="193"/>
      <c r="B61" s="193"/>
      <c r="C61" s="193"/>
      <c r="D61" s="193"/>
      <c r="E61" s="193"/>
      <c r="F61" s="193"/>
      <c r="G61" s="193"/>
      <c r="H61" s="193"/>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c r="AF61" s="520"/>
      <c r="AL61" s="692"/>
    </row>
    <row r="62" spans="1:47" x14ac:dyDescent="0.25">
      <c r="A62" s="2021"/>
      <c r="B62" s="2021"/>
      <c r="C62" s="2021"/>
      <c r="D62" s="2021"/>
      <c r="E62" s="2021"/>
      <c r="F62" s="2021"/>
      <c r="G62" s="2021"/>
      <c r="H62" s="2021"/>
      <c r="I62" s="419"/>
      <c r="J62" s="196"/>
      <c r="K62" s="196"/>
      <c r="L62" s="196"/>
      <c r="M62" s="196"/>
      <c r="N62" s="196"/>
      <c r="O62" s="196"/>
      <c r="P62" s="196"/>
      <c r="Q62" s="196"/>
      <c r="R62" s="196"/>
      <c r="S62" s="196"/>
      <c r="T62" s="196"/>
      <c r="U62" s="196"/>
      <c r="V62" s="196"/>
      <c r="W62" s="196"/>
      <c r="X62" s="196"/>
      <c r="Y62" s="196"/>
      <c r="Z62" s="196"/>
      <c r="AA62" s="196"/>
      <c r="AB62" s="196"/>
      <c r="AC62" s="196"/>
      <c r="AD62" s="196"/>
      <c r="AE62" s="196"/>
      <c r="AF62" s="419" t="s">
        <v>1788</v>
      </c>
      <c r="AL62" s="692"/>
    </row>
    <row r="63" spans="1:47" x14ac:dyDescent="0.25">
      <c r="A63" s="262"/>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1"/>
      <c r="AH63" s="1"/>
      <c r="AI63" s="1"/>
      <c r="AJ63" s="1"/>
      <c r="AL63" s="692"/>
    </row>
    <row r="64" spans="1:47" x14ac:dyDescent="0.25">
      <c r="A64" s="717"/>
      <c r="B64" s="717"/>
      <c r="C64" s="717"/>
      <c r="D64" s="717"/>
      <c r="E64" s="717"/>
      <c r="F64" s="717"/>
      <c r="G64" s="717"/>
      <c r="H64" s="717"/>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1"/>
      <c r="AH64" s="1"/>
      <c r="AI64" s="1"/>
      <c r="AJ64" s="1"/>
      <c r="AL64" s="692"/>
    </row>
    <row r="65" spans="1:42" x14ac:dyDescent="0.25">
      <c r="A65" s="1621" t="s">
        <v>15</v>
      </c>
      <c r="B65" s="1621"/>
      <c r="C65" s="1621"/>
      <c r="D65" s="1621"/>
      <c r="E65" s="1621"/>
      <c r="F65" s="1621"/>
      <c r="G65" s="1621"/>
      <c r="H65" s="1621"/>
      <c r="I65" s="1621"/>
      <c r="J65" s="1621"/>
      <c r="K65" s="1621"/>
      <c r="L65" s="1621"/>
      <c r="M65" s="1621"/>
      <c r="N65" s="1621"/>
      <c r="O65" s="1621"/>
      <c r="P65" s="1621"/>
      <c r="Q65" s="1621"/>
      <c r="R65" s="1621"/>
      <c r="S65" s="1621"/>
      <c r="T65" s="1621"/>
      <c r="U65" s="1621"/>
      <c r="V65" s="1621"/>
      <c r="W65" s="1621"/>
      <c r="X65" s="1621"/>
      <c r="Y65" s="1621"/>
      <c r="Z65" s="1621"/>
      <c r="AA65" s="1621"/>
      <c r="AB65" s="1621"/>
      <c r="AC65" s="1621"/>
      <c r="AD65" s="1621"/>
      <c r="AE65" s="1621"/>
      <c r="AF65" s="1621"/>
      <c r="AG65" s="1"/>
      <c r="AH65" s="1"/>
      <c r="AI65" s="1"/>
      <c r="AJ65" s="1"/>
      <c r="AL65" s="692"/>
    </row>
    <row r="66" spans="1:42" x14ac:dyDescent="0.25">
      <c r="A66" s="1735" t="s">
        <v>16</v>
      </c>
      <c r="B66" s="1735"/>
      <c r="C66" s="1735"/>
      <c r="D66" s="1735"/>
      <c r="E66" s="1735" t="s">
        <v>10</v>
      </c>
      <c r="F66" s="1735"/>
      <c r="G66" s="1735"/>
      <c r="H66" s="1735"/>
      <c r="I66" s="1735"/>
      <c r="J66" s="1735"/>
      <c r="K66" s="1735"/>
      <c r="L66" s="1735"/>
      <c r="M66" s="1735"/>
      <c r="N66" s="1735"/>
      <c r="O66" s="1735"/>
      <c r="P66" s="1735"/>
      <c r="Q66" s="1735" t="s">
        <v>17</v>
      </c>
      <c r="R66" s="1735"/>
      <c r="S66" s="1735"/>
      <c r="T66" s="1735"/>
      <c r="U66" s="1697" t="s">
        <v>18</v>
      </c>
      <c r="V66" s="1698"/>
      <c r="W66" s="1699"/>
      <c r="X66" s="1697" t="s">
        <v>2772</v>
      </c>
      <c r="Y66" s="1698"/>
      <c r="Z66" s="1698"/>
      <c r="AA66" s="1698"/>
      <c r="AB66" s="1698"/>
      <c r="AC66" s="1698"/>
      <c r="AD66" s="1698"/>
      <c r="AE66" s="1698"/>
      <c r="AF66" s="1699"/>
      <c r="AG66" s="1"/>
      <c r="AH66" s="1"/>
      <c r="AI66" s="1"/>
      <c r="AJ66" s="1"/>
      <c r="AL66" s="692"/>
    </row>
    <row r="67" spans="1:42" ht="42" customHeight="1" x14ac:dyDescent="0.25">
      <c r="A67" s="1680" t="s">
        <v>2874</v>
      </c>
      <c r="B67" s="1681"/>
      <c r="C67" s="1681"/>
      <c r="D67" s="1682"/>
      <c r="E67" s="1494" t="s">
        <v>4642</v>
      </c>
      <c r="F67" s="1495"/>
      <c r="G67" s="1495"/>
      <c r="H67" s="1495"/>
      <c r="I67" s="1495"/>
      <c r="J67" s="1495"/>
      <c r="K67" s="1495"/>
      <c r="L67" s="1495"/>
      <c r="M67" s="1495"/>
      <c r="N67" s="1495"/>
      <c r="O67" s="1495"/>
      <c r="P67" s="1496"/>
      <c r="Q67" s="1656" t="s">
        <v>2875</v>
      </c>
      <c r="R67" s="1657"/>
      <c r="S67" s="1657"/>
      <c r="T67" s="1658"/>
      <c r="U67" s="1683" t="s">
        <v>2876</v>
      </c>
      <c r="V67" s="1684"/>
      <c r="W67" s="1685"/>
      <c r="X67" s="1680" t="s">
        <v>3479</v>
      </c>
      <c r="Y67" s="1681"/>
      <c r="Z67" s="1681"/>
      <c r="AA67" s="1681"/>
      <c r="AB67" s="1681"/>
      <c r="AC67" s="1681"/>
      <c r="AD67" s="1681"/>
      <c r="AE67" s="1681"/>
      <c r="AF67" s="1682"/>
      <c r="AG67" s="1"/>
      <c r="AH67" s="1"/>
      <c r="AI67" s="1"/>
      <c r="AJ67" s="1"/>
      <c r="AL67" s="692"/>
    </row>
    <row r="68" spans="1:42" ht="31.5" customHeight="1" x14ac:dyDescent="0.25">
      <c r="A68" s="1680" t="s">
        <v>5763</v>
      </c>
      <c r="B68" s="1681"/>
      <c r="C68" s="1681"/>
      <c r="D68" s="1682"/>
      <c r="E68" s="1494" t="s">
        <v>5737</v>
      </c>
      <c r="F68" s="1495"/>
      <c r="G68" s="1495"/>
      <c r="H68" s="1495"/>
      <c r="I68" s="1495"/>
      <c r="J68" s="1495"/>
      <c r="K68" s="1495"/>
      <c r="L68" s="1495"/>
      <c r="M68" s="1495"/>
      <c r="N68" s="1495"/>
      <c r="O68" s="1495"/>
      <c r="P68" s="1496"/>
      <c r="Q68" s="1656" t="s">
        <v>5738</v>
      </c>
      <c r="R68" s="1657"/>
      <c r="S68" s="1657"/>
      <c r="T68" s="1658"/>
      <c r="U68" s="1696" t="s">
        <v>28</v>
      </c>
      <c r="V68" s="1684"/>
      <c r="W68" s="1685"/>
      <c r="X68" s="1494" t="s">
        <v>5739</v>
      </c>
      <c r="Y68" s="1495"/>
      <c r="Z68" s="1495"/>
      <c r="AA68" s="1495"/>
      <c r="AB68" s="1495"/>
      <c r="AC68" s="1495"/>
      <c r="AD68" s="1495"/>
      <c r="AE68" s="1495"/>
      <c r="AF68" s="1496"/>
      <c r="AG68" s="1"/>
      <c r="AH68" s="1"/>
      <c r="AI68" s="1"/>
      <c r="AJ68" s="1"/>
      <c r="AL68" s="692"/>
    </row>
    <row r="69" spans="1:42" ht="60.75" customHeight="1" x14ac:dyDescent="0.25">
      <c r="A69" s="3307" t="s">
        <v>5764</v>
      </c>
      <c r="B69" s="3308" t="s">
        <v>212</v>
      </c>
      <c r="C69" s="3308" t="s">
        <v>212</v>
      </c>
      <c r="D69" s="3309" t="s">
        <v>212</v>
      </c>
      <c r="E69" s="3306" t="s">
        <v>3723</v>
      </c>
      <c r="F69" s="3306"/>
      <c r="G69" s="3306" t="s">
        <v>214</v>
      </c>
      <c r="H69" s="3306"/>
      <c r="I69" s="3306" t="s">
        <v>214</v>
      </c>
      <c r="J69" s="3306"/>
      <c r="K69" s="3306" t="s">
        <v>214</v>
      </c>
      <c r="L69" s="3306"/>
      <c r="M69" s="3306" t="s">
        <v>214</v>
      </c>
      <c r="N69" s="3306"/>
      <c r="O69" s="3306" t="s">
        <v>214</v>
      </c>
      <c r="P69" s="3306"/>
      <c r="Q69" s="3292">
        <v>9.9</v>
      </c>
      <c r="R69" s="3293"/>
      <c r="S69" s="3293"/>
      <c r="T69" s="3294"/>
      <c r="U69" s="1683" t="s">
        <v>2878</v>
      </c>
      <c r="V69" s="1684"/>
      <c r="W69" s="1685"/>
      <c r="X69" s="1494" t="s">
        <v>5765</v>
      </c>
      <c r="Y69" s="1495"/>
      <c r="Z69" s="1495"/>
      <c r="AA69" s="1495"/>
      <c r="AB69" s="1495"/>
      <c r="AC69" s="1495"/>
      <c r="AD69" s="1495"/>
      <c r="AE69" s="1495"/>
      <c r="AF69" s="1496"/>
      <c r="AL69" s="839"/>
    </row>
    <row r="70" spans="1:42" ht="51" customHeight="1" x14ac:dyDescent="0.25">
      <c r="A70" s="3310"/>
      <c r="B70" s="3311"/>
      <c r="C70" s="3311"/>
      <c r="D70" s="3312"/>
      <c r="E70" s="3306" t="s">
        <v>3724</v>
      </c>
      <c r="F70" s="3306"/>
      <c r="G70" s="3306" t="s">
        <v>214</v>
      </c>
      <c r="H70" s="3306"/>
      <c r="I70" s="3306" t="s">
        <v>214</v>
      </c>
      <c r="J70" s="3306"/>
      <c r="K70" s="3306" t="s">
        <v>214</v>
      </c>
      <c r="L70" s="3306"/>
      <c r="M70" s="3306" t="s">
        <v>214</v>
      </c>
      <c r="N70" s="3306"/>
      <c r="O70" s="3306" t="s">
        <v>214</v>
      </c>
      <c r="P70" s="3306"/>
      <c r="Q70" s="3292">
        <v>10</v>
      </c>
      <c r="R70" s="3293"/>
      <c r="S70" s="3293"/>
      <c r="T70" s="3294"/>
      <c r="U70" s="1683" t="s">
        <v>2878</v>
      </c>
      <c r="V70" s="1684"/>
      <c r="W70" s="1685"/>
      <c r="X70" s="1680" t="s">
        <v>3468</v>
      </c>
      <c r="Y70" s="1681"/>
      <c r="Z70" s="1681"/>
      <c r="AA70" s="1681"/>
      <c r="AB70" s="1681"/>
      <c r="AC70" s="1681"/>
      <c r="AD70" s="1681"/>
      <c r="AE70" s="1681"/>
      <c r="AF70" s="1682"/>
      <c r="AG70" s="1"/>
      <c r="AH70" s="1"/>
      <c r="AI70" s="1"/>
      <c r="AJ70" s="1"/>
      <c r="AL70" s="692"/>
    </row>
    <row r="71" spans="1:42" ht="63.75" customHeight="1" x14ac:dyDescent="0.25">
      <c r="A71" s="3303" t="s">
        <v>5759</v>
      </c>
      <c r="B71" s="3304" t="s">
        <v>212</v>
      </c>
      <c r="C71" s="3304" t="s">
        <v>212</v>
      </c>
      <c r="D71" s="3305" t="s">
        <v>212</v>
      </c>
      <c r="E71" s="3306" t="s">
        <v>5740</v>
      </c>
      <c r="F71" s="3306"/>
      <c r="G71" s="3306" t="s">
        <v>214</v>
      </c>
      <c r="H71" s="3306"/>
      <c r="I71" s="3306" t="s">
        <v>214</v>
      </c>
      <c r="J71" s="3306"/>
      <c r="K71" s="3306" t="s">
        <v>214</v>
      </c>
      <c r="L71" s="3306"/>
      <c r="M71" s="3306" t="s">
        <v>214</v>
      </c>
      <c r="N71" s="3306"/>
      <c r="O71" s="3306" t="s">
        <v>214</v>
      </c>
      <c r="P71" s="3306"/>
      <c r="Q71" s="3292" t="s">
        <v>5741</v>
      </c>
      <c r="R71" s="3293"/>
      <c r="S71" s="3293"/>
      <c r="T71" s="3294"/>
      <c r="U71" s="1683" t="s">
        <v>2878</v>
      </c>
      <c r="V71" s="1684"/>
      <c r="W71" s="1685"/>
      <c r="X71" s="1680" t="s">
        <v>3467</v>
      </c>
      <c r="Y71" s="1681"/>
      <c r="Z71" s="1681"/>
      <c r="AA71" s="1681"/>
      <c r="AB71" s="1681"/>
      <c r="AC71" s="1681"/>
      <c r="AD71" s="1681"/>
      <c r="AE71" s="1681"/>
      <c r="AF71" s="1682"/>
      <c r="AG71" s="1"/>
      <c r="AH71" s="1"/>
      <c r="AI71" s="1"/>
      <c r="AJ71" s="1"/>
      <c r="AL71" s="839"/>
    </row>
    <row r="72" spans="1:42" ht="54" customHeight="1" x14ac:dyDescent="0.25">
      <c r="A72" s="1680" t="s">
        <v>5760</v>
      </c>
      <c r="B72" s="1681"/>
      <c r="C72" s="1681"/>
      <c r="D72" s="1682"/>
      <c r="E72" s="1494" t="s">
        <v>5742</v>
      </c>
      <c r="F72" s="1495"/>
      <c r="G72" s="1495"/>
      <c r="H72" s="1495"/>
      <c r="I72" s="1495"/>
      <c r="J72" s="1495"/>
      <c r="K72" s="1495"/>
      <c r="L72" s="1495"/>
      <c r="M72" s="1495"/>
      <c r="N72" s="1495"/>
      <c r="O72" s="1495"/>
      <c r="P72" s="1496"/>
      <c r="Q72" s="3292" t="s">
        <v>2877</v>
      </c>
      <c r="R72" s="3293"/>
      <c r="S72" s="3293"/>
      <c r="T72" s="3294"/>
      <c r="U72" s="1683" t="s">
        <v>2878</v>
      </c>
      <c r="V72" s="1684"/>
      <c r="W72" s="1685"/>
      <c r="X72" s="1494" t="s">
        <v>5761</v>
      </c>
      <c r="Y72" s="1495"/>
      <c r="Z72" s="1495"/>
      <c r="AA72" s="1495"/>
      <c r="AB72" s="1495"/>
      <c r="AC72" s="1495"/>
      <c r="AD72" s="1495"/>
      <c r="AE72" s="1495"/>
      <c r="AF72" s="1496"/>
      <c r="AG72" s="1"/>
      <c r="AH72" s="1"/>
      <c r="AI72" s="1"/>
      <c r="AJ72" s="1"/>
      <c r="AL72" s="839"/>
      <c r="AP72" s="227"/>
    </row>
    <row r="73" spans="1:42" ht="59.25" customHeight="1" x14ac:dyDescent="0.25">
      <c r="A73" s="1488" t="s">
        <v>3469</v>
      </c>
      <c r="B73" s="1489"/>
      <c r="C73" s="1489"/>
      <c r="D73" s="1490"/>
      <c r="E73" s="1494" t="s">
        <v>3725</v>
      </c>
      <c r="F73" s="1495"/>
      <c r="G73" s="1495"/>
      <c r="H73" s="1495"/>
      <c r="I73" s="1495"/>
      <c r="J73" s="1495"/>
      <c r="K73" s="1495"/>
      <c r="L73" s="1495"/>
      <c r="M73" s="1495"/>
      <c r="N73" s="1495"/>
      <c r="O73" s="1495"/>
      <c r="P73" s="1496"/>
      <c r="Q73" s="3292">
        <v>11</v>
      </c>
      <c r="R73" s="3293"/>
      <c r="S73" s="3293"/>
      <c r="T73" s="3294"/>
      <c r="U73" s="1683" t="s">
        <v>2878</v>
      </c>
      <c r="V73" s="1684"/>
      <c r="W73" s="1685"/>
      <c r="X73" s="1494" t="s">
        <v>5762</v>
      </c>
      <c r="Y73" s="1495"/>
      <c r="Z73" s="1495"/>
      <c r="AA73" s="1495"/>
      <c r="AB73" s="1495"/>
      <c r="AC73" s="1495"/>
      <c r="AD73" s="1495"/>
      <c r="AE73" s="1495"/>
      <c r="AF73" s="1496"/>
      <c r="AL73" s="839"/>
    </row>
    <row r="74" spans="1:42" ht="58.5" customHeight="1" x14ac:dyDescent="0.25">
      <c r="A74" s="1491"/>
      <c r="B74" s="1492"/>
      <c r="C74" s="1492"/>
      <c r="D74" s="1493"/>
      <c r="E74" s="1494" t="s">
        <v>3726</v>
      </c>
      <c r="F74" s="1495"/>
      <c r="G74" s="1495"/>
      <c r="H74" s="1495"/>
      <c r="I74" s="1495"/>
      <c r="J74" s="1495"/>
      <c r="K74" s="1495"/>
      <c r="L74" s="1495"/>
      <c r="M74" s="1495"/>
      <c r="N74" s="1495"/>
      <c r="O74" s="1495"/>
      <c r="P74" s="1496"/>
      <c r="Q74" s="3292">
        <v>13</v>
      </c>
      <c r="R74" s="3293"/>
      <c r="S74" s="3293"/>
      <c r="T74" s="3294"/>
      <c r="U74" s="1683" t="s">
        <v>2878</v>
      </c>
      <c r="V74" s="1684"/>
      <c r="W74" s="1685"/>
      <c r="X74" s="1680" t="s">
        <v>3625</v>
      </c>
      <c r="Y74" s="1681"/>
      <c r="Z74" s="1681"/>
      <c r="AA74" s="1681"/>
      <c r="AB74" s="1681"/>
      <c r="AC74" s="1681"/>
      <c r="AD74" s="1681"/>
      <c r="AE74" s="1681"/>
      <c r="AF74" s="1682"/>
      <c r="AG74" s="1"/>
      <c r="AH74" s="1"/>
      <c r="AI74" s="1"/>
      <c r="AJ74" s="1"/>
      <c r="AL74" s="692"/>
    </row>
    <row r="75" spans="1:42" ht="58.5" customHeight="1" x14ac:dyDescent="0.25">
      <c r="A75" s="1680" t="s">
        <v>5756</v>
      </c>
      <c r="B75" s="1681"/>
      <c r="C75" s="1681"/>
      <c r="D75" s="1682"/>
      <c r="E75" s="1494" t="s">
        <v>5743</v>
      </c>
      <c r="F75" s="1495"/>
      <c r="G75" s="1495"/>
      <c r="H75" s="1495"/>
      <c r="I75" s="1495"/>
      <c r="J75" s="1495"/>
      <c r="K75" s="1495"/>
      <c r="L75" s="1495"/>
      <c r="M75" s="1495"/>
      <c r="N75" s="1495"/>
      <c r="O75" s="1495"/>
      <c r="P75" s="1496"/>
      <c r="Q75" s="1656" t="s">
        <v>5738</v>
      </c>
      <c r="R75" s="1657"/>
      <c r="S75" s="1657"/>
      <c r="T75" s="1658"/>
      <c r="U75" s="1696" t="s">
        <v>28</v>
      </c>
      <c r="V75" s="1684"/>
      <c r="W75" s="1685"/>
      <c r="X75" s="1494" t="s">
        <v>5739</v>
      </c>
      <c r="Y75" s="1495"/>
      <c r="Z75" s="1495"/>
      <c r="AA75" s="1495"/>
      <c r="AB75" s="1495"/>
      <c r="AC75" s="1495"/>
      <c r="AD75" s="1495"/>
      <c r="AE75" s="1495"/>
      <c r="AF75" s="1496"/>
      <c r="AG75" s="1"/>
      <c r="AH75" s="1"/>
      <c r="AI75" s="1"/>
      <c r="AJ75" s="1"/>
      <c r="AL75" s="839"/>
    </row>
    <row r="76" spans="1:42" ht="60.75" customHeight="1" x14ac:dyDescent="0.25">
      <c r="A76" s="1680" t="s">
        <v>5757</v>
      </c>
      <c r="B76" s="1681"/>
      <c r="C76" s="1681"/>
      <c r="D76" s="1682"/>
      <c r="E76" s="1494" t="s">
        <v>5744</v>
      </c>
      <c r="F76" s="1495"/>
      <c r="G76" s="1495"/>
      <c r="H76" s="1495"/>
      <c r="I76" s="1495"/>
      <c r="J76" s="1495"/>
      <c r="K76" s="1495"/>
      <c r="L76" s="1495"/>
      <c r="M76" s="1495"/>
      <c r="N76" s="1495"/>
      <c r="O76" s="1495"/>
      <c r="P76" s="1496"/>
      <c r="Q76" s="3292" t="s">
        <v>5741</v>
      </c>
      <c r="R76" s="3293"/>
      <c r="S76" s="3293"/>
      <c r="T76" s="3294"/>
      <c r="U76" s="1683" t="s">
        <v>2878</v>
      </c>
      <c r="V76" s="1684"/>
      <c r="W76" s="1685"/>
      <c r="X76" s="1680" t="s">
        <v>3626</v>
      </c>
      <c r="Y76" s="1681"/>
      <c r="Z76" s="1681"/>
      <c r="AA76" s="1681"/>
      <c r="AB76" s="1681"/>
      <c r="AC76" s="1681"/>
      <c r="AD76" s="1681"/>
      <c r="AE76" s="1681"/>
      <c r="AF76" s="1682"/>
      <c r="AG76" s="1"/>
      <c r="AH76" s="1"/>
      <c r="AI76" s="1"/>
      <c r="AJ76" s="1"/>
      <c r="AL76" s="839"/>
    </row>
    <row r="77" spans="1:42" ht="53.25" customHeight="1" x14ac:dyDescent="0.25">
      <c r="A77" s="1680" t="s">
        <v>5758</v>
      </c>
      <c r="B77" s="1681"/>
      <c r="C77" s="1681"/>
      <c r="D77" s="1682"/>
      <c r="E77" s="1494" t="s">
        <v>5745</v>
      </c>
      <c r="F77" s="1495"/>
      <c r="G77" s="1495"/>
      <c r="H77" s="1495"/>
      <c r="I77" s="1495"/>
      <c r="J77" s="1495"/>
      <c r="K77" s="1495"/>
      <c r="L77" s="1495"/>
      <c r="M77" s="1495"/>
      <c r="N77" s="1495"/>
      <c r="O77" s="1495"/>
      <c r="P77" s="1496"/>
      <c r="Q77" s="3292" t="s">
        <v>2877</v>
      </c>
      <c r="R77" s="3293"/>
      <c r="S77" s="3293"/>
      <c r="T77" s="3294"/>
      <c r="U77" s="1683" t="s">
        <v>2878</v>
      </c>
      <c r="V77" s="1684"/>
      <c r="W77" s="1685"/>
      <c r="X77" s="1494" t="s">
        <v>6340</v>
      </c>
      <c r="Y77" s="1495"/>
      <c r="Z77" s="1495"/>
      <c r="AA77" s="1495"/>
      <c r="AB77" s="1495"/>
      <c r="AC77" s="1495"/>
      <c r="AD77" s="1495"/>
      <c r="AE77" s="1495"/>
      <c r="AF77" s="1496"/>
      <c r="AG77" s="1"/>
      <c r="AH77" s="1"/>
      <c r="AI77" s="1"/>
      <c r="AJ77" s="1"/>
      <c r="AL77" s="839"/>
      <c r="AP77" s="386"/>
    </row>
    <row r="78" spans="1:42" ht="103.5" customHeight="1" x14ac:dyDescent="0.25">
      <c r="A78" s="1680" t="s">
        <v>29</v>
      </c>
      <c r="B78" s="1681"/>
      <c r="C78" s="1681"/>
      <c r="D78" s="1682"/>
      <c r="E78" s="1494" t="s">
        <v>104</v>
      </c>
      <c r="F78" s="1495"/>
      <c r="G78" s="1495"/>
      <c r="H78" s="1495"/>
      <c r="I78" s="1495"/>
      <c r="J78" s="1495"/>
      <c r="K78" s="1495"/>
      <c r="L78" s="1495"/>
      <c r="M78" s="1495"/>
      <c r="N78" s="1495"/>
      <c r="O78" s="1495"/>
      <c r="P78" s="1496"/>
      <c r="Q78" s="3115">
        <v>0.27</v>
      </c>
      <c r="R78" s="3116"/>
      <c r="S78" s="3116"/>
      <c r="T78" s="3117"/>
      <c r="U78" s="1683" t="s">
        <v>28</v>
      </c>
      <c r="V78" s="1684"/>
      <c r="W78" s="1685"/>
      <c r="X78" s="1494" t="s">
        <v>3481</v>
      </c>
      <c r="Y78" s="1495"/>
      <c r="Z78" s="1495"/>
      <c r="AA78" s="1495"/>
      <c r="AB78" s="1495"/>
      <c r="AC78" s="1495"/>
      <c r="AD78" s="1495"/>
      <c r="AE78" s="1495"/>
      <c r="AF78" s="1496"/>
      <c r="AG78" s="1"/>
      <c r="AH78" s="1"/>
      <c r="AI78" s="1"/>
      <c r="AJ78" s="1"/>
      <c r="AL78" s="692"/>
    </row>
    <row r="79" spans="1:42" ht="116.25" customHeight="1" x14ac:dyDescent="0.25">
      <c r="A79" s="1680" t="s">
        <v>257</v>
      </c>
      <c r="B79" s="1681"/>
      <c r="C79" s="1681"/>
      <c r="D79" s="1682"/>
      <c r="E79" s="1494" t="s">
        <v>1175</v>
      </c>
      <c r="F79" s="1495"/>
      <c r="G79" s="1495"/>
      <c r="H79" s="1495"/>
      <c r="I79" s="1495"/>
      <c r="J79" s="1495"/>
      <c r="K79" s="1495"/>
      <c r="L79" s="1495"/>
      <c r="M79" s="1495"/>
      <c r="N79" s="1495"/>
      <c r="O79" s="1495"/>
      <c r="P79" s="1496"/>
      <c r="Q79" s="3300">
        <v>1884</v>
      </c>
      <c r="R79" s="3301"/>
      <c r="S79" s="3301"/>
      <c r="T79" s="3302"/>
      <c r="U79" s="1683" t="s">
        <v>1000</v>
      </c>
      <c r="V79" s="1684"/>
      <c r="W79" s="1685"/>
      <c r="X79" s="1494" t="s">
        <v>3480</v>
      </c>
      <c r="Y79" s="1495"/>
      <c r="Z79" s="1495"/>
      <c r="AA79" s="1495"/>
      <c r="AB79" s="1495"/>
      <c r="AC79" s="1495"/>
      <c r="AD79" s="1495"/>
      <c r="AE79" s="1495"/>
      <c r="AF79" s="1496"/>
      <c r="AG79" s="1"/>
      <c r="AH79" s="1"/>
      <c r="AI79" s="1"/>
      <c r="AJ79" s="1"/>
      <c r="AL79" s="692"/>
    </row>
    <row r="80" spans="1:42" x14ac:dyDescent="0.25">
      <c r="A80" s="1680" t="s">
        <v>42</v>
      </c>
      <c r="B80" s="1681"/>
      <c r="C80" s="1681"/>
      <c r="D80" s="1682"/>
      <c r="E80" s="1494" t="s">
        <v>2907</v>
      </c>
      <c r="F80" s="1495"/>
      <c r="G80" s="1495"/>
      <c r="H80" s="1495"/>
      <c r="I80" s="1495"/>
      <c r="J80" s="1495"/>
      <c r="K80" s="1495"/>
      <c r="L80" s="1495"/>
      <c r="M80" s="1495"/>
      <c r="N80" s="1495"/>
      <c r="O80" s="1495"/>
      <c r="P80" s="1496"/>
      <c r="Q80" s="3292">
        <v>1</v>
      </c>
      <c r="R80" s="3293"/>
      <c r="S80" s="3293"/>
      <c r="T80" s="3294"/>
      <c r="U80" s="1683" t="s">
        <v>28</v>
      </c>
      <c r="V80" s="1684"/>
      <c r="W80" s="1685"/>
      <c r="X80" s="1538"/>
      <c r="Y80" s="1539"/>
      <c r="Z80" s="1539"/>
      <c r="AA80" s="1539"/>
      <c r="AB80" s="1539"/>
      <c r="AC80" s="1539"/>
      <c r="AD80" s="1539"/>
      <c r="AE80" s="1539"/>
      <c r="AF80" s="1540"/>
      <c r="AL80" s="692"/>
    </row>
    <row r="81" spans="1:78" x14ac:dyDescent="0.25">
      <c r="A81" s="1647" t="s">
        <v>167</v>
      </c>
      <c r="B81" s="1648"/>
      <c r="C81" s="1648"/>
      <c r="D81" s="1649"/>
      <c r="E81" s="1653" t="s">
        <v>3457</v>
      </c>
      <c r="F81" s="1654"/>
      <c r="G81" s="1654"/>
      <c r="H81" s="1654"/>
      <c r="I81" s="1654"/>
      <c r="J81" s="1654"/>
      <c r="K81" s="1654"/>
      <c r="L81" s="1654"/>
      <c r="M81" s="1654"/>
      <c r="N81" s="1654"/>
      <c r="O81" s="1654"/>
      <c r="P81" s="1655"/>
      <c r="Q81" s="2063">
        <v>1000</v>
      </c>
      <c r="R81" s="2063"/>
      <c r="S81" s="2063"/>
      <c r="T81" s="2063"/>
      <c r="U81" s="2064" t="s">
        <v>293</v>
      </c>
      <c r="V81" s="2065"/>
      <c r="W81" s="2066"/>
      <c r="X81" s="2067"/>
      <c r="Y81" s="2068"/>
      <c r="Z81" s="2068"/>
      <c r="AA81" s="2068"/>
      <c r="AB81" s="2068"/>
      <c r="AC81" s="2068"/>
      <c r="AD81" s="2068"/>
      <c r="AE81" s="2068"/>
      <c r="AF81" s="2069"/>
      <c r="AG81" s="1"/>
      <c r="AH81" s="1"/>
      <c r="AI81" s="1"/>
      <c r="AJ81" s="1"/>
      <c r="AL81" s="692"/>
    </row>
    <row r="82" spans="1:78" x14ac:dyDescent="0.25">
      <c r="A82" s="1680" t="s">
        <v>1828</v>
      </c>
      <c r="B82" s="1681"/>
      <c r="C82" s="1681"/>
      <c r="D82" s="1682"/>
      <c r="E82" s="1494" t="s">
        <v>3458</v>
      </c>
      <c r="F82" s="1495"/>
      <c r="G82" s="1495"/>
      <c r="H82" s="1495"/>
      <c r="I82" s="1495"/>
      <c r="J82" s="1495"/>
      <c r="K82" s="1495"/>
      <c r="L82" s="1495"/>
      <c r="M82" s="1495"/>
      <c r="N82" s="1495"/>
      <c r="O82" s="1495"/>
      <c r="P82" s="1496"/>
      <c r="Q82" s="3299">
        <f>Q83/3</f>
        <v>5</v>
      </c>
      <c r="R82" s="3299"/>
      <c r="S82" s="3299"/>
      <c r="T82" s="3299"/>
      <c r="U82" s="2064" t="s">
        <v>46</v>
      </c>
      <c r="V82" s="2065"/>
      <c r="W82" s="2066"/>
      <c r="X82" s="2067" t="s">
        <v>3459</v>
      </c>
      <c r="Y82" s="2068"/>
      <c r="Z82" s="2068"/>
      <c r="AA82" s="2068"/>
      <c r="AB82" s="2068"/>
      <c r="AC82" s="2068"/>
      <c r="AD82" s="2068"/>
      <c r="AE82" s="2068"/>
      <c r="AF82" s="2069"/>
      <c r="AG82" s="1"/>
      <c r="AH82" s="1"/>
      <c r="AI82" s="1"/>
      <c r="AJ82" s="1"/>
      <c r="AL82" s="692"/>
    </row>
    <row r="83" spans="1:78" x14ac:dyDescent="0.25">
      <c r="A83" s="1680" t="s">
        <v>2724</v>
      </c>
      <c r="B83" s="1681"/>
      <c r="C83" s="1681"/>
      <c r="D83" s="1682"/>
      <c r="E83" s="1494" t="s">
        <v>2217</v>
      </c>
      <c r="F83" s="1495"/>
      <c r="G83" s="1495"/>
      <c r="H83" s="1495"/>
      <c r="I83" s="1495"/>
      <c r="J83" s="1495"/>
      <c r="K83" s="1495"/>
      <c r="L83" s="1495"/>
      <c r="M83" s="1495"/>
      <c r="N83" s="1495"/>
      <c r="O83" s="1495"/>
      <c r="P83" s="1496"/>
      <c r="Q83" s="1497">
        <f>'Master EUL'!X51</f>
        <v>15</v>
      </c>
      <c r="R83" s="1498"/>
      <c r="S83" s="1498"/>
      <c r="T83" s="1499"/>
      <c r="U83" s="2064" t="s">
        <v>46</v>
      </c>
      <c r="V83" s="2065"/>
      <c r="W83" s="2066"/>
      <c r="X83" s="1680" t="s">
        <v>3456</v>
      </c>
      <c r="Y83" s="1681"/>
      <c r="Z83" s="1681"/>
      <c r="AA83" s="1681"/>
      <c r="AB83" s="1681"/>
      <c r="AC83" s="1681"/>
      <c r="AD83" s="1681"/>
      <c r="AE83" s="1681"/>
      <c r="AF83" s="1682"/>
      <c r="AG83" s="1"/>
      <c r="AH83" s="1"/>
      <c r="AI83" s="1"/>
      <c r="AJ83" s="1"/>
      <c r="AL83" s="692"/>
    </row>
    <row r="84" spans="1:78" ht="48" customHeight="1" x14ac:dyDescent="0.25">
      <c r="A84" s="2288" t="s">
        <v>4579</v>
      </c>
      <c r="B84" s="2288"/>
      <c r="C84" s="2288"/>
      <c r="D84" s="2288"/>
      <c r="E84" s="2288"/>
      <c r="F84" s="2288"/>
      <c r="G84" s="2288"/>
      <c r="H84" s="2288"/>
      <c r="I84" s="2288"/>
      <c r="J84" s="2288"/>
      <c r="K84" s="2288"/>
      <c r="L84" s="2288"/>
      <c r="M84" s="2288"/>
      <c r="N84" s="2288"/>
      <c r="O84" s="2288"/>
      <c r="P84" s="2288"/>
      <c r="Q84" s="2288"/>
      <c r="R84" s="2288"/>
      <c r="S84" s="2288"/>
      <c r="T84" s="2288"/>
      <c r="U84" s="2288"/>
      <c r="V84" s="2288"/>
      <c r="W84" s="2288"/>
      <c r="X84" s="2288"/>
      <c r="Y84" s="2288"/>
      <c r="Z84" s="2288"/>
      <c r="AA84" s="2288"/>
      <c r="AB84" s="2288"/>
      <c r="AC84" s="2288"/>
      <c r="AD84" s="2288"/>
      <c r="AE84" s="2288"/>
      <c r="AF84" s="2288"/>
      <c r="AL84" s="692"/>
    </row>
    <row r="85" spans="1:78" ht="55.5" customHeight="1" x14ac:dyDescent="0.25">
      <c r="A85" s="1686" t="s">
        <v>5746</v>
      </c>
      <c r="B85" s="1686"/>
      <c r="C85" s="1686"/>
      <c r="D85" s="1686"/>
      <c r="E85" s="1686"/>
      <c r="F85" s="1686"/>
      <c r="G85" s="1686"/>
      <c r="H85" s="1686"/>
      <c r="I85" s="1686"/>
      <c r="J85" s="1686"/>
      <c r="K85" s="1686"/>
      <c r="L85" s="1686"/>
      <c r="M85" s="1686"/>
      <c r="N85" s="1686"/>
      <c r="O85" s="1686"/>
      <c r="P85" s="1686"/>
      <c r="Q85" s="1686"/>
      <c r="R85" s="1686"/>
      <c r="S85" s="1686"/>
      <c r="T85" s="1686"/>
      <c r="U85" s="1686"/>
      <c r="V85" s="1686"/>
      <c r="W85" s="1686"/>
      <c r="X85" s="1686"/>
      <c r="Y85" s="1686"/>
      <c r="Z85" s="1686"/>
      <c r="AA85" s="1686"/>
      <c r="AB85" s="1686"/>
      <c r="AC85" s="1686"/>
      <c r="AD85" s="1686"/>
      <c r="AE85" s="1686"/>
      <c r="AF85" s="1686"/>
      <c r="AL85" s="839"/>
    </row>
    <row r="86" spans="1:78" ht="54" customHeight="1" x14ac:dyDescent="0.25">
      <c r="A86" s="1686" t="s">
        <v>3627</v>
      </c>
      <c r="B86" s="1686"/>
      <c r="C86" s="1686"/>
      <c r="D86" s="1686"/>
      <c r="E86" s="1686"/>
      <c r="F86" s="1686"/>
      <c r="G86" s="1686"/>
      <c r="H86" s="1686"/>
      <c r="I86" s="1686"/>
      <c r="J86" s="1686"/>
      <c r="K86" s="1686"/>
      <c r="L86" s="1686"/>
      <c r="M86" s="1686"/>
      <c r="N86" s="1686"/>
      <c r="O86" s="1686"/>
      <c r="P86" s="1686"/>
      <c r="Q86" s="1686"/>
      <c r="R86" s="1686"/>
      <c r="S86" s="1686"/>
      <c r="T86" s="1686"/>
      <c r="U86" s="1686"/>
      <c r="V86" s="1686"/>
      <c r="W86" s="1686"/>
      <c r="X86" s="1686"/>
      <c r="Y86" s="1686"/>
      <c r="Z86" s="1686"/>
      <c r="AA86" s="1686"/>
      <c r="AB86" s="1686"/>
      <c r="AC86" s="1686"/>
      <c r="AD86" s="1686"/>
      <c r="AE86" s="1686"/>
      <c r="AF86" s="1686"/>
      <c r="AL86" s="692"/>
    </row>
    <row r="87" spans="1:78" ht="55.5" customHeight="1" x14ac:dyDescent="0.25">
      <c r="A87" s="1290" t="s">
        <v>3628</v>
      </c>
      <c r="B87" s="1290"/>
      <c r="C87" s="1290"/>
      <c r="D87" s="1290"/>
      <c r="E87" s="1290"/>
      <c r="F87" s="1290"/>
      <c r="G87" s="1290"/>
      <c r="H87" s="1290"/>
      <c r="I87" s="1290"/>
      <c r="J87" s="1290"/>
      <c r="K87" s="1290"/>
      <c r="L87" s="1290"/>
      <c r="M87" s="1290"/>
      <c r="N87" s="1290"/>
      <c r="O87" s="1290"/>
      <c r="P87" s="1290"/>
      <c r="Q87" s="1290"/>
      <c r="R87" s="1290"/>
      <c r="S87" s="1290"/>
      <c r="T87" s="1290"/>
      <c r="U87" s="1290"/>
      <c r="V87" s="1290"/>
      <c r="W87" s="1290"/>
      <c r="X87" s="1290"/>
      <c r="Y87" s="1290"/>
      <c r="Z87" s="1290"/>
      <c r="AA87" s="1290"/>
      <c r="AB87" s="1290"/>
      <c r="AC87" s="1290"/>
      <c r="AD87" s="1290"/>
      <c r="AE87" s="1290"/>
      <c r="AF87" s="1290"/>
      <c r="AL87" s="692"/>
    </row>
    <row r="88" spans="1:78" ht="44.25" customHeight="1" x14ac:dyDescent="0.25">
      <c r="A88" s="1290" t="s">
        <v>5747</v>
      </c>
      <c r="B88" s="1290"/>
      <c r="C88" s="1290"/>
      <c r="D88" s="1290"/>
      <c r="E88" s="1290"/>
      <c r="F88" s="1290"/>
      <c r="G88" s="1290"/>
      <c r="H88" s="1290"/>
      <c r="I88" s="1290"/>
      <c r="J88" s="1290"/>
      <c r="K88" s="1290"/>
      <c r="L88" s="1290"/>
      <c r="M88" s="1290"/>
      <c r="N88" s="1290"/>
      <c r="O88" s="1290"/>
      <c r="P88" s="1290"/>
      <c r="Q88" s="1290"/>
      <c r="R88" s="1290"/>
      <c r="S88" s="1290"/>
      <c r="T88" s="1290"/>
      <c r="U88" s="1290"/>
      <c r="V88" s="1290"/>
      <c r="W88" s="1290"/>
      <c r="X88" s="1290"/>
      <c r="Y88" s="1290"/>
      <c r="Z88" s="1290"/>
      <c r="AA88" s="1290"/>
      <c r="AB88" s="1290"/>
      <c r="AC88" s="1290"/>
      <c r="AD88" s="1290"/>
      <c r="AE88" s="1290"/>
      <c r="AF88" s="1290"/>
      <c r="AL88" s="839"/>
    </row>
    <row r="89" spans="1:78" x14ac:dyDescent="0.25">
      <c r="A89" s="1290" t="s">
        <v>6341</v>
      </c>
      <c r="B89" s="1290"/>
      <c r="C89" s="1290"/>
      <c r="D89" s="1290"/>
      <c r="E89" s="1290"/>
      <c r="F89" s="1290"/>
      <c r="G89" s="1290"/>
      <c r="H89" s="1290"/>
      <c r="I89" s="1290"/>
      <c r="J89" s="1290"/>
      <c r="K89" s="1290"/>
      <c r="L89" s="1290"/>
      <c r="M89" s="1290"/>
      <c r="N89" s="1290"/>
      <c r="O89" s="1290"/>
      <c r="P89" s="1290"/>
      <c r="Q89" s="1290"/>
      <c r="R89" s="1290"/>
      <c r="S89" s="1290"/>
      <c r="T89" s="1290"/>
      <c r="U89" s="1290"/>
      <c r="V89" s="1290"/>
      <c r="W89" s="1290"/>
      <c r="X89" s="1290"/>
      <c r="Y89" s="1290"/>
      <c r="Z89" s="1290"/>
      <c r="AA89" s="1290"/>
      <c r="AB89" s="1290"/>
      <c r="AC89" s="1290"/>
      <c r="AD89" s="1290"/>
      <c r="AE89" s="1290"/>
      <c r="AF89" s="1290"/>
      <c r="AL89" s="839"/>
      <c r="AM89" s="885"/>
      <c r="AN89" s="885"/>
      <c r="AO89" s="885"/>
      <c r="AP89" s="885"/>
      <c r="AQ89" s="885"/>
      <c r="AR89" s="885"/>
      <c r="AS89" s="885"/>
      <c r="AT89" s="885"/>
      <c r="AU89" s="885"/>
      <c r="AV89" s="885"/>
      <c r="AW89" s="885"/>
      <c r="AX89" s="885"/>
      <c r="AY89" s="885"/>
      <c r="AZ89" s="885"/>
      <c r="BA89" s="885"/>
      <c r="BB89" s="885"/>
      <c r="BC89" s="885"/>
      <c r="BD89" s="885"/>
      <c r="BE89" s="885"/>
      <c r="BF89" s="885"/>
      <c r="BG89" s="885"/>
      <c r="BH89" s="885"/>
      <c r="BI89" s="885"/>
      <c r="BJ89" s="885"/>
      <c r="BK89" s="885"/>
      <c r="BL89" s="885"/>
      <c r="BM89" s="885"/>
    </row>
    <row r="90" spans="1:78" x14ac:dyDescent="0.25">
      <c r="A90" s="654"/>
      <c r="B90" s="470"/>
      <c r="C90" s="470"/>
      <c r="D90" s="470"/>
      <c r="E90" s="470"/>
      <c r="F90" s="470"/>
      <c r="G90" s="470"/>
      <c r="H90" s="470"/>
      <c r="I90" s="470"/>
      <c r="J90" s="470"/>
      <c r="K90" s="470"/>
      <c r="L90" s="470"/>
      <c r="M90" s="470"/>
      <c r="N90" s="470"/>
      <c r="O90" s="470"/>
      <c r="P90" s="470"/>
      <c r="Q90" s="470"/>
      <c r="R90" s="470"/>
      <c r="S90" s="470"/>
      <c r="T90" s="470"/>
      <c r="U90" s="470"/>
      <c r="V90" s="470"/>
      <c r="W90" s="470"/>
      <c r="X90" s="470"/>
      <c r="Y90" s="654"/>
      <c r="Z90" s="654"/>
      <c r="AA90" s="654"/>
      <c r="AB90" s="654"/>
      <c r="AC90" s="654"/>
      <c r="AD90" s="654"/>
      <c r="AE90" s="654"/>
      <c r="AF90" s="654"/>
      <c r="AL90" s="839"/>
      <c r="AM90" s="885"/>
      <c r="AN90" s="885"/>
      <c r="AO90" s="885"/>
      <c r="AP90" s="885"/>
      <c r="AQ90" s="885"/>
      <c r="AR90" s="885"/>
      <c r="AS90" s="885"/>
      <c r="AT90" s="885"/>
      <c r="AU90" s="885"/>
      <c r="AV90" s="885"/>
      <c r="AW90" s="885"/>
      <c r="AX90" s="885"/>
      <c r="AY90" s="885"/>
      <c r="AZ90" s="885"/>
      <c r="BA90" s="885"/>
      <c r="BB90" s="885"/>
      <c r="BC90" s="885"/>
      <c r="BD90" s="885"/>
      <c r="BE90" s="885"/>
      <c r="BF90" s="885"/>
      <c r="BG90" s="885"/>
      <c r="BH90" s="885"/>
      <c r="BI90" s="839"/>
      <c r="BJ90" s="839"/>
      <c r="BK90" s="839"/>
      <c r="BL90" s="839"/>
      <c r="BM90" s="839"/>
    </row>
    <row r="91" spans="1:78" ht="15" customHeight="1" x14ac:dyDescent="0.25">
      <c r="A91" s="654"/>
      <c r="B91" s="338" t="s">
        <v>5748</v>
      </c>
      <c r="C91" s="263"/>
      <c r="D91" s="263"/>
      <c r="E91" s="263"/>
      <c r="F91" s="263"/>
      <c r="G91" s="263"/>
      <c r="H91" s="263"/>
      <c r="I91" s="263"/>
      <c r="J91" s="263"/>
      <c r="K91" s="263"/>
      <c r="L91" s="263"/>
      <c r="M91" s="263"/>
      <c r="N91" s="263"/>
      <c r="O91" s="263"/>
      <c r="P91" s="263"/>
      <c r="Q91" s="263"/>
      <c r="R91" s="263"/>
      <c r="S91" s="263"/>
      <c r="T91" s="470"/>
      <c r="U91" s="470"/>
      <c r="V91" s="470"/>
      <c r="W91" s="470"/>
      <c r="X91" s="470"/>
      <c r="Y91" s="654"/>
      <c r="Z91" s="654"/>
      <c r="AA91" s="654"/>
      <c r="AB91" s="654"/>
      <c r="AC91" s="654"/>
      <c r="AD91" s="654"/>
      <c r="AE91" s="654"/>
      <c r="AF91" s="654"/>
      <c r="AL91" s="839"/>
      <c r="AM91" s="885"/>
      <c r="AN91" s="885"/>
      <c r="AO91" s="885"/>
      <c r="AP91" s="885"/>
      <c r="AQ91" s="885"/>
      <c r="AR91" s="885"/>
      <c r="AS91" s="885"/>
      <c r="AT91" s="885"/>
      <c r="AU91" s="885"/>
      <c r="AV91" s="885"/>
      <c r="AW91" s="885"/>
      <c r="AX91" s="885"/>
      <c r="BA91" s="885"/>
      <c r="BB91" s="885"/>
      <c r="BC91" s="885"/>
      <c r="BD91" s="885"/>
      <c r="BE91" s="885"/>
      <c r="BF91" s="885"/>
      <c r="BG91" s="885"/>
      <c r="BH91" s="885"/>
      <c r="BI91" s="851"/>
      <c r="BJ91" s="683"/>
      <c r="BK91" s="683"/>
      <c r="BL91" s="683"/>
      <c r="BM91" s="683"/>
      <c r="BN91" s="683"/>
      <c r="BO91" s="683"/>
      <c r="BP91" s="683"/>
      <c r="BQ91" s="683"/>
      <c r="BR91" s="683"/>
      <c r="BS91" s="683"/>
      <c r="BT91" s="683"/>
      <c r="BU91" s="683"/>
      <c r="BV91" s="683"/>
      <c r="BW91" s="683"/>
      <c r="BX91" s="683"/>
      <c r="BY91" s="683"/>
      <c r="BZ91" s="683"/>
    </row>
    <row r="92" spans="1:78" ht="15" customHeight="1" x14ac:dyDescent="0.25">
      <c r="A92" s="654"/>
      <c r="B92" s="1819" t="s">
        <v>2879</v>
      </c>
      <c r="C92" s="1720"/>
      <c r="D92" s="1720"/>
      <c r="E92" s="1720"/>
      <c r="F92" s="1720"/>
      <c r="G92" s="1720"/>
      <c r="H92" s="1720"/>
      <c r="I92" s="1720"/>
      <c r="J92" s="1720"/>
      <c r="K92" s="1720"/>
      <c r="L92" s="1720"/>
      <c r="M92" s="2825"/>
      <c r="N92" s="1819" t="s">
        <v>5754</v>
      </c>
      <c r="O92" s="1720"/>
      <c r="P92" s="1720"/>
      <c r="Q92" s="1720"/>
      <c r="R92" s="1720"/>
      <c r="S92" s="2825"/>
      <c r="T92" s="1819" t="s">
        <v>5755</v>
      </c>
      <c r="U92" s="1720"/>
      <c r="V92" s="1720"/>
      <c r="W92" s="1720"/>
      <c r="X92" s="1720"/>
      <c r="Y92" s="2825"/>
      <c r="Z92" s="654"/>
      <c r="AA92" s="654"/>
      <c r="AB92" s="654"/>
      <c r="AC92" s="654"/>
      <c r="AD92" s="654"/>
      <c r="AE92" s="654"/>
      <c r="AF92" s="654"/>
      <c r="AL92" s="839"/>
      <c r="AM92" s="885"/>
      <c r="AN92" s="885"/>
      <c r="AO92" s="885"/>
      <c r="AP92" s="885"/>
      <c r="AQ92" s="885"/>
      <c r="AR92" s="885"/>
      <c r="AS92" s="885"/>
      <c r="AT92" s="885"/>
      <c r="AU92" s="885"/>
      <c r="AV92" s="885"/>
      <c r="AW92" s="885"/>
      <c r="AX92" s="885"/>
      <c r="AY92" s="932"/>
      <c r="AZ92" s="932"/>
      <c r="BA92" s="885"/>
      <c r="BB92" s="885"/>
      <c r="BC92" s="885"/>
      <c r="BD92" s="885"/>
      <c r="BE92" s="885"/>
      <c r="BF92" s="885"/>
      <c r="BG92" s="885"/>
      <c r="BH92" s="885"/>
      <c r="BI92" s="851"/>
      <c r="BJ92" s="851"/>
      <c r="BK92" s="851"/>
      <c r="BL92" s="851"/>
      <c r="BM92" s="851"/>
      <c r="BN92" s="851"/>
      <c r="BO92" s="851"/>
      <c r="BP92" s="851"/>
      <c r="BQ92" s="851"/>
      <c r="BR92" s="851"/>
      <c r="BS92" s="851"/>
      <c r="BT92" s="851"/>
      <c r="BU92" s="851"/>
      <c r="BV92" s="851"/>
      <c r="BW92" s="851"/>
      <c r="BX92" s="851"/>
      <c r="BY92" s="851"/>
      <c r="BZ92" s="851"/>
    </row>
    <row r="93" spans="1:78" ht="15" customHeight="1" x14ac:dyDescent="0.25">
      <c r="A93" s="654"/>
      <c r="B93" s="2826"/>
      <c r="C93" s="2827"/>
      <c r="D93" s="2827"/>
      <c r="E93" s="2827"/>
      <c r="F93" s="2827"/>
      <c r="G93" s="2827"/>
      <c r="H93" s="2827"/>
      <c r="I93" s="2827"/>
      <c r="J93" s="2827"/>
      <c r="K93" s="2827"/>
      <c r="L93" s="2827"/>
      <c r="M93" s="2828"/>
      <c r="N93" s="2826" t="s">
        <v>5749</v>
      </c>
      <c r="O93" s="2827"/>
      <c r="P93" s="2827"/>
      <c r="Q93" s="2827"/>
      <c r="R93" s="2827"/>
      <c r="S93" s="2828"/>
      <c r="T93" s="2826" t="s">
        <v>5750</v>
      </c>
      <c r="U93" s="2827"/>
      <c r="V93" s="2827"/>
      <c r="W93" s="2827"/>
      <c r="X93" s="2827"/>
      <c r="Y93" s="2828"/>
      <c r="Z93" s="654"/>
      <c r="AA93" s="654"/>
      <c r="AB93" s="654"/>
      <c r="AC93" s="654"/>
      <c r="AD93" s="654"/>
      <c r="AE93" s="654"/>
      <c r="AF93" s="654"/>
      <c r="AL93" s="839"/>
      <c r="AM93" s="885"/>
      <c r="AN93" s="885"/>
      <c r="AO93" s="885"/>
      <c r="AP93" s="885"/>
      <c r="AQ93" s="885"/>
      <c r="AR93" s="885"/>
      <c r="AS93" s="885"/>
      <c r="AT93" s="885"/>
      <c r="AU93" s="885"/>
      <c r="AV93" s="885"/>
      <c r="AW93" s="885"/>
      <c r="AX93" s="885"/>
      <c r="AY93" s="932"/>
      <c r="AZ93" s="932"/>
      <c r="BA93" s="885"/>
      <c r="BB93" s="885"/>
      <c r="BC93" s="885"/>
      <c r="BD93" s="885"/>
      <c r="BE93" s="885"/>
      <c r="BF93" s="885"/>
      <c r="BG93" s="885"/>
      <c r="BH93" s="885"/>
      <c r="BI93" s="851"/>
      <c r="BJ93" s="851"/>
      <c r="BK93" s="851"/>
      <c r="BL93" s="851"/>
      <c r="BM93" s="851"/>
      <c r="BN93" s="851"/>
      <c r="BO93" s="851"/>
      <c r="BP93" s="851"/>
      <c r="BQ93" s="851"/>
      <c r="BR93" s="851"/>
      <c r="BS93" s="851"/>
      <c r="BT93" s="851"/>
      <c r="BU93" s="851"/>
      <c r="BV93" s="851"/>
      <c r="BW93" s="851"/>
      <c r="BX93" s="851"/>
      <c r="BY93" s="851"/>
      <c r="BZ93" s="851"/>
    </row>
    <row r="94" spans="1:78" x14ac:dyDescent="0.25">
      <c r="A94" s="654"/>
      <c r="B94" s="1874" t="s">
        <v>5732</v>
      </c>
      <c r="C94" s="1874"/>
      <c r="D94" s="1874"/>
      <c r="E94" s="1874"/>
      <c r="F94" s="1874"/>
      <c r="G94" s="1874"/>
      <c r="H94" s="1874"/>
      <c r="I94" s="1874"/>
      <c r="J94" s="1874"/>
      <c r="K94" s="1874"/>
      <c r="L94" s="1874"/>
      <c r="M94" s="1874"/>
      <c r="N94" s="3298">
        <v>1.0489999999999999</v>
      </c>
      <c r="O94" s="3298"/>
      <c r="P94" s="3298"/>
      <c r="Q94" s="3298"/>
      <c r="R94" s="3298"/>
      <c r="S94" s="3298"/>
      <c r="T94" s="3298">
        <v>1.0429999999999999</v>
      </c>
      <c r="U94" s="3298"/>
      <c r="V94" s="3298"/>
      <c r="W94" s="3298"/>
      <c r="X94" s="3298"/>
      <c r="Y94" s="3298"/>
      <c r="Z94" s="654"/>
      <c r="AA94" s="654"/>
      <c r="AB94" s="654"/>
      <c r="AC94" s="654"/>
      <c r="AD94" s="654"/>
      <c r="AE94" s="654"/>
      <c r="AF94" s="654"/>
      <c r="AL94" s="839"/>
      <c r="AM94" s="885"/>
      <c r="AN94" s="885"/>
      <c r="AO94" s="885"/>
      <c r="AP94" s="885"/>
      <c r="AQ94" s="885"/>
      <c r="AR94" s="885"/>
      <c r="AS94" s="885"/>
      <c r="AT94" s="885"/>
      <c r="AU94" s="885"/>
      <c r="AV94" s="885"/>
      <c r="AW94" s="885"/>
      <c r="AX94" s="885"/>
      <c r="AY94" s="932"/>
      <c r="AZ94" s="932"/>
      <c r="BA94" s="885"/>
      <c r="BB94" s="885"/>
      <c r="BC94" s="885"/>
      <c r="BD94" s="885"/>
      <c r="BE94" s="885"/>
      <c r="BF94" s="885"/>
      <c r="BG94" s="885"/>
      <c r="BH94" s="885"/>
      <c r="BI94" s="683"/>
      <c r="BJ94" s="683"/>
      <c r="BK94" s="683"/>
      <c r="BL94" s="683"/>
      <c r="BM94" s="683"/>
      <c r="BN94" s="683"/>
      <c r="BO94" s="683"/>
      <c r="BP94" s="683"/>
      <c r="BQ94" s="683"/>
      <c r="BR94" s="683"/>
      <c r="BS94" s="683"/>
      <c r="BT94" s="683"/>
      <c r="BU94" s="933"/>
      <c r="BV94" s="933"/>
      <c r="BW94" s="933"/>
      <c r="BX94" s="933"/>
      <c r="BY94" s="933"/>
      <c r="BZ94" s="933"/>
    </row>
    <row r="95" spans="1:78" x14ac:dyDescent="0.25">
      <c r="A95" s="654"/>
      <c r="B95" s="1874" t="s">
        <v>5733</v>
      </c>
      <c r="C95" s="1874"/>
      <c r="D95" s="1874"/>
      <c r="E95" s="1874"/>
      <c r="F95" s="1874"/>
      <c r="G95" s="1874"/>
      <c r="H95" s="1874"/>
      <c r="I95" s="1874"/>
      <c r="J95" s="1874"/>
      <c r="K95" s="1874"/>
      <c r="L95" s="1874"/>
      <c r="M95" s="1874"/>
      <c r="N95" s="3298">
        <v>1.034</v>
      </c>
      <c r="O95" s="3298"/>
      <c r="P95" s="3298"/>
      <c r="Q95" s="3298"/>
      <c r="R95" s="3298"/>
      <c r="S95" s="3298"/>
      <c r="T95" s="3298">
        <v>1.034</v>
      </c>
      <c r="U95" s="3298"/>
      <c r="V95" s="3298"/>
      <c r="W95" s="3298"/>
      <c r="X95" s="3298"/>
      <c r="Y95" s="3298"/>
      <c r="Z95" s="654"/>
      <c r="AA95" s="654"/>
      <c r="AB95" s="654"/>
      <c r="AC95" s="654"/>
      <c r="AD95" s="654"/>
      <c r="AE95" s="654"/>
      <c r="AF95" s="654"/>
      <c r="AL95" s="839"/>
      <c r="AM95" s="885"/>
      <c r="AN95" s="885"/>
      <c r="AO95" s="885"/>
      <c r="AP95" s="885"/>
      <c r="AQ95" s="885"/>
      <c r="AR95" s="885"/>
      <c r="AS95" s="885"/>
      <c r="AT95" s="885"/>
      <c r="AU95" s="885"/>
      <c r="AV95" s="885"/>
      <c r="AW95" s="885"/>
      <c r="AX95" s="885"/>
      <c r="AY95" s="885"/>
      <c r="AZ95" s="885"/>
      <c r="BA95" s="885"/>
      <c r="BB95" s="885"/>
      <c r="BC95" s="885"/>
      <c r="BD95" s="885"/>
      <c r="BE95" s="885"/>
      <c r="BF95" s="885"/>
      <c r="BG95" s="885"/>
      <c r="BH95" s="885"/>
      <c r="BI95" s="683"/>
      <c r="BJ95" s="683"/>
      <c r="BK95" s="683"/>
      <c r="BL95" s="683"/>
      <c r="BM95" s="683"/>
      <c r="BN95" s="683"/>
      <c r="BO95" s="683"/>
      <c r="BP95" s="683"/>
      <c r="BQ95" s="683"/>
      <c r="BR95" s="683"/>
      <c r="BS95" s="683"/>
      <c r="BT95" s="683"/>
      <c r="BU95" s="933"/>
      <c r="BV95" s="933"/>
      <c r="BW95" s="933"/>
      <c r="BX95" s="933"/>
      <c r="BY95" s="933"/>
      <c r="BZ95" s="933"/>
    </row>
    <row r="96" spans="1:78" x14ac:dyDescent="0.25">
      <c r="A96" s="654"/>
      <c r="B96" s="1874" t="s">
        <v>5734</v>
      </c>
      <c r="C96" s="1874"/>
      <c r="D96" s="1874"/>
      <c r="E96" s="1874"/>
      <c r="F96" s="1874"/>
      <c r="G96" s="1874"/>
      <c r="H96" s="1874"/>
      <c r="I96" s="1874"/>
      <c r="J96" s="1874"/>
      <c r="K96" s="1874"/>
      <c r="L96" s="1874"/>
      <c r="M96" s="1874"/>
      <c r="N96" s="3298">
        <v>1.0529999999999999</v>
      </c>
      <c r="O96" s="3298"/>
      <c r="P96" s="3298"/>
      <c r="Q96" s="3298"/>
      <c r="R96" s="3298"/>
      <c r="S96" s="3298"/>
      <c r="T96" s="3298">
        <v>1.107</v>
      </c>
      <c r="U96" s="3298"/>
      <c r="V96" s="3298"/>
      <c r="W96" s="3298"/>
      <c r="X96" s="3298"/>
      <c r="Y96" s="3298"/>
      <c r="Z96" s="654"/>
      <c r="AA96" s="654"/>
      <c r="AB96" s="654"/>
      <c r="AC96" s="654"/>
      <c r="AD96" s="654"/>
      <c r="AE96" s="654"/>
      <c r="AF96" s="654"/>
      <c r="AL96" s="839"/>
      <c r="AM96" s="885"/>
      <c r="AN96" s="885"/>
      <c r="AO96" s="885"/>
      <c r="AP96" s="885"/>
      <c r="AQ96" s="885"/>
      <c r="AR96" s="885"/>
      <c r="AS96" s="885"/>
      <c r="AT96" s="885"/>
      <c r="AU96" s="885"/>
      <c r="AV96" s="885"/>
      <c r="AW96" s="885"/>
      <c r="AX96" s="885"/>
      <c r="AY96" s="885"/>
      <c r="AZ96" s="885"/>
      <c r="BA96" s="885"/>
      <c r="BB96" s="885"/>
      <c r="BC96" s="885"/>
      <c r="BD96" s="885"/>
      <c r="BE96" s="885"/>
      <c r="BF96" s="885"/>
      <c r="BG96" s="885"/>
      <c r="BH96" s="885"/>
      <c r="BI96" s="683"/>
      <c r="BJ96" s="683"/>
      <c r="BK96" s="683"/>
      <c r="BL96" s="683"/>
      <c r="BM96" s="683"/>
      <c r="BN96" s="683"/>
      <c r="BO96" s="683"/>
      <c r="BP96" s="683"/>
      <c r="BQ96" s="683"/>
      <c r="BR96" s="683"/>
      <c r="BS96" s="683"/>
      <c r="BT96" s="683"/>
      <c r="BU96" s="933"/>
      <c r="BV96" s="933"/>
      <c r="BW96" s="933"/>
      <c r="BX96" s="933"/>
      <c r="BY96" s="933"/>
      <c r="BZ96" s="933"/>
    </row>
    <row r="97" spans="1:65" ht="45.75" customHeight="1" x14ac:dyDescent="0.25">
      <c r="A97" s="654"/>
      <c r="B97" s="3290" t="s">
        <v>5751</v>
      </c>
      <c r="C97" s="3290"/>
      <c r="D97" s="3290"/>
      <c r="E97" s="3290"/>
      <c r="F97" s="3290"/>
      <c r="G97" s="3290"/>
      <c r="H97" s="3290"/>
      <c r="I97" s="3290"/>
      <c r="J97" s="3290"/>
      <c r="K97" s="3290"/>
      <c r="L97" s="3290"/>
      <c r="M97" s="3290"/>
      <c r="N97" s="3290"/>
      <c r="O97" s="3290"/>
      <c r="P97" s="3290"/>
      <c r="Q97" s="3290"/>
      <c r="R97" s="3290"/>
      <c r="S97" s="3290"/>
      <c r="T97" s="3290"/>
      <c r="U97" s="3290"/>
      <c r="V97" s="3290"/>
      <c r="W97" s="3290"/>
      <c r="X97" s="3290"/>
      <c r="Y97" s="3290"/>
      <c r="Z97" s="3290"/>
      <c r="AA97" s="3290"/>
      <c r="AB97" s="3290"/>
      <c r="AC97" s="3290"/>
      <c r="AD97" s="3290"/>
      <c r="AE97" s="3290"/>
      <c r="AF97" s="3290"/>
      <c r="AL97" s="839"/>
      <c r="AM97" s="885"/>
      <c r="AN97" s="885"/>
      <c r="AO97" s="885"/>
      <c r="AP97" s="885"/>
      <c r="AQ97" s="885"/>
      <c r="AR97" s="885"/>
      <c r="AS97" s="885"/>
      <c r="AT97" s="885"/>
      <c r="AU97" s="885"/>
      <c r="AV97" s="885"/>
      <c r="AW97" s="885"/>
      <c r="AX97" s="885"/>
      <c r="AY97" s="885"/>
      <c r="AZ97" s="885"/>
      <c r="BA97" s="885"/>
      <c r="BB97" s="885"/>
      <c r="BC97" s="885"/>
      <c r="BD97" s="885"/>
      <c r="BE97" s="885"/>
      <c r="BF97" s="885"/>
      <c r="BG97" s="885"/>
      <c r="BH97" s="885"/>
      <c r="BI97" s="839"/>
      <c r="BJ97" s="839"/>
      <c r="BK97" s="839"/>
      <c r="BL97" s="839"/>
      <c r="BM97" s="839"/>
    </row>
    <row r="98" spans="1:65" x14ac:dyDescent="0.25">
      <c r="A98" s="262"/>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262"/>
      <c r="AE98" s="262"/>
      <c r="AF98" s="262"/>
      <c r="AG98" s="1"/>
      <c r="AH98" s="1"/>
      <c r="AI98" s="1"/>
      <c r="AJ98" s="1"/>
      <c r="AL98" s="692"/>
    </row>
    <row r="99" spans="1:65" x14ac:dyDescent="0.25">
      <c r="A99" s="1621" t="s">
        <v>21</v>
      </c>
      <c r="B99" s="1621"/>
      <c r="C99" s="1621"/>
      <c r="D99" s="1621"/>
      <c r="E99" s="1621"/>
      <c r="F99" s="1621"/>
      <c r="G99" s="1621"/>
      <c r="H99" s="1621"/>
      <c r="I99" s="1621"/>
      <c r="J99" s="1621"/>
      <c r="K99" s="1621"/>
      <c r="L99" s="1621"/>
      <c r="M99" s="1621"/>
      <c r="N99" s="1621"/>
      <c r="O99" s="1621"/>
      <c r="P99" s="1621"/>
      <c r="Q99" s="1621"/>
      <c r="R99" s="1621"/>
      <c r="S99" s="1621"/>
      <c r="T99" s="1621"/>
      <c r="U99" s="1621"/>
      <c r="V99" s="1621"/>
      <c r="W99" s="1621"/>
      <c r="X99" s="1621"/>
      <c r="Y99" s="1621"/>
      <c r="Z99" s="1621"/>
      <c r="AA99" s="1621"/>
      <c r="AB99" s="1621"/>
      <c r="AC99" s="1621"/>
      <c r="AD99" s="1621"/>
      <c r="AE99" s="1621"/>
      <c r="AF99" s="1621"/>
      <c r="AG99" s="1"/>
      <c r="AH99" s="1"/>
      <c r="AI99" s="1"/>
      <c r="AJ99" s="1"/>
      <c r="AL99" s="692"/>
    </row>
    <row r="100" spans="1:65" x14ac:dyDescent="0.25">
      <c r="A100" s="530"/>
      <c r="B100" s="192"/>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c r="AL100" s="692"/>
    </row>
    <row r="101" spans="1:65" x14ac:dyDescent="0.25">
      <c r="A101" s="227"/>
      <c r="B101" s="1168" t="s">
        <v>3462</v>
      </c>
      <c r="C101" s="1168"/>
      <c r="D101" s="1168"/>
      <c r="E101" s="1168"/>
      <c r="F101" s="1168"/>
      <c r="G101" s="1168"/>
      <c r="H101" s="1168"/>
      <c r="I101" s="1168"/>
      <c r="J101" s="1168"/>
      <c r="K101" s="1168"/>
      <c r="L101" s="1168"/>
      <c r="M101" s="1168"/>
      <c r="N101" s="1168"/>
      <c r="O101" s="1168"/>
      <c r="P101" s="1168"/>
      <c r="Q101" s="1168"/>
      <c r="R101" s="1168"/>
      <c r="S101" s="1168"/>
      <c r="T101" s="1168"/>
      <c r="U101" s="1168"/>
      <c r="V101" s="1168"/>
      <c r="W101" s="1168"/>
      <c r="X101" s="1168"/>
      <c r="Y101" s="1168"/>
      <c r="Z101" s="1168"/>
      <c r="AA101" s="1168"/>
      <c r="AB101" s="1168"/>
      <c r="AC101" s="1168"/>
      <c r="AD101" s="1168"/>
      <c r="AE101" s="1168"/>
      <c r="AF101" s="1168"/>
      <c r="AL101" s="692"/>
    </row>
    <row r="102" spans="1:65" x14ac:dyDescent="0.25">
      <c r="A102" s="227"/>
      <c r="B102" s="227"/>
      <c r="C102" s="227"/>
      <c r="D102" s="227"/>
      <c r="E102" s="227"/>
      <c r="F102" s="227"/>
      <c r="G102" s="3291" t="s">
        <v>2914</v>
      </c>
      <c r="H102" s="3291"/>
      <c r="I102" s="3291"/>
      <c r="J102" s="3291"/>
      <c r="K102" s="3291"/>
      <c r="L102" s="3291"/>
      <c r="M102" s="3291"/>
      <c r="N102" s="3291"/>
      <c r="O102" s="3291"/>
      <c r="P102" s="227"/>
      <c r="Q102" s="227"/>
      <c r="R102" s="227"/>
      <c r="S102" s="227"/>
      <c r="T102" s="227"/>
      <c r="U102" s="227"/>
      <c r="V102" s="227"/>
      <c r="W102" s="227"/>
      <c r="X102" s="227"/>
      <c r="Y102" s="227"/>
      <c r="Z102" s="227"/>
      <c r="AA102" s="227"/>
      <c r="AB102" s="227"/>
      <c r="AC102" s="227"/>
      <c r="AD102" s="227"/>
      <c r="AE102" s="227"/>
      <c r="AF102" s="227"/>
      <c r="AL102" s="692"/>
    </row>
    <row r="103" spans="1:65" x14ac:dyDescent="0.25">
      <c r="A103" s="227"/>
      <c r="B103" s="227"/>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L103" s="692"/>
    </row>
    <row r="104" spans="1:65" x14ac:dyDescent="0.25">
      <c r="A104" s="1621" t="s">
        <v>1753</v>
      </c>
      <c r="B104" s="1621"/>
      <c r="C104" s="1621"/>
      <c r="D104" s="1621"/>
      <c r="E104" s="1621"/>
      <c r="F104" s="1621"/>
      <c r="G104" s="1621"/>
      <c r="H104" s="1621"/>
      <c r="I104" s="1621"/>
      <c r="J104" s="1621"/>
      <c r="K104" s="1621"/>
      <c r="L104" s="1621"/>
      <c r="M104" s="1621"/>
      <c r="N104" s="1621"/>
      <c r="O104" s="1621"/>
      <c r="P104" s="1621"/>
      <c r="Q104" s="1621"/>
      <c r="R104" s="1621"/>
      <c r="S104" s="1621"/>
      <c r="T104" s="1621"/>
      <c r="U104" s="1621"/>
      <c r="V104" s="1621"/>
      <c r="W104" s="1621"/>
      <c r="X104" s="1621"/>
      <c r="Y104" s="1621"/>
      <c r="Z104" s="1621"/>
      <c r="AA104" s="1621"/>
      <c r="AB104" s="1621"/>
      <c r="AC104" s="1621"/>
      <c r="AD104" s="1621"/>
      <c r="AE104" s="1621"/>
      <c r="AF104" s="1621"/>
      <c r="AL104" s="692"/>
    </row>
    <row r="105" spans="1:65" x14ac:dyDescent="0.25">
      <c r="A105" s="190"/>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L105" s="692"/>
    </row>
    <row r="106" spans="1:65" x14ac:dyDescent="0.25">
      <c r="A106" s="517" t="s">
        <v>1013</v>
      </c>
      <c r="B106" s="1168" t="s">
        <v>5703</v>
      </c>
      <c r="C106" s="1168"/>
      <c r="D106" s="1168"/>
      <c r="E106" s="1168"/>
      <c r="F106" s="1168"/>
      <c r="G106" s="1168"/>
      <c r="H106" s="1168"/>
      <c r="I106" s="1168"/>
      <c r="J106" s="1168"/>
      <c r="K106" s="1168"/>
      <c r="L106" s="1168"/>
      <c r="M106" s="1168"/>
      <c r="N106" s="1168"/>
      <c r="O106" s="1168"/>
      <c r="P106" s="1168"/>
      <c r="Q106" s="1168"/>
      <c r="R106" s="1168"/>
      <c r="S106" s="1168"/>
      <c r="T106" s="1168"/>
      <c r="U106" s="1168"/>
      <c r="V106" s="1168"/>
      <c r="W106" s="1168"/>
      <c r="X106" s="1168"/>
      <c r="Y106" s="1168"/>
      <c r="Z106" s="1168"/>
      <c r="AA106" s="1168"/>
      <c r="AB106" s="1168"/>
      <c r="AC106" s="1168"/>
      <c r="AD106" s="1168"/>
      <c r="AE106" s="1168"/>
      <c r="AF106" s="1168"/>
      <c r="AL106" s="839"/>
    </row>
    <row r="107" spans="1:65" x14ac:dyDescent="0.25">
      <c r="A107" s="517" t="s">
        <v>1013</v>
      </c>
      <c r="B107" s="1168" t="s">
        <v>5724</v>
      </c>
      <c r="C107" s="1168"/>
      <c r="D107" s="1168"/>
      <c r="E107" s="1168"/>
      <c r="F107" s="1168"/>
      <c r="G107" s="1168"/>
      <c r="H107" s="1168"/>
      <c r="I107" s="1168"/>
      <c r="J107" s="1168"/>
      <c r="K107" s="1168"/>
      <c r="L107" s="1168"/>
      <c r="M107" s="1168"/>
      <c r="N107" s="1168"/>
      <c r="O107" s="1168"/>
      <c r="P107" s="1168"/>
      <c r="Q107" s="1168"/>
      <c r="R107" s="1168"/>
      <c r="S107" s="1168"/>
      <c r="T107" s="1168"/>
      <c r="U107" s="1168"/>
      <c r="V107" s="1168"/>
      <c r="W107" s="1168"/>
      <c r="X107" s="1168"/>
      <c r="Y107" s="1168"/>
      <c r="Z107" s="1168"/>
      <c r="AA107" s="1168"/>
      <c r="AB107" s="1168"/>
      <c r="AC107" s="1168"/>
      <c r="AD107" s="1168"/>
      <c r="AE107" s="1168"/>
      <c r="AF107" s="1168"/>
      <c r="AL107" s="3297"/>
      <c r="AM107" s="3297"/>
      <c r="AN107" s="3297"/>
      <c r="AO107" s="3297"/>
      <c r="AP107" s="3297"/>
      <c r="AQ107" s="3297"/>
      <c r="AR107" s="3297"/>
      <c r="AS107" s="3297"/>
      <c r="AT107" s="3297"/>
      <c r="AU107" s="3297"/>
      <c r="AV107" s="3297"/>
      <c r="AW107" s="3297"/>
      <c r="AX107" s="3297"/>
      <c r="AY107" s="3297"/>
      <c r="AZ107" s="3297"/>
    </row>
    <row r="108" spans="1:65" ht="64.5" customHeight="1" x14ac:dyDescent="0.25">
      <c r="A108" s="517" t="s">
        <v>1013</v>
      </c>
      <c r="B108" s="1168" t="s">
        <v>5725</v>
      </c>
      <c r="C108" s="1168"/>
      <c r="D108" s="1168"/>
      <c r="E108" s="1168"/>
      <c r="F108" s="1168"/>
      <c r="G108" s="1168"/>
      <c r="H108" s="1168"/>
      <c r="I108" s="1168"/>
      <c r="J108" s="1168"/>
      <c r="K108" s="1168"/>
      <c r="L108" s="1168"/>
      <c r="M108" s="1168"/>
      <c r="N108" s="1168"/>
      <c r="O108" s="1168"/>
      <c r="P108" s="1168"/>
      <c r="Q108" s="1168"/>
      <c r="R108" s="1168"/>
      <c r="S108" s="1168"/>
      <c r="T108" s="1168"/>
      <c r="U108" s="1168"/>
      <c r="V108" s="1168"/>
      <c r="W108" s="1168"/>
      <c r="X108" s="1168"/>
      <c r="Y108" s="1168"/>
      <c r="Z108" s="1168"/>
      <c r="AA108" s="1168"/>
      <c r="AB108" s="1168"/>
      <c r="AC108" s="1168"/>
      <c r="AD108" s="1168"/>
      <c r="AE108" s="1168"/>
      <c r="AF108" s="1168"/>
      <c r="AL108" s="3297"/>
      <c r="AM108" s="3297"/>
      <c r="AN108" s="3297"/>
      <c r="AO108" s="3297"/>
      <c r="AP108" s="3297"/>
      <c r="AQ108" s="3297"/>
      <c r="AR108" s="3297"/>
      <c r="AS108" s="3297"/>
      <c r="AT108" s="3297"/>
      <c r="AU108" s="3297"/>
      <c r="AV108" s="3297"/>
      <c r="AW108" s="3297"/>
      <c r="AX108" s="3297"/>
      <c r="AY108" s="3297"/>
      <c r="AZ108" s="3297"/>
    </row>
    <row r="109" spans="1:65" ht="48.75" customHeight="1" x14ac:dyDescent="0.25">
      <c r="A109" s="517" t="s">
        <v>1013</v>
      </c>
      <c r="B109" s="1168" t="s">
        <v>5753</v>
      </c>
      <c r="C109" s="1168"/>
      <c r="D109" s="1168"/>
      <c r="E109" s="1168"/>
      <c r="F109" s="1168"/>
      <c r="G109" s="1168"/>
      <c r="H109" s="1168"/>
      <c r="I109" s="1168"/>
      <c r="J109" s="1168"/>
      <c r="K109" s="1168"/>
      <c r="L109" s="1168"/>
      <c r="M109" s="1168"/>
      <c r="N109" s="1168"/>
      <c r="O109" s="1168"/>
      <c r="P109" s="1168"/>
      <c r="Q109" s="1168"/>
      <c r="R109" s="1168"/>
      <c r="S109" s="1168"/>
      <c r="T109" s="1168"/>
      <c r="U109" s="1168"/>
      <c r="V109" s="1168"/>
      <c r="W109" s="1168"/>
      <c r="X109" s="1168"/>
      <c r="Y109" s="1168"/>
      <c r="Z109" s="1168"/>
      <c r="AA109" s="1168"/>
      <c r="AB109" s="1168"/>
      <c r="AC109" s="1168"/>
      <c r="AD109" s="1168"/>
      <c r="AE109" s="1168"/>
      <c r="AF109" s="1168"/>
      <c r="AL109" s="692"/>
    </row>
    <row r="110" spans="1:65" ht="48.75" customHeight="1" x14ac:dyDescent="0.25">
      <c r="A110" s="517" t="s">
        <v>1013</v>
      </c>
      <c r="B110" s="1173" t="s">
        <v>2083</v>
      </c>
      <c r="C110" s="1173"/>
      <c r="D110" s="1173"/>
      <c r="E110" s="1173"/>
      <c r="F110" s="1173"/>
      <c r="G110" s="1173"/>
      <c r="H110" s="1173"/>
      <c r="I110" s="1173"/>
      <c r="J110" s="1173"/>
      <c r="K110" s="1173"/>
      <c r="L110" s="1173"/>
      <c r="M110" s="1173"/>
      <c r="N110" s="1173"/>
      <c r="O110" s="1173"/>
      <c r="P110" s="1173"/>
      <c r="Q110" s="1173"/>
      <c r="R110" s="1173"/>
      <c r="S110" s="1173"/>
      <c r="T110" s="1173"/>
      <c r="U110" s="1173"/>
      <c r="V110" s="1173"/>
      <c r="W110" s="1173"/>
      <c r="X110" s="1173"/>
      <c r="Y110" s="1173"/>
      <c r="Z110" s="1173"/>
      <c r="AA110" s="1173"/>
      <c r="AB110" s="1173"/>
      <c r="AC110" s="1173"/>
      <c r="AD110" s="1173"/>
      <c r="AE110" s="1173"/>
      <c r="AF110" s="1173"/>
      <c r="AL110" s="692"/>
    </row>
    <row r="111" spans="1:65" ht="61.5" customHeight="1" x14ac:dyDescent="0.25">
      <c r="A111" s="517" t="s">
        <v>1013</v>
      </c>
      <c r="B111" s="1173" t="s">
        <v>5719</v>
      </c>
      <c r="C111" s="1173"/>
      <c r="D111" s="1173"/>
      <c r="E111" s="1173"/>
      <c r="F111" s="1173"/>
      <c r="G111" s="1173"/>
      <c r="H111" s="1173"/>
      <c r="I111" s="1173"/>
      <c r="J111" s="1173"/>
      <c r="K111" s="1173"/>
      <c r="L111" s="1173"/>
      <c r="M111" s="1173"/>
      <c r="N111" s="1173"/>
      <c r="O111" s="1173"/>
      <c r="P111" s="1173"/>
      <c r="Q111" s="1173"/>
      <c r="R111" s="1173"/>
      <c r="S111" s="1173"/>
      <c r="T111" s="1173"/>
      <c r="U111" s="1173"/>
      <c r="V111" s="1173"/>
      <c r="W111" s="1173"/>
      <c r="X111" s="1173"/>
      <c r="Y111" s="1173"/>
      <c r="Z111" s="1173"/>
      <c r="AA111" s="1173"/>
      <c r="AB111" s="1173"/>
      <c r="AC111" s="1173"/>
      <c r="AD111" s="1173"/>
      <c r="AE111" s="1173"/>
      <c r="AF111" s="1173"/>
      <c r="AL111" s="839"/>
    </row>
    <row r="112" spans="1:65" ht="78" customHeight="1" x14ac:dyDescent="0.25">
      <c r="A112" s="517" t="s">
        <v>1013</v>
      </c>
      <c r="B112" s="1173" t="s">
        <v>5752</v>
      </c>
      <c r="C112" s="1173"/>
      <c r="D112" s="1173"/>
      <c r="E112" s="1173"/>
      <c r="F112" s="1173"/>
      <c r="G112" s="1173"/>
      <c r="H112" s="1173"/>
      <c r="I112" s="1173"/>
      <c r="J112" s="1173"/>
      <c r="K112" s="1173"/>
      <c r="L112" s="1173"/>
      <c r="M112" s="1173"/>
      <c r="N112" s="1173"/>
      <c r="O112" s="1173"/>
      <c r="P112" s="1173"/>
      <c r="Q112" s="1173"/>
      <c r="R112" s="1173"/>
      <c r="S112" s="1173"/>
      <c r="T112" s="1173"/>
      <c r="U112" s="1173"/>
      <c r="V112" s="1173"/>
      <c r="W112" s="1173"/>
      <c r="X112" s="1173"/>
      <c r="Y112" s="1173"/>
      <c r="Z112" s="1173"/>
      <c r="AA112" s="1173"/>
      <c r="AB112" s="1173"/>
      <c r="AC112" s="1173"/>
      <c r="AD112" s="1173"/>
      <c r="AE112" s="1173"/>
      <c r="AF112" s="1173"/>
      <c r="AL112" s="839"/>
    </row>
    <row r="113" spans="1:38" ht="33" customHeight="1" x14ac:dyDescent="0.25">
      <c r="A113" s="517" t="s">
        <v>1013</v>
      </c>
      <c r="B113" s="1168" t="s">
        <v>6342</v>
      </c>
      <c r="C113" s="1168"/>
      <c r="D113" s="1168"/>
      <c r="E113" s="1168"/>
      <c r="F113" s="1168"/>
      <c r="G113" s="1168"/>
      <c r="H113" s="1168"/>
      <c r="I113" s="1168"/>
      <c r="J113" s="1168"/>
      <c r="K113" s="1168"/>
      <c r="L113" s="1168"/>
      <c r="M113" s="1168"/>
      <c r="N113" s="1168"/>
      <c r="O113" s="1168"/>
      <c r="P113" s="1168"/>
      <c r="Q113" s="1168"/>
      <c r="R113" s="1168"/>
      <c r="S113" s="1168"/>
      <c r="T113" s="1168"/>
      <c r="U113" s="1168"/>
      <c r="V113" s="1168"/>
      <c r="W113" s="1168"/>
      <c r="X113" s="1168"/>
      <c r="Y113" s="1168"/>
      <c r="Z113" s="1168"/>
      <c r="AA113" s="1168"/>
      <c r="AB113" s="1168"/>
      <c r="AC113" s="1168"/>
      <c r="AD113" s="1168"/>
      <c r="AE113" s="1168"/>
      <c r="AF113" s="1168"/>
      <c r="AL113" s="692"/>
    </row>
    <row r="114" spans="1:38" ht="63.75" customHeight="1" x14ac:dyDescent="0.25">
      <c r="A114" s="517" t="s">
        <v>1013</v>
      </c>
      <c r="B114" s="1168" t="s">
        <v>2872</v>
      </c>
      <c r="C114" s="1168"/>
      <c r="D114" s="1168"/>
      <c r="E114" s="1168"/>
      <c r="F114" s="1168"/>
      <c r="G114" s="1168"/>
      <c r="H114" s="1168"/>
      <c r="I114" s="1168"/>
      <c r="J114" s="1168"/>
      <c r="K114" s="1168"/>
      <c r="L114" s="1168"/>
      <c r="M114" s="1168"/>
      <c r="N114" s="1168"/>
      <c r="O114" s="1168"/>
      <c r="P114" s="1168"/>
      <c r="Q114" s="1168"/>
      <c r="R114" s="1168"/>
      <c r="S114" s="1168"/>
      <c r="T114" s="1168"/>
      <c r="U114" s="1168"/>
      <c r="V114" s="1168"/>
      <c r="W114" s="1168"/>
      <c r="X114" s="1168"/>
      <c r="Y114" s="1168"/>
      <c r="Z114" s="1168"/>
      <c r="AA114" s="1168"/>
      <c r="AB114" s="1168"/>
      <c r="AC114" s="1168"/>
      <c r="AD114" s="1168"/>
      <c r="AE114" s="1168"/>
      <c r="AF114" s="1168"/>
      <c r="AL114" s="692"/>
    </row>
  </sheetData>
  <sheetProtection algorithmName="SHA-512" hashValue="27+779XtNhHJRLMo7sPI7XuhDAw7EY/n8Qezz1C0jNn9VAn4yBU9TMyw6SqIYGZNQu8OFvYZrI65kQT7pnRK8g==" saltValue="0TIjjUh/ZintxhXaQ3abgQ==" spinCount="100000" sheet="1" objects="1" scenarios="1"/>
  <mergeCells count="180">
    <mergeCell ref="B12:I12"/>
    <mergeCell ref="B13:AF13"/>
    <mergeCell ref="B15:I15"/>
    <mergeCell ref="B16:AF16"/>
    <mergeCell ref="B18:I18"/>
    <mergeCell ref="B19:AF19"/>
    <mergeCell ref="A1:AF1"/>
    <mergeCell ref="A3:AF3"/>
    <mergeCell ref="B5:AF5"/>
    <mergeCell ref="A7:AF7"/>
    <mergeCell ref="B9:I9"/>
    <mergeCell ref="B10:AF10"/>
    <mergeCell ref="B21:AF21"/>
    <mergeCell ref="B23:AF23"/>
    <mergeCell ref="B25:AF25"/>
    <mergeCell ref="B28:M30"/>
    <mergeCell ref="N28:Y28"/>
    <mergeCell ref="Z28:AE29"/>
    <mergeCell ref="N29:S29"/>
    <mergeCell ref="T29:Y29"/>
    <mergeCell ref="N30:P30"/>
    <mergeCell ref="Q30:S30"/>
    <mergeCell ref="AC31:AE31"/>
    <mergeCell ref="B32:M32"/>
    <mergeCell ref="N32:P32"/>
    <mergeCell ref="Q32:S32"/>
    <mergeCell ref="T32:V32"/>
    <mergeCell ref="W32:Y32"/>
    <mergeCell ref="Z32:AB32"/>
    <mergeCell ref="AC32:AE32"/>
    <mergeCell ref="T30:V30"/>
    <mergeCell ref="W30:Y30"/>
    <mergeCell ref="Z30:AB30"/>
    <mergeCell ref="AC30:AE30"/>
    <mergeCell ref="B31:M31"/>
    <mergeCell ref="N31:P31"/>
    <mergeCell ref="Q31:S31"/>
    <mergeCell ref="T31:V31"/>
    <mergeCell ref="W31:Y31"/>
    <mergeCell ref="Z31:AB31"/>
    <mergeCell ref="AC33:AE33"/>
    <mergeCell ref="B34:AF34"/>
    <mergeCell ref="B37:AF37"/>
    <mergeCell ref="A40:AF40"/>
    <mergeCell ref="A44:H44"/>
    <mergeCell ref="A49:H49"/>
    <mergeCell ref="B33:M33"/>
    <mergeCell ref="N33:P33"/>
    <mergeCell ref="Q33:S33"/>
    <mergeCell ref="T33:V33"/>
    <mergeCell ref="W33:Y33"/>
    <mergeCell ref="Z33:AB33"/>
    <mergeCell ref="A53:H53"/>
    <mergeCell ref="A58:H58"/>
    <mergeCell ref="A62:H62"/>
    <mergeCell ref="A65:AF65"/>
    <mergeCell ref="A66:D66"/>
    <mergeCell ref="E66:P66"/>
    <mergeCell ref="Q66:T66"/>
    <mergeCell ref="U66:W66"/>
    <mergeCell ref="X66:AF66"/>
    <mergeCell ref="A67:D67"/>
    <mergeCell ref="E67:P67"/>
    <mergeCell ref="Q67:T67"/>
    <mergeCell ref="U67:W67"/>
    <mergeCell ref="X67:AF67"/>
    <mergeCell ref="A68:D68"/>
    <mergeCell ref="E68:P68"/>
    <mergeCell ref="Q68:T68"/>
    <mergeCell ref="U68:W68"/>
    <mergeCell ref="X68:AF68"/>
    <mergeCell ref="A69:D70"/>
    <mergeCell ref="E69:P69"/>
    <mergeCell ref="Q69:T69"/>
    <mergeCell ref="U69:W69"/>
    <mergeCell ref="X69:AF69"/>
    <mergeCell ref="E70:P70"/>
    <mergeCell ref="Q70:T70"/>
    <mergeCell ref="U70:W70"/>
    <mergeCell ref="X70:AF70"/>
    <mergeCell ref="A71:D71"/>
    <mergeCell ref="E71:P71"/>
    <mergeCell ref="Q71:T71"/>
    <mergeCell ref="U71:W71"/>
    <mergeCell ref="X71:AF71"/>
    <mergeCell ref="A72:D72"/>
    <mergeCell ref="E72:P72"/>
    <mergeCell ref="Q72:T72"/>
    <mergeCell ref="U72:W72"/>
    <mergeCell ref="X72:AF72"/>
    <mergeCell ref="A73:D74"/>
    <mergeCell ref="E73:P73"/>
    <mergeCell ref="Q73:T73"/>
    <mergeCell ref="U73:W73"/>
    <mergeCell ref="X73:AF73"/>
    <mergeCell ref="E74:P74"/>
    <mergeCell ref="Q74:T74"/>
    <mergeCell ref="U74:W74"/>
    <mergeCell ref="X74:AF74"/>
    <mergeCell ref="A75:D75"/>
    <mergeCell ref="E75:P75"/>
    <mergeCell ref="Q75:T75"/>
    <mergeCell ref="U75:W75"/>
    <mergeCell ref="X75:AF75"/>
    <mergeCell ref="A76:D76"/>
    <mergeCell ref="E76:P76"/>
    <mergeCell ref="Q76:T76"/>
    <mergeCell ref="U76:W76"/>
    <mergeCell ref="X76:AF76"/>
    <mergeCell ref="A77:D77"/>
    <mergeCell ref="E77:P77"/>
    <mergeCell ref="Q77:T77"/>
    <mergeCell ref="U77:W77"/>
    <mergeCell ref="X77:AF77"/>
    <mergeCell ref="A78:D78"/>
    <mergeCell ref="E78:P78"/>
    <mergeCell ref="Q78:T78"/>
    <mergeCell ref="U78:W78"/>
    <mergeCell ref="X78:AF78"/>
    <mergeCell ref="A79:D79"/>
    <mergeCell ref="E79:P79"/>
    <mergeCell ref="Q79:T79"/>
    <mergeCell ref="U79:W79"/>
    <mergeCell ref="X79:AF79"/>
    <mergeCell ref="A80:D80"/>
    <mergeCell ref="E80:P80"/>
    <mergeCell ref="Q80:T80"/>
    <mergeCell ref="U80:W80"/>
    <mergeCell ref="X80:AF80"/>
    <mergeCell ref="A83:D83"/>
    <mergeCell ref="E83:P83"/>
    <mergeCell ref="Q83:T83"/>
    <mergeCell ref="U83:W83"/>
    <mergeCell ref="X83:AF83"/>
    <mergeCell ref="A84:AF84"/>
    <mergeCell ref="A81:D81"/>
    <mergeCell ref="E81:P81"/>
    <mergeCell ref="Q81:T81"/>
    <mergeCell ref="U81:W81"/>
    <mergeCell ref="X81:AF81"/>
    <mergeCell ref="A82:D82"/>
    <mergeCell ref="E82:P82"/>
    <mergeCell ref="Q82:T82"/>
    <mergeCell ref="U82:W82"/>
    <mergeCell ref="X82:AF82"/>
    <mergeCell ref="T95:Y95"/>
    <mergeCell ref="A85:AF85"/>
    <mergeCell ref="A86:AF86"/>
    <mergeCell ref="A87:AF87"/>
    <mergeCell ref="A88:AF88"/>
    <mergeCell ref="A89:AF89"/>
    <mergeCell ref="B92:M93"/>
    <mergeCell ref="N92:S92"/>
    <mergeCell ref="T92:Y92"/>
    <mergeCell ref="N93:S93"/>
    <mergeCell ref="T93:Y93"/>
    <mergeCell ref="AL37:BM37"/>
    <mergeCell ref="AL107:AZ108"/>
    <mergeCell ref="B110:AF110"/>
    <mergeCell ref="B111:AF111"/>
    <mergeCell ref="B112:AF112"/>
    <mergeCell ref="B113:AF113"/>
    <mergeCell ref="B114:AF114"/>
    <mergeCell ref="G102:O102"/>
    <mergeCell ref="A104:AF104"/>
    <mergeCell ref="B106:AF106"/>
    <mergeCell ref="B107:AF107"/>
    <mergeCell ref="B108:AF108"/>
    <mergeCell ref="B109:AF109"/>
    <mergeCell ref="B96:M96"/>
    <mergeCell ref="N96:S96"/>
    <mergeCell ref="T96:Y96"/>
    <mergeCell ref="B97:AF97"/>
    <mergeCell ref="A99:AF99"/>
    <mergeCell ref="B101:AF101"/>
    <mergeCell ref="B94:M94"/>
    <mergeCell ref="N94:S94"/>
    <mergeCell ref="T94:Y94"/>
    <mergeCell ref="B95:M95"/>
    <mergeCell ref="N95:S95"/>
  </mergeCells>
  <hyperlinks>
    <hyperlink ref="A2" location="TOC!A1" display="Return to TOC" xr:uid="{AD5E77A9-C5A3-4EC1-A117-C5C0CCBC8023}"/>
    <hyperlink ref="G102:O102" location="R_HVAC_AC_WKST!A1" display="R_HVAC_AC_WKST" xr:uid="{C6DB1ECF-577C-49B8-9E78-A92532DFF993}"/>
  </hyperlinks>
  <pageMargins left="0.7" right="0.7" top="0.75" bottom="0.75" header="0.3" footer="0.3"/>
  <ignoredErrors>
    <ignoredError sqref="AF44:AF62" numberStoredAsText="1"/>
  </ignoredErrors>
  <drawing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94749-94A6-4EC7-8DB2-6C5AD1841F0E}">
  <sheetPr>
    <tabColor theme="7" tint="0.79998168889431442"/>
  </sheetPr>
  <dimension ref="A1:CV67"/>
  <sheetViews>
    <sheetView showGridLines="0" workbookViewId="0"/>
  </sheetViews>
  <sheetFormatPr defaultColWidth="9.140625" defaultRowHeight="15" customHeight="1" x14ac:dyDescent="0.25"/>
  <cols>
    <col min="1" max="1" width="2.7109375" customWidth="1"/>
    <col min="2" max="2" width="45.28515625" customWidth="1"/>
    <col min="3" max="3" width="40.42578125" bestFit="1" customWidth="1"/>
    <col min="4" max="4" width="15.7109375" customWidth="1"/>
    <col min="5" max="5" width="21.85546875" customWidth="1"/>
    <col min="6" max="8" width="15.7109375" customWidth="1"/>
    <col min="9" max="9" width="22.42578125" bestFit="1" customWidth="1"/>
    <col min="10" max="10" width="15.7109375" customWidth="1"/>
    <col min="11" max="11" width="13.28515625" bestFit="1" customWidth="1"/>
    <col min="12" max="12" width="15.7109375" style="227" customWidth="1"/>
    <col min="13" max="13" width="10.28515625" style="227" bestFit="1" customWidth="1"/>
    <col min="14" max="100" width="9.140625" style="227"/>
  </cols>
  <sheetData>
    <row r="1" spans="1:15" ht="18.75" x14ac:dyDescent="0.25">
      <c r="A1" s="715" t="s">
        <v>6346</v>
      </c>
      <c r="B1" s="715"/>
      <c r="C1" s="934"/>
      <c r="D1" s="715"/>
      <c r="E1" s="715"/>
      <c r="F1" s="715"/>
      <c r="G1" s="715"/>
      <c r="H1" s="715"/>
      <c r="I1" s="715"/>
      <c r="J1" s="715"/>
      <c r="K1" s="715"/>
      <c r="L1" s="934"/>
      <c r="M1" s="934"/>
      <c r="N1" s="934"/>
      <c r="O1" s="934"/>
    </row>
    <row r="2" spans="1:15" ht="18.75" x14ac:dyDescent="0.25">
      <c r="A2" s="376"/>
      <c r="B2" s="655" t="s">
        <v>1702</v>
      </c>
      <c r="C2" s="284"/>
      <c r="D2" s="284"/>
      <c r="E2" s="284"/>
      <c r="F2" s="284"/>
      <c r="G2" s="284"/>
      <c r="H2" s="284"/>
      <c r="J2" s="338"/>
      <c r="L2" s="423"/>
    </row>
    <row r="3" spans="1:15" x14ac:dyDescent="0.25">
      <c r="B3" s="331" t="s">
        <v>1435</v>
      </c>
      <c r="E3" s="331" t="s">
        <v>1284</v>
      </c>
      <c r="I3" s="2029" t="s">
        <v>1424</v>
      </c>
      <c r="J3" s="2029"/>
      <c r="M3" s="535"/>
    </row>
    <row r="4" spans="1:15" x14ac:dyDescent="0.25">
      <c r="B4" s="331"/>
      <c r="E4" s="331"/>
      <c r="I4" s="639"/>
      <c r="J4" s="639"/>
      <c r="M4" s="535"/>
    </row>
    <row r="5" spans="1:15" x14ac:dyDescent="0.25">
      <c r="B5" s="625" t="s">
        <v>3733</v>
      </c>
      <c r="C5" s="1070" t="s">
        <v>3577</v>
      </c>
      <c r="D5" s="459" t="s">
        <v>3727</v>
      </c>
      <c r="J5" s="227"/>
    </row>
    <row r="6" spans="1:15" x14ac:dyDescent="0.25">
      <c r="B6" s="625" t="s">
        <v>3634</v>
      </c>
      <c r="C6" s="1070" t="s">
        <v>3635</v>
      </c>
      <c r="D6" s="459" t="s">
        <v>3636</v>
      </c>
      <c r="F6" s="227"/>
    </row>
    <row r="7" spans="1:15" x14ac:dyDescent="0.25">
      <c r="B7" s="415" t="s">
        <v>4645</v>
      </c>
      <c r="C7" s="1070" t="s">
        <v>5767</v>
      </c>
      <c r="E7" s="530"/>
      <c r="F7" s="738"/>
      <c r="G7" s="739"/>
      <c r="I7" s="330" t="s">
        <v>1283</v>
      </c>
      <c r="J7" s="61">
        <f>INDEX($G$39:$I$51,MATCH($C$7,$B$39:$B$51,0),MATCH(LEFT(I7,LEN(I7)-1),$G$38:$I$38,0))</f>
        <v>0.27</v>
      </c>
    </row>
    <row r="8" spans="1:15" x14ac:dyDescent="0.25">
      <c r="B8" s="625" t="s">
        <v>5783</v>
      </c>
      <c r="C8" s="1076">
        <v>60000</v>
      </c>
      <c r="D8" s="589"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Size",IF(AND($C$7="Ductless (≥28,000 Btu/h)",OR($C$8&gt;64999,$C$8&lt;28000)),"Check AC Size",IF(AND($C$7="Ductless (&lt;28,000 Btu/h)",OR($C$8&gt;27999,$C$8&lt;8000)),"Check AC Size",IF(AND($C$7="Central AC Split-System (&lt;45,000 Btu/h)",$C$8&gt;44999),"Check AC Size",IF(AND($C$7="Central AC Split-System (45,000-64,999 Btu/h)",OR($C$8&gt;64999,$C$8&lt;45000)),"Check AC Size",IF(AND($C$7="Central AC Single-Package (&lt;65,000 Btu/h)",$C$8&gt;64999),"Check AC Size","")))))))))))))</f>
        <v/>
      </c>
      <c r="E8" s="530" t="str">
        <f>"SEER(2)/CEER_"&amp;IF(OR($C$5="Yes",$C$5="NA"),"EE_Min","EE_Base")</f>
        <v>SEER(2)/CEER_EE_Min</v>
      </c>
      <c r="F8" s="594">
        <f>INDEX($C$39:$F$51,MATCH($C$7,$B$39:$B$51,0),MATCH($E8,$C$38:$F$38,0))</f>
        <v>15.2</v>
      </c>
      <c r="G8" s="33" t="str">
        <f>IF(C10&gt;=F8,"Pass","Fail")</f>
        <v>Pass</v>
      </c>
      <c r="I8" s="330" t="s">
        <v>1282</v>
      </c>
      <c r="J8" s="46">
        <f>INDEX($G$39:$I$51,MATCH($C$7,$B$39:$B$51,0),MATCH(LEFT(I8,LEN(I8)-1),$G$38:$I$38,0))</f>
        <v>1884</v>
      </c>
    </row>
    <row r="9" spans="1:15" ht="18" x14ac:dyDescent="0.25">
      <c r="B9" s="625" t="s">
        <v>5768</v>
      </c>
      <c r="C9" s="1119">
        <v>14</v>
      </c>
      <c r="E9" s="643" t="s">
        <v>5784</v>
      </c>
      <c r="F9" s="594">
        <f>IF($C$7="Ductless (&lt;28,000 Btu/h)",INDEX($C$17:$D$19,MATCH($C$8,$A$17:$A$19,1),2),IF($C$7="Ductless (≥28,000 Btu/h)",INDEX($C$20:$D$21,MATCH($C$8,$A$20:$A$21,1),2),IF($C$7="Room AC w/ recycling (&lt; 8,000 Btu/h)",$D$28,IF($C$7="Room AC w/o recycling (&lt; 8,000 Btu/h)",$D$29,IF($C$7="Room AC w/ recycling (8,000-13,999 Btu/h)",$D$30,IF($C$7="Room AC w/o recycling (8,000-13,999 Btu/h)",$D$31,IF($C$7="Room AC w/ recycling (14,000-19,999 Btu/h)",$D$32,IF($C$7="Room AC w/o recycling (14,000-19,999 Btu/h)",$D$33,IF($C$7="Room AC w/ recycling (20,000-27,999 Btu/h)",$D$34,IF($C$7="Room AC w/o recycling (20,000-27,999 Btu/h)",$D$35,IF($C$7="Central AC Split-System (&lt;45,000 Btu/h)",$D$25,IF($C$7="Central AC Split-System (45,000-64,999 Btu/h)",$D$26,IF($C$7="Central AC Single-Package (&lt;65,000 Btu/h)",$D$27,"")))))))))))))</f>
        <v>11.2</v>
      </c>
      <c r="I9" s="330" t="s">
        <v>2915</v>
      </c>
      <c r="J9" s="618">
        <f>INDEX($G$39:$I$51,MATCH($C$7,$B$39:$B$51,0),MATCH(LEFT(I9,LEN(I9)-1),$G$38:$I$38,0))</f>
        <v>1</v>
      </c>
      <c r="K9" s="386"/>
    </row>
    <row r="10" spans="1:15" ht="18" x14ac:dyDescent="0.25">
      <c r="B10" s="625" t="s">
        <v>5769</v>
      </c>
      <c r="C10" s="1120">
        <v>16</v>
      </c>
      <c r="E10" s="643" t="s">
        <v>5785</v>
      </c>
      <c r="F10" s="594">
        <f>IF($C$7="Ductless (&lt;28,000 Btu/h)",INDEX($C$17:$D$19,MATCH($C$8,$A$17:$A$19,1),1),IF($C$7="Ductless (≥28,000 Btu/h)",INDEX($C$20:$D$21,MATCH($C$8,$A$20:$A$21,1),1),IF($C$7="Room AC w/ recycling (&lt; 8,000 Btu/h)",$C$28,IF($C$7="Room AC w/o recycling (&lt; 8,000 Btu/h)",$C$29,IF($C$7="Room AC w/ recycling (8,000-13,999 Btu/h)",$C$30,IF($C$7="Room AC w/o recycling (8,000-13,999 Btu/h)",$C$31,IF($C$7="Room AC w/ recycling (14,000-19,999 Btu/h)",$C$32,IF($C$7="Room AC w/o recycling (14,000-19,999 Btu/h)",$C$33,IF($C$7="Room AC w/ recycling (20,000-27,999 Btu/h)",$C$34,IF($C$7="Room AC w/o recycling (20,000-27,999 Btu/h)",$C$35,IF($C$7="Central AC Split-System (&lt;45,000 Btu/h)",$C$25,IF($C$7="Central AC Split-System (45,000-64,999 Btu/h)",$C$26,IF($C$7="Central AC Single-Package (&lt;65,000 Btu/h)",$C$27,"")))))))))))))</f>
        <v>13.8</v>
      </c>
      <c r="I10" s="22" t="s">
        <v>2916</v>
      </c>
      <c r="J10" s="935">
        <f>IF(AND($G$8="Pass",$D$8=""),ROUND($C$8*(1/$F9-1/$C9)/1000*$J7*$J9,3),0)</f>
        <v>0.28899999999999998</v>
      </c>
      <c r="K10" s="423"/>
    </row>
    <row r="11" spans="1:15" ht="18" x14ac:dyDescent="0.25">
      <c r="B11" s="2028" t="s">
        <v>5770</v>
      </c>
      <c r="C11" s="2028"/>
      <c r="D11" s="2028"/>
      <c r="E11" s="643" t="s">
        <v>3554</v>
      </c>
      <c r="F11" s="594">
        <f>IF($C$7="Room AC w/ recycling (&lt; 8,000 Btu/h)",$F$28,IF($C$7="Room AC w/ recycling (8,000-13,999 Btu/h)",$F$30,IF($C$7="Room AC w/ recycling (14,000-19,999 Btu/h)",$F$32,IF($C$7="Room AC w/ recycling (20,000-27,999 Btu/h)",$F$34,IF(AND($C$7="Central AC Split-System (&lt;45,000 Btu/h)",$C$6="2006 and Later"),$F$25,IF(AND($C$7="Central AC Split-System (45,000-64,999 Btu/h)",$C$6="2006 and Later"),$F$26,IF(AND($C$7="Central AC Single-Package (&lt;65,000 Btu/h)",$C$6="2006 and Later"),$F$27,IF(AND($C$7="Central AC Split-System (&lt;45,000 Btu/h)",$C$6="Pre-2006"),$H$25,IF(AND($C$7="Central AC Split-System (45,000-64,999 Btu/h)",$C$6="Pre-2006"),$H$26,IF(AND($C$7="Central AC Single-Package (&lt;65,000 Btu/h)",$C$6="Pre-2006"),$H$27,""))))))))))</f>
        <v>10</v>
      </c>
      <c r="G11" s="383" t="s">
        <v>3486</v>
      </c>
      <c r="I11" s="22" t="s">
        <v>3487</v>
      </c>
      <c r="J11" s="935">
        <f>IF(AND(OR($C$7="Central AC Split-System (&lt;45,000 Btu/h)",$C$7="Central AC Split-System (45,000-64,999 Btu/h)",$C$7="Central AC Single-Package (&lt;65,000 Btu/h)",$C$7="Room AC w/ recycling (&lt; 8,000 Btu/h)",$C$7="Room AC w/ recycling (8,000-13,999 Btu/h)",$C$7="Room AC w/ recycling (14,000-19,999 Btu/h)",$C$7="Room AC w/ recycling (20,000-27,999 Btu/h)"),$G$8="Pass",$D$8=""),ROUND($C$8*($F$14*1/$F11-1/$C9)/1000*$J7*$J9,3),0)</f>
        <v>0.51800000000000002</v>
      </c>
      <c r="K11" s="459" t="s">
        <v>3488</v>
      </c>
      <c r="L11" s="459"/>
    </row>
    <row r="12" spans="1:15" ht="18" x14ac:dyDescent="0.25">
      <c r="B12" s="2028"/>
      <c r="C12" s="2028"/>
      <c r="D12" s="2028"/>
      <c r="E12" s="643" t="s">
        <v>3729</v>
      </c>
      <c r="F12" s="594">
        <f>IF($C$7="Room AC w/ recycling (&lt; 8,000 Btu/h)",$E$28,IF($C$7="Room AC w/ recycling (8,000-13,999 Btu/h)",$E$30,IF($C$7="Room AC w/ recycling (14,000-19,999 Btu/h)",$E$32,IF($C$7="Room AC w/ recycling (20,000-27,999 Btu/h)",$E$34,IF(AND($C$7="Central AC Split-System (&lt;45,000 Btu/h)",$C$6="2006 and Later"),$E$25,IF(AND($C$7="Central AC Split-System (45,000-64,999 Btu/h)",$C$6="2006 and Later"),$E$26,IF(AND($C$7="Central AC Single-Package (&lt;65,000 Btu/h)",$C$6="2006 and Later"),$E$27,IF(AND($C$7="Central AC Split-System (&lt;45,000 Btu/h)",$C$6="Pre-2006"),$G$25,IF(AND($C$7="Central AC Split-System (45,000-64,999 Btu/h)",$C$6="Pre-2006"),$G$26,IF(AND($C$7="Central AC Single-Package (&lt;65,000 Btu/h)",$C$6="Pre-2006"),$G$27,""))))))))))</f>
        <v>13</v>
      </c>
      <c r="G12" s="383" t="s">
        <v>3486</v>
      </c>
      <c r="I12" s="22" t="s">
        <v>1281</v>
      </c>
      <c r="J12" s="609">
        <f>IF(AND($G$8="Pass",$D$8=""),ROUND($C$8*(1/$F10-1/$C10)/1000*$J8*$J9,2),0)</f>
        <v>1126.3</v>
      </c>
      <c r="K12" s="227"/>
    </row>
    <row r="13" spans="1:15" ht="18" x14ac:dyDescent="0.25">
      <c r="B13" s="227"/>
      <c r="C13" s="227"/>
      <c r="D13" s="227"/>
      <c r="E13" s="643" t="s">
        <v>5786</v>
      </c>
      <c r="F13" s="871">
        <f>INDEX($K$39:$L$51,MATCH($C$7,$B$39:$B$51,0),MATCH($E13,$K$38:$L$38,0))</f>
        <v>1.034</v>
      </c>
      <c r="G13" s="227"/>
      <c r="H13" s="227"/>
      <c r="I13" s="22" t="s">
        <v>3489</v>
      </c>
      <c r="J13" s="609">
        <f>IF(AND(OR($C$7="Central AC Split-System (&lt;45,000 Btu/h)",$C$7="Central AC Split-System (45,000-64,999 Btu/h)",$C$7="Central AC Single-Package (&lt;65,000 Btu/h)",$C$7="Room AC w/ recycling (&lt; 8,000 Btu/h)",$C$7="Room AC w/ recycling (8,000-13,999 Btu/h)",$C$7="Room AC w/ recycling (14,000-19,999 Btu/h)",$C$7="Room AC w/ recycling (20,000-27,999 Btu/h)"),$G$8="Pass",$D$8=""),ROUND($C$8*($F$13*1/$F12-1/$C10)/1000*$J8*$J9,2),0)</f>
        <v>1926.03</v>
      </c>
      <c r="K13" s="459" t="s">
        <v>3488</v>
      </c>
      <c r="L13" s="459"/>
    </row>
    <row r="14" spans="1:15" ht="18" x14ac:dyDescent="0.25">
      <c r="B14" s="590" t="s">
        <v>3490</v>
      </c>
      <c r="C14" s="227"/>
      <c r="D14" s="227"/>
      <c r="E14" s="643" t="s">
        <v>5787</v>
      </c>
      <c r="F14" s="871">
        <f>INDEX($K$39:$L$51,MATCH($C$7,$B$39:$B$51,0),MATCH($E14,$K$38:$L$38,0))</f>
        <v>1.034</v>
      </c>
      <c r="G14" s="692"/>
      <c r="H14" s="227"/>
      <c r="I14" s="625" t="s">
        <v>5771</v>
      </c>
      <c r="J14" s="609">
        <f>ROUND(J12*INDEX($J$39:$J$51,MATCH($C$7,$B$39:$B$51,0),1),2)</f>
        <v>16894.5</v>
      </c>
      <c r="K14" s="584"/>
    </row>
    <row r="15" spans="1:15" x14ac:dyDescent="0.25">
      <c r="A15" s="584"/>
      <c r="B15" s="227"/>
      <c r="C15" s="2086" t="s">
        <v>3491</v>
      </c>
      <c r="D15" s="2087"/>
      <c r="E15" s="227"/>
      <c r="F15" s="227"/>
      <c r="G15" s="692"/>
      <c r="H15" s="227"/>
      <c r="I15" s="625" t="s">
        <v>5772</v>
      </c>
      <c r="J15" s="609">
        <f>IF($C$7="Central AC Split-System (&lt;45,000 Btu/h)",ROUND(J13*$J$49/3+J12*($J$49*2/3),2),IF($C$7="Central AC Split-System (45,000-64,999 Btu/h)",ROUND(J13*$J$50/3+J12*($J$50*2/3),2),IF($C$7="Central AC Single-Package (&lt;65,000 Btu/h)",ROUND(J13*$J$51/3+J12*($J$51*2/3),2),IF($C$7="Room AC w/ recycling (&lt; 8,000 Btu/h)",ROUND(J13*$J$41/3+J12*($J$41*2/3),2),IF($C$7="Room AC w/ recycling (8,000-13,999 Btu/h)",ROUND(J13*$J$43/3+J12*($J$43*2/3),2),IF($C$7="Room AC w/ recycling (14,000-19,999 Btu/h)",ROUND(J13*$J$45/3+J12*($J$45*2/3),2),IF($C$7="Room AC w/ recycling (20,000-27,999 Btu/h)",ROUND(J13*$J$47/3+J12*($J$47*2/3),2),0)))))))</f>
        <v>20893.150000000001</v>
      </c>
      <c r="K15" s="459" t="s">
        <v>3486</v>
      </c>
      <c r="L15" s="459"/>
    </row>
    <row r="16" spans="1:15" ht="18" x14ac:dyDescent="0.25">
      <c r="B16" s="591" t="s">
        <v>3492</v>
      </c>
      <c r="C16" s="592" t="s">
        <v>5788</v>
      </c>
      <c r="D16" s="592" t="s">
        <v>3728</v>
      </c>
      <c r="E16" s="423"/>
      <c r="F16" s="227"/>
      <c r="G16" s="227"/>
      <c r="H16" s="227"/>
      <c r="I16" s="227"/>
      <c r="J16" s="227"/>
      <c r="K16" s="227"/>
    </row>
    <row r="17" spans="1:100" x14ac:dyDescent="0.25">
      <c r="A17" s="531">
        <v>8000</v>
      </c>
      <c r="B17" s="593" t="s">
        <v>2908</v>
      </c>
      <c r="C17" s="937">
        <v>10.9</v>
      </c>
      <c r="D17" s="938">
        <v>11</v>
      </c>
      <c r="E17" s="227"/>
      <c r="F17" s="227"/>
      <c r="G17" s="227"/>
      <c r="H17" s="227"/>
      <c r="I17" s="227"/>
      <c r="J17" s="227"/>
      <c r="K17" s="227"/>
    </row>
    <row r="18" spans="1:100" x14ac:dyDescent="0.25">
      <c r="A18" s="531">
        <v>14000</v>
      </c>
      <c r="B18" s="593" t="s">
        <v>2909</v>
      </c>
      <c r="C18" s="937">
        <v>10.7</v>
      </c>
      <c r="D18" s="938">
        <v>10.8</v>
      </c>
      <c r="E18" s="227"/>
      <c r="F18" s="227"/>
      <c r="G18" s="227"/>
      <c r="H18" s="227"/>
      <c r="I18" s="227"/>
      <c r="J18" s="227"/>
      <c r="K18" s="227"/>
    </row>
    <row r="19" spans="1:100" x14ac:dyDescent="0.25">
      <c r="A19" s="531">
        <v>20000</v>
      </c>
      <c r="B19" s="593" t="s">
        <v>5773</v>
      </c>
      <c r="C19" s="937">
        <v>9.4</v>
      </c>
      <c r="D19" s="938">
        <v>9.5</v>
      </c>
      <c r="E19" s="227"/>
      <c r="F19" s="227"/>
      <c r="G19" s="227"/>
      <c r="H19" s="227"/>
      <c r="I19" s="227"/>
      <c r="J19" s="227"/>
      <c r="K19" s="227"/>
    </row>
    <row r="20" spans="1:100" s="692" customFormat="1" x14ac:dyDescent="0.25">
      <c r="A20" s="531">
        <v>28000</v>
      </c>
      <c r="B20" s="593" t="s">
        <v>5774</v>
      </c>
      <c r="C20" s="939">
        <v>15</v>
      </c>
      <c r="D20" s="938">
        <v>12.2</v>
      </c>
      <c r="E20" s="227"/>
      <c r="F20" s="227"/>
      <c r="G20" s="227"/>
      <c r="H20" s="227"/>
      <c r="I20" s="227"/>
      <c r="J20" s="227"/>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row>
    <row r="21" spans="1:100" s="692" customFormat="1" x14ac:dyDescent="0.25">
      <c r="A21" s="531">
        <v>45000</v>
      </c>
      <c r="B21" s="593" t="s">
        <v>5775</v>
      </c>
      <c r="C21" s="939">
        <v>14.3</v>
      </c>
      <c r="D21" s="938">
        <v>11.6</v>
      </c>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row>
    <row r="22" spans="1:100" s="692" customFormat="1" x14ac:dyDescent="0.25">
      <c r="A22" s="531"/>
      <c r="B22" s="595"/>
      <c r="C22" s="588"/>
      <c r="D22" s="588"/>
      <c r="E22" s="3005" t="s">
        <v>3635</v>
      </c>
      <c r="F22" s="3005"/>
      <c r="G22" s="3005" t="s">
        <v>3637</v>
      </c>
      <c r="H22" s="3005"/>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row>
    <row r="23" spans="1:100" s="692" customFormat="1" x14ac:dyDescent="0.25">
      <c r="A23" s="531"/>
      <c r="B23" s="596"/>
      <c r="C23" s="2084" t="s">
        <v>3497</v>
      </c>
      <c r="D23" s="2085"/>
      <c r="E23" s="2086" t="s">
        <v>3493</v>
      </c>
      <c r="F23" s="2087"/>
      <c r="G23" s="2086" t="s">
        <v>3493</v>
      </c>
      <c r="H23" s="2087"/>
      <c r="I23" s="227"/>
      <c r="J23" s="227"/>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row>
    <row r="24" spans="1:100" s="692" customFormat="1" ht="18" x14ac:dyDescent="0.25">
      <c r="A24" s="531">
        <v>65000</v>
      </c>
      <c r="B24" s="591" t="s">
        <v>3494</v>
      </c>
      <c r="C24" s="592" t="s">
        <v>5789</v>
      </c>
      <c r="D24" s="592" t="s">
        <v>5790</v>
      </c>
      <c r="E24" s="592" t="s">
        <v>3729</v>
      </c>
      <c r="F24" s="592" t="s">
        <v>3554</v>
      </c>
      <c r="G24" s="592" t="s">
        <v>3729</v>
      </c>
      <c r="H24" s="592" t="s">
        <v>3554</v>
      </c>
      <c r="I24" s="227"/>
      <c r="J24" s="227"/>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row>
    <row r="25" spans="1:100" s="692" customFormat="1" x14ac:dyDescent="0.25">
      <c r="A25" s="531"/>
      <c r="B25" s="593" t="s">
        <v>5776</v>
      </c>
      <c r="C25" s="940">
        <v>14.3</v>
      </c>
      <c r="D25" s="941">
        <v>11.7</v>
      </c>
      <c r="E25" s="939">
        <v>13</v>
      </c>
      <c r="F25" s="938">
        <v>10</v>
      </c>
      <c r="G25" s="939">
        <v>11</v>
      </c>
      <c r="H25" s="938">
        <v>9.9</v>
      </c>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row>
    <row r="26" spans="1:100" s="692" customFormat="1" x14ac:dyDescent="0.25">
      <c r="A26" s="531"/>
      <c r="B26" s="593" t="s">
        <v>5767</v>
      </c>
      <c r="C26" s="940">
        <v>13.8</v>
      </c>
      <c r="D26" s="941">
        <v>11.2</v>
      </c>
      <c r="E26" s="939">
        <v>13</v>
      </c>
      <c r="F26" s="938">
        <v>10</v>
      </c>
      <c r="G26" s="939">
        <v>11</v>
      </c>
      <c r="H26" s="938">
        <v>9.9</v>
      </c>
      <c r="I26" s="227"/>
      <c r="J26" s="227"/>
      <c r="K26" s="227"/>
      <c r="L26" s="227"/>
      <c r="M26" s="227"/>
      <c r="N26" s="227"/>
      <c r="O26" s="227"/>
      <c r="P26" s="227"/>
      <c r="Q26" s="227"/>
      <c r="R26" s="227"/>
      <c r="S26" s="227"/>
      <c r="T26" s="227"/>
      <c r="U26" s="227"/>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row>
    <row r="27" spans="1:100" s="692" customFormat="1" x14ac:dyDescent="0.25">
      <c r="A27" s="531"/>
      <c r="B27" s="593" t="s">
        <v>5777</v>
      </c>
      <c r="C27" s="940">
        <v>13.4</v>
      </c>
      <c r="D27" s="941">
        <v>10.6</v>
      </c>
      <c r="E27" s="939">
        <v>13</v>
      </c>
      <c r="F27" s="938">
        <v>10</v>
      </c>
      <c r="G27" s="939">
        <v>11</v>
      </c>
      <c r="H27" s="938">
        <v>9.9</v>
      </c>
      <c r="I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row>
    <row r="28" spans="1:100" s="692" customFormat="1" x14ac:dyDescent="0.25">
      <c r="A28" s="531"/>
      <c r="B28" s="593" t="s">
        <v>3587</v>
      </c>
      <c r="C28" s="937">
        <v>11</v>
      </c>
      <c r="D28" s="938">
        <v>11.1</v>
      </c>
      <c r="E28" s="937">
        <v>9.6</v>
      </c>
      <c r="F28" s="938">
        <v>9.6999999999999993</v>
      </c>
      <c r="G28" s="626"/>
      <c r="H28" s="626"/>
      <c r="I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row>
    <row r="29" spans="1:100" s="692" customFormat="1" x14ac:dyDescent="0.25">
      <c r="A29" s="531"/>
      <c r="B29" s="593" t="s">
        <v>3590</v>
      </c>
      <c r="C29" s="937">
        <v>11</v>
      </c>
      <c r="D29" s="938">
        <v>11.1</v>
      </c>
      <c r="E29" s="617"/>
      <c r="F29" s="588"/>
      <c r="G29" s="626"/>
      <c r="H29" s="626"/>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row>
    <row r="30" spans="1:100" s="692" customFormat="1" x14ac:dyDescent="0.25">
      <c r="A30" s="531"/>
      <c r="B30" s="593" t="s">
        <v>3495</v>
      </c>
      <c r="C30" s="937">
        <v>10.9</v>
      </c>
      <c r="D30" s="938">
        <v>11</v>
      </c>
      <c r="E30" s="937">
        <v>9.6999999999999993</v>
      </c>
      <c r="F30" s="938">
        <v>9.8000000000000007</v>
      </c>
      <c r="G30" s="227"/>
      <c r="H30" s="227"/>
      <c r="I30" s="227"/>
      <c r="J30" s="227"/>
      <c r="K30" s="227"/>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row>
    <row r="31" spans="1:100" s="692" customFormat="1" x14ac:dyDescent="0.25">
      <c r="A31" s="531"/>
      <c r="B31" s="593" t="s">
        <v>3483</v>
      </c>
      <c r="C31" s="937">
        <v>10.9</v>
      </c>
      <c r="D31" s="938">
        <v>11</v>
      </c>
      <c r="E31" s="598"/>
      <c r="F31" s="599"/>
      <c r="G31" s="227"/>
      <c r="H31" s="227"/>
      <c r="I31" s="227"/>
      <c r="J31" s="227"/>
      <c r="K31" s="227"/>
      <c r="L31" s="227"/>
      <c r="M31" s="227"/>
      <c r="N31" s="227"/>
      <c r="O31" s="227"/>
      <c r="P31" s="227"/>
      <c r="Q31" s="227"/>
      <c r="R31" s="227"/>
      <c r="S31" s="227"/>
      <c r="T31" s="227"/>
      <c r="U31" s="227"/>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row>
    <row r="32" spans="1:100" s="692" customFormat="1" x14ac:dyDescent="0.25">
      <c r="A32"/>
      <c r="B32" s="593" t="s">
        <v>3591</v>
      </c>
      <c r="C32" s="937">
        <v>10.7</v>
      </c>
      <c r="D32" s="938">
        <v>10.8</v>
      </c>
      <c r="E32" s="937">
        <v>9.6</v>
      </c>
      <c r="F32" s="938">
        <v>9.6999999999999993</v>
      </c>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row>
    <row r="33" spans="1:100" s="692" customFormat="1" x14ac:dyDescent="0.25">
      <c r="A33"/>
      <c r="B33" s="593" t="s">
        <v>3592</v>
      </c>
      <c r="C33" s="937">
        <v>10.7</v>
      </c>
      <c r="D33" s="938">
        <v>10.8</v>
      </c>
      <c r="E33" s="617"/>
      <c r="F33" s="588"/>
      <c r="G33" s="227"/>
      <c r="H33" s="227"/>
      <c r="I33" s="227"/>
      <c r="J33" s="227"/>
      <c r="K33" s="227"/>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row>
    <row r="34" spans="1:100" s="692" customFormat="1" x14ac:dyDescent="0.25">
      <c r="A34"/>
      <c r="B34" s="593" t="s">
        <v>3593</v>
      </c>
      <c r="C34" s="937">
        <v>9.4</v>
      </c>
      <c r="D34" s="938">
        <v>9.5</v>
      </c>
      <c r="E34" s="937">
        <v>8.4</v>
      </c>
      <c r="F34" s="938">
        <v>8.5</v>
      </c>
      <c r="G34" s="227"/>
      <c r="H34" s="227"/>
      <c r="I34" s="227"/>
      <c r="J34" s="227"/>
      <c r="K34" s="227"/>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row>
    <row r="35" spans="1:100" s="692" customFormat="1" x14ac:dyDescent="0.25">
      <c r="A35"/>
      <c r="B35" s="593" t="s">
        <v>3594</v>
      </c>
      <c r="C35" s="937">
        <v>9.4</v>
      </c>
      <c r="D35" s="938">
        <v>9.5</v>
      </c>
      <c r="E35" s="598"/>
      <c r="F35" s="599"/>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row>
    <row r="36" spans="1:100" x14ac:dyDescent="0.25">
      <c r="B36" s="227"/>
      <c r="C36" s="227"/>
      <c r="D36" s="227"/>
      <c r="E36" s="227"/>
      <c r="F36" s="227"/>
      <c r="G36" s="227"/>
      <c r="H36" s="227"/>
      <c r="I36" s="227"/>
      <c r="J36" s="227"/>
      <c r="K36" s="227"/>
    </row>
    <row r="37" spans="1:100" ht="15.75" x14ac:dyDescent="0.25">
      <c r="B37" s="597" t="s">
        <v>3496</v>
      </c>
      <c r="C37" s="227"/>
      <c r="D37" s="227"/>
      <c r="E37" s="227"/>
      <c r="F37" s="227"/>
      <c r="G37" s="227"/>
      <c r="H37" s="227"/>
      <c r="I37" s="227"/>
      <c r="J37" s="227"/>
      <c r="K37" s="227"/>
    </row>
    <row r="38" spans="1:100" ht="18" x14ac:dyDescent="0.35">
      <c r="B38" s="591" t="s">
        <v>2879</v>
      </c>
      <c r="C38" s="592" t="s">
        <v>5778</v>
      </c>
      <c r="D38" s="592" t="s">
        <v>3731</v>
      </c>
      <c r="E38" s="592" t="s">
        <v>5779</v>
      </c>
      <c r="F38" s="592" t="s">
        <v>3732</v>
      </c>
      <c r="G38" s="592" t="s">
        <v>257</v>
      </c>
      <c r="H38" s="592" t="s">
        <v>29</v>
      </c>
      <c r="I38" s="592" t="s">
        <v>42</v>
      </c>
      <c r="J38" s="592" t="s">
        <v>2724</v>
      </c>
      <c r="K38" s="936" t="s">
        <v>5786</v>
      </c>
      <c r="L38" s="936" t="s">
        <v>5787</v>
      </c>
    </row>
    <row r="39" spans="1:100" x14ac:dyDescent="0.25">
      <c r="B39" s="593" t="s">
        <v>5780</v>
      </c>
      <c r="C39" s="942">
        <v>16</v>
      </c>
      <c r="D39" s="618" t="s">
        <v>3577</v>
      </c>
      <c r="E39" s="942">
        <v>16</v>
      </c>
      <c r="F39" s="618" t="s">
        <v>3577</v>
      </c>
      <c r="G39" s="46">
        <v>2528</v>
      </c>
      <c r="H39" s="609">
        <v>0.36</v>
      </c>
      <c r="I39" s="619">
        <v>1</v>
      </c>
      <c r="J39" s="61">
        <v>15</v>
      </c>
      <c r="K39" s="935">
        <v>1</v>
      </c>
      <c r="L39" s="935">
        <v>1</v>
      </c>
    </row>
    <row r="40" spans="1:100" x14ac:dyDescent="0.25">
      <c r="B40" s="593" t="s">
        <v>5781</v>
      </c>
      <c r="C40" s="942">
        <v>16</v>
      </c>
      <c r="D40" s="618" t="s">
        <v>3577</v>
      </c>
      <c r="E40" s="942">
        <v>16</v>
      </c>
      <c r="F40" s="618" t="s">
        <v>3577</v>
      </c>
      <c r="G40" s="46">
        <v>1884</v>
      </c>
      <c r="H40" s="609">
        <v>0.27</v>
      </c>
      <c r="I40" s="619">
        <v>1</v>
      </c>
      <c r="J40" s="61">
        <v>15</v>
      </c>
      <c r="K40" s="935">
        <v>1</v>
      </c>
      <c r="L40" s="935">
        <v>1</v>
      </c>
    </row>
    <row r="41" spans="1:100" x14ac:dyDescent="0.25">
      <c r="B41" s="593" t="s">
        <v>3587</v>
      </c>
      <c r="C41" s="937">
        <v>11.5</v>
      </c>
      <c r="D41" s="618" t="s">
        <v>3577</v>
      </c>
      <c r="E41" s="937">
        <v>12.1</v>
      </c>
      <c r="F41" s="618" t="s">
        <v>3577</v>
      </c>
      <c r="G41" s="46">
        <v>2528</v>
      </c>
      <c r="H41" s="609">
        <v>0.36</v>
      </c>
      <c r="I41" s="619">
        <v>1</v>
      </c>
      <c r="J41" s="61">
        <v>9</v>
      </c>
      <c r="K41" s="935">
        <v>1</v>
      </c>
      <c r="L41" s="935">
        <v>1</v>
      </c>
    </row>
    <row r="42" spans="1:100" x14ac:dyDescent="0.25">
      <c r="B42" s="593" t="s">
        <v>3590</v>
      </c>
      <c r="C42" s="937">
        <v>11.5</v>
      </c>
      <c r="D42" s="618" t="s">
        <v>3577</v>
      </c>
      <c r="E42" s="937">
        <v>12.1</v>
      </c>
      <c r="F42" s="618" t="s">
        <v>3577</v>
      </c>
      <c r="G42" s="46">
        <v>2528</v>
      </c>
      <c r="H42" s="609">
        <v>0.36</v>
      </c>
      <c r="I42" s="619">
        <v>1</v>
      </c>
      <c r="J42" s="61">
        <v>9</v>
      </c>
      <c r="K42" s="935">
        <v>1</v>
      </c>
      <c r="L42" s="935">
        <v>1</v>
      </c>
    </row>
    <row r="43" spans="1:100" x14ac:dyDescent="0.25">
      <c r="B43" s="593" t="s">
        <v>3495</v>
      </c>
      <c r="C43" s="937">
        <v>11.4</v>
      </c>
      <c r="D43" s="618" t="s">
        <v>3577</v>
      </c>
      <c r="E43" s="937">
        <v>12</v>
      </c>
      <c r="F43" s="618" t="s">
        <v>3577</v>
      </c>
      <c r="G43" s="46">
        <v>2528</v>
      </c>
      <c r="H43" s="609">
        <v>0.36</v>
      </c>
      <c r="I43" s="619">
        <v>1</v>
      </c>
      <c r="J43" s="61">
        <v>9</v>
      </c>
      <c r="K43" s="935">
        <v>1</v>
      </c>
      <c r="L43" s="935">
        <v>1</v>
      </c>
    </row>
    <row r="44" spans="1:100" x14ac:dyDescent="0.25">
      <c r="B44" s="593" t="s">
        <v>3483</v>
      </c>
      <c r="C44" s="937">
        <v>11.4</v>
      </c>
      <c r="D44" s="618" t="s">
        <v>3577</v>
      </c>
      <c r="E44" s="937">
        <v>12</v>
      </c>
      <c r="F44" s="618" t="s">
        <v>3577</v>
      </c>
      <c r="G44" s="46">
        <v>2528</v>
      </c>
      <c r="H44" s="609">
        <v>0.36</v>
      </c>
      <c r="I44" s="619">
        <v>1</v>
      </c>
      <c r="J44" s="61">
        <v>9</v>
      </c>
      <c r="K44" s="935">
        <v>1</v>
      </c>
      <c r="L44" s="935">
        <v>1</v>
      </c>
    </row>
    <row r="45" spans="1:100" x14ac:dyDescent="0.25">
      <c r="B45" s="593" t="s">
        <v>3591</v>
      </c>
      <c r="C45" s="937">
        <v>11.2</v>
      </c>
      <c r="D45" s="618" t="s">
        <v>3577</v>
      </c>
      <c r="E45" s="937">
        <v>11.8</v>
      </c>
      <c r="F45" s="618" t="s">
        <v>3577</v>
      </c>
      <c r="G45" s="46">
        <v>2528</v>
      </c>
      <c r="H45" s="609">
        <v>0.36</v>
      </c>
      <c r="I45" s="619">
        <v>1</v>
      </c>
      <c r="J45" s="61">
        <v>9</v>
      </c>
      <c r="K45" s="935">
        <v>1</v>
      </c>
      <c r="L45" s="935">
        <v>1</v>
      </c>
    </row>
    <row r="46" spans="1:100" x14ac:dyDescent="0.25">
      <c r="B46" s="593" t="s">
        <v>3592</v>
      </c>
      <c r="C46" s="937">
        <v>11.2</v>
      </c>
      <c r="D46" s="618" t="s">
        <v>3577</v>
      </c>
      <c r="E46" s="937">
        <v>11.8</v>
      </c>
      <c r="F46" s="618" t="s">
        <v>3577</v>
      </c>
      <c r="G46" s="46">
        <v>2528</v>
      </c>
      <c r="H46" s="609">
        <v>0.36</v>
      </c>
      <c r="I46" s="619">
        <v>1</v>
      </c>
      <c r="J46" s="61">
        <v>9</v>
      </c>
      <c r="K46" s="935">
        <v>1</v>
      </c>
      <c r="L46" s="935">
        <v>1</v>
      </c>
    </row>
    <row r="47" spans="1:100" x14ac:dyDescent="0.25">
      <c r="B47" s="593" t="s">
        <v>3593</v>
      </c>
      <c r="C47" s="937">
        <v>9.8000000000000007</v>
      </c>
      <c r="D47" s="618" t="s">
        <v>3577</v>
      </c>
      <c r="E47" s="937">
        <v>10.3</v>
      </c>
      <c r="F47" s="618" t="s">
        <v>3577</v>
      </c>
      <c r="G47" s="46">
        <v>2528</v>
      </c>
      <c r="H47" s="609">
        <v>0.36</v>
      </c>
      <c r="I47" s="619">
        <v>1</v>
      </c>
      <c r="J47" s="61">
        <v>9</v>
      </c>
      <c r="K47" s="935">
        <v>1</v>
      </c>
      <c r="L47" s="935">
        <v>1</v>
      </c>
    </row>
    <row r="48" spans="1:100" x14ac:dyDescent="0.25">
      <c r="B48" s="593" t="s">
        <v>3594</v>
      </c>
      <c r="C48" s="937">
        <v>9.8000000000000007</v>
      </c>
      <c r="D48" s="618" t="s">
        <v>3577</v>
      </c>
      <c r="E48" s="937">
        <v>10.3</v>
      </c>
      <c r="F48" s="618" t="s">
        <v>3577</v>
      </c>
      <c r="G48" s="46">
        <v>2528</v>
      </c>
      <c r="H48" s="609">
        <v>0.36</v>
      </c>
      <c r="I48" s="619">
        <v>1</v>
      </c>
      <c r="J48" s="61">
        <v>9</v>
      </c>
      <c r="K48" s="935">
        <v>1</v>
      </c>
      <c r="L48" s="935">
        <v>1</v>
      </c>
    </row>
    <row r="49" spans="1:100" x14ac:dyDescent="0.25">
      <c r="B49" s="593" t="s">
        <v>5776</v>
      </c>
      <c r="C49" s="943">
        <v>15.2</v>
      </c>
      <c r="D49" s="618" t="s">
        <v>3577</v>
      </c>
      <c r="E49" s="943">
        <v>15.2</v>
      </c>
      <c r="F49" s="618" t="s">
        <v>3577</v>
      </c>
      <c r="G49" s="46">
        <v>1884</v>
      </c>
      <c r="H49" s="609">
        <v>0.27</v>
      </c>
      <c r="I49" s="619">
        <v>1</v>
      </c>
      <c r="J49" s="61">
        <v>15</v>
      </c>
      <c r="K49" s="935">
        <v>1.0489999999999999</v>
      </c>
      <c r="L49" s="935">
        <v>1.0429999999999999</v>
      </c>
    </row>
    <row r="50" spans="1:100" x14ac:dyDescent="0.25">
      <c r="B50" s="593" t="s">
        <v>5767</v>
      </c>
      <c r="C50" s="943">
        <v>15.2</v>
      </c>
      <c r="D50" s="618" t="s">
        <v>3577</v>
      </c>
      <c r="E50" s="943">
        <v>15.2</v>
      </c>
      <c r="F50" s="618" t="s">
        <v>3577</v>
      </c>
      <c r="G50" s="46">
        <v>1884</v>
      </c>
      <c r="H50" s="609">
        <v>0.27</v>
      </c>
      <c r="I50" s="619">
        <v>1</v>
      </c>
      <c r="J50" s="61">
        <v>15</v>
      </c>
      <c r="K50" s="935">
        <v>1.034</v>
      </c>
      <c r="L50" s="935">
        <v>1.034</v>
      </c>
    </row>
    <row r="51" spans="1:100" x14ac:dyDescent="0.25">
      <c r="B51" s="593" t="s">
        <v>5777</v>
      </c>
      <c r="C51" s="943">
        <v>15.2</v>
      </c>
      <c r="D51" s="618" t="s">
        <v>3577</v>
      </c>
      <c r="E51" s="943">
        <v>15.2</v>
      </c>
      <c r="F51" s="618" t="s">
        <v>3577</v>
      </c>
      <c r="G51" s="46">
        <v>1884</v>
      </c>
      <c r="H51" s="609">
        <v>0.27</v>
      </c>
      <c r="I51" s="619">
        <v>1</v>
      </c>
      <c r="J51" s="61">
        <v>15</v>
      </c>
      <c r="K51" s="935">
        <v>1.0529999999999999</v>
      </c>
      <c r="L51" s="935">
        <v>1.107</v>
      </c>
    </row>
    <row r="52" spans="1:100" x14ac:dyDescent="0.25">
      <c r="B52" s="227"/>
      <c r="C52" s="227"/>
      <c r="D52" s="227"/>
      <c r="E52" s="227"/>
      <c r="F52" s="227"/>
      <c r="G52" s="227"/>
      <c r="H52" s="227"/>
      <c r="I52" s="227"/>
      <c r="J52" s="227"/>
      <c r="K52" s="227"/>
    </row>
    <row r="53" spans="1:100" x14ac:dyDescent="0.25">
      <c r="B53" s="638" t="s">
        <v>3730</v>
      </c>
      <c r="C53" s="638"/>
      <c r="D53" s="638"/>
      <c r="E53" s="638"/>
      <c r="F53" s="638"/>
      <c r="G53" s="638"/>
      <c r="H53" s="638"/>
      <c r="I53" s="638"/>
      <c r="J53" s="638"/>
      <c r="K53" s="227"/>
    </row>
    <row r="54" spans="1:100" s="692" customFormat="1" x14ac:dyDescent="0.25">
      <c r="A54"/>
      <c r="B54" s="638" t="s">
        <v>5782</v>
      </c>
      <c r="C54" s="638"/>
      <c r="D54" s="638"/>
      <c r="E54" s="638"/>
      <c r="F54" s="638"/>
      <c r="G54" s="638"/>
      <c r="H54" s="638"/>
      <c r="I54" s="638"/>
      <c r="J54" s="638"/>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row>
    <row r="55" spans="1:100" s="692" customFormat="1" ht="33" customHeight="1" x14ac:dyDescent="0.25">
      <c r="A55"/>
      <c r="B55" s="1173" t="s">
        <v>5791</v>
      </c>
      <c r="C55" s="1173"/>
      <c r="D55" s="1173"/>
      <c r="E55" s="1173"/>
      <c r="F55" s="1173"/>
      <c r="G55" s="1173"/>
      <c r="H55" s="1173"/>
      <c r="I55" s="1173"/>
      <c r="J55" s="1173"/>
      <c r="K55" s="227"/>
      <c r="L55" s="227"/>
      <c r="M55" s="227"/>
      <c r="N55" s="638"/>
      <c r="O55" s="227"/>
      <c r="P55" s="227"/>
      <c r="Q55" s="227"/>
      <c r="R55" s="227"/>
      <c r="S55" s="227"/>
      <c r="T55" s="227"/>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row>
    <row r="56" spans="1:100" ht="15" customHeight="1" x14ac:dyDescent="0.25">
      <c r="B56" s="227"/>
      <c r="C56" s="227"/>
      <c r="D56" s="227"/>
      <c r="E56" s="227"/>
      <c r="F56" s="227"/>
      <c r="G56" s="227"/>
      <c r="H56" s="227"/>
      <c r="I56" s="227"/>
      <c r="J56" s="227"/>
      <c r="K56" s="227"/>
    </row>
    <row r="57" spans="1:100" ht="15" customHeight="1" x14ac:dyDescent="0.25">
      <c r="B57" s="227"/>
      <c r="C57" s="227"/>
      <c r="D57" s="227"/>
      <c r="E57" s="227"/>
      <c r="F57" s="227"/>
      <c r="G57" s="227"/>
      <c r="H57" s="227"/>
      <c r="I57" s="227"/>
      <c r="J57" s="227"/>
      <c r="K57" s="227"/>
    </row>
    <row r="58" spans="1:100" ht="15" customHeight="1" x14ac:dyDescent="0.25">
      <c r="B58" s="227"/>
      <c r="C58" s="227"/>
      <c r="D58" s="227"/>
      <c r="E58" s="227"/>
      <c r="F58" s="227"/>
      <c r="G58" s="227"/>
      <c r="H58" s="227"/>
      <c r="I58" s="227"/>
      <c r="J58" s="227"/>
      <c r="K58" s="227"/>
    </row>
    <row r="59" spans="1:100" ht="15" customHeight="1" x14ac:dyDescent="0.25">
      <c r="B59" s="227"/>
      <c r="C59" s="227"/>
      <c r="D59" s="227"/>
      <c r="E59" s="227"/>
      <c r="F59" s="227"/>
      <c r="G59" s="227"/>
      <c r="H59" s="227"/>
      <c r="I59" s="227"/>
      <c r="J59" s="227"/>
      <c r="K59" s="227"/>
    </row>
    <row r="60" spans="1:100" ht="15" customHeight="1" x14ac:dyDescent="0.25">
      <c r="G60" s="584"/>
      <c r="H60" s="584"/>
      <c r="I60" s="227"/>
      <c r="J60" s="227"/>
      <c r="K60" s="227"/>
    </row>
    <row r="61" spans="1:100" ht="15" customHeight="1" x14ac:dyDescent="0.25">
      <c r="G61" s="584"/>
      <c r="H61" s="584"/>
      <c r="I61" s="227"/>
      <c r="J61" s="227"/>
    </row>
    <row r="62" spans="1:100" ht="15" customHeight="1" x14ac:dyDescent="0.25">
      <c r="G62" s="584"/>
      <c r="H62" s="584"/>
    </row>
    <row r="63" spans="1:100" ht="15" customHeight="1" x14ac:dyDescent="0.25">
      <c r="G63" s="584"/>
      <c r="H63" s="584"/>
    </row>
    <row r="64" spans="1:100" ht="15" customHeight="1" x14ac:dyDescent="0.25">
      <c r="G64" s="584"/>
      <c r="H64" s="584"/>
    </row>
    <row r="65" spans="7:8" ht="15" customHeight="1" x14ac:dyDescent="0.25">
      <c r="G65" s="584"/>
      <c r="H65" s="584"/>
    </row>
    <row r="66" spans="7:8" ht="15" customHeight="1" x14ac:dyDescent="0.25">
      <c r="G66" s="584"/>
      <c r="H66" s="584"/>
    </row>
    <row r="67" spans="7:8" ht="15" customHeight="1" x14ac:dyDescent="0.25">
      <c r="G67" s="584"/>
      <c r="H67" s="584"/>
    </row>
  </sheetData>
  <sheetProtection algorithmName="SHA-512" hashValue="srdjuZfms17IrkGYw098vP9QtgU1v9aswndfrP/0QNPwWtBksecYEjOjwixeHRzI735CM094TYerdDJsPVoEag==" saltValue="WIZcuypYoyE81PapYNQfzA==" spinCount="100000" sheet="1" objects="1" scenarios="1"/>
  <mergeCells count="9">
    <mergeCell ref="C23:D23"/>
    <mergeCell ref="E23:F23"/>
    <mergeCell ref="G23:H23"/>
    <mergeCell ref="B55:J55"/>
    <mergeCell ref="I3:J3"/>
    <mergeCell ref="B11:D12"/>
    <mergeCell ref="C15:D15"/>
    <mergeCell ref="E22:F22"/>
    <mergeCell ref="G22:H22"/>
  </mergeCells>
  <conditionalFormatting sqref="G7:G8">
    <cfRule type="containsText" dxfId="5" priority="1" operator="containsText" text="Fail">
      <formula>NOT(ISERROR(SEARCH("Fail",G7)))</formula>
    </cfRule>
    <cfRule type="containsText" dxfId="4" priority="2" operator="containsText" text="Pass">
      <formula>NOT(ISERROR(SEARCH("Pass",G7)))</formula>
    </cfRule>
  </conditionalFormatting>
  <dataValidations count="3">
    <dataValidation type="list" allowBlank="1" showInputMessage="1" showErrorMessage="1" sqref="C6" xr:uid="{264EC28E-3827-475C-B803-3C54BD2310B1}">
      <formula1>"Pre-2006,2006 and Later, NA"</formula1>
    </dataValidation>
    <dataValidation type="list" allowBlank="1" showInputMessage="1" showErrorMessage="1" sqref="C5" xr:uid="{CE787DB4-4443-46FC-8C9F-D985D91B4933}">
      <formula1>"Yes,No,NA"</formula1>
    </dataValidation>
    <dataValidation type="list" allowBlank="1" showInputMessage="1" showErrorMessage="1" sqref="C7" xr:uid="{AD3A3CDE-CE8D-43BE-A079-76DCF4A54A5D}">
      <formula1>$B$39:$B$51</formula1>
    </dataValidation>
  </dataValidations>
  <hyperlinks>
    <hyperlink ref="B2" location="TOC!A1" display="Return to TOC" xr:uid="{5F9947E8-DDDC-4542-B11E-C12BEBE4B244}"/>
  </hyperlinks>
  <pageMargins left="0.7" right="0.7" top="0.75" bottom="0.75" header="0.3" footer="0.3"/>
  <legacy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0">
    <tabColor theme="7" tint="0.79998168889431442"/>
    <pageSetUpPr autoPageBreaks="0"/>
  </sheetPr>
  <dimension ref="A1:AF47"/>
  <sheetViews>
    <sheetView workbookViewId="0">
      <selection sqref="A1:AF1"/>
    </sheetView>
  </sheetViews>
  <sheetFormatPr defaultColWidth="2.7109375" defaultRowHeight="15" x14ac:dyDescent="0.25"/>
  <cols>
    <col min="1" max="16384" width="2.7109375" style="1"/>
  </cols>
  <sheetData>
    <row r="1" spans="1:32" ht="18.75" x14ac:dyDescent="0.25">
      <c r="A1" s="1464" t="s">
        <v>1161</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s="262" customFormat="1" ht="14.45" customHeight="1" x14ac:dyDescent="0.25">
      <c r="A2" s="376" t="s">
        <v>1702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row>
    <row r="3" spans="1:32" x14ac:dyDescent="0.25">
      <c r="A3" s="1472" t="s">
        <v>9</v>
      </c>
      <c r="B3" s="1472"/>
      <c r="C3" s="1472"/>
      <c r="D3" s="1472"/>
      <c r="E3" s="1472"/>
      <c r="F3" s="1472"/>
      <c r="G3" s="1472"/>
      <c r="H3" s="1472"/>
      <c r="I3" s="1472"/>
      <c r="J3" s="1472"/>
      <c r="K3" s="1472"/>
      <c r="L3" s="1472"/>
      <c r="M3" s="1472"/>
      <c r="N3" s="1472"/>
      <c r="O3" s="1472"/>
      <c r="P3" s="1472"/>
      <c r="Q3" s="1472"/>
      <c r="R3" s="1472"/>
      <c r="S3" s="1472"/>
      <c r="T3" s="1472"/>
      <c r="U3" s="1472"/>
      <c r="V3" s="1472"/>
      <c r="W3" s="1472"/>
      <c r="X3" s="1472"/>
      <c r="Y3" s="1472"/>
      <c r="Z3" s="1472"/>
      <c r="AA3" s="1472"/>
      <c r="AB3" s="1472"/>
      <c r="AC3" s="1472"/>
      <c r="AD3" s="1472"/>
      <c r="AE3" s="1472"/>
      <c r="AF3" s="1472"/>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B5" s="1475" t="s">
        <v>10</v>
      </c>
      <c r="C5" s="1475"/>
      <c r="D5" s="1475"/>
      <c r="E5" s="1475"/>
      <c r="F5" s="1475"/>
      <c r="G5" s="1475"/>
      <c r="H5" s="1475"/>
      <c r="I5" s="1475"/>
    </row>
    <row r="6" spans="1:32" s="4" customFormat="1" ht="14.45" customHeight="1" x14ac:dyDescent="0.25">
      <c r="B6" s="1151" t="s">
        <v>558</v>
      </c>
      <c r="C6" s="1151"/>
      <c r="D6" s="1151"/>
      <c r="E6" s="1151"/>
      <c r="F6" s="1151"/>
      <c r="G6" s="1151"/>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c r="AE6" s="1151"/>
      <c r="AF6" s="1151"/>
    </row>
    <row r="8" spans="1:32" x14ac:dyDescent="0.25">
      <c r="B8" s="1475" t="s">
        <v>11</v>
      </c>
      <c r="C8" s="1475"/>
      <c r="D8" s="1475"/>
      <c r="E8" s="1475"/>
      <c r="F8" s="1475"/>
      <c r="G8" s="1475"/>
      <c r="H8" s="1475"/>
      <c r="I8" s="1475"/>
    </row>
    <row r="9" spans="1:32" x14ac:dyDescent="0.25">
      <c r="B9" s="1473" t="s">
        <v>1572</v>
      </c>
      <c r="C9" s="1473"/>
      <c r="D9" s="1473"/>
      <c r="E9" s="1473"/>
      <c r="F9" s="1473"/>
      <c r="G9" s="1473"/>
      <c r="H9" s="1473"/>
      <c r="I9" s="1473"/>
      <c r="J9" s="1473"/>
      <c r="K9" s="1473"/>
      <c r="L9" s="1473"/>
      <c r="M9" s="1473"/>
      <c r="N9" s="1473"/>
      <c r="O9" s="1473"/>
      <c r="P9" s="1473"/>
      <c r="Q9" s="1473"/>
      <c r="R9" s="1473"/>
      <c r="S9" s="1473"/>
      <c r="T9" s="1473"/>
      <c r="U9" s="1473"/>
      <c r="V9" s="1473"/>
      <c r="W9" s="1473"/>
      <c r="X9" s="1473"/>
      <c r="Y9" s="1473"/>
      <c r="Z9" s="1473"/>
      <c r="AA9" s="1473"/>
      <c r="AB9" s="1473"/>
      <c r="AC9" s="1473"/>
      <c r="AD9" s="1473"/>
      <c r="AE9" s="1473"/>
      <c r="AF9" s="1473"/>
    </row>
    <row r="11" spans="1:32" x14ac:dyDescent="0.25">
      <c r="B11" s="1475" t="s">
        <v>12</v>
      </c>
      <c r="C11" s="1475"/>
      <c r="D11" s="1475"/>
      <c r="E11" s="1475"/>
      <c r="F11" s="1475"/>
      <c r="G11" s="1475"/>
      <c r="H11" s="1475"/>
      <c r="I11" s="1475"/>
    </row>
    <row r="12" spans="1:32" x14ac:dyDescent="0.25">
      <c r="B12" s="1473" t="s">
        <v>1490</v>
      </c>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row>
    <row r="14" spans="1:32" x14ac:dyDescent="0.25">
      <c r="B14" s="1475" t="s">
        <v>13</v>
      </c>
      <c r="C14" s="1475"/>
      <c r="D14" s="1475"/>
      <c r="E14" s="1475"/>
      <c r="F14" s="1475"/>
      <c r="G14" s="1475"/>
      <c r="H14" s="1475"/>
      <c r="I14" s="1475"/>
    </row>
    <row r="15" spans="1:32" s="4" customFormat="1" ht="14.45" customHeight="1" x14ac:dyDescent="0.25">
      <c r="B15" s="1151" t="s">
        <v>559</v>
      </c>
      <c r="C15" s="1151"/>
      <c r="D15" s="1151"/>
      <c r="E15" s="1151"/>
      <c r="F15" s="1151"/>
      <c r="G15" s="1151"/>
      <c r="H15" s="1151"/>
      <c r="I15" s="1151"/>
      <c r="J15" s="1151"/>
      <c r="K15" s="1151"/>
      <c r="L15" s="1151"/>
      <c r="M15" s="1151"/>
      <c r="N15" s="1151"/>
      <c r="O15" s="1151"/>
      <c r="P15" s="1151"/>
      <c r="Q15" s="1151"/>
      <c r="R15" s="1151"/>
      <c r="S15" s="1151"/>
      <c r="T15" s="1151"/>
      <c r="U15" s="1151"/>
      <c r="V15" s="1151"/>
      <c r="W15" s="1151"/>
      <c r="X15" s="1151"/>
      <c r="Y15" s="1151"/>
      <c r="Z15" s="1151"/>
      <c r="AA15" s="1151"/>
      <c r="AB15" s="1151"/>
      <c r="AC15" s="1151"/>
      <c r="AD15" s="1151"/>
      <c r="AE15" s="1151"/>
      <c r="AF15" s="1151"/>
    </row>
    <row r="17" spans="1:32" x14ac:dyDescent="0.25">
      <c r="B17" s="171" t="s">
        <v>20</v>
      </c>
      <c r="C17" s="171"/>
      <c r="D17" s="171"/>
      <c r="E17" s="171"/>
      <c r="F17" s="171"/>
      <c r="G17" s="171"/>
      <c r="H17" s="171"/>
      <c r="I17" s="171"/>
    </row>
    <row r="18" spans="1:32" ht="14.45" customHeight="1" x14ac:dyDescent="0.25">
      <c r="B18" s="1151" t="s">
        <v>560</v>
      </c>
      <c r="C18" s="1473"/>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row>
    <row r="21" spans="1:32" x14ac:dyDescent="0.25">
      <c r="A21" s="1472" t="s">
        <v>14</v>
      </c>
      <c r="B21" s="1472"/>
      <c r="C21" s="1472"/>
      <c r="D21" s="1472"/>
      <c r="E21" s="1472"/>
      <c r="F21" s="1472"/>
      <c r="G21" s="1472"/>
      <c r="H21" s="1472"/>
      <c r="I21" s="1472"/>
      <c r="J21" s="1472"/>
      <c r="K21" s="1472"/>
      <c r="L21" s="1472"/>
      <c r="M21" s="1472"/>
      <c r="N21" s="1472"/>
      <c r="O21" s="1472"/>
      <c r="P21" s="1472"/>
      <c r="Q21" s="1472"/>
      <c r="R21" s="1472"/>
      <c r="S21" s="1472"/>
      <c r="T21" s="1472"/>
      <c r="U21" s="1472"/>
      <c r="V21" s="1472"/>
      <c r="W21" s="1472"/>
      <c r="X21" s="1472"/>
      <c r="Y21" s="1472"/>
      <c r="Z21" s="1472"/>
      <c r="AA21" s="1472"/>
      <c r="AB21" s="1472"/>
      <c r="AC21" s="1472"/>
      <c r="AD21" s="1472"/>
      <c r="AE21" s="1472"/>
      <c r="AF21" s="1472"/>
    </row>
    <row r="23" spans="1:32" ht="18.600000000000001" customHeight="1" x14ac:dyDescent="0.25">
      <c r="A23" s="1752" t="s">
        <v>40</v>
      </c>
      <c r="B23" s="1586"/>
      <c r="C23" s="1586"/>
      <c r="D23" s="1586"/>
      <c r="E23" s="1586"/>
      <c r="F23" s="1586"/>
      <c r="G23" s="1586"/>
      <c r="H23" s="3142" t="s">
        <v>1092</v>
      </c>
      <c r="I23" s="1390"/>
      <c r="J23" s="1390"/>
      <c r="K23" s="1390"/>
      <c r="L23" s="1390"/>
      <c r="M23" s="1390"/>
      <c r="N23" s="1390"/>
      <c r="O23" s="1390"/>
      <c r="P23" s="1390"/>
      <c r="Q23" s="1390"/>
      <c r="R23" s="1390"/>
      <c r="S23" s="1390"/>
      <c r="T23" s="1390"/>
      <c r="U23" s="1390"/>
      <c r="V23" s="1390"/>
      <c r="W23" s="1390"/>
      <c r="X23" s="1390"/>
      <c r="Y23" s="1390"/>
      <c r="Z23" s="1390"/>
      <c r="AA23" s="1390"/>
      <c r="AB23" s="1390"/>
      <c r="AC23" s="1390"/>
      <c r="AD23" s="1390"/>
      <c r="AE23" s="1390"/>
      <c r="AF23" s="1390"/>
    </row>
    <row r="24" spans="1:32" ht="18.600000000000001" customHeight="1" x14ac:dyDescent="0.25">
      <c r="A24" s="1752" t="s">
        <v>41</v>
      </c>
      <c r="B24" s="1586"/>
      <c r="C24" s="1586"/>
      <c r="D24" s="1586"/>
      <c r="E24" s="1586"/>
      <c r="F24" s="1586"/>
      <c r="G24" s="1586"/>
      <c r="H24" s="3142" t="s">
        <v>1093</v>
      </c>
      <c r="I24" s="1390"/>
      <c r="J24" s="1390"/>
      <c r="K24" s="1390"/>
      <c r="L24" s="1390"/>
      <c r="M24" s="1390"/>
      <c r="N24" s="1390"/>
      <c r="O24" s="1390"/>
      <c r="P24" s="1390"/>
      <c r="Q24" s="1390"/>
      <c r="R24" s="1390"/>
      <c r="S24" s="1390"/>
      <c r="T24" s="1390"/>
      <c r="U24" s="1390"/>
      <c r="V24" s="1390"/>
      <c r="W24" s="1390"/>
      <c r="X24" s="1390"/>
      <c r="Y24" s="1390"/>
      <c r="Z24" s="1390"/>
      <c r="AA24" s="1390"/>
      <c r="AB24" s="1390"/>
      <c r="AC24" s="1390"/>
      <c r="AD24" s="1390"/>
      <c r="AE24" s="1390"/>
      <c r="AF24" s="1390"/>
    </row>
    <row r="27" spans="1:32" x14ac:dyDescent="0.25">
      <c r="A27" s="1472" t="s">
        <v>15</v>
      </c>
      <c r="B27" s="1472"/>
      <c r="C27" s="1472"/>
      <c r="D27" s="1472"/>
      <c r="E27" s="1472"/>
      <c r="F27" s="1472"/>
      <c r="G27" s="1472"/>
      <c r="H27" s="1472"/>
      <c r="I27" s="1472"/>
      <c r="J27" s="1472"/>
      <c r="K27" s="1472"/>
      <c r="L27" s="1472"/>
      <c r="M27" s="1472"/>
      <c r="N27" s="1472"/>
      <c r="O27" s="1472"/>
      <c r="P27" s="1472"/>
      <c r="Q27" s="1472"/>
      <c r="R27" s="1472"/>
      <c r="S27" s="1472"/>
      <c r="T27" s="1472"/>
      <c r="U27" s="1472"/>
      <c r="V27" s="1472"/>
      <c r="W27" s="1472"/>
      <c r="X27" s="1472"/>
      <c r="Y27" s="1472"/>
      <c r="Z27" s="1472"/>
      <c r="AA27" s="1472"/>
      <c r="AB27" s="1472"/>
      <c r="AC27" s="1472"/>
      <c r="AD27" s="1472"/>
      <c r="AE27" s="1472"/>
      <c r="AF27" s="1472"/>
    </row>
    <row r="28" spans="1:32" x14ac:dyDescent="0.25">
      <c r="A28" s="1474" t="s">
        <v>16</v>
      </c>
      <c r="B28" s="1474"/>
      <c r="C28" s="1474"/>
      <c r="D28" s="1474"/>
      <c r="E28" s="1474" t="s">
        <v>10</v>
      </c>
      <c r="F28" s="1474"/>
      <c r="G28" s="1474"/>
      <c r="H28" s="1474"/>
      <c r="I28" s="1474"/>
      <c r="J28" s="1474"/>
      <c r="K28" s="1474"/>
      <c r="L28" s="1474"/>
      <c r="M28" s="1474"/>
      <c r="N28" s="1474"/>
      <c r="O28" s="1474"/>
      <c r="P28" s="1474"/>
      <c r="Q28" s="1474" t="s">
        <v>17</v>
      </c>
      <c r="R28" s="1474"/>
      <c r="S28" s="1474"/>
      <c r="T28" s="1474"/>
      <c r="U28" s="1590" t="s">
        <v>18</v>
      </c>
      <c r="V28" s="1591"/>
      <c r="W28" s="1751"/>
      <c r="X28" s="1590" t="s">
        <v>19</v>
      </c>
      <c r="Y28" s="1591"/>
      <c r="Z28" s="1591"/>
      <c r="AA28" s="1591"/>
      <c r="AB28" s="1591"/>
      <c r="AC28" s="1591"/>
      <c r="AD28" s="1591"/>
      <c r="AE28" s="1591"/>
      <c r="AF28" s="1751"/>
    </row>
    <row r="29" spans="1:32" ht="14.45" customHeight="1" x14ac:dyDescent="0.25">
      <c r="A29" s="1485" t="s">
        <v>40</v>
      </c>
      <c r="B29" s="1486"/>
      <c r="C29" s="1486"/>
      <c r="D29" s="1487"/>
      <c r="E29" s="1479" t="s">
        <v>160</v>
      </c>
      <c r="F29" s="1480"/>
      <c r="G29" s="1480"/>
      <c r="H29" s="1480"/>
      <c r="I29" s="1480"/>
      <c r="J29" s="1480"/>
      <c r="K29" s="1480"/>
      <c r="L29" s="1480"/>
      <c r="M29" s="1480"/>
      <c r="N29" s="1480"/>
      <c r="O29" s="1480"/>
      <c r="P29" s="1481"/>
      <c r="Q29" s="1482" t="s">
        <v>43</v>
      </c>
      <c r="R29" s="1483"/>
      <c r="S29" s="1483"/>
      <c r="T29" s="1484"/>
      <c r="U29" s="1574" t="s">
        <v>44</v>
      </c>
      <c r="V29" s="1575"/>
      <c r="W29" s="1576"/>
      <c r="X29" s="1574"/>
      <c r="Y29" s="1575"/>
      <c r="Z29" s="1575"/>
      <c r="AA29" s="1575"/>
      <c r="AB29" s="1575"/>
      <c r="AC29" s="1575"/>
      <c r="AD29" s="1575"/>
      <c r="AE29" s="1575"/>
      <c r="AF29" s="1576"/>
    </row>
    <row r="30" spans="1:32" ht="14.45" customHeight="1" x14ac:dyDescent="0.25">
      <c r="A30" s="1485" t="s">
        <v>41</v>
      </c>
      <c r="B30" s="1486"/>
      <c r="C30" s="1486"/>
      <c r="D30" s="1487"/>
      <c r="E30" s="1479" t="s">
        <v>161</v>
      </c>
      <c r="F30" s="1480"/>
      <c r="G30" s="1480"/>
      <c r="H30" s="1480"/>
      <c r="I30" s="1480"/>
      <c r="J30" s="1480"/>
      <c r="K30" s="1480"/>
      <c r="L30" s="1480"/>
      <c r="M30" s="1480"/>
      <c r="N30" s="1480"/>
      <c r="O30" s="1480"/>
      <c r="P30" s="1481"/>
      <c r="Q30" s="1482" t="s">
        <v>43</v>
      </c>
      <c r="R30" s="1483"/>
      <c r="S30" s="1483"/>
      <c r="T30" s="1484"/>
      <c r="U30" s="1574" t="s">
        <v>26</v>
      </c>
      <c r="V30" s="1575"/>
      <c r="W30" s="1576"/>
      <c r="X30" s="1574"/>
      <c r="Y30" s="1575"/>
      <c r="Z30" s="1575"/>
      <c r="AA30" s="1575"/>
      <c r="AB30" s="1575"/>
      <c r="AC30" s="1575"/>
      <c r="AD30" s="1575"/>
      <c r="AE30" s="1575"/>
      <c r="AF30" s="1576"/>
    </row>
    <row r="31" spans="1:32" ht="14.45" customHeight="1" x14ac:dyDescent="0.25">
      <c r="A31" s="1485" t="s">
        <v>1660</v>
      </c>
      <c r="B31" s="1486"/>
      <c r="C31" s="1486"/>
      <c r="D31" s="1487"/>
      <c r="E31" s="1479" t="s">
        <v>564</v>
      </c>
      <c r="F31" s="1480"/>
      <c r="G31" s="1480"/>
      <c r="H31" s="1480"/>
      <c r="I31" s="1480"/>
      <c r="J31" s="1480"/>
      <c r="K31" s="1480"/>
      <c r="L31" s="1480"/>
      <c r="M31" s="1480"/>
      <c r="N31" s="1480"/>
      <c r="O31" s="1480"/>
      <c r="P31" s="1481"/>
      <c r="Q31" s="2668">
        <f>3*12000</f>
        <v>36000</v>
      </c>
      <c r="R31" s="3332"/>
      <c r="S31" s="3332"/>
      <c r="T31" s="3333"/>
      <c r="U31" s="1574" t="s">
        <v>555</v>
      </c>
      <c r="V31" s="1575"/>
      <c r="W31" s="1576"/>
      <c r="X31" s="1574" t="s">
        <v>565</v>
      </c>
      <c r="Y31" s="1575"/>
      <c r="Z31" s="1575"/>
      <c r="AA31" s="1575"/>
      <c r="AB31" s="1575"/>
      <c r="AC31" s="1575"/>
      <c r="AD31" s="1575"/>
      <c r="AE31" s="1575"/>
      <c r="AF31" s="1576"/>
    </row>
    <row r="32" spans="1:32" ht="14.45" customHeight="1" x14ac:dyDescent="0.25">
      <c r="A32" s="1485" t="s">
        <v>1661</v>
      </c>
      <c r="B32" s="1486"/>
      <c r="C32" s="1486"/>
      <c r="D32" s="1487"/>
      <c r="E32" s="1479" t="s">
        <v>562</v>
      </c>
      <c r="F32" s="1480"/>
      <c r="G32" s="1480"/>
      <c r="H32" s="1480"/>
      <c r="I32" s="1480"/>
      <c r="J32" s="1480"/>
      <c r="K32" s="1480"/>
      <c r="L32" s="1480"/>
      <c r="M32" s="1480"/>
      <c r="N32" s="1480"/>
      <c r="O32" s="1480"/>
      <c r="P32" s="1481"/>
      <c r="Q32" s="1482">
        <v>2.77</v>
      </c>
      <c r="R32" s="1483"/>
      <c r="S32" s="1483"/>
      <c r="T32" s="1484"/>
      <c r="U32" s="1574" t="s">
        <v>26</v>
      </c>
      <c r="V32" s="1575"/>
      <c r="W32" s="1576"/>
      <c r="X32" s="1574"/>
      <c r="Y32" s="1575"/>
      <c r="Z32" s="1575"/>
      <c r="AA32" s="1575"/>
      <c r="AB32" s="1575"/>
      <c r="AC32" s="1575"/>
      <c r="AD32" s="1575"/>
      <c r="AE32" s="1575"/>
      <c r="AF32" s="1576"/>
    </row>
    <row r="33" spans="1:32" ht="14.45" customHeight="1" x14ac:dyDescent="0.25">
      <c r="A33" s="1577" t="s">
        <v>1662</v>
      </c>
      <c r="B33" s="1486"/>
      <c r="C33" s="1486"/>
      <c r="D33" s="1487"/>
      <c r="E33" s="1479" t="s">
        <v>561</v>
      </c>
      <c r="F33" s="1480"/>
      <c r="G33" s="1480"/>
      <c r="H33" s="1480"/>
      <c r="I33" s="1480"/>
      <c r="J33" s="1480"/>
      <c r="K33" s="1480"/>
      <c r="L33" s="1480"/>
      <c r="M33" s="1480"/>
      <c r="N33" s="1480"/>
      <c r="O33" s="1480"/>
      <c r="P33" s="1481"/>
      <c r="Q33" s="1482">
        <v>13</v>
      </c>
      <c r="R33" s="1483"/>
      <c r="S33" s="1483"/>
      <c r="T33" s="1484"/>
      <c r="U33" s="1574" t="s">
        <v>308</v>
      </c>
      <c r="V33" s="1575"/>
      <c r="W33" s="1576"/>
      <c r="X33" s="1574"/>
      <c r="Y33" s="1575"/>
      <c r="Z33" s="1575"/>
      <c r="AA33" s="1575"/>
      <c r="AB33" s="1575"/>
      <c r="AC33" s="1575"/>
      <c r="AD33" s="1575"/>
      <c r="AE33" s="1575"/>
      <c r="AF33" s="1576"/>
    </row>
    <row r="34" spans="1:32" ht="28.9" customHeight="1" x14ac:dyDescent="0.25">
      <c r="A34" s="1577" t="s">
        <v>1663</v>
      </c>
      <c r="B34" s="1486"/>
      <c r="C34" s="1486"/>
      <c r="D34" s="1487"/>
      <c r="E34" s="1479" t="s">
        <v>1664</v>
      </c>
      <c r="F34" s="1480"/>
      <c r="G34" s="1480"/>
      <c r="H34" s="1480"/>
      <c r="I34" s="1480"/>
      <c r="J34" s="1480"/>
      <c r="K34" s="1480"/>
      <c r="L34" s="1480"/>
      <c r="M34" s="1480"/>
      <c r="N34" s="1480"/>
      <c r="O34" s="1480"/>
      <c r="P34" s="1481"/>
      <c r="Q34" s="3321">
        <v>0.08</v>
      </c>
      <c r="R34" s="3322"/>
      <c r="S34" s="3322"/>
      <c r="T34" s="3323"/>
      <c r="U34" s="1574" t="s">
        <v>28</v>
      </c>
      <c r="V34" s="1575"/>
      <c r="W34" s="1576"/>
      <c r="X34" s="1574"/>
      <c r="Y34" s="1575"/>
      <c r="Z34" s="1575"/>
      <c r="AA34" s="1575"/>
      <c r="AB34" s="1575"/>
      <c r="AC34" s="1575"/>
      <c r="AD34" s="1575"/>
      <c r="AE34" s="1575"/>
      <c r="AF34" s="1576"/>
    </row>
    <row r="35" spans="1:32" ht="14.45" customHeight="1" x14ac:dyDescent="0.25">
      <c r="A35" s="1485" t="s">
        <v>32</v>
      </c>
      <c r="B35" s="1486"/>
      <c r="C35" s="1486"/>
      <c r="D35" s="1487"/>
      <c r="E35" s="1479" t="s">
        <v>114</v>
      </c>
      <c r="F35" s="1480"/>
      <c r="G35" s="1480"/>
      <c r="H35" s="1480"/>
      <c r="I35" s="1480"/>
      <c r="J35" s="1480"/>
      <c r="K35" s="1480"/>
      <c r="L35" s="1480"/>
      <c r="M35" s="1480"/>
      <c r="N35" s="1480"/>
      <c r="O35" s="1480"/>
      <c r="P35" s="1481"/>
      <c r="Q35" s="3318">
        <v>1460</v>
      </c>
      <c r="R35" s="3319"/>
      <c r="S35" s="3319"/>
      <c r="T35" s="3320"/>
      <c r="U35" s="1574" t="s">
        <v>45</v>
      </c>
      <c r="V35" s="1575"/>
      <c r="W35" s="1576"/>
      <c r="X35" s="1574"/>
      <c r="Y35" s="1575"/>
      <c r="Z35" s="1575"/>
      <c r="AA35" s="1575"/>
      <c r="AB35" s="1575"/>
      <c r="AC35" s="1575"/>
      <c r="AD35" s="1575"/>
      <c r="AE35" s="1575"/>
      <c r="AF35" s="1576"/>
    </row>
    <row r="36" spans="1:32" ht="28.9" customHeight="1" x14ac:dyDescent="0.25">
      <c r="A36" s="1485" t="s">
        <v>1665</v>
      </c>
      <c r="B36" s="1486"/>
      <c r="C36" s="1486"/>
      <c r="D36" s="1487"/>
      <c r="E36" s="1479" t="s">
        <v>1666</v>
      </c>
      <c r="F36" s="1480"/>
      <c r="G36" s="1480"/>
      <c r="H36" s="1480"/>
      <c r="I36" s="1480"/>
      <c r="J36" s="1480"/>
      <c r="K36" s="1480"/>
      <c r="L36" s="1480"/>
      <c r="M36" s="1480"/>
      <c r="N36" s="1480"/>
      <c r="O36" s="1480"/>
      <c r="P36" s="1481"/>
      <c r="Q36" s="3321">
        <v>0.92</v>
      </c>
      <c r="R36" s="3322"/>
      <c r="S36" s="3322"/>
      <c r="T36" s="3323"/>
      <c r="U36" s="1574" t="s">
        <v>28</v>
      </c>
      <c r="V36" s="1575"/>
      <c r="W36" s="1576"/>
      <c r="X36" s="1574"/>
      <c r="Y36" s="1575"/>
      <c r="Z36" s="1575"/>
      <c r="AA36" s="1575"/>
      <c r="AB36" s="1575"/>
      <c r="AC36" s="1575"/>
      <c r="AD36" s="1575"/>
      <c r="AE36" s="1575"/>
      <c r="AF36" s="1576"/>
    </row>
    <row r="37" spans="1:32" ht="14.45" customHeight="1" x14ac:dyDescent="0.25">
      <c r="A37" s="1485" t="s">
        <v>167</v>
      </c>
      <c r="B37" s="1486"/>
      <c r="C37" s="1486"/>
      <c r="D37" s="1487"/>
      <c r="E37" s="1479" t="s">
        <v>556</v>
      </c>
      <c r="F37" s="1480"/>
      <c r="G37" s="1480"/>
      <c r="H37" s="1480"/>
      <c r="I37" s="1480"/>
      <c r="J37" s="1480"/>
      <c r="K37" s="1480"/>
      <c r="L37" s="1480"/>
      <c r="M37" s="1480"/>
      <c r="N37" s="1480"/>
      <c r="O37" s="1480"/>
      <c r="P37" s="1481"/>
      <c r="Q37" s="3329">
        <v>1000</v>
      </c>
      <c r="R37" s="3330"/>
      <c r="S37" s="3330"/>
      <c r="T37" s="3331"/>
      <c r="U37" s="1574" t="s">
        <v>28</v>
      </c>
      <c r="V37" s="1575"/>
      <c r="W37" s="1576"/>
      <c r="X37" s="1574"/>
      <c r="Y37" s="1575"/>
      <c r="Z37" s="1575"/>
      <c r="AA37" s="1575"/>
      <c r="AB37" s="1575"/>
      <c r="AC37" s="1575"/>
      <c r="AD37" s="1575"/>
      <c r="AE37" s="1575"/>
      <c r="AF37" s="1576"/>
    </row>
    <row r="38" spans="1:32" ht="14.45" customHeight="1" x14ac:dyDescent="0.25">
      <c r="A38" s="1485" t="s">
        <v>29</v>
      </c>
      <c r="B38" s="1486"/>
      <c r="C38" s="1486"/>
      <c r="D38" s="1487"/>
      <c r="E38" s="1479" t="s">
        <v>104</v>
      </c>
      <c r="F38" s="1480"/>
      <c r="G38" s="1480"/>
      <c r="H38" s="1480"/>
      <c r="I38" s="1480"/>
      <c r="J38" s="1480"/>
      <c r="K38" s="1480"/>
      <c r="L38" s="1480"/>
      <c r="M38" s="1480"/>
      <c r="N38" s="1480"/>
      <c r="O38" s="1480"/>
      <c r="P38" s="1481"/>
      <c r="Q38" s="3321">
        <v>0.33</v>
      </c>
      <c r="R38" s="3322"/>
      <c r="S38" s="3322"/>
      <c r="T38" s="3323"/>
      <c r="U38" s="1574" t="s">
        <v>28</v>
      </c>
      <c r="V38" s="1575"/>
      <c r="W38" s="1576"/>
      <c r="X38" s="1574"/>
      <c r="Y38" s="1575"/>
      <c r="Z38" s="1575"/>
      <c r="AA38" s="1575"/>
      <c r="AB38" s="1575"/>
      <c r="AC38" s="1575"/>
      <c r="AD38" s="1575"/>
      <c r="AE38" s="1575"/>
      <c r="AF38" s="1576"/>
    </row>
    <row r="39" spans="1:32" ht="14.45" customHeight="1" x14ac:dyDescent="0.25">
      <c r="A39" s="1485" t="s">
        <v>34</v>
      </c>
      <c r="B39" s="1486"/>
      <c r="C39" s="1486"/>
      <c r="D39" s="1487"/>
      <c r="E39" s="1479" t="s">
        <v>290</v>
      </c>
      <c r="F39" s="1480"/>
      <c r="G39" s="1480"/>
      <c r="H39" s="1480"/>
      <c r="I39" s="1480"/>
      <c r="J39" s="1480"/>
      <c r="K39" s="1480"/>
      <c r="L39" s="1480"/>
      <c r="M39" s="1480"/>
      <c r="N39" s="1480"/>
      <c r="O39" s="1480"/>
      <c r="P39" s="1481"/>
      <c r="Q39" s="1482">
        <f>'Master EUL'!X52</f>
        <v>3</v>
      </c>
      <c r="R39" s="1483"/>
      <c r="S39" s="1483"/>
      <c r="T39" s="1484"/>
      <c r="U39" s="1574" t="s">
        <v>46</v>
      </c>
      <c r="V39" s="1575"/>
      <c r="W39" s="1576"/>
      <c r="X39" s="1574"/>
      <c r="Y39" s="1575"/>
      <c r="Z39" s="1575"/>
      <c r="AA39" s="1575"/>
      <c r="AB39" s="1575"/>
      <c r="AC39" s="1575"/>
      <c r="AD39" s="1575"/>
      <c r="AE39" s="1575"/>
      <c r="AF39" s="1576"/>
    </row>
    <row r="40" spans="1:32" x14ac:dyDescent="0.2">
      <c r="A40" s="85" t="s">
        <v>566</v>
      </c>
    </row>
    <row r="41" spans="1:32" x14ac:dyDescent="0.2">
      <c r="A41" s="149" t="s">
        <v>567</v>
      </c>
    </row>
    <row r="44" spans="1:32" x14ac:dyDescent="0.25">
      <c r="A44" s="1472" t="s">
        <v>21</v>
      </c>
      <c r="B44" s="1472"/>
      <c r="C44" s="1472"/>
      <c r="D44" s="1472"/>
      <c r="E44" s="1472"/>
      <c r="F44" s="1472"/>
      <c r="G44" s="1472"/>
      <c r="H44" s="1472"/>
      <c r="I44" s="1472"/>
      <c r="J44" s="1472"/>
      <c r="K44" s="1472"/>
      <c r="L44" s="1472"/>
      <c r="M44" s="1472"/>
      <c r="N44" s="1472"/>
      <c r="O44" s="1472"/>
      <c r="P44" s="1472"/>
      <c r="Q44" s="1472"/>
      <c r="R44" s="1472"/>
      <c r="S44" s="1472"/>
      <c r="T44" s="1472"/>
      <c r="U44" s="1472"/>
      <c r="V44" s="1472"/>
      <c r="W44" s="1472"/>
      <c r="X44" s="1472"/>
      <c r="Y44" s="1472"/>
      <c r="Z44" s="1472"/>
      <c r="AA44" s="1472"/>
      <c r="AB44" s="1472"/>
      <c r="AC44" s="1472"/>
      <c r="AD44" s="1472"/>
      <c r="AE44" s="1472"/>
      <c r="AF44" s="1472"/>
    </row>
    <row r="45" spans="1:32" ht="15.75" thickBot="1" x14ac:dyDescent="0.3"/>
    <row r="46" spans="1:32" x14ac:dyDescent="0.25">
      <c r="A46" s="1583" t="s">
        <v>22</v>
      </c>
      <c r="B46" s="1584"/>
      <c r="C46" s="1584"/>
      <c r="D46" s="1584"/>
      <c r="E46" s="1584"/>
      <c r="F46" s="1584"/>
      <c r="G46" s="1584"/>
      <c r="H46" s="1584"/>
      <c r="I46" s="1584" t="s">
        <v>23</v>
      </c>
      <c r="J46" s="1584"/>
      <c r="K46" s="1584"/>
      <c r="L46" s="1584"/>
      <c r="M46" s="1584"/>
      <c r="N46" s="1584"/>
      <c r="O46" s="1584"/>
      <c r="P46" s="1584"/>
      <c r="Q46" s="1584" t="s">
        <v>24</v>
      </c>
      <c r="R46" s="1584"/>
      <c r="S46" s="1584"/>
      <c r="T46" s="1584"/>
      <c r="U46" s="1584"/>
      <c r="V46" s="1584"/>
      <c r="W46" s="1584"/>
      <c r="X46" s="1585"/>
    </row>
    <row r="47" spans="1:32" ht="15.75" thickBot="1" x14ac:dyDescent="0.3">
      <c r="A47" s="3324" t="s">
        <v>563</v>
      </c>
      <c r="B47" s="3325"/>
      <c r="C47" s="3325"/>
      <c r="D47" s="3325"/>
      <c r="E47" s="3325"/>
      <c r="F47" s="3325"/>
      <c r="G47" s="3325"/>
      <c r="H47" s="3325"/>
      <c r="I47" s="1744">
        <f>ROUND((Q32*Q38)-(Q32*Q38*Q36),3)</f>
        <v>7.2999999999999995E-2</v>
      </c>
      <c r="J47" s="1744"/>
      <c r="K47" s="1744"/>
      <c r="L47" s="1744"/>
      <c r="M47" s="1744"/>
      <c r="N47" s="1744"/>
      <c r="O47" s="1744"/>
      <c r="P47" s="1744"/>
      <c r="Q47" s="3326">
        <f>ROUND(((Q31/Q33)*Q35*Q34)/Q37,2)</f>
        <v>323.45</v>
      </c>
      <c r="R47" s="3327"/>
      <c r="S47" s="3327"/>
      <c r="T47" s="3327"/>
      <c r="U47" s="3327"/>
      <c r="V47" s="3327"/>
      <c r="W47" s="3327"/>
      <c r="X47" s="3328"/>
    </row>
  </sheetData>
  <sheetProtection algorithmName="SHA-512" hashValue="QEJ1vTaV6twl4iYuR10NDvNp8ZPckp4wynLVkfT/MI37qfPojWWLkE69/NXoZPG7ldYIsqJH3vxqCphB4PoxoA==" saltValue="sjXx2z+JfV0oX8e97m7U/A==" spinCount="100000" sheet="1" objects="1" scenarios="1"/>
  <mergeCells count="84">
    <mergeCell ref="A1:AF1"/>
    <mergeCell ref="A32:D32"/>
    <mergeCell ref="E32:P32"/>
    <mergeCell ref="Q32:T32"/>
    <mergeCell ref="U32:W32"/>
    <mergeCell ref="X32:AF32"/>
    <mergeCell ref="A31:D31"/>
    <mergeCell ref="E31:P31"/>
    <mergeCell ref="Q31:T31"/>
    <mergeCell ref="U31:W31"/>
    <mergeCell ref="X31:AF31"/>
    <mergeCell ref="A27:AF27"/>
    <mergeCell ref="A28:D28"/>
    <mergeCell ref="E28:P28"/>
    <mergeCell ref="Q28:T28"/>
    <mergeCell ref="U28:W28"/>
    <mergeCell ref="X28:AF28"/>
    <mergeCell ref="B18:AF18"/>
    <mergeCell ref="A21:AF21"/>
    <mergeCell ref="A23:G23"/>
    <mergeCell ref="H23:AF23"/>
    <mergeCell ref="A24:G24"/>
    <mergeCell ref="H24:AF24"/>
    <mergeCell ref="A47:H47"/>
    <mergeCell ref="I47:P47"/>
    <mergeCell ref="Q47:X47"/>
    <mergeCell ref="A37:D37"/>
    <mergeCell ref="E37:P37"/>
    <mergeCell ref="Q37:T37"/>
    <mergeCell ref="U37:W37"/>
    <mergeCell ref="X37:AF37"/>
    <mergeCell ref="A46:H46"/>
    <mergeCell ref="I46:P46"/>
    <mergeCell ref="Q46:X46"/>
    <mergeCell ref="A39:D39"/>
    <mergeCell ref="E39:P39"/>
    <mergeCell ref="Q39:T39"/>
    <mergeCell ref="U39:W39"/>
    <mergeCell ref="X39:AF39"/>
    <mergeCell ref="A44:AF44"/>
    <mergeCell ref="A36:D36"/>
    <mergeCell ref="E36:P36"/>
    <mergeCell ref="Q36:T36"/>
    <mergeCell ref="U36:W36"/>
    <mergeCell ref="X36:AF36"/>
    <mergeCell ref="A38:D38"/>
    <mergeCell ref="E38:P38"/>
    <mergeCell ref="Q38:T38"/>
    <mergeCell ref="U38:W38"/>
    <mergeCell ref="X38:AF38"/>
    <mergeCell ref="A34:D34"/>
    <mergeCell ref="E34:P34"/>
    <mergeCell ref="Q34:T34"/>
    <mergeCell ref="U34:W34"/>
    <mergeCell ref="X34:AF34"/>
    <mergeCell ref="A35:D35"/>
    <mergeCell ref="E35:P35"/>
    <mergeCell ref="Q35:T35"/>
    <mergeCell ref="U35:W35"/>
    <mergeCell ref="X35:AF35"/>
    <mergeCell ref="A30:D30"/>
    <mergeCell ref="E30:P30"/>
    <mergeCell ref="Q30:T30"/>
    <mergeCell ref="U30:W30"/>
    <mergeCell ref="X30:AF30"/>
    <mergeCell ref="A29:D29"/>
    <mergeCell ref="E29:P29"/>
    <mergeCell ref="Q29:T29"/>
    <mergeCell ref="U29:W29"/>
    <mergeCell ref="X29:AF29"/>
    <mergeCell ref="A33:D33"/>
    <mergeCell ref="E33:P33"/>
    <mergeCell ref="Q33:T33"/>
    <mergeCell ref="U33:W33"/>
    <mergeCell ref="X33:AF33"/>
    <mergeCell ref="B11:I11"/>
    <mergeCell ref="B14:I14"/>
    <mergeCell ref="B15:AF15"/>
    <mergeCell ref="A3:AF3"/>
    <mergeCell ref="B5:I5"/>
    <mergeCell ref="B6:AF6"/>
    <mergeCell ref="B8:I8"/>
    <mergeCell ref="B9:AF9"/>
    <mergeCell ref="B12:AF12"/>
  </mergeCells>
  <hyperlinks>
    <hyperlink ref="A2" location="TOC!A1" display="Return to TOC" xr:uid="{00000000-0004-0000-5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45">
    <tabColor theme="7" tint="0.79998168889431442"/>
    <pageSetUpPr autoPageBreaks="0"/>
  </sheetPr>
  <dimension ref="A1:AF58"/>
  <sheetViews>
    <sheetView zoomScaleNormal="100" workbookViewId="0">
      <selection activeCell="A2" sqref="A2"/>
    </sheetView>
  </sheetViews>
  <sheetFormatPr defaultColWidth="2.7109375" defaultRowHeight="15" x14ac:dyDescent="0.25"/>
  <sheetData>
    <row r="1" spans="1:32" s="1" customFormat="1" ht="18.75" x14ac:dyDescent="0.25">
      <c r="A1" s="1464" t="s">
        <v>1162</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ht="14.45" customHeight="1" x14ac:dyDescent="0.25">
      <c r="A2" s="376" t="s">
        <v>1702</v>
      </c>
    </row>
    <row r="3" spans="1:32"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34.5" customHeight="1" x14ac:dyDescent="0.25">
      <c r="A5" s="262"/>
      <c r="B5" s="1247" t="s">
        <v>5132</v>
      </c>
      <c r="C5" s="1247"/>
      <c r="D5" s="1247"/>
      <c r="E5" s="1247"/>
      <c r="F5" s="1247"/>
      <c r="G5" s="1247"/>
      <c r="H5" s="1247"/>
      <c r="I5" s="1247"/>
      <c r="J5" s="1247"/>
      <c r="K5" s="1247"/>
      <c r="L5" s="1247"/>
      <c r="M5" s="1247"/>
      <c r="N5" s="1247"/>
      <c r="O5" s="1247"/>
      <c r="P5" s="1247"/>
      <c r="Q5" s="1247"/>
      <c r="R5" s="1247"/>
      <c r="S5" s="1247"/>
      <c r="T5" s="1247"/>
      <c r="U5" s="1247"/>
      <c r="V5" s="1247"/>
      <c r="W5" s="1247"/>
      <c r="X5" s="1247"/>
      <c r="Y5" s="1247"/>
      <c r="Z5" s="1247"/>
      <c r="AA5" s="1247"/>
      <c r="AB5" s="1247"/>
      <c r="AC5" s="1247"/>
      <c r="AD5" s="1247"/>
      <c r="AE5" s="1247"/>
      <c r="AF5" s="1247"/>
    </row>
    <row r="6" spans="1:32" s="1" customFormat="1" ht="15" customHeight="1" x14ac:dyDescent="0.25">
      <c r="A6" s="529"/>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row>
    <row r="7" spans="1:32" s="1" customFormat="1"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s="1" customForma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x14ac:dyDescent="0.25">
      <c r="B9" s="1475" t="s">
        <v>10</v>
      </c>
      <c r="C9" s="1475"/>
      <c r="D9" s="1475"/>
      <c r="E9" s="1475"/>
      <c r="F9" s="1475"/>
      <c r="G9" s="1475"/>
      <c r="H9" s="1475"/>
      <c r="I9" s="1475"/>
    </row>
    <row r="10" spans="1:32" s="4" customFormat="1" ht="28.9" customHeight="1" x14ac:dyDescent="0.25">
      <c r="B10" s="1151" t="s">
        <v>569</v>
      </c>
      <c r="C10" s="1151"/>
      <c r="D10" s="1151"/>
      <c r="E10" s="1151"/>
      <c r="F10" s="1151"/>
      <c r="G10" s="1151"/>
      <c r="H10" s="1151"/>
      <c r="I10" s="1151"/>
      <c r="J10" s="1151"/>
      <c r="K10" s="1151"/>
      <c r="L10" s="1151"/>
      <c r="M10" s="1151"/>
      <c r="N10" s="1151"/>
      <c r="O10" s="1151"/>
      <c r="P10" s="1151"/>
      <c r="Q10" s="1151"/>
      <c r="R10" s="1151"/>
      <c r="S10" s="1151"/>
      <c r="T10" s="1151"/>
      <c r="U10" s="1151"/>
      <c r="V10" s="1151"/>
      <c r="W10" s="1151"/>
      <c r="X10" s="1151"/>
      <c r="Y10" s="1151"/>
      <c r="Z10" s="1151"/>
      <c r="AA10" s="1151"/>
      <c r="AB10" s="1151"/>
      <c r="AC10" s="1151"/>
      <c r="AD10" s="1151"/>
      <c r="AE10" s="1151"/>
      <c r="AF10" s="1151"/>
    </row>
    <row r="11" spans="1:32" s="1" customFormat="1" x14ac:dyDescent="0.25"/>
    <row r="12" spans="1:32" s="1" customFormat="1" x14ac:dyDescent="0.25">
      <c r="B12" s="1475" t="s">
        <v>11</v>
      </c>
      <c r="C12" s="1475"/>
      <c r="D12" s="1475"/>
      <c r="E12" s="1475"/>
      <c r="F12" s="1475"/>
      <c r="G12" s="1475"/>
      <c r="H12" s="1475"/>
      <c r="I12" s="1475"/>
    </row>
    <row r="13" spans="1:32" s="1" customFormat="1" x14ac:dyDescent="0.25">
      <c r="B13" s="1473" t="s">
        <v>1571</v>
      </c>
      <c r="C13" s="1473"/>
      <c r="D13" s="1473"/>
      <c r="E13" s="1473"/>
      <c r="F13" s="1473"/>
      <c r="G13" s="1473"/>
      <c r="H13" s="1473"/>
      <c r="I13" s="1473"/>
      <c r="J13" s="1473"/>
      <c r="K13" s="1473"/>
      <c r="L13" s="1473"/>
      <c r="M13" s="1473"/>
      <c r="N13" s="1473"/>
      <c r="O13" s="1473"/>
      <c r="P13" s="1473"/>
      <c r="Q13" s="1473"/>
      <c r="R13" s="1473"/>
      <c r="S13" s="1473"/>
      <c r="T13" s="1473"/>
      <c r="U13" s="1473"/>
      <c r="V13" s="1473"/>
      <c r="W13" s="1473"/>
      <c r="X13" s="1473"/>
      <c r="Y13" s="1473"/>
      <c r="Z13" s="1473"/>
      <c r="AA13" s="1473"/>
      <c r="AB13" s="1473"/>
      <c r="AC13" s="1473"/>
      <c r="AD13" s="1473"/>
      <c r="AE13" s="1473"/>
      <c r="AF13" s="1473"/>
    </row>
    <row r="14" spans="1:32" s="1" customFormat="1" x14ac:dyDescent="0.25"/>
    <row r="15" spans="1:32" s="1" customFormat="1" x14ac:dyDescent="0.25">
      <c r="B15" s="1475" t="s">
        <v>12</v>
      </c>
      <c r="C15" s="1475"/>
      <c r="D15" s="1475"/>
      <c r="E15" s="1475"/>
      <c r="F15" s="1475"/>
      <c r="G15" s="1475"/>
      <c r="H15" s="1475"/>
      <c r="I15" s="1475"/>
    </row>
    <row r="16" spans="1:32" s="1" customFormat="1" x14ac:dyDescent="0.25">
      <c r="B16" s="1473" t="s">
        <v>554</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row>
    <row r="17" spans="1:32" s="1" customFormat="1" x14ac:dyDescent="0.25"/>
    <row r="18" spans="1:32" s="1" customFormat="1" x14ac:dyDescent="0.25">
      <c r="B18" s="1475" t="s">
        <v>13</v>
      </c>
      <c r="C18" s="1475"/>
      <c r="D18" s="1475"/>
      <c r="E18" s="1475"/>
      <c r="F18" s="1475"/>
      <c r="G18" s="1475"/>
      <c r="H18" s="1475"/>
      <c r="I18" s="1475"/>
    </row>
    <row r="19" spans="1:32" s="4" customFormat="1" ht="14.45" customHeight="1" x14ac:dyDescent="0.25">
      <c r="B19" s="1151" t="s">
        <v>1491</v>
      </c>
      <c r="C19" s="1151"/>
      <c r="D19" s="1151"/>
      <c r="E19" s="1151"/>
      <c r="F19" s="1151"/>
      <c r="G19" s="1151"/>
      <c r="H19" s="1151"/>
      <c r="I19" s="1151"/>
      <c r="J19" s="1151"/>
      <c r="K19" s="1151"/>
      <c r="L19" s="1151"/>
      <c r="M19" s="1151"/>
      <c r="N19" s="1151"/>
      <c r="O19" s="1151"/>
      <c r="P19" s="1151"/>
      <c r="Q19" s="1151"/>
      <c r="R19" s="1151"/>
      <c r="S19" s="1151"/>
      <c r="T19" s="1151"/>
      <c r="U19" s="1151"/>
      <c r="V19" s="1151"/>
      <c r="W19" s="1151"/>
      <c r="X19" s="1151"/>
      <c r="Y19" s="1151"/>
      <c r="Z19" s="1151"/>
      <c r="AA19" s="1151"/>
      <c r="AB19" s="1151"/>
      <c r="AC19" s="1151"/>
      <c r="AD19" s="1151"/>
      <c r="AE19" s="1151"/>
      <c r="AF19" s="1151"/>
    </row>
    <row r="20" spans="1:32" s="1" customFormat="1" x14ac:dyDescent="0.25"/>
    <row r="21" spans="1:32" s="1" customFormat="1" x14ac:dyDescent="0.25">
      <c r="B21" s="171" t="s">
        <v>20</v>
      </c>
      <c r="C21" s="171"/>
      <c r="D21" s="171"/>
      <c r="E21" s="171"/>
      <c r="F21" s="171"/>
      <c r="G21" s="171"/>
      <c r="H21" s="171"/>
      <c r="I21" s="171"/>
    </row>
    <row r="22" spans="1:32" s="1" customFormat="1" ht="14.45" customHeight="1" x14ac:dyDescent="0.25">
      <c r="B22" s="1151" t="s">
        <v>1492</v>
      </c>
      <c r="C22" s="1473"/>
      <c r="D22" s="1473"/>
      <c r="E22" s="1473"/>
      <c r="F22" s="1473"/>
      <c r="G22" s="1473"/>
      <c r="H22" s="1473"/>
      <c r="I22" s="1473"/>
      <c r="J22" s="1473"/>
      <c r="K22" s="1473"/>
      <c r="L22" s="1473"/>
      <c r="M22" s="1473"/>
      <c r="N22" s="1473"/>
      <c r="O22" s="1473"/>
      <c r="P22" s="1473"/>
      <c r="Q22" s="1473"/>
      <c r="R22" s="1473"/>
      <c r="S22" s="1473"/>
      <c r="T22" s="1473"/>
      <c r="U22" s="1473"/>
      <c r="V22" s="1473"/>
      <c r="W22" s="1473"/>
      <c r="X22" s="1473"/>
      <c r="Y22" s="1473"/>
      <c r="Z22" s="1473"/>
      <c r="AA22" s="1473"/>
      <c r="AB22" s="1473"/>
      <c r="AC22" s="1473"/>
      <c r="AD22" s="1473"/>
      <c r="AE22" s="1473"/>
      <c r="AF22" s="1473"/>
    </row>
    <row r="23" spans="1:32" s="1" customFormat="1" x14ac:dyDescent="0.25"/>
    <row r="24" spans="1:32" s="1" customFormat="1" x14ac:dyDescent="0.25"/>
    <row r="25" spans="1:32" s="1" customFormat="1" x14ac:dyDescent="0.25">
      <c r="A25" s="1472" t="s">
        <v>14</v>
      </c>
      <c r="B25" s="1472"/>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row>
    <row r="26" spans="1:32" s="1" customFormat="1" x14ac:dyDescent="0.25"/>
    <row r="27" spans="1:32" s="1" customFormat="1" ht="36.75" customHeight="1" x14ac:dyDescent="0.25">
      <c r="A27" s="3348" t="s">
        <v>1082</v>
      </c>
      <c r="B27" s="3348"/>
      <c r="C27" s="3348"/>
      <c r="D27" s="3348"/>
      <c r="E27" s="3348"/>
      <c r="F27" s="3348"/>
      <c r="G27" s="3348"/>
      <c r="H27" s="3348"/>
      <c r="I27" s="3274" t="s">
        <v>2176</v>
      </c>
      <c r="J27" s="3274"/>
      <c r="K27" s="3274"/>
      <c r="L27" s="3274"/>
      <c r="M27" s="3274"/>
      <c r="N27" s="3274"/>
      <c r="O27" s="3274"/>
      <c r="P27" s="3274"/>
      <c r="Q27" s="3274"/>
      <c r="R27" s="3274"/>
      <c r="S27" s="3274"/>
      <c r="T27" s="3274"/>
      <c r="U27" s="3274"/>
      <c r="V27" s="3274"/>
      <c r="W27" s="3274"/>
      <c r="X27" s="3274"/>
      <c r="Y27" s="3274"/>
      <c r="Z27" s="3274"/>
      <c r="AA27" s="3274"/>
      <c r="AB27" s="3274"/>
      <c r="AC27" s="3274"/>
      <c r="AD27" s="3274"/>
      <c r="AE27" s="3274"/>
      <c r="AF27" s="3274"/>
    </row>
    <row r="28" spans="1:32" s="1" customFormat="1" ht="39" customHeight="1" x14ac:dyDescent="0.25">
      <c r="A28" s="3348" t="s">
        <v>1083</v>
      </c>
      <c r="B28" s="3348"/>
      <c r="C28" s="3348"/>
      <c r="D28" s="3348"/>
      <c r="E28" s="3348"/>
      <c r="F28" s="3348"/>
      <c r="G28" s="3348"/>
      <c r="H28" s="3348"/>
      <c r="I28" s="3274" t="s">
        <v>2177</v>
      </c>
      <c r="J28" s="3274"/>
      <c r="K28" s="3274"/>
      <c r="L28" s="3274"/>
      <c r="M28" s="3274"/>
      <c r="N28" s="3274"/>
      <c r="O28" s="3274"/>
      <c r="P28" s="3274"/>
      <c r="Q28" s="3274"/>
      <c r="R28" s="3274"/>
      <c r="S28" s="3274"/>
      <c r="T28" s="3274"/>
      <c r="U28" s="3274"/>
      <c r="V28" s="3274"/>
      <c r="W28" s="3274"/>
      <c r="X28" s="3274"/>
      <c r="Y28" s="3274"/>
      <c r="Z28" s="3274"/>
      <c r="AA28" s="3274"/>
      <c r="AB28" s="3274"/>
      <c r="AC28" s="3274"/>
      <c r="AD28" s="3274"/>
      <c r="AE28" s="3274"/>
      <c r="AF28" s="3274"/>
    </row>
    <row r="29" spans="1:32" s="1" customFormat="1" x14ac:dyDescent="0.25"/>
    <row r="30" spans="1:32" s="1" customFormat="1" x14ac:dyDescent="0.25"/>
    <row r="31" spans="1:32" s="1" customFormat="1" x14ac:dyDescent="0.25">
      <c r="A31" s="1472" t="s">
        <v>15</v>
      </c>
      <c r="B31" s="1472"/>
      <c r="C31" s="1472"/>
      <c r="D31" s="1472"/>
      <c r="E31" s="1472"/>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row>
    <row r="32" spans="1:32" s="1" customFormat="1" x14ac:dyDescent="0.25">
      <c r="A32" s="1474" t="s">
        <v>16</v>
      </c>
      <c r="B32" s="1474"/>
      <c r="C32" s="1474"/>
      <c r="D32" s="1474"/>
      <c r="E32" s="1474" t="s">
        <v>10</v>
      </c>
      <c r="F32" s="1474"/>
      <c r="G32" s="1474"/>
      <c r="H32" s="1474"/>
      <c r="I32" s="1474"/>
      <c r="J32" s="1474"/>
      <c r="K32" s="1474"/>
      <c r="L32" s="1474"/>
      <c r="M32" s="1474"/>
      <c r="N32" s="1474"/>
      <c r="O32" s="1474"/>
      <c r="P32" s="1474"/>
      <c r="Q32" s="1474" t="s">
        <v>17</v>
      </c>
      <c r="R32" s="1474"/>
      <c r="S32" s="1474"/>
      <c r="T32" s="1474"/>
      <c r="U32" s="1590" t="s">
        <v>18</v>
      </c>
      <c r="V32" s="1591"/>
      <c r="W32" s="1751"/>
      <c r="X32" s="1590" t="s">
        <v>19</v>
      </c>
      <c r="Y32" s="1591"/>
      <c r="Z32" s="1591"/>
      <c r="AA32" s="1591"/>
      <c r="AB32" s="1591"/>
      <c r="AC32" s="1591"/>
      <c r="AD32" s="1591"/>
      <c r="AE32" s="1591"/>
      <c r="AF32" s="1751"/>
    </row>
    <row r="33" spans="1:32" s="1" customFormat="1" ht="14.45" customHeight="1" x14ac:dyDescent="0.25">
      <c r="A33" s="1485" t="s">
        <v>1645</v>
      </c>
      <c r="B33" s="1486" t="s">
        <v>570</v>
      </c>
      <c r="C33" s="1486" t="s">
        <v>570</v>
      </c>
      <c r="D33" s="1487" t="s">
        <v>570</v>
      </c>
      <c r="E33" s="1479" t="s">
        <v>571</v>
      </c>
      <c r="F33" s="1480" t="s">
        <v>571</v>
      </c>
      <c r="G33" s="1480" t="s">
        <v>571</v>
      </c>
      <c r="H33" s="1480" t="s">
        <v>571</v>
      </c>
      <c r="I33" s="1480" t="s">
        <v>571</v>
      </c>
      <c r="J33" s="1480" t="s">
        <v>571</v>
      </c>
      <c r="K33" s="1480" t="s">
        <v>571</v>
      </c>
      <c r="L33" s="1480" t="s">
        <v>571</v>
      </c>
      <c r="M33" s="1480" t="s">
        <v>571</v>
      </c>
      <c r="N33" s="1480" t="s">
        <v>571</v>
      </c>
      <c r="O33" s="1480" t="s">
        <v>571</v>
      </c>
      <c r="P33" s="1481" t="s">
        <v>571</v>
      </c>
      <c r="Q33" s="3342">
        <v>0.4</v>
      </c>
      <c r="R33" s="3343">
        <v>0.4</v>
      </c>
      <c r="S33" s="3343">
        <v>0.4</v>
      </c>
      <c r="T33" s="3344">
        <v>0.4</v>
      </c>
      <c r="U33" s="1574" t="s">
        <v>28</v>
      </c>
      <c r="V33" s="1575"/>
      <c r="W33" s="1576"/>
      <c r="X33" s="1479"/>
      <c r="Y33" s="1480"/>
      <c r="Z33" s="1480"/>
      <c r="AA33" s="1480"/>
      <c r="AB33" s="1480"/>
      <c r="AC33" s="1480"/>
      <c r="AD33" s="1480"/>
      <c r="AE33" s="1480"/>
      <c r="AF33" s="1481"/>
    </row>
    <row r="34" spans="1:32" s="1" customFormat="1" ht="14.45" customHeight="1" x14ac:dyDescent="0.25">
      <c r="A34" s="1485" t="s">
        <v>1646</v>
      </c>
      <c r="B34" s="1486" t="s">
        <v>572</v>
      </c>
      <c r="C34" s="1486" t="s">
        <v>572</v>
      </c>
      <c r="D34" s="1487" t="s">
        <v>572</v>
      </c>
      <c r="E34" s="1479" t="s">
        <v>573</v>
      </c>
      <c r="F34" s="1480" t="s">
        <v>573</v>
      </c>
      <c r="G34" s="1480" t="s">
        <v>573</v>
      </c>
      <c r="H34" s="1480" t="s">
        <v>573</v>
      </c>
      <c r="I34" s="1480" t="s">
        <v>573</v>
      </c>
      <c r="J34" s="1480" t="s">
        <v>573</v>
      </c>
      <c r="K34" s="1480" t="s">
        <v>573</v>
      </c>
      <c r="L34" s="1480" t="s">
        <v>573</v>
      </c>
      <c r="M34" s="1480" t="s">
        <v>573</v>
      </c>
      <c r="N34" s="1480" t="s">
        <v>573</v>
      </c>
      <c r="O34" s="1480" t="s">
        <v>573</v>
      </c>
      <c r="P34" s="1481" t="s">
        <v>573</v>
      </c>
      <c r="Q34" s="3342">
        <v>0.4</v>
      </c>
      <c r="R34" s="3343">
        <v>0.4</v>
      </c>
      <c r="S34" s="3343">
        <v>0.4</v>
      </c>
      <c r="T34" s="3344">
        <v>0.4</v>
      </c>
      <c r="U34" s="1574" t="s">
        <v>28</v>
      </c>
      <c r="V34" s="1575"/>
      <c r="W34" s="1576"/>
      <c r="X34" s="1479"/>
      <c r="Y34" s="1480"/>
      <c r="Z34" s="1480"/>
      <c r="AA34" s="1480"/>
      <c r="AB34" s="1480"/>
      <c r="AC34" s="1480"/>
      <c r="AD34" s="1480"/>
      <c r="AE34" s="1480"/>
      <c r="AF34" s="1481"/>
    </row>
    <row r="35" spans="1:32" s="1" customFormat="1" ht="14.45" customHeight="1" x14ac:dyDescent="0.25">
      <c r="A35" s="1485" t="s">
        <v>1647</v>
      </c>
      <c r="B35" s="1486" t="s">
        <v>574</v>
      </c>
      <c r="C35" s="1486" t="s">
        <v>574</v>
      </c>
      <c r="D35" s="1487" t="s">
        <v>574</v>
      </c>
      <c r="E35" s="1479" t="s">
        <v>575</v>
      </c>
      <c r="F35" s="1480" t="s">
        <v>575</v>
      </c>
      <c r="G35" s="1480" t="s">
        <v>575</v>
      </c>
      <c r="H35" s="1480" t="s">
        <v>575</v>
      </c>
      <c r="I35" s="1480" t="s">
        <v>575</v>
      </c>
      <c r="J35" s="1480" t="s">
        <v>575</v>
      </c>
      <c r="K35" s="1480" t="s">
        <v>575</v>
      </c>
      <c r="L35" s="1480" t="s">
        <v>575</v>
      </c>
      <c r="M35" s="1480" t="s">
        <v>575</v>
      </c>
      <c r="N35" s="1480" t="s">
        <v>575</v>
      </c>
      <c r="O35" s="1480" t="s">
        <v>575</v>
      </c>
      <c r="P35" s="1481" t="s">
        <v>575</v>
      </c>
      <c r="Q35" s="3342">
        <v>0.2</v>
      </c>
      <c r="R35" s="3343">
        <v>0.2</v>
      </c>
      <c r="S35" s="3343">
        <v>0.2</v>
      </c>
      <c r="T35" s="3344">
        <v>0.2</v>
      </c>
      <c r="U35" s="1574" t="s">
        <v>28</v>
      </c>
      <c r="V35" s="1575"/>
      <c r="W35" s="1576"/>
      <c r="X35" s="1479"/>
      <c r="Y35" s="1480"/>
      <c r="Z35" s="1480"/>
      <c r="AA35" s="1480"/>
      <c r="AB35" s="1480"/>
      <c r="AC35" s="1480"/>
      <c r="AD35" s="1480"/>
      <c r="AE35" s="1480"/>
      <c r="AF35" s="1481"/>
    </row>
    <row r="36" spans="1:32" s="1" customFormat="1" ht="14.45" customHeight="1" x14ac:dyDescent="0.25">
      <c r="A36" s="1485" t="s">
        <v>1648</v>
      </c>
      <c r="B36" s="1486" t="s">
        <v>576</v>
      </c>
      <c r="C36" s="1486" t="s">
        <v>576</v>
      </c>
      <c r="D36" s="1487" t="s">
        <v>576</v>
      </c>
      <c r="E36" s="1479" t="s">
        <v>577</v>
      </c>
      <c r="F36" s="1480" t="s">
        <v>577</v>
      </c>
      <c r="G36" s="1480" t="s">
        <v>577</v>
      </c>
      <c r="H36" s="1480" t="s">
        <v>577</v>
      </c>
      <c r="I36" s="1480" t="s">
        <v>577</v>
      </c>
      <c r="J36" s="1480" t="s">
        <v>577</v>
      </c>
      <c r="K36" s="1480" t="s">
        <v>577</v>
      </c>
      <c r="L36" s="1480" t="s">
        <v>577</v>
      </c>
      <c r="M36" s="1480" t="s">
        <v>577</v>
      </c>
      <c r="N36" s="1480" t="s">
        <v>577</v>
      </c>
      <c r="O36" s="1480" t="s">
        <v>577</v>
      </c>
      <c r="P36" s="1481" t="s">
        <v>577</v>
      </c>
      <c r="Q36" s="3345">
        <v>1.52E-2</v>
      </c>
      <c r="R36" s="3346">
        <v>1.52E-2</v>
      </c>
      <c r="S36" s="3346">
        <v>1.52E-2</v>
      </c>
      <c r="T36" s="3347">
        <v>1.52E-2</v>
      </c>
      <c r="U36" s="1574" t="s">
        <v>26</v>
      </c>
      <c r="V36" s="1575"/>
      <c r="W36" s="1576"/>
      <c r="X36" s="1479"/>
      <c r="Y36" s="1480"/>
      <c r="Z36" s="1480"/>
      <c r="AA36" s="1480"/>
      <c r="AB36" s="1480"/>
      <c r="AC36" s="1480"/>
      <c r="AD36" s="1480"/>
      <c r="AE36" s="1480"/>
      <c r="AF36" s="1481"/>
    </row>
    <row r="37" spans="1:32" s="1" customFormat="1" ht="43.15" customHeight="1" x14ac:dyDescent="0.25">
      <c r="A37" s="1577" t="s">
        <v>1649</v>
      </c>
      <c r="B37" s="1486" t="s">
        <v>578</v>
      </c>
      <c r="C37" s="1486" t="s">
        <v>578</v>
      </c>
      <c r="D37" s="1487" t="s">
        <v>578</v>
      </c>
      <c r="E37" s="1479" t="s">
        <v>579</v>
      </c>
      <c r="F37" s="1480" t="s">
        <v>579</v>
      </c>
      <c r="G37" s="1480" t="s">
        <v>579</v>
      </c>
      <c r="H37" s="1480" t="s">
        <v>579</v>
      </c>
      <c r="I37" s="1480" t="s">
        <v>579</v>
      </c>
      <c r="J37" s="1480" t="s">
        <v>579</v>
      </c>
      <c r="K37" s="1480" t="s">
        <v>579</v>
      </c>
      <c r="L37" s="1480" t="s">
        <v>579</v>
      </c>
      <c r="M37" s="1480" t="s">
        <v>579</v>
      </c>
      <c r="N37" s="1480" t="s">
        <v>579</v>
      </c>
      <c r="O37" s="1480" t="s">
        <v>579</v>
      </c>
      <c r="P37" s="1481" t="s">
        <v>579</v>
      </c>
      <c r="Q37" s="3345">
        <v>1.17E-2</v>
      </c>
      <c r="R37" s="3346">
        <v>1.17E-2</v>
      </c>
      <c r="S37" s="3346">
        <v>1.17E-2</v>
      </c>
      <c r="T37" s="3347">
        <v>1.17E-2</v>
      </c>
      <c r="U37" s="1574" t="s">
        <v>26</v>
      </c>
      <c r="V37" s="1575"/>
      <c r="W37" s="1576"/>
      <c r="X37" s="1479" t="s">
        <v>580</v>
      </c>
      <c r="Y37" s="1480" t="s">
        <v>580</v>
      </c>
      <c r="Z37" s="1480" t="s">
        <v>580</v>
      </c>
      <c r="AA37" s="1480" t="s">
        <v>580</v>
      </c>
      <c r="AB37" s="1480" t="s">
        <v>580</v>
      </c>
      <c r="AC37" s="1480" t="s">
        <v>580</v>
      </c>
      <c r="AD37" s="1480" t="s">
        <v>580</v>
      </c>
      <c r="AE37" s="1480" t="s">
        <v>580</v>
      </c>
      <c r="AF37" s="1481" t="s">
        <v>580</v>
      </c>
    </row>
    <row r="38" spans="1:32" s="1" customFormat="1" ht="28.9" customHeight="1" x14ac:dyDescent="0.25">
      <c r="A38" s="1577" t="s">
        <v>1650</v>
      </c>
      <c r="B38" s="1486" t="s">
        <v>581</v>
      </c>
      <c r="C38" s="1486" t="s">
        <v>581</v>
      </c>
      <c r="D38" s="1487" t="s">
        <v>581</v>
      </c>
      <c r="E38" s="1479" t="s">
        <v>582</v>
      </c>
      <c r="F38" s="1480" t="s">
        <v>582</v>
      </c>
      <c r="G38" s="1480" t="s">
        <v>582</v>
      </c>
      <c r="H38" s="1480" t="s">
        <v>582</v>
      </c>
      <c r="I38" s="1480" t="s">
        <v>582</v>
      </c>
      <c r="J38" s="1480" t="s">
        <v>582</v>
      </c>
      <c r="K38" s="1480" t="s">
        <v>582</v>
      </c>
      <c r="L38" s="1480" t="s">
        <v>582</v>
      </c>
      <c r="M38" s="1480" t="s">
        <v>582</v>
      </c>
      <c r="N38" s="1480" t="s">
        <v>582</v>
      </c>
      <c r="O38" s="1480" t="s">
        <v>582</v>
      </c>
      <c r="P38" s="1481" t="s">
        <v>582</v>
      </c>
      <c r="Q38" s="3349">
        <v>3.4799999999999998E-2</v>
      </c>
      <c r="R38" s="3350">
        <v>3.4799999999999998E-2</v>
      </c>
      <c r="S38" s="3350">
        <v>3.4799999999999998E-2</v>
      </c>
      <c r="T38" s="3351">
        <v>3.4799999999999998E-2</v>
      </c>
      <c r="U38" s="1574" t="s">
        <v>26</v>
      </c>
      <c r="V38" s="1575"/>
      <c r="W38" s="1576"/>
      <c r="X38" s="1479"/>
      <c r="Y38" s="1480"/>
      <c r="Z38" s="1480"/>
      <c r="AA38" s="1480"/>
      <c r="AB38" s="1480"/>
      <c r="AC38" s="1480"/>
      <c r="AD38" s="1480"/>
      <c r="AE38" s="1480"/>
      <c r="AF38" s="1481"/>
    </row>
    <row r="39" spans="1:32" s="1" customFormat="1" ht="28.9" customHeight="1" x14ac:dyDescent="0.25">
      <c r="A39" s="1485" t="s">
        <v>1651</v>
      </c>
      <c r="B39" s="1486" t="s">
        <v>583</v>
      </c>
      <c r="C39" s="1486" t="s">
        <v>583</v>
      </c>
      <c r="D39" s="1487" t="s">
        <v>583</v>
      </c>
      <c r="E39" s="1479" t="s">
        <v>584</v>
      </c>
      <c r="F39" s="1480" t="s">
        <v>584</v>
      </c>
      <c r="G39" s="1480" t="s">
        <v>584</v>
      </c>
      <c r="H39" s="1480" t="s">
        <v>584</v>
      </c>
      <c r="I39" s="1480" t="s">
        <v>584</v>
      </c>
      <c r="J39" s="1480" t="s">
        <v>584</v>
      </c>
      <c r="K39" s="1480" t="s">
        <v>584</v>
      </c>
      <c r="L39" s="1480" t="s">
        <v>584</v>
      </c>
      <c r="M39" s="1480" t="s">
        <v>584</v>
      </c>
      <c r="N39" s="1480" t="s">
        <v>584</v>
      </c>
      <c r="O39" s="1480" t="s">
        <v>584</v>
      </c>
      <c r="P39" s="1481" t="s">
        <v>584</v>
      </c>
      <c r="Q39" s="3349">
        <v>3.1399999999999997E-2</v>
      </c>
      <c r="R39" s="3350">
        <v>3.1399999999999997E-2</v>
      </c>
      <c r="S39" s="3350">
        <v>3.1399999999999997E-2</v>
      </c>
      <c r="T39" s="3351">
        <v>3.1399999999999997E-2</v>
      </c>
      <c r="U39" s="1574" t="s">
        <v>26</v>
      </c>
      <c r="V39" s="1575"/>
      <c r="W39" s="1576"/>
      <c r="X39" s="1479" t="s">
        <v>585</v>
      </c>
      <c r="Y39" s="1480" t="s">
        <v>585</v>
      </c>
      <c r="Z39" s="1480" t="s">
        <v>585</v>
      </c>
      <c r="AA39" s="1480" t="s">
        <v>585</v>
      </c>
      <c r="AB39" s="1480" t="s">
        <v>585</v>
      </c>
      <c r="AC39" s="1480" t="s">
        <v>585</v>
      </c>
      <c r="AD39" s="1480" t="s">
        <v>585</v>
      </c>
      <c r="AE39" s="1480" t="s">
        <v>585</v>
      </c>
      <c r="AF39" s="1481" t="s">
        <v>585</v>
      </c>
    </row>
    <row r="40" spans="1:32" s="1" customFormat="1" ht="28.9" customHeight="1" x14ac:dyDescent="0.25">
      <c r="A40" s="1485" t="s">
        <v>1652</v>
      </c>
      <c r="B40" s="1486" t="s">
        <v>586</v>
      </c>
      <c r="C40" s="1486" t="s">
        <v>586</v>
      </c>
      <c r="D40" s="1487" t="s">
        <v>586</v>
      </c>
      <c r="E40" s="1479" t="s">
        <v>587</v>
      </c>
      <c r="F40" s="1480" t="s">
        <v>587</v>
      </c>
      <c r="G40" s="1480" t="s">
        <v>587</v>
      </c>
      <c r="H40" s="1480" t="s">
        <v>587</v>
      </c>
      <c r="I40" s="1480" t="s">
        <v>587</v>
      </c>
      <c r="J40" s="1480" t="s">
        <v>587</v>
      </c>
      <c r="K40" s="1480" t="s">
        <v>587</v>
      </c>
      <c r="L40" s="1480" t="s">
        <v>587</v>
      </c>
      <c r="M40" s="1480" t="s">
        <v>587</v>
      </c>
      <c r="N40" s="1480" t="s">
        <v>587</v>
      </c>
      <c r="O40" s="1480" t="s">
        <v>587</v>
      </c>
      <c r="P40" s="1481" t="s">
        <v>587</v>
      </c>
      <c r="Q40" s="3349">
        <v>7.2499999999999995E-2</v>
      </c>
      <c r="R40" s="3350">
        <v>7.2499999999999995E-2</v>
      </c>
      <c r="S40" s="3350">
        <v>7.2499999999999995E-2</v>
      </c>
      <c r="T40" s="3351">
        <v>7.2499999999999995E-2</v>
      </c>
      <c r="U40" s="1574" t="s">
        <v>26</v>
      </c>
      <c r="V40" s="1575"/>
      <c r="W40" s="1576"/>
      <c r="X40" s="1479"/>
      <c r="Y40" s="1480"/>
      <c r="Z40" s="1480"/>
      <c r="AA40" s="1480"/>
      <c r="AB40" s="1480"/>
      <c r="AC40" s="1480"/>
      <c r="AD40" s="1480"/>
      <c r="AE40" s="1480"/>
      <c r="AF40" s="1481"/>
    </row>
    <row r="41" spans="1:32" s="1" customFormat="1" ht="28.9" customHeight="1" x14ac:dyDescent="0.25">
      <c r="A41" s="1485" t="s">
        <v>1653</v>
      </c>
      <c r="B41" s="1486" t="s">
        <v>588</v>
      </c>
      <c r="C41" s="1486" t="s">
        <v>588</v>
      </c>
      <c r="D41" s="1487" t="s">
        <v>588</v>
      </c>
      <c r="E41" s="1479" t="s">
        <v>589</v>
      </c>
      <c r="F41" s="1480" t="s">
        <v>589</v>
      </c>
      <c r="G41" s="1480" t="s">
        <v>589</v>
      </c>
      <c r="H41" s="1480" t="s">
        <v>589</v>
      </c>
      <c r="I41" s="1480" t="s">
        <v>589</v>
      </c>
      <c r="J41" s="1480" t="s">
        <v>589</v>
      </c>
      <c r="K41" s="1480" t="s">
        <v>589</v>
      </c>
      <c r="L41" s="1480" t="s">
        <v>589</v>
      </c>
      <c r="M41" s="1480" t="s">
        <v>589</v>
      </c>
      <c r="N41" s="1480" t="s">
        <v>589</v>
      </c>
      <c r="O41" s="1480" t="s">
        <v>589</v>
      </c>
      <c r="P41" s="1481" t="s">
        <v>589</v>
      </c>
      <c r="Q41" s="3349">
        <v>7.1499999999999994E-2</v>
      </c>
      <c r="R41" s="3350">
        <v>7.1499999999999994E-2</v>
      </c>
      <c r="S41" s="3350">
        <v>7.1499999999999994E-2</v>
      </c>
      <c r="T41" s="3351">
        <v>7.1499999999999994E-2</v>
      </c>
      <c r="U41" s="1574" t="s">
        <v>26</v>
      </c>
      <c r="V41" s="1575"/>
      <c r="W41" s="1576"/>
      <c r="X41" s="1479" t="s">
        <v>590</v>
      </c>
      <c r="Y41" s="1480" t="s">
        <v>590</v>
      </c>
      <c r="Z41" s="1480" t="s">
        <v>590</v>
      </c>
      <c r="AA41" s="1480" t="s">
        <v>590</v>
      </c>
      <c r="AB41" s="1480" t="s">
        <v>590</v>
      </c>
      <c r="AC41" s="1480" t="s">
        <v>590</v>
      </c>
      <c r="AD41" s="1480" t="s">
        <v>590</v>
      </c>
      <c r="AE41" s="1480" t="s">
        <v>590</v>
      </c>
      <c r="AF41" s="1481" t="s">
        <v>590</v>
      </c>
    </row>
    <row r="42" spans="1:32" s="1" customFormat="1" ht="14.45" customHeight="1" x14ac:dyDescent="0.25">
      <c r="A42" s="1485" t="s">
        <v>1654</v>
      </c>
      <c r="B42" s="1486" t="s">
        <v>591</v>
      </c>
      <c r="C42" s="1486" t="s">
        <v>591</v>
      </c>
      <c r="D42" s="1487" t="s">
        <v>591</v>
      </c>
      <c r="E42" s="1479" t="s">
        <v>1084</v>
      </c>
      <c r="F42" s="1480" t="s">
        <v>592</v>
      </c>
      <c r="G42" s="1480" t="s">
        <v>592</v>
      </c>
      <c r="H42" s="1480" t="s">
        <v>592</v>
      </c>
      <c r="I42" s="1480" t="s">
        <v>592</v>
      </c>
      <c r="J42" s="1480" t="s">
        <v>592</v>
      </c>
      <c r="K42" s="1480" t="s">
        <v>592</v>
      </c>
      <c r="L42" s="1480" t="s">
        <v>592</v>
      </c>
      <c r="M42" s="1480" t="s">
        <v>592</v>
      </c>
      <c r="N42" s="1480" t="s">
        <v>592</v>
      </c>
      <c r="O42" s="1480" t="s">
        <v>592</v>
      </c>
      <c r="P42" s="1481" t="s">
        <v>592</v>
      </c>
      <c r="Q42" s="3352">
        <v>0.129</v>
      </c>
      <c r="R42" s="3353">
        <v>0.129</v>
      </c>
      <c r="S42" s="3353">
        <v>0.129</v>
      </c>
      <c r="T42" s="3354">
        <v>0.129</v>
      </c>
      <c r="U42" s="1574" t="s">
        <v>26</v>
      </c>
      <c r="V42" s="1575"/>
      <c r="W42" s="1576"/>
      <c r="X42" s="1479" t="s">
        <v>1090</v>
      </c>
      <c r="Y42" s="1480" t="s">
        <v>593</v>
      </c>
      <c r="Z42" s="1480" t="s">
        <v>593</v>
      </c>
      <c r="AA42" s="1480" t="s">
        <v>593</v>
      </c>
      <c r="AB42" s="1480" t="s">
        <v>593</v>
      </c>
      <c r="AC42" s="1480" t="s">
        <v>593</v>
      </c>
      <c r="AD42" s="1480" t="s">
        <v>593</v>
      </c>
      <c r="AE42" s="1480" t="s">
        <v>593</v>
      </c>
      <c r="AF42" s="1481" t="s">
        <v>593</v>
      </c>
    </row>
    <row r="43" spans="1:32" s="1" customFormat="1" ht="14.45" customHeight="1" x14ac:dyDescent="0.25">
      <c r="A43" s="1485" t="s">
        <v>1655</v>
      </c>
      <c r="B43" s="1486" t="s">
        <v>594</v>
      </c>
      <c r="C43" s="1486" t="s">
        <v>594</v>
      </c>
      <c r="D43" s="1487" t="s">
        <v>594</v>
      </c>
      <c r="E43" s="1479" t="s">
        <v>1085</v>
      </c>
      <c r="F43" s="1480" t="s">
        <v>595</v>
      </c>
      <c r="G43" s="1480" t="s">
        <v>595</v>
      </c>
      <c r="H43" s="1480" t="s">
        <v>595</v>
      </c>
      <c r="I43" s="1480" t="s">
        <v>595</v>
      </c>
      <c r="J43" s="1480" t="s">
        <v>595</v>
      </c>
      <c r="K43" s="1480" t="s">
        <v>595</v>
      </c>
      <c r="L43" s="1480" t="s">
        <v>595</v>
      </c>
      <c r="M43" s="1480" t="s">
        <v>595</v>
      </c>
      <c r="N43" s="1480" t="s">
        <v>595</v>
      </c>
      <c r="O43" s="1480" t="s">
        <v>595</v>
      </c>
      <c r="P43" s="1481" t="s">
        <v>595</v>
      </c>
      <c r="Q43" s="2490">
        <v>0.06</v>
      </c>
      <c r="R43" s="2491">
        <v>0.06</v>
      </c>
      <c r="S43" s="2491">
        <v>0.06</v>
      </c>
      <c r="T43" s="2492">
        <v>0.06</v>
      </c>
      <c r="U43" s="1574" t="s">
        <v>26</v>
      </c>
      <c r="V43" s="1575"/>
      <c r="W43" s="1576"/>
      <c r="X43" s="1479"/>
      <c r="Y43" s="1480"/>
      <c r="Z43" s="1480"/>
      <c r="AA43" s="1480"/>
      <c r="AB43" s="1480"/>
      <c r="AC43" s="1480"/>
      <c r="AD43" s="1480"/>
      <c r="AE43" s="1480"/>
      <c r="AF43" s="1481"/>
    </row>
    <row r="44" spans="1:32" s="1" customFormat="1" ht="14.45" customHeight="1" x14ac:dyDescent="0.25">
      <c r="A44" s="1485" t="s">
        <v>545</v>
      </c>
      <c r="B44" s="1486" t="s">
        <v>545</v>
      </c>
      <c r="C44" s="1486" t="s">
        <v>545</v>
      </c>
      <c r="D44" s="1487" t="s">
        <v>545</v>
      </c>
      <c r="E44" s="1479" t="s">
        <v>104</v>
      </c>
      <c r="F44" s="1480" t="s">
        <v>546</v>
      </c>
      <c r="G44" s="1480" t="s">
        <v>546</v>
      </c>
      <c r="H44" s="1480" t="s">
        <v>546</v>
      </c>
      <c r="I44" s="1480" t="s">
        <v>546</v>
      </c>
      <c r="J44" s="1480" t="s">
        <v>546</v>
      </c>
      <c r="K44" s="1480" t="s">
        <v>546</v>
      </c>
      <c r="L44" s="1480" t="s">
        <v>546</v>
      </c>
      <c r="M44" s="1480" t="s">
        <v>546</v>
      </c>
      <c r="N44" s="1480" t="s">
        <v>546</v>
      </c>
      <c r="O44" s="1480" t="s">
        <v>546</v>
      </c>
      <c r="P44" s="1481" t="s">
        <v>546</v>
      </c>
      <c r="Q44" s="3342">
        <v>0.11</v>
      </c>
      <c r="R44" s="3343">
        <v>0.11</v>
      </c>
      <c r="S44" s="3343">
        <v>0.11</v>
      </c>
      <c r="T44" s="3344">
        <v>0.11</v>
      </c>
      <c r="U44" s="1574" t="s">
        <v>28</v>
      </c>
      <c r="V44" s="1575"/>
      <c r="W44" s="1576"/>
      <c r="X44" s="1479"/>
      <c r="Y44" s="1480"/>
      <c r="Z44" s="1480"/>
      <c r="AA44" s="1480"/>
      <c r="AB44" s="1480"/>
      <c r="AC44" s="1480"/>
      <c r="AD44" s="1480"/>
      <c r="AE44" s="1480"/>
      <c r="AF44" s="1481"/>
    </row>
    <row r="45" spans="1:32" s="1" customFormat="1" ht="30" customHeight="1" x14ac:dyDescent="0.25">
      <c r="A45" s="1485" t="s">
        <v>1656</v>
      </c>
      <c r="B45" s="1486" t="s">
        <v>596</v>
      </c>
      <c r="C45" s="1486" t="s">
        <v>596</v>
      </c>
      <c r="D45" s="1487" t="s">
        <v>596</v>
      </c>
      <c r="E45" s="1479" t="s">
        <v>1086</v>
      </c>
      <c r="F45" s="1480" t="s">
        <v>597</v>
      </c>
      <c r="G45" s="1480" t="s">
        <v>597</v>
      </c>
      <c r="H45" s="1480" t="s">
        <v>597</v>
      </c>
      <c r="I45" s="1480" t="s">
        <v>597</v>
      </c>
      <c r="J45" s="1480" t="s">
        <v>597</v>
      </c>
      <c r="K45" s="1480" t="s">
        <v>597</v>
      </c>
      <c r="L45" s="1480" t="s">
        <v>597</v>
      </c>
      <c r="M45" s="1480" t="s">
        <v>597</v>
      </c>
      <c r="N45" s="1480" t="s">
        <v>597</v>
      </c>
      <c r="O45" s="1480" t="s">
        <v>597</v>
      </c>
      <c r="P45" s="1481" t="s">
        <v>597</v>
      </c>
      <c r="Q45" s="2668">
        <v>1022</v>
      </c>
      <c r="R45" s="3332">
        <v>1022</v>
      </c>
      <c r="S45" s="3332">
        <v>1022</v>
      </c>
      <c r="T45" s="3333">
        <v>1022</v>
      </c>
      <c r="U45" s="1574" t="s">
        <v>45</v>
      </c>
      <c r="V45" s="1575"/>
      <c r="W45" s="1576"/>
      <c r="X45" s="1479" t="s">
        <v>598</v>
      </c>
      <c r="Y45" s="1480" t="s">
        <v>598</v>
      </c>
      <c r="Z45" s="1480" t="s">
        <v>598</v>
      </c>
      <c r="AA45" s="1480" t="s">
        <v>598</v>
      </c>
      <c r="AB45" s="1480" t="s">
        <v>598</v>
      </c>
      <c r="AC45" s="1480" t="s">
        <v>598</v>
      </c>
      <c r="AD45" s="1480" t="s">
        <v>598</v>
      </c>
      <c r="AE45" s="1480" t="s">
        <v>598</v>
      </c>
      <c r="AF45" s="1481" t="s">
        <v>598</v>
      </c>
    </row>
    <row r="46" spans="1:32" s="1" customFormat="1" ht="30" customHeight="1" x14ac:dyDescent="0.25">
      <c r="A46" s="1485" t="s">
        <v>1657</v>
      </c>
      <c r="B46" s="1486" t="s">
        <v>599</v>
      </c>
      <c r="C46" s="1486" t="s">
        <v>599</v>
      </c>
      <c r="D46" s="1487" t="s">
        <v>599</v>
      </c>
      <c r="E46" s="1479" t="s">
        <v>1087</v>
      </c>
      <c r="F46" s="1480" t="s">
        <v>600</v>
      </c>
      <c r="G46" s="1480" t="s">
        <v>600</v>
      </c>
      <c r="H46" s="1480" t="s">
        <v>600</v>
      </c>
      <c r="I46" s="1480" t="s">
        <v>600</v>
      </c>
      <c r="J46" s="1480" t="s">
        <v>600</v>
      </c>
      <c r="K46" s="1480" t="s">
        <v>600</v>
      </c>
      <c r="L46" s="1480" t="s">
        <v>600</v>
      </c>
      <c r="M46" s="1480" t="s">
        <v>600</v>
      </c>
      <c r="N46" s="1480" t="s">
        <v>600</v>
      </c>
      <c r="O46" s="1480" t="s">
        <v>600</v>
      </c>
      <c r="P46" s="1481" t="s">
        <v>600</v>
      </c>
      <c r="Q46" s="3355">
        <v>839.5</v>
      </c>
      <c r="R46" s="3356">
        <v>839.5</v>
      </c>
      <c r="S46" s="3356">
        <v>839.5</v>
      </c>
      <c r="T46" s="3357">
        <v>839.5</v>
      </c>
      <c r="U46" s="1574" t="s">
        <v>45</v>
      </c>
      <c r="V46" s="1575"/>
      <c r="W46" s="1576"/>
      <c r="X46" s="1479" t="s">
        <v>601</v>
      </c>
      <c r="Y46" s="1480" t="s">
        <v>601</v>
      </c>
      <c r="Z46" s="1480" t="s">
        <v>601</v>
      </c>
      <c r="AA46" s="1480" t="s">
        <v>601</v>
      </c>
      <c r="AB46" s="1480" t="s">
        <v>601</v>
      </c>
      <c r="AC46" s="1480" t="s">
        <v>601</v>
      </c>
      <c r="AD46" s="1480" t="s">
        <v>601</v>
      </c>
      <c r="AE46" s="1480" t="s">
        <v>601</v>
      </c>
      <c r="AF46" s="1481" t="s">
        <v>601</v>
      </c>
    </row>
    <row r="47" spans="1:32" s="1" customFormat="1" ht="43.15" customHeight="1" x14ac:dyDescent="0.25">
      <c r="A47" s="1485" t="s">
        <v>1658</v>
      </c>
      <c r="B47" s="1486" t="s">
        <v>602</v>
      </c>
      <c r="C47" s="1486" t="s">
        <v>602</v>
      </c>
      <c r="D47" s="1487" t="s">
        <v>602</v>
      </c>
      <c r="E47" s="1479" t="s">
        <v>1088</v>
      </c>
      <c r="F47" s="1480" t="s">
        <v>603</v>
      </c>
      <c r="G47" s="1480" t="s">
        <v>603</v>
      </c>
      <c r="H47" s="1480" t="s">
        <v>603</v>
      </c>
      <c r="I47" s="1480" t="s">
        <v>603</v>
      </c>
      <c r="J47" s="1480" t="s">
        <v>603</v>
      </c>
      <c r="K47" s="1480" t="s">
        <v>603</v>
      </c>
      <c r="L47" s="1480" t="s">
        <v>603</v>
      </c>
      <c r="M47" s="1480" t="s">
        <v>603</v>
      </c>
      <c r="N47" s="1480" t="s">
        <v>603</v>
      </c>
      <c r="O47" s="1480" t="s">
        <v>603</v>
      </c>
      <c r="P47" s="1481" t="s">
        <v>603</v>
      </c>
      <c r="Q47" s="2493">
        <v>1.21</v>
      </c>
      <c r="R47" s="2494">
        <v>1.21</v>
      </c>
      <c r="S47" s="2494">
        <v>1.21</v>
      </c>
      <c r="T47" s="2495">
        <v>1.21</v>
      </c>
      <c r="U47" s="1574" t="s">
        <v>28</v>
      </c>
      <c r="V47" s="1575"/>
      <c r="W47" s="1576"/>
      <c r="X47" s="1479"/>
      <c r="Y47" s="1480"/>
      <c r="Z47" s="1480"/>
      <c r="AA47" s="1480"/>
      <c r="AB47" s="1480"/>
      <c r="AC47" s="1480"/>
      <c r="AD47" s="1480"/>
      <c r="AE47" s="1480"/>
      <c r="AF47" s="1481"/>
    </row>
    <row r="48" spans="1:32" s="1" customFormat="1" ht="43.15" customHeight="1" x14ac:dyDescent="0.25">
      <c r="A48" s="1577" t="s">
        <v>1659</v>
      </c>
      <c r="B48" s="1486" t="s">
        <v>604</v>
      </c>
      <c r="C48" s="1486" t="s">
        <v>604</v>
      </c>
      <c r="D48" s="1487" t="s">
        <v>604</v>
      </c>
      <c r="E48" s="1479" t="s">
        <v>1089</v>
      </c>
      <c r="F48" s="1480" t="s">
        <v>605</v>
      </c>
      <c r="G48" s="1480" t="s">
        <v>605</v>
      </c>
      <c r="H48" s="1480" t="s">
        <v>605</v>
      </c>
      <c r="I48" s="1480" t="s">
        <v>605</v>
      </c>
      <c r="J48" s="1480" t="s">
        <v>605</v>
      </c>
      <c r="K48" s="1480" t="s">
        <v>605</v>
      </c>
      <c r="L48" s="1480" t="s">
        <v>605</v>
      </c>
      <c r="M48" s="1480" t="s">
        <v>605</v>
      </c>
      <c r="N48" s="1480" t="s">
        <v>605</v>
      </c>
      <c r="O48" s="1480" t="s">
        <v>605</v>
      </c>
      <c r="P48" s="1481" t="s">
        <v>605</v>
      </c>
      <c r="Q48" s="2493">
        <v>1.07</v>
      </c>
      <c r="R48" s="2494">
        <v>1.07</v>
      </c>
      <c r="S48" s="2494">
        <v>1.07</v>
      </c>
      <c r="T48" s="2495">
        <v>1.07</v>
      </c>
      <c r="U48" s="1574" t="s">
        <v>28</v>
      </c>
      <c r="V48" s="1575"/>
      <c r="W48" s="1576"/>
      <c r="X48" s="1479"/>
      <c r="Y48" s="1480"/>
      <c r="Z48" s="1480"/>
      <c r="AA48" s="1480"/>
      <c r="AB48" s="1480"/>
      <c r="AC48" s="1480"/>
      <c r="AD48" s="1480"/>
      <c r="AE48" s="1480"/>
      <c r="AF48" s="1481"/>
    </row>
    <row r="49" spans="1:32" s="1" customFormat="1" ht="28.9" customHeight="1" x14ac:dyDescent="0.25">
      <c r="A49" s="1577" t="s">
        <v>34</v>
      </c>
      <c r="B49" s="1486" t="s">
        <v>34</v>
      </c>
      <c r="C49" s="1486" t="s">
        <v>34</v>
      </c>
      <c r="D49" s="1487" t="s">
        <v>34</v>
      </c>
      <c r="E49" s="1479" t="s">
        <v>35</v>
      </c>
      <c r="F49" s="1480" t="s">
        <v>219</v>
      </c>
      <c r="G49" s="1480" t="s">
        <v>219</v>
      </c>
      <c r="H49" s="1480" t="s">
        <v>219</v>
      </c>
      <c r="I49" s="1480" t="s">
        <v>219</v>
      </c>
      <c r="J49" s="1480" t="s">
        <v>219</v>
      </c>
      <c r="K49" s="1480" t="s">
        <v>219</v>
      </c>
      <c r="L49" s="1480" t="s">
        <v>219</v>
      </c>
      <c r="M49" s="1480" t="s">
        <v>219</v>
      </c>
      <c r="N49" s="1480" t="s">
        <v>219</v>
      </c>
      <c r="O49" s="1480" t="s">
        <v>219</v>
      </c>
      <c r="P49" s="1481" t="s">
        <v>219</v>
      </c>
      <c r="Q49" s="3318">
        <f>'Master EUL'!X22</f>
        <v>5</v>
      </c>
      <c r="R49" s="3319" t="s">
        <v>606</v>
      </c>
      <c r="S49" s="3319" t="s">
        <v>606</v>
      </c>
      <c r="T49" s="3320" t="s">
        <v>606</v>
      </c>
      <c r="U49" s="1574" t="s">
        <v>46</v>
      </c>
      <c r="V49" s="1575"/>
      <c r="W49" s="1576"/>
      <c r="X49" s="1479"/>
      <c r="Y49" s="1480"/>
      <c r="Z49" s="1480"/>
      <c r="AA49" s="1480"/>
      <c r="AB49" s="1480"/>
      <c r="AC49" s="1480"/>
      <c r="AD49" s="1480"/>
      <c r="AE49" s="1480"/>
      <c r="AF49" s="1481"/>
    </row>
    <row r="50" spans="1:32" x14ac:dyDescent="0.25">
      <c r="A50" s="2438" t="s">
        <v>374</v>
      </c>
      <c r="B50" s="2438"/>
      <c r="C50" s="3283" t="s">
        <v>2977</v>
      </c>
      <c r="D50" s="3283"/>
      <c r="E50" s="3283"/>
      <c r="F50" s="3283"/>
      <c r="G50" s="3283"/>
      <c r="H50" s="3283"/>
      <c r="I50" s="3283"/>
      <c r="J50" s="3283"/>
      <c r="K50" s="3283"/>
      <c r="L50" s="3283"/>
      <c r="M50" s="3283"/>
      <c r="N50" s="3283"/>
      <c r="O50" s="3283"/>
      <c r="P50" s="3283"/>
      <c r="Q50" s="3283"/>
      <c r="R50" s="3283"/>
      <c r="S50" s="3283"/>
      <c r="T50" s="3283"/>
      <c r="U50" s="3283"/>
      <c r="V50" s="3283"/>
      <c r="W50" s="3283"/>
      <c r="X50" s="3283"/>
      <c r="Y50" s="3283"/>
      <c r="Z50" s="3283"/>
      <c r="AA50" s="3283"/>
      <c r="AB50" s="3283"/>
      <c r="AC50" s="3283"/>
      <c r="AD50" s="3283"/>
      <c r="AE50" s="3283"/>
      <c r="AF50" s="3283"/>
    </row>
    <row r="53" spans="1:32" s="1" customFormat="1" x14ac:dyDescent="0.25">
      <c r="A53" s="1472" t="s">
        <v>21</v>
      </c>
      <c r="B53" s="1472"/>
      <c r="C53" s="1472"/>
      <c r="D53" s="1472"/>
      <c r="E53" s="1472"/>
      <c r="F53" s="1472"/>
      <c r="G53" s="1472"/>
      <c r="H53" s="1472"/>
      <c r="I53" s="1472"/>
      <c r="J53" s="1472"/>
      <c r="K53" s="1472"/>
      <c r="L53" s="1472"/>
      <c r="M53" s="1472"/>
      <c r="N53" s="1472"/>
      <c r="O53" s="1472"/>
      <c r="P53" s="1472"/>
      <c r="Q53" s="1472"/>
      <c r="R53" s="1472"/>
      <c r="S53" s="1472"/>
      <c r="T53" s="1472"/>
      <c r="U53" s="1472"/>
      <c r="V53" s="1472"/>
      <c r="W53" s="1472"/>
      <c r="X53" s="1472"/>
      <c r="Y53" s="1472"/>
      <c r="Z53" s="1472"/>
      <c r="AA53" s="1472"/>
      <c r="AB53" s="1472"/>
      <c r="AC53" s="1472"/>
      <c r="AD53" s="1472"/>
      <c r="AE53" s="1472"/>
      <c r="AF53" s="1472"/>
    </row>
    <row r="54" spans="1:32" s="1" customFormat="1" ht="15.75" thickBot="1" x14ac:dyDescent="0.3">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x14ac:dyDescent="0.25">
      <c r="A55" s="1583" t="s">
        <v>22</v>
      </c>
      <c r="B55" s="1584"/>
      <c r="C55" s="1584"/>
      <c r="D55" s="1584"/>
      <c r="E55" s="1584"/>
      <c r="F55" s="1584"/>
      <c r="G55" s="1584"/>
      <c r="H55" s="1584"/>
      <c r="I55" s="1584" t="s">
        <v>23</v>
      </c>
      <c r="J55" s="1584"/>
      <c r="K55" s="1584"/>
      <c r="L55" s="1584"/>
      <c r="M55" s="1584"/>
      <c r="N55" s="1584"/>
      <c r="O55" s="1584"/>
      <c r="P55" s="1584"/>
      <c r="Q55" s="1584" t="s">
        <v>24</v>
      </c>
      <c r="R55" s="1584"/>
      <c r="S55" s="1584"/>
      <c r="T55" s="1584"/>
      <c r="U55" s="1584"/>
      <c r="V55" s="1584"/>
      <c r="W55" s="1584"/>
      <c r="X55" s="1585"/>
    </row>
    <row r="56" spans="1:32" s="1" customFormat="1" ht="14.45" customHeight="1" thickBot="1" x14ac:dyDescent="0.3">
      <c r="A56" s="3339" t="s">
        <v>1333</v>
      </c>
      <c r="B56" s="3340"/>
      <c r="C56" s="3340"/>
      <c r="D56" s="3340"/>
      <c r="E56" s="3340"/>
      <c r="F56" s="3340"/>
      <c r="G56" s="3340"/>
      <c r="H56" s="3341"/>
      <c r="I56" s="3334">
        <f>ROUND((Q$33*(Q$36-Q$37)+Q$34*(Q$38-Q$39)+Q$35*(Q$40-Q$41)+((Q$42-Q$43)*Q$47))*Q$44,3)</f>
        <v>0.01</v>
      </c>
      <c r="J56" s="3335"/>
      <c r="K56" s="3335"/>
      <c r="L56" s="3335"/>
      <c r="M56" s="3335"/>
      <c r="N56" s="3335"/>
      <c r="O56" s="3335"/>
      <c r="P56" s="3336"/>
      <c r="Q56" s="3260">
        <f>ROUND((Q$33*(Q$36-Q$37)+Q$34*(Q$38-Q$39)+Q$35*(Q$40-Q$41))*Q$45+((Q$42-Q$43)*Q$48*Q$46),2)</f>
        <v>65.010000000000005</v>
      </c>
      <c r="R56" s="3337"/>
      <c r="S56" s="3337"/>
      <c r="T56" s="3337"/>
      <c r="U56" s="3337"/>
      <c r="V56" s="3337"/>
      <c r="W56" s="3337"/>
      <c r="X56" s="3338"/>
      <c r="Y56" s="10"/>
      <c r="Z56" s="10"/>
      <c r="AA56" s="10"/>
      <c r="AB56" s="10"/>
      <c r="AC56" s="10"/>
      <c r="AD56" s="10"/>
      <c r="AE56" s="10"/>
      <c r="AF56" s="10"/>
    </row>
    <row r="57" spans="1:32" ht="14.45" customHeight="1" x14ac:dyDescent="0.25">
      <c r="A57" s="31"/>
      <c r="H57" s="31"/>
    </row>
    <row r="58" spans="1:32" ht="57.6" customHeight="1" x14ac:dyDescent="0.25">
      <c r="A58" s="1466" t="s">
        <v>1091</v>
      </c>
      <c r="B58" s="1466"/>
      <c r="C58" s="1466"/>
      <c r="D58" s="1466"/>
      <c r="E58" s="1466"/>
      <c r="F58" s="1466"/>
      <c r="G58" s="1466"/>
      <c r="H58" s="1466"/>
      <c r="I58" s="1466"/>
      <c r="J58" s="1466"/>
      <c r="K58" s="1466"/>
      <c r="L58" s="1466"/>
      <c r="M58" s="1466"/>
      <c r="N58" s="1466"/>
      <c r="O58" s="1466"/>
      <c r="P58" s="1466"/>
      <c r="Q58" s="1466"/>
      <c r="R58" s="1466"/>
      <c r="S58" s="1466"/>
      <c r="T58" s="1466"/>
      <c r="U58" s="1466"/>
      <c r="V58" s="1466"/>
      <c r="W58" s="1466"/>
      <c r="X58" s="1466"/>
      <c r="Y58" s="1466"/>
      <c r="Z58" s="1466"/>
      <c r="AA58" s="1466"/>
      <c r="AB58" s="1466"/>
      <c r="AC58" s="1466"/>
      <c r="AD58" s="1466"/>
      <c r="AE58" s="1466"/>
      <c r="AF58" s="1466"/>
    </row>
  </sheetData>
  <sheetProtection algorithmName="SHA-512" hashValue="OjiNXSAK0PuWFvwHJaJU2YcbNrIHQtnMAckSl4Bi4gWHmfV9Gqt+7obeGO6fbHGdDNyNWgIzr7Xp9bFHiBwu+A==" saltValue="6Gi+DQuEuxTKo256W6LLlQ==" spinCount="100000" sheet="1" objects="1" scenarios="1"/>
  <mergeCells count="119">
    <mergeCell ref="A50:B50"/>
    <mergeCell ref="C50:AF50"/>
    <mergeCell ref="A53:AF53"/>
    <mergeCell ref="A55:H55"/>
    <mergeCell ref="I55:P55"/>
    <mergeCell ref="Q55:X55"/>
    <mergeCell ref="A49:D49"/>
    <mergeCell ref="E49:P49"/>
    <mergeCell ref="Q49:T49"/>
    <mergeCell ref="U49:W49"/>
    <mergeCell ref="X49:AF49"/>
    <mergeCell ref="A48:D48"/>
    <mergeCell ref="E48:P48"/>
    <mergeCell ref="Q48:T48"/>
    <mergeCell ref="U48:W48"/>
    <mergeCell ref="X48:AF48"/>
    <mergeCell ref="A47:D47"/>
    <mergeCell ref="E47:P47"/>
    <mergeCell ref="Q47:T47"/>
    <mergeCell ref="U47:W47"/>
    <mergeCell ref="X47:AF47"/>
    <mergeCell ref="A46:D46"/>
    <mergeCell ref="E46:P46"/>
    <mergeCell ref="Q46:T46"/>
    <mergeCell ref="U46:W46"/>
    <mergeCell ref="X46:AF46"/>
    <mergeCell ref="A45:D45"/>
    <mergeCell ref="E45:P45"/>
    <mergeCell ref="Q45:T45"/>
    <mergeCell ref="U45:W45"/>
    <mergeCell ref="X45:AF45"/>
    <mergeCell ref="A44:D44"/>
    <mergeCell ref="E44:P44"/>
    <mergeCell ref="Q44:T44"/>
    <mergeCell ref="U44:W44"/>
    <mergeCell ref="X44:AF44"/>
    <mergeCell ref="A43:D43"/>
    <mergeCell ref="E43:P43"/>
    <mergeCell ref="Q43:T43"/>
    <mergeCell ref="U43:W43"/>
    <mergeCell ref="X43:AF43"/>
    <mergeCell ref="A42:D42"/>
    <mergeCell ref="E42:P42"/>
    <mergeCell ref="Q42:T42"/>
    <mergeCell ref="U42:W42"/>
    <mergeCell ref="X42:AF42"/>
    <mergeCell ref="A41:D41"/>
    <mergeCell ref="E41:P41"/>
    <mergeCell ref="Q41:T41"/>
    <mergeCell ref="U41:W41"/>
    <mergeCell ref="X41:AF41"/>
    <mergeCell ref="A40:D40"/>
    <mergeCell ref="E40:P40"/>
    <mergeCell ref="Q40:T40"/>
    <mergeCell ref="U40:W40"/>
    <mergeCell ref="X40:AF40"/>
    <mergeCell ref="A39:D39"/>
    <mergeCell ref="E39:P39"/>
    <mergeCell ref="Q39:T39"/>
    <mergeCell ref="U39:W39"/>
    <mergeCell ref="X39:AF39"/>
    <mergeCell ref="A38:D38"/>
    <mergeCell ref="E38:P38"/>
    <mergeCell ref="Q38:T38"/>
    <mergeCell ref="U38:W38"/>
    <mergeCell ref="X38:AF38"/>
    <mergeCell ref="A37:D37"/>
    <mergeCell ref="E37:P37"/>
    <mergeCell ref="Q37:T37"/>
    <mergeCell ref="U37:W37"/>
    <mergeCell ref="X37:AF37"/>
    <mergeCell ref="E35:P35"/>
    <mergeCell ref="Q35:T35"/>
    <mergeCell ref="U35:W35"/>
    <mergeCell ref="X35:AF35"/>
    <mergeCell ref="A34:D34"/>
    <mergeCell ref="E34:P34"/>
    <mergeCell ref="Q34:T34"/>
    <mergeCell ref="U34:W34"/>
    <mergeCell ref="X34:AF34"/>
    <mergeCell ref="A1:AF1"/>
    <mergeCell ref="A28:H28"/>
    <mergeCell ref="I28:AF28"/>
    <mergeCell ref="B19:AF19"/>
    <mergeCell ref="B22:AF22"/>
    <mergeCell ref="A25:AF25"/>
    <mergeCell ref="A27:H27"/>
    <mergeCell ref="I27:AF27"/>
    <mergeCell ref="B12:I12"/>
    <mergeCell ref="B13:AF13"/>
    <mergeCell ref="B15:I15"/>
    <mergeCell ref="B16:AF16"/>
    <mergeCell ref="B18:I18"/>
    <mergeCell ref="A3:AF3"/>
    <mergeCell ref="B5:AF5"/>
    <mergeCell ref="I56:P56"/>
    <mergeCell ref="Q56:X56"/>
    <mergeCell ref="A56:H56"/>
    <mergeCell ref="A58:AF58"/>
    <mergeCell ref="A7:AF7"/>
    <mergeCell ref="B9:I9"/>
    <mergeCell ref="B10:AF10"/>
    <mergeCell ref="A33:D33"/>
    <mergeCell ref="E33:P33"/>
    <mergeCell ref="Q33:T33"/>
    <mergeCell ref="A36:D36"/>
    <mergeCell ref="E36:P36"/>
    <mergeCell ref="Q36:T36"/>
    <mergeCell ref="U36:W36"/>
    <mergeCell ref="X36:AF36"/>
    <mergeCell ref="U33:W33"/>
    <mergeCell ref="X33:AF33"/>
    <mergeCell ref="A31:AF31"/>
    <mergeCell ref="A32:D32"/>
    <mergeCell ref="E32:P32"/>
    <mergeCell ref="Q32:T32"/>
    <mergeCell ref="U32:W32"/>
    <mergeCell ref="X32:AF32"/>
    <mergeCell ref="A35:D35"/>
  </mergeCells>
  <hyperlinks>
    <hyperlink ref="A2" location="TOC!A1" display="Return to TOC" xr:uid="{00000000-0004-0000-51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6">
    <tabColor theme="7" tint="0.79998168889431442"/>
    <pageSetUpPr autoPageBreaks="0"/>
  </sheetPr>
  <dimension ref="A1:AF88"/>
  <sheetViews>
    <sheetView workbookViewId="0">
      <selection activeCell="A2" sqref="A2"/>
    </sheetView>
  </sheetViews>
  <sheetFormatPr defaultColWidth="2.7109375" defaultRowHeight="15" x14ac:dyDescent="0.25"/>
  <sheetData>
    <row r="1" spans="1:32" s="1" customFormat="1" ht="19.5" thickBot="1" x14ac:dyDescent="0.3">
      <c r="A1" s="1272" t="s">
        <v>1174</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row>
    <row r="2" spans="1:32" s="262" customFormat="1" ht="14.45" customHeight="1" x14ac:dyDescent="0.25">
      <c r="A2" s="376" t="s">
        <v>1702</v>
      </c>
      <c r="B2"/>
      <c r="C2"/>
      <c r="D2"/>
      <c r="E2"/>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row>
    <row r="3" spans="1:32" s="1" customForma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s="1" customForma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x14ac:dyDescent="0.25">
      <c r="A5" s="262"/>
      <c r="B5" s="1151" t="s">
        <v>5038</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s="4" customForma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s="1" customFormat="1"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s="1" customForma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x14ac:dyDescent="0.25">
      <c r="B9" s="1475" t="s">
        <v>10</v>
      </c>
      <c r="C9" s="1475"/>
      <c r="D9" s="1475"/>
      <c r="E9" s="1475"/>
      <c r="F9" s="1475"/>
      <c r="G9" s="1475"/>
      <c r="H9" s="1475"/>
      <c r="I9" s="1475"/>
    </row>
    <row r="10" spans="1:32" s="1" customFormat="1" ht="123.75" customHeight="1" x14ac:dyDescent="0.25">
      <c r="A10" s="4"/>
      <c r="B10" s="1247" t="s">
        <v>5278</v>
      </c>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c r="AE10" s="1247"/>
      <c r="AF10" s="1247"/>
    </row>
    <row r="11" spans="1:32" s="1" customFormat="1" x14ac:dyDescent="0.25">
      <c r="A11" s="4"/>
      <c r="B11" s="268"/>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row>
    <row r="12" spans="1:32" s="1" customFormat="1" ht="46.5" customHeight="1" x14ac:dyDescent="0.25">
      <c r="A12" s="4"/>
      <c r="B12" s="1247" t="s">
        <v>5279</v>
      </c>
      <c r="C12" s="1247"/>
      <c r="D12" s="1247"/>
      <c r="E12" s="1247"/>
      <c r="F12" s="1247"/>
      <c r="G12" s="1247"/>
      <c r="H12" s="1247"/>
      <c r="I12" s="1247"/>
      <c r="J12" s="1247"/>
      <c r="K12" s="1247"/>
      <c r="L12" s="1247"/>
      <c r="M12" s="1247"/>
      <c r="N12" s="1247"/>
      <c r="O12" s="1247"/>
      <c r="P12" s="1247"/>
      <c r="Q12" s="1247"/>
      <c r="R12" s="1247"/>
      <c r="S12" s="1247"/>
      <c r="T12" s="1247"/>
      <c r="U12" s="1247"/>
      <c r="V12" s="1247"/>
      <c r="W12" s="1247"/>
      <c r="X12" s="1247"/>
      <c r="Y12" s="1247"/>
      <c r="Z12" s="1247"/>
      <c r="AA12" s="1247"/>
      <c r="AB12" s="1247"/>
      <c r="AC12" s="1247"/>
      <c r="AD12" s="1247"/>
      <c r="AE12" s="1247"/>
      <c r="AF12" s="1247"/>
    </row>
    <row r="13" spans="1:32" s="1" customFormat="1" x14ac:dyDescent="0.25"/>
    <row r="14" spans="1:32" s="1" customFormat="1" x14ac:dyDescent="0.25">
      <c r="B14" s="1475" t="s">
        <v>11</v>
      </c>
      <c r="C14" s="1475"/>
      <c r="D14" s="1475"/>
      <c r="E14" s="1475"/>
      <c r="F14" s="1475"/>
      <c r="G14" s="1475"/>
      <c r="H14" s="1475"/>
      <c r="I14" s="1475"/>
    </row>
    <row r="15" spans="1:32" s="1" customFormat="1" ht="15" customHeight="1" x14ac:dyDescent="0.25">
      <c r="B15" s="1473" t="s">
        <v>5280</v>
      </c>
      <c r="C15" s="1473"/>
      <c r="D15" s="1473"/>
      <c r="E15" s="1473"/>
      <c r="F15" s="1473"/>
      <c r="G15" s="1473"/>
      <c r="H15" s="1473"/>
      <c r="I15" s="1473"/>
      <c r="J15" s="1473"/>
      <c r="K15" s="1473"/>
      <c r="L15" s="1473"/>
      <c r="M15" s="1473"/>
      <c r="N15" s="1473"/>
      <c r="O15" s="1473"/>
      <c r="P15" s="1473"/>
      <c r="Q15" s="1473"/>
      <c r="R15" s="1473"/>
      <c r="S15" s="1473"/>
      <c r="T15" s="1473"/>
      <c r="U15" s="1473"/>
      <c r="V15" s="1473"/>
      <c r="W15" s="1473"/>
      <c r="X15" s="1473"/>
      <c r="Y15" s="1473"/>
      <c r="Z15" s="1473"/>
      <c r="AA15" s="1473"/>
      <c r="AB15" s="1473"/>
      <c r="AC15" s="1473"/>
      <c r="AD15" s="1473"/>
      <c r="AE15" s="1473"/>
      <c r="AF15" s="1473"/>
    </row>
    <row r="16" spans="1:32" s="1" customFormat="1" x14ac:dyDescent="0.25"/>
    <row r="17" spans="1:32" s="1" customFormat="1" x14ac:dyDescent="0.25">
      <c r="B17" s="1475" t="s">
        <v>12</v>
      </c>
      <c r="C17" s="1475"/>
      <c r="D17" s="1475"/>
      <c r="E17" s="1475"/>
      <c r="F17" s="1475"/>
      <c r="G17" s="1475"/>
      <c r="H17" s="1475"/>
      <c r="I17" s="1475"/>
    </row>
    <row r="18" spans="1:32" s="1" customFormat="1" ht="15" customHeight="1" x14ac:dyDescent="0.25">
      <c r="B18" s="1473" t="s">
        <v>1178</v>
      </c>
      <c r="C18" s="1473"/>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row>
    <row r="19" spans="1:32" s="1" customFormat="1" x14ac:dyDescent="0.25"/>
    <row r="20" spans="1:32" s="1" customFormat="1" x14ac:dyDescent="0.25">
      <c r="B20" s="1475" t="s">
        <v>13</v>
      </c>
      <c r="C20" s="1475"/>
      <c r="D20" s="1475"/>
      <c r="E20" s="1475"/>
      <c r="F20" s="1475"/>
      <c r="G20" s="1475"/>
      <c r="H20" s="1475"/>
      <c r="I20" s="1475"/>
    </row>
    <row r="21" spans="1:32" s="1" customFormat="1" x14ac:dyDescent="0.25">
      <c r="B21" s="1151" t="s">
        <v>5281</v>
      </c>
      <c r="C21" s="1473"/>
      <c r="D21" s="1473"/>
      <c r="E21" s="1473"/>
      <c r="F21" s="1473"/>
      <c r="G21" s="1473"/>
      <c r="H21" s="1473"/>
      <c r="I21" s="1473"/>
      <c r="J21" s="1473"/>
      <c r="K21" s="1473"/>
      <c r="L21" s="1473"/>
      <c r="M21" s="1473"/>
      <c r="N21" s="1473"/>
      <c r="O21" s="1473"/>
      <c r="P21" s="1473"/>
      <c r="Q21" s="1473"/>
      <c r="R21" s="1473"/>
      <c r="S21" s="1473"/>
      <c r="T21" s="1473"/>
      <c r="U21" s="1473"/>
      <c r="V21" s="1473"/>
      <c r="W21" s="1473"/>
      <c r="X21" s="1473"/>
      <c r="Y21" s="1473"/>
      <c r="Z21" s="1473"/>
      <c r="AA21" s="1473"/>
      <c r="AB21" s="1473"/>
      <c r="AC21" s="1473"/>
      <c r="AD21" s="1473"/>
      <c r="AE21" s="1473"/>
      <c r="AF21" s="1473"/>
    </row>
    <row r="22" spans="1:32" s="1" customFormat="1" x14ac:dyDescent="0.25"/>
    <row r="23" spans="1:32" s="1" customFormat="1" x14ac:dyDescent="0.25">
      <c r="B23" s="171" t="s">
        <v>20</v>
      </c>
      <c r="C23" s="171"/>
      <c r="D23" s="171"/>
      <c r="E23" s="171"/>
      <c r="F23" s="171"/>
      <c r="G23" s="171"/>
      <c r="H23" s="171"/>
      <c r="I23" s="171"/>
    </row>
    <row r="24" spans="1:32" s="1" customFormat="1" x14ac:dyDescent="0.25">
      <c r="B24" s="1151" t="s">
        <v>5282</v>
      </c>
      <c r="C24" s="1473"/>
      <c r="D24" s="1473"/>
      <c r="E24" s="1473"/>
      <c r="F24" s="1473"/>
      <c r="G24" s="1473"/>
      <c r="H24" s="1473"/>
      <c r="I24" s="1473"/>
      <c r="J24" s="1473"/>
      <c r="K24" s="1473"/>
      <c r="L24" s="1473"/>
      <c r="M24" s="1473"/>
      <c r="N24" s="1473"/>
      <c r="O24" s="1473"/>
      <c r="P24" s="1473"/>
      <c r="Q24" s="1473"/>
      <c r="R24" s="1473"/>
      <c r="S24" s="1473"/>
      <c r="T24" s="1473"/>
      <c r="U24" s="1473"/>
      <c r="V24" s="1473"/>
      <c r="W24" s="1473"/>
      <c r="X24" s="1473"/>
      <c r="Y24" s="1473"/>
      <c r="Z24" s="1473"/>
      <c r="AA24" s="1473"/>
      <c r="AB24" s="1473"/>
      <c r="AC24" s="1473"/>
      <c r="AD24" s="1473"/>
      <c r="AE24" s="1473"/>
      <c r="AF24" s="1473"/>
    </row>
    <row r="25" spans="1:32" s="1" customFormat="1" x14ac:dyDescent="0.25"/>
    <row r="26" spans="1:32" s="1" customFormat="1" x14ac:dyDescent="0.25"/>
    <row r="27" spans="1:32" s="1" customFormat="1" x14ac:dyDescent="0.25">
      <c r="A27" s="1472" t="s">
        <v>14</v>
      </c>
      <c r="B27" s="1472"/>
      <c r="C27" s="1472"/>
      <c r="D27" s="1472"/>
      <c r="E27" s="1472"/>
      <c r="F27" s="1472"/>
      <c r="G27" s="1472"/>
      <c r="H27" s="1472"/>
      <c r="I27" s="1472"/>
      <c r="J27" s="1472"/>
      <c r="K27" s="1472"/>
      <c r="L27" s="1472"/>
      <c r="M27" s="1472"/>
      <c r="N27" s="1472"/>
      <c r="O27" s="1472"/>
      <c r="P27" s="1472"/>
      <c r="Q27" s="1472"/>
      <c r="R27" s="1472"/>
      <c r="S27" s="1472"/>
      <c r="T27" s="1472"/>
      <c r="U27" s="1472"/>
      <c r="V27" s="1472"/>
      <c r="W27" s="1472"/>
      <c r="X27" s="1472"/>
      <c r="Y27" s="1472"/>
      <c r="Z27" s="1472"/>
      <c r="AA27" s="1472"/>
      <c r="AB27" s="1472"/>
      <c r="AC27" s="1472"/>
      <c r="AD27" s="1472"/>
      <c r="AE27" s="1472"/>
      <c r="AF27" s="1472"/>
    </row>
    <row r="28" spans="1:32" s="1" customFormat="1" x14ac:dyDescent="0.25"/>
    <row r="29" spans="1:32" s="1" customFormat="1" ht="14.45" customHeight="1" x14ac:dyDescent="0.25">
      <c r="A29"/>
      <c r="B29" s="379" t="s">
        <v>2303</v>
      </c>
      <c r="C29" s="148"/>
      <c r="D29"/>
      <c r="E29" s="148"/>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311"/>
    </row>
    <row r="30" spans="1:32" s="1" customFormat="1" ht="14.45" customHeight="1" x14ac:dyDescent="0.25">
      <c r="A30" s="148"/>
      <c r="B30" s="148"/>
      <c r="C30" s="148"/>
      <c r="D30"/>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311"/>
    </row>
    <row r="31" spans="1:32" s="1" customFormat="1" ht="14.45" customHeight="1" x14ac:dyDescent="0.25">
      <c r="A31" s="148"/>
      <c r="B31" s="148"/>
      <c r="C31" s="148"/>
      <c r="D31"/>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229" t="s">
        <v>1705</v>
      </c>
    </row>
    <row r="32" spans="1:32" s="1" customFormat="1" ht="14.45" customHeight="1" x14ac:dyDescent="0.25">
      <c r="A32" s="148"/>
      <c r="B32" s="148"/>
      <c r="C32" s="148"/>
      <c r="D32"/>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311"/>
    </row>
    <row r="33" spans="1:32" s="1" customFormat="1" ht="14.45" customHeight="1" x14ac:dyDescent="0.25">
      <c r="A33"/>
      <c r="B33" s="519" t="s">
        <v>2194</v>
      </c>
      <c r="D33"/>
      <c r="AF33" s="262"/>
    </row>
    <row r="34" spans="1:32" s="1" customFormat="1" ht="14.45" customHeight="1" x14ac:dyDescent="0.25">
      <c r="A34"/>
      <c r="B34" s="519"/>
      <c r="D34"/>
      <c r="AF34" s="262"/>
    </row>
    <row r="35" spans="1:32" s="1" customFormat="1" ht="14.45" customHeight="1" x14ac:dyDescent="0.25">
      <c r="A35"/>
      <c r="B35" s="519"/>
      <c r="D35"/>
      <c r="AF35" s="262"/>
    </row>
    <row r="36" spans="1:32" s="1" customFormat="1" ht="14.45" customHeight="1" x14ac:dyDescent="0.25">
      <c r="A36"/>
      <c r="B36" s="519"/>
      <c r="D36"/>
      <c r="AF36" s="419" t="s">
        <v>1706</v>
      </c>
    </row>
    <row r="37" spans="1:32" x14ac:dyDescent="0.25">
      <c r="B37" s="519"/>
      <c r="C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262"/>
    </row>
    <row r="38" spans="1:32" x14ac:dyDescent="0.25">
      <c r="B38" s="519"/>
      <c r="C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262"/>
    </row>
    <row r="39" spans="1:32" x14ac:dyDescent="0.25">
      <c r="B39" s="379" t="s">
        <v>1998</v>
      </c>
      <c r="C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311"/>
    </row>
    <row r="40" spans="1:32" x14ac:dyDescent="0.25">
      <c r="A40" s="148"/>
      <c r="B40" s="148"/>
      <c r="C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311"/>
    </row>
    <row r="41" spans="1:32" s="1" customFormat="1" x14ac:dyDescent="0.25">
      <c r="A41" s="148"/>
      <c r="B41" s="304"/>
      <c r="C41" s="148"/>
      <c r="D41"/>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339" t="s">
        <v>1707</v>
      </c>
    </row>
    <row r="42" spans="1:32" x14ac:dyDescent="0.25">
      <c r="A42" s="148"/>
      <c r="B42" s="148"/>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row>
    <row r="43" spans="1:32"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spans="1:32" x14ac:dyDescent="0.25">
      <c r="A44" s="1472" t="s">
        <v>15</v>
      </c>
      <c r="B44" s="1472"/>
      <c r="C44" s="1472"/>
      <c r="D44" s="1472"/>
      <c r="E44" s="1472"/>
      <c r="F44" s="1472"/>
      <c r="G44" s="1472"/>
      <c r="H44" s="1472"/>
      <c r="I44" s="1472"/>
      <c r="J44" s="1472"/>
      <c r="K44" s="1472"/>
      <c r="L44" s="1472"/>
      <c r="M44" s="1472"/>
      <c r="N44" s="1472"/>
      <c r="O44" s="1472"/>
      <c r="P44" s="1472"/>
      <c r="Q44" s="1472"/>
      <c r="R44" s="1472"/>
      <c r="S44" s="1472"/>
      <c r="T44" s="1472"/>
      <c r="U44" s="1472"/>
      <c r="V44" s="1472"/>
      <c r="W44" s="1472"/>
      <c r="X44" s="1472"/>
      <c r="Y44" s="1472"/>
      <c r="Z44" s="1472"/>
      <c r="AA44" s="1472"/>
      <c r="AB44" s="1472"/>
      <c r="AC44" s="1472"/>
      <c r="AD44" s="1472"/>
      <c r="AE44" s="1472"/>
      <c r="AF44" s="1472"/>
    </row>
    <row r="45" spans="1:32" x14ac:dyDescent="0.25">
      <c r="A45" s="1474" t="s">
        <v>16</v>
      </c>
      <c r="B45" s="1474"/>
      <c r="C45" s="1474"/>
      <c r="D45" s="1474"/>
      <c r="E45" s="1474" t="s">
        <v>10</v>
      </c>
      <c r="F45" s="1474"/>
      <c r="G45" s="1474"/>
      <c r="H45" s="1474"/>
      <c r="I45" s="1474"/>
      <c r="J45" s="1474"/>
      <c r="K45" s="1474"/>
      <c r="L45" s="1474"/>
      <c r="M45" s="1474"/>
      <c r="N45" s="1474"/>
      <c r="O45" s="1474"/>
      <c r="P45" s="1474" t="s">
        <v>17</v>
      </c>
      <c r="Q45" s="1474"/>
      <c r="R45" s="1474"/>
      <c r="S45" s="1474"/>
      <c r="T45" s="1474" t="s">
        <v>18</v>
      </c>
      <c r="U45" s="1474"/>
      <c r="V45" s="1474"/>
      <c r="W45" s="1474"/>
      <c r="X45" s="1474" t="s">
        <v>2772</v>
      </c>
      <c r="Y45" s="1474"/>
      <c r="Z45" s="1474"/>
      <c r="AA45" s="1474"/>
      <c r="AB45" s="1474"/>
      <c r="AC45" s="1474"/>
      <c r="AD45" s="1474"/>
      <c r="AE45" s="1474"/>
      <c r="AF45" s="1474"/>
    </row>
    <row r="46" spans="1:32" ht="33.75" customHeight="1" x14ac:dyDescent="0.25">
      <c r="A46" s="2521" t="s">
        <v>1517</v>
      </c>
      <c r="B46" s="1134"/>
      <c r="C46" s="1134"/>
      <c r="D46" s="1134"/>
      <c r="E46" s="1135" t="s">
        <v>2773</v>
      </c>
      <c r="F46" s="1135"/>
      <c r="G46" s="1135"/>
      <c r="H46" s="1135"/>
      <c r="I46" s="1135"/>
      <c r="J46" s="1135"/>
      <c r="K46" s="1135"/>
      <c r="L46" s="1135"/>
      <c r="M46" s="1135"/>
      <c r="N46" s="1135"/>
      <c r="O46" s="1135"/>
      <c r="P46" s="1913">
        <v>0</v>
      </c>
      <c r="Q46" s="1913"/>
      <c r="R46" s="1913"/>
      <c r="S46" s="1913"/>
      <c r="T46" s="1606" t="s">
        <v>26</v>
      </c>
      <c r="U46" s="1606"/>
      <c r="V46" s="1606"/>
      <c r="W46" s="1606"/>
      <c r="X46" s="1133" t="s">
        <v>5283</v>
      </c>
      <c r="Y46" s="1133"/>
      <c r="Z46" s="1133"/>
      <c r="AA46" s="1133"/>
      <c r="AB46" s="1133"/>
      <c r="AC46" s="1133"/>
      <c r="AD46" s="1133"/>
      <c r="AE46" s="1133"/>
      <c r="AF46" s="1133"/>
    </row>
    <row r="47" spans="1:32" ht="65.25" customHeight="1" x14ac:dyDescent="0.25">
      <c r="A47" s="1134" t="s">
        <v>1643</v>
      </c>
      <c r="B47" s="1134" t="s">
        <v>1009</v>
      </c>
      <c r="C47" s="1134" t="s">
        <v>1009</v>
      </c>
      <c r="D47" s="1134" t="s">
        <v>1009</v>
      </c>
      <c r="E47" s="1135" t="s">
        <v>5284</v>
      </c>
      <c r="F47" s="1135"/>
      <c r="G47" s="1135"/>
      <c r="H47" s="1135"/>
      <c r="I47" s="1135"/>
      <c r="J47" s="1135"/>
      <c r="K47" s="1135"/>
      <c r="L47" s="1135"/>
      <c r="M47" s="1135"/>
      <c r="N47" s="1135"/>
      <c r="O47" s="1135"/>
      <c r="P47" s="2628">
        <f>3.75*12000</f>
        <v>45000</v>
      </c>
      <c r="Q47" s="2628"/>
      <c r="R47" s="2628"/>
      <c r="S47" s="2628"/>
      <c r="T47" s="1606" t="s">
        <v>555</v>
      </c>
      <c r="U47" s="1606"/>
      <c r="V47" s="1606"/>
      <c r="W47" s="1606"/>
      <c r="X47" s="1133" t="s">
        <v>5285</v>
      </c>
      <c r="Y47" s="1133"/>
      <c r="Z47" s="1133"/>
      <c r="AA47" s="1133"/>
      <c r="AB47" s="1133"/>
      <c r="AC47" s="1133"/>
      <c r="AD47" s="1133"/>
      <c r="AE47" s="1133"/>
      <c r="AF47" s="1133"/>
    </row>
    <row r="48" spans="1:32" ht="129.75" customHeight="1" x14ac:dyDescent="0.25">
      <c r="A48" s="1485" t="s">
        <v>5286</v>
      </c>
      <c r="B48" s="1486"/>
      <c r="C48" s="1486"/>
      <c r="D48" s="1487"/>
      <c r="E48" s="1135" t="s">
        <v>3993</v>
      </c>
      <c r="F48" s="1135"/>
      <c r="G48" s="1135"/>
      <c r="H48" s="1135"/>
      <c r="I48" s="1135"/>
      <c r="J48" s="1135"/>
      <c r="K48" s="1135"/>
      <c r="L48" s="1135"/>
      <c r="M48" s="1135"/>
      <c r="N48" s="1135"/>
      <c r="O48" s="1135"/>
      <c r="P48" s="2628">
        <v>1884</v>
      </c>
      <c r="Q48" s="2628"/>
      <c r="R48" s="2628"/>
      <c r="S48" s="2628"/>
      <c r="T48" s="1606" t="s">
        <v>45</v>
      </c>
      <c r="U48" s="1606"/>
      <c r="V48" s="1606"/>
      <c r="W48" s="1606"/>
      <c r="X48" s="2121" t="s">
        <v>5287</v>
      </c>
      <c r="Y48" s="2122"/>
      <c r="Z48" s="2122"/>
      <c r="AA48" s="2122"/>
      <c r="AB48" s="2122"/>
      <c r="AC48" s="2122"/>
      <c r="AD48" s="2122"/>
      <c r="AE48" s="2122"/>
      <c r="AF48" s="2123"/>
    </row>
    <row r="49" spans="1:32" ht="30" customHeight="1" x14ac:dyDescent="0.25">
      <c r="A49" s="2962" t="s">
        <v>1644</v>
      </c>
      <c r="B49" s="2963" t="s">
        <v>1006</v>
      </c>
      <c r="C49" s="2963" t="s">
        <v>1006</v>
      </c>
      <c r="D49" s="2964" t="s">
        <v>1006</v>
      </c>
      <c r="E49" s="1135" t="s">
        <v>5288</v>
      </c>
      <c r="F49" s="1135"/>
      <c r="G49" s="1135"/>
      <c r="H49" s="1135"/>
      <c r="I49" s="1135"/>
      <c r="J49" s="1135"/>
      <c r="K49" s="1135"/>
      <c r="L49" s="1135"/>
      <c r="M49" s="1135"/>
      <c r="N49" s="1135"/>
      <c r="O49" s="1135"/>
      <c r="P49" s="1913">
        <v>0.05</v>
      </c>
      <c r="Q49" s="1913">
        <v>0.02</v>
      </c>
      <c r="R49" s="1913">
        <v>0.02</v>
      </c>
      <c r="S49" s="1913">
        <v>0.02</v>
      </c>
      <c r="T49" s="1606" t="s">
        <v>28</v>
      </c>
      <c r="U49" s="1606"/>
      <c r="V49" s="1606"/>
      <c r="W49" s="1606"/>
      <c r="X49" s="2962" t="s">
        <v>5289</v>
      </c>
      <c r="Y49" s="2963"/>
      <c r="Z49" s="2963"/>
      <c r="AA49" s="2963"/>
      <c r="AB49" s="2963"/>
      <c r="AC49" s="2963"/>
      <c r="AD49" s="2963"/>
      <c r="AE49" s="2963"/>
      <c r="AF49" s="2964"/>
    </row>
    <row r="50" spans="1:32" ht="31.5" customHeight="1" x14ac:dyDescent="0.25">
      <c r="A50" s="2965"/>
      <c r="B50" s="2966"/>
      <c r="C50" s="2966"/>
      <c r="D50" s="2967"/>
      <c r="E50" s="1135" t="s">
        <v>5290</v>
      </c>
      <c r="F50" s="1135"/>
      <c r="G50" s="1135"/>
      <c r="H50" s="1135"/>
      <c r="I50" s="1135"/>
      <c r="J50" s="1135"/>
      <c r="K50" s="1135"/>
      <c r="L50" s="1135"/>
      <c r="M50" s="1135"/>
      <c r="N50" s="1135"/>
      <c r="O50" s="1135"/>
      <c r="P50" s="1482">
        <v>0.11</v>
      </c>
      <c r="Q50" s="1483"/>
      <c r="R50" s="1483"/>
      <c r="S50" s="1484"/>
      <c r="T50" s="1606" t="s">
        <v>28</v>
      </c>
      <c r="U50" s="1606"/>
      <c r="V50" s="1606"/>
      <c r="W50" s="1606"/>
      <c r="X50" s="2965"/>
      <c r="Y50" s="2966"/>
      <c r="Z50" s="2966"/>
      <c r="AA50" s="2966"/>
      <c r="AB50" s="2966"/>
      <c r="AC50" s="2966"/>
      <c r="AD50" s="2966"/>
      <c r="AE50" s="2966"/>
      <c r="AF50" s="2967"/>
    </row>
    <row r="51" spans="1:32" ht="16.5" x14ac:dyDescent="0.25">
      <c r="A51" s="1134" t="s">
        <v>1760</v>
      </c>
      <c r="B51" s="1134" t="s">
        <v>42</v>
      </c>
      <c r="C51" s="1134" t="s">
        <v>42</v>
      </c>
      <c r="D51" s="1134" t="s">
        <v>42</v>
      </c>
      <c r="E51" s="1135" t="s">
        <v>1761</v>
      </c>
      <c r="F51" s="1135"/>
      <c r="G51" s="1135"/>
      <c r="H51" s="1135"/>
      <c r="I51" s="1135"/>
      <c r="J51" s="1135"/>
      <c r="K51" s="1135"/>
      <c r="L51" s="1135"/>
      <c r="M51" s="1135"/>
      <c r="N51" s="1135"/>
      <c r="O51" s="1135"/>
      <c r="P51" s="1913">
        <v>0.9</v>
      </c>
      <c r="Q51" s="1913">
        <v>1</v>
      </c>
      <c r="R51" s="1913">
        <v>1</v>
      </c>
      <c r="S51" s="1913">
        <v>1</v>
      </c>
      <c r="T51" s="1606" t="s">
        <v>28</v>
      </c>
      <c r="U51" s="1606"/>
      <c r="V51" s="1606"/>
      <c r="W51" s="1606"/>
      <c r="X51" s="1134" t="s">
        <v>5291</v>
      </c>
      <c r="Y51" s="1134"/>
      <c r="Z51" s="1134"/>
      <c r="AA51" s="1134"/>
      <c r="AB51" s="1134"/>
      <c r="AC51" s="1134"/>
      <c r="AD51" s="1134"/>
      <c r="AE51" s="1134"/>
      <c r="AF51" s="1134"/>
    </row>
    <row r="52" spans="1:32" ht="45" customHeight="1" x14ac:dyDescent="0.25">
      <c r="A52" s="1134" t="s">
        <v>1008</v>
      </c>
      <c r="B52" s="1134" t="s">
        <v>1008</v>
      </c>
      <c r="C52" s="1134" t="s">
        <v>1008</v>
      </c>
      <c r="D52" s="1134" t="s">
        <v>1008</v>
      </c>
      <c r="E52" s="1135" t="s">
        <v>1007</v>
      </c>
      <c r="F52" s="1135"/>
      <c r="G52" s="1135"/>
      <c r="H52" s="1135"/>
      <c r="I52" s="1135"/>
      <c r="J52" s="1135"/>
      <c r="K52" s="1135"/>
      <c r="L52" s="1135"/>
      <c r="M52" s="1135"/>
      <c r="N52" s="1135"/>
      <c r="O52" s="1135"/>
      <c r="P52" s="1913">
        <v>13.9</v>
      </c>
      <c r="Q52" s="1913">
        <v>11.9</v>
      </c>
      <c r="R52" s="1913">
        <v>11.9</v>
      </c>
      <c r="S52" s="1913">
        <v>11.9</v>
      </c>
      <c r="T52" s="1606" t="s">
        <v>1079</v>
      </c>
      <c r="U52" s="1606"/>
      <c r="V52" s="1606"/>
      <c r="W52" s="1606"/>
      <c r="X52" s="1135" t="s">
        <v>5292</v>
      </c>
      <c r="Y52" s="1135"/>
      <c r="Z52" s="1135"/>
      <c r="AA52" s="1135"/>
      <c r="AB52" s="1135"/>
      <c r="AC52" s="1135"/>
      <c r="AD52" s="1135"/>
      <c r="AE52" s="1135"/>
      <c r="AF52" s="1135"/>
    </row>
    <row r="53" spans="1:32" ht="18" customHeight="1" x14ac:dyDescent="0.25">
      <c r="A53" s="1134" t="s">
        <v>2052</v>
      </c>
      <c r="B53" s="1134" t="s">
        <v>1004</v>
      </c>
      <c r="C53" s="1134" t="s">
        <v>1004</v>
      </c>
      <c r="D53" s="1134" t="s">
        <v>1004</v>
      </c>
      <c r="E53" s="1135" t="s">
        <v>2217</v>
      </c>
      <c r="F53" s="1135"/>
      <c r="G53" s="1135"/>
      <c r="H53" s="1135"/>
      <c r="I53" s="1135"/>
      <c r="J53" s="1135"/>
      <c r="K53" s="1135"/>
      <c r="L53" s="1135"/>
      <c r="M53" s="1135"/>
      <c r="N53" s="1135"/>
      <c r="O53" s="1135"/>
      <c r="P53" s="1913">
        <f>'Master EUL'!X60</f>
        <v>7</v>
      </c>
      <c r="Q53" s="1913">
        <v>11</v>
      </c>
      <c r="R53" s="1913">
        <v>11</v>
      </c>
      <c r="S53" s="1913">
        <v>11</v>
      </c>
      <c r="T53" s="1606" t="s">
        <v>46</v>
      </c>
      <c r="U53" s="1606"/>
      <c r="V53" s="1606"/>
      <c r="W53" s="1606"/>
      <c r="X53" s="1135" t="s">
        <v>5293</v>
      </c>
      <c r="Y53" s="1135"/>
      <c r="Z53" s="1135"/>
      <c r="AA53" s="1135"/>
      <c r="AB53" s="1135"/>
      <c r="AC53" s="1135"/>
      <c r="AD53" s="1135"/>
      <c r="AE53" s="1135"/>
      <c r="AF53" s="1135"/>
    </row>
    <row r="54" spans="1:32" ht="38.25" customHeight="1" x14ac:dyDescent="0.25">
      <c r="A54" s="3368" t="s">
        <v>5294</v>
      </c>
      <c r="B54" s="3368"/>
      <c r="C54" s="3368"/>
      <c r="D54" s="3368"/>
      <c r="E54" s="3368"/>
      <c r="F54" s="3368"/>
      <c r="G54" s="3368"/>
      <c r="H54" s="3368"/>
      <c r="I54" s="3368"/>
      <c r="J54" s="3368"/>
      <c r="K54" s="3368"/>
      <c r="L54" s="3368"/>
      <c r="M54" s="3368"/>
      <c r="N54" s="3368"/>
      <c r="O54" s="3368"/>
      <c r="P54" s="3368"/>
      <c r="Q54" s="3368"/>
      <c r="R54" s="3368"/>
      <c r="S54" s="3368"/>
      <c r="T54" s="3368"/>
      <c r="U54" s="3368"/>
      <c r="V54" s="3368"/>
      <c r="W54" s="3368"/>
      <c r="X54" s="3368"/>
      <c r="Y54" s="3368"/>
      <c r="Z54" s="3368"/>
      <c r="AA54" s="3368"/>
      <c r="AB54" s="3368"/>
      <c r="AC54" s="3368"/>
      <c r="AD54" s="3368"/>
      <c r="AE54" s="3368"/>
      <c r="AF54" s="3368"/>
    </row>
    <row r="55" spans="1:32" ht="27.75" customHeight="1" x14ac:dyDescent="0.25">
      <c r="A55" s="1238" t="s">
        <v>5295</v>
      </c>
      <c r="B55" s="1238"/>
      <c r="C55" s="1238"/>
      <c r="D55" s="1238"/>
      <c r="E55" s="1238"/>
      <c r="F55" s="1238"/>
      <c r="G55" s="1238"/>
      <c r="H55" s="1238"/>
      <c r="I55" s="1238"/>
      <c r="J55" s="1238"/>
      <c r="K55" s="1238"/>
      <c r="L55" s="1238"/>
      <c r="M55" s="1238"/>
      <c r="N55" s="1238"/>
      <c r="O55" s="1238"/>
      <c r="P55" s="1238"/>
      <c r="Q55" s="1238"/>
      <c r="R55" s="1238"/>
      <c r="S55" s="1238"/>
      <c r="T55" s="1238"/>
      <c r="U55" s="1238"/>
      <c r="V55" s="1238"/>
      <c r="W55" s="1238"/>
      <c r="X55" s="1238"/>
      <c r="Y55" s="1238"/>
      <c r="Z55" s="1238"/>
      <c r="AA55" s="1238"/>
      <c r="AB55" s="1238"/>
      <c r="AC55" s="1238"/>
      <c r="AD55" s="1238"/>
      <c r="AE55" s="1238"/>
      <c r="AF55" s="1238"/>
    </row>
    <row r="56" spans="1:32" x14ac:dyDescent="0.25">
      <c r="A56" s="1238" t="s">
        <v>5296</v>
      </c>
      <c r="B56" s="1238"/>
      <c r="C56" s="1238"/>
      <c r="D56" s="1238"/>
      <c r="E56" s="1238"/>
      <c r="F56" s="1238"/>
      <c r="G56" s="1238"/>
      <c r="H56" s="1238"/>
      <c r="I56" s="1238"/>
      <c r="J56" s="1238"/>
      <c r="K56" s="1238"/>
      <c r="L56" s="1238"/>
      <c r="M56" s="1238"/>
      <c r="N56" s="1238"/>
      <c r="O56" s="1238"/>
      <c r="P56" s="1238"/>
      <c r="Q56" s="1238"/>
      <c r="R56" s="1238"/>
      <c r="S56" s="1238"/>
      <c r="T56" s="1238"/>
      <c r="U56" s="1238"/>
      <c r="V56" s="1238"/>
      <c r="W56" s="1238"/>
      <c r="X56" s="1238"/>
      <c r="Y56" s="1238"/>
      <c r="Z56" s="1238"/>
      <c r="AA56" s="1238"/>
      <c r="AB56" s="1238"/>
      <c r="AC56" s="1238"/>
      <c r="AD56" s="1238"/>
      <c r="AE56" s="1238"/>
      <c r="AF56" s="1238"/>
    </row>
    <row r="57" spans="1:32" ht="48.75" customHeight="1" x14ac:dyDescent="0.25">
      <c r="A57" s="1238" t="s">
        <v>5297</v>
      </c>
      <c r="B57" s="1238"/>
      <c r="C57" s="1238"/>
      <c r="D57" s="1238"/>
      <c r="E57" s="1238"/>
      <c r="F57" s="1238"/>
      <c r="G57" s="1238"/>
      <c r="H57" s="1238"/>
      <c r="I57" s="1238"/>
      <c r="J57" s="1238"/>
      <c r="K57" s="1238"/>
      <c r="L57" s="1238"/>
      <c r="M57" s="1238"/>
      <c r="N57" s="1238"/>
      <c r="O57" s="1238"/>
      <c r="P57" s="1238"/>
      <c r="Q57" s="1238"/>
      <c r="R57" s="1238"/>
      <c r="S57" s="1238"/>
      <c r="T57" s="1238"/>
      <c r="U57" s="1238"/>
      <c r="V57" s="1238"/>
      <c r="W57" s="1238"/>
      <c r="X57" s="1238"/>
      <c r="Y57" s="1238"/>
      <c r="Z57" s="1238"/>
      <c r="AA57" s="1238"/>
      <c r="AB57" s="1238"/>
      <c r="AC57" s="1238"/>
      <c r="AD57" s="1238"/>
      <c r="AE57" s="1238"/>
      <c r="AF57" s="1238"/>
    </row>
    <row r="58" spans="1:32" ht="52.5" customHeight="1" x14ac:dyDescent="0.25">
      <c r="A58" s="1238" t="s">
        <v>5298</v>
      </c>
      <c r="B58" s="1238"/>
      <c r="C58" s="1238"/>
      <c r="D58" s="1238"/>
      <c r="E58" s="1238"/>
      <c r="F58" s="1238"/>
      <c r="G58" s="1238"/>
      <c r="H58" s="1238"/>
      <c r="I58" s="1238"/>
      <c r="J58" s="1238"/>
      <c r="K58" s="1238"/>
      <c r="L58" s="1238"/>
      <c r="M58" s="1238"/>
      <c r="N58" s="1238"/>
      <c r="O58" s="1238"/>
      <c r="P58" s="1238"/>
      <c r="Q58" s="1238"/>
      <c r="R58" s="1238"/>
      <c r="S58" s="1238"/>
      <c r="T58" s="1238"/>
      <c r="U58" s="1238"/>
      <c r="V58" s="1238"/>
      <c r="W58" s="1238"/>
      <c r="X58" s="1238"/>
      <c r="Y58" s="1238"/>
      <c r="Z58" s="1238"/>
      <c r="AA58" s="1238"/>
      <c r="AB58" s="1238"/>
      <c r="AC58" s="1238"/>
      <c r="AD58" s="1238"/>
      <c r="AE58" s="1238"/>
      <c r="AF58" s="1238"/>
    </row>
    <row r="59" spans="1:32" x14ac:dyDescent="0.25">
      <c r="A59" s="1238" t="s">
        <v>5299</v>
      </c>
      <c r="B59" s="1238"/>
      <c r="C59" s="1238"/>
      <c r="D59" s="1238"/>
      <c r="E59" s="1238"/>
      <c r="F59" s="1238"/>
      <c r="G59" s="1238"/>
      <c r="H59" s="1238"/>
      <c r="I59" s="1238"/>
      <c r="J59" s="1238"/>
      <c r="K59" s="1238"/>
      <c r="L59" s="1238"/>
      <c r="M59" s="1238"/>
      <c r="N59" s="1238"/>
      <c r="O59" s="1238"/>
      <c r="P59" s="1238"/>
      <c r="Q59" s="1238"/>
      <c r="R59" s="1238"/>
      <c r="S59" s="1238"/>
      <c r="T59" s="1238"/>
      <c r="U59" s="1238"/>
      <c r="V59" s="1238"/>
      <c r="W59" s="1238"/>
      <c r="X59" s="1238"/>
      <c r="Y59" s="1238"/>
      <c r="Z59" s="1238"/>
      <c r="AA59" s="1238"/>
      <c r="AB59" s="1238"/>
      <c r="AC59" s="1238"/>
      <c r="AD59" s="1238"/>
      <c r="AE59" s="1238"/>
      <c r="AF59" s="1238"/>
    </row>
    <row r="60" spans="1:32" x14ac:dyDescent="0.25">
      <c r="A60" s="407"/>
      <c r="B60" s="407"/>
      <c r="C60" s="407"/>
      <c r="D60" s="407"/>
      <c r="E60" s="407"/>
      <c r="F60" s="407"/>
      <c r="G60" s="407"/>
      <c r="H60" s="407"/>
      <c r="I60" s="407"/>
      <c r="J60" s="407"/>
      <c r="K60" s="407"/>
      <c r="L60" s="407"/>
      <c r="M60" s="407"/>
      <c r="N60" s="407"/>
      <c r="O60" s="407"/>
      <c r="P60" s="407"/>
      <c r="Q60" s="407"/>
      <c r="R60" s="407"/>
      <c r="S60" s="407"/>
      <c r="T60" s="407"/>
      <c r="U60" s="407"/>
      <c r="V60" s="407"/>
      <c r="W60" s="407"/>
      <c r="X60" s="407"/>
      <c r="Y60" s="407"/>
      <c r="Z60" s="407"/>
      <c r="AA60" s="407"/>
      <c r="AB60" s="407"/>
      <c r="AC60" s="407"/>
      <c r="AD60" s="407"/>
      <c r="AE60" s="407"/>
      <c r="AF60" s="407"/>
    </row>
    <row r="61" spans="1:32" x14ac:dyDescent="0.25">
      <c r="A61" s="1472" t="s">
        <v>21</v>
      </c>
      <c r="B61" s="1472"/>
      <c r="C61" s="1472"/>
      <c r="D61" s="1472"/>
      <c r="E61" s="1472"/>
      <c r="F61" s="1472"/>
      <c r="G61" s="1472"/>
      <c r="H61" s="1472"/>
      <c r="I61" s="1472"/>
      <c r="J61" s="1472"/>
      <c r="K61" s="1472"/>
      <c r="L61" s="1472"/>
      <c r="M61" s="1472"/>
      <c r="N61" s="1472"/>
      <c r="O61" s="1472"/>
      <c r="P61" s="1472"/>
      <c r="Q61" s="1472"/>
      <c r="R61" s="1472"/>
      <c r="S61" s="1472"/>
      <c r="T61" s="1472"/>
      <c r="U61" s="1472"/>
      <c r="V61" s="1472"/>
      <c r="W61" s="1472"/>
      <c r="X61" s="1472"/>
      <c r="Y61" s="1472"/>
      <c r="Z61" s="1472"/>
      <c r="AA61" s="1472"/>
      <c r="AB61" s="1472"/>
      <c r="AC61" s="1472"/>
      <c r="AD61" s="1472"/>
      <c r="AE61" s="1472"/>
      <c r="AF61" s="1472"/>
    </row>
    <row r="62" spans="1:32" ht="15.75" thickBot="1" x14ac:dyDescent="0.3"/>
    <row r="63" spans="1:32" x14ac:dyDescent="0.25">
      <c r="A63" s="1583" t="s">
        <v>22</v>
      </c>
      <c r="B63" s="1584"/>
      <c r="C63" s="1584"/>
      <c r="D63" s="1584"/>
      <c r="E63" s="1584"/>
      <c r="F63" s="1584"/>
      <c r="G63" s="1584"/>
      <c r="H63" s="1584"/>
      <c r="I63" s="1584" t="s">
        <v>23</v>
      </c>
      <c r="J63" s="1584"/>
      <c r="K63" s="1584"/>
      <c r="L63" s="1584"/>
      <c r="M63" s="1584"/>
      <c r="N63" s="1584"/>
      <c r="O63" s="1584"/>
      <c r="P63" s="1584"/>
      <c r="Q63" s="1584" t="s">
        <v>24</v>
      </c>
      <c r="R63" s="1584"/>
      <c r="S63" s="1584"/>
      <c r="T63" s="1584"/>
      <c r="U63" s="1584"/>
      <c r="V63" s="1584"/>
      <c r="W63" s="1584"/>
      <c r="X63" s="1610"/>
      <c r="Y63" s="1584" t="s">
        <v>2012</v>
      </c>
      <c r="Z63" s="1584"/>
      <c r="AA63" s="1584"/>
      <c r="AB63" s="1584"/>
      <c r="AC63" s="1584"/>
      <c r="AD63" s="1584"/>
      <c r="AE63" s="1584"/>
      <c r="AF63" s="1585"/>
    </row>
    <row r="64" spans="1:32" ht="45.75" customHeight="1" x14ac:dyDescent="0.25">
      <c r="A64" s="1962" t="s">
        <v>5300</v>
      </c>
      <c r="B64" s="1920"/>
      <c r="C64" s="1920"/>
      <c r="D64" s="1920"/>
      <c r="E64" s="1920"/>
      <c r="F64" s="1920"/>
      <c r="G64" s="1920"/>
      <c r="H64" s="1920"/>
      <c r="I64" s="1783">
        <f>ROUND(0,3)</f>
        <v>0</v>
      </c>
      <c r="J64" s="1783"/>
      <c r="K64" s="1783"/>
      <c r="L64" s="1783"/>
      <c r="M64" s="1783"/>
      <c r="N64" s="1783"/>
      <c r="O64" s="1783"/>
      <c r="P64" s="1783"/>
      <c r="Q64" s="1784">
        <f>ROUND(P47*P48*P49*P51/(P52*1000),2)</f>
        <v>274.47000000000003</v>
      </c>
      <c r="R64" s="1784"/>
      <c r="S64" s="1784"/>
      <c r="T64" s="1784"/>
      <c r="U64" s="1784"/>
      <c r="V64" s="1784"/>
      <c r="W64" s="1784"/>
      <c r="X64" s="3358"/>
      <c r="Y64" s="3359">
        <f>ROUND(Q64*P53,2)</f>
        <v>1921.29</v>
      </c>
      <c r="Z64" s="3359"/>
      <c r="AA64" s="3359"/>
      <c r="AB64" s="3359"/>
      <c r="AC64" s="3359"/>
      <c r="AD64" s="3359"/>
      <c r="AE64" s="3359"/>
      <c r="AF64" s="3360"/>
    </row>
    <row r="65" spans="1:32" ht="46.5" customHeight="1" thickBot="1" x14ac:dyDescent="0.3">
      <c r="A65" s="3361" t="s">
        <v>5301</v>
      </c>
      <c r="B65" s="3362"/>
      <c r="C65" s="3362"/>
      <c r="D65" s="3362"/>
      <c r="E65" s="3362"/>
      <c r="F65" s="3362"/>
      <c r="G65" s="3362"/>
      <c r="H65" s="3362"/>
      <c r="I65" s="3363">
        <f>ROUND(0,3)</f>
        <v>0</v>
      </c>
      <c r="J65" s="3363"/>
      <c r="K65" s="3363"/>
      <c r="L65" s="3363"/>
      <c r="M65" s="3363"/>
      <c r="N65" s="3363"/>
      <c r="O65" s="3363"/>
      <c r="P65" s="3363"/>
      <c r="Q65" s="3364">
        <f>ROUND(P47*P48*P50*P51/(P52*1000),2)</f>
        <v>603.83000000000004</v>
      </c>
      <c r="R65" s="3364"/>
      <c r="S65" s="3364"/>
      <c r="T65" s="3364"/>
      <c r="U65" s="3364"/>
      <c r="V65" s="3364"/>
      <c r="W65" s="3364"/>
      <c r="X65" s="3365"/>
      <c r="Y65" s="3366">
        <f>ROUND(Q65*P53,2)</f>
        <v>4226.8100000000004</v>
      </c>
      <c r="Z65" s="3366"/>
      <c r="AA65" s="3366"/>
      <c r="AB65" s="3366"/>
      <c r="AC65" s="3366"/>
      <c r="AD65" s="3366"/>
      <c r="AE65" s="3366"/>
      <c r="AF65" s="3367"/>
    </row>
    <row r="68" spans="1:32" x14ac:dyDescent="0.25">
      <c r="A68" s="1472" t="s">
        <v>1753</v>
      </c>
      <c r="B68" s="1472"/>
      <c r="C68" s="1472"/>
      <c r="D68" s="1472"/>
      <c r="E68" s="1472"/>
      <c r="F68" s="1472"/>
      <c r="G68" s="1472"/>
      <c r="H68" s="1472"/>
      <c r="I68" s="1472"/>
      <c r="J68" s="1472"/>
      <c r="K68" s="1472"/>
      <c r="L68" s="1472"/>
      <c r="M68" s="1472"/>
      <c r="N68" s="1472"/>
      <c r="O68" s="1472"/>
      <c r="P68" s="1472"/>
      <c r="Q68" s="1472"/>
      <c r="R68" s="1472"/>
      <c r="S68" s="1472"/>
      <c r="T68" s="1472"/>
      <c r="U68" s="1472"/>
      <c r="V68" s="1472"/>
      <c r="W68" s="1472"/>
      <c r="X68" s="1472"/>
      <c r="Y68" s="1472"/>
      <c r="Z68" s="1472"/>
      <c r="AA68" s="1472"/>
      <c r="AB68" s="1472"/>
      <c r="AC68" s="1472"/>
      <c r="AD68" s="1472"/>
      <c r="AE68" s="1472"/>
      <c r="AF68" s="1472"/>
    </row>
    <row r="70" spans="1:32" x14ac:dyDescent="0.25">
      <c r="A70" s="515" t="s">
        <v>1013</v>
      </c>
      <c r="B70" s="1247" t="s">
        <v>5302</v>
      </c>
      <c r="C70" s="1247"/>
      <c r="D70" s="1247"/>
      <c r="E70" s="1247"/>
      <c r="F70" s="1247"/>
      <c r="G70" s="1247"/>
      <c r="H70" s="1247"/>
      <c r="I70" s="1247"/>
      <c r="J70" s="1247"/>
      <c r="K70" s="1247"/>
      <c r="L70" s="1247"/>
      <c r="M70" s="1247"/>
      <c r="N70" s="1247"/>
      <c r="O70" s="1247"/>
      <c r="P70" s="1247"/>
      <c r="Q70" s="1247"/>
      <c r="R70" s="1247"/>
      <c r="S70" s="1247"/>
      <c r="T70" s="1247"/>
      <c r="U70" s="1247"/>
      <c r="V70" s="1247"/>
      <c r="W70" s="1247"/>
      <c r="X70" s="1247"/>
      <c r="Y70" s="1247"/>
      <c r="Z70" s="1247"/>
      <c r="AA70" s="1247"/>
      <c r="AB70" s="1247"/>
      <c r="AC70" s="1247"/>
      <c r="AD70" s="1247"/>
      <c r="AE70" s="1247"/>
      <c r="AF70" s="1247"/>
    </row>
    <row r="71" spans="1:32" ht="30" customHeight="1" x14ac:dyDescent="0.25">
      <c r="A71" s="517" t="s">
        <v>1013</v>
      </c>
      <c r="B71" s="1173" t="s">
        <v>5303</v>
      </c>
      <c r="C71" s="1173"/>
      <c r="D71" s="1173"/>
      <c r="E71" s="1173"/>
      <c r="F71" s="1173"/>
      <c r="G71" s="1173"/>
      <c r="H71" s="1173"/>
      <c r="I71" s="1173"/>
      <c r="J71" s="1173"/>
      <c r="K71" s="1173"/>
      <c r="L71" s="1173"/>
      <c r="M71" s="1173"/>
      <c r="N71" s="1173"/>
      <c r="O71" s="1173"/>
      <c r="P71" s="1173"/>
      <c r="Q71" s="1173"/>
      <c r="R71" s="1173"/>
      <c r="S71" s="1173"/>
      <c r="T71" s="1173"/>
      <c r="U71" s="1173"/>
      <c r="V71" s="1173"/>
      <c r="W71" s="1173"/>
      <c r="X71" s="1173"/>
      <c r="Y71" s="1173"/>
      <c r="Z71" s="1173"/>
      <c r="AA71" s="1173"/>
      <c r="AB71" s="1173"/>
      <c r="AC71" s="1173"/>
      <c r="AD71" s="1173"/>
      <c r="AE71" s="1173"/>
      <c r="AF71" s="1173"/>
    </row>
    <row r="72" spans="1:32" ht="30" customHeight="1" x14ac:dyDescent="0.25">
      <c r="A72" s="517" t="s">
        <v>1013</v>
      </c>
      <c r="B72" s="1173" t="s">
        <v>5304</v>
      </c>
      <c r="C72" s="1173"/>
      <c r="D72" s="1173"/>
      <c r="E72" s="1173"/>
      <c r="F72" s="1173"/>
      <c r="G72" s="1173"/>
      <c r="H72" s="1173"/>
      <c r="I72" s="1173"/>
      <c r="J72" s="1173"/>
      <c r="K72" s="1173"/>
      <c r="L72" s="1173"/>
      <c r="M72" s="1173"/>
      <c r="N72" s="1173"/>
      <c r="O72" s="1173"/>
      <c r="P72" s="1173"/>
      <c r="Q72" s="1173"/>
      <c r="R72" s="1173"/>
      <c r="S72" s="1173"/>
      <c r="T72" s="1173"/>
      <c r="U72" s="1173"/>
      <c r="V72" s="1173"/>
      <c r="W72" s="1173"/>
      <c r="X72" s="1173"/>
      <c r="Y72" s="1173"/>
      <c r="Z72" s="1173"/>
      <c r="AA72" s="1173"/>
      <c r="AB72" s="1173"/>
      <c r="AC72" s="1173"/>
      <c r="AD72" s="1173"/>
      <c r="AE72" s="1173"/>
      <c r="AF72" s="1173"/>
    </row>
    <row r="73" spans="1:32" x14ac:dyDescent="0.25">
      <c r="A73" s="517" t="s">
        <v>1013</v>
      </c>
      <c r="B73" s="1173" t="s">
        <v>5305</v>
      </c>
      <c r="C73" s="1173"/>
      <c r="D73" s="1173"/>
      <c r="E73" s="1173"/>
      <c r="F73" s="1173"/>
      <c r="G73" s="1173"/>
      <c r="H73" s="1173"/>
      <c r="I73" s="1173"/>
      <c r="J73" s="1173"/>
      <c r="K73" s="1173"/>
      <c r="L73" s="1173"/>
      <c r="M73" s="1173"/>
      <c r="N73" s="1173"/>
      <c r="O73" s="1173"/>
      <c r="P73" s="1173"/>
      <c r="Q73" s="1173"/>
      <c r="R73" s="1173"/>
      <c r="S73" s="1173"/>
      <c r="T73" s="1173"/>
      <c r="U73" s="1173"/>
      <c r="V73" s="1173"/>
      <c r="W73" s="1173"/>
      <c r="X73" s="1173"/>
      <c r="Y73" s="1173"/>
      <c r="Z73" s="1173"/>
      <c r="AA73" s="1173"/>
      <c r="AB73" s="1173"/>
      <c r="AC73" s="1173"/>
      <c r="AD73" s="1173"/>
      <c r="AE73" s="1173"/>
      <c r="AF73" s="1173"/>
    </row>
    <row r="74" spans="1:32" x14ac:dyDescent="0.25">
      <c r="A74" s="515" t="s">
        <v>1013</v>
      </c>
      <c r="B74" s="1247" t="s">
        <v>5306</v>
      </c>
      <c r="C74" s="1247"/>
      <c r="D74" s="1247"/>
      <c r="E74" s="1247"/>
      <c r="F74" s="1247"/>
      <c r="G74" s="1247"/>
      <c r="H74" s="1247"/>
      <c r="I74" s="1247"/>
      <c r="J74" s="1247"/>
      <c r="K74" s="1247"/>
      <c r="L74" s="1247"/>
      <c r="M74" s="1247"/>
      <c r="N74" s="1247"/>
      <c r="O74" s="1247"/>
      <c r="P74" s="1247"/>
      <c r="Q74" s="1247"/>
      <c r="R74" s="1247"/>
      <c r="S74" s="1247"/>
      <c r="T74" s="1247"/>
      <c r="U74" s="1247"/>
      <c r="V74" s="1247"/>
      <c r="W74" s="1247"/>
      <c r="X74" s="1247"/>
      <c r="Y74" s="1247"/>
      <c r="Z74" s="1247"/>
      <c r="AA74" s="1247"/>
      <c r="AB74" s="1247"/>
      <c r="AC74" s="1247"/>
      <c r="AD74" s="1247"/>
      <c r="AE74" s="1247"/>
      <c r="AF74" s="1247"/>
    </row>
    <row r="75" spans="1:32" x14ac:dyDescent="0.25">
      <c r="A75" s="517" t="s">
        <v>1013</v>
      </c>
      <c r="B75" s="1173" t="s">
        <v>5307</v>
      </c>
      <c r="C75" s="1173"/>
      <c r="D75" s="1173"/>
      <c r="E75" s="1173"/>
      <c r="F75" s="1173"/>
      <c r="G75" s="1173"/>
      <c r="H75" s="1173"/>
      <c r="I75" s="1173"/>
      <c r="J75" s="1173"/>
      <c r="K75" s="1173"/>
      <c r="L75" s="1173"/>
      <c r="M75" s="1173"/>
      <c r="N75" s="1173"/>
      <c r="O75" s="1173"/>
      <c r="P75" s="1173"/>
      <c r="Q75" s="1173"/>
      <c r="R75" s="1173"/>
      <c r="S75" s="1173"/>
      <c r="T75" s="1173"/>
      <c r="U75" s="1173"/>
      <c r="V75" s="1173"/>
      <c r="W75" s="1173"/>
      <c r="X75" s="1173"/>
      <c r="Y75" s="1173"/>
      <c r="Z75" s="1173"/>
      <c r="AA75" s="1173"/>
      <c r="AB75" s="1173"/>
      <c r="AC75" s="1173"/>
      <c r="AD75" s="1173"/>
      <c r="AE75" s="1173"/>
      <c r="AF75" s="1173"/>
    </row>
    <row r="76" spans="1:32" ht="30" customHeight="1" x14ac:dyDescent="0.25">
      <c r="A76" s="515" t="s">
        <v>1013</v>
      </c>
      <c r="B76" s="1247" t="s">
        <v>5308</v>
      </c>
      <c r="C76" s="1247"/>
      <c r="D76" s="1247"/>
      <c r="E76" s="1247"/>
      <c r="F76" s="1247"/>
      <c r="G76" s="1247"/>
      <c r="H76" s="1247"/>
      <c r="I76" s="1247"/>
      <c r="J76" s="1247"/>
      <c r="K76" s="1247"/>
      <c r="L76" s="1247"/>
      <c r="M76" s="1247"/>
      <c r="N76" s="1247"/>
      <c r="O76" s="1247"/>
      <c r="P76" s="1247"/>
      <c r="Q76" s="1247"/>
      <c r="R76" s="1247"/>
      <c r="S76" s="1247"/>
      <c r="T76" s="1247"/>
      <c r="U76" s="1247"/>
      <c r="V76" s="1247"/>
      <c r="W76" s="1247"/>
      <c r="X76" s="1247"/>
      <c r="Y76" s="1247"/>
      <c r="Z76" s="1247"/>
      <c r="AA76" s="1247"/>
      <c r="AB76" s="1247"/>
      <c r="AC76" s="1247"/>
      <c r="AD76" s="1247"/>
      <c r="AE76" s="1247"/>
      <c r="AF76" s="1247"/>
    </row>
    <row r="77" spans="1:32" x14ac:dyDescent="0.25">
      <c r="A77" s="517" t="s">
        <v>1013</v>
      </c>
      <c r="B77" s="1173" t="s">
        <v>5309</v>
      </c>
      <c r="C77" s="1173"/>
      <c r="D77" s="1173"/>
      <c r="E77" s="1173"/>
      <c r="F77" s="1173"/>
      <c r="G77" s="1173"/>
      <c r="H77" s="1173"/>
      <c r="I77" s="1173"/>
      <c r="J77" s="1173"/>
      <c r="K77" s="1173"/>
      <c r="L77" s="1173"/>
      <c r="M77" s="1173"/>
      <c r="N77" s="1173"/>
      <c r="O77" s="1173"/>
      <c r="P77" s="1173"/>
      <c r="Q77" s="1173"/>
      <c r="R77" s="1173"/>
      <c r="S77" s="1173"/>
      <c r="T77" s="1173"/>
      <c r="U77" s="1173"/>
      <c r="V77" s="1173"/>
      <c r="W77" s="1173"/>
      <c r="X77" s="1173"/>
      <c r="Y77" s="1173"/>
      <c r="Z77" s="1173"/>
      <c r="AA77" s="1173"/>
      <c r="AB77" s="1173"/>
      <c r="AC77" s="1173"/>
      <c r="AD77" s="1173"/>
      <c r="AE77" s="1173"/>
      <c r="AF77" s="1173"/>
    </row>
    <row r="78" spans="1:32" ht="30" customHeight="1" x14ac:dyDescent="0.25">
      <c r="A78" s="517" t="s">
        <v>1013</v>
      </c>
      <c r="B78" s="1168" t="s">
        <v>3482</v>
      </c>
      <c r="C78" s="1168"/>
      <c r="D78" s="1168"/>
      <c r="E78" s="1168"/>
      <c r="F78" s="1168"/>
      <c r="G78" s="1168"/>
      <c r="H78" s="1168"/>
      <c r="I78" s="1168"/>
      <c r="J78" s="1168"/>
      <c r="K78" s="1168"/>
      <c r="L78" s="1168"/>
      <c r="M78" s="1168"/>
      <c r="N78" s="1168"/>
      <c r="O78" s="1168"/>
      <c r="P78" s="1168"/>
      <c r="Q78" s="1168"/>
      <c r="R78" s="1168"/>
      <c r="S78" s="1168"/>
      <c r="T78" s="1168"/>
      <c r="U78" s="1168"/>
      <c r="V78" s="1168"/>
      <c r="W78" s="1168"/>
      <c r="X78" s="1168"/>
      <c r="Y78" s="1168"/>
      <c r="Z78" s="1168"/>
      <c r="AA78" s="1168"/>
      <c r="AB78" s="1168"/>
      <c r="AC78" s="1168"/>
      <c r="AD78" s="1168"/>
      <c r="AE78" s="1168"/>
      <c r="AF78" s="1168"/>
    </row>
    <row r="79" spans="1:32" ht="30" customHeight="1" x14ac:dyDescent="0.25">
      <c r="A79" s="517" t="s">
        <v>1013</v>
      </c>
      <c r="B79" s="1173" t="s">
        <v>5310</v>
      </c>
      <c r="C79" s="1173"/>
      <c r="D79" s="1173"/>
      <c r="E79" s="1173"/>
      <c r="F79" s="1173"/>
      <c r="G79" s="1173"/>
      <c r="H79" s="1173"/>
      <c r="I79" s="1173"/>
      <c r="J79" s="1173"/>
      <c r="K79" s="1173"/>
      <c r="L79" s="1173"/>
      <c r="M79" s="1173"/>
      <c r="N79" s="1173"/>
      <c r="O79" s="1173"/>
      <c r="P79" s="1173"/>
      <c r="Q79" s="1173"/>
      <c r="R79" s="1173"/>
      <c r="S79" s="1173"/>
      <c r="T79" s="1173"/>
      <c r="U79" s="1173"/>
      <c r="V79" s="1173"/>
      <c r="W79" s="1173"/>
      <c r="X79" s="1173"/>
      <c r="Y79" s="1173"/>
      <c r="Z79" s="1173"/>
      <c r="AA79" s="1173"/>
      <c r="AB79" s="1173"/>
      <c r="AC79" s="1173"/>
      <c r="AD79" s="1173"/>
      <c r="AE79" s="1173"/>
      <c r="AF79" s="1173"/>
    </row>
    <row r="80" spans="1:32" x14ac:dyDescent="0.25">
      <c r="A80" s="517" t="s">
        <v>1013</v>
      </c>
      <c r="B80" s="1173" t="s">
        <v>5311</v>
      </c>
      <c r="C80" s="1173"/>
      <c r="D80" s="1173"/>
      <c r="E80" s="1173"/>
      <c r="F80" s="1173"/>
      <c r="G80" s="1173"/>
      <c r="H80" s="1173"/>
      <c r="I80" s="1173"/>
      <c r="J80" s="1173"/>
      <c r="K80" s="1173"/>
      <c r="L80" s="1173"/>
      <c r="M80" s="1173"/>
      <c r="N80" s="1173"/>
      <c r="O80" s="1173"/>
      <c r="P80" s="1173"/>
      <c r="Q80" s="1173"/>
      <c r="R80" s="1173"/>
      <c r="S80" s="1173"/>
      <c r="T80" s="1173"/>
      <c r="U80" s="1173"/>
      <c r="V80" s="1173"/>
      <c r="W80" s="1173"/>
      <c r="X80" s="1173"/>
      <c r="Y80" s="1173"/>
      <c r="Z80" s="1173"/>
      <c r="AA80" s="1173"/>
      <c r="AB80" s="1173"/>
      <c r="AC80" s="1173"/>
      <c r="AD80" s="1173"/>
      <c r="AE80" s="1173"/>
      <c r="AF80" s="1173"/>
    </row>
    <row r="81" spans="1:32" ht="47.25" customHeight="1" x14ac:dyDescent="0.25">
      <c r="A81" s="517" t="s">
        <v>1013</v>
      </c>
      <c r="B81" s="1173" t="s">
        <v>5312</v>
      </c>
      <c r="C81" s="1173"/>
      <c r="D81" s="1173"/>
      <c r="E81" s="1173"/>
      <c r="F81" s="1173"/>
      <c r="G81" s="1173"/>
      <c r="H81" s="1173"/>
      <c r="I81" s="1173"/>
      <c r="J81" s="1173"/>
      <c r="K81" s="1173"/>
      <c r="L81" s="1173"/>
      <c r="M81" s="1173"/>
      <c r="N81" s="1173"/>
      <c r="O81" s="1173"/>
      <c r="P81" s="1173"/>
      <c r="Q81" s="1173"/>
      <c r="R81" s="1173"/>
      <c r="S81" s="1173"/>
      <c r="T81" s="1173"/>
      <c r="U81" s="1173"/>
      <c r="V81" s="1173"/>
      <c r="W81" s="1173"/>
      <c r="X81" s="1173"/>
      <c r="Y81" s="1173"/>
      <c r="Z81" s="1173"/>
      <c r="AA81" s="1173"/>
      <c r="AB81" s="1173"/>
      <c r="AC81" s="1173"/>
      <c r="AD81" s="1173"/>
      <c r="AE81" s="1173"/>
      <c r="AF81" s="1173"/>
    </row>
    <row r="82" spans="1:32" ht="46.5" customHeight="1" x14ac:dyDescent="0.25">
      <c r="A82" s="515" t="s">
        <v>1013</v>
      </c>
      <c r="B82" s="1247" t="s">
        <v>5313</v>
      </c>
      <c r="C82" s="1247"/>
      <c r="D82" s="1247"/>
      <c r="E82" s="1247"/>
      <c r="F82" s="1247"/>
      <c r="G82" s="1247"/>
      <c r="H82" s="1247"/>
      <c r="I82" s="1247"/>
      <c r="J82" s="1247"/>
      <c r="K82" s="1247"/>
      <c r="L82" s="1247"/>
      <c r="M82" s="1247"/>
      <c r="N82" s="1247"/>
      <c r="O82" s="1247"/>
      <c r="P82" s="1247"/>
      <c r="Q82" s="1247"/>
      <c r="R82" s="1247"/>
      <c r="S82" s="1247"/>
      <c r="T82" s="1247"/>
      <c r="U82" s="1247"/>
      <c r="V82" s="1247"/>
      <c r="W82" s="1247"/>
      <c r="X82" s="1247"/>
      <c r="Y82" s="1247"/>
      <c r="Z82" s="1247"/>
      <c r="AA82" s="1247"/>
      <c r="AB82" s="1247"/>
      <c r="AC82" s="1247"/>
      <c r="AD82" s="1247"/>
      <c r="AE82" s="1247"/>
      <c r="AF82" s="1247"/>
    </row>
    <row r="83" spans="1:32" ht="33" customHeight="1" x14ac:dyDescent="0.25">
      <c r="A83" s="515" t="s">
        <v>1013</v>
      </c>
      <c r="B83" s="1247" t="s">
        <v>5318</v>
      </c>
      <c r="C83" s="1247"/>
      <c r="D83" s="1247"/>
      <c r="E83" s="1247"/>
      <c r="F83" s="1247"/>
      <c r="G83" s="1247"/>
      <c r="H83" s="1247"/>
      <c r="I83" s="1247"/>
      <c r="J83" s="1247"/>
      <c r="K83" s="1247"/>
      <c r="L83" s="1247"/>
      <c r="M83" s="1247"/>
      <c r="N83" s="1247"/>
      <c r="O83" s="1247"/>
      <c r="P83" s="1247"/>
      <c r="Q83" s="1247"/>
      <c r="R83" s="1247"/>
      <c r="S83" s="1247"/>
      <c r="T83" s="1247"/>
      <c r="U83" s="1247"/>
      <c r="V83" s="1247"/>
      <c r="W83" s="1247"/>
      <c r="X83" s="1247"/>
      <c r="Y83" s="1247"/>
      <c r="Z83" s="1247"/>
      <c r="AA83" s="1247"/>
      <c r="AB83" s="1247"/>
      <c r="AC83" s="1247"/>
      <c r="AD83" s="1247"/>
      <c r="AE83" s="1247"/>
      <c r="AF83" s="1247"/>
    </row>
    <row r="84" spans="1:32" ht="47.25" customHeight="1" x14ac:dyDescent="0.25">
      <c r="A84" s="515" t="s">
        <v>1013</v>
      </c>
      <c r="B84" s="1247" t="s">
        <v>5314</v>
      </c>
      <c r="C84" s="1247"/>
      <c r="D84" s="1247"/>
      <c r="E84" s="1247"/>
      <c r="F84" s="1247"/>
      <c r="G84" s="1247"/>
      <c r="H84" s="1247"/>
      <c r="I84" s="1247"/>
      <c r="J84" s="1247"/>
      <c r="K84" s="1247"/>
      <c r="L84" s="1247"/>
      <c r="M84" s="1247"/>
      <c r="N84" s="1247"/>
      <c r="O84" s="1247"/>
      <c r="P84" s="1247"/>
      <c r="Q84" s="1247"/>
      <c r="R84" s="1247"/>
      <c r="S84" s="1247"/>
      <c r="T84" s="1247"/>
      <c r="U84" s="1247"/>
      <c r="V84" s="1247"/>
      <c r="W84" s="1247"/>
      <c r="X84" s="1247"/>
      <c r="Y84" s="1247"/>
      <c r="Z84" s="1247"/>
      <c r="AA84" s="1247"/>
      <c r="AB84" s="1247"/>
      <c r="AC84" s="1247"/>
      <c r="AD84" s="1247"/>
      <c r="AE84" s="1247"/>
      <c r="AF84" s="1247"/>
    </row>
    <row r="85" spans="1:32" ht="46.5" customHeight="1" x14ac:dyDescent="0.25">
      <c r="A85" s="515" t="s">
        <v>1013</v>
      </c>
      <c r="B85" s="1247" t="s">
        <v>5315</v>
      </c>
      <c r="C85" s="1247"/>
      <c r="D85" s="1247"/>
      <c r="E85" s="1247"/>
      <c r="F85" s="1247"/>
      <c r="G85" s="1247"/>
      <c r="H85" s="1247"/>
      <c r="I85" s="1247"/>
      <c r="J85" s="1247"/>
      <c r="K85" s="1247"/>
      <c r="L85" s="1247"/>
      <c r="M85" s="1247"/>
      <c r="N85" s="1247"/>
      <c r="O85" s="1247"/>
      <c r="P85" s="1247"/>
      <c r="Q85" s="1247"/>
      <c r="R85" s="1247"/>
      <c r="S85" s="1247"/>
      <c r="T85" s="1247"/>
      <c r="U85" s="1247"/>
      <c r="V85" s="1247"/>
      <c r="W85" s="1247"/>
      <c r="X85" s="1247"/>
      <c r="Y85" s="1247"/>
      <c r="Z85" s="1247"/>
      <c r="AA85" s="1247"/>
      <c r="AB85" s="1247"/>
      <c r="AC85" s="1247"/>
      <c r="AD85" s="1247"/>
      <c r="AE85" s="1247"/>
      <c r="AF85" s="1247"/>
    </row>
    <row r="86" spans="1:32" ht="30" customHeight="1" x14ac:dyDescent="0.25">
      <c r="A86" s="517" t="s">
        <v>1013</v>
      </c>
      <c r="B86" s="1173" t="s">
        <v>5316</v>
      </c>
      <c r="C86" s="1173"/>
      <c r="D86" s="1173"/>
      <c r="E86" s="1173"/>
      <c r="F86" s="1173"/>
      <c r="G86" s="1173"/>
      <c r="H86" s="1173"/>
      <c r="I86" s="1173"/>
      <c r="J86" s="1173"/>
      <c r="K86" s="1173"/>
      <c r="L86" s="1173"/>
      <c r="M86" s="1173"/>
      <c r="N86" s="1173"/>
      <c r="O86" s="1173"/>
      <c r="P86" s="1173"/>
      <c r="Q86" s="1173"/>
      <c r="R86" s="1173"/>
      <c r="S86" s="1173"/>
      <c r="T86" s="1173"/>
      <c r="U86" s="1173"/>
      <c r="V86" s="1173"/>
      <c r="W86" s="1173"/>
      <c r="X86" s="1173"/>
      <c r="Y86" s="1173"/>
      <c r="Z86" s="1173"/>
      <c r="AA86" s="1173"/>
      <c r="AB86" s="1173"/>
      <c r="AC86" s="1173"/>
      <c r="AD86" s="1173"/>
      <c r="AE86" s="1173"/>
      <c r="AF86" s="1173"/>
    </row>
    <row r="87" spans="1:32" ht="30" customHeight="1" x14ac:dyDescent="0.25">
      <c r="A87" s="517" t="s">
        <v>1013</v>
      </c>
      <c r="B87" s="1173" t="s">
        <v>3956</v>
      </c>
      <c r="C87" s="1173"/>
      <c r="D87" s="1173"/>
      <c r="E87" s="1173"/>
      <c r="F87" s="1173"/>
      <c r="G87" s="1173"/>
      <c r="H87" s="1173"/>
      <c r="I87" s="1173"/>
      <c r="J87" s="1173"/>
      <c r="K87" s="1173"/>
      <c r="L87" s="1173"/>
      <c r="M87" s="1173"/>
      <c r="N87" s="1173"/>
      <c r="O87" s="1173"/>
      <c r="P87" s="1173"/>
      <c r="Q87" s="1173"/>
      <c r="R87" s="1173"/>
      <c r="S87" s="1173"/>
      <c r="T87" s="1173"/>
      <c r="U87" s="1173"/>
      <c r="V87" s="1173"/>
      <c r="W87" s="1173"/>
      <c r="X87" s="1173"/>
      <c r="Y87" s="1173"/>
      <c r="Z87" s="1173"/>
      <c r="AA87" s="1173"/>
      <c r="AB87" s="1173"/>
      <c r="AC87" s="1173"/>
      <c r="AD87" s="1173"/>
      <c r="AE87" s="1173"/>
      <c r="AF87" s="1173"/>
    </row>
    <row r="88" spans="1:32" ht="30" customHeight="1" x14ac:dyDescent="0.25">
      <c r="A88" s="517" t="s">
        <v>1013</v>
      </c>
      <c r="B88" s="1173" t="s">
        <v>5317</v>
      </c>
      <c r="C88" s="1173"/>
      <c r="D88" s="1173"/>
      <c r="E88" s="1173"/>
      <c r="F88" s="1173"/>
      <c r="G88" s="1173"/>
      <c r="H88" s="1173"/>
      <c r="I88" s="1173"/>
      <c r="J88" s="1173"/>
      <c r="K88" s="1173"/>
      <c r="L88" s="1173"/>
      <c r="M88" s="1173"/>
      <c r="N88" s="1173"/>
      <c r="O88" s="1173"/>
      <c r="P88" s="1173"/>
      <c r="Q88" s="1173"/>
      <c r="R88" s="1173"/>
      <c r="S88" s="1173"/>
      <c r="T88" s="1173"/>
      <c r="U88" s="1173"/>
      <c r="V88" s="1173"/>
      <c r="W88" s="1173"/>
      <c r="X88" s="1173"/>
      <c r="Y88" s="1173"/>
      <c r="Z88" s="1173"/>
      <c r="AA88" s="1173"/>
      <c r="AB88" s="1173"/>
      <c r="AC88" s="1173"/>
      <c r="AD88" s="1173"/>
      <c r="AE88" s="1173"/>
      <c r="AF88" s="1173"/>
    </row>
  </sheetData>
  <sheetProtection algorithmName="SHA-512" hashValue="qugy+NivoW9G+SVKYmetZ8R/9vv3N+ZqYGDoJ/noSOSzRYHJ7UzNRKll1uIZN7XMQ8FZMwXY+81YJH2r3lK9Ug==" saltValue="I1QNPhAOfoyaxS69YXRMcg==" spinCount="100000" sheet="1" objects="1" scenarios="1"/>
  <mergeCells count="98">
    <mergeCell ref="A45:D45"/>
    <mergeCell ref="E45:O45"/>
    <mergeCell ref="P45:S45"/>
    <mergeCell ref="T45:W45"/>
    <mergeCell ref="X45:AF45"/>
    <mergeCell ref="B12:AF12"/>
    <mergeCell ref="B14:I14"/>
    <mergeCell ref="B15:AF15"/>
    <mergeCell ref="A1:AF1"/>
    <mergeCell ref="A3:AF3"/>
    <mergeCell ref="B5:AF5"/>
    <mergeCell ref="A7:AF7"/>
    <mergeCell ref="B9:I9"/>
    <mergeCell ref="B10:AF10"/>
    <mergeCell ref="B17:I17"/>
    <mergeCell ref="B20:I20"/>
    <mergeCell ref="B21:AF21"/>
    <mergeCell ref="B24:AF24"/>
    <mergeCell ref="A44:AF44"/>
    <mergeCell ref="B18:AF18"/>
    <mergeCell ref="A27:AF27"/>
    <mergeCell ref="P46:S46"/>
    <mergeCell ref="T46:W46"/>
    <mergeCell ref="X46:AF46"/>
    <mergeCell ref="A47:D47"/>
    <mergeCell ref="E47:O47"/>
    <mergeCell ref="P47:S47"/>
    <mergeCell ref="T47:W47"/>
    <mergeCell ref="X47:AF47"/>
    <mergeCell ref="A46:D46"/>
    <mergeCell ref="E46:O46"/>
    <mergeCell ref="A48:D48"/>
    <mergeCell ref="E48:O48"/>
    <mergeCell ref="P48:S48"/>
    <mergeCell ref="T48:W48"/>
    <mergeCell ref="X48:AF48"/>
    <mergeCell ref="A49:D50"/>
    <mergeCell ref="E49:O49"/>
    <mergeCell ref="P49:S49"/>
    <mergeCell ref="T49:W49"/>
    <mergeCell ref="X49:AF50"/>
    <mergeCell ref="E50:O50"/>
    <mergeCell ref="P50:S50"/>
    <mergeCell ref="T50:W50"/>
    <mergeCell ref="A51:D51"/>
    <mergeCell ref="E51:O51"/>
    <mergeCell ref="P51:S51"/>
    <mergeCell ref="T51:W51"/>
    <mergeCell ref="X51:AF51"/>
    <mergeCell ref="A52:D52"/>
    <mergeCell ref="E52:O52"/>
    <mergeCell ref="P52:S52"/>
    <mergeCell ref="T52:W52"/>
    <mergeCell ref="X52:AF52"/>
    <mergeCell ref="A53:D53"/>
    <mergeCell ref="E53:O53"/>
    <mergeCell ref="P53:S53"/>
    <mergeCell ref="T53:W53"/>
    <mergeCell ref="X53:AF53"/>
    <mergeCell ref="A54:AF54"/>
    <mergeCell ref="A55:AF55"/>
    <mergeCell ref="A56:AF56"/>
    <mergeCell ref="A57:AF57"/>
    <mergeCell ref="A58:AF58"/>
    <mergeCell ref="A59:AF59"/>
    <mergeCell ref="A61:AF61"/>
    <mergeCell ref="A63:H63"/>
    <mergeCell ref="I63:P63"/>
    <mergeCell ref="Q63:X63"/>
    <mergeCell ref="Y63:AF63"/>
    <mergeCell ref="A64:H64"/>
    <mergeCell ref="I64:P64"/>
    <mergeCell ref="Q64:X64"/>
    <mergeCell ref="Y64:AF64"/>
    <mergeCell ref="A65:H65"/>
    <mergeCell ref="I65:P65"/>
    <mergeCell ref="Q65:X65"/>
    <mergeCell ref="Y65:AF65"/>
    <mergeCell ref="A68:AF68"/>
    <mergeCell ref="B70:AF70"/>
    <mergeCell ref="B71:AF71"/>
    <mergeCell ref="B72:AF72"/>
    <mergeCell ref="B73:AF73"/>
    <mergeCell ref="B74:AF74"/>
    <mergeCell ref="B75:AF75"/>
    <mergeCell ref="B76:AF76"/>
    <mergeCell ref="B77:AF77"/>
    <mergeCell ref="B78:AF78"/>
    <mergeCell ref="B79:AF79"/>
    <mergeCell ref="B80:AF80"/>
    <mergeCell ref="B81:AF81"/>
    <mergeCell ref="B82:AF82"/>
    <mergeCell ref="B83:AF83"/>
    <mergeCell ref="B84:AF84"/>
    <mergeCell ref="B85:AF85"/>
    <mergeCell ref="B86:AF86"/>
    <mergeCell ref="B87:AF87"/>
    <mergeCell ref="B88:AF88"/>
  </mergeCells>
  <hyperlinks>
    <hyperlink ref="A2" location="TOC!A1" display="Return to TOC" xr:uid="{00000000-0004-0000-52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1:AF41"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2">
    <pageSetUpPr autoPageBreaks="0" fitToPage="1"/>
  </sheetPr>
  <dimension ref="A1:AP298"/>
  <sheetViews>
    <sheetView zoomScaleNormal="100" workbookViewId="0">
      <selection sqref="A1:AF1"/>
    </sheetView>
  </sheetViews>
  <sheetFormatPr defaultColWidth="2.7109375" defaultRowHeight="15" x14ac:dyDescent="0.25"/>
  <cols>
    <col min="8" max="8" width="2.7109375" customWidth="1"/>
    <col min="32" max="32" width="2.7109375" customWidth="1"/>
  </cols>
  <sheetData>
    <row r="1" spans="1:32" ht="18" customHeight="1" thickBot="1" x14ac:dyDescent="0.3">
      <c r="A1" s="1272" t="s">
        <v>1016</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row>
    <row r="2" spans="1:32" x14ac:dyDescent="0.25">
      <c r="A2" s="376" t="s">
        <v>1702</v>
      </c>
    </row>
    <row r="3" spans="1:32"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48" customHeight="1" x14ac:dyDescent="0.25">
      <c r="A5" s="1173" t="s">
        <v>7055</v>
      </c>
      <c r="B5" s="1173"/>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row>
    <row r="6" spans="1:32" ht="14.45" customHeight="1" x14ac:dyDescent="0.25">
      <c r="A6" s="376"/>
    </row>
    <row r="7" spans="1:32" x14ac:dyDescent="0.25">
      <c r="A7" s="1252" t="s">
        <v>2296</v>
      </c>
      <c r="B7" s="1253"/>
      <c r="C7" s="1253"/>
      <c r="D7" s="1253"/>
      <c r="E7" s="125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4"/>
    </row>
    <row r="8" spans="1:32" ht="63.75" customHeight="1" x14ac:dyDescent="0.25">
      <c r="A8" s="1147" t="s">
        <v>3533</v>
      </c>
      <c r="B8" s="1147"/>
      <c r="C8" s="1147"/>
      <c r="D8" s="1147"/>
      <c r="E8" s="1147"/>
      <c r="F8" s="1147"/>
      <c r="G8" s="1147"/>
      <c r="H8" s="1147"/>
      <c r="I8" s="1147"/>
      <c r="J8" s="1147"/>
      <c r="K8" s="1147"/>
      <c r="L8" s="1147"/>
      <c r="M8" s="1147"/>
      <c r="N8" s="1147"/>
      <c r="O8" s="1147"/>
      <c r="P8" s="1147"/>
      <c r="Q8" s="1147"/>
      <c r="R8" s="1147"/>
      <c r="S8" s="1147"/>
      <c r="T8" s="1147"/>
      <c r="U8" s="1147"/>
      <c r="V8" s="1147"/>
      <c r="W8" s="1147"/>
      <c r="X8" s="1147"/>
      <c r="Y8" s="1147"/>
      <c r="Z8" s="1147"/>
      <c r="AA8" s="1147"/>
      <c r="AB8" s="1147"/>
      <c r="AC8" s="1147"/>
      <c r="AD8" s="1147"/>
      <c r="AE8" s="1147"/>
      <c r="AF8" s="1147"/>
    </row>
    <row r="9" spans="1:32" x14ac:dyDescent="0.25">
      <c r="A9" s="266"/>
      <c r="B9" s="266"/>
      <c r="C9" s="266"/>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row>
    <row r="10" spans="1:32" x14ac:dyDescent="0.25">
      <c r="A10" s="1274" t="s">
        <v>3522</v>
      </c>
      <c r="B10" s="1274"/>
      <c r="C10" s="1274"/>
      <c r="D10" s="1274"/>
      <c r="E10" s="1274"/>
      <c r="F10" s="1274"/>
      <c r="G10" s="1274"/>
      <c r="H10" s="1274"/>
      <c r="I10" s="1274"/>
      <c r="J10" s="1274"/>
      <c r="K10" s="1274"/>
      <c r="L10" s="1274"/>
      <c r="M10" s="1274"/>
      <c r="N10" s="1274"/>
      <c r="O10" s="1274"/>
      <c r="P10" s="1274"/>
      <c r="Q10" s="1274"/>
      <c r="R10" s="1274"/>
      <c r="S10" s="1274"/>
      <c r="T10" s="1274"/>
      <c r="U10" s="1274"/>
      <c r="V10" s="1274"/>
      <c r="W10" s="1274"/>
      <c r="X10" s="1274"/>
      <c r="Y10" s="1274"/>
      <c r="Z10" s="1274"/>
      <c r="AA10" s="1274"/>
      <c r="AB10" s="1274"/>
      <c r="AC10" s="1274"/>
      <c r="AD10" s="1274"/>
      <c r="AE10" s="1274"/>
      <c r="AF10" s="1274"/>
    </row>
    <row r="11" spans="1:32" ht="141.94999999999999" customHeight="1" x14ac:dyDescent="0.25">
      <c r="A11" s="1142" t="s">
        <v>5565</v>
      </c>
      <c r="B11" s="1142"/>
      <c r="C11" s="1142"/>
      <c r="D11" s="1142"/>
      <c r="E11" s="1142"/>
      <c r="F11" s="1142"/>
      <c r="G11" s="1142"/>
      <c r="H11" s="1142"/>
      <c r="I11" s="1142"/>
      <c r="J11" s="1142"/>
      <c r="K11" s="1142"/>
      <c r="L11" s="1142"/>
      <c r="M11" s="1142"/>
      <c r="N11" s="1142"/>
      <c r="O11" s="1142"/>
      <c r="P11" s="1142"/>
      <c r="Q11" s="1142"/>
      <c r="R11" s="1142"/>
      <c r="S11" s="1142"/>
      <c r="T11" s="1142"/>
      <c r="U11" s="1142"/>
      <c r="V11" s="1142"/>
      <c r="W11" s="1142"/>
      <c r="X11" s="1142"/>
      <c r="Y11" s="1142"/>
      <c r="Z11" s="1142"/>
      <c r="AA11" s="1142"/>
      <c r="AB11" s="1142"/>
      <c r="AC11" s="1142"/>
      <c r="AD11" s="1142"/>
      <c r="AE11" s="1142"/>
      <c r="AF11" s="1142"/>
    </row>
    <row r="12" spans="1:32" ht="81" customHeight="1" x14ac:dyDescent="0.25">
      <c r="A12" s="515" t="s">
        <v>1013</v>
      </c>
      <c r="B12" s="1247" t="s">
        <v>3532</v>
      </c>
      <c r="C12" s="1247"/>
      <c r="D12" s="1247"/>
      <c r="E12" s="1247"/>
      <c r="F12" s="1247"/>
      <c r="G12" s="1247"/>
      <c r="H12" s="1247"/>
      <c r="I12" s="1247"/>
      <c r="J12" s="1247"/>
      <c r="K12" s="1247"/>
      <c r="L12" s="1247"/>
      <c r="M12" s="1247"/>
      <c r="N12" s="1247"/>
      <c r="O12" s="1247"/>
      <c r="P12" s="1247"/>
      <c r="Q12" s="1247"/>
      <c r="R12" s="1247"/>
      <c r="S12" s="1247"/>
      <c r="T12" s="1247"/>
      <c r="U12" s="1247"/>
      <c r="V12" s="1247"/>
      <c r="W12" s="1247"/>
      <c r="X12" s="1247"/>
      <c r="Y12" s="1247"/>
      <c r="Z12" s="1247"/>
      <c r="AA12" s="1247"/>
      <c r="AB12" s="1247"/>
      <c r="AC12" s="1247"/>
      <c r="AD12" s="1247"/>
      <c r="AE12" s="1247"/>
      <c r="AF12" s="1247"/>
    </row>
    <row r="13" spans="1:32" ht="49.5" customHeight="1" x14ac:dyDescent="0.25">
      <c r="A13" s="515" t="s">
        <v>1013</v>
      </c>
      <c r="B13" s="1247" t="s">
        <v>3511</v>
      </c>
      <c r="C13" s="1247"/>
      <c r="D13" s="1247"/>
      <c r="E13" s="1247"/>
      <c r="F13" s="1247"/>
      <c r="G13" s="1247"/>
      <c r="H13" s="1247"/>
      <c r="I13" s="1247"/>
      <c r="J13" s="1247"/>
      <c r="K13" s="1247"/>
      <c r="L13" s="1247"/>
      <c r="M13" s="1247"/>
      <c r="N13" s="1247"/>
      <c r="O13" s="1247"/>
      <c r="P13" s="1247"/>
      <c r="Q13" s="1247"/>
      <c r="R13" s="1247"/>
      <c r="S13" s="1247"/>
      <c r="T13" s="1247"/>
      <c r="U13" s="1247"/>
      <c r="V13" s="1247"/>
      <c r="W13" s="1247"/>
      <c r="X13" s="1247"/>
      <c r="Y13" s="1247"/>
      <c r="Z13" s="1247"/>
      <c r="AA13" s="1247"/>
      <c r="AB13" s="1247"/>
      <c r="AC13" s="1247"/>
      <c r="AD13" s="1247"/>
      <c r="AE13" s="1247"/>
      <c r="AF13" s="1247"/>
    </row>
    <row r="14" spans="1:32" ht="33.75" customHeight="1" x14ac:dyDescent="0.25">
      <c r="A14" s="515" t="s">
        <v>1013</v>
      </c>
      <c r="B14" s="1247" t="s">
        <v>5563</v>
      </c>
      <c r="C14" s="1247"/>
      <c r="D14" s="1247"/>
      <c r="E14" s="1247"/>
      <c r="F14" s="1247"/>
      <c r="G14" s="1247"/>
      <c r="H14" s="1247"/>
      <c r="I14" s="1247"/>
      <c r="J14" s="1247"/>
      <c r="K14" s="1247"/>
      <c r="L14" s="1247"/>
      <c r="M14" s="1247"/>
      <c r="N14" s="1247"/>
      <c r="O14" s="1247"/>
      <c r="P14" s="1247"/>
      <c r="Q14" s="1247"/>
      <c r="R14" s="1247"/>
      <c r="S14" s="1247"/>
      <c r="T14" s="1247"/>
      <c r="U14" s="1247"/>
      <c r="V14" s="1247"/>
      <c r="W14" s="1247"/>
      <c r="X14" s="1247"/>
      <c r="Y14" s="1247"/>
      <c r="Z14" s="1247"/>
      <c r="AA14" s="1247"/>
      <c r="AB14" s="1247"/>
      <c r="AC14" s="1247"/>
      <c r="AD14" s="1247"/>
      <c r="AE14" s="1247"/>
      <c r="AF14" s="1247"/>
    </row>
    <row r="15" spans="1:32" x14ac:dyDescent="0.25">
      <c r="A15" s="515"/>
      <c r="B15" s="268"/>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268"/>
      <c r="AF15" s="268"/>
    </row>
    <row r="16" spans="1:32" ht="120.75" customHeight="1" x14ac:dyDescent="0.25">
      <c r="A16" s="1246" t="s">
        <v>5564</v>
      </c>
      <c r="B16" s="1246"/>
      <c r="C16" s="1246"/>
      <c r="D16" s="1246"/>
      <c r="E16" s="1246"/>
      <c r="F16" s="1246"/>
      <c r="G16" s="1246"/>
      <c r="H16" s="1246"/>
      <c r="I16" s="1246"/>
      <c r="J16" s="1246"/>
      <c r="K16" s="1246"/>
      <c r="L16" s="1246"/>
      <c r="M16" s="1246"/>
      <c r="N16" s="1246"/>
      <c r="O16" s="1246"/>
      <c r="P16" s="1246"/>
      <c r="Q16" s="1246"/>
      <c r="R16" s="1246"/>
      <c r="S16" s="1246"/>
      <c r="T16" s="1246"/>
      <c r="U16" s="1246"/>
      <c r="V16" s="1246"/>
      <c r="W16" s="1246"/>
      <c r="X16" s="1246"/>
      <c r="Y16" s="1246"/>
      <c r="Z16" s="1246"/>
      <c r="AA16" s="1246"/>
      <c r="AB16" s="1246"/>
      <c r="AC16" s="1246"/>
      <c r="AD16" s="1246"/>
      <c r="AE16" s="1246"/>
      <c r="AF16" s="1246"/>
    </row>
    <row r="17" spans="1:32" x14ac:dyDescent="0.25">
      <c r="A17" s="515"/>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8"/>
      <c r="AF17" s="268"/>
    </row>
    <row r="18" spans="1:32" ht="14.45" customHeight="1" x14ac:dyDescent="0.25">
      <c r="B18" s="462" t="s">
        <v>3520</v>
      </c>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68"/>
      <c r="AC18" s="268"/>
      <c r="AD18" s="268"/>
      <c r="AE18" s="268"/>
      <c r="AF18" s="268"/>
    </row>
    <row r="19" spans="1:32" ht="17.25" x14ac:dyDescent="0.25">
      <c r="A19" s="515"/>
      <c r="B19" s="1245" t="s">
        <v>1735</v>
      </c>
      <c r="C19" s="1245"/>
      <c r="D19" s="1245"/>
      <c r="E19" s="1245" t="s">
        <v>3512</v>
      </c>
      <c r="F19" s="1245"/>
      <c r="G19" s="1245" t="s">
        <v>3516</v>
      </c>
      <c r="H19" s="1245"/>
      <c r="I19" s="1245"/>
      <c r="J19" s="1245" t="s">
        <v>18</v>
      </c>
      <c r="K19" s="1245"/>
      <c r="L19" s="1245"/>
      <c r="M19" s="1245"/>
      <c r="N19" s="1245"/>
      <c r="O19" s="266"/>
      <c r="P19" s="266"/>
      <c r="Q19" s="266"/>
      <c r="R19" s="266"/>
      <c r="S19" s="266"/>
      <c r="T19" s="266"/>
      <c r="U19" s="266"/>
      <c r="V19" s="266"/>
      <c r="W19" s="266"/>
      <c r="X19" s="266"/>
      <c r="Y19" s="266"/>
      <c r="Z19" s="266"/>
      <c r="AA19" s="266"/>
      <c r="AB19" s="266"/>
      <c r="AC19" s="266"/>
      <c r="AD19" s="266"/>
      <c r="AE19" s="266"/>
      <c r="AF19" s="266"/>
    </row>
    <row r="20" spans="1:32" x14ac:dyDescent="0.25">
      <c r="A20" s="515"/>
      <c r="B20" s="1243" t="s">
        <v>877</v>
      </c>
      <c r="C20" s="1243"/>
      <c r="D20" s="1243"/>
      <c r="E20" s="1244" t="s">
        <v>5569</v>
      </c>
      <c r="F20" s="1244"/>
      <c r="G20" s="1244">
        <v>213</v>
      </c>
      <c r="H20" s="1244"/>
      <c r="I20" s="1244"/>
      <c r="J20" s="1245" t="s">
        <v>5566</v>
      </c>
      <c r="K20" s="1245"/>
      <c r="L20" s="1245"/>
      <c r="M20" s="1245"/>
      <c r="N20" s="1245"/>
      <c r="O20" s="266"/>
      <c r="P20" s="266"/>
      <c r="Q20" s="266"/>
      <c r="R20" s="266"/>
      <c r="S20" s="266"/>
      <c r="T20" s="266"/>
      <c r="U20" s="266"/>
      <c r="V20" s="266"/>
      <c r="W20" s="266"/>
      <c r="X20" s="266"/>
      <c r="Y20" s="266"/>
      <c r="Z20" s="266"/>
      <c r="AA20" s="266"/>
      <c r="AB20" s="266"/>
      <c r="AC20" s="266"/>
      <c r="AD20" s="266"/>
      <c r="AE20" s="266"/>
      <c r="AF20" s="266"/>
    </row>
    <row r="21" spans="1:32" x14ac:dyDescent="0.25">
      <c r="A21" s="515"/>
      <c r="B21" s="1243"/>
      <c r="C21" s="1243"/>
      <c r="D21" s="1243"/>
      <c r="E21" s="1244" t="s">
        <v>5570</v>
      </c>
      <c r="F21" s="1244"/>
      <c r="G21" s="1244">
        <v>218</v>
      </c>
      <c r="H21" s="1244"/>
      <c r="I21" s="1244"/>
      <c r="J21" s="1245" t="s">
        <v>5567</v>
      </c>
      <c r="K21" s="1245"/>
      <c r="L21" s="1245"/>
      <c r="M21" s="1245"/>
      <c r="N21" s="1245"/>
      <c r="O21" s="266"/>
      <c r="P21" s="266"/>
      <c r="Q21" s="266"/>
      <c r="R21" s="266"/>
      <c r="S21" s="266"/>
      <c r="T21" s="266"/>
      <c r="U21" s="266"/>
      <c r="V21" s="266"/>
      <c r="W21" s="266"/>
      <c r="X21" s="266"/>
      <c r="Y21" s="266"/>
      <c r="Z21" s="266"/>
      <c r="AA21" s="266"/>
      <c r="AB21" s="266"/>
      <c r="AC21" s="266"/>
      <c r="AD21" s="266"/>
      <c r="AE21" s="266"/>
      <c r="AF21" s="266"/>
    </row>
    <row r="22" spans="1:32" x14ac:dyDescent="0.25">
      <c r="A22" s="515"/>
      <c r="B22" s="1243"/>
      <c r="C22" s="1243"/>
      <c r="D22" s="1243"/>
      <c r="E22" s="1244" t="s">
        <v>5571</v>
      </c>
      <c r="F22" s="1244"/>
      <c r="G22" s="1244">
        <v>223</v>
      </c>
      <c r="H22" s="1244"/>
      <c r="I22" s="1244"/>
      <c r="J22" s="1245" t="s">
        <v>5568</v>
      </c>
      <c r="K22" s="1245"/>
      <c r="L22" s="1245"/>
      <c r="M22" s="1245"/>
      <c r="N22" s="1245"/>
      <c r="O22" s="266"/>
      <c r="P22" s="266"/>
      <c r="Q22" s="266"/>
      <c r="R22" s="266"/>
      <c r="S22" s="266"/>
      <c r="T22" s="266"/>
      <c r="U22" s="266"/>
      <c r="V22" s="266"/>
      <c r="W22" s="266"/>
      <c r="X22" s="266"/>
      <c r="Y22" s="266"/>
      <c r="Z22" s="266"/>
      <c r="AA22" s="266"/>
      <c r="AB22" s="266"/>
      <c r="AC22" s="266"/>
      <c r="AD22" s="266"/>
      <c r="AE22" s="266"/>
      <c r="AF22" s="266"/>
    </row>
    <row r="23" spans="1:32" x14ac:dyDescent="0.25">
      <c r="A23" s="515"/>
      <c r="B23" s="1243" t="s">
        <v>878</v>
      </c>
      <c r="C23" s="1243"/>
      <c r="D23" s="1243"/>
      <c r="E23" s="1244" t="s">
        <v>5569</v>
      </c>
      <c r="F23" s="1244"/>
      <c r="G23" s="1244">
        <v>621</v>
      </c>
      <c r="H23" s="1244"/>
      <c r="I23" s="1244"/>
      <c r="J23" s="1245" t="s">
        <v>5566</v>
      </c>
      <c r="K23" s="1245"/>
      <c r="L23" s="1245"/>
      <c r="M23" s="1245"/>
      <c r="N23" s="1245"/>
      <c r="O23" s="266"/>
      <c r="P23" s="266"/>
      <c r="Q23" s="266"/>
      <c r="R23" s="266"/>
      <c r="S23" s="266"/>
      <c r="T23" s="266"/>
      <c r="U23" s="266"/>
      <c r="V23" s="266"/>
      <c r="W23" s="266"/>
      <c r="X23" s="266"/>
      <c r="Y23" s="266"/>
      <c r="Z23" s="266"/>
      <c r="AA23" s="266"/>
      <c r="AB23" s="266"/>
      <c r="AC23" s="266"/>
      <c r="AD23" s="266"/>
      <c r="AE23" s="266"/>
      <c r="AF23" s="266"/>
    </row>
    <row r="24" spans="1:32" x14ac:dyDescent="0.25">
      <c r="A24" s="515"/>
      <c r="B24" s="1243"/>
      <c r="C24" s="1243"/>
      <c r="D24" s="1243"/>
      <c r="E24" s="1244" t="s">
        <v>5570</v>
      </c>
      <c r="F24" s="1244"/>
      <c r="G24" s="1244">
        <v>635</v>
      </c>
      <c r="H24" s="1244"/>
      <c r="I24" s="1244"/>
      <c r="J24" s="1245" t="s">
        <v>5567</v>
      </c>
      <c r="K24" s="1245"/>
      <c r="L24" s="1245"/>
      <c r="M24" s="1245"/>
      <c r="N24" s="1245"/>
      <c r="O24" s="266"/>
      <c r="P24" s="266"/>
      <c r="Q24" s="266"/>
      <c r="R24" s="266"/>
      <c r="S24" s="266"/>
      <c r="T24" s="266"/>
      <c r="U24" s="266"/>
      <c r="V24" s="266"/>
      <c r="W24" s="266"/>
      <c r="X24" s="266"/>
      <c r="Y24" s="266"/>
      <c r="Z24" s="266"/>
      <c r="AA24" s="266"/>
      <c r="AB24" s="266"/>
      <c r="AC24" s="266"/>
      <c r="AD24" s="266"/>
      <c r="AE24" s="266"/>
      <c r="AF24" s="266"/>
    </row>
    <row r="25" spans="1:32" x14ac:dyDescent="0.25">
      <c r="A25" s="515"/>
      <c r="B25" s="1243"/>
      <c r="C25" s="1243"/>
      <c r="D25" s="1243"/>
      <c r="E25" s="1244" t="s">
        <v>5571</v>
      </c>
      <c r="F25" s="1244"/>
      <c r="G25" s="1244">
        <v>650</v>
      </c>
      <c r="H25" s="1244"/>
      <c r="I25" s="1244"/>
      <c r="J25" s="1245" t="s">
        <v>5568</v>
      </c>
      <c r="K25" s="1245"/>
      <c r="L25" s="1245"/>
      <c r="M25" s="1245"/>
      <c r="N25" s="1245"/>
      <c r="O25" s="266"/>
      <c r="P25" s="266"/>
      <c r="Q25" s="266"/>
      <c r="R25" s="266"/>
      <c r="S25" s="266"/>
      <c r="T25" s="266"/>
      <c r="U25" s="266"/>
      <c r="V25" s="266"/>
      <c r="W25" s="266"/>
      <c r="X25" s="266"/>
      <c r="Y25" s="266"/>
      <c r="Z25" s="266"/>
      <c r="AA25" s="266"/>
      <c r="AB25" s="266"/>
      <c r="AC25" s="266"/>
      <c r="AD25" s="266"/>
      <c r="AE25" s="266"/>
      <c r="AF25" s="266"/>
    </row>
    <row r="26" spans="1:32" x14ac:dyDescent="0.25">
      <c r="A26" s="515"/>
      <c r="B26" s="1243" t="s">
        <v>3515</v>
      </c>
      <c r="C26" s="1243"/>
      <c r="D26" s="1243"/>
      <c r="E26" s="1244" t="s">
        <v>5569</v>
      </c>
      <c r="F26" s="1244"/>
      <c r="G26" s="1244">
        <v>0</v>
      </c>
      <c r="H26" s="1244"/>
      <c r="I26" s="1244"/>
      <c r="J26" s="1245" t="s">
        <v>5566</v>
      </c>
      <c r="K26" s="1245"/>
      <c r="L26" s="1245"/>
      <c r="M26" s="1245"/>
      <c r="N26" s="1245"/>
      <c r="O26" s="266"/>
      <c r="P26" s="266"/>
      <c r="Q26" s="266"/>
      <c r="R26" s="266"/>
      <c r="S26" s="266"/>
      <c r="T26" s="266"/>
      <c r="U26" s="266"/>
      <c r="V26" s="266"/>
      <c r="W26" s="266"/>
      <c r="X26" s="266"/>
      <c r="Y26" s="266"/>
      <c r="Z26" s="266"/>
      <c r="AA26" s="266"/>
      <c r="AB26" s="266"/>
      <c r="AC26" s="266"/>
      <c r="AD26" s="266"/>
      <c r="AE26" s="266"/>
      <c r="AF26" s="266"/>
    </row>
    <row r="27" spans="1:32" x14ac:dyDescent="0.25">
      <c r="A27" s="515"/>
      <c r="B27" s="1243"/>
      <c r="C27" s="1243"/>
      <c r="D27" s="1243"/>
      <c r="E27" s="1244" t="s">
        <v>5570</v>
      </c>
      <c r="F27" s="1244"/>
      <c r="G27" s="1244">
        <v>0</v>
      </c>
      <c r="H27" s="1244"/>
      <c r="I27" s="1244"/>
      <c r="J27" s="1245" t="s">
        <v>5567</v>
      </c>
      <c r="K27" s="1245"/>
      <c r="L27" s="1245"/>
      <c r="M27" s="1245"/>
      <c r="N27" s="1245"/>
      <c r="O27" s="266"/>
      <c r="P27" s="266"/>
      <c r="Q27" s="266"/>
      <c r="R27" s="266"/>
      <c r="S27" s="266"/>
      <c r="T27" s="266"/>
      <c r="U27" s="266"/>
      <c r="V27" s="266"/>
      <c r="W27" s="266"/>
      <c r="X27" s="266"/>
      <c r="Y27" s="266"/>
      <c r="Z27" s="266"/>
      <c r="AA27" s="266"/>
      <c r="AB27" s="266"/>
      <c r="AC27" s="266"/>
      <c r="AD27" s="266"/>
      <c r="AE27" s="266"/>
      <c r="AF27" s="266"/>
    </row>
    <row r="28" spans="1:32" x14ac:dyDescent="0.25">
      <c r="A28" s="515"/>
      <c r="B28" s="1243"/>
      <c r="C28" s="1243"/>
      <c r="D28" s="1243"/>
      <c r="E28" s="1244" t="s">
        <v>5571</v>
      </c>
      <c r="F28" s="1244"/>
      <c r="G28" s="1244">
        <v>0</v>
      </c>
      <c r="H28" s="1244"/>
      <c r="I28" s="1244"/>
      <c r="J28" s="1245" t="s">
        <v>5568</v>
      </c>
      <c r="K28" s="1245"/>
      <c r="L28" s="1245"/>
      <c r="M28" s="1245"/>
      <c r="N28" s="1245"/>
      <c r="O28" s="266"/>
      <c r="P28" s="266"/>
      <c r="Q28" s="266"/>
      <c r="R28" s="266"/>
      <c r="S28" s="266"/>
      <c r="T28" s="266"/>
      <c r="U28" s="266"/>
      <c r="V28" s="266"/>
      <c r="W28" s="266"/>
      <c r="X28" s="266"/>
      <c r="Y28" s="266"/>
      <c r="Z28" s="266"/>
      <c r="AA28" s="266"/>
      <c r="AB28" s="266"/>
      <c r="AC28" s="266"/>
      <c r="AD28" s="266"/>
      <c r="AE28" s="266"/>
      <c r="AF28" s="266"/>
    </row>
    <row r="29" spans="1:32" s="383" customFormat="1" ht="13.5" customHeight="1" x14ac:dyDescent="0.2">
      <c r="A29" s="608"/>
      <c r="B29" s="383" t="s">
        <v>3531</v>
      </c>
      <c r="H29" s="1236">
        <v>2.3E-2</v>
      </c>
      <c r="I29" s="1236"/>
      <c r="J29" s="1237" t="s">
        <v>3521</v>
      </c>
      <c r="K29" s="1237"/>
      <c r="L29" s="1237"/>
      <c r="M29" s="1237"/>
      <c r="N29" s="1237"/>
      <c r="O29" s="1237"/>
      <c r="P29" s="1237"/>
      <c r="Q29" s="1237"/>
      <c r="R29" s="1237"/>
      <c r="S29" s="1237"/>
      <c r="T29" s="1237"/>
      <c r="U29" s="1237"/>
      <c r="V29" s="1237"/>
      <c r="W29" s="1237"/>
      <c r="X29" s="1237"/>
      <c r="Y29" s="1237"/>
      <c r="Z29" s="1237"/>
      <c r="AA29" s="1237"/>
      <c r="AB29" s="1237"/>
      <c r="AC29" s="1237"/>
      <c r="AD29" s="1237"/>
      <c r="AE29" s="1237"/>
      <c r="AF29" s="1237"/>
    </row>
    <row r="30" spans="1:32" s="383" customFormat="1" ht="36.75" customHeight="1" x14ac:dyDescent="0.2">
      <c r="A30" s="608"/>
      <c r="B30" s="1238" t="s">
        <v>5572</v>
      </c>
      <c r="C30" s="1238"/>
      <c r="D30" s="1238"/>
      <c r="E30" s="1238"/>
      <c r="F30" s="1238"/>
      <c r="G30" s="1238"/>
      <c r="H30" s="1238"/>
      <c r="I30" s="1238"/>
      <c r="J30" s="1238"/>
      <c r="K30" s="1238"/>
      <c r="L30" s="1238"/>
      <c r="M30" s="1238"/>
      <c r="N30" s="1238"/>
      <c r="O30" s="1238"/>
      <c r="P30" s="1238"/>
      <c r="Q30" s="1238"/>
      <c r="R30" s="1238"/>
      <c r="S30" s="1238"/>
      <c r="T30" s="1238"/>
      <c r="U30" s="1238"/>
      <c r="V30" s="1238"/>
      <c r="W30" s="1238"/>
      <c r="X30" s="1238"/>
      <c r="Y30" s="1238"/>
      <c r="Z30" s="1238"/>
      <c r="AA30" s="1238"/>
      <c r="AB30" s="1238"/>
      <c r="AC30" s="1238"/>
      <c r="AD30" s="1238"/>
      <c r="AE30" s="1238"/>
      <c r="AF30" s="1238"/>
    </row>
    <row r="31" spans="1:32" s="383" customFormat="1" ht="12" x14ac:dyDescent="0.2">
      <c r="A31" s="608"/>
      <c r="B31" s="1238" t="s">
        <v>3517</v>
      </c>
      <c r="C31" s="1238"/>
      <c r="D31" s="1238"/>
      <c r="E31" s="1238"/>
      <c r="F31" s="1238"/>
      <c r="G31" s="1238"/>
      <c r="H31" s="1238"/>
      <c r="I31" s="1238"/>
      <c r="J31" s="1238"/>
      <c r="K31" s="1238"/>
      <c r="L31" s="1238"/>
      <c r="M31" s="1238"/>
      <c r="N31" s="1238"/>
      <c r="O31" s="1238"/>
      <c r="P31" s="1238"/>
      <c r="Q31" s="1238"/>
      <c r="R31" s="1238"/>
      <c r="S31" s="1238"/>
      <c r="T31" s="1238"/>
      <c r="U31" s="1238"/>
      <c r="V31" s="1238"/>
      <c r="W31" s="1238"/>
      <c r="X31" s="1238"/>
      <c r="Y31" s="1238"/>
      <c r="Z31" s="1238"/>
      <c r="AA31" s="1238"/>
      <c r="AB31" s="1238"/>
      <c r="AC31" s="1238"/>
      <c r="AD31" s="1238"/>
      <c r="AE31" s="1238"/>
      <c r="AF31" s="1238"/>
    </row>
    <row r="32" spans="1:32" s="383" customFormat="1" ht="12" x14ac:dyDescent="0.2">
      <c r="A32" s="608"/>
      <c r="B32" s="1238" t="s">
        <v>3518</v>
      </c>
      <c r="C32" s="1238"/>
      <c r="D32" s="1238"/>
      <c r="E32" s="1238"/>
      <c r="F32" s="1238"/>
      <c r="G32" s="1238"/>
      <c r="H32" s="1238"/>
      <c r="I32" s="1238"/>
      <c r="J32" s="1238"/>
      <c r="K32" s="1238"/>
      <c r="L32" s="1238"/>
      <c r="M32" s="1238"/>
      <c r="N32" s="1238"/>
      <c r="O32" s="1238"/>
      <c r="P32" s="1238"/>
      <c r="Q32" s="1238"/>
      <c r="R32" s="1238"/>
      <c r="S32" s="1238"/>
      <c r="T32" s="1238"/>
      <c r="U32" s="1238"/>
      <c r="V32" s="1238"/>
      <c r="W32" s="1238"/>
      <c r="X32" s="1238"/>
      <c r="Y32" s="1238"/>
      <c r="Z32" s="1238"/>
      <c r="AA32" s="1238"/>
      <c r="AB32" s="1238"/>
      <c r="AC32" s="1238"/>
      <c r="AD32" s="1238"/>
      <c r="AE32" s="1238"/>
      <c r="AF32" s="1238"/>
    </row>
    <row r="33" spans="1:32" s="383" customFormat="1" ht="12" x14ac:dyDescent="0.2">
      <c r="A33" s="608"/>
      <c r="B33" s="1238" t="s">
        <v>3519</v>
      </c>
      <c r="C33" s="1238"/>
      <c r="D33" s="1238"/>
      <c r="E33" s="1238"/>
      <c r="F33" s="1238"/>
      <c r="G33" s="1238"/>
      <c r="H33" s="1238"/>
      <c r="I33" s="1238"/>
      <c r="J33" s="1238"/>
      <c r="K33" s="1238"/>
      <c r="L33" s="1238"/>
      <c r="M33" s="1238"/>
      <c r="N33" s="1238"/>
      <c r="O33" s="1238"/>
      <c r="P33" s="1238"/>
      <c r="Q33" s="1238"/>
      <c r="R33" s="1238"/>
      <c r="S33" s="1238"/>
      <c r="T33" s="1238"/>
      <c r="U33" s="1238"/>
      <c r="V33" s="1238"/>
      <c r="W33" s="1238"/>
      <c r="X33" s="1238"/>
      <c r="Y33" s="1238"/>
      <c r="Z33" s="1238"/>
      <c r="AA33" s="1238"/>
      <c r="AB33" s="1238"/>
      <c r="AC33" s="1238"/>
      <c r="AD33" s="1238"/>
      <c r="AE33" s="1238"/>
      <c r="AF33" s="1238"/>
    </row>
    <row r="34" spans="1:32" x14ac:dyDescent="0.25">
      <c r="A34" s="515"/>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row>
    <row r="35" spans="1:32" ht="30.95" customHeight="1" x14ac:dyDescent="0.25">
      <c r="A35" s="1246" t="s">
        <v>5573</v>
      </c>
      <c r="B35" s="1246"/>
      <c r="C35" s="1246"/>
      <c r="D35" s="1246"/>
      <c r="E35" s="1246"/>
      <c r="F35" s="1246"/>
      <c r="G35" s="1246"/>
      <c r="H35" s="1246"/>
      <c r="I35" s="1246"/>
      <c r="J35" s="1246"/>
      <c r="K35" s="1246"/>
      <c r="L35" s="1246"/>
      <c r="M35" s="1246"/>
      <c r="N35" s="1246"/>
      <c r="O35" s="1246"/>
      <c r="P35" s="1246"/>
      <c r="Q35" s="1246"/>
      <c r="R35" s="1246"/>
      <c r="S35" s="1246"/>
      <c r="T35" s="1246"/>
      <c r="U35" s="1246"/>
      <c r="V35" s="1246"/>
      <c r="W35" s="1246"/>
      <c r="X35" s="1246"/>
      <c r="Y35" s="1246"/>
      <c r="Z35" s="1246"/>
      <c r="AA35" s="1246"/>
      <c r="AB35" s="1246"/>
      <c r="AC35" s="1246"/>
      <c r="AD35" s="1246"/>
      <c r="AE35" s="1246"/>
      <c r="AF35" s="1246"/>
    </row>
    <row r="36" spans="1:32" x14ac:dyDescent="0.25">
      <c r="A36" s="515"/>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66"/>
      <c r="AE36" s="268"/>
      <c r="AF36" s="268"/>
    </row>
    <row r="37" spans="1:32" ht="14.45" customHeight="1" x14ac:dyDescent="0.25">
      <c r="B37" s="462" t="s">
        <v>3523</v>
      </c>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row>
    <row r="38" spans="1:32" ht="17.25" x14ac:dyDescent="0.25">
      <c r="A38" s="515"/>
      <c r="B38" s="1245" t="s">
        <v>1735</v>
      </c>
      <c r="C38" s="1245"/>
      <c r="D38" s="1245"/>
      <c r="E38" s="1245" t="s">
        <v>3512</v>
      </c>
      <c r="F38" s="1245"/>
      <c r="G38" s="1245" t="s">
        <v>3516</v>
      </c>
      <c r="H38" s="1245"/>
      <c r="I38" s="1245"/>
      <c r="J38" s="1245" t="s">
        <v>18</v>
      </c>
      <c r="K38" s="1245"/>
      <c r="L38" s="1245"/>
      <c r="M38" s="1245"/>
      <c r="N38" s="1245"/>
      <c r="O38" s="1245"/>
      <c r="P38" s="266"/>
      <c r="Q38" s="266"/>
      <c r="R38" s="266"/>
      <c r="S38" s="266"/>
      <c r="T38" s="266"/>
      <c r="U38" s="266"/>
      <c r="V38" s="266"/>
      <c r="W38" s="266"/>
      <c r="X38" s="266"/>
      <c r="Y38" s="266"/>
      <c r="Z38" s="266"/>
      <c r="AA38" s="266"/>
      <c r="AB38" s="266"/>
      <c r="AC38" s="266"/>
      <c r="AD38" s="266"/>
      <c r="AE38" s="266"/>
      <c r="AF38" s="266"/>
    </row>
    <row r="39" spans="1:32" x14ac:dyDescent="0.25">
      <c r="A39" s="515"/>
      <c r="B39" s="1243" t="s">
        <v>877</v>
      </c>
      <c r="C39" s="1243"/>
      <c r="D39" s="1243"/>
      <c r="E39" s="1244" t="s">
        <v>5569</v>
      </c>
      <c r="F39" s="1244"/>
      <c r="G39" s="1244">
        <v>0.114</v>
      </c>
      <c r="H39" s="1244"/>
      <c r="I39" s="1244"/>
      <c r="J39" s="1245" t="s">
        <v>5574</v>
      </c>
      <c r="K39" s="1245"/>
      <c r="L39" s="1245"/>
      <c r="M39" s="1245"/>
      <c r="N39" s="1245"/>
      <c r="O39" s="1245"/>
      <c r="P39" s="266"/>
      <c r="Q39" s="266"/>
      <c r="R39" s="266"/>
      <c r="S39" s="266"/>
      <c r="T39" s="266"/>
      <c r="U39" s="266"/>
      <c r="V39" s="266"/>
      <c r="W39" s="266"/>
      <c r="X39" s="266"/>
      <c r="Y39" s="266"/>
      <c r="Z39" s="266"/>
      <c r="AA39" s="266"/>
      <c r="AB39" s="266"/>
      <c r="AC39" s="266"/>
      <c r="AD39" s="266"/>
      <c r="AE39" s="266"/>
      <c r="AF39" s="266"/>
    </row>
    <row r="40" spans="1:32" x14ac:dyDescent="0.25">
      <c r="A40" s="515"/>
      <c r="B40" s="1243"/>
      <c r="C40" s="1243"/>
      <c r="D40" s="1243"/>
      <c r="E40" s="1244" t="s">
        <v>5570</v>
      </c>
      <c r="F40" s="1244"/>
      <c r="G40" s="1244">
        <v>0.11700000000000001</v>
      </c>
      <c r="H40" s="1244"/>
      <c r="I40" s="1244"/>
      <c r="J40" s="1245" t="s">
        <v>5575</v>
      </c>
      <c r="K40" s="1245"/>
      <c r="L40" s="1245"/>
      <c r="M40" s="1245"/>
      <c r="N40" s="1245"/>
      <c r="O40" s="1245"/>
      <c r="P40" s="266"/>
      <c r="Q40" s="266"/>
      <c r="R40" s="266"/>
      <c r="S40" s="266"/>
      <c r="T40" s="266"/>
      <c r="U40" s="266"/>
      <c r="V40" s="266"/>
      <c r="W40" s="266"/>
      <c r="X40" s="266"/>
      <c r="Y40" s="266"/>
      <c r="Z40" s="266"/>
      <c r="AA40" s="266"/>
      <c r="AB40" s="266"/>
      <c r="AC40" s="266"/>
      <c r="AD40" s="266"/>
      <c r="AE40" s="266"/>
      <c r="AF40" s="266"/>
    </row>
    <row r="41" spans="1:32" x14ac:dyDescent="0.25">
      <c r="A41" s="515"/>
      <c r="B41" s="1243"/>
      <c r="C41" s="1243"/>
      <c r="D41" s="1243"/>
      <c r="E41" s="1244" t="s">
        <v>5571</v>
      </c>
      <c r="F41" s="1244"/>
      <c r="G41" s="1244">
        <v>0.121</v>
      </c>
      <c r="H41" s="1244"/>
      <c r="I41" s="1244"/>
      <c r="J41" s="1245" t="s">
        <v>5576</v>
      </c>
      <c r="K41" s="1245"/>
      <c r="L41" s="1245"/>
      <c r="M41" s="1245"/>
      <c r="N41" s="1245"/>
      <c r="O41" s="1245"/>
      <c r="P41" s="266"/>
      <c r="Q41" s="266"/>
      <c r="R41" s="266"/>
      <c r="S41" s="266"/>
      <c r="T41" s="266"/>
      <c r="U41" s="266"/>
      <c r="V41" s="266"/>
      <c r="W41" s="266"/>
      <c r="X41" s="266"/>
      <c r="Y41" s="266"/>
      <c r="Z41" s="266"/>
      <c r="AA41" s="266"/>
      <c r="AB41" s="266"/>
      <c r="AC41" s="266"/>
      <c r="AD41" s="266"/>
      <c r="AE41" s="266"/>
      <c r="AF41" s="266"/>
    </row>
    <row r="42" spans="1:32" x14ac:dyDescent="0.25">
      <c r="A42" s="515"/>
      <c r="B42" s="1243" t="s">
        <v>878</v>
      </c>
      <c r="C42" s="1243"/>
      <c r="D42" s="1243"/>
      <c r="E42" s="1244" t="s">
        <v>5569</v>
      </c>
      <c r="F42" s="1244"/>
      <c r="G42" s="1244">
        <v>0.153</v>
      </c>
      <c r="H42" s="1244"/>
      <c r="I42" s="1244"/>
      <c r="J42" s="1245" t="s">
        <v>5574</v>
      </c>
      <c r="K42" s="1245"/>
      <c r="L42" s="1245"/>
      <c r="M42" s="1245"/>
      <c r="N42" s="1245"/>
      <c r="O42" s="1245"/>
      <c r="P42" s="266"/>
      <c r="Q42" s="266"/>
      <c r="R42" s="266"/>
      <c r="S42" s="266"/>
      <c r="T42" s="266"/>
      <c r="U42" s="266"/>
      <c r="V42" s="266"/>
      <c r="W42" s="266"/>
      <c r="X42" s="266"/>
      <c r="Y42" s="266"/>
      <c r="Z42" s="266"/>
      <c r="AA42" s="266"/>
      <c r="AB42" s="266"/>
      <c r="AC42" s="266"/>
      <c r="AD42" s="266"/>
      <c r="AE42" s="266"/>
      <c r="AF42" s="266"/>
    </row>
    <row r="43" spans="1:32" x14ac:dyDescent="0.25">
      <c r="A43" s="515"/>
      <c r="B43" s="1243"/>
      <c r="C43" s="1243"/>
      <c r="D43" s="1243"/>
      <c r="E43" s="1244" t="s">
        <v>5570</v>
      </c>
      <c r="F43" s="1244"/>
      <c r="G43" s="1244">
        <v>0.158</v>
      </c>
      <c r="H43" s="1244"/>
      <c r="I43" s="1244"/>
      <c r="J43" s="1245" t="s">
        <v>5575</v>
      </c>
      <c r="K43" s="1245"/>
      <c r="L43" s="1245"/>
      <c r="M43" s="1245"/>
      <c r="N43" s="1245"/>
      <c r="O43" s="1245"/>
      <c r="P43" s="266"/>
      <c r="Q43" s="266"/>
      <c r="R43" s="266"/>
      <c r="S43" s="266"/>
      <c r="T43" s="266"/>
      <c r="U43" s="266"/>
      <c r="V43" s="266"/>
      <c r="W43" s="266"/>
      <c r="X43" s="266"/>
      <c r="Y43" s="266"/>
      <c r="Z43" s="266"/>
      <c r="AA43" s="266"/>
      <c r="AB43" s="266"/>
      <c r="AC43" s="266"/>
      <c r="AD43" s="266"/>
      <c r="AE43" s="266"/>
      <c r="AF43" s="266"/>
    </row>
    <row r="44" spans="1:32" x14ac:dyDescent="0.25">
      <c r="A44" s="515"/>
      <c r="B44" s="1243"/>
      <c r="C44" s="1243"/>
      <c r="D44" s="1243"/>
      <c r="E44" s="1244" t="s">
        <v>5571</v>
      </c>
      <c r="F44" s="1244"/>
      <c r="G44" s="1244">
        <v>0.16300000000000001</v>
      </c>
      <c r="H44" s="1244"/>
      <c r="I44" s="1244"/>
      <c r="J44" s="1245" t="s">
        <v>5576</v>
      </c>
      <c r="K44" s="1245"/>
      <c r="L44" s="1245"/>
      <c r="M44" s="1245"/>
      <c r="N44" s="1245"/>
      <c r="O44" s="1245"/>
      <c r="P44" s="266"/>
      <c r="Q44" s="266"/>
      <c r="R44" s="266"/>
      <c r="S44" s="266"/>
      <c r="T44" s="266"/>
      <c r="U44" s="266"/>
      <c r="V44" s="266"/>
      <c r="W44" s="266"/>
      <c r="X44" s="266"/>
      <c r="Y44" s="266"/>
      <c r="Z44" s="266"/>
      <c r="AA44" s="266"/>
      <c r="AB44" s="266"/>
      <c r="AC44" s="266"/>
      <c r="AD44" s="266"/>
      <c r="AE44" s="266"/>
      <c r="AF44" s="266"/>
    </row>
    <row r="45" spans="1:32" x14ac:dyDescent="0.25">
      <c r="A45" s="515"/>
      <c r="B45" s="1243" t="s">
        <v>3515</v>
      </c>
      <c r="C45" s="1243"/>
      <c r="D45" s="1243"/>
      <c r="E45" s="1244" t="s">
        <v>5569</v>
      </c>
      <c r="F45" s="1244"/>
      <c r="G45" s="1244">
        <v>0.16700000000000001</v>
      </c>
      <c r="H45" s="1244"/>
      <c r="I45" s="1244"/>
      <c r="J45" s="1245" t="s">
        <v>5574</v>
      </c>
      <c r="K45" s="1245"/>
      <c r="L45" s="1245"/>
      <c r="M45" s="1245"/>
      <c r="N45" s="1245"/>
      <c r="O45" s="1245"/>
      <c r="P45" s="266"/>
      <c r="Q45" s="266"/>
      <c r="R45" s="266"/>
      <c r="S45" s="266"/>
      <c r="T45" s="266"/>
      <c r="U45" s="266"/>
      <c r="V45" s="266"/>
      <c r="W45" s="266"/>
      <c r="X45" s="266"/>
      <c r="Y45" s="266"/>
      <c r="Z45" s="266"/>
      <c r="AA45" s="266"/>
      <c r="AB45" s="266"/>
      <c r="AC45" s="266"/>
      <c r="AD45" s="266"/>
      <c r="AE45" s="266"/>
      <c r="AF45" s="266"/>
    </row>
    <row r="46" spans="1:32" x14ac:dyDescent="0.25">
      <c r="A46" s="515"/>
      <c r="B46" s="1243"/>
      <c r="C46" s="1243"/>
      <c r="D46" s="1243"/>
      <c r="E46" s="1244" t="s">
        <v>5570</v>
      </c>
      <c r="F46" s="1244"/>
      <c r="G46" s="1244">
        <v>0.17199999999999999</v>
      </c>
      <c r="H46" s="1244"/>
      <c r="I46" s="1244"/>
      <c r="J46" s="1245" t="s">
        <v>5575</v>
      </c>
      <c r="K46" s="1245"/>
      <c r="L46" s="1245"/>
      <c r="M46" s="1245"/>
      <c r="N46" s="1245"/>
      <c r="O46" s="1245"/>
      <c r="P46" s="266"/>
      <c r="Q46" s="266"/>
      <c r="R46" s="266"/>
      <c r="S46" s="266"/>
      <c r="T46" s="266"/>
      <c r="U46" s="266"/>
      <c r="V46" s="266"/>
      <c r="W46" s="266"/>
      <c r="X46" s="266"/>
      <c r="Y46" s="266"/>
      <c r="Z46" s="266"/>
      <c r="AA46" s="266"/>
      <c r="AB46" s="266"/>
      <c r="AC46" s="266"/>
      <c r="AD46" s="266"/>
      <c r="AE46" s="266"/>
      <c r="AF46" s="266"/>
    </row>
    <row r="47" spans="1:32" x14ac:dyDescent="0.25">
      <c r="A47" s="515"/>
      <c r="B47" s="1243"/>
      <c r="C47" s="1243"/>
      <c r="D47" s="1243"/>
      <c r="E47" s="1244" t="s">
        <v>5571</v>
      </c>
      <c r="F47" s="1244"/>
      <c r="G47" s="1244">
        <v>0.17699999999999999</v>
      </c>
      <c r="H47" s="1244"/>
      <c r="I47" s="1244"/>
      <c r="J47" s="1245" t="s">
        <v>5576</v>
      </c>
      <c r="K47" s="1245"/>
      <c r="L47" s="1245"/>
      <c r="M47" s="1245"/>
      <c r="N47" s="1245"/>
      <c r="O47" s="1245"/>
      <c r="P47" s="266"/>
      <c r="Q47" s="266"/>
      <c r="R47" s="266"/>
      <c r="S47" s="266"/>
      <c r="T47" s="266"/>
      <c r="U47" s="266"/>
      <c r="V47" s="266"/>
      <c r="W47" s="266"/>
      <c r="X47" s="266"/>
      <c r="Y47" s="266"/>
      <c r="Z47" s="266"/>
      <c r="AA47" s="266"/>
      <c r="AB47" s="266"/>
      <c r="AC47" s="266"/>
      <c r="AD47" s="266"/>
      <c r="AE47" s="266"/>
      <c r="AF47" s="266"/>
    </row>
    <row r="48" spans="1:32" x14ac:dyDescent="0.25">
      <c r="A48" s="515"/>
      <c r="B48" s="383" t="s">
        <v>3531</v>
      </c>
      <c r="C48" s="383"/>
      <c r="D48" s="383"/>
      <c r="E48" s="383"/>
      <c r="F48" s="383"/>
      <c r="G48" s="383"/>
      <c r="H48" s="1236">
        <v>0.03</v>
      </c>
      <c r="I48" s="1236"/>
      <c r="J48" s="1237" t="s">
        <v>5577</v>
      </c>
      <c r="K48" s="1237"/>
      <c r="L48" s="1237"/>
      <c r="M48" s="1237"/>
      <c r="N48" s="1237"/>
      <c r="O48" s="1237"/>
      <c r="P48" s="1237"/>
      <c r="Q48" s="1237"/>
      <c r="R48" s="1237"/>
      <c r="S48" s="1237"/>
      <c r="T48" s="1237"/>
      <c r="U48" s="1237"/>
      <c r="V48" s="1237"/>
      <c r="W48" s="1237"/>
      <c r="X48" s="1237"/>
      <c r="Y48" s="1237"/>
      <c r="Z48" s="1237"/>
      <c r="AA48" s="1237"/>
      <c r="AB48" s="1237"/>
      <c r="AC48" s="1237"/>
      <c r="AD48" s="1237"/>
      <c r="AE48" s="1237"/>
      <c r="AF48" s="1237"/>
    </row>
    <row r="49" spans="1:33" ht="140.25" customHeight="1" x14ac:dyDescent="0.25">
      <c r="A49" s="515"/>
      <c r="B49" s="1238" t="s">
        <v>5578</v>
      </c>
      <c r="C49" s="1238"/>
      <c r="D49" s="1238"/>
      <c r="E49" s="1238"/>
      <c r="F49" s="1238"/>
      <c r="G49" s="1238"/>
      <c r="H49" s="1238"/>
      <c r="I49" s="1238"/>
      <c r="J49" s="1238"/>
      <c r="K49" s="1238"/>
      <c r="L49" s="1238"/>
      <c r="M49" s="1238"/>
      <c r="N49" s="1238"/>
      <c r="O49" s="1238"/>
      <c r="P49" s="1238"/>
      <c r="Q49" s="1238"/>
      <c r="R49" s="1238"/>
      <c r="S49" s="1238"/>
      <c r="T49" s="1238"/>
      <c r="U49" s="1238"/>
      <c r="V49" s="1238"/>
      <c r="W49" s="1238"/>
      <c r="X49" s="1238"/>
      <c r="Y49" s="1238"/>
      <c r="Z49" s="1238"/>
      <c r="AA49" s="1238"/>
      <c r="AB49" s="1238"/>
      <c r="AC49" s="1238"/>
      <c r="AD49" s="1238"/>
      <c r="AE49" s="1238"/>
      <c r="AF49" s="1238"/>
    </row>
    <row r="50" spans="1:33" x14ac:dyDescent="0.25">
      <c r="A50" s="297"/>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row>
    <row r="51" spans="1:33" x14ac:dyDescent="0.25">
      <c r="A51" s="1252" t="s">
        <v>2295</v>
      </c>
      <c r="B51" s="1253"/>
      <c r="C51" s="1253"/>
      <c r="D51" s="1253"/>
      <c r="E51" s="1253"/>
      <c r="F51" s="1253"/>
      <c r="G51" s="1253"/>
      <c r="H51" s="1253"/>
      <c r="I51" s="1253"/>
      <c r="J51" s="1253"/>
      <c r="K51" s="1253"/>
      <c r="L51" s="1253"/>
      <c r="M51" s="1253"/>
      <c r="N51" s="1253"/>
      <c r="O51" s="1253"/>
      <c r="P51" s="1253"/>
      <c r="Q51" s="1253"/>
      <c r="R51" s="1253"/>
      <c r="S51" s="1253"/>
      <c r="T51" s="1253"/>
      <c r="U51" s="1253"/>
      <c r="V51" s="1253"/>
      <c r="W51" s="1253"/>
      <c r="X51" s="1253"/>
      <c r="Y51" s="1253"/>
      <c r="Z51" s="1253"/>
      <c r="AA51" s="1253"/>
      <c r="AB51" s="1253"/>
      <c r="AC51" s="1253"/>
      <c r="AD51" s="1253"/>
      <c r="AE51" s="1253"/>
      <c r="AF51" s="1254"/>
    </row>
    <row r="52" spans="1:33" ht="168" customHeight="1" x14ac:dyDescent="0.25">
      <c r="A52" s="1147" t="s">
        <v>3763</v>
      </c>
      <c r="B52" s="1147"/>
      <c r="C52" s="1147"/>
      <c r="D52" s="1147"/>
      <c r="E52" s="1147"/>
      <c r="F52" s="1147"/>
      <c r="G52" s="1147"/>
      <c r="H52" s="1147"/>
      <c r="I52" s="1147"/>
      <c r="J52" s="1147"/>
      <c r="K52" s="1147"/>
      <c r="L52" s="1147"/>
      <c r="M52" s="1147"/>
      <c r="N52" s="1147"/>
      <c r="O52" s="1147"/>
      <c r="P52" s="1147"/>
      <c r="Q52" s="1147"/>
      <c r="R52" s="1147"/>
      <c r="S52" s="1147"/>
      <c r="T52" s="1147"/>
      <c r="U52" s="1147"/>
      <c r="V52" s="1147"/>
      <c r="W52" s="1147"/>
      <c r="X52" s="1147"/>
      <c r="Y52" s="1147"/>
      <c r="Z52" s="1147"/>
      <c r="AA52" s="1147"/>
      <c r="AB52" s="1147"/>
      <c r="AC52" s="1147"/>
      <c r="AD52" s="1147"/>
      <c r="AE52" s="1147"/>
      <c r="AF52" s="1147"/>
    </row>
    <row r="53" spans="1:33" x14ac:dyDescent="0.25">
      <c r="A53" s="270"/>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0"/>
    </row>
    <row r="54" spans="1:33" ht="78.75" customHeight="1" x14ac:dyDescent="0.25">
      <c r="A54" s="1142" t="s">
        <v>5579</v>
      </c>
      <c r="B54" s="1142"/>
      <c r="C54" s="1142"/>
      <c r="D54" s="1142"/>
      <c r="E54" s="1142"/>
      <c r="F54" s="1142"/>
      <c r="G54" s="1142"/>
      <c r="H54" s="1142"/>
      <c r="I54" s="1142"/>
      <c r="J54" s="1142"/>
      <c r="K54" s="1142"/>
      <c r="L54" s="1142"/>
      <c r="M54" s="1142"/>
      <c r="N54" s="1142"/>
      <c r="O54" s="1142"/>
      <c r="P54" s="1142"/>
      <c r="Q54" s="1142"/>
      <c r="R54" s="1142"/>
      <c r="S54" s="1142"/>
      <c r="T54" s="1142"/>
      <c r="U54" s="1142"/>
      <c r="V54" s="1142"/>
      <c r="W54" s="1142"/>
      <c r="X54" s="1142"/>
      <c r="Y54" s="1142"/>
      <c r="Z54" s="1142"/>
      <c r="AA54" s="1142"/>
      <c r="AB54" s="1142"/>
      <c r="AC54" s="1142"/>
      <c r="AD54" s="1142"/>
      <c r="AE54" s="1142"/>
      <c r="AF54" s="1142"/>
    </row>
    <row r="55" spans="1:33" x14ac:dyDescent="0.25">
      <c r="A55" s="270"/>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0"/>
    </row>
    <row r="56" spans="1:33" s="227" customFormat="1" x14ac:dyDescent="0.25">
      <c r="A56" s="712" t="s">
        <v>4353</v>
      </c>
      <c r="B56" s="651"/>
      <c r="C56" s="651"/>
      <c r="D56" s="651"/>
      <c r="E56" s="651"/>
      <c r="F56" s="651"/>
      <c r="G56" s="651"/>
      <c r="H56" s="651"/>
      <c r="I56" s="651"/>
      <c r="J56" s="651"/>
      <c r="K56" s="651"/>
      <c r="L56" s="651"/>
      <c r="M56" s="651"/>
      <c r="N56" s="651"/>
      <c r="O56" s="651"/>
      <c r="P56" s="651"/>
      <c r="Q56" s="651"/>
      <c r="R56" s="651"/>
      <c r="S56" s="651"/>
      <c r="T56" s="651"/>
      <c r="U56" s="651"/>
      <c r="V56" s="651"/>
      <c r="W56" s="651"/>
      <c r="X56" s="651"/>
      <c r="Y56" s="651"/>
      <c r="Z56" s="651"/>
      <c r="AA56" s="651"/>
      <c r="AB56" s="651"/>
      <c r="AC56" s="651"/>
      <c r="AD56" s="651"/>
      <c r="AE56" s="651"/>
      <c r="AF56" s="651"/>
    </row>
    <row r="57" spans="1:33" s="227" customFormat="1" ht="78" customHeight="1" x14ac:dyDescent="0.25">
      <c r="A57" s="1168" t="s">
        <v>5580</v>
      </c>
      <c r="B57" s="1168"/>
      <c r="C57" s="1168"/>
      <c r="D57" s="1168"/>
      <c r="E57" s="1168"/>
      <c r="F57" s="1168"/>
      <c r="G57" s="1168"/>
      <c r="H57" s="1168"/>
      <c r="I57" s="1168"/>
      <c r="J57" s="1168"/>
      <c r="K57" s="1168"/>
      <c r="L57" s="1168"/>
      <c r="M57" s="1168"/>
      <c r="N57" s="1168"/>
      <c r="O57" s="1168"/>
      <c r="P57" s="1168"/>
      <c r="Q57" s="1168"/>
      <c r="R57" s="1168"/>
      <c r="S57" s="1168"/>
      <c r="T57" s="1168"/>
      <c r="U57" s="1168"/>
      <c r="V57" s="1168"/>
      <c r="W57" s="1168"/>
      <c r="X57" s="1168"/>
      <c r="Y57" s="1168"/>
      <c r="Z57" s="1168"/>
      <c r="AA57" s="1168"/>
      <c r="AB57" s="1168"/>
      <c r="AC57" s="1168"/>
      <c r="AD57" s="1168"/>
      <c r="AE57" s="1168"/>
      <c r="AF57" s="1168"/>
    </row>
    <row r="58" spans="1:33" s="227" customFormat="1" x14ac:dyDescent="0.25">
      <c r="A58" s="651"/>
      <c r="B58" s="651"/>
      <c r="C58" s="651"/>
      <c r="D58" s="651"/>
      <c r="E58" s="651"/>
      <c r="F58" s="651"/>
      <c r="G58" s="651"/>
      <c r="H58" s="651"/>
      <c r="I58" s="651"/>
      <c r="J58" s="651"/>
      <c r="K58" s="651"/>
      <c r="L58" s="651"/>
      <c r="M58" s="651"/>
      <c r="N58" s="651"/>
      <c r="O58" s="651"/>
      <c r="P58" s="651"/>
      <c r="Q58" s="651"/>
      <c r="R58" s="651"/>
      <c r="S58" s="651"/>
      <c r="T58" s="651"/>
      <c r="U58" s="651"/>
      <c r="V58" s="651"/>
      <c r="W58" s="651"/>
      <c r="X58" s="651"/>
      <c r="Y58" s="651"/>
      <c r="Z58" s="651"/>
      <c r="AA58" s="651"/>
      <c r="AB58" s="651"/>
      <c r="AC58" s="651"/>
      <c r="AD58" s="651"/>
      <c r="AE58" s="651"/>
      <c r="AF58" s="651"/>
    </row>
    <row r="59" spans="1:33" s="227" customFormat="1" ht="52.5" customHeight="1" x14ac:dyDescent="0.25">
      <c r="A59" s="651"/>
      <c r="B59" s="651"/>
      <c r="C59" s="651"/>
      <c r="D59" s="651"/>
      <c r="E59" s="651"/>
      <c r="F59" s="651"/>
      <c r="G59" s="651"/>
      <c r="H59" s="651"/>
      <c r="I59" s="651"/>
      <c r="J59" s="651"/>
      <c r="K59" s="651"/>
      <c r="L59" s="651"/>
      <c r="M59" s="651"/>
      <c r="N59" s="651"/>
      <c r="O59" s="651"/>
      <c r="P59" s="651"/>
      <c r="Q59" s="651"/>
      <c r="R59" s="651"/>
      <c r="S59" s="651"/>
      <c r="T59" s="651"/>
      <c r="U59" s="651"/>
      <c r="V59" s="651"/>
      <c r="W59" s="651"/>
      <c r="X59" s="651"/>
      <c r="Y59" s="651"/>
      <c r="Z59" s="651"/>
      <c r="AA59" s="651"/>
      <c r="AB59" s="651"/>
      <c r="AC59" s="651"/>
      <c r="AD59" s="651"/>
      <c r="AE59" s="651"/>
      <c r="AF59" s="713" t="s">
        <v>1705</v>
      </c>
    </row>
    <row r="60" spans="1:33" s="227" customFormat="1" x14ac:dyDescent="0.25">
      <c r="A60" s="651"/>
      <c r="B60" s="682" t="s">
        <v>4354</v>
      </c>
      <c r="D60" s="651"/>
      <c r="E60" s="651"/>
      <c r="F60" s="651"/>
      <c r="G60" s="651"/>
      <c r="H60" s="651"/>
      <c r="I60" s="651"/>
      <c r="J60" s="651"/>
      <c r="K60" s="651"/>
      <c r="L60" s="651"/>
      <c r="M60" s="651"/>
      <c r="N60" s="651"/>
      <c r="O60" s="651"/>
      <c r="P60" s="651"/>
      <c r="Q60" s="651"/>
      <c r="R60" s="651"/>
      <c r="S60" s="651"/>
      <c r="T60" s="651"/>
      <c r="U60" s="651"/>
      <c r="V60" s="651"/>
      <c r="W60" s="651"/>
      <c r="X60" s="651"/>
      <c r="Y60" s="651"/>
      <c r="Z60" s="651"/>
      <c r="AA60" s="651"/>
      <c r="AB60" s="651"/>
      <c r="AC60" s="651"/>
      <c r="AD60" s="651"/>
      <c r="AE60" s="651"/>
      <c r="AF60" s="339"/>
    </row>
    <row r="61" spans="1:33" s="227" customFormat="1" ht="18.75" customHeight="1" x14ac:dyDescent="0.25">
      <c r="A61" s="651"/>
      <c r="B61" s="682"/>
      <c r="C61" s="1173" t="s">
        <v>4370</v>
      </c>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647"/>
    </row>
    <row r="62" spans="1:33" s="227" customFormat="1" ht="33.75" customHeight="1" x14ac:dyDescent="0.25">
      <c r="A62" s="651"/>
      <c r="B62" s="682"/>
      <c r="C62" s="1173" t="s">
        <v>4371</v>
      </c>
      <c r="D62" s="1173"/>
      <c r="E62" s="1173"/>
      <c r="F62" s="1173"/>
      <c r="G62" s="1173"/>
      <c r="H62" s="1173"/>
      <c r="I62" s="1173"/>
      <c r="J62" s="1173"/>
      <c r="K62" s="1173"/>
      <c r="L62" s="1173"/>
      <c r="M62" s="1173"/>
      <c r="N62" s="1173"/>
      <c r="O62" s="1173"/>
      <c r="P62" s="1173"/>
      <c r="Q62" s="1173"/>
      <c r="R62" s="1173"/>
      <c r="S62" s="1173"/>
      <c r="T62" s="1173"/>
      <c r="U62" s="1173"/>
      <c r="V62" s="1173"/>
      <c r="W62" s="1173"/>
      <c r="X62" s="1173"/>
      <c r="Y62" s="1173"/>
      <c r="Z62" s="1173"/>
      <c r="AA62" s="1173"/>
      <c r="AB62" s="1173"/>
      <c r="AC62" s="1173"/>
      <c r="AD62" s="1173"/>
      <c r="AE62" s="1173"/>
      <c r="AF62" s="1173"/>
      <c r="AG62" s="647"/>
    </row>
    <row r="63" spans="1:33" s="227" customFormat="1" ht="33.75" customHeight="1" x14ac:dyDescent="0.25">
      <c r="A63" s="651"/>
      <c r="B63" s="682"/>
      <c r="C63" s="1173" t="s">
        <v>4372</v>
      </c>
      <c r="D63" s="1173"/>
      <c r="E63" s="1173"/>
      <c r="F63" s="1173"/>
      <c r="G63" s="1173"/>
      <c r="H63" s="1173"/>
      <c r="I63" s="1173"/>
      <c r="J63" s="1173"/>
      <c r="K63" s="1173"/>
      <c r="L63" s="1173"/>
      <c r="M63" s="1173"/>
      <c r="N63" s="1173"/>
      <c r="O63" s="1173"/>
      <c r="P63" s="1173"/>
      <c r="Q63" s="1173"/>
      <c r="R63" s="1173"/>
      <c r="S63" s="1173"/>
      <c r="T63" s="1173"/>
      <c r="U63" s="1173"/>
      <c r="V63" s="1173"/>
      <c r="W63" s="1173"/>
      <c r="X63" s="1173"/>
      <c r="Y63" s="1173"/>
      <c r="Z63" s="1173"/>
      <c r="AA63" s="1173"/>
      <c r="AB63" s="1173"/>
      <c r="AC63" s="1173"/>
      <c r="AD63" s="1173"/>
      <c r="AE63" s="1173"/>
      <c r="AF63" s="1173"/>
      <c r="AG63" s="647"/>
    </row>
    <row r="64" spans="1:33" s="227" customFormat="1" ht="50.25" customHeight="1" x14ac:dyDescent="0.25">
      <c r="A64" s="651"/>
      <c r="B64" s="682"/>
      <c r="C64" s="1173" t="s">
        <v>4385</v>
      </c>
      <c r="D64" s="1173"/>
      <c r="E64" s="1173"/>
      <c r="F64" s="1173"/>
      <c r="G64" s="1173"/>
      <c r="H64" s="1173"/>
      <c r="I64" s="1173"/>
      <c r="J64" s="1173"/>
      <c r="K64" s="1173"/>
      <c r="L64" s="1173"/>
      <c r="M64" s="1173"/>
      <c r="N64" s="1173"/>
      <c r="O64" s="1173"/>
      <c r="P64" s="1173"/>
      <c r="Q64" s="1173"/>
      <c r="R64" s="1173"/>
      <c r="S64" s="1173"/>
      <c r="T64" s="1173"/>
      <c r="U64" s="1173"/>
      <c r="V64" s="1173"/>
      <c r="W64" s="1173"/>
      <c r="X64" s="1173"/>
      <c r="Y64" s="1173"/>
      <c r="Z64" s="1173"/>
      <c r="AA64" s="1173"/>
      <c r="AB64" s="1173"/>
      <c r="AC64" s="1173"/>
      <c r="AD64" s="1173"/>
      <c r="AE64" s="1173"/>
      <c r="AF64" s="1173"/>
      <c r="AG64" s="647"/>
    </row>
    <row r="65" spans="1:33" s="227" customFormat="1" ht="48.75" customHeight="1" x14ac:dyDescent="0.25">
      <c r="A65" s="651"/>
      <c r="B65" s="682"/>
      <c r="C65" s="1173" t="s">
        <v>4386</v>
      </c>
      <c r="D65" s="1173"/>
      <c r="E65" s="1173"/>
      <c r="F65" s="1173"/>
      <c r="G65" s="1173"/>
      <c r="H65" s="1173"/>
      <c r="I65" s="1173"/>
      <c r="J65" s="1173"/>
      <c r="K65" s="1173"/>
      <c r="L65" s="1173"/>
      <c r="M65" s="1173"/>
      <c r="N65" s="1173"/>
      <c r="O65" s="1173"/>
      <c r="P65" s="1173"/>
      <c r="Q65" s="1173"/>
      <c r="R65" s="1173"/>
      <c r="S65" s="1173"/>
      <c r="T65" s="1173"/>
      <c r="U65" s="1173"/>
      <c r="V65" s="1173"/>
      <c r="W65" s="1173"/>
      <c r="X65" s="1173"/>
      <c r="Y65" s="1173"/>
      <c r="Z65" s="1173"/>
      <c r="AA65" s="1173"/>
      <c r="AB65" s="1173"/>
      <c r="AC65" s="1173"/>
      <c r="AD65" s="1173"/>
      <c r="AE65" s="1173"/>
      <c r="AF65" s="1173"/>
      <c r="AG65" s="647"/>
    </row>
    <row r="66" spans="1:33" s="227" customFormat="1" x14ac:dyDescent="0.25">
      <c r="A66" s="651"/>
      <c r="B66" s="651"/>
      <c r="C66" s="651"/>
      <c r="D66" s="651"/>
      <c r="E66" s="651"/>
      <c r="F66" s="651"/>
      <c r="G66" s="651"/>
      <c r="H66" s="651"/>
      <c r="I66" s="651"/>
      <c r="J66" s="651"/>
      <c r="K66" s="651"/>
      <c r="L66" s="651"/>
      <c r="M66" s="651"/>
      <c r="N66" s="651"/>
      <c r="O66" s="651"/>
      <c r="P66" s="651"/>
      <c r="Q66" s="651"/>
      <c r="R66" s="651"/>
      <c r="S66" s="651"/>
      <c r="T66" s="651"/>
      <c r="U66" s="651"/>
      <c r="V66" s="651"/>
      <c r="W66" s="651"/>
      <c r="X66" s="651"/>
      <c r="Y66" s="651"/>
      <c r="Z66" s="651"/>
      <c r="AA66" s="651"/>
      <c r="AB66" s="651"/>
      <c r="AC66" s="651"/>
      <c r="AD66" s="651"/>
      <c r="AE66" s="651"/>
      <c r="AF66" s="651"/>
    </row>
    <row r="67" spans="1:33" s="227" customFormat="1" x14ac:dyDescent="0.25">
      <c r="A67" s="712" t="s">
        <v>4355</v>
      </c>
      <c r="B67" s="651"/>
      <c r="C67" s="651"/>
      <c r="D67" s="651"/>
      <c r="E67" s="651"/>
      <c r="F67" s="651"/>
      <c r="G67" s="651"/>
      <c r="H67" s="651"/>
      <c r="I67" s="651"/>
      <c r="J67" s="651"/>
      <c r="K67" s="651"/>
      <c r="L67" s="651"/>
      <c r="M67" s="651"/>
      <c r="N67" s="651"/>
      <c r="O67" s="651"/>
      <c r="P67" s="651"/>
      <c r="Q67" s="651"/>
      <c r="R67" s="651"/>
      <c r="S67" s="651"/>
      <c r="T67" s="651"/>
      <c r="U67" s="651"/>
      <c r="V67" s="651"/>
      <c r="W67" s="651"/>
      <c r="X67" s="651"/>
      <c r="Y67" s="651"/>
      <c r="Z67" s="651"/>
      <c r="AA67" s="651"/>
      <c r="AB67" s="651"/>
      <c r="AC67" s="651"/>
      <c r="AD67" s="651"/>
      <c r="AE67" s="651"/>
      <c r="AF67" s="651"/>
    </row>
    <row r="68" spans="1:33" s="227" customFormat="1" ht="153.75" customHeight="1" x14ac:dyDescent="0.25">
      <c r="A68" s="1173" t="s">
        <v>4373</v>
      </c>
      <c r="B68" s="1173"/>
      <c r="C68" s="1173"/>
      <c r="D68" s="1173"/>
      <c r="E68" s="1173"/>
      <c r="F68" s="1173"/>
      <c r="G68" s="1173"/>
      <c r="H68" s="1173"/>
      <c r="I68" s="1173"/>
      <c r="J68" s="1173"/>
      <c r="K68" s="1173"/>
      <c r="L68" s="1173"/>
      <c r="M68" s="1173"/>
      <c r="N68" s="1173"/>
      <c r="O68" s="1173"/>
      <c r="P68" s="1173"/>
      <c r="Q68" s="1173"/>
      <c r="R68" s="1173"/>
      <c r="S68" s="1173"/>
      <c r="T68" s="1173"/>
      <c r="U68" s="1173"/>
      <c r="V68" s="1173"/>
      <c r="W68" s="1173"/>
      <c r="X68" s="1173"/>
      <c r="Y68" s="1173"/>
      <c r="Z68" s="1173"/>
      <c r="AA68" s="1173"/>
      <c r="AB68" s="1173"/>
      <c r="AC68" s="1173"/>
      <c r="AD68" s="1173"/>
      <c r="AE68" s="1173"/>
      <c r="AF68" s="1173"/>
    </row>
    <row r="69" spans="1:33" s="227" customFormat="1" x14ac:dyDescent="0.25"/>
    <row r="70" spans="1:33" s="227" customFormat="1" ht="105.75" customHeight="1" x14ac:dyDescent="0.25">
      <c r="A70" s="651"/>
      <c r="B70" s="651"/>
      <c r="C70" s="651"/>
      <c r="D70" s="651"/>
      <c r="E70" s="651"/>
      <c r="F70" s="651"/>
      <c r="G70" s="651"/>
      <c r="H70" s="651"/>
      <c r="I70" s="651"/>
      <c r="J70" s="651"/>
      <c r="K70" s="651"/>
      <c r="L70" s="651"/>
      <c r="M70" s="651"/>
      <c r="N70" s="651"/>
      <c r="O70" s="651"/>
      <c r="P70" s="651"/>
      <c r="Q70" s="651"/>
      <c r="R70" s="651"/>
      <c r="S70" s="651"/>
      <c r="T70" s="651"/>
      <c r="U70" s="651"/>
      <c r="V70" s="651"/>
      <c r="W70" s="651"/>
      <c r="X70" s="651"/>
      <c r="Y70" s="651"/>
      <c r="Z70" s="651"/>
      <c r="AA70" s="651"/>
      <c r="AB70" s="651"/>
      <c r="AC70" s="651"/>
      <c r="AD70" s="651"/>
      <c r="AE70" s="651"/>
      <c r="AF70" s="713" t="s">
        <v>1706</v>
      </c>
    </row>
    <row r="71" spans="1:33" s="227" customFormat="1" x14ac:dyDescent="0.25">
      <c r="A71" s="651"/>
      <c r="B71" s="682" t="s">
        <v>4354</v>
      </c>
      <c r="D71" s="651"/>
      <c r="E71" s="651"/>
      <c r="F71" s="651"/>
      <c r="G71" s="651"/>
      <c r="H71" s="651"/>
      <c r="I71" s="651"/>
      <c r="J71" s="651"/>
      <c r="K71" s="651"/>
      <c r="L71" s="651"/>
      <c r="M71" s="651"/>
      <c r="N71" s="651"/>
      <c r="O71" s="651"/>
      <c r="P71" s="651"/>
      <c r="Q71" s="651"/>
      <c r="R71" s="651"/>
      <c r="S71" s="651"/>
      <c r="T71" s="651"/>
      <c r="U71" s="651"/>
      <c r="V71" s="651"/>
      <c r="W71" s="651"/>
      <c r="X71" s="651"/>
      <c r="Y71" s="651"/>
      <c r="Z71" s="651"/>
      <c r="AA71" s="651"/>
      <c r="AB71" s="651"/>
      <c r="AC71" s="651"/>
      <c r="AD71" s="651"/>
      <c r="AE71" s="651"/>
      <c r="AF71" s="339"/>
    </row>
    <row r="72" spans="1:33" s="227" customFormat="1" ht="18.75" customHeight="1" x14ac:dyDescent="0.25">
      <c r="A72" s="651"/>
      <c r="B72" s="682"/>
      <c r="C72" s="1173" t="s">
        <v>4370</v>
      </c>
      <c r="D72" s="1173"/>
      <c r="E72" s="1173"/>
      <c r="F72" s="1173"/>
      <c r="G72" s="1173"/>
      <c r="H72" s="1173"/>
      <c r="I72" s="1173"/>
      <c r="J72" s="1173"/>
      <c r="K72" s="1173"/>
      <c r="L72" s="1173"/>
      <c r="M72" s="1173"/>
      <c r="N72" s="1173"/>
      <c r="O72" s="1173"/>
      <c r="P72" s="1173"/>
      <c r="Q72" s="1173"/>
      <c r="R72" s="1173"/>
      <c r="S72" s="1173"/>
      <c r="T72" s="1173"/>
      <c r="U72" s="1173"/>
      <c r="V72" s="1173"/>
      <c r="W72" s="1173"/>
      <c r="X72" s="1173"/>
      <c r="Y72" s="1173"/>
      <c r="Z72" s="1173"/>
      <c r="AA72" s="1173"/>
      <c r="AB72" s="1173"/>
      <c r="AC72" s="1173"/>
      <c r="AD72" s="1173"/>
      <c r="AE72" s="1173"/>
      <c r="AF72" s="1173"/>
      <c r="AG72" s="647"/>
    </row>
    <row r="73" spans="1:33" s="227" customFormat="1" ht="33.75" customHeight="1" x14ac:dyDescent="0.25">
      <c r="A73" s="651"/>
      <c r="B73" s="682"/>
      <c r="C73" s="1173" t="s">
        <v>4374</v>
      </c>
      <c r="D73" s="1173"/>
      <c r="E73" s="1173"/>
      <c r="F73" s="1173"/>
      <c r="G73" s="1173"/>
      <c r="H73" s="1173"/>
      <c r="I73" s="1173"/>
      <c r="J73" s="1173"/>
      <c r="K73" s="1173"/>
      <c r="L73" s="1173"/>
      <c r="M73" s="1173"/>
      <c r="N73" s="1173"/>
      <c r="O73" s="1173"/>
      <c r="P73" s="1173"/>
      <c r="Q73" s="1173"/>
      <c r="R73" s="1173"/>
      <c r="S73" s="1173"/>
      <c r="T73" s="1173"/>
      <c r="U73" s="1173"/>
      <c r="V73" s="1173"/>
      <c r="W73" s="1173"/>
      <c r="X73" s="1173"/>
      <c r="Y73" s="1173"/>
      <c r="Z73" s="1173"/>
      <c r="AA73" s="1173"/>
      <c r="AB73" s="1173"/>
      <c r="AC73" s="1173"/>
      <c r="AD73" s="1173"/>
      <c r="AE73" s="1173"/>
      <c r="AF73" s="1173"/>
      <c r="AG73" s="647"/>
    </row>
    <row r="74" spans="1:33" s="227" customFormat="1" ht="33.75" customHeight="1" x14ac:dyDescent="0.25">
      <c r="A74" s="651"/>
      <c r="B74" s="682"/>
      <c r="C74" s="1173" t="s">
        <v>4375</v>
      </c>
      <c r="D74" s="1173"/>
      <c r="E74" s="1173"/>
      <c r="F74" s="1173"/>
      <c r="G74" s="1173"/>
      <c r="H74" s="1173"/>
      <c r="I74" s="1173"/>
      <c r="J74" s="1173"/>
      <c r="K74" s="1173"/>
      <c r="L74" s="1173"/>
      <c r="M74" s="1173"/>
      <c r="N74" s="1173"/>
      <c r="O74" s="1173"/>
      <c r="P74" s="1173"/>
      <c r="Q74" s="1173"/>
      <c r="R74" s="1173"/>
      <c r="S74" s="1173"/>
      <c r="T74" s="1173"/>
      <c r="U74" s="1173"/>
      <c r="V74" s="1173"/>
      <c r="W74" s="1173"/>
      <c r="X74" s="1173"/>
      <c r="Y74" s="1173"/>
      <c r="Z74" s="1173"/>
      <c r="AA74" s="1173"/>
      <c r="AB74" s="1173"/>
      <c r="AC74" s="1173"/>
      <c r="AD74" s="1173"/>
      <c r="AE74" s="1173"/>
      <c r="AF74" s="1173"/>
      <c r="AG74" s="647"/>
    </row>
    <row r="75" spans="1:33" s="227" customFormat="1" ht="33.75" customHeight="1" x14ac:dyDescent="0.25">
      <c r="A75" s="651"/>
      <c r="B75" s="682"/>
      <c r="C75" s="1173" t="s">
        <v>4376</v>
      </c>
      <c r="D75" s="1173"/>
      <c r="E75" s="1173"/>
      <c r="F75" s="1173"/>
      <c r="G75" s="1173"/>
      <c r="H75" s="1173"/>
      <c r="I75" s="1173"/>
      <c r="J75" s="1173"/>
      <c r="K75" s="1173"/>
      <c r="L75" s="1173"/>
      <c r="M75" s="1173"/>
      <c r="N75" s="1173"/>
      <c r="O75" s="1173"/>
      <c r="P75" s="1173"/>
      <c r="Q75" s="1173"/>
      <c r="R75" s="1173"/>
      <c r="S75" s="1173"/>
      <c r="T75" s="1173"/>
      <c r="U75" s="1173"/>
      <c r="V75" s="1173"/>
      <c r="W75" s="1173"/>
      <c r="X75" s="1173"/>
      <c r="Y75" s="1173"/>
      <c r="Z75" s="1173"/>
      <c r="AA75" s="1173"/>
      <c r="AB75" s="1173"/>
      <c r="AC75" s="1173"/>
      <c r="AD75" s="1173"/>
      <c r="AE75" s="1173"/>
      <c r="AF75" s="1173"/>
      <c r="AG75" s="647"/>
    </row>
    <row r="76" spans="1:33" s="227" customFormat="1" ht="33.75" customHeight="1" x14ac:dyDescent="0.25">
      <c r="A76" s="651"/>
      <c r="B76" s="682"/>
      <c r="C76" s="1173" t="s">
        <v>4377</v>
      </c>
      <c r="D76" s="1173"/>
      <c r="E76" s="1173"/>
      <c r="F76" s="1173"/>
      <c r="G76" s="1173"/>
      <c r="H76" s="1173"/>
      <c r="I76" s="1173"/>
      <c r="J76" s="1173"/>
      <c r="K76" s="1173"/>
      <c r="L76" s="1173"/>
      <c r="M76" s="1173"/>
      <c r="N76" s="1173"/>
      <c r="O76" s="1173"/>
      <c r="P76" s="1173"/>
      <c r="Q76" s="1173"/>
      <c r="R76" s="1173"/>
      <c r="S76" s="1173"/>
      <c r="T76" s="1173"/>
      <c r="U76" s="1173"/>
      <c r="V76" s="1173"/>
      <c r="W76" s="1173"/>
      <c r="X76" s="1173"/>
      <c r="Y76" s="1173"/>
      <c r="Z76" s="1173"/>
      <c r="AA76" s="1173"/>
      <c r="AB76" s="1173"/>
      <c r="AC76" s="1173"/>
      <c r="AD76" s="1173"/>
      <c r="AE76" s="1173"/>
      <c r="AF76" s="1173"/>
      <c r="AG76" s="647"/>
    </row>
    <row r="77" spans="1:33" s="227" customFormat="1" ht="111.75" customHeight="1" x14ac:dyDescent="0.25">
      <c r="A77" s="651"/>
      <c r="B77" s="682"/>
      <c r="C77" s="1173" t="s">
        <v>4387</v>
      </c>
      <c r="D77" s="1173"/>
      <c r="E77" s="1173"/>
      <c r="F77" s="1173"/>
      <c r="G77" s="1173"/>
      <c r="H77" s="1173"/>
      <c r="I77" s="1173"/>
      <c r="J77" s="1173"/>
      <c r="K77" s="1173"/>
      <c r="L77" s="1173"/>
      <c r="M77" s="1173"/>
      <c r="N77" s="1173"/>
      <c r="O77" s="1173"/>
      <c r="P77" s="1173"/>
      <c r="Q77" s="1173"/>
      <c r="R77" s="1173"/>
      <c r="S77" s="1173"/>
      <c r="T77" s="1173"/>
      <c r="U77" s="1173"/>
      <c r="V77" s="1173"/>
      <c r="W77" s="1173"/>
      <c r="X77" s="1173"/>
      <c r="Y77" s="1173"/>
      <c r="Z77" s="1173"/>
      <c r="AA77" s="1173"/>
      <c r="AB77" s="1173"/>
      <c r="AC77" s="1173"/>
      <c r="AD77" s="1173"/>
      <c r="AE77" s="1173"/>
      <c r="AF77" s="1173"/>
      <c r="AG77" s="647"/>
    </row>
    <row r="78" spans="1:33" s="227" customFormat="1" ht="112.5" customHeight="1" x14ac:dyDescent="0.25">
      <c r="A78" s="651"/>
      <c r="B78" s="682"/>
      <c r="C78" s="1173" t="s">
        <v>4388</v>
      </c>
      <c r="D78" s="1173"/>
      <c r="E78" s="1173"/>
      <c r="F78" s="1173"/>
      <c r="G78" s="1173"/>
      <c r="H78" s="1173"/>
      <c r="I78" s="1173"/>
      <c r="J78" s="1173"/>
      <c r="K78" s="1173"/>
      <c r="L78" s="1173"/>
      <c r="M78" s="1173"/>
      <c r="N78" s="1173"/>
      <c r="O78" s="1173"/>
      <c r="P78" s="1173"/>
      <c r="Q78" s="1173"/>
      <c r="R78" s="1173"/>
      <c r="S78" s="1173"/>
      <c r="T78" s="1173"/>
      <c r="U78" s="1173"/>
      <c r="V78" s="1173"/>
      <c r="W78" s="1173"/>
      <c r="X78" s="1173"/>
      <c r="Y78" s="1173"/>
      <c r="Z78" s="1173"/>
      <c r="AA78" s="1173"/>
      <c r="AB78" s="1173"/>
      <c r="AC78" s="1173"/>
      <c r="AD78" s="1173"/>
      <c r="AE78" s="1173"/>
      <c r="AF78" s="1173"/>
      <c r="AG78" s="647"/>
    </row>
    <row r="79" spans="1:33" s="227" customFormat="1" ht="66.75" customHeight="1" x14ac:dyDescent="0.25">
      <c r="A79" s="651"/>
      <c r="B79" s="682"/>
      <c r="C79" s="1173" t="s">
        <v>4389</v>
      </c>
      <c r="D79" s="1173"/>
      <c r="E79" s="1173"/>
      <c r="F79" s="1173"/>
      <c r="G79" s="1173"/>
      <c r="H79" s="1173"/>
      <c r="I79" s="1173"/>
      <c r="J79" s="1173"/>
      <c r="K79" s="1173"/>
      <c r="L79" s="1173"/>
      <c r="M79" s="1173"/>
      <c r="N79" s="1173"/>
      <c r="O79" s="1173"/>
      <c r="P79" s="1173"/>
      <c r="Q79" s="1173"/>
      <c r="R79" s="1173"/>
      <c r="S79" s="1173"/>
      <c r="T79" s="1173"/>
      <c r="U79" s="1173"/>
      <c r="V79" s="1173"/>
      <c r="W79" s="1173"/>
      <c r="X79" s="1173"/>
      <c r="Y79" s="1173"/>
      <c r="Z79" s="1173"/>
      <c r="AA79" s="1173"/>
      <c r="AB79" s="1173"/>
      <c r="AC79" s="1173"/>
      <c r="AD79" s="1173"/>
      <c r="AE79" s="1173"/>
      <c r="AF79" s="1173"/>
      <c r="AG79" s="647"/>
    </row>
    <row r="80" spans="1:33" s="227" customFormat="1" ht="65.25" customHeight="1" x14ac:dyDescent="0.25">
      <c r="A80" s="651"/>
      <c r="B80" s="682"/>
      <c r="C80" s="1173" t="s">
        <v>4390</v>
      </c>
      <c r="D80" s="1173"/>
      <c r="E80" s="1173"/>
      <c r="F80" s="1173"/>
      <c r="G80" s="1173"/>
      <c r="H80" s="1173"/>
      <c r="I80" s="1173"/>
      <c r="J80" s="1173"/>
      <c r="K80" s="1173"/>
      <c r="L80" s="1173"/>
      <c r="M80" s="1173"/>
      <c r="N80" s="1173"/>
      <c r="O80" s="1173"/>
      <c r="P80" s="1173"/>
      <c r="Q80" s="1173"/>
      <c r="R80" s="1173"/>
      <c r="S80" s="1173"/>
      <c r="T80" s="1173"/>
      <c r="U80" s="1173"/>
      <c r="V80" s="1173"/>
      <c r="W80" s="1173"/>
      <c r="X80" s="1173"/>
      <c r="Y80" s="1173"/>
      <c r="Z80" s="1173"/>
      <c r="AA80" s="1173"/>
      <c r="AB80" s="1173"/>
      <c r="AC80" s="1173"/>
      <c r="AD80" s="1173"/>
      <c r="AE80" s="1173"/>
      <c r="AF80" s="1173"/>
      <c r="AG80" s="647"/>
    </row>
    <row r="81" spans="1:38" s="227" customFormat="1" x14ac:dyDescent="0.25"/>
    <row r="82" spans="1:38" s="227" customFormat="1" ht="32.25" customHeight="1" x14ac:dyDescent="0.25">
      <c r="A82" s="1173" t="s">
        <v>4356</v>
      </c>
      <c r="B82" s="1173"/>
      <c r="C82" s="1173"/>
      <c r="D82" s="1173"/>
      <c r="E82" s="1173"/>
      <c r="F82" s="1173"/>
      <c r="G82" s="1173"/>
      <c r="H82" s="1173"/>
      <c r="I82" s="1173"/>
      <c r="J82" s="1173"/>
      <c r="K82" s="1173"/>
      <c r="L82" s="1173"/>
      <c r="M82" s="1173"/>
      <c r="N82" s="1173"/>
      <c r="O82" s="1173"/>
      <c r="P82" s="1173"/>
      <c r="Q82" s="1173"/>
      <c r="R82" s="1173"/>
      <c r="S82" s="1173"/>
      <c r="T82" s="1173"/>
      <c r="U82" s="1173"/>
      <c r="V82" s="1173"/>
      <c r="W82" s="1173"/>
      <c r="X82" s="1173"/>
      <c r="Y82" s="1173"/>
      <c r="Z82" s="1173"/>
      <c r="AA82" s="1173"/>
      <c r="AB82" s="1173"/>
      <c r="AC82" s="1173"/>
      <c r="AD82" s="1173"/>
      <c r="AE82" s="1173"/>
      <c r="AF82" s="1173"/>
      <c r="AG82" s="647"/>
      <c r="AL82" s="638"/>
    </row>
    <row r="83" spans="1:38" s="227" customFormat="1" x14ac:dyDescent="0.25">
      <c r="A83" s="647"/>
      <c r="B83" s="647"/>
      <c r="C83" s="647"/>
      <c r="D83" s="647"/>
      <c r="E83" s="647"/>
      <c r="F83" s="647"/>
      <c r="G83" s="647"/>
      <c r="H83" s="647"/>
      <c r="I83" s="647"/>
      <c r="J83" s="647"/>
      <c r="K83" s="647"/>
      <c r="L83" s="647"/>
      <c r="M83" s="647"/>
      <c r="N83" s="647"/>
      <c r="O83" s="647"/>
      <c r="P83" s="647"/>
      <c r="Q83" s="647"/>
      <c r="R83" s="647"/>
      <c r="S83" s="647"/>
      <c r="T83" s="647"/>
      <c r="U83" s="647"/>
      <c r="V83" s="647"/>
      <c r="W83" s="647"/>
      <c r="X83" s="647"/>
      <c r="Y83" s="647"/>
      <c r="Z83" s="647"/>
      <c r="AA83" s="647"/>
      <c r="AB83" s="647"/>
      <c r="AC83" s="647"/>
      <c r="AD83" s="647"/>
      <c r="AE83" s="647"/>
      <c r="AF83" s="647"/>
      <c r="AG83" s="647"/>
      <c r="AL83" s="638"/>
    </row>
    <row r="84" spans="1:38" s="227" customFormat="1" x14ac:dyDescent="0.25">
      <c r="A84" s="638"/>
      <c r="B84" s="638"/>
      <c r="C84" s="649" t="s">
        <v>4357</v>
      </c>
      <c r="D84" s="638"/>
      <c r="E84" s="638"/>
      <c r="F84" s="638"/>
      <c r="G84" s="638"/>
      <c r="H84" s="638"/>
      <c r="I84" s="638"/>
      <c r="J84" s="638"/>
      <c r="K84" s="638"/>
      <c r="L84" s="638"/>
      <c r="M84" s="638"/>
      <c r="N84" s="638"/>
      <c r="O84" s="638"/>
      <c r="P84" s="638"/>
      <c r="Q84" s="638"/>
      <c r="R84" s="638"/>
      <c r="S84" s="638"/>
      <c r="T84" s="638"/>
      <c r="U84" s="638"/>
      <c r="V84" s="638"/>
      <c r="W84" s="638"/>
      <c r="X84" s="638"/>
      <c r="Y84" s="638"/>
      <c r="Z84" s="638"/>
      <c r="AA84" s="638"/>
      <c r="AB84" s="638"/>
      <c r="AC84" s="638"/>
      <c r="AD84" s="638"/>
      <c r="AE84" s="638"/>
      <c r="AF84" s="638"/>
      <c r="AG84" s="638"/>
    </row>
    <row r="85" spans="1:38" s="227" customFormat="1" x14ac:dyDescent="0.25">
      <c r="A85" s="638"/>
      <c r="B85" s="638"/>
      <c r="C85" s="714" t="s">
        <v>4358</v>
      </c>
      <c r="D85" s="638"/>
      <c r="E85" s="638"/>
      <c r="F85" s="638"/>
      <c r="G85" s="638"/>
      <c r="H85" s="638"/>
      <c r="I85" s="638"/>
      <c r="J85" s="638"/>
      <c r="K85" s="638"/>
      <c r="L85" s="638"/>
      <c r="M85" s="638"/>
      <c r="N85" s="638"/>
      <c r="O85" s="638"/>
      <c r="P85" s="638"/>
      <c r="Q85" s="638"/>
      <c r="R85" s="638"/>
      <c r="S85" s="714" t="s">
        <v>4359</v>
      </c>
      <c r="T85" s="638"/>
      <c r="U85" s="638"/>
      <c r="V85" s="638"/>
      <c r="W85" s="638"/>
      <c r="X85" s="638"/>
      <c r="Y85" s="638"/>
      <c r="Z85" s="638"/>
      <c r="AA85" s="638"/>
      <c r="AB85" s="638"/>
      <c r="AC85" s="638"/>
      <c r="AD85" s="638"/>
      <c r="AE85" s="638"/>
      <c r="AF85" s="638"/>
      <c r="AG85" s="638"/>
    </row>
    <row r="86" spans="1:38" s="227" customFormat="1" x14ac:dyDescent="0.25">
      <c r="A86" s="638"/>
      <c r="B86" s="638"/>
      <c r="C86" s="1286" t="s">
        <v>4245</v>
      </c>
      <c r="D86" s="1286"/>
      <c r="E86" s="1286"/>
      <c r="F86" s="1286"/>
      <c r="G86" s="1286"/>
      <c r="H86" s="1286"/>
      <c r="I86" s="1286"/>
      <c r="J86" s="1286"/>
      <c r="K86" s="1286"/>
      <c r="L86" s="1286"/>
      <c r="M86" s="1286"/>
      <c r="N86" s="1286"/>
      <c r="O86" s="1286"/>
      <c r="P86" s="1286"/>
      <c r="Q86" s="638"/>
      <c r="R86" s="638"/>
      <c r="S86" s="1286" t="s">
        <v>4247</v>
      </c>
      <c r="T86" s="1286"/>
      <c r="U86" s="1286"/>
      <c r="V86" s="1286"/>
      <c r="W86" s="1286"/>
      <c r="X86" s="1286"/>
      <c r="Y86" s="1286"/>
      <c r="Z86" s="1286"/>
      <c r="AA86" s="1286"/>
      <c r="AB86" s="1286"/>
      <c r="AC86" s="1286"/>
      <c r="AD86" s="1286"/>
      <c r="AE86" s="1286"/>
      <c r="AF86" s="1286"/>
      <c r="AG86" s="638"/>
    </row>
    <row r="87" spans="1:38" s="227" customFormat="1" x14ac:dyDescent="0.25">
      <c r="A87" s="638"/>
      <c r="B87" s="638"/>
      <c r="C87" s="1287" t="s">
        <v>4360</v>
      </c>
      <c r="D87" s="1287"/>
      <c r="E87" s="1287"/>
      <c r="F87" s="1287"/>
      <c r="G87" s="1287"/>
      <c r="H87" s="1287"/>
      <c r="I87" s="1287"/>
      <c r="J87" s="1287"/>
      <c r="K87" s="1287"/>
      <c r="L87" s="1287"/>
      <c r="M87" s="1287"/>
      <c r="N87" s="1287"/>
      <c r="O87" s="1287"/>
      <c r="P87" s="1287"/>
      <c r="Q87" s="638"/>
      <c r="R87" s="638"/>
      <c r="S87" s="1287" t="s">
        <v>4360</v>
      </c>
      <c r="T87" s="1287"/>
      <c r="U87" s="1287"/>
      <c r="V87" s="1287"/>
      <c r="W87" s="1287"/>
      <c r="X87" s="1287"/>
      <c r="Y87" s="1287"/>
      <c r="Z87" s="1287"/>
      <c r="AA87" s="1287"/>
      <c r="AB87" s="1287"/>
      <c r="AC87" s="1287"/>
      <c r="AD87" s="1287"/>
      <c r="AE87" s="1287"/>
      <c r="AF87" s="1287"/>
      <c r="AG87" s="638"/>
    </row>
    <row r="88" spans="1:38" s="227" customFormat="1" x14ac:dyDescent="0.25">
      <c r="A88" s="638"/>
      <c r="B88" s="638"/>
      <c r="C88" s="1286" t="s">
        <v>4229</v>
      </c>
      <c r="D88" s="1286"/>
      <c r="E88" s="1286"/>
      <c r="F88" s="1286"/>
      <c r="G88" s="1286"/>
      <c r="H88" s="1286"/>
      <c r="I88" s="1286"/>
      <c r="J88" s="1286"/>
      <c r="K88" s="1286"/>
      <c r="L88" s="1286"/>
      <c r="M88" s="1286"/>
      <c r="N88" s="1286"/>
      <c r="O88" s="1286"/>
      <c r="P88" s="1286"/>
      <c r="Q88" s="638"/>
      <c r="R88" s="638"/>
      <c r="S88" s="1286" t="s">
        <v>1413</v>
      </c>
      <c r="T88" s="1286"/>
      <c r="U88" s="1286"/>
      <c r="V88" s="1286"/>
      <c r="W88" s="1286"/>
      <c r="X88" s="1286"/>
      <c r="Y88" s="1286"/>
      <c r="Z88" s="1286"/>
      <c r="AA88" s="1286"/>
      <c r="AB88" s="1286"/>
      <c r="AC88" s="1286"/>
      <c r="AD88" s="1286"/>
      <c r="AE88" s="1286"/>
      <c r="AF88" s="1286"/>
      <c r="AG88" s="638"/>
    </row>
    <row r="89" spans="1:38" s="227" customFormat="1" x14ac:dyDescent="0.25">
      <c r="A89" s="638"/>
      <c r="B89" s="638"/>
      <c r="C89" s="1286" t="s">
        <v>1349</v>
      </c>
      <c r="D89" s="1286"/>
      <c r="E89" s="1286"/>
      <c r="F89" s="1286"/>
      <c r="G89" s="1286"/>
      <c r="H89" s="1286"/>
      <c r="I89" s="1286"/>
      <c r="J89" s="1286"/>
      <c r="K89" s="1286"/>
      <c r="L89" s="1286"/>
      <c r="M89" s="1286"/>
      <c r="N89" s="1286"/>
      <c r="O89" s="1286"/>
      <c r="P89" s="1286"/>
      <c r="Q89" s="638"/>
      <c r="R89" s="638"/>
      <c r="S89" s="1287" t="s">
        <v>4361</v>
      </c>
      <c r="T89" s="1287"/>
      <c r="U89" s="1287"/>
      <c r="V89" s="1287"/>
      <c r="W89" s="1287"/>
      <c r="X89" s="1287"/>
      <c r="Y89" s="1287"/>
      <c r="Z89" s="1287"/>
      <c r="AA89" s="1287"/>
      <c r="AB89" s="1287"/>
      <c r="AC89" s="1287"/>
      <c r="AD89" s="1287"/>
      <c r="AE89" s="1287"/>
      <c r="AF89" s="1287"/>
      <c r="AG89" s="638"/>
    </row>
    <row r="90" spans="1:38" s="227" customFormat="1" x14ac:dyDescent="0.25">
      <c r="A90" s="638"/>
      <c r="B90" s="638"/>
      <c r="C90" s="1286" t="s">
        <v>1348</v>
      </c>
      <c r="D90" s="1286"/>
      <c r="E90" s="1286"/>
      <c r="F90" s="1286"/>
      <c r="G90" s="1286"/>
      <c r="H90" s="1286"/>
      <c r="I90" s="1286"/>
      <c r="J90" s="1286"/>
      <c r="K90" s="1286"/>
      <c r="L90" s="1286"/>
      <c r="M90" s="1286"/>
      <c r="N90" s="1286"/>
      <c r="O90" s="1286"/>
      <c r="P90" s="1286"/>
      <c r="Q90" s="638"/>
      <c r="R90" s="638"/>
      <c r="S90" s="1286" t="s">
        <v>4362</v>
      </c>
      <c r="T90" s="1286"/>
      <c r="U90" s="1286"/>
      <c r="V90" s="1286"/>
      <c r="W90" s="1286"/>
      <c r="X90" s="1286"/>
      <c r="Y90" s="1286"/>
      <c r="Z90" s="1286"/>
      <c r="AA90" s="1286"/>
      <c r="AB90" s="1286"/>
      <c r="AC90" s="1286"/>
      <c r="AD90" s="1286"/>
      <c r="AE90" s="1286"/>
      <c r="AF90" s="1286"/>
      <c r="AG90" s="638"/>
    </row>
    <row r="91" spans="1:38" s="227" customFormat="1" x14ac:dyDescent="0.25">
      <c r="A91" s="638"/>
      <c r="B91" s="638"/>
      <c r="C91" s="1286" t="s">
        <v>1609</v>
      </c>
      <c r="D91" s="1286"/>
      <c r="E91" s="1286"/>
      <c r="F91" s="1286"/>
      <c r="G91" s="1286"/>
      <c r="H91" s="1286"/>
      <c r="I91" s="1286"/>
      <c r="J91" s="1286"/>
      <c r="K91" s="1286"/>
      <c r="L91" s="1286"/>
      <c r="M91" s="1286"/>
      <c r="N91" s="1286"/>
      <c r="O91" s="1286"/>
      <c r="P91" s="1286"/>
      <c r="Q91" s="638"/>
      <c r="R91" s="638"/>
      <c r="S91" s="1288" t="s">
        <v>1602</v>
      </c>
      <c r="T91" s="1288"/>
      <c r="U91" s="1288"/>
      <c r="V91" s="1288"/>
      <c r="W91" s="1288"/>
      <c r="X91" s="1288"/>
      <c r="Y91" s="1288"/>
      <c r="Z91" s="1288"/>
      <c r="AA91" s="1288"/>
      <c r="AB91" s="1288"/>
      <c r="AC91" s="1288"/>
      <c r="AD91" s="1288"/>
      <c r="AE91" s="1288"/>
      <c r="AF91" s="1288"/>
      <c r="AG91" s="638"/>
    </row>
    <row r="92" spans="1:38" s="227" customFormat="1" x14ac:dyDescent="0.25">
      <c r="A92" s="638"/>
      <c r="B92" s="638"/>
      <c r="C92" s="1287" t="s">
        <v>4363</v>
      </c>
      <c r="D92" s="1287"/>
      <c r="E92" s="1287"/>
      <c r="F92" s="1287"/>
      <c r="G92" s="1287"/>
      <c r="H92" s="1287"/>
      <c r="I92" s="1287"/>
      <c r="J92" s="1287"/>
      <c r="K92" s="1287"/>
      <c r="L92" s="1287"/>
      <c r="M92" s="1287"/>
      <c r="N92" s="1287"/>
      <c r="O92" s="1287"/>
      <c r="P92" s="1287"/>
      <c r="Q92" s="638"/>
      <c r="R92" s="638"/>
      <c r="S92" s="1287" t="s">
        <v>4364</v>
      </c>
      <c r="T92" s="1287"/>
      <c r="U92" s="1287"/>
      <c r="V92" s="1287"/>
      <c r="W92" s="1287"/>
      <c r="X92" s="1287"/>
      <c r="Y92" s="1287"/>
      <c r="Z92" s="1287"/>
      <c r="AA92" s="1287"/>
      <c r="AB92" s="1287"/>
      <c r="AC92" s="1287"/>
      <c r="AD92" s="1287"/>
      <c r="AE92" s="1287"/>
      <c r="AF92" s="1287"/>
      <c r="AG92" s="638"/>
    </row>
    <row r="93" spans="1:38" s="227" customFormat="1" x14ac:dyDescent="0.25">
      <c r="A93" s="638"/>
      <c r="B93" s="638"/>
      <c r="C93" s="1287" t="s">
        <v>4365</v>
      </c>
      <c r="D93" s="1287"/>
      <c r="E93" s="1287"/>
      <c r="F93" s="1287"/>
      <c r="G93" s="1287"/>
      <c r="H93" s="1287"/>
      <c r="I93" s="1287"/>
      <c r="J93" s="1287"/>
      <c r="K93" s="1287"/>
      <c r="L93" s="1287"/>
      <c r="M93" s="1287"/>
      <c r="N93" s="1287"/>
      <c r="O93" s="1287"/>
      <c r="P93" s="1287"/>
      <c r="Q93" s="638"/>
      <c r="R93" s="654"/>
      <c r="S93" s="1286" t="s">
        <v>7056</v>
      </c>
      <c r="T93" s="1286"/>
      <c r="U93" s="1286"/>
      <c r="V93" s="1286"/>
      <c r="W93" s="1286"/>
      <c r="X93" s="1286"/>
      <c r="Y93" s="1286"/>
      <c r="Z93" s="1286"/>
      <c r="AA93" s="1286"/>
      <c r="AB93" s="1286"/>
      <c r="AC93" s="1286"/>
      <c r="AD93" s="1286"/>
      <c r="AE93" s="1286"/>
      <c r="AF93" s="1286"/>
      <c r="AG93" s="654"/>
    </row>
    <row r="94" spans="1:38" s="227" customFormat="1" ht="30.75" customHeight="1" x14ac:dyDescent="0.25">
      <c r="A94" s="638"/>
      <c r="B94" s="638"/>
      <c r="C94" s="1290" t="s">
        <v>4366</v>
      </c>
      <c r="D94" s="1290"/>
      <c r="E94" s="1290"/>
      <c r="F94" s="1290"/>
      <c r="G94" s="1290"/>
      <c r="H94" s="1290"/>
      <c r="I94" s="1290"/>
      <c r="J94" s="1290"/>
      <c r="K94" s="1290"/>
      <c r="L94" s="1290"/>
      <c r="M94" s="1290"/>
      <c r="N94" s="1290"/>
      <c r="O94" s="1290"/>
      <c r="P94" s="1290"/>
      <c r="Q94" s="1290"/>
      <c r="R94" s="1290"/>
      <c r="S94" s="1290"/>
      <c r="T94" s="1290"/>
      <c r="U94" s="1290"/>
      <c r="V94" s="1290"/>
      <c r="W94" s="1290"/>
      <c r="X94" s="1290"/>
      <c r="Y94" s="1290"/>
      <c r="Z94" s="1290"/>
      <c r="AA94" s="1290"/>
      <c r="AB94" s="1290"/>
      <c r="AC94" s="1290"/>
      <c r="AD94" s="1290"/>
      <c r="AE94" s="1290"/>
      <c r="AF94" s="1290"/>
      <c r="AG94" s="654"/>
    </row>
    <row r="95" spans="1:38" s="227" customFormat="1" x14ac:dyDescent="0.25">
      <c r="A95" s="638"/>
      <c r="B95" s="638"/>
      <c r="C95" s="470" t="s">
        <v>4367</v>
      </c>
      <c r="D95" s="638"/>
      <c r="E95" s="638"/>
      <c r="F95" s="638"/>
      <c r="G95" s="638"/>
      <c r="H95" s="638"/>
      <c r="I95" s="638"/>
      <c r="J95" s="638"/>
      <c r="K95" s="638"/>
      <c r="L95" s="638"/>
      <c r="M95" s="638"/>
      <c r="N95" s="638"/>
      <c r="O95" s="638"/>
      <c r="P95" s="638"/>
      <c r="Q95" s="638"/>
      <c r="R95" s="654"/>
      <c r="S95" s="654"/>
      <c r="T95" s="654"/>
      <c r="U95" s="654"/>
      <c r="V95" s="654"/>
      <c r="W95" s="654"/>
      <c r="X95" s="654"/>
      <c r="Y95" s="654"/>
      <c r="Z95" s="654"/>
      <c r="AA95" s="654"/>
      <c r="AB95" s="654"/>
      <c r="AC95" s="654"/>
      <c r="AD95" s="654"/>
      <c r="AE95" s="654"/>
      <c r="AF95" s="654"/>
      <c r="AG95" s="654"/>
    </row>
    <row r="96" spans="1:38" s="227" customFormat="1" x14ac:dyDescent="0.25">
      <c r="A96" s="638"/>
      <c r="B96" s="638"/>
      <c r="C96" s="470"/>
      <c r="D96" s="638"/>
      <c r="E96" s="638"/>
      <c r="F96" s="638"/>
      <c r="G96" s="638"/>
      <c r="H96" s="638"/>
      <c r="I96" s="638"/>
      <c r="J96" s="638"/>
      <c r="K96" s="638"/>
      <c r="L96" s="638"/>
      <c r="M96" s="638"/>
      <c r="N96" s="638"/>
      <c r="O96" s="638"/>
      <c r="P96" s="638"/>
      <c r="Q96" s="638"/>
      <c r="R96" s="654"/>
      <c r="S96" s="654"/>
      <c r="T96" s="654"/>
      <c r="U96" s="654"/>
      <c r="V96" s="654"/>
      <c r="W96" s="654"/>
      <c r="X96" s="654"/>
      <c r="Y96" s="654"/>
      <c r="Z96" s="654"/>
      <c r="AA96" s="654"/>
      <c r="AB96" s="654"/>
      <c r="AC96" s="654"/>
      <c r="AD96" s="654"/>
      <c r="AE96" s="654"/>
      <c r="AF96" s="654"/>
      <c r="AG96" s="654"/>
    </row>
    <row r="97" spans="1:42" s="227" customFormat="1" x14ac:dyDescent="0.25">
      <c r="A97" s="638" t="s">
        <v>4368</v>
      </c>
      <c r="B97" s="638"/>
      <c r="C97" s="470"/>
      <c r="D97" s="638"/>
      <c r="E97" s="638"/>
      <c r="F97" s="638"/>
      <c r="G97" s="638"/>
      <c r="H97" s="638"/>
      <c r="I97" s="638"/>
      <c r="J97" s="638"/>
      <c r="K97" s="638"/>
      <c r="L97" s="638"/>
      <c r="M97" s="638"/>
      <c r="N97" s="638"/>
      <c r="O97" s="638"/>
      <c r="P97" s="638"/>
      <c r="Q97" s="638"/>
      <c r="R97" s="654"/>
      <c r="S97" s="654"/>
      <c r="T97" s="654"/>
      <c r="U97" s="654"/>
      <c r="V97" s="654"/>
      <c r="W97" s="654"/>
      <c r="X97" s="654"/>
      <c r="Y97" s="654"/>
      <c r="Z97" s="654"/>
      <c r="AA97" s="654"/>
      <c r="AB97" s="654"/>
      <c r="AC97" s="654"/>
      <c r="AD97" s="654"/>
      <c r="AE97" s="654"/>
      <c r="AF97" s="654"/>
      <c r="AG97" s="654"/>
    </row>
    <row r="98" spans="1:42" s="227" customFormat="1" x14ac:dyDescent="0.25">
      <c r="A98" s="638"/>
      <c r="B98" s="638"/>
      <c r="C98" s="638" t="s">
        <v>4369</v>
      </c>
      <c r="D98" s="638"/>
      <c r="E98" s="638"/>
      <c r="F98" s="638"/>
      <c r="G98" s="638"/>
      <c r="H98" s="638"/>
      <c r="I98" s="638"/>
      <c r="J98" s="638"/>
      <c r="K98" s="638"/>
      <c r="L98" s="638"/>
      <c r="M98" s="638"/>
      <c r="N98" s="638"/>
      <c r="O98" s="638"/>
      <c r="P98" s="638"/>
      <c r="Q98" s="638"/>
      <c r="R98" s="638"/>
      <c r="S98" s="638"/>
      <c r="T98" s="638"/>
      <c r="U98" s="638"/>
      <c r="V98" s="638"/>
      <c r="W98" s="638"/>
      <c r="X98" s="638"/>
      <c r="Y98" s="638"/>
      <c r="Z98" s="638"/>
      <c r="AA98" s="638"/>
      <c r="AB98" s="638"/>
      <c r="AC98" s="638"/>
      <c r="AD98" s="638"/>
      <c r="AE98" s="638"/>
      <c r="AF98" s="638"/>
      <c r="AG98" s="638"/>
    </row>
    <row r="99" spans="1:42" s="227" customFormat="1" x14ac:dyDescent="0.25">
      <c r="A99" s="638"/>
      <c r="B99" s="638"/>
      <c r="C99" s="638"/>
      <c r="D99" s="638"/>
      <c r="E99" s="638"/>
      <c r="F99" s="638"/>
      <c r="G99" s="638"/>
      <c r="H99" s="638"/>
      <c r="I99" s="638"/>
      <c r="J99" s="638"/>
      <c r="K99" s="638"/>
      <c r="L99" s="638"/>
      <c r="M99" s="638"/>
      <c r="N99" s="638"/>
      <c r="O99" s="638"/>
      <c r="P99" s="638"/>
      <c r="Q99" s="638"/>
      <c r="R99" s="638"/>
      <c r="S99" s="638"/>
      <c r="T99" s="638"/>
      <c r="U99" s="638"/>
      <c r="V99" s="638"/>
      <c r="W99" s="638"/>
      <c r="X99" s="638"/>
      <c r="Y99" s="638"/>
      <c r="Z99" s="638"/>
      <c r="AA99" s="638"/>
      <c r="AB99" s="638"/>
      <c r="AC99" s="638"/>
      <c r="AD99" s="638"/>
      <c r="AE99" s="638"/>
      <c r="AF99" s="638"/>
      <c r="AG99" s="638"/>
    </row>
    <row r="100" spans="1:42" x14ac:dyDescent="0.25">
      <c r="A100" s="1167" t="s">
        <v>5581</v>
      </c>
      <c r="B100" s="1167"/>
      <c r="C100" s="1167"/>
      <c r="D100" s="1167"/>
      <c r="E100" s="1167"/>
      <c r="F100" s="1167"/>
      <c r="G100" s="1167"/>
      <c r="H100" s="1167"/>
      <c r="I100" s="1167"/>
      <c r="J100" s="1167"/>
      <c r="K100" s="1167"/>
      <c r="L100" s="1167"/>
      <c r="M100" s="1167"/>
      <c r="N100" s="1167"/>
      <c r="O100" s="1167"/>
      <c r="P100" s="1167"/>
      <c r="Q100" s="1167"/>
      <c r="R100" s="1167"/>
      <c r="S100" s="1167"/>
      <c r="T100" s="1167"/>
      <c r="U100" s="1167"/>
      <c r="V100" s="1167"/>
      <c r="W100" s="1167"/>
      <c r="X100" s="1167"/>
      <c r="Y100" s="1167"/>
      <c r="Z100" s="1167"/>
      <c r="AA100" s="1167"/>
      <c r="AB100" s="1167"/>
      <c r="AC100" s="1167"/>
      <c r="AD100" s="1167"/>
      <c r="AE100" s="1167"/>
      <c r="AF100" s="1167"/>
    </row>
    <row r="101" spans="1:42" ht="24.75" customHeight="1" x14ac:dyDescent="0.25">
      <c r="A101" s="460"/>
      <c r="B101" s="460"/>
      <c r="C101" s="460"/>
      <c r="D101" s="460"/>
      <c r="E101" s="460"/>
      <c r="F101" s="460"/>
      <c r="G101" s="460"/>
      <c r="H101" s="461"/>
      <c r="I101" s="461"/>
      <c r="J101" s="461"/>
      <c r="K101" s="1231" t="s">
        <v>1020</v>
      </c>
      <c r="L101" s="1232"/>
      <c r="M101" s="1232"/>
      <c r="N101" s="1233"/>
      <c r="O101" s="603"/>
      <c r="P101" s="604"/>
      <c r="Q101" s="604"/>
      <c r="R101" s="604"/>
      <c r="S101" s="604"/>
      <c r="T101" s="604"/>
      <c r="U101" s="263"/>
      <c r="V101" s="263"/>
      <c r="W101" s="263"/>
      <c r="X101" s="263"/>
      <c r="Y101" s="263"/>
      <c r="Z101" s="460"/>
      <c r="AA101" s="460"/>
      <c r="AB101" s="460"/>
      <c r="AC101" s="460"/>
      <c r="AD101" s="460"/>
      <c r="AE101" s="460"/>
      <c r="AF101" s="721"/>
      <c r="AG101" s="227"/>
      <c r="AH101" s="227"/>
      <c r="AI101" s="227"/>
      <c r="AJ101" s="227"/>
      <c r="AK101" s="227"/>
      <c r="AL101" s="227"/>
      <c r="AM101" s="227"/>
      <c r="AN101" s="227"/>
      <c r="AO101" s="227"/>
      <c r="AP101" s="227"/>
    </row>
    <row r="102" spans="1:42" x14ac:dyDescent="0.25">
      <c r="A102" s="192"/>
      <c r="B102" s="192"/>
      <c r="C102" s="192"/>
      <c r="D102" s="192"/>
      <c r="E102" s="192"/>
      <c r="F102" s="192"/>
      <c r="G102" s="192"/>
      <c r="H102" s="269"/>
      <c r="I102" s="269"/>
      <c r="J102" s="269"/>
      <c r="K102" s="1239">
        <v>0.06</v>
      </c>
      <c r="L102" s="1240"/>
      <c r="M102" s="1240"/>
      <c r="N102" s="1241"/>
      <c r="O102" s="725"/>
      <c r="P102" s="726"/>
      <c r="Q102" s="726"/>
      <c r="R102" s="726"/>
      <c r="S102" s="726"/>
      <c r="T102" s="726"/>
      <c r="U102" s="262"/>
      <c r="V102" s="262"/>
      <c r="W102" s="262"/>
      <c r="X102" s="262"/>
      <c r="Y102" s="262"/>
      <c r="Z102" s="192"/>
      <c r="AA102" s="192"/>
      <c r="AB102" s="192"/>
      <c r="AC102" s="192"/>
      <c r="AD102" s="192"/>
      <c r="AE102" s="192"/>
      <c r="AF102" s="311"/>
      <c r="AG102" s="227"/>
      <c r="AH102" s="227"/>
      <c r="AI102" s="227"/>
      <c r="AJ102" s="227"/>
      <c r="AK102" s="227"/>
      <c r="AL102" s="227"/>
      <c r="AM102" s="227"/>
      <c r="AN102" s="227"/>
      <c r="AO102" s="227"/>
      <c r="AP102" s="227"/>
    </row>
    <row r="103" spans="1:42" x14ac:dyDescent="0.25">
      <c r="A103" s="192"/>
      <c r="B103" s="192"/>
      <c r="C103" s="192"/>
      <c r="D103" s="192"/>
      <c r="E103" s="192"/>
      <c r="F103" s="192"/>
      <c r="G103" s="192"/>
      <c r="H103" s="269"/>
      <c r="I103" s="269"/>
      <c r="J103" s="269"/>
      <c r="K103" s="269"/>
      <c r="L103" s="269"/>
      <c r="M103" s="727"/>
      <c r="N103" s="727"/>
      <c r="O103" s="727"/>
      <c r="P103" s="727"/>
      <c r="Q103" s="727"/>
      <c r="R103" s="727"/>
      <c r="S103" s="727"/>
      <c r="T103" s="727"/>
      <c r="U103" s="727"/>
      <c r="V103" s="727"/>
      <c r="W103" s="727"/>
      <c r="X103" s="727"/>
      <c r="Y103" s="727"/>
      <c r="Z103" s="727"/>
      <c r="AA103" s="727"/>
      <c r="AB103" s="727"/>
      <c r="AC103" s="727"/>
      <c r="AD103" s="727"/>
      <c r="AE103" s="192"/>
      <c r="AF103" s="192"/>
      <c r="AG103" s="192"/>
      <c r="AH103" s="192"/>
      <c r="AI103" s="192"/>
      <c r="AJ103" s="192"/>
      <c r="AK103" s="192"/>
      <c r="AL103" s="192"/>
      <c r="AM103" s="192"/>
      <c r="AN103" s="311"/>
      <c r="AO103" s="227"/>
      <c r="AP103" s="227"/>
    </row>
    <row r="104" spans="1:42" ht="39" customHeight="1" x14ac:dyDescent="0.25">
      <c r="A104" s="192"/>
      <c r="B104" s="192"/>
      <c r="C104" s="192"/>
      <c r="D104" s="192"/>
      <c r="E104" s="192"/>
      <c r="F104" s="192"/>
      <c r="G104" s="1242" t="s">
        <v>3525</v>
      </c>
      <c r="H104" s="1235"/>
      <c r="I104" s="1235"/>
      <c r="J104" s="1235"/>
      <c r="K104" s="1235"/>
      <c r="L104" s="1235"/>
      <c r="M104" s="1235"/>
      <c r="N104" s="1235"/>
      <c r="O104" s="1235"/>
      <c r="P104" s="1242" t="s">
        <v>3528</v>
      </c>
      <c r="Q104" s="1235"/>
      <c r="R104" s="1235"/>
      <c r="S104" s="1235"/>
      <c r="T104" s="1235"/>
      <c r="U104" s="1235"/>
      <c r="V104" s="1235"/>
      <c r="W104" s="1235"/>
      <c r="X104" s="1235"/>
      <c r="Y104" s="1230" t="s">
        <v>3529</v>
      </c>
      <c r="Z104" s="1230"/>
      <c r="AA104" s="1230"/>
      <c r="AB104" s="1230"/>
      <c r="AC104" s="1230"/>
      <c r="AD104" s="1230"/>
      <c r="AE104" s="1230"/>
      <c r="AF104" s="1230"/>
      <c r="AG104" s="1230"/>
      <c r="AH104" s="1230" t="s">
        <v>3530</v>
      </c>
      <c r="AI104" s="1230"/>
      <c r="AJ104" s="1230"/>
      <c r="AK104" s="1230"/>
      <c r="AL104" s="1230"/>
      <c r="AM104" s="1230"/>
      <c r="AN104" s="1230"/>
      <c r="AO104" s="1230"/>
      <c r="AP104" s="1230"/>
    </row>
    <row r="105" spans="1:42" ht="28.9" customHeight="1" x14ac:dyDescent="0.25">
      <c r="A105" s="192"/>
      <c r="B105" s="192"/>
      <c r="C105" s="192"/>
      <c r="D105" s="192"/>
      <c r="E105" s="192"/>
      <c r="F105" s="192"/>
      <c r="G105" s="1235" t="s">
        <v>877</v>
      </c>
      <c r="H105" s="1235"/>
      <c r="I105" s="1235"/>
      <c r="J105" s="1235" t="s">
        <v>878</v>
      </c>
      <c r="K105" s="1235"/>
      <c r="L105" s="1235"/>
      <c r="M105" s="1235" t="s">
        <v>3515</v>
      </c>
      <c r="N105" s="1235"/>
      <c r="O105" s="1235"/>
      <c r="P105" s="1235" t="s">
        <v>877</v>
      </c>
      <c r="Q105" s="1235"/>
      <c r="R105" s="1235"/>
      <c r="S105" s="1235" t="s">
        <v>878</v>
      </c>
      <c r="T105" s="1235"/>
      <c r="U105" s="1235"/>
      <c r="V105" s="1235" t="s">
        <v>3515</v>
      </c>
      <c r="W105" s="1235"/>
      <c r="X105" s="1235"/>
      <c r="Y105" s="1235" t="s">
        <v>877</v>
      </c>
      <c r="Z105" s="1235"/>
      <c r="AA105" s="1235"/>
      <c r="AB105" s="1235" t="s">
        <v>878</v>
      </c>
      <c r="AC105" s="1235"/>
      <c r="AD105" s="1235"/>
      <c r="AE105" s="1235" t="s">
        <v>3515</v>
      </c>
      <c r="AF105" s="1235"/>
      <c r="AG105" s="1235"/>
      <c r="AH105" s="1235" t="s">
        <v>877</v>
      </c>
      <c r="AI105" s="1235"/>
      <c r="AJ105" s="1235"/>
      <c r="AK105" s="1235" t="s">
        <v>878</v>
      </c>
      <c r="AL105" s="1235"/>
      <c r="AM105" s="1235"/>
      <c r="AN105" s="1235" t="s">
        <v>3515</v>
      </c>
      <c r="AO105" s="1235"/>
      <c r="AP105" s="1235"/>
    </row>
    <row r="106" spans="1:42" ht="28.9" customHeight="1" x14ac:dyDescent="0.25">
      <c r="A106" s="1229" t="s">
        <v>1017</v>
      </c>
      <c r="B106" s="1229"/>
      <c r="C106" s="1229"/>
      <c r="D106" s="1230" t="s">
        <v>3524</v>
      </c>
      <c r="E106" s="1230"/>
      <c r="F106" s="1230"/>
      <c r="G106" s="1231" t="s">
        <v>3526</v>
      </c>
      <c r="H106" s="1232"/>
      <c r="I106" s="1233"/>
      <c r="J106" s="1234" t="s">
        <v>3526</v>
      </c>
      <c r="K106" s="1234"/>
      <c r="L106" s="1234"/>
      <c r="M106" s="1234" t="s">
        <v>3526</v>
      </c>
      <c r="N106" s="1234"/>
      <c r="O106" s="1234"/>
      <c r="P106" s="1234" t="s">
        <v>3527</v>
      </c>
      <c r="Q106" s="1234"/>
      <c r="R106" s="1234"/>
      <c r="S106" s="1234" t="s">
        <v>3527</v>
      </c>
      <c r="T106" s="1234"/>
      <c r="U106" s="1234"/>
      <c r="V106" s="1234" t="s">
        <v>3527</v>
      </c>
      <c r="W106" s="1234"/>
      <c r="X106" s="1234"/>
      <c r="Y106" s="1226" t="s">
        <v>2288</v>
      </c>
      <c r="Z106" s="1227"/>
      <c r="AA106" s="1228"/>
      <c r="AB106" s="1226" t="s">
        <v>2288</v>
      </c>
      <c r="AC106" s="1227"/>
      <c r="AD106" s="1228"/>
      <c r="AE106" s="1226" t="s">
        <v>2288</v>
      </c>
      <c r="AF106" s="1227"/>
      <c r="AG106" s="1228"/>
      <c r="AH106" s="1226" t="s">
        <v>2289</v>
      </c>
      <c r="AI106" s="1227"/>
      <c r="AJ106" s="1228"/>
      <c r="AK106" s="1226" t="s">
        <v>2289</v>
      </c>
      <c r="AL106" s="1227"/>
      <c r="AM106" s="1228"/>
      <c r="AN106" s="1226" t="s">
        <v>2289</v>
      </c>
      <c r="AO106" s="1227"/>
      <c r="AP106" s="1228"/>
    </row>
    <row r="107" spans="1:42" x14ac:dyDescent="0.25">
      <c r="A107" s="1222">
        <v>2022</v>
      </c>
      <c r="B107" s="1223"/>
      <c r="C107" s="1224"/>
      <c r="D107" s="1225">
        <v>1</v>
      </c>
      <c r="E107" s="1225"/>
      <c r="F107" s="1225"/>
      <c r="G107" s="1183">
        <v>213</v>
      </c>
      <c r="H107" s="1184"/>
      <c r="I107" s="1185"/>
      <c r="J107" s="1183">
        <v>621</v>
      </c>
      <c r="K107" s="1184"/>
      <c r="L107" s="1185"/>
      <c r="M107" s="1183">
        <v>0</v>
      </c>
      <c r="N107" s="1184"/>
      <c r="O107" s="1185"/>
      <c r="P107" s="1219">
        <v>0.114</v>
      </c>
      <c r="Q107" s="1220"/>
      <c r="R107" s="1221"/>
      <c r="S107" s="1219">
        <v>0.153</v>
      </c>
      <c r="T107" s="1220"/>
      <c r="U107" s="1221"/>
      <c r="V107" s="1219">
        <v>0.16700000000000001</v>
      </c>
      <c r="W107" s="1220"/>
      <c r="X107" s="1221"/>
      <c r="Y107" s="1183">
        <v>213</v>
      </c>
      <c r="Z107" s="1184"/>
      <c r="AA107" s="1185"/>
      <c r="AB107" s="1183">
        <v>621</v>
      </c>
      <c r="AC107" s="1184"/>
      <c r="AD107" s="1185"/>
      <c r="AE107" s="1183">
        <v>0</v>
      </c>
      <c r="AF107" s="1184"/>
      <c r="AG107" s="1185"/>
      <c r="AH107" s="1219">
        <v>0.114</v>
      </c>
      <c r="AI107" s="1220"/>
      <c r="AJ107" s="1221"/>
      <c r="AK107" s="1219">
        <v>0.153</v>
      </c>
      <c r="AL107" s="1220"/>
      <c r="AM107" s="1221"/>
      <c r="AN107" s="1219">
        <v>0.16700000000000001</v>
      </c>
      <c r="AO107" s="1220"/>
      <c r="AP107" s="1221"/>
    </row>
    <row r="108" spans="1:42" x14ac:dyDescent="0.25">
      <c r="A108" s="1222">
        <f>A107+1</f>
        <v>2023</v>
      </c>
      <c r="B108" s="1223"/>
      <c r="C108" s="1224"/>
      <c r="D108" s="1225">
        <v>2</v>
      </c>
      <c r="E108" s="1225"/>
      <c r="F108" s="1225"/>
      <c r="G108" s="1183">
        <v>200.94339622641508</v>
      </c>
      <c r="H108" s="1184"/>
      <c r="I108" s="1185"/>
      <c r="J108" s="1183">
        <v>585.84905660377353</v>
      </c>
      <c r="K108" s="1184"/>
      <c r="L108" s="1185"/>
      <c r="M108" s="1183">
        <v>0</v>
      </c>
      <c r="N108" s="1184"/>
      <c r="O108" s="1185"/>
      <c r="P108" s="1219">
        <v>0.11037735849056604</v>
      </c>
      <c r="Q108" s="1220"/>
      <c r="R108" s="1221"/>
      <c r="S108" s="1219">
        <v>0.1490566037735849</v>
      </c>
      <c r="T108" s="1220"/>
      <c r="U108" s="1221"/>
      <c r="V108" s="1219">
        <v>0.16226415094339622</v>
      </c>
      <c r="W108" s="1220"/>
      <c r="X108" s="1221"/>
      <c r="Y108" s="1183">
        <v>414</v>
      </c>
      <c r="Z108" s="1184"/>
      <c r="AA108" s="1185"/>
      <c r="AB108" s="1183">
        <v>1207</v>
      </c>
      <c r="AC108" s="1184"/>
      <c r="AD108" s="1185"/>
      <c r="AE108" s="1183">
        <v>0</v>
      </c>
      <c r="AF108" s="1184"/>
      <c r="AG108" s="1185"/>
      <c r="AH108" s="1219">
        <v>0.224</v>
      </c>
      <c r="AI108" s="1220"/>
      <c r="AJ108" s="1221"/>
      <c r="AK108" s="1219">
        <v>0.30199999999999999</v>
      </c>
      <c r="AL108" s="1220"/>
      <c r="AM108" s="1221"/>
      <c r="AN108" s="1219">
        <v>0.32900000000000001</v>
      </c>
      <c r="AO108" s="1220"/>
      <c r="AP108" s="1221"/>
    </row>
    <row r="109" spans="1:42" x14ac:dyDescent="0.25">
      <c r="A109" s="1222">
        <f t="shared" ref="A109:A131" si="0">A108+1</f>
        <v>2024</v>
      </c>
      <c r="B109" s="1223"/>
      <c r="C109" s="1224"/>
      <c r="D109" s="1225">
        <v>3</v>
      </c>
      <c r="E109" s="1225"/>
      <c r="F109" s="1225"/>
      <c r="G109" s="1183">
        <v>189.56924172303309</v>
      </c>
      <c r="H109" s="1184"/>
      <c r="I109" s="1185"/>
      <c r="J109" s="1183">
        <v>552.68778924884293</v>
      </c>
      <c r="K109" s="1184"/>
      <c r="L109" s="1185"/>
      <c r="M109" s="1183">
        <v>0</v>
      </c>
      <c r="N109" s="1184"/>
      <c r="O109" s="1185"/>
      <c r="P109" s="1219">
        <v>0.10768956924172302</v>
      </c>
      <c r="Q109" s="1220"/>
      <c r="R109" s="1221"/>
      <c r="S109" s="1219">
        <v>0.1450694197223211</v>
      </c>
      <c r="T109" s="1220"/>
      <c r="U109" s="1221"/>
      <c r="V109" s="1219">
        <v>0.15752936988252045</v>
      </c>
      <c r="W109" s="1220"/>
      <c r="X109" s="1221"/>
      <c r="Y109" s="1183">
        <v>604</v>
      </c>
      <c r="Z109" s="1184"/>
      <c r="AA109" s="1185"/>
      <c r="AB109" s="1183">
        <v>1760</v>
      </c>
      <c r="AC109" s="1184"/>
      <c r="AD109" s="1185"/>
      <c r="AE109" s="1183">
        <v>0</v>
      </c>
      <c r="AF109" s="1184"/>
      <c r="AG109" s="1185"/>
      <c r="AH109" s="1219">
        <v>0.33200000000000002</v>
      </c>
      <c r="AI109" s="1220"/>
      <c r="AJ109" s="1221"/>
      <c r="AK109" s="1219">
        <v>0.44700000000000001</v>
      </c>
      <c r="AL109" s="1220"/>
      <c r="AM109" s="1221"/>
      <c r="AN109" s="1219">
        <v>0.48699999999999999</v>
      </c>
      <c r="AO109" s="1220"/>
      <c r="AP109" s="1221"/>
    </row>
    <row r="110" spans="1:42" x14ac:dyDescent="0.25">
      <c r="A110" s="1222">
        <f t="shared" si="0"/>
        <v>2025</v>
      </c>
      <c r="B110" s="1223"/>
      <c r="C110" s="1224"/>
      <c r="D110" s="1225">
        <v>4</v>
      </c>
      <c r="E110" s="1225"/>
      <c r="F110" s="1225"/>
      <c r="G110" s="1183">
        <v>178.83890728588025</v>
      </c>
      <c r="H110" s="1184"/>
      <c r="I110" s="1185"/>
      <c r="J110" s="1183">
        <v>521.40357476305928</v>
      </c>
      <c r="K110" s="1184"/>
      <c r="L110" s="1185"/>
      <c r="M110" s="1183">
        <v>0</v>
      </c>
      <c r="N110" s="1184"/>
      <c r="O110" s="1185"/>
      <c r="P110" s="1219">
        <v>0.1049524103790377</v>
      </c>
      <c r="Q110" s="1220"/>
      <c r="R110" s="1221"/>
      <c r="S110" s="1219">
        <v>0.14105603954942669</v>
      </c>
      <c r="T110" s="1220"/>
      <c r="U110" s="1221"/>
      <c r="V110" s="1219">
        <v>0.15281070951187889</v>
      </c>
      <c r="W110" s="1220"/>
      <c r="X110" s="1221"/>
      <c r="Y110" s="1183">
        <v>782</v>
      </c>
      <c r="Z110" s="1184"/>
      <c r="AA110" s="1185"/>
      <c r="AB110" s="1183">
        <v>2281</v>
      </c>
      <c r="AC110" s="1184"/>
      <c r="AD110" s="1185"/>
      <c r="AE110" s="1183">
        <v>0</v>
      </c>
      <c r="AF110" s="1184"/>
      <c r="AG110" s="1185"/>
      <c r="AH110" s="1219">
        <v>0.437</v>
      </c>
      <c r="AI110" s="1220"/>
      <c r="AJ110" s="1221"/>
      <c r="AK110" s="1219">
        <v>0.58799999999999997</v>
      </c>
      <c r="AL110" s="1220"/>
      <c r="AM110" s="1221"/>
      <c r="AN110" s="1219">
        <v>0.64</v>
      </c>
      <c r="AO110" s="1220"/>
      <c r="AP110" s="1221"/>
    </row>
    <row r="111" spans="1:42" x14ac:dyDescent="0.25">
      <c r="A111" s="1222">
        <f t="shared" si="0"/>
        <v>2026</v>
      </c>
      <c r="B111" s="1223"/>
      <c r="C111" s="1224"/>
      <c r="D111" s="1225">
        <v>5</v>
      </c>
      <c r="E111" s="1225"/>
      <c r="F111" s="1225"/>
      <c r="G111" s="1183">
        <v>168.71595026969834</v>
      </c>
      <c r="H111" s="1184"/>
      <c r="I111" s="1185"/>
      <c r="J111" s="1183">
        <v>491.89016487081068</v>
      </c>
      <c r="K111" s="1184"/>
      <c r="L111" s="1185"/>
      <c r="M111" s="1183">
        <v>0</v>
      </c>
      <c r="N111" s="1184"/>
      <c r="O111" s="1185"/>
      <c r="P111" s="1219">
        <v>0.10218008255770464</v>
      </c>
      <c r="Q111" s="1220"/>
      <c r="R111" s="1221"/>
      <c r="S111" s="1219">
        <v>0.13703220374017752</v>
      </c>
      <c r="T111" s="1220"/>
      <c r="U111" s="1221"/>
      <c r="V111" s="1219">
        <v>0.14812151502550983</v>
      </c>
      <c r="W111" s="1220"/>
      <c r="X111" s="1221"/>
      <c r="Y111" s="1183">
        <v>951</v>
      </c>
      <c r="Z111" s="1184"/>
      <c r="AA111" s="1185"/>
      <c r="AB111" s="1183">
        <v>2773</v>
      </c>
      <c r="AC111" s="1184"/>
      <c r="AD111" s="1185"/>
      <c r="AE111" s="1183">
        <v>0</v>
      </c>
      <c r="AF111" s="1184"/>
      <c r="AG111" s="1185"/>
      <c r="AH111" s="1219">
        <v>0.53900000000000003</v>
      </c>
      <c r="AI111" s="1220"/>
      <c r="AJ111" s="1221"/>
      <c r="AK111" s="1219">
        <v>0.72499999999999998</v>
      </c>
      <c r="AL111" s="1220"/>
      <c r="AM111" s="1221"/>
      <c r="AN111" s="1219">
        <v>0.78800000000000003</v>
      </c>
      <c r="AO111" s="1220"/>
      <c r="AP111" s="1221"/>
    </row>
    <row r="112" spans="1:42" x14ac:dyDescent="0.25">
      <c r="A112" s="1222">
        <f t="shared" si="0"/>
        <v>2027</v>
      </c>
      <c r="B112" s="1223"/>
      <c r="C112" s="1224"/>
      <c r="D112" s="1225">
        <v>6</v>
      </c>
      <c r="E112" s="1225"/>
      <c r="F112" s="1225"/>
      <c r="G112" s="1183">
        <v>159.16599082047011</v>
      </c>
      <c r="H112" s="1184"/>
      <c r="I112" s="1185"/>
      <c r="J112" s="1183">
        <v>464.04732534982134</v>
      </c>
      <c r="K112" s="1184"/>
      <c r="L112" s="1185"/>
      <c r="M112" s="1183">
        <v>0</v>
      </c>
      <c r="N112" s="1184"/>
      <c r="O112" s="1185"/>
      <c r="P112" s="1219">
        <v>9.9385336991185569E-2</v>
      </c>
      <c r="Q112" s="1220"/>
      <c r="R112" s="1221"/>
      <c r="S112" s="1219">
        <v>0.13301195477015812</v>
      </c>
      <c r="T112" s="1220"/>
      <c r="U112" s="1221"/>
      <c r="V112" s="1219">
        <v>0.14422082736314898</v>
      </c>
      <c r="W112" s="1220"/>
      <c r="X112" s="1221"/>
      <c r="Y112" s="1183">
        <v>1110</v>
      </c>
      <c r="Z112" s="1184"/>
      <c r="AA112" s="1185"/>
      <c r="AB112" s="1183">
        <v>3237</v>
      </c>
      <c r="AC112" s="1184"/>
      <c r="AD112" s="1185"/>
      <c r="AE112" s="1183">
        <v>0</v>
      </c>
      <c r="AF112" s="1184"/>
      <c r="AG112" s="1185"/>
      <c r="AH112" s="1219">
        <v>0.63900000000000001</v>
      </c>
      <c r="AI112" s="1220"/>
      <c r="AJ112" s="1221"/>
      <c r="AK112" s="1219">
        <v>0.85799999999999998</v>
      </c>
      <c r="AL112" s="1220"/>
      <c r="AM112" s="1221"/>
      <c r="AN112" s="1219">
        <v>0.93200000000000005</v>
      </c>
      <c r="AO112" s="1220"/>
      <c r="AP112" s="1221"/>
    </row>
    <row r="113" spans="1:42" x14ac:dyDescent="0.25">
      <c r="A113" s="1222">
        <f t="shared" si="0"/>
        <v>2028</v>
      </c>
      <c r="B113" s="1223"/>
      <c r="C113" s="1224"/>
      <c r="D113" s="1225">
        <v>7</v>
      </c>
      <c r="E113" s="1225"/>
      <c r="F113" s="1225"/>
      <c r="G113" s="1183">
        <v>150.15659511365104</v>
      </c>
      <c r="H113" s="1184"/>
      <c r="I113" s="1185"/>
      <c r="J113" s="1183">
        <v>437.78049561303897</v>
      </c>
      <c r="K113" s="1184"/>
      <c r="L113" s="1185"/>
      <c r="M113" s="1183">
        <v>0</v>
      </c>
      <c r="N113" s="1184"/>
      <c r="O113" s="1185"/>
      <c r="P113" s="1219">
        <v>9.6579594040235653E-2</v>
      </c>
      <c r="Q113" s="1220"/>
      <c r="R113" s="1221"/>
      <c r="S113" s="1219">
        <v>0.12900777890046075</v>
      </c>
      <c r="T113" s="1220"/>
      <c r="U113" s="1221"/>
      <c r="V113" s="1219">
        <v>0.14028714754749558</v>
      </c>
      <c r="W113" s="1220"/>
      <c r="X113" s="1221"/>
      <c r="Y113" s="1183">
        <v>1260</v>
      </c>
      <c r="Z113" s="1184"/>
      <c r="AA113" s="1185"/>
      <c r="AB113" s="1183">
        <v>3675</v>
      </c>
      <c r="AC113" s="1184"/>
      <c r="AD113" s="1185"/>
      <c r="AE113" s="1183">
        <v>0</v>
      </c>
      <c r="AF113" s="1184"/>
      <c r="AG113" s="1185"/>
      <c r="AH113" s="1219">
        <v>0.73499999999999999</v>
      </c>
      <c r="AI113" s="1220"/>
      <c r="AJ113" s="1221"/>
      <c r="AK113" s="1219">
        <v>0.98699999999999999</v>
      </c>
      <c r="AL113" s="1220"/>
      <c r="AM113" s="1221"/>
      <c r="AN113" s="1219">
        <v>1.0720000000000001</v>
      </c>
      <c r="AO113" s="1220"/>
      <c r="AP113" s="1221"/>
    </row>
    <row r="114" spans="1:42" x14ac:dyDescent="0.25">
      <c r="A114" s="1222">
        <f t="shared" si="0"/>
        <v>2029</v>
      </c>
      <c r="B114" s="1223"/>
      <c r="C114" s="1224"/>
      <c r="D114" s="1225">
        <v>8</v>
      </c>
      <c r="E114" s="1225"/>
      <c r="F114" s="1225"/>
      <c r="G114" s="1183">
        <v>141.65716520155758</v>
      </c>
      <c r="H114" s="1184"/>
      <c r="I114" s="1185"/>
      <c r="J114" s="1183">
        <v>413.00046755947068</v>
      </c>
      <c r="K114" s="1184"/>
      <c r="L114" s="1185"/>
      <c r="M114" s="1183">
        <v>0</v>
      </c>
      <c r="N114" s="1184"/>
      <c r="O114" s="1185"/>
      <c r="P114" s="1219">
        <v>9.377305302074937E-2</v>
      </c>
      <c r="Q114" s="1220"/>
      <c r="R114" s="1221"/>
      <c r="S114" s="1219">
        <v>0.12503073736099918</v>
      </c>
      <c r="T114" s="1220"/>
      <c r="U114" s="1221"/>
      <c r="V114" s="1219">
        <v>0.13633670829257888</v>
      </c>
      <c r="W114" s="1220"/>
      <c r="X114" s="1221"/>
      <c r="Y114" s="1183">
        <v>1402</v>
      </c>
      <c r="Z114" s="1184"/>
      <c r="AA114" s="1185"/>
      <c r="AB114" s="1183">
        <v>4088</v>
      </c>
      <c r="AC114" s="1184"/>
      <c r="AD114" s="1185"/>
      <c r="AE114" s="1183">
        <v>0</v>
      </c>
      <c r="AF114" s="1184"/>
      <c r="AG114" s="1185"/>
      <c r="AH114" s="1219">
        <v>0.82899999999999996</v>
      </c>
      <c r="AI114" s="1220"/>
      <c r="AJ114" s="1221"/>
      <c r="AK114" s="1219">
        <v>1.1120000000000001</v>
      </c>
      <c r="AL114" s="1220"/>
      <c r="AM114" s="1221"/>
      <c r="AN114" s="1219">
        <v>1.2090000000000001</v>
      </c>
      <c r="AO114" s="1220"/>
      <c r="AP114" s="1221"/>
    </row>
    <row r="115" spans="1:42" x14ac:dyDescent="0.25">
      <c r="A115" s="1222">
        <f t="shared" si="0"/>
        <v>2030</v>
      </c>
      <c r="B115" s="1223"/>
      <c r="C115" s="1224"/>
      <c r="D115" s="1225">
        <v>9</v>
      </c>
      <c r="E115" s="1225"/>
      <c r="F115" s="1225"/>
      <c r="G115" s="1183">
        <v>133.63883509580904</v>
      </c>
      <c r="H115" s="1184"/>
      <c r="I115" s="1185"/>
      <c r="J115" s="1183">
        <v>389.62308260327427</v>
      </c>
      <c r="K115" s="1184"/>
      <c r="L115" s="1185"/>
      <c r="M115" s="1183">
        <v>0</v>
      </c>
      <c r="N115" s="1184"/>
      <c r="O115" s="1185"/>
      <c r="P115" s="1219">
        <v>9.0974793844564833E-2</v>
      </c>
      <c r="Q115" s="1220"/>
      <c r="R115" s="1221"/>
      <c r="S115" s="1219">
        <v>0.12171800004031434</v>
      </c>
      <c r="T115" s="1220"/>
      <c r="U115" s="1221"/>
      <c r="V115" s="1219">
        <v>0.13238401035312539</v>
      </c>
      <c r="W115" s="1220"/>
      <c r="X115" s="1221"/>
      <c r="Y115" s="1183">
        <v>1536</v>
      </c>
      <c r="Z115" s="1184"/>
      <c r="AA115" s="1185"/>
      <c r="AB115" s="1183">
        <v>4477</v>
      </c>
      <c r="AC115" s="1184"/>
      <c r="AD115" s="1185"/>
      <c r="AE115" s="1183">
        <v>0</v>
      </c>
      <c r="AF115" s="1184"/>
      <c r="AG115" s="1185"/>
      <c r="AH115" s="1219">
        <v>0.92</v>
      </c>
      <c r="AI115" s="1220"/>
      <c r="AJ115" s="1221"/>
      <c r="AK115" s="1219">
        <v>1.234</v>
      </c>
      <c r="AL115" s="1220"/>
      <c r="AM115" s="1221"/>
      <c r="AN115" s="1219">
        <v>1.341</v>
      </c>
      <c r="AO115" s="1220"/>
      <c r="AP115" s="1221"/>
    </row>
    <row r="116" spans="1:42" x14ac:dyDescent="0.25">
      <c r="A116" s="1222">
        <f t="shared" si="0"/>
        <v>2031</v>
      </c>
      <c r="B116" s="1223"/>
      <c r="C116" s="1224"/>
      <c r="D116" s="1225">
        <v>10</v>
      </c>
      <c r="E116" s="1225"/>
      <c r="F116" s="1225"/>
      <c r="G116" s="1183">
        <v>126.07437273189532</v>
      </c>
      <c r="H116" s="1184"/>
      <c r="I116" s="1185"/>
      <c r="J116" s="1183">
        <v>367.56894585214553</v>
      </c>
      <c r="K116" s="1184"/>
      <c r="L116" s="1185"/>
      <c r="M116" s="1183">
        <v>0</v>
      </c>
      <c r="N116" s="1184"/>
      <c r="O116" s="1185"/>
      <c r="P116" s="1219">
        <v>8.8192871065973719E-2</v>
      </c>
      <c r="Q116" s="1220"/>
      <c r="R116" s="1221"/>
      <c r="S116" s="1219">
        <v>0.11837969270600501</v>
      </c>
      <c r="T116" s="1220"/>
      <c r="U116" s="1221"/>
      <c r="V116" s="1219">
        <v>0.12844196658601542</v>
      </c>
      <c r="W116" s="1220"/>
      <c r="X116" s="1221"/>
      <c r="Y116" s="1183">
        <v>1662</v>
      </c>
      <c r="Z116" s="1184"/>
      <c r="AA116" s="1185"/>
      <c r="AB116" s="1183">
        <v>4845</v>
      </c>
      <c r="AC116" s="1184"/>
      <c r="AD116" s="1185"/>
      <c r="AE116" s="1183">
        <v>0</v>
      </c>
      <c r="AF116" s="1184"/>
      <c r="AG116" s="1185"/>
      <c r="AH116" s="1219">
        <v>1.008</v>
      </c>
      <c r="AI116" s="1220"/>
      <c r="AJ116" s="1221"/>
      <c r="AK116" s="1219">
        <v>1.3520000000000001</v>
      </c>
      <c r="AL116" s="1220"/>
      <c r="AM116" s="1221"/>
      <c r="AN116" s="1219">
        <v>1.4690000000000001</v>
      </c>
      <c r="AO116" s="1220"/>
      <c r="AP116" s="1221"/>
    </row>
    <row r="117" spans="1:42" x14ac:dyDescent="0.25">
      <c r="A117" s="1222">
        <f t="shared" si="0"/>
        <v>2032</v>
      </c>
      <c r="B117" s="1223"/>
      <c r="C117" s="1224"/>
      <c r="D117" s="1225">
        <v>11</v>
      </c>
      <c r="E117" s="1225"/>
      <c r="F117" s="1225"/>
      <c r="G117" s="1183">
        <v>118.93808748292011</v>
      </c>
      <c r="H117" s="1184"/>
      <c r="I117" s="1185"/>
      <c r="J117" s="1183">
        <v>346.76315646428822</v>
      </c>
      <c r="K117" s="1184"/>
      <c r="L117" s="1185"/>
      <c r="M117" s="1183">
        <v>0</v>
      </c>
      <c r="N117" s="1184"/>
      <c r="O117" s="1185"/>
      <c r="P117" s="1219">
        <v>8.543440086801303E-2</v>
      </c>
      <c r="Q117" s="1220"/>
      <c r="R117" s="1221"/>
      <c r="S117" s="1219">
        <v>0.11502932404451427</v>
      </c>
      <c r="T117" s="1220"/>
      <c r="U117" s="1221"/>
      <c r="V117" s="1219">
        <v>0.12508043002898642</v>
      </c>
      <c r="W117" s="1220"/>
      <c r="X117" s="1221"/>
      <c r="Y117" s="1183">
        <v>1781</v>
      </c>
      <c r="Z117" s="1184"/>
      <c r="AA117" s="1185"/>
      <c r="AB117" s="1183">
        <v>5192</v>
      </c>
      <c r="AC117" s="1184"/>
      <c r="AD117" s="1185"/>
      <c r="AE117" s="1183">
        <v>0</v>
      </c>
      <c r="AF117" s="1184"/>
      <c r="AG117" s="1185"/>
      <c r="AH117" s="1219">
        <v>1.0940000000000001</v>
      </c>
      <c r="AI117" s="1220"/>
      <c r="AJ117" s="1221"/>
      <c r="AK117" s="1219">
        <v>1.4670000000000001</v>
      </c>
      <c r="AL117" s="1220"/>
      <c r="AM117" s="1221"/>
      <c r="AN117" s="1219">
        <v>1.5940000000000001</v>
      </c>
      <c r="AO117" s="1220"/>
      <c r="AP117" s="1221"/>
    </row>
    <row r="118" spans="1:42" x14ac:dyDescent="0.25">
      <c r="A118" s="1222">
        <f t="shared" si="0"/>
        <v>2033</v>
      </c>
      <c r="B118" s="1223"/>
      <c r="C118" s="1224"/>
      <c r="D118" s="1225">
        <v>12</v>
      </c>
      <c r="E118" s="1225"/>
      <c r="F118" s="1225"/>
      <c r="G118" s="1183">
        <v>112.20574290841517</v>
      </c>
      <c r="H118" s="1184"/>
      <c r="I118" s="1185"/>
      <c r="J118" s="1183">
        <v>327.13505326819637</v>
      </c>
      <c r="K118" s="1184"/>
      <c r="L118" s="1185"/>
      <c r="M118" s="1183">
        <v>0</v>
      </c>
      <c r="N118" s="1184"/>
      <c r="O118" s="1185"/>
      <c r="P118" s="1219">
        <v>8.3232429011876052E-2</v>
      </c>
      <c r="Q118" s="1220"/>
      <c r="R118" s="1221"/>
      <c r="S118" s="1219">
        <v>0.11167895538302355</v>
      </c>
      <c r="T118" s="1220"/>
      <c r="U118" s="1221"/>
      <c r="V118" s="1219">
        <v>0.12168791836546436</v>
      </c>
      <c r="W118" s="1220"/>
      <c r="X118" s="1221"/>
      <c r="Y118" s="1183">
        <v>1893</v>
      </c>
      <c r="Z118" s="1184"/>
      <c r="AA118" s="1185"/>
      <c r="AB118" s="1183">
        <v>5519</v>
      </c>
      <c r="AC118" s="1184"/>
      <c r="AD118" s="1185"/>
      <c r="AE118" s="1183">
        <v>0</v>
      </c>
      <c r="AF118" s="1184"/>
      <c r="AG118" s="1185"/>
      <c r="AH118" s="1219">
        <v>1.177</v>
      </c>
      <c r="AI118" s="1220"/>
      <c r="AJ118" s="1221"/>
      <c r="AK118" s="1219">
        <v>1.579</v>
      </c>
      <c r="AL118" s="1220"/>
      <c r="AM118" s="1221"/>
      <c r="AN118" s="1219">
        <v>1.716</v>
      </c>
      <c r="AO118" s="1220"/>
      <c r="AP118" s="1221"/>
    </row>
    <row r="119" spans="1:42" x14ac:dyDescent="0.25">
      <c r="A119" s="1222">
        <f t="shared" si="0"/>
        <v>2034</v>
      </c>
      <c r="B119" s="1223"/>
      <c r="C119" s="1224"/>
      <c r="D119" s="1225">
        <v>13</v>
      </c>
      <c r="E119" s="1225"/>
      <c r="F119" s="1225"/>
      <c r="G119" s="1183">
        <v>105.8544744419011</v>
      </c>
      <c r="H119" s="1184"/>
      <c r="I119" s="1185"/>
      <c r="J119" s="1183">
        <v>308.61797478131729</v>
      </c>
      <c r="K119" s="1184"/>
      <c r="L119" s="1185"/>
      <c r="M119" s="1183">
        <v>0</v>
      </c>
      <c r="N119" s="1184"/>
      <c r="O119" s="1185"/>
      <c r="P119" s="1219">
        <v>8.1006006263051086E-2</v>
      </c>
      <c r="Q119" s="1220"/>
      <c r="R119" s="1221"/>
      <c r="S119" s="1219">
        <v>0.10833932125978611</v>
      </c>
      <c r="T119" s="1220"/>
      <c r="U119" s="1221"/>
      <c r="V119" s="1219">
        <v>0.11827870853132612</v>
      </c>
      <c r="W119" s="1220"/>
      <c r="X119" s="1221"/>
      <c r="Y119" s="1183">
        <v>1999</v>
      </c>
      <c r="Z119" s="1184"/>
      <c r="AA119" s="1185"/>
      <c r="AB119" s="1183">
        <v>5827</v>
      </c>
      <c r="AC119" s="1184"/>
      <c r="AD119" s="1185"/>
      <c r="AE119" s="1183">
        <v>0</v>
      </c>
      <c r="AF119" s="1184"/>
      <c r="AG119" s="1185"/>
      <c r="AH119" s="1219">
        <v>1.258</v>
      </c>
      <c r="AI119" s="1220"/>
      <c r="AJ119" s="1221"/>
      <c r="AK119" s="1219">
        <v>1.6870000000000001</v>
      </c>
      <c r="AL119" s="1220"/>
      <c r="AM119" s="1221"/>
      <c r="AN119" s="1219">
        <v>1.8340000000000001</v>
      </c>
      <c r="AO119" s="1220"/>
      <c r="AP119" s="1221"/>
    </row>
    <row r="120" spans="1:42" x14ac:dyDescent="0.25">
      <c r="A120" s="1222">
        <f t="shared" si="0"/>
        <v>2035</v>
      </c>
      <c r="B120" s="1223"/>
      <c r="C120" s="1224"/>
      <c r="D120" s="1225">
        <v>14</v>
      </c>
      <c r="E120" s="1225"/>
      <c r="F120" s="1225"/>
      <c r="G120" s="1183">
        <v>99.862711737642542</v>
      </c>
      <c r="H120" s="1184"/>
      <c r="I120" s="1185"/>
      <c r="J120" s="1183">
        <v>291.14903281256346</v>
      </c>
      <c r="K120" s="1184"/>
      <c r="L120" s="1185"/>
      <c r="M120" s="1183">
        <v>0</v>
      </c>
      <c r="N120" s="1184"/>
      <c r="O120" s="1185"/>
      <c r="P120" s="1219">
        <v>7.8764955736732145E-2</v>
      </c>
      <c r="Q120" s="1220"/>
      <c r="R120" s="1221"/>
      <c r="S120" s="1219">
        <v>0.10548878000455199</v>
      </c>
      <c r="T120" s="1220"/>
      <c r="U120" s="1221"/>
      <c r="V120" s="1219">
        <v>0.11486556044940105</v>
      </c>
      <c r="W120" s="1220"/>
      <c r="X120" s="1221"/>
      <c r="Y120" s="1183">
        <v>2099</v>
      </c>
      <c r="Z120" s="1184"/>
      <c r="AA120" s="1185"/>
      <c r="AB120" s="1183">
        <v>6119</v>
      </c>
      <c r="AC120" s="1184"/>
      <c r="AD120" s="1185"/>
      <c r="AE120" s="1183">
        <v>0</v>
      </c>
      <c r="AF120" s="1184"/>
      <c r="AG120" s="1185"/>
      <c r="AH120" s="1219">
        <v>1.337</v>
      </c>
      <c r="AI120" s="1220"/>
      <c r="AJ120" s="1221"/>
      <c r="AK120" s="1219">
        <v>1.7929999999999999</v>
      </c>
      <c r="AL120" s="1220"/>
      <c r="AM120" s="1221"/>
      <c r="AN120" s="1219">
        <v>1.9490000000000001</v>
      </c>
      <c r="AO120" s="1220"/>
      <c r="AP120" s="1221"/>
    </row>
    <row r="121" spans="1:42" x14ac:dyDescent="0.25">
      <c r="A121" s="1222">
        <f t="shared" si="0"/>
        <v>2036</v>
      </c>
      <c r="B121" s="1223"/>
      <c r="C121" s="1224"/>
      <c r="D121" s="1225">
        <v>15</v>
      </c>
      <c r="E121" s="1225"/>
      <c r="F121" s="1225"/>
      <c r="G121" s="1183">
        <v>94.210105412870334</v>
      </c>
      <c r="H121" s="1184"/>
      <c r="I121" s="1185"/>
      <c r="J121" s="1183">
        <v>274.66889887977686</v>
      </c>
      <c r="K121" s="1184"/>
      <c r="L121" s="1185"/>
      <c r="M121" s="1183">
        <v>0</v>
      </c>
      <c r="N121" s="1184"/>
      <c r="O121" s="1185"/>
      <c r="P121" s="1219">
        <v>7.6518066837683404E-2</v>
      </c>
      <c r="Q121" s="1220"/>
      <c r="R121" s="1221"/>
      <c r="S121" s="1219">
        <v>0.10261382373608412</v>
      </c>
      <c r="T121" s="1220"/>
      <c r="U121" s="1221"/>
      <c r="V121" s="1219">
        <v>0.11145984302367758</v>
      </c>
      <c r="W121" s="1220"/>
      <c r="X121" s="1221"/>
      <c r="Y121" s="1183">
        <v>2193</v>
      </c>
      <c r="Z121" s="1184"/>
      <c r="AA121" s="1185"/>
      <c r="AB121" s="1183">
        <v>6393</v>
      </c>
      <c r="AC121" s="1184"/>
      <c r="AD121" s="1185"/>
      <c r="AE121" s="1183">
        <v>0</v>
      </c>
      <c r="AF121" s="1184"/>
      <c r="AG121" s="1185"/>
      <c r="AH121" s="1219">
        <v>1.413</v>
      </c>
      <c r="AI121" s="1220"/>
      <c r="AJ121" s="1221"/>
      <c r="AK121" s="1219">
        <v>1.8959999999999999</v>
      </c>
      <c r="AL121" s="1220"/>
      <c r="AM121" s="1221"/>
      <c r="AN121" s="1219">
        <v>2.0609999999999999</v>
      </c>
      <c r="AO121" s="1220"/>
      <c r="AP121" s="1221"/>
    </row>
    <row r="122" spans="1:42" x14ac:dyDescent="0.25">
      <c r="A122" s="1222">
        <f t="shared" si="0"/>
        <v>2037</v>
      </c>
      <c r="B122" s="1223"/>
      <c r="C122" s="1224"/>
      <c r="D122" s="1225">
        <v>16</v>
      </c>
      <c r="E122" s="1225"/>
      <c r="F122" s="1225"/>
      <c r="G122" s="1183">
        <v>88.877457936670098</v>
      </c>
      <c r="H122" s="1184"/>
      <c r="I122" s="1185"/>
      <c r="J122" s="1183">
        <v>259.12160271677055</v>
      </c>
      <c r="K122" s="1184"/>
      <c r="L122" s="1185"/>
      <c r="M122" s="1183">
        <v>0</v>
      </c>
      <c r="N122" s="1184"/>
      <c r="O122" s="1185"/>
      <c r="P122" s="1219">
        <v>7.4273180810926182E-2</v>
      </c>
      <c r="Q122" s="1220"/>
      <c r="R122" s="1221"/>
      <c r="S122" s="1219">
        <v>9.9726349515794135E-2</v>
      </c>
      <c r="T122" s="1220"/>
      <c r="U122" s="1221"/>
      <c r="V122" s="1219">
        <v>0.1084889157912405</v>
      </c>
      <c r="W122" s="1220"/>
      <c r="X122" s="1221"/>
      <c r="Y122" s="1183">
        <v>2282</v>
      </c>
      <c r="Z122" s="1184"/>
      <c r="AA122" s="1185"/>
      <c r="AB122" s="1183">
        <v>6652</v>
      </c>
      <c r="AC122" s="1184"/>
      <c r="AD122" s="1185"/>
      <c r="AE122" s="1183">
        <v>0</v>
      </c>
      <c r="AF122" s="1184"/>
      <c r="AG122" s="1185"/>
      <c r="AH122" s="1219">
        <v>1.4870000000000001</v>
      </c>
      <c r="AI122" s="1220"/>
      <c r="AJ122" s="1221"/>
      <c r="AK122" s="1219">
        <v>1.9950000000000001</v>
      </c>
      <c r="AL122" s="1220"/>
      <c r="AM122" s="1221"/>
      <c r="AN122" s="1219">
        <v>2.169</v>
      </c>
      <c r="AO122" s="1220"/>
      <c r="AP122" s="1221"/>
    </row>
    <row r="123" spans="1:42" x14ac:dyDescent="0.25">
      <c r="A123" s="1222">
        <f t="shared" si="0"/>
        <v>2038</v>
      </c>
      <c r="B123" s="1223"/>
      <c r="C123" s="1224"/>
      <c r="D123" s="1225">
        <v>17</v>
      </c>
      <c r="E123" s="1225"/>
      <c r="F123" s="1225"/>
      <c r="G123" s="1183">
        <v>83.846658430820867</v>
      </c>
      <c r="H123" s="1184"/>
      <c r="I123" s="1185"/>
      <c r="J123" s="1183">
        <v>244.45434218563267</v>
      </c>
      <c r="K123" s="1184"/>
      <c r="L123" s="1185"/>
      <c r="M123" s="1183">
        <v>0</v>
      </c>
      <c r="N123" s="1184"/>
      <c r="O123" s="1185"/>
      <c r="P123" s="1219">
        <v>7.2037269919437638E-2</v>
      </c>
      <c r="Q123" s="1220"/>
      <c r="R123" s="1221"/>
      <c r="S123" s="1219">
        <v>9.6836985793342406E-2</v>
      </c>
      <c r="T123" s="1220"/>
      <c r="U123" s="1221"/>
      <c r="V123" s="1219">
        <v>0.10549720403502344</v>
      </c>
      <c r="W123" s="1220"/>
      <c r="X123" s="1221"/>
      <c r="Y123" s="1183">
        <v>2366</v>
      </c>
      <c r="Z123" s="1184"/>
      <c r="AA123" s="1185"/>
      <c r="AB123" s="1183">
        <v>6897</v>
      </c>
      <c r="AC123" s="1184"/>
      <c r="AD123" s="1185"/>
      <c r="AE123" s="1183">
        <v>0</v>
      </c>
      <c r="AF123" s="1184"/>
      <c r="AG123" s="1185"/>
      <c r="AH123" s="1219">
        <v>1.5589999999999999</v>
      </c>
      <c r="AI123" s="1220"/>
      <c r="AJ123" s="1221"/>
      <c r="AK123" s="1219">
        <v>2.0920000000000001</v>
      </c>
      <c r="AL123" s="1220"/>
      <c r="AM123" s="1221"/>
      <c r="AN123" s="1219">
        <v>2.2749999999999999</v>
      </c>
      <c r="AO123" s="1220"/>
      <c r="AP123" s="1221"/>
    </row>
    <row r="124" spans="1:42" x14ac:dyDescent="0.25">
      <c r="A124" s="1222">
        <f t="shared" si="0"/>
        <v>2039</v>
      </c>
      <c r="B124" s="1223"/>
      <c r="C124" s="1224"/>
      <c r="D124" s="1225">
        <v>18</v>
      </c>
      <c r="E124" s="1225"/>
      <c r="F124" s="1225"/>
      <c r="G124" s="1183">
        <v>79.10062116115175</v>
      </c>
      <c r="H124" s="1184"/>
      <c r="I124" s="1185"/>
      <c r="J124" s="1183">
        <v>230.61730394871003</v>
      </c>
      <c r="K124" s="1184"/>
      <c r="L124" s="1185"/>
      <c r="M124" s="1183">
        <v>0</v>
      </c>
      <c r="N124" s="1184"/>
      <c r="O124" s="1185"/>
      <c r="P124" s="1219">
        <v>6.9816510696227838E-2</v>
      </c>
      <c r="Q124" s="1220"/>
      <c r="R124" s="1221"/>
      <c r="S124" s="1219">
        <v>9.3955197905030013E-2</v>
      </c>
      <c r="T124" s="1220"/>
      <c r="U124" s="1221"/>
      <c r="V124" s="1219">
        <v>0.10249657953276002</v>
      </c>
      <c r="W124" s="1220"/>
      <c r="X124" s="1221"/>
      <c r="Y124" s="1183">
        <v>2445</v>
      </c>
      <c r="Z124" s="1184"/>
      <c r="AA124" s="1185"/>
      <c r="AB124" s="1183">
        <v>7127</v>
      </c>
      <c r="AC124" s="1184"/>
      <c r="AD124" s="1185"/>
      <c r="AE124" s="1183">
        <v>0</v>
      </c>
      <c r="AF124" s="1184"/>
      <c r="AG124" s="1185"/>
      <c r="AH124" s="1219">
        <v>1.629</v>
      </c>
      <c r="AI124" s="1220"/>
      <c r="AJ124" s="1221"/>
      <c r="AK124" s="1219">
        <v>2.1859999999999999</v>
      </c>
      <c r="AL124" s="1220"/>
      <c r="AM124" s="1221"/>
      <c r="AN124" s="1219">
        <v>2.3769999999999998</v>
      </c>
      <c r="AO124" s="1220"/>
      <c r="AP124" s="1221"/>
    </row>
    <row r="125" spans="1:42" x14ac:dyDescent="0.25">
      <c r="A125" s="1222">
        <f t="shared" si="0"/>
        <v>2040</v>
      </c>
      <c r="B125" s="1223"/>
      <c r="C125" s="1224"/>
      <c r="D125" s="1225">
        <v>19</v>
      </c>
      <c r="E125" s="1225"/>
      <c r="F125" s="1225"/>
      <c r="G125" s="1183">
        <v>74.623227510520522</v>
      </c>
      <c r="H125" s="1184"/>
      <c r="I125" s="1185"/>
      <c r="J125" s="1183">
        <v>217.56349429123588</v>
      </c>
      <c r="K125" s="1184"/>
      <c r="L125" s="1185"/>
      <c r="M125" s="1183">
        <v>0</v>
      </c>
      <c r="N125" s="1184"/>
      <c r="O125" s="1185"/>
      <c r="P125" s="1219">
        <v>6.7966695479065642E-2</v>
      </c>
      <c r="Q125" s="1220"/>
      <c r="R125" s="1221"/>
      <c r="S125" s="1219">
        <v>9.1439729484722329E-2</v>
      </c>
      <c r="T125" s="1220"/>
      <c r="U125" s="1221"/>
      <c r="V125" s="1219">
        <v>9.9497636680694015E-2</v>
      </c>
      <c r="W125" s="1220"/>
      <c r="X125" s="1221"/>
      <c r="Y125" s="1183">
        <v>2519</v>
      </c>
      <c r="Z125" s="1184"/>
      <c r="AA125" s="1185"/>
      <c r="AB125" s="1183">
        <v>7345</v>
      </c>
      <c r="AC125" s="1184"/>
      <c r="AD125" s="1185"/>
      <c r="AE125" s="1183">
        <v>0</v>
      </c>
      <c r="AF125" s="1184"/>
      <c r="AG125" s="1185"/>
      <c r="AH125" s="1219">
        <v>1.6970000000000001</v>
      </c>
      <c r="AI125" s="1220"/>
      <c r="AJ125" s="1221"/>
      <c r="AK125" s="1219">
        <v>2.2770000000000001</v>
      </c>
      <c r="AL125" s="1220"/>
      <c r="AM125" s="1221"/>
      <c r="AN125" s="1219">
        <v>2.4769999999999999</v>
      </c>
      <c r="AO125" s="1220"/>
      <c r="AP125" s="1221"/>
    </row>
    <row r="126" spans="1:42" x14ac:dyDescent="0.25">
      <c r="A126" s="1222">
        <f t="shared" si="0"/>
        <v>2041</v>
      </c>
      <c r="B126" s="1223"/>
      <c r="C126" s="1224"/>
      <c r="D126" s="1225">
        <v>20</v>
      </c>
      <c r="E126" s="1225"/>
      <c r="F126" s="1225"/>
      <c r="G126" s="1183">
        <v>70.399271236340113</v>
      </c>
      <c r="H126" s="1184"/>
      <c r="I126" s="1185"/>
      <c r="J126" s="1183">
        <v>205.24857952003384</v>
      </c>
      <c r="K126" s="1184"/>
      <c r="L126" s="1185"/>
      <c r="M126" s="1183">
        <v>0</v>
      </c>
      <c r="N126" s="1184"/>
      <c r="O126" s="1185"/>
      <c r="P126" s="1219">
        <v>6.6102602099849875E-2</v>
      </c>
      <c r="Q126" s="1220"/>
      <c r="R126" s="1221"/>
      <c r="S126" s="1219">
        <v>8.8907999824298076E-2</v>
      </c>
      <c r="T126" s="1220"/>
      <c r="U126" s="1221"/>
      <c r="V126" s="1219">
        <v>9.684031207628005E-2</v>
      </c>
      <c r="W126" s="1220"/>
      <c r="X126" s="1221"/>
      <c r="Y126" s="1183">
        <v>2590</v>
      </c>
      <c r="Z126" s="1184"/>
      <c r="AA126" s="1185"/>
      <c r="AB126" s="1183">
        <v>7550</v>
      </c>
      <c r="AC126" s="1184"/>
      <c r="AD126" s="1185"/>
      <c r="AE126" s="1183">
        <v>0</v>
      </c>
      <c r="AF126" s="1184"/>
      <c r="AG126" s="1185"/>
      <c r="AH126" s="1219">
        <v>1.7629999999999999</v>
      </c>
      <c r="AI126" s="1220"/>
      <c r="AJ126" s="1221"/>
      <c r="AK126" s="1219">
        <v>2.3660000000000001</v>
      </c>
      <c r="AL126" s="1220"/>
      <c r="AM126" s="1221"/>
      <c r="AN126" s="1219">
        <v>2.5739999999999998</v>
      </c>
      <c r="AO126" s="1220"/>
      <c r="AP126" s="1221"/>
    </row>
    <row r="127" spans="1:42" x14ac:dyDescent="0.25">
      <c r="A127" s="1222">
        <f t="shared" si="0"/>
        <v>2042</v>
      </c>
      <c r="B127" s="1223"/>
      <c r="C127" s="1224"/>
      <c r="D127" s="1225">
        <v>21</v>
      </c>
      <c r="E127" s="1225"/>
      <c r="F127" s="1225"/>
      <c r="G127" s="1183">
        <v>66.414406826735956</v>
      </c>
      <c r="H127" s="1184"/>
      <c r="I127" s="1185"/>
      <c r="J127" s="1183">
        <v>193.63073539625833</v>
      </c>
      <c r="K127" s="1184"/>
      <c r="L127" s="1185"/>
      <c r="M127" s="1183">
        <v>0</v>
      </c>
      <c r="N127" s="1184"/>
      <c r="O127" s="1185"/>
      <c r="P127" s="1219">
        <v>6.4231773738533351E-2</v>
      </c>
      <c r="Q127" s="1220"/>
      <c r="R127" s="1221"/>
      <c r="S127" s="1219">
        <v>8.6369909347445359E-2</v>
      </c>
      <c r="T127" s="1220"/>
      <c r="U127" s="1221"/>
      <c r="V127" s="1219">
        <v>9.4165027519597447E-2</v>
      </c>
      <c r="W127" s="1220"/>
      <c r="X127" s="1221"/>
      <c r="Y127" s="1183">
        <v>2656</v>
      </c>
      <c r="Z127" s="1184"/>
      <c r="AA127" s="1185"/>
      <c r="AB127" s="1183">
        <v>7744</v>
      </c>
      <c r="AC127" s="1184"/>
      <c r="AD127" s="1185"/>
      <c r="AE127" s="1183">
        <v>0</v>
      </c>
      <c r="AF127" s="1184"/>
      <c r="AG127" s="1185"/>
      <c r="AH127" s="1219">
        <v>1.827</v>
      </c>
      <c r="AI127" s="1220"/>
      <c r="AJ127" s="1221"/>
      <c r="AK127" s="1219">
        <v>2.4529999999999998</v>
      </c>
      <c r="AL127" s="1220"/>
      <c r="AM127" s="1221"/>
      <c r="AN127" s="1219">
        <v>2.6680000000000001</v>
      </c>
      <c r="AO127" s="1220"/>
      <c r="AP127" s="1221"/>
    </row>
    <row r="128" spans="1:42" x14ac:dyDescent="0.25">
      <c r="A128" s="1222">
        <f t="shared" si="0"/>
        <v>2043</v>
      </c>
      <c r="B128" s="1223"/>
      <c r="C128" s="1224"/>
      <c r="D128" s="1225">
        <v>22</v>
      </c>
      <c r="E128" s="1225"/>
      <c r="F128" s="1225"/>
      <c r="G128" s="1183">
        <v>62.655100779939566</v>
      </c>
      <c r="H128" s="1184"/>
      <c r="I128" s="1185"/>
      <c r="J128" s="1183">
        <v>182.67050509080971</v>
      </c>
      <c r="K128" s="1184"/>
      <c r="L128" s="1185"/>
      <c r="M128" s="1183">
        <v>0</v>
      </c>
      <c r="N128" s="1184"/>
      <c r="O128" s="1185"/>
      <c r="P128" s="1219">
        <v>6.2360945377216842E-2</v>
      </c>
      <c r="Q128" s="1220"/>
      <c r="R128" s="1221"/>
      <c r="S128" s="1219">
        <v>8.3834289775975471E-2</v>
      </c>
      <c r="T128" s="1220"/>
      <c r="U128" s="1221"/>
      <c r="V128" s="1219">
        <v>9.1482330246766219E-2</v>
      </c>
      <c r="W128" s="1220"/>
      <c r="X128" s="1221"/>
      <c r="Y128" s="1183">
        <v>2719</v>
      </c>
      <c r="Z128" s="1184"/>
      <c r="AA128" s="1185"/>
      <c r="AB128" s="1183">
        <v>7926</v>
      </c>
      <c r="AC128" s="1184"/>
      <c r="AD128" s="1185"/>
      <c r="AE128" s="1183">
        <v>0</v>
      </c>
      <c r="AF128" s="1184"/>
      <c r="AG128" s="1185"/>
      <c r="AH128" s="1219">
        <v>1.89</v>
      </c>
      <c r="AI128" s="1220"/>
      <c r="AJ128" s="1221"/>
      <c r="AK128" s="1219">
        <v>2.5369999999999999</v>
      </c>
      <c r="AL128" s="1220"/>
      <c r="AM128" s="1221"/>
      <c r="AN128" s="1219">
        <v>2.7589999999999999</v>
      </c>
      <c r="AO128" s="1220"/>
      <c r="AP128" s="1221"/>
    </row>
    <row r="129" spans="1:42" x14ac:dyDescent="0.25">
      <c r="A129" s="1222">
        <f t="shared" si="0"/>
        <v>2044</v>
      </c>
      <c r="B129" s="1223"/>
      <c r="C129" s="1224"/>
      <c r="D129" s="1225">
        <v>23</v>
      </c>
      <c r="E129" s="1225"/>
      <c r="F129" s="1225"/>
      <c r="G129" s="1183">
        <v>59.108585641452414</v>
      </c>
      <c r="H129" s="1184"/>
      <c r="I129" s="1185"/>
      <c r="J129" s="1183">
        <v>172.33066518000916</v>
      </c>
      <c r="K129" s="1184"/>
      <c r="L129" s="1185"/>
      <c r="M129" s="1183">
        <v>0</v>
      </c>
      <c r="N129" s="1184"/>
      <c r="O129" s="1185"/>
      <c r="P129" s="1219">
        <v>6.0496111125993554E-2</v>
      </c>
      <c r="Q129" s="1220"/>
      <c r="R129" s="1221"/>
      <c r="S129" s="1219">
        <v>8.1586498491018816E-2</v>
      </c>
      <c r="T129" s="1220"/>
      <c r="U129" s="1221"/>
      <c r="V129" s="1219">
        <v>8.8801631010632737E-2</v>
      </c>
      <c r="W129" s="1220"/>
      <c r="X129" s="1221"/>
      <c r="Y129" s="1183">
        <v>2778</v>
      </c>
      <c r="Z129" s="1184"/>
      <c r="AA129" s="1185"/>
      <c r="AB129" s="1183">
        <v>8099</v>
      </c>
      <c r="AC129" s="1184"/>
      <c r="AD129" s="1185"/>
      <c r="AE129" s="1183">
        <v>0</v>
      </c>
      <c r="AF129" s="1184"/>
      <c r="AG129" s="1185"/>
      <c r="AH129" s="1219">
        <v>1.95</v>
      </c>
      <c r="AI129" s="1220"/>
      <c r="AJ129" s="1221"/>
      <c r="AK129" s="1219">
        <v>2.6179999999999999</v>
      </c>
      <c r="AL129" s="1220"/>
      <c r="AM129" s="1221"/>
      <c r="AN129" s="1219">
        <v>2.8479999999999999</v>
      </c>
      <c r="AO129" s="1220"/>
      <c r="AP129" s="1221"/>
    </row>
    <row r="130" spans="1:42" x14ac:dyDescent="0.25">
      <c r="A130" s="1222">
        <f t="shared" si="0"/>
        <v>2045</v>
      </c>
      <c r="B130" s="1223"/>
      <c r="C130" s="1224"/>
      <c r="D130" s="1225">
        <v>24</v>
      </c>
      <c r="E130" s="1225"/>
      <c r="F130" s="1225"/>
      <c r="G130" s="1183">
        <v>55.762816642879628</v>
      </c>
      <c r="H130" s="1184"/>
      <c r="I130" s="1185"/>
      <c r="J130" s="1183">
        <v>162.57609922642371</v>
      </c>
      <c r="K130" s="1184"/>
      <c r="L130" s="1185"/>
      <c r="M130" s="1183">
        <v>0</v>
      </c>
      <c r="N130" s="1184"/>
      <c r="O130" s="1185"/>
      <c r="P130" s="1219">
        <v>5.8904383777689751E-2</v>
      </c>
      <c r="Q130" s="1220"/>
      <c r="R130" s="1221"/>
      <c r="S130" s="1219">
        <v>7.9324570153955526E-2</v>
      </c>
      <c r="T130" s="1220"/>
      <c r="U130" s="1221"/>
      <c r="V130" s="1219">
        <v>8.6393096207278308E-2</v>
      </c>
      <c r="W130" s="1220"/>
      <c r="X130" s="1221"/>
      <c r="Y130" s="1183">
        <v>2834</v>
      </c>
      <c r="Z130" s="1184"/>
      <c r="AA130" s="1185"/>
      <c r="AB130" s="1183">
        <v>8261</v>
      </c>
      <c r="AC130" s="1184"/>
      <c r="AD130" s="1185"/>
      <c r="AE130" s="1183">
        <v>0</v>
      </c>
      <c r="AF130" s="1184"/>
      <c r="AG130" s="1185"/>
      <c r="AH130" s="1219">
        <v>2.0089999999999999</v>
      </c>
      <c r="AI130" s="1220"/>
      <c r="AJ130" s="1221"/>
      <c r="AK130" s="1219">
        <v>2.6970000000000001</v>
      </c>
      <c r="AL130" s="1220"/>
      <c r="AM130" s="1221"/>
      <c r="AN130" s="1219">
        <v>2.9340000000000002</v>
      </c>
      <c r="AO130" s="1220"/>
      <c r="AP130" s="1221"/>
    </row>
    <row r="131" spans="1:42" x14ac:dyDescent="0.25">
      <c r="A131" s="1222">
        <f t="shared" si="0"/>
        <v>2046</v>
      </c>
      <c r="B131" s="1223"/>
      <c r="C131" s="1224"/>
      <c r="D131" s="1225">
        <v>25</v>
      </c>
      <c r="E131" s="1225"/>
      <c r="F131" s="1225"/>
      <c r="G131" s="1186">
        <v>52.606430795169466</v>
      </c>
      <c r="H131" s="1187"/>
      <c r="I131" s="1188"/>
      <c r="J131" s="1186">
        <v>153.37367851549408</v>
      </c>
      <c r="K131" s="1187"/>
      <c r="L131" s="1188"/>
      <c r="M131" s="1186">
        <v>0</v>
      </c>
      <c r="N131" s="1187"/>
      <c r="O131" s="1188"/>
      <c r="P131" s="1219">
        <v>5.7299023213517923E-2</v>
      </c>
      <c r="Q131" s="1220"/>
      <c r="R131" s="1221"/>
      <c r="S131" s="1219">
        <v>7.705730708024823E-2</v>
      </c>
      <c r="T131" s="1220"/>
      <c r="U131" s="1221"/>
      <c r="V131" s="1219">
        <v>8.3972706433603855E-2</v>
      </c>
      <c r="W131" s="1220"/>
      <c r="X131" s="1221"/>
      <c r="Y131" s="1186">
        <v>2886</v>
      </c>
      <c r="Z131" s="1187"/>
      <c r="AA131" s="1188"/>
      <c r="AB131" s="1186">
        <v>8415</v>
      </c>
      <c r="AC131" s="1187"/>
      <c r="AD131" s="1188"/>
      <c r="AE131" s="1186">
        <v>0</v>
      </c>
      <c r="AF131" s="1187"/>
      <c r="AG131" s="1188"/>
      <c r="AH131" s="1219">
        <v>2.0670000000000002</v>
      </c>
      <c r="AI131" s="1220"/>
      <c r="AJ131" s="1221"/>
      <c r="AK131" s="1219">
        <v>2.7749999999999999</v>
      </c>
      <c r="AL131" s="1220"/>
      <c r="AM131" s="1221"/>
      <c r="AN131" s="1219">
        <v>3.0179999999999998</v>
      </c>
      <c r="AO131" s="1220"/>
      <c r="AP131" s="1221"/>
    </row>
    <row r="132" spans="1:42" x14ac:dyDescent="0.25">
      <c r="A132" s="602"/>
      <c r="B132" s="602"/>
      <c r="C132" s="602"/>
      <c r="D132" s="602"/>
      <c r="E132" s="602"/>
      <c r="F132" s="602"/>
      <c r="G132" s="602"/>
      <c r="H132" s="602"/>
      <c r="I132" s="602"/>
      <c r="J132" s="602"/>
      <c r="K132" s="602"/>
      <c r="L132" s="602"/>
      <c r="M132" s="602"/>
      <c r="N132" s="602"/>
      <c r="O132" s="602"/>
      <c r="P132" s="602"/>
      <c r="Q132" s="602"/>
      <c r="R132" s="602"/>
      <c r="S132" s="602"/>
      <c r="T132" s="602"/>
      <c r="U132" s="602"/>
      <c r="V132" s="602"/>
      <c r="W132" s="602"/>
      <c r="X132" s="602"/>
      <c r="Y132" s="602"/>
      <c r="Z132" s="602"/>
      <c r="AA132" s="602"/>
      <c r="AB132" s="602"/>
      <c r="AC132" s="602"/>
      <c r="AD132" s="602"/>
      <c r="AE132" s="408"/>
      <c r="AF132" s="408"/>
    </row>
    <row r="133" spans="1:42" x14ac:dyDescent="0.25">
      <c r="A133" s="1167" t="s">
        <v>5582</v>
      </c>
      <c r="B133" s="1167"/>
      <c r="C133" s="1167"/>
      <c r="D133" s="1167"/>
      <c r="E133" s="1167"/>
      <c r="F133" s="1167"/>
      <c r="G133" s="1167"/>
      <c r="H133" s="1167"/>
      <c r="I133" s="1167"/>
      <c r="J133" s="1167"/>
      <c r="K133" s="1167"/>
      <c r="L133" s="1167"/>
      <c r="M133" s="1167"/>
      <c r="N133" s="1167"/>
      <c r="O133" s="1167"/>
      <c r="P133" s="1167"/>
      <c r="Q133" s="1167"/>
      <c r="R133" s="1167"/>
      <c r="S133" s="1167"/>
      <c r="T133" s="1167"/>
      <c r="U133" s="1167"/>
      <c r="V133" s="1167"/>
      <c r="W133" s="1167"/>
      <c r="X133" s="1167"/>
      <c r="Y133" s="1167"/>
      <c r="Z133" s="1167"/>
      <c r="AA133" s="1167"/>
      <c r="AB133" s="1167"/>
      <c r="AC133" s="1167"/>
      <c r="AD133" s="1167"/>
      <c r="AE133" s="1167"/>
      <c r="AF133" s="1167"/>
    </row>
    <row r="134" spans="1:42" ht="23.25" customHeight="1" x14ac:dyDescent="0.25">
      <c r="A134" s="460"/>
      <c r="B134" s="460"/>
      <c r="C134" s="460"/>
      <c r="D134" s="460"/>
      <c r="E134" s="460"/>
      <c r="F134" s="460"/>
      <c r="G134" s="460"/>
      <c r="H134" s="461"/>
      <c r="I134" s="461"/>
      <c r="J134" s="461"/>
      <c r="K134" s="1231" t="s">
        <v>1020</v>
      </c>
      <c r="L134" s="1232"/>
      <c r="M134" s="1232"/>
      <c r="N134" s="1233"/>
      <c r="O134" s="603"/>
      <c r="P134" s="604"/>
      <c r="Q134" s="604"/>
      <c r="R134" s="604"/>
      <c r="S134" s="604"/>
      <c r="T134" s="604"/>
      <c r="U134" s="263"/>
      <c r="V134" s="263"/>
      <c r="W134" s="263"/>
      <c r="X134" s="263"/>
      <c r="Y134" s="263"/>
      <c r="Z134" s="460"/>
      <c r="AA134" s="460"/>
      <c r="AB134" s="460"/>
      <c r="AC134" s="460"/>
      <c r="AD134" s="460"/>
      <c r="AE134" s="460"/>
      <c r="AF134" s="721"/>
      <c r="AG134" s="227"/>
      <c r="AH134" s="227"/>
      <c r="AI134" s="227"/>
      <c r="AJ134" s="227"/>
      <c r="AK134" s="227"/>
      <c r="AL134" s="227"/>
      <c r="AM134" s="227"/>
      <c r="AN134" s="227"/>
      <c r="AO134" s="227"/>
      <c r="AP134" s="227"/>
    </row>
    <row r="135" spans="1:42" x14ac:dyDescent="0.25">
      <c r="A135" s="192"/>
      <c r="B135" s="192"/>
      <c r="C135" s="192"/>
      <c r="D135" s="192"/>
      <c r="E135" s="192"/>
      <c r="F135" s="192"/>
      <c r="G135" s="192"/>
      <c r="H135" s="269"/>
      <c r="I135" s="269"/>
      <c r="J135" s="269"/>
      <c r="K135" s="1239">
        <v>0.06</v>
      </c>
      <c r="L135" s="1240"/>
      <c r="M135" s="1240"/>
      <c r="N135" s="1241"/>
      <c r="O135" s="725"/>
      <c r="P135" s="726"/>
      <c r="Q135" s="726"/>
      <c r="R135" s="726"/>
      <c r="S135" s="726"/>
      <c r="T135" s="726"/>
      <c r="U135" s="262"/>
      <c r="V135" s="262"/>
      <c r="W135" s="262"/>
      <c r="X135" s="262"/>
      <c r="Y135" s="262"/>
      <c r="Z135" s="192"/>
      <c r="AA135" s="192"/>
      <c r="AB135" s="192"/>
      <c r="AC135" s="192"/>
      <c r="AD135" s="192"/>
      <c r="AE135" s="192"/>
      <c r="AF135" s="311"/>
      <c r="AG135" s="227"/>
      <c r="AH135" s="227"/>
      <c r="AI135" s="227"/>
      <c r="AJ135" s="227"/>
      <c r="AK135" s="227"/>
      <c r="AL135" s="227"/>
      <c r="AM135" s="227"/>
      <c r="AN135" s="227"/>
      <c r="AO135" s="227"/>
      <c r="AP135" s="227"/>
    </row>
    <row r="136" spans="1:42" x14ac:dyDescent="0.25">
      <c r="A136" s="192"/>
      <c r="B136" s="192"/>
      <c r="C136" s="192"/>
      <c r="D136" s="192"/>
      <c r="E136" s="192"/>
      <c r="F136" s="192"/>
      <c r="G136" s="192"/>
      <c r="H136" s="269"/>
      <c r="I136" s="269"/>
      <c r="J136" s="269"/>
      <c r="K136" s="269"/>
      <c r="L136" s="269"/>
      <c r="M136" s="727"/>
      <c r="N136" s="727"/>
      <c r="O136" s="727"/>
      <c r="P136" s="727"/>
      <c r="Q136" s="727"/>
      <c r="R136" s="727"/>
      <c r="S136" s="727"/>
      <c r="T136" s="727"/>
      <c r="U136" s="727"/>
      <c r="V136" s="727"/>
      <c r="W136" s="727"/>
      <c r="X136" s="727"/>
      <c r="Y136" s="727"/>
      <c r="Z136" s="727"/>
      <c r="AA136" s="727"/>
      <c r="AB136" s="727"/>
      <c r="AC136" s="727"/>
      <c r="AD136" s="727"/>
      <c r="AE136" s="192"/>
      <c r="AF136" s="192"/>
      <c r="AG136" s="192"/>
      <c r="AH136" s="192"/>
      <c r="AI136" s="192"/>
      <c r="AJ136" s="192"/>
      <c r="AK136" s="192"/>
      <c r="AL136" s="192"/>
      <c r="AM136" s="192"/>
      <c r="AN136" s="311"/>
      <c r="AO136" s="227"/>
      <c r="AP136" s="227"/>
    </row>
    <row r="137" spans="1:42" ht="40.5" customHeight="1" x14ac:dyDescent="0.25">
      <c r="A137" s="192"/>
      <c r="B137" s="192"/>
      <c r="C137" s="192"/>
      <c r="D137" s="192"/>
      <c r="E137" s="192"/>
      <c r="F137" s="192"/>
      <c r="G137" s="1242" t="s">
        <v>3525</v>
      </c>
      <c r="H137" s="1235"/>
      <c r="I137" s="1235"/>
      <c r="J137" s="1235"/>
      <c r="K137" s="1235"/>
      <c r="L137" s="1235"/>
      <c r="M137" s="1235"/>
      <c r="N137" s="1235"/>
      <c r="O137" s="1235"/>
      <c r="P137" s="1242" t="s">
        <v>3528</v>
      </c>
      <c r="Q137" s="1235"/>
      <c r="R137" s="1235"/>
      <c r="S137" s="1235"/>
      <c r="T137" s="1235"/>
      <c r="U137" s="1235"/>
      <c r="V137" s="1235"/>
      <c r="W137" s="1235"/>
      <c r="X137" s="1235"/>
      <c r="Y137" s="1230" t="s">
        <v>3529</v>
      </c>
      <c r="Z137" s="1230"/>
      <c r="AA137" s="1230"/>
      <c r="AB137" s="1230"/>
      <c r="AC137" s="1230"/>
      <c r="AD137" s="1230"/>
      <c r="AE137" s="1230"/>
      <c r="AF137" s="1230"/>
      <c r="AG137" s="1230"/>
      <c r="AH137" s="1230" t="s">
        <v>3530</v>
      </c>
      <c r="AI137" s="1230"/>
      <c r="AJ137" s="1230"/>
      <c r="AK137" s="1230"/>
      <c r="AL137" s="1230"/>
      <c r="AM137" s="1230"/>
      <c r="AN137" s="1230"/>
      <c r="AO137" s="1230"/>
      <c r="AP137" s="1230"/>
    </row>
    <row r="138" spans="1:42" ht="28.9" customHeight="1" x14ac:dyDescent="0.25">
      <c r="A138" s="192"/>
      <c r="B138" s="192"/>
      <c r="C138" s="192"/>
      <c r="D138" s="192"/>
      <c r="E138" s="192"/>
      <c r="F138" s="192"/>
      <c r="G138" s="1235" t="s">
        <v>877</v>
      </c>
      <c r="H138" s="1235"/>
      <c r="I138" s="1235"/>
      <c r="J138" s="1235" t="s">
        <v>878</v>
      </c>
      <c r="K138" s="1235"/>
      <c r="L138" s="1235"/>
      <c r="M138" s="1235" t="s">
        <v>3515</v>
      </c>
      <c r="N138" s="1235"/>
      <c r="O138" s="1235"/>
      <c r="P138" s="1235" t="s">
        <v>877</v>
      </c>
      <c r="Q138" s="1235"/>
      <c r="R138" s="1235"/>
      <c r="S138" s="1235" t="s">
        <v>878</v>
      </c>
      <c r="T138" s="1235"/>
      <c r="U138" s="1235"/>
      <c r="V138" s="1235" t="s">
        <v>3515</v>
      </c>
      <c r="W138" s="1235"/>
      <c r="X138" s="1235"/>
      <c r="Y138" s="1235" t="s">
        <v>877</v>
      </c>
      <c r="Z138" s="1235"/>
      <c r="AA138" s="1235"/>
      <c r="AB138" s="1235" t="s">
        <v>878</v>
      </c>
      <c r="AC138" s="1235"/>
      <c r="AD138" s="1235"/>
      <c r="AE138" s="1235" t="s">
        <v>3515</v>
      </c>
      <c r="AF138" s="1235"/>
      <c r="AG138" s="1235"/>
      <c r="AH138" s="1235" t="s">
        <v>877</v>
      </c>
      <c r="AI138" s="1235"/>
      <c r="AJ138" s="1235"/>
      <c r="AK138" s="1235" t="s">
        <v>878</v>
      </c>
      <c r="AL138" s="1235"/>
      <c r="AM138" s="1235"/>
      <c r="AN138" s="1235" t="s">
        <v>3515</v>
      </c>
      <c r="AO138" s="1235"/>
      <c r="AP138" s="1235"/>
    </row>
    <row r="139" spans="1:42" ht="28.9" customHeight="1" x14ac:dyDescent="0.25">
      <c r="A139" s="1229" t="s">
        <v>1017</v>
      </c>
      <c r="B139" s="1229"/>
      <c r="C139" s="1229"/>
      <c r="D139" s="1230" t="s">
        <v>3524</v>
      </c>
      <c r="E139" s="1230"/>
      <c r="F139" s="1230"/>
      <c r="G139" s="1231" t="s">
        <v>3526</v>
      </c>
      <c r="H139" s="1232"/>
      <c r="I139" s="1233"/>
      <c r="J139" s="1234" t="s">
        <v>3526</v>
      </c>
      <c r="K139" s="1234"/>
      <c r="L139" s="1234"/>
      <c r="M139" s="1234" t="s">
        <v>3526</v>
      </c>
      <c r="N139" s="1234"/>
      <c r="O139" s="1234"/>
      <c r="P139" s="1234" t="s">
        <v>3527</v>
      </c>
      <c r="Q139" s="1234"/>
      <c r="R139" s="1234"/>
      <c r="S139" s="1234" t="s">
        <v>3527</v>
      </c>
      <c r="T139" s="1234"/>
      <c r="U139" s="1234"/>
      <c r="V139" s="1234" t="s">
        <v>3527</v>
      </c>
      <c r="W139" s="1234"/>
      <c r="X139" s="1234"/>
      <c r="Y139" s="1226" t="s">
        <v>2288</v>
      </c>
      <c r="Z139" s="1227"/>
      <c r="AA139" s="1228"/>
      <c r="AB139" s="1226" t="s">
        <v>2288</v>
      </c>
      <c r="AC139" s="1227"/>
      <c r="AD139" s="1228"/>
      <c r="AE139" s="1226" t="s">
        <v>2288</v>
      </c>
      <c r="AF139" s="1227"/>
      <c r="AG139" s="1228"/>
      <c r="AH139" s="1226" t="s">
        <v>2289</v>
      </c>
      <c r="AI139" s="1227"/>
      <c r="AJ139" s="1228"/>
      <c r="AK139" s="1226" t="s">
        <v>2289</v>
      </c>
      <c r="AL139" s="1227"/>
      <c r="AM139" s="1228"/>
      <c r="AN139" s="1226" t="s">
        <v>2289</v>
      </c>
      <c r="AO139" s="1227"/>
      <c r="AP139" s="1228"/>
    </row>
    <row r="140" spans="1:42" x14ac:dyDescent="0.25">
      <c r="A140" s="1222">
        <v>2023</v>
      </c>
      <c r="B140" s="1223"/>
      <c r="C140" s="1224"/>
      <c r="D140" s="1225">
        <v>1</v>
      </c>
      <c r="E140" s="1225"/>
      <c r="F140" s="1225"/>
      <c r="G140" s="1183">
        <v>218</v>
      </c>
      <c r="H140" s="1184"/>
      <c r="I140" s="1185"/>
      <c r="J140" s="1183">
        <v>635</v>
      </c>
      <c r="K140" s="1184"/>
      <c r="L140" s="1185"/>
      <c r="M140" s="1183">
        <v>0</v>
      </c>
      <c r="N140" s="1184"/>
      <c r="O140" s="1185"/>
      <c r="P140" s="1219">
        <v>0.11700000000000001</v>
      </c>
      <c r="Q140" s="1220"/>
      <c r="R140" s="1221"/>
      <c r="S140" s="1219">
        <v>0.158</v>
      </c>
      <c r="T140" s="1220"/>
      <c r="U140" s="1221"/>
      <c r="V140" s="1219">
        <v>0.17199999999999999</v>
      </c>
      <c r="W140" s="1220"/>
      <c r="X140" s="1221"/>
      <c r="Y140" s="1183">
        <v>218</v>
      </c>
      <c r="Z140" s="1184"/>
      <c r="AA140" s="1185"/>
      <c r="AB140" s="1183">
        <v>635</v>
      </c>
      <c r="AC140" s="1184"/>
      <c r="AD140" s="1185"/>
      <c r="AE140" s="1183">
        <v>0</v>
      </c>
      <c r="AF140" s="1184"/>
      <c r="AG140" s="1185"/>
      <c r="AH140" s="1219">
        <v>0.11700000000000001</v>
      </c>
      <c r="AI140" s="1220"/>
      <c r="AJ140" s="1221"/>
      <c r="AK140" s="1219">
        <v>0.158</v>
      </c>
      <c r="AL140" s="1220"/>
      <c r="AM140" s="1221"/>
      <c r="AN140" s="1219">
        <v>0.17199999999999999</v>
      </c>
      <c r="AO140" s="1220"/>
      <c r="AP140" s="1221"/>
    </row>
    <row r="141" spans="1:42" x14ac:dyDescent="0.25">
      <c r="A141" s="1222">
        <f t="shared" ref="A141:A156" si="1">A140+1</f>
        <v>2024</v>
      </c>
      <c r="B141" s="1223"/>
      <c r="C141" s="1224"/>
      <c r="D141" s="1225">
        <v>2</v>
      </c>
      <c r="E141" s="1225"/>
      <c r="F141" s="1225"/>
      <c r="G141" s="1183">
        <v>205.66037735849056</v>
      </c>
      <c r="H141" s="1184"/>
      <c r="I141" s="1185"/>
      <c r="J141" s="1183">
        <v>599.05660377358492</v>
      </c>
      <c r="K141" s="1184"/>
      <c r="L141" s="1185"/>
      <c r="M141" s="1183">
        <v>0</v>
      </c>
      <c r="N141" s="1184"/>
      <c r="O141" s="1185"/>
      <c r="P141" s="1219">
        <v>0.1141509433962264</v>
      </c>
      <c r="Q141" s="1220"/>
      <c r="R141" s="1221"/>
      <c r="S141" s="1219">
        <v>0.15377358490566037</v>
      </c>
      <c r="T141" s="1220"/>
      <c r="U141" s="1221"/>
      <c r="V141" s="1219">
        <v>0.16698113207547169</v>
      </c>
      <c r="W141" s="1220"/>
      <c r="X141" s="1221"/>
      <c r="Y141" s="1183">
        <v>424</v>
      </c>
      <c r="Z141" s="1184"/>
      <c r="AA141" s="1185"/>
      <c r="AB141" s="1183">
        <v>1234</v>
      </c>
      <c r="AC141" s="1184"/>
      <c r="AD141" s="1185"/>
      <c r="AE141" s="1183">
        <v>0</v>
      </c>
      <c r="AF141" s="1184"/>
      <c r="AG141" s="1185"/>
      <c r="AH141" s="1219">
        <v>0.23100000000000001</v>
      </c>
      <c r="AI141" s="1220"/>
      <c r="AJ141" s="1221"/>
      <c r="AK141" s="1219">
        <v>0.312</v>
      </c>
      <c r="AL141" s="1220"/>
      <c r="AM141" s="1221"/>
      <c r="AN141" s="1219">
        <v>0.33900000000000002</v>
      </c>
      <c r="AO141" s="1220"/>
      <c r="AP141" s="1221"/>
    </row>
    <row r="142" spans="1:42" x14ac:dyDescent="0.25">
      <c r="A142" s="1222">
        <f t="shared" si="1"/>
        <v>2025</v>
      </c>
      <c r="B142" s="1223"/>
      <c r="C142" s="1224"/>
      <c r="D142" s="1225">
        <v>3</v>
      </c>
      <c r="E142" s="1225"/>
      <c r="F142" s="1225"/>
      <c r="G142" s="1183">
        <v>194.01922392310428</v>
      </c>
      <c r="H142" s="1184"/>
      <c r="I142" s="1185"/>
      <c r="J142" s="1183">
        <v>565.14773940904229</v>
      </c>
      <c r="K142" s="1184"/>
      <c r="L142" s="1185"/>
      <c r="M142" s="1183">
        <v>0</v>
      </c>
      <c r="N142" s="1184"/>
      <c r="O142" s="1185"/>
      <c r="P142" s="1219">
        <v>0.11124955500177998</v>
      </c>
      <c r="Q142" s="1220"/>
      <c r="R142" s="1221"/>
      <c r="S142" s="1219">
        <v>0.1495194019223923</v>
      </c>
      <c r="T142" s="1220"/>
      <c r="U142" s="1221"/>
      <c r="V142" s="1219">
        <v>0.16197935208259165</v>
      </c>
      <c r="W142" s="1220"/>
      <c r="X142" s="1221"/>
      <c r="Y142" s="1183">
        <v>618</v>
      </c>
      <c r="Z142" s="1184"/>
      <c r="AA142" s="1185"/>
      <c r="AB142" s="1183">
        <v>1799</v>
      </c>
      <c r="AC142" s="1184"/>
      <c r="AD142" s="1185"/>
      <c r="AE142" s="1183">
        <v>0</v>
      </c>
      <c r="AF142" s="1184"/>
      <c r="AG142" s="1185"/>
      <c r="AH142" s="1219">
        <v>0.34200000000000003</v>
      </c>
      <c r="AI142" s="1220"/>
      <c r="AJ142" s="1221"/>
      <c r="AK142" s="1219">
        <v>0.46100000000000002</v>
      </c>
      <c r="AL142" s="1220"/>
      <c r="AM142" s="1221"/>
      <c r="AN142" s="1219">
        <v>0.501</v>
      </c>
      <c r="AO142" s="1220"/>
      <c r="AP142" s="1221"/>
    </row>
    <row r="143" spans="1:42" x14ac:dyDescent="0.25">
      <c r="A143" s="1222">
        <f t="shared" si="1"/>
        <v>2026</v>
      </c>
      <c r="B143" s="1223"/>
      <c r="C143" s="1224"/>
      <c r="D143" s="1225">
        <v>4</v>
      </c>
      <c r="E143" s="1225"/>
      <c r="F143" s="1225"/>
      <c r="G143" s="1183">
        <v>183.03700370104175</v>
      </c>
      <c r="H143" s="1184"/>
      <c r="I143" s="1185"/>
      <c r="J143" s="1183">
        <v>533.15824472551151</v>
      </c>
      <c r="K143" s="1184"/>
      <c r="L143" s="1185"/>
      <c r="M143" s="1183">
        <v>0</v>
      </c>
      <c r="N143" s="1184"/>
      <c r="O143" s="1185"/>
      <c r="P143" s="1219">
        <v>0.10831088751116691</v>
      </c>
      <c r="Q143" s="1220"/>
      <c r="R143" s="1221"/>
      <c r="S143" s="1219">
        <v>0.14525413596458817</v>
      </c>
      <c r="T143" s="1220"/>
      <c r="U143" s="1221"/>
      <c r="V143" s="1219">
        <v>0.15700880592704039</v>
      </c>
      <c r="W143" s="1220"/>
      <c r="X143" s="1221"/>
      <c r="Y143" s="1183">
        <v>801</v>
      </c>
      <c r="Z143" s="1184"/>
      <c r="AA143" s="1185"/>
      <c r="AB143" s="1183">
        <v>2332</v>
      </c>
      <c r="AC143" s="1184"/>
      <c r="AD143" s="1185"/>
      <c r="AE143" s="1183">
        <v>0</v>
      </c>
      <c r="AF143" s="1184"/>
      <c r="AG143" s="1185"/>
      <c r="AH143" s="1219">
        <v>0.45100000000000001</v>
      </c>
      <c r="AI143" s="1220"/>
      <c r="AJ143" s="1221"/>
      <c r="AK143" s="1219">
        <v>0.60699999999999998</v>
      </c>
      <c r="AL143" s="1220"/>
      <c r="AM143" s="1221"/>
      <c r="AN143" s="1219">
        <v>0.65800000000000003</v>
      </c>
      <c r="AO143" s="1220"/>
      <c r="AP143" s="1221"/>
    </row>
    <row r="144" spans="1:42" x14ac:dyDescent="0.25">
      <c r="A144" s="1222">
        <f t="shared" si="1"/>
        <v>2027</v>
      </c>
      <c r="B144" s="1223"/>
      <c r="C144" s="1224"/>
      <c r="D144" s="1225">
        <v>5</v>
      </c>
      <c r="E144" s="1225"/>
      <c r="F144" s="1225"/>
      <c r="G144" s="1183">
        <v>172.67641858588846</v>
      </c>
      <c r="H144" s="1184"/>
      <c r="I144" s="1185"/>
      <c r="J144" s="1183">
        <v>502.97947615614294</v>
      </c>
      <c r="K144" s="1184"/>
      <c r="L144" s="1185"/>
      <c r="M144" s="1183">
        <v>0</v>
      </c>
      <c r="N144" s="1184"/>
      <c r="O144" s="1185"/>
      <c r="P144" s="1219">
        <v>0.10534845721065672</v>
      </c>
      <c r="Q144" s="1220"/>
      <c r="R144" s="1221"/>
      <c r="S144" s="1219">
        <v>0.14099267205636762</v>
      </c>
      <c r="T144" s="1220"/>
      <c r="U144" s="1221"/>
      <c r="V144" s="1219">
        <v>0.15287407700493794</v>
      </c>
      <c r="W144" s="1220"/>
      <c r="X144" s="1221"/>
      <c r="Y144" s="1183">
        <v>973</v>
      </c>
      <c r="Z144" s="1184"/>
      <c r="AA144" s="1185"/>
      <c r="AB144" s="1183">
        <v>2835</v>
      </c>
      <c r="AC144" s="1184"/>
      <c r="AD144" s="1185"/>
      <c r="AE144" s="1183">
        <v>0</v>
      </c>
      <c r="AF144" s="1184"/>
      <c r="AG144" s="1185"/>
      <c r="AH144" s="1219">
        <v>0.55600000000000005</v>
      </c>
      <c r="AI144" s="1220"/>
      <c r="AJ144" s="1221"/>
      <c r="AK144" s="1219">
        <v>0.748</v>
      </c>
      <c r="AL144" s="1220"/>
      <c r="AM144" s="1221"/>
      <c r="AN144" s="1219">
        <v>0.81100000000000005</v>
      </c>
      <c r="AO144" s="1220"/>
      <c r="AP144" s="1221"/>
    </row>
    <row r="145" spans="1:42" x14ac:dyDescent="0.25">
      <c r="A145" s="1222">
        <f t="shared" si="1"/>
        <v>2028</v>
      </c>
      <c r="B145" s="1223"/>
      <c r="C145" s="1224"/>
      <c r="D145" s="1225">
        <v>6</v>
      </c>
      <c r="E145" s="1225"/>
      <c r="F145" s="1225"/>
      <c r="G145" s="1183">
        <v>162.90228168480041</v>
      </c>
      <c r="H145" s="1184"/>
      <c r="I145" s="1185"/>
      <c r="J145" s="1183">
        <v>474.50893976994615</v>
      </c>
      <c r="K145" s="1184"/>
      <c r="L145" s="1185"/>
      <c r="M145" s="1183">
        <v>0</v>
      </c>
      <c r="N145" s="1184"/>
      <c r="O145" s="1185"/>
      <c r="P145" s="1219">
        <v>0.1023743696826498</v>
      </c>
      <c r="Q145" s="1220"/>
      <c r="R145" s="1221"/>
      <c r="S145" s="1219">
        <v>0.1367482456344884</v>
      </c>
      <c r="T145" s="1220"/>
      <c r="U145" s="1221"/>
      <c r="V145" s="1219">
        <v>0.14870437640034534</v>
      </c>
      <c r="W145" s="1220"/>
      <c r="X145" s="1221"/>
      <c r="Y145" s="1183">
        <v>1136</v>
      </c>
      <c r="Z145" s="1184"/>
      <c r="AA145" s="1185"/>
      <c r="AB145" s="1183">
        <v>3310</v>
      </c>
      <c r="AC145" s="1184"/>
      <c r="AD145" s="1185"/>
      <c r="AE145" s="1183">
        <v>0</v>
      </c>
      <c r="AF145" s="1184"/>
      <c r="AG145" s="1185"/>
      <c r="AH145" s="1219">
        <v>0.65800000000000003</v>
      </c>
      <c r="AI145" s="1220"/>
      <c r="AJ145" s="1221"/>
      <c r="AK145" s="1219">
        <v>0.88400000000000001</v>
      </c>
      <c r="AL145" s="1220"/>
      <c r="AM145" s="1221"/>
      <c r="AN145" s="1219">
        <v>0.96</v>
      </c>
      <c r="AO145" s="1220"/>
      <c r="AP145" s="1221"/>
    </row>
    <row r="146" spans="1:42" x14ac:dyDescent="0.25">
      <c r="A146" s="1222">
        <f t="shared" si="1"/>
        <v>2029</v>
      </c>
      <c r="B146" s="1223"/>
      <c r="C146" s="1224"/>
      <c r="D146" s="1225">
        <v>7</v>
      </c>
      <c r="E146" s="1225"/>
      <c r="F146" s="1225"/>
      <c r="G146" s="1183">
        <v>153.68139781584944</v>
      </c>
      <c r="H146" s="1184"/>
      <c r="I146" s="1185"/>
      <c r="J146" s="1183">
        <v>447.64994317919445</v>
      </c>
      <c r="K146" s="1184"/>
      <c r="L146" s="1185"/>
      <c r="M146" s="1183">
        <v>0</v>
      </c>
      <c r="N146" s="1184"/>
      <c r="O146" s="1185"/>
      <c r="P146" s="1219">
        <v>9.9399436201994346E-2</v>
      </c>
      <c r="Q146" s="1220"/>
      <c r="R146" s="1221"/>
      <c r="S146" s="1219">
        <v>0.13253258160265916</v>
      </c>
      <c r="T146" s="1220"/>
      <c r="U146" s="1221"/>
      <c r="V146" s="1219">
        <v>0.14451691079013362</v>
      </c>
      <c r="W146" s="1220"/>
      <c r="X146" s="1221"/>
      <c r="Y146" s="1183">
        <v>1290</v>
      </c>
      <c r="Z146" s="1184"/>
      <c r="AA146" s="1185"/>
      <c r="AB146" s="1183">
        <v>3758</v>
      </c>
      <c r="AC146" s="1184"/>
      <c r="AD146" s="1185"/>
      <c r="AE146" s="1183">
        <v>0</v>
      </c>
      <c r="AF146" s="1184"/>
      <c r="AG146" s="1185"/>
      <c r="AH146" s="1219">
        <v>0.75800000000000001</v>
      </c>
      <c r="AI146" s="1220"/>
      <c r="AJ146" s="1221"/>
      <c r="AK146" s="1219">
        <v>1.0169999999999999</v>
      </c>
      <c r="AL146" s="1220"/>
      <c r="AM146" s="1221"/>
      <c r="AN146" s="1219">
        <v>1.1040000000000001</v>
      </c>
      <c r="AO146" s="1220"/>
      <c r="AP146" s="1221"/>
    </row>
    <row r="147" spans="1:42" x14ac:dyDescent="0.25">
      <c r="A147" s="1222">
        <f t="shared" si="1"/>
        <v>2030</v>
      </c>
      <c r="B147" s="1223"/>
      <c r="C147" s="1224"/>
      <c r="D147" s="1225">
        <v>8</v>
      </c>
      <c r="E147" s="1225"/>
      <c r="F147" s="1225"/>
      <c r="G147" s="1183">
        <v>144.98245076966924</v>
      </c>
      <c r="H147" s="1184"/>
      <c r="I147" s="1185"/>
      <c r="J147" s="1183">
        <v>422.31126715018337</v>
      </c>
      <c r="K147" s="1184"/>
      <c r="L147" s="1185"/>
      <c r="M147" s="1183">
        <v>0</v>
      </c>
      <c r="N147" s="1184"/>
      <c r="O147" s="1185"/>
      <c r="P147" s="1219">
        <v>9.6433281475238719E-2</v>
      </c>
      <c r="Q147" s="1220"/>
      <c r="R147" s="1221"/>
      <c r="S147" s="1219">
        <v>0.12902108004273319</v>
      </c>
      <c r="T147" s="1220"/>
      <c r="U147" s="1221"/>
      <c r="V147" s="1219">
        <v>0.14032705097431289</v>
      </c>
      <c r="W147" s="1220"/>
      <c r="X147" s="1221"/>
      <c r="Y147" s="1183">
        <v>1435</v>
      </c>
      <c r="Z147" s="1184"/>
      <c r="AA147" s="1185"/>
      <c r="AB147" s="1183">
        <v>4180</v>
      </c>
      <c r="AC147" s="1184"/>
      <c r="AD147" s="1185"/>
      <c r="AE147" s="1183">
        <v>0</v>
      </c>
      <c r="AF147" s="1184"/>
      <c r="AG147" s="1185"/>
      <c r="AH147" s="1219">
        <v>0.85399999999999998</v>
      </c>
      <c r="AI147" s="1220"/>
      <c r="AJ147" s="1221"/>
      <c r="AK147" s="1219">
        <v>1.1459999999999999</v>
      </c>
      <c r="AL147" s="1220"/>
      <c r="AM147" s="1221"/>
      <c r="AN147" s="1219">
        <v>1.244</v>
      </c>
      <c r="AO147" s="1220"/>
      <c r="AP147" s="1221"/>
    </row>
    <row r="148" spans="1:42" x14ac:dyDescent="0.25">
      <c r="A148" s="1222">
        <f t="shared" si="1"/>
        <v>2031</v>
      </c>
      <c r="B148" s="1223"/>
      <c r="C148" s="1224"/>
      <c r="D148" s="1225">
        <v>9</v>
      </c>
      <c r="E148" s="1225"/>
      <c r="F148" s="1225"/>
      <c r="G148" s="1183">
        <v>136.77589695251817</v>
      </c>
      <c r="H148" s="1184"/>
      <c r="I148" s="1185"/>
      <c r="J148" s="1183">
        <v>398.40685580205985</v>
      </c>
      <c r="K148" s="1184"/>
      <c r="L148" s="1185"/>
      <c r="M148" s="1183">
        <v>0</v>
      </c>
      <c r="N148" s="1184"/>
      <c r="O148" s="1185"/>
      <c r="P148" s="1219">
        <v>9.3484443329932138E-2</v>
      </c>
      <c r="Q148" s="1220"/>
      <c r="R148" s="1221"/>
      <c r="S148" s="1219">
        <v>0.12548247426836531</v>
      </c>
      <c r="T148" s="1220"/>
      <c r="U148" s="1221"/>
      <c r="V148" s="1219">
        <v>0.13614848458117634</v>
      </c>
      <c r="W148" s="1220"/>
      <c r="X148" s="1221"/>
      <c r="Y148" s="1183">
        <v>1572</v>
      </c>
      <c r="Z148" s="1184"/>
      <c r="AA148" s="1185"/>
      <c r="AB148" s="1183">
        <v>4578</v>
      </c>
      <c r="AC148" s="1184"/>
      <c r="AD148" s="1185"/>
      <c r="AE148" s="1183">
        <v>0</v>
      </c>
      <c r="AF148" s="1184"/>
      <c r="AG148" s="1185"/>
      <c r="AH148" s="1219">
        <v>0.94799999999999995</v>
      </c>
      <c r="AI148" s="1220"/>
      <c r="AJ148" s="1221"/>
      <c r="AK148" s="1219">
        <v>1.2709999999999999</v>
      </c>
      <c r="AL148" s="1220"/>
      <c r="AM148" s="1221"/>
      <c r="AN148" s="1219">
        <v>1.381</v>
      </c>
      <c r="AO148" s="1220"/>
      <c r="AP148" s="1221"/>
    </row>
    <row r="149" spans="1:42" x14ac:dyDescent="0.25">
      <c r="A149" s="1222">
        <f t="shared" si="1"/>
        <v>2032</v>
      </c>
      <c r="B149" s="1223"/>
      <c r="C149" s="1224"/>
      <c r="D149" s="1225">
        <v>10</v>
      </c>
      <c r="E149" s="1225"/>
      <c r="F149" s="1225"/>
      <c r="G149" s="1183">
        <v>129.03386504954545</v>
      </c>
      <c r="H149" s="1184"/>
      <c r="I149" s="1185"/>
      <c r="J149" s="1183">
        <v>375.85552434156585</v>
      </c>
      <c r="K149" s="1184"/>
      <c r="L149" s="1185"/>
      <c r="M149" s="1183">
        <v>0</v>
      </c>
      <c r="N149" s="1184"/>
      <c r="O149" s="1185"/>
      <c r="P149" s="1219">
        <v>9.0560464920093828E-2</v>
      </c>
      <c r="Q149" s="1220"/>
      <c r="R149" s="1221"/>
      <c r="S149" s="1219">
        <v>0.12193108348718515</v>
      </c>
      <c r="T149" s="1220"/>
      <c r="U149" s="1221"/>
      <c r="V149" s="1219">
        <v>0.13258525583072561</v>
      </c>
      <c r="W149" s="1220"/>
      <c r="X149" s="1221"/>
      <c r="Y149" s="1183">
        <v>1701</v>
      </c>
      <c r="Z149" s="1184"/>
      <c r="AA149" s="1185"/>
      <c r="AB149" s="1183">
        <v>4954</v>
      </c>
      <c r="AC149" s="1184"/>
      <c r="AD149" s="1185"/>
      <c r="AE149" s="1183">
        <v>0</v>
      </c>
      <c r="AF149" s="1184"/>
      <c r="AG149" s="1185"/>
      <c r="AH149" s="1219">
        <v>1.038</v>
      </c>
      <c r="AI149" s="1220"/>
      <c r="AJ149" s="1221"/>
      <c r="AK149" s="1219">
        <v>1.393</v>
      </c>
      <c r="AL149" s="1220"/>
      <c r="AM149" s="1221"/>
      <c r="AN149" s="1219">
        <v>1.5129999999999999</v>
      </c>
      <c r="AO149" s="1220"/>
      <c r="AP149" s="1221"/>
    </row>
    <row r="150" spans="1:42" x14ac:dyDescent="0.25">
      <c r="A150" s="1222">
        <f t="shared" si="1"/>
        <v>2033</v>
      </c>
      <c r="B150" s="1223"/>
      <c r="C150" s="1224"/>
      <c r="D150" s="1225">
        <v>11</v>
      </c>
      <c r="E150" s="1225"/>
      <c r="F150" s="1225"/>
      <c r="G150" s="1183">
        <v>121.73006136749569</v>
      </c>
      <c r="H150" s="1184"/>
      <c r="I150" s="1185"/>
      <c r="J150" s="1183">
        <v>354.58068334109987</v>
      </c>
      <c r="K150" s="1184"/>
      <c r="L150" s="1185"/>
      <c r="M150" s="1183">
        <v>0</v>
      </c>
      <c r="N150" s="1184"/>
      <c r="O150" s="1185"/>
      <c r="P150" s="1219">
        <v>8.8226374752588627E-2</v>
      </c>
      <c r="Q150" s="1220"/>
      <c r="R150" s="1221"/>
      <c r="S150" s="1219">
        <v>0.11837969270600499</v>
      </c>
      <c r="T150" s="1220"/>
      <c r="U150" s="1221"/>
      <c r="V150" s="1219">
        <v>0.12898919346739224</v>
      </c>
      <c r="W150" s="1220"/>
      <c r="X150" s="1221"/>
      <c r="Y150" s="1183">
        <v>1822</v>
      </c>
      <c r="Z150" s="1184"/>
      <c r="AA150" s="1185"/>
      <c r="AB150" s="1183">
        <v>5309</v>
      </c>
      <c r="AC150" s="1184"/>
      <c r="AD150" s="1185"/>
      <c r="AE150" s="1183">
        <v>0</v>
      </c>
      <c r="AF150" s="1184"/>
      <c r="AG150" s="1185"/>
      <c r="AH150" s="1219">
        <v>1.127</v>
      </c>
      <c r="AI150" s="1220"/>
      <c r="AJ150" s="1221"/>
      <c r="AK150" s="1219">
        <v>1.512</v>
      </c>
      <c r="AL150" s="1220"/>
      <c r="AM150" s="1221"/>
      <c r="AN150" s="1219">
        <v>1.6419999999999999</v>
      </c>
      <c r="AO150" s="1220"/>
      <c r="AP150" s="1221"/>
    </row>
    <row r="151" spans="1:42" x14ac:dyDescent="0.25">
      <c r="A151" s="1222">
        <f t="shared" si="1"/>
        <v>2034</v>
      </c>
      <c r="B151" s="1223"/>
      <c r="C151" s="1224"/>
      <c r="D151" s="1225">
        <v>12</v>
      </c>
      <c r="E151" s="1225"/>
      <c r="F151" s="1225"/>
      <c r="G151" s="1183">
        <v>114.83968053537328</v>
      </c>
      <c r="H151" s="1184"/>
      <c r="I151" s="1185"/>
      <c r="J151" s="1183">
        <v>334.51007862367908</v>
      </c>
      <c r="K151" s="1184"/>
      <c r="L151" s="1185"/>
      <c r="M151" s="1183">
        <v>0</v>
      </c>
      <c r="N151" s="1184"/>
      <c r="O151" s="1185"/>
      <c r="P151" s="1219">
        <v>8.5866366638834152E-2</v>
      </c>
      <c r="Q151" s="1220"/>
      <c r="R151" s="1221"/>
      <c r="S151" s="1219">
        <v>0.11483968053537329</v>
      </c>
      <c r="T151" s="1220"/>
      <c r="U151" s="1221"/>
      <c r="V151" s="1219">
        <v>0.1253754310432057</v>
      </c>
      <c r="W151" s="1220"/>
      <c r="X151" s="1221"/>
      <c r="Y151" s="1183">
        <v>1937</v>
      </c>
      <c r="Z151" s="1184"/>
      <c r="AA151" s="1185"/>
      <c r="AB151" s="1183">
        <v>5643</v>
      </c>
      <c r="AC151" s="1184"/>
      <c r="AD151" s="1185"/>
      <c r="AE151" s="1183">
        <v>0</v>
      </c>
      <c r="AF151" s="1184"/>
      <c r="AG151" s="1185"/>
      <c r="AH151" s="1219">
        <v>1.212</v>
      </c>
      <c r="AI151" s="1220"/>
      <c r="AJ151" s="1221"/>
      <c r="AK151" s="1219">
        <v>1.6259999999999999</v>
      </c>
      <c r="AL151" s="1220"/>
      <c r="AM151" s="1221"/>
      <c r="AN151" s="1219">
        <v>1.7669999999999999</v>
      </c>
      <c r="AO151" s="1220"/>
      <c r="AP151" s="1221"/>
    </row>
    <row r="152" spans="1:42" x14ac:dyDescent="0.25">
      <c r="A152" s="1222">
        <f t="shared" si="1"/>
        <v>2035</v>
      </c>
      <c r="B152" s="1223"/>
      <c r="C152" s="1224"/>
      <c r="D152" s="1225">
        <v>13</v>
      </c>
      <c r="E152" s="1225"/>
      <c r="F152" s="1225"/>
      <c r="G152" s="1183">
        <v>108.3393212597861</v>
      </c>
      <c r="H152" s="1184"/>
      <c r="I152" s="1185"/>
      <c r="J152" s="1183">
        <v>315.57554587139532</v>
      </c>
      <c r="K152" s="1184"/>
      <c r="L152" s="1185"/>
      <c r="M152" s="1183">
        <v>0</v>
      </c>
      <c r="N152" s="1184"/>
      <c r="O152" s="1185"/>
      <c r="P152" s="1219">
        <v>8.3490853080936095E-2</v>
      </c>
      <c r="Q152" s="1220"/>
      <c r="R152" s="1221"/>
      <c r="S152" s="1219">
        <v>0.11181810680482511</v>
      </c>
      <c r="T152" s="1220"/>
      <c r="U152" s="1221"/>
      <c r="V152" s="1219">
        <v>0.12175749407636512</v>
      </c>
      <c r="W152" s="1220"/>
      <c r="X152" s="1221"/>
      <c r="Y152" s="1183">
        <v>2046</v>
      </c>
      <c r="Z152" s="1184"/>
      <c r="AA152" s="1185"/>
      <c r="AB152" s="1183">
        <v>5959</v>
      </c>
      <c r="AC152" s="1184"/>
      <c r="AD152" s="1185"/>
      <c r="AE152" s="1183">
        <v>0</v>
      </c>
      <c r="AF152" s="1184"/>
      <c r="AG152" s="1185"/>
      <c r="AH152" s="1219">
        <v>1.296</v>
      </c>
      <c r="AI152" s="1220"/>
      <c r="AJ152" s="1221"/>
      <c r="AK152" s="1219">
        <v>1.738</v>
      </c>
      <c r="AL152" s="1220"/>
      <c r="AM152" s="1221"/>
      <c r="AN152" s="1219">
        <v>1.889</v>
      </c>
      <c r="AO152" s="1220"/>
      <c r="AP152" s="1221"/>
    </row>
    <row r="153" spans="1:42" x14ac:dyDescent="0.25">
      <c r="A153" s="1222">
        <f t="shared" si="1"/>
        <v>2036</v>
      </c>
      <c r="B153" s="1223"/>
      <c r="C153" s="1224"/>
      <c r="D153" s="1225">
        <v>14</v>
      </c>
      <c r="E153" s="1225"/>
      <c r="F153" s="1225"/>
      <c r="G153" s="1183">
        <v>102.20690684885481</v>
      </c>
      <c r="H153" s="1184"/>
      <c r="I153" s="1185"/>
      <c r="J153" s="1183">
        <v>297.71277912395783</v>
      </c>
      <c r="K153" s="1184"/>
      <c r="L153" s="1185"/>
      <c r="M153" s="1183">
        <v>0</v>
      </c>
      <c r="N153" s="1184"/>
      <c r="O153" s="1185"/>
      <c r="P153" s="1219">
        <v>8.11091508479444E-2</v>
      </c>
      <c r="Q153" s="1220"/>
      <c r="R153" s="1221"/>
      <c r="S153" s="1219">
        <v>0.10877065316024916</v>
      </c>
      <c r="T153" s="1220"/>
      <c r="U153" s="1221"/>
      <c r="V153" s="1219">
        <v>0.11814743360509822</v>
      </c>
      <c r="W153" s="1220"/>
      <c r="X153" s="1221"/>
      <c r="Y153" s="1183">
        <v>2148</v>
      </c>
      <c r="Z153" s="1184"/>
      <c r="AA153" s="1185"/>
      <c r="AB153" s="1183">
        <v>6256</v>
      </c>
      <c r="AC153" s="1184"/>
      <c r="AD153" s="1185"/>
      <c r="AE153" s="1183">
        <v>0</v>
      </c>
      <c r="AF153" s="1184"/>
      <c r="AG153" s="1185"/>
      <c r="AH153" s="1219">
        <v>1.377</v>
      </c>
      <c r="AI153" s="1220"/>
      <c r="AJ153" s="1221"/>
      <c r="AK153" s="1219">
        <v>1.847</v>
      </c>
      <c r="AL153" s="1220"/>
      <c r="AM153" s="1221"/>
      <c r="AN153" s="1219">
        <v>2.0070000000000001</v>
      </c>
      <c r="AO153" s="1220"/>
      <c r="AP153" s="1221"/>
    </row>
    <row r="154" spans="1:42" x14ac:dyDescent="0.25">
      <c r="A154" s="1222">
        <f t="shared" si="1"/>
        <v>2037</v>
      </c>
      <c r="B154" s="1223"/>
      <c r="C154" s="1224"/>
      <c r="D154" s="1225">
        <v>15</v>
      </c>
      <c r="E154" s="1225"/>
      <c r="F154" s="1225"/>
      <c r="G154" s="1183">
        <v>96.421610234768693</v>
      </c>
      <c r="H154" s="1184"/>
      <c r="I154" s="1185"/>
      <c r="J154" s="1183">
        <v>280.86111238109231</v>
      </c>
      <c r="K154" s="1184"/>
      <c r="L154" s="1185"/>
      <c r="M154" s="1183">
        <v>0</v>
      </c>
      <c r="N154" s="1184"/>
      <c r="O154" s="1185"/>
      <c r="P154" s="1219">
        <v>7.8729571659581776E-2</v>
      </c>
      <c r="Q154" s="1220"/>
      <c r="R154" s="1221"/>
      <c r="S154" s="1219">
        <v>0.10570993048674182</v>
      </c>
      <c r="T154" s="1220"/>
      <c r="U154" s="1221"/>
      <c r="V154" s="1219">
        <v>0.11499825073871496</v>
      </c>
      <c r="W154" s="1220"/>
      <c r="X154" s="1221"/>
      <c r="Y154" s="1183">
        <v>2244</v>
      </c>
      <c r="Z154" s="1184"/>
      <c r="AA154" s="1185"/>
      <c r="AB154" s="1183">
        <v>6537</v>
      </c>
      <c r="AC154" s="1184"/>
      <c r="AD154" s="1185"/>
      <c r="AE154" s="1183">
        <v>0</v>
      </c>
      <c r="AF154" s="1184"/>
      <c r="AG154" s="1185"/>
      <c r="AH154" s="1219">
        <v>1.456</v>
      </c>
      <c r="AI154" s="1220"/>
      <c r="AJ154" s="1221"/>
      <c r="AK154" s="1219">
        <v>1.9530000000000001</v>
      </c>
      <c r="AL154" s="1220"/>
      <c r="AM154" s="1221"/>
      <c r="AN154" s="1219">
        <v>2.1219999999999999</v>
      </c>
      <c r="AO154" s="1220"/>
      <c r="AP154" s="1221"/>
    </row>
    <row r="155" spans="1:42" x14ac:dyDescent="0.25">
      <c r="A155" s="1222">
        <f t="shared" si="1"/>
        <v>2038</v>
      </c>
      <c r="B155" s="1223"/>
      <c r="C155" s="1224"/>
      <c r="D155" s="1225">
        <v>16</v>
      </c>
      <c r="E155" s="1225"/>
      <c r="F155" s="1225"/>
      <c r="G155" s="1183">
        <v>90.963783240347794</v>
      </c>
      <c r="H155" s="1184"/>
      <c r="I155" s="1185"/>
      <c r="J155" s="1183">
        <v>264.9633135670681</v>
      </c>
      <c r="K155" s="1184"/>
      <c r="L155" s="1185"/>
      <c r="M155" s="1183">
        <v>0</v>
      </c>
      <c r="N155" s="1184"/>
      <c r="O155" s="1185"/>
      <c r="P155" s="1219">
        <v>7.6359506114603889E-2</v>
      </c>
      <c r="Q155" s="1220"/>
      <c r="R155" s="1221"/>
      <c r="S155" s="1219">
        <v>0.10264720494094293</v>
      </c>
      <c r="T155" s="1220"/>
      <c r="U155" s="1221"/>
      <c r="V155" s="1219">
        <v>0.11182703627712481</v>
      </c>
      <c r="W155" s="1220"/>
      <c r="X155" s="1221"/>
      <c r="Y155" s="1183">
        <v>2335</v>
      </c>
      <c r="Z155" s="1184"/>
      <c r="AA155" s="1185"/>
      <c r="AB155" s="1183">
        <v>6802</v>
      </c>
      <c r="AC155" s="1184"/>
      <c r="AD155" s="1185"/>
      <c r="AE155" s="1183">
        <v>0</v>
      </c>
      <c r="AF155" s="1184"/>
      <c r="AG155" s="1185"/>
      <c r="AH155" s="1219">
        <v>1.532</v>
      </c>
      <c r="AI155" s="1220"/>
      <c r="AJ155" s="1221"/>
      <c r="AK155" s="1219">
        <v>2.0550000000000002</v>
      </c>
      <c r="AL155" s="1220"/>
      <c r="AM155" s="1221"/>
      <c r="AN155" s="1219">
        <v>2.234</v>
      </c>
      <c r="AO155" s="1220"/>
      <c r="AP155" s="1221"/>
    </row>
    <row r="156" spans="1:42" x14ac:dyDescent="0.25">
      <c r="A156" s="1222">
        <f t="shared" si="1"/>
        <v>2039</v>
      </c>
      <c r="B156" s="1223"/>
      <c r="C156" s="1224"/>
      <c r="D156" s="1225">
        <v>17</v>
      </c>
      <c r="E156" s="1225"/>
      <c r="F156" s="1225"/>
      <c r="G156" s="1183">
        <v>85.814889849384741</v>
      </c>
      <c r="H156" s="1184"/>
      <c r="I156" s="1185"/>
      <c r="J156" s="1183">
        <v>249.96539015761149</v>
      </c>
      <c r="K156" s="1184"/>
      <c r="L156" s="1185"/>
      <c r="M156" s="1183">
        <v>0</v>
      </c>
      <c r="N156" s="1184"/>
      <c r="O156" s="1185"/>
      <c r="P156" s="1219">
        <v>7.4005501338001517E-2</v>
      </c>
      <c r="Q156" s="1220"/>
      <c r="R156" s="1221"/>
      <c r="S156" s="1219">
        <v>9.9592509779331831E-2</v>
      </c>
      <c r="T156" s="1220"/>
      <c r="U156" s="1221"/>
      <c r="V156" s="1219">
        <v>0.10864637430472564</v>
      </c>
      <c r="W156" s="1220"/>
      <c r="X156" s="1221"/>
      <c r="Y156" s="1183">
        <v>2421</v>
      </c>
      <c r="Z156" s="1184"/>
      <c r="AA156" s="1185"/>
      <c r="AB156" s="1183">
        <v>7052</v>
      </c>
      <c r="AC156" s="1184"/>
      <c r="AD156" s="1185"/>
      <c r="AE156" s="1183">
        <v>0</v>
      </c>
      <c r="AF156" s="1184"/>
      <c r="AG156" s="1185"/>
      <c r="AH156" s="1219">
        <v>1.6060000000000001</v>
      </c>
      <c r="AI156" s="1220"/>
      <c r="AJ156" s="1221"/>
      <c r="AK156" s="1219">
        <v>2.1549999999999998</v>
      </c>
      <c r="AL156" s="1220"/>
      <c r="AM156" s="1221"/>
      <c r="AN156" s="1219">
        <v>2.343</v>
      </c>
      <c r="AO156" s="1220"/>
      <c r="AP156" s="1221"/>
    </row>
    <row r="157" spans="1:42" x14ac:dyDescent="0.25">
      <c r="A157" s="1222">
        <f t="shared" ref="A157" si="2">A156+1</f>
        <v>2040</v>
      </c>
      <c r="B157" s="1223"/>
      <c r="C157" s="1224"/>
      <c r="D157" s="1225">
        <v>18</v>
      </c>
      <c r="E157" s="1225"/>
      <c r="F157" s="1225"/>
      <c r="G157" s="1183">
        <v>80.957443254136535</v>
      </c>
      <c r="H157" s="1184"/>
      <c r="I157" s="1185"/>
      <c r="J157" s="1183">
        <v>235.81640580906742</v>
      </c>
      <c r="K157" s="1184"/>
      <c r="L157" s="1185"/>
      <c r="M157" s="1183">
        <v>0</v>
      </c>
      <c r="N157" s="1184"/>
      <c r="O157" s="1185"/>
      <c r="P157" s="1219">
        <v>7.204469720780958E-2</v>
      </c>
      <c r="Q157" s="1220"/>
      <c r="R157" s="1221"/>
      <c r="S157" s="1219">
        <v>9.6926113253805665E-2</v>
      </c>
      <c r="T157" s="1220"/>
      <c r="U157" s="1221"/>
      <c r="V157" s="1219">
        <v>0.10546749488153566</v>
      </c>
      <c r="W157" s="1220"/>
      <c r="X157" s="1221"/>
      <c r="Y157" s="1183">
        <v>2502</v>
      </c>
      <c r="Z157" s="1184"/>
      <c r="AA157" s="1185"/>
      <c r="AB157" s="1183">
        <v>7288</v>
      </c>
      <c r="AC157" s="1184"/>
      <c r="AD157" s="1185"/>
      <c r="AE157" s="1183">
        <v>0</v>
      </c>
      <c r="AF157" s="1184"/>
      <c r="AG157" s="1185"/>
      <c r="AH157" s="1219">
        <v>1.6779999999999999</v>
      </c>
      <c r="AI157" s="1220"/>
      <c r="AJ157" s="1221"/>
      <c r="AK157" s="1219">
        <v>2.2519999999999998</v>
      </c>
      <c r="AL157" s="1220"/>
      <c r="AM157" s="1221"/>
      <c r="AN157" s="1219">
        <v>2.448</v>
      </c>
      <c r="AO157" s="1220"/>
      <c r="AP157" s="1221"/>
    </row>
    <row r="158" spans="1:42" x14ac:dyDescent="0.25">
      <c r="A158" s="1222">
        <f>A157+1</f>
        <v>2041</v>
      </c>
      <c r="B158" s="1223"/>
      <c r="C158" s="1224"/>
      <c r="D158" s="1225">
        <v>19</v>
      </c>
      <c r="E158" s="1225"/>
      <c r="F158" s="1225"/>
      <c r="G158" s="1183">
        <v>76.374946466166548</v>
      </c>
      <c r="H158" s="1184"/>
      <c r="I158" s="1185"/>
      <c r="J158" s="1183">
        <v>222.46830736704476</v>
      </c>
      <c r="K158" s="1184"/>
      <c r="L158" s="1185"/>
      <c r="M158" s="1183">
        <v>0</v>
      </c>
      <c r="N158" s="1184"/>
      <c r="O158" s="1185"/>
      <c r="P158" s="1219">
        <v>7.0068758225840869E-2</v>
      </c>
      <c r="Q158" s="1220"/>
      <c r="R158" s="1221"/>
      <c r="S158" s="1219">
        <v>9.4242479813755969E-2</v>
      </c>
      <c r="T158" s="1220"/>
      <c r="U158" s="1221"/>
      <c r="V158" s="1219">
        <v>0.10265073080085686</v>
      </c>
      <c r="W158" s="1220"/>
      <c r="X158" s="1221"/>
      <c r="Y158" s="1183">
        <v>2578</v>
      </c>
      <c r="Z158" s="1184"/>
      <c r="AA158" s="1185"/>
      <c r="AB158" s="1183">
        <v>7511</v>
      </c>
      <c r="AC158" s="1184"/>
      <c r="AD158" s="1185"/>
      <c r="AE158" s="1183">
        <v>0</v>
      </c>
      <c r="AF158" s="1184"/>
      <c r="AG158" s="1185"/>
      <c r="AH158" s="1219">
        <v>1.748</v>
      </c>
      <c r="AI158" s="1220"/>
      <c r="AJ158" s="1221"/>
      <c r="AK158" s="1219">
        <v>2.3460000000000001</v>
      </c>
      <c r="AL158" s="1220"/>
      <c r="AM158" s="1221"/>
      <c r="AN158" s="1219">
        <v>2.5510000000000002</v>
      </c>
      <c r="AO158" s="1220"/>
      <c r="AP158" s="1221"/>
    </row>
    <row r="159" spans="1:42" x14ac:dyDescent="0.25">
      <c r="A159" s="1222">
        <f>A158+1</f>
        <v>2042</v>
      </c>
      <c r="B159" s="1223"/>
      <c r="C159" s="1224"/>
      <c r="D159" s="1225">
        <v>20</v>
      </c>
      <c r="E159" s="1225"/>
      <c r="F159" s="1225"/>
      <c r="G159" s="1183">
        <v>72.051836288836355</v>
      </c>
      <c r="H159" s="1184"/>
      <c r="I159" s="1185"/>
      <c r="J159" s="1183">
        <v>209.87576166702331</v>
      </c>
      <c r="K159" s="1184"/>
      <c r="L159" s="1185"/>
      <c r="M159" s="1183">
        <v>0</v>
      </c>
      <c r="N159" s="1184"/>
      <c r="O159" s="1185"/>
      <c r="P159" s="1219">
        <v>6.8085680162845358E-2</v>
      </c>
      <c r="Q159" s="1220"/>
      <c r="R159" s="1221"/>
      <c r="S159" s="1219">
        <v>9.1552103908292076E-2</v>
      </c>
      <c r="T159" s="1220"/>
      <c r="U159" s="1221"/>
      <c r="V159" s="1219">
        <v>9.9814929170773295E-2</v>
      </c>
      <c r="W159" s="1220"/>
      <c r="X159" s="1221"/>
      <c r="Y159" s="1183">
        <v>2650</v>
      </c>
      <c r="Z159" s="1184"/>
      <c r="AA159" s="1185"/>
      <c r="AB159" s="1183">
        <v>7720</v>
      </c>
      <c r="AC159" s="1184"/>
      <c r="AD159" s="1185"/>
      <c r="AE159" s="1183">
        <v>0</v>
      </c>
      <c r="AF159" s="1184"/>
      <c r="AG159" s="1185"/>
      <c r="AH159" s="1219">
        <v>1.8160000000000001</v>
      </c>
      <c r="AI159" s="1220"/>
      <c r="AJ159" s="1221"/>
      <c r="AK159" s="1219">
        <v>2.4380000000000002</v>
      </c>
      <c r="AL159" s="1220"/>
      <c r="AM159" s="1221"/>
      <c r="AN159" s="1219">
        <v>2.6509999999999998</v>
      </c>
      <c r="AO159" s="1220"/>
      <c r="AP159" s="1221"/>
    </row>
    <row r="160" spans="1:42" x14ac:dyDescent="0.25">
      <c r="A160" s="1222">
        <f t="shared" ref="A160:A164" si="3">A159+1</f>
        <v>2043</v>
      </c>
      <c r="B160" s="1223"/>
      <c r="C160" s="1224"/>
      <c r="D160" s="1225">
        <v>21</v>
      </c>
      <c r="E160" s="1225"/>
      <c r="F160" s="1225"/>
      <c r="G160" s="1183">
        <v>67.973430461166373</v>
      </c>
      <c r="H160" s="1184"/>
      <c r="I160" s="1185"/>
      <c r="J160" s="1183">
        <v>197.99600157266352</v>
      </c>
      <c r="K160" s="1184"/>
      <c r="L160" s="1185"/>
      <c r="M160" s="1183">
        <v>0</v>
      </c>
      <c r="N160" s="1184"/>
      <c r="O160" s="1185"/>
      <c r="P160" s="1219">
        <v>6.6102602099849861E-2</v>
      </c>
      <c r="Q160" s="1220"/>
      <c r="R160" s="1221"/>
      <c r="S160" s="1219">
        <v>8.886434716253401E-2</v>
      </c>
      <c r="T160" s="1220"/>
      <c r="U160" s="1221"/>
      <c r="V160" s="1219">
        <v>9.6971270061572204E-2</v>
      </c>
      <c r="W160" s="1220"/>
      <c r="X160" s="1221"/>
      <c r="Y160" s="1183">
        <v>2718</v>
      </c>
      <c r="Z160" s="1184"/>
      <c r="AA160" s="1185"/>
      <c r="AB160" s="1183">
        <v>7918</v>
      </c>
      <c r="AC160" s="1184"/>
      <c r="AD160" s="1185"/>
      <c r="AE160" s="1183">
        <v>0</v>
      </c>
      <c r="AF160" s="1184"/>
      <c r="AG160" s="1185"/>
      <c r="AH160" s="1219">
        <v>1.8819999999999999</v>
      </c>
      <c r="AI160" s="1220"/>
      <c r="AJ160" s="1221"/>
      <c r="AK160" s="1219">
        <v>2.5270000000000001</v>
      </c>
      <c r="AL160" s="1220"/>
      <c r="AM160" s="1221"/>
      <c r="AN160" s="1219">
        <v>2.7480000000000002</v>
      </c>
      <c r="AO160" s="1220"/>
      <c r="AP160" s="1221"/>
    </row>
    <row r="161" spans="1:42" x14ac:dyDescent="0.25">
      <c r="A161" s="1222">
        <f t="shared" si="3"/>
        <v>2044</v>
      </c>
      <c r="B161" s="1223"/>
      <c r="C161" s="1224"/>
      <c r="D161" s="1225">
        <v>22</v>
      </c>
      <c r="E161" s="1225"/>
      <c r="F161" s="1225"/>
      <c r="G161" s="1183">
        <v>64.125877793553173</v>
      </c>
      <c r="H161" s="1184"/>
      <c r="I161" s="1185"/>
      <c r="J161" s="1183">
        <v>186.7886807289278</v>
      </c>
      <c r="K161" s="1184"/>
      <c r="L161" s="1185"/>
      <c r="M161" s="1183">
        <v>0</v>
      </c>
      <c r="N161" s="1184"/>
      <c r="O161" s="1185"/>
      <c r="P161" s="1219">
        <v>6.4125877793553165E-2</v>
      </c>
      <c r="Q161" s="1220"/>
      <c r="R161" s="1221"/>
      <c r="S161" s="1219">
        <v>8.6481688400479956E-2</v>
      </c>
      <c r="T161" s="1220"/>
      <c r="U161" s="1221"/>
      <c r="V161" s="1219">
        <v>9.4129728871270704E-2</v>
      </c>
      <c r="W161" s="1220"/>
      <c r="X161" s="1221"/>
      <c r="Y161" s="1183">
        <v>2783</v>
      </c>
      <c r="Z161" s="1184"/>
      <c r="AA161" s="1185"/>
      <c r="AB161" s="1183">
        <v>8105</v>
      </c>
      <c r="AC161" s="1184"/>
      <c r="AD161" s="1185"/>
      <c r="AE161" s="1183">
        <v>0</v>
      </c>
      <c r="AF161" s="1184"/>
      <c r="AG161" s="1185"/>
      <c r="AH161" s="1219">
        <v>1.9470000000000001</v>
      </c>
      <c r="AI161" s="1220"/>
      <c r="AJ161" s="1221"/>
      <c r="AK161" s="1219">
        <v>2.613</v>
      </c>
      <c r="AL161" s="1220"/>
      <c r="AM161" s="1221"/>
      <c r="AN161" s="1219">
        <v>2.8420000000000001</v>
      </c>
      <c r="AO161" s="1220"/>
      <c r="AP161" s="1221"/>
    </row>
    <row r="162" spans="1:42" x14ac:dyDescent="0.25">
      <c r="A162" s="1222">
        <f t="shared" si="3"/>
        <v>2045</v>
      </c>
      <c r="B162" s="1223"/>
      <c r="C162" s="1224"/>
      <c r="D162" s="1225">
        <v>23</v>
      </c>
      <c r="E162" s="1225"/>
      <c r="F162" s="1225"/>
      <c r="G162" s="1183">
        <v>60.496111125993551</v>
      </c>
      <c r="H162" s="1184"/>
      <c r="I162" s="1185"/>
      <c r="J162" s="1183">
        <v>176.21573653672434</v>
      </c>
      <c r="K162" s="1184"/>
      <c r="L162" s="1185"/>
      <c r="M162" s="1183">
        <v>0</v>
      </c>
      <c r="N162" s="1184"/>
      <c r="O162" s="1185"/>
      <c r="P162" s="1219">
        <v>6.2438646804351142E-2</v>
      </c>
      <c r="Q162" s="1220"/>
      <c r="R162" s="1221"/>
      <c r="S162" s="1219">
        <v>8.4084044363192875E-2</v>
      </c>
      <c r="T162" s="1220"/>
      <c r="U162" s="1221"/>
      <c r="V162" s="1219">
        <v>9.1576681979715011E-2</v>
      </c>
      <c r="W162" s="1220"/>
      <c r="X162" s="1221"/>
      <c r="Y162" s="1183">
        <v>2843</v>
      </c>
      <c r="Z162" s="1184"/>
      <c r="AA162" s="1185"/>
      <c r="AB162" s="1183">
        <v>8281</v>
      </c>
      <c r="AC162" s="1184"/>
      <c r="AD162" s="1185"/>
      <c r="AE162" s="1183">
        <v>0</v>
      </c>
      <c r="AF162" s="1184"/>
      <c r="AG162" s="1185"/>
      <c r="AH162" s="1219">
        <v>2.0089999999999999</v>
      </c>
      <c r="AI162" s="1220"/>
      <c r="AJ162" s="1221"/>
      <c r="AK162" s="1219">
        <v>2.6970000000000001</v>
      </c>
      <c r="AL162" s="1220"/>
      <c r="AM162" s="1221"/>
      <c r="AN162" s="1219">
        <v>2.9329999999999998</v>
      </c>
      <c r="AO162" s="1220"/>
      <c r="AP162" s="1221"/>
    </row>
    <row r="163" spans="1:42" x14ac:dyDescent="0.25">
      <c r="A163" s="1222">
        <f t="shared" si="3"/>
        <v>2046</v>
      </c>
      <c r="B163" s="1223"/>
      <c r="C163" s="1224"/>
      <c r="D163" s="1225">
        <v>24</v>
      </c>
      <c r="E163" s="1225"/>
      <c r="F163" s="1225"/>
      <c r="G163" s="1183">
        <v>57.071802949050515</v>
      </c>
      <c r="H163" s="1184"/>
      <c r="I163" s="1185"/>
      <c r="J163" s="1183">
        <v>166.24126088370218</v>
      </c>
      <c r="K163" s="1184"/>
      <c r="L163" s="1185"/>
      <c r="M163" s="1183">
        <v>0</v>
      </c>
      <c r="N163" s="1184"/>
      <c r="O163" s="1185"/>
      <c r="P163" s="1219">
        <v>6.0736964606328991E-2</v>
      </c>
      <c r="Q163" s="1220"/>
      <c r="R163" s="1221"/>
      <c r="S163" s="1219">
        <v>8.1680745505063115E-2</v>
      </c>
      <c r="T163" s="1220"/>
      <c r="U163" s="1221"/>
      <c r="V163" s="1219">
        <v>8.9011068819620079E-2</v>
      </c>
      <c r="W163" s="1220"/>
      <c r="X163" s="1221"/>
      <c r="Y163" s="1183">
        <v>2900</v>
      </c>
      <c r="Z163" s="1184"/>
      <c r="AA163" s="1185"/>
      <c r="AB163" s="1183">
        <v>8448</v>
      </c>
      <c r="AC163" s="1184"/>
      <c r="AD163" s="1185"/>
      <c r="AE163" s="1183">
        <v>0</v>
      </c>
      <c r="AF163" s="1184"/>
      <c r="AG163" s="1185"/>
      <c r="AH163" s="1219">
        <v>2.0699999999999998</v>
      </c>
      <c r="AI163" s="1220"/>
      <c r="AJ163" s="1221"/>
      <c r="AK163" s="1219">
        <v>2.7789999999999999</v>
      </c>
      <c r="AL163" s="1220"/>
      <c r="AM163" s="1221"/>
      <c r="AN163" s="1219">
        <v>3.0219999999999998</v>
      </c>
      <c r="AO163" s="1220"/>
      <c r="AP163" s="1221"/>
    </row>
    <row r="164" spans="1:42" x14ac:dyDescent="0.25">
      <c r="A164" s="1222">
        <f t="shared" si="3"/>
        <v>2047</v>
      </c>
      <c r="B164" s="1223"/>
      <c r="C164" s="1224"/>
      <c r="D164" s="1225">
        <v>25</v>
      </c>
      <c r="E164" s="1225"/>
      <c r="F164" s="1225"/>
      <c r="G164" s="1186">
        <v>53.841323536840115</v>
      </c>
      <c r="H164" s="1187"/>
      <c r="I164" s="1188"/>
      <c r="J164" s="1186">
        <v>156.83137819217188</v>
      </c>
      <c r="K164" s="1187"/>
      <c r="L164" s="1188"/>
      <c r="M164" s="1186">
        <v>0</v>
      </c>
      <c r="N164" s="1187"/>
      <c r="O164" s="1188"/>
      <c r="P164" s="1219">
        <v>5.9027873051856819E-2</v>
      </c>
      <c r="Q164" s="1220"/>
      <c r="R164" s="1221"/>
      <c r="S164" s="1219">
        <v>7.9280114015255393E-2</v>
      </c>
      <c r="T164" s="1220"/>
      <c r="U164" s="1221"/>
      <c r="V164" s="1219">
        <v>8.6442491916945127E-2</v>
      </c>
      <c r="W164" s="1220"/>
      <c r="X164" s="1221"/>
      <c r="Y164" s="1186">
        <v>2954</v>
      </c>
      <c r="Z164" s="1187"/>
      <c r="AA164" s="1188"/>
      <c r="AB164" s="1186">
        <v>8604</v>
      </c>
      <c r="AC164" s="1187"/>
      <c r="AD164" s="1188"/>
      <c r="AE164" s="1186">
        <v>0</v>
      </c>
      <c r="AF164" s="1187"/>
      <c r="AG164" s="1188"/>
      <c r="AH164" s="1219">
        <v>2.129</v>
      </c>
      <c r="AI164" s="1220"/>
      <c r="AJ164" s="1221"/>
      <c r="AK164" s="1219">
        <v>2.8580000000000001</v>
      </c>
      <c r="AL164" s="1220"/>
      <c r="AM164" s="1221"/>
      <c r="AN164" s="1219">
        <v>3.109</v>
      </c>
      <c r="AO164" s="1220"/>
      <c r="AP164" s="1221"/>
    </row>
    <row r="165" spans="1:42" x14ac:dyDescent="0.25">
      <c r="A165" s="605"/>
      <c r="B165" s="605"/>
      <c r="C165" s="605"/>
      <c r="D165" s="605"/>
      <c r="E165" s="605"/>
      <c r="F165" s="605"/>
      <c r="G165" s="606"/>
      <c r="H165" s="606"/>
      <c r="I165" s="606"/>
      <c r="J165" s="606"/>
      <c r="K165" s="606"/>
      <c r="L165" s="606"/>
      <c r="M165" s="606"/>
      <c r="N165" s="606"/>
      <c r="O165" s="606"/>
      <c r="P165" s="607"/>
      <c r="Q165" s="607"/>
      <c r="R165" s="607"/>
      <c r="S165" s="607"/>
      <c r="T165" s="607"/>
      <c r="U165" s="607"/>
      <c r="V165" s="607"/>
      <c r="W165" s="607"/>
      <c r="X165" s="607"/>
      <c r="Y165" s="606"/>
      <c r="Z165" s="606"/>
      <c r="AA165" s="606"/>
      <c r="AB165" s="606"/>
      <c r="AC165" s="606"/>
      <c r="AD165" s="606"/>
      <c r="AE165" s="606"/>
      <c r="AF165" s="606"/>
      <c r="AG165" s="606"/>
      <c r="AH165" s="607"/>
      <c r="AI165" s="607"/>
      <c r="AJ165" s="607"/>
      <c r="AK165" s="607"/>
      <c r="AL165" s="607"/>
      <c r="AM165" s="607"/>
      <c r="AN165" s="607"/>
      <c r="AO165" s="607"/>
      <c r="AP165" s="607"/>
    </row>
    <row r="166" spans="1:42" x14ac:dyDescent="0.25">
      <c r="A166" s="1167" t="s">
        <v>5583</v>
      </c>
      <c r="B166" s="1167"/>
      <c r="C166" s="1167"/>
      <c r="D166" s="1167"/>
      <c r="E166" s="1167"/>
      <c r="F166" s="1167"/>
      <c r="G166" s="1167"/>
      <c r="H166" s="1167"/>
      <c r="I166" s="1167"/>
      <c r="J166" s="1167"/>
      <c r="K166" s="1167"/>
      <c r="L166" s="1167"/>
      <c r="M166" s="1167"/>
      <c r="N166" s="1167"/>
      <c r="O166" s="1167"/>
      <c r="P166" s="1167"/>
      <c r="Q166" s="1167"/>
      <c r="R166" s="1167"/>
      <c r="S166" s="1167"/>
      <c r="T166" s="1167"/>
      <c r="U166" s="1167"/>
      <c r="V166" s="1167"/>
      <c r="W166" s="1167"/>
      <c r="X166" s="1167"/>
      <c r="Y166" s="1167"/>
      <c r="Z166" s="1167"/>
      <c r="AA166" s="1167"/>
      <c r="AB166" s="1167"/>
      <c r="AC166" s="1167"/>
      <c r="AD166" s="1167"/>
      <c r="AE166" s="1167"/>
      <c r="AF166" s="1167"/>
    </row>
    <row r="167" spans="1:42" ht="23.25" customHeight="1" x14ac:dyDescent="0.25">
      <c r="A167" s="765"/>
      <c r="B167" s="765"/>
      <c r="C167" s="765"/>
      <c r="D167" s="765"/>
      <c r="E167" s="765"/>
      <c r="F167" s="765"/>
      <c r="G167" s="765"/>
      <c r="H167" s="766"/>
      <c r="I167" s="766"/>
      <c r="J167" s="766"/>
      <c r="K167" s="1207" t="s">
        <v>1020</v>
      </c>
      <c r="L167" s="1208"/>
      <c r="M167" s="1208"/>
      <c r="N167" s="1209"/>
      <c r="O167" s="767"/>
      <c r="P167" s="768"/>
      <c r="Q167" s="768"/>
      <c r="R167" s="768"/>
      <c r="S167" s="768"/>
      <c r="T167" s="768"/>
      <c r="U167" s="769"/>
      <c r="V167" s="769"/>
      <c r="W167" s="769"/>
      <c r="X167" s="769"/>
      <c r="Y167" s="769"/>
      <c r="Z167" s="765"/>
      <c r="AA167" s="765"/>
      <c r="AB167" s="765"/>
      <c r="AC167" s="765"/>
      <c r="AD167" s="765"/>
      <c r="AE167" s="765"/>
      <c r="AF167" s="770"/>
      <c r="AG167" s="771"/>
      <c r="AH167" s="771"/>
      <c r="AI167" s="771"/>
      <c r="AJ167" s="771"/>
      <c r="AK167" s="771"/>
      <c r="AL167" s="771"/>
      <c r="AM167" s="771"/>
      <c r="AN167" s="771"/>
      <c r="AO167" s="771"/>
      <c r="AP167" s="771"/>
    </row>
    <row r="168" spans="1:42" x14ac:dyDescent="0.25">
      <c r="A168" s="772"/>
      <c r="B168" s="772"/>
      <c r="C168" s="772"/>
      <c r="D168" s="772"/>
      <c r="E168" s="772"/>
      <c r="F168" s="772"/>
      <c r="G168" s="772"/>
      <c r="H168" s="773"/>
      <c r="I168" s="773"/>
      <c r="J168" s="773"/>
      <c r="K168" s="1210">
        <v>0.06</v>
      </c>
      <c r="L168" s="1211"/>
      <c r="M168" s="1211"/>
      <c r="N168" s="1212"/>
      <c r="O168" s="774"/>
      <c r="P168" s="775"/>
      <c r="Q168" s="775"/>
      <c r="R168" s="775"/>
      <c r="S168" s="775"/>
      <c r="T168" s="775"/>
      <c r="U168" s="776"/>
      <c r="V168" s="776"/>
      <c r="W168" s="776"/>
      <c r="X168" s="776"/>
      <c r="Y168" s="776"/>
      <c r="Z168" s="772"/>
      <c r="AA168" s="772"/>
      <c r="AB168" s="772"/>
      <c r="AC168" s="772"/>
      <c r="AD168" s="772"/>
      <c r="AE168" s="772"/>
      <c r="AF168" s="777"/>
      <c r="AG168" s="771"/>
      <c r="AH168" s="771"/>
      <c r="AI168" s="771"/>
      <c r="AJ168" s="771"/>
      <c r="AK168" s="771"/>
      <c r="AL168" s="771"/>
      <c r="AM168" s="771"/>
      <c r="AN168" s="771"/>
      <c r="AO168" s="771"/>
      <c r="AP168" s="771"/>
    </row>
    <row r="169" spans="1:42" x14ac:dyDescent="0.25">
      <c r="A169" s="772"/>
      <c r="B169" s="772"/>
      <c r="C169" s="772"/>
      <c r="D169" s="772"/>
      <c r="E169" s="772"/>
      <c r="F169" s="772"/>
      <c r="G169" s="772"/>
      <c r="H169" s="773"/>
      <c r="I169" s="773"/>
      <c r="J169" s="773"/>
      <c r="K169" s="773"/>
      <c r="L169" s="773"/>
      <c r="M169" s="778"/>
      <c r="N169" s="778"/>
      <c r="O169" s="778"/>
      <c r="P169" s="778"/>
      <c r="Q169" s="778"/>
      <c r="R169" s="778"/>
      <c r="S169" s="778"/>
      <c r="T169" s="778"/>
      <c r="U169" s="778"/>
      <c r="V169" s="778"/>
      <c r="W169" s="778"/>
      <c r="X169" s="778"/>
      <c r="Y169" s="778"/>
      <c r="Z169" s="778"/>
      <c r="AA169" s="778"/>
      <c r="AB169" s="778"/>
      <c r="AC169" s="778"/>
      <c r="AD169" s="778"/>
      <c r="AE169" s="772"/>
      <c r="AF169" s="772"/>
      <c r="AG169" s="772"/>
      <c r="AH169" s="772"/>
      <c r="AI169" s="772"/>
      <c r="AJ169" s="772"/>
      <c r="AK169" s="772"/>
      <c r="AL169" s="772"/>
      <c r="AM169" s="772"/>
      <c r="AN169" s="777"/>
      <c r="AO169" s="771"/>
      <c r="AP169" s="771"/>
    </row>
    <row r="170" spans="1:42" ht="37.5" customHeight="1" x14ac:dyDescent="0.25">
      <c r="A170" s="192"/>
      <c r="B170" s="192"/>
      <c r="C170" s="192"/>
      <c r="D170" s="192"/>
      <c r="E170" s="192"/>
      <c r="F170" s="192"/>
      <c r="G170" s="1213" t="s">
        <v>3525</v>
      </c>
      <c r="H170" s="1214"/>
      <c r="I170" s="1214"/>
      <c r="J170" s="1214"/>
      <c r="K170" s="1214"/>
      <c r="L170" s="1214"/>
      <c r="M170" s="1214"/>
      <c r="N170" s="1214"/>
      <c r="O170" s="1215"/>
      <c r="P170" s="1213" t="s">
        <v>3528</v>
      </c>
      <c r="Q170" s="1214"/>
      <c r="R170" s="1214"/>
      <c r="S170" s="1214"/>
      <c r="T170" s="1214"/>
      <c r="U170" s="1214"/>
      <c r="V170" s="1214"/>
      <c r="W170" s="1214"/>
      <c r="X170" s="1215"/>
      <c r="Y170" s="1207" t="s">
        <v>3529</v>
      </c>
      <c r="Z170" s="1208"/>
      <c r="AA170" s="1208"/>
      <c r="AB170" s="1208"/>
      <c r="AC170" s="1208"/>
      <c r="AD170" s="1208"/>
      <c r="AE170" s="1208"/>
      <c r="AF170" s="1208"/>
      <c r="AG170" s="1209"/>
      <c r="AH170" s="1207" t="s">
        <v>3530</v>
      </c>
      <c r="AI170" s="1208"/>
      <c r="AJ170" s="1208"/>
      <c r="AK170" s="1208"/>
      <c r="AL170" s="1208"/>
      <c r="AM170" s="1208"/>
      <c r="AN170" s="1208"/>
      <c r="AO170" s="1208"/>
      <c r="AP170" s="1209"/>
    </row>
    <row r="171" spans="1:42" ht="28.9" customHeight="1" x14ac:dyDescent="0.25">
      <c r="A171" s="192"/>
      <c r="B171" s="192"/>
      <c r="C171" s="192"/>
      <c r="D171" s="192"/>
      <c r="E171" s="192"/>
      <c r="F171" s="192"/>
      <c r="G171" s="1216" t="s">
        <v>877</v>
      </c>
      <c r="H171" s="1217"/>
      <c r="I171" s="1218"/>
      <c r="J171" s="1216" t="s">
        <v>878</v>
      </c>
      <c r="K171" s="1217"/>
      <c r="L171" s="1218"/>
      <c r="M171" s="1216" t="s">
        <v>3515</v>
      </c>
      <c r="N171" s="1217"/>
      <c r="O171" s="1218"/>
      <c r="P171" s="1216" t="s">
        <v>877</v>
      </c>
      <c r="Q171" s="1217"/>
      <c r="R171" s="1218"/>
      <c r="S171" s="1216" t="s">
        <v>878</v>
      </c>
      <c r="T171" s="1217"/>
      <c r="U171" s="1218"/>
      <c r="V171" s="1216" t="s">
        <v>3515</v>
      </c>
      <c r="W171" s="1217"/>
      <c r="X171" s="1218"/>
      <c r="Y171" s="1216" t="s">
        <v>877</v>
      </c>
      <c r="Z171" s="1217"/>
      <c r="AA171" s="1218"/>
      <c r="AB171" s="1216" t="s">
        <v>878</v>
      </c>
      <c r="AC171" s="1217"/>
      <c r="AD171" s="1218"/>
      <c r="AE171" s="1216" t="s">
        <v>3515</v>
      </c>
      <c r="AF171" s="1217"/>
      <c r="AG171" s="1218"/>
      <c r="AH171" s="1216" t="s">
        <v>877</v>
      </c>
      <c r="AI171" s="1217"/>
      <c r="AJ171" s="1218"/>
      <c r="AK171" s="1216" t="s">
        <v>878</v>
      </c>
      <c r="AL171" s="1217"/>
      <c r="AM171" s="1218"/>
      <c r="AN171" s="1216" t="s">
        <v>3515</v>
      </c>
      <c r="AO171" s="1217"/>
      <c r="AP171" s="1218"/>
    </row>
    <row r="172" spans="1:42" ht="28.9" customHeight="1" x14ac:dyDescent="0.25">
      <c r="A172" s="1204" t="s">
        <v>1017</v>
      </c>
      <c r="B172" s="1205"/>
      <c r="C172" s="1206"/>
      <c r="D172" s="1207" t="s">
        <v>3524</v>
      </c>
      <c r="E172" s="1208"/>
      <c r="F172" s="1209"/>
      <c r="G172" s="1207" t="s">
        <v>3526</v>
      </c>
      <c r="H172" s="1208"/>
      <c r="I172" s="1209"/>
      <c r="J172" s="1201" t="s">
        <v>3526</v>
      </c>
      <c r="K172" s="1202"/>
      <c r="L172" s="1203"/>
      <c r="M172" s="1201" t="s">
        <v>3526</v>
      </c>
      <c r="N172" s="1202"/>
      <c r="O172" s="1203"/>
      <c r="P172" s="1201" t="s">
        <v>3527</v>
      </c>
      <c r="Q172" s="1202"/>
      <c r="R172" s="1203"/>
      <c r="S172" s="1201" t="s">
        <v>3527</v>
      </c>
      <c r="T172" s="1202"/>
      <c r="U172" s="1203"/>
      <c r="V172" s="1201" t="s">
        <v>3527</v>
      </c>
      <c r="W172" s="1202"/>
      <c r="X172" s="1203"/>
      <c r="Y172" s="1201" t="s">
        <v>2288</v>
      </c>
      <c r="Z172" s="1202"/>
      <c r="AA172" s="1203"/>
      <c r="AB172" s="1201" t="s">
        <v>2288</v>
      </c>
      <c r="AC172" s="1202"/>
      <c r="AD172" s="1203"/>
      <c r="AE172" s="1201" t="s">
        <v>2288</v>
      </c>
      <c r="AF172" s="1202"/>
      <c r="AG172" s="1203"/>
      <c r="AH172" s="1201" t="s">
        <v>2289</v>
      </c>
      <c r="AI172" s="1202"/>
      <c r="AJ172" s="1203"/>
      <c r="AK172" s="1201" t="s">
        <v>2289</v>
      </c>
      <c r="AL172" s="1202"/>
      <c r="AM172" s="1203"/>
      <c r="AN172" s="1201" t="s">
        <v>2289</v>
      </c>
      <c r="AO172" s="1202"/>
      <c r="AP172" s="1203"/>
    </row>
    <row r="173" spans="1:42" x14ac:dyDescent="0.25">
      <c r="A173" s="1195">
        <v>2024</v>
      </c>
      <c r="B173" s="1196"/>
      <c r="C173" s="1197"/>
      <c r="D173" s="1195">
        <v>1</v>
      </c>
      <c r="E173" s="1196"/>
      <c r="F173" s="1197"/>
      <c r="G173" s="1189">
        <v>223</v>
      </c>
      <c r="H173" s="1190"/>
      <c r="I173" s="1191"/>
      <c r="J173" s="1189">
        <v>650</v>
      </c>
      <c r="K173" s="1190"/>
      <c r="L173" s="1191"/>
      <c r="M173" s="1189">
        <v>0</v>
      </c>
      <c r="N173" s="1190"/>
      <c r="O173" s="1191"/>
      <c r="P173" s="1192">
        <v>0.121</v>
      </c>
      <c r="Q173" s="1193"/>
      <c r="R173" s="1194"/>
      <c r="S173" s="1192">
        <v>0.16300000000000001</v>
      </c>
      <c r="T173" s="1193"/>
      <c r="U173" s="1194"/>
      <c r="V173" s="1192">
        <v>0.17699999999999999</v>
      </c>
      <c r="W173" s="1193"/>
      <c r="X173" s="1194"/>
      <c r="Y173" s="1189">
        <v>223</v>
      </c>
      <c r="Z173" s="1190"/>
      <c r="AA173" s="1191"/>
      <c r="AB173" s="1189">
        <v>650</v>
      </c>
      <c r="AC173" s="1190"/>
      <c r="AD173" s="1191"/>
      <c r="AE173" s="1189">
        <v>0</v>
      </c>
      <c r="AF173" s="1190"/>
      <c r="AG173" s="1191"/>
      <c r="AH173" s="1192">
        <v>0.121</v>
      </c>
      <c r="AI173" s="1193"/>
      <c r="AJ173" s="1194"/>
      <c r="AK173" s="1192">
        <v>0.16300000000000001</v>
      </c>
      <c r="AL173" s="1193"/>
      <c r="AM173" s="1194"/>
      <c r="AN173" s="1192">
        <v>0.17699999999999999</v>
      </c>
      <c r="AO173" s="1193"/>
      <c r="AP173" s="1194"/>
    </row>
    <row r="174" spans="1:42" x14ac:dyDescent="0.25">
      <c r="A174" s="1195">
        <f>A173+1</f>
        <v>2025</v>
      </c>
      <c r="B174" s="1196"/>
      <c r="C174" s="1197"/>
      <c r="D174" s="1195">
        <v>2</v>
      </c>
      <c r="E174" s="1196"/>
      <c r="F174" s="1197"/>
      <c r="G174" s="1189">
        <v>210.37735849056602</v>
      </c>
      <c r="H174" s="1190"/>
      <c r="I174" s="1191"/>
      <c r="J174" s="1189">
        <v>613.20754716981128</v>
      </c>
      <c r="K174" s="1190"/>
      <c r="L174" s="1191"/>
      <c r="M174" s="1189">
        <v>0</v>
      </c>
      <c r="N174" s="1190"/>
      <c r="O174" s="1191"/>
      <c r="P174" s="1192">
        <v>0.11792452830188678</v>
      </c>
      <c r="Q174" s="1193"/>
      <c r="R174" s="1194"/>
      <c r="S174" s="1192">
        <v>0.15849056603773584</v>
      </c>
      <c r="T174" s="1193"/>
      <c r="U174" s="1194"/>
      <c r="V174" s="1192">
        <v>0.17169811320754716</v>
      </c>
      <c r="W174" s="1193"/>
      <c r="X174" s="1194"/>
      <c r="Y174" s="1189">
        <v>433</v>
      </c>
      <c r="Z174" s="1190"/>
      <c r="AA174" s="1191"/>
      <c r="AB174" s="1189">
        <v>1263</v>
      </c>
      <c r="AC174" s="1190"/>
      <c r="AD174" s="1191"/>
      <c r="AE174" s="1189">
        <v>0</v>
      </c>
      <c r="AF174" s="1190"/>
      <c r="AG174" s="1191"/>
      <c r="AH174" s="1192">
        <v>0.23899999999999999</v>
      </c>
      <c r="AI174" s="1193"/>
      <c r="AJ174" s="1194"/>
      <c r="AK174" s="1192">
        <v>0.32100000000000001</v>
      </c>
      <c r="AL174" s="1193"/>
      <c r="AM174" s="1194"/>
      <c r="AN174" s="1192">
        <v>0.34899999999999998</v>
      </c>
      <c r="AO174" s="1193"/>
      <c r="AP174" s="1194"/>
    </row>
    <row r="175" spans="1:42" x14ac:dyDescent="0.25">
      <c r="A175" s="1195">
        <f t="shared" ref="A175:A197" si="4">A174+1</f>
        <v>2026</v>
      </c>
      <c r="B175" s="1196"/>
      <c r="C175" s="1197"/>
      <c r="D175" s="1195">
        <v>3</v>
      </c>
      <c r="E175" s="1196"/>
      <c r="F175" s="1197"/>
      <c r="G175" s="1189">
        <v>198.46920612317547</v>
      </c>
      <c r="H175" s="1190"/>
      <c r="I175" s="1191"/>
      <c r="J175" s="1189">
        <v>578.49768600925586</v>
      </c>
      <c r="K175" s="1190"/>
      <c r="L175" s="1191"/>
      <c r="M175" s="1189">
        <v>0</v>
      </c>
      <c r="N175" s="1190"/>
      <c r="O175" s="1191"/>
      <c r="P175" s="1192">
        <v>0.11480954076183694</v>
      </c>
      <c r="Q175" s="1193"/>
      <c r="R175" s="1194"/>
      <c r="S175" s="1192">
        <v>0.15396938412246347</v>
      </c>
      <c r="T175" s="1193"/>
      <c r="U175" s="1194"/>
      <c r="V175" s="1192">
        <v>0.16642933428266285</v>
      </c>
      <c r="W175" s="1193"/>
      <c r="X175" s="1194"/>
      <c r="Y175" s="1189">
        <v>632</v>
      </c>
      <c r="Z175" s="1190"/>
      <c r="AA175" s="1191"/>
      <c r="AB175" s="1189">
        <v>1842</v>
      </c>
      <c r="AC175" s="1190"/>
      <c r="AD175" s="1191"/>
      <c r="AE175" s="1189">
        <v>0</v>
      </c>
      <c r="AF175" s="1190"/>
      <c r="AG175" s="1191"/>
      <c r="AH175" s="1192">
        <v>0.35399999999999998</v>
      </c>
      <c r="AI175" s="1193"/>
      <c r="AJ175" s="1194"/>
      <c r="AK175" s="1192">
        <v>0.47499999999999998</v>
      </c>
      <c r="AL175" s="1193"/>
      <c r="AM175" s="1194"/>
      <c r="AN175" s="1192">
        <v>0.51500000000000001</v>
      </c>
      <c r="AO175" s="1193"/>
      <c r="AP175" s="1194"/>
    </row>
    <row r="176" spans="1:42" x14ac:dyDescent="0.25">
      <c r="A176" s="1195">
        <f t="shared" si="4"/>
        <v>2027</v>
      </c>
      <c r="B176" s="1196"/>
      <c r="C176" s="1197"/>
      <c r="D176" s="1195">
        <v>4</v>
      </c>
      <c r="E176" s="1196"/>
      <c r="F176" s="1197"/>
      <c r="G176" s="1189">
        <v>187.23510011620326</v>
      </c>
      <c r="H176" s="1190"/>
      <c r="I176" s="1191"/>
      <c r="J176" s="1189">
        <v>545.75253397099607</v>
      </c>
      <c r="K176" s="1190"/>
      <c r="L176" s="1191"/>
      <c r="M176" s="1189">
        <v>0</v>
      </c>
      <c r="N176" s="1190"/>
      <c r="O176" s="1191"/>
      <c r="P176" s="1192">
        <v>0.11166936464329612</v>
      </c>
      <c r="Q176" s="1193"/>
      <c r="R176" s="1194"/>
      <c r="S176" s="1192">
        <v>0.14945223237974969</v>
      </c>
      <c r="T176" s="1193"/>
      <c r="U176" s="1194"/>
      <c r="V176" s="1192">
        <v>0.16204652162523422</v>
      </c>
      <c r="W176" s="1193"/>
      <c r="X176" s="1194"/>
      <c r="Y176" s="1189">
        <v>819</v>
      </c>
      <c r="Z176" s="1190"/>
      <c r="AA176" s="1191"/>
      <c r="AB176" s="1189">
        <v>2387</v>
      </c>
      <c r="AC176" s="1190"/>
      <c r="AD176" s="1191"/>
      <c r="AE176" s="1189">
        <v>0</v>
      </c>
      <c r="AF176" s="1190"/>
      <c r="AG176" s="1191"/>
      <c r="AH176" s="1192">
        <v>0.46500000000000002</v>
      </c>
      <c r="AI176" s="1193"/>
      <c r="AJ176" s="1194"/>
      <c r="AK176" s="1192">
        <v>0.625</v>
      </c>
      <c r="AL176" s="1193"/>
      <c r="AM176" s="1194"/>
      <c r="AN176" s="1192">
        <v>0.67700000000000005</v>
      </c>
      <c r="AO176" s="1193"/>
      <c r="AP176" s="1194"/>
    </row>
    <row r="177" spans="1:42" x14ac:dyDescent="0.25">
      <c r="A177" s="1195">
        <f t="shared" si="4"/>
        <v>2028</v>
      </c>
      <c r="B177" s="1196"/>
      <c r="C177" s="1197"/>
      <c r="D177" s="1195">
        <v>5</v>
      </c>
      <c r="E177" s="1196"/>
      <c r="F177" s="1197"/>
      <c r="G177" s="1189">
        <v>176.63688690207854</v>
      </c>
      <c r="H177" s="1190"/>
      <c r="I177" s="1191"/>
      <c r="J177" s="1189">
        <v>514.86088110471326</v>
      </c>
      <c r="K177" s="1190"/>
      <c r="L177" s="1191"/>
      <c r="M177" s="1189">
        <v>0</v>
      </c>
      <c r="N177" s="1190"/>
      <c r="O177" s="1191"/>
      <c r="P177" s="1192">
        <v>0.1085168318636088</v>
      </c>
      <c r="Q177" s="1193"/>
      <c r="R177" s="1194"/>
      <c r="S177" s="1192">
        <v>0.14495314037255774</v>
      </c>
      <c r="T177" s="1193"/>
      <c r="U177" s="1194"/>
      <c r="V177" s="1192">
        <v>0.15762663898436607</v>
      </c>
      <c r="W177" s="1193"/>
      <c r="X177" s="1194"/>
      <c r="Y177" s="1189">
        <v>996</v>
      </c>
      <c r="Z177" s="1190"/>
      <c r="AA177" s="1191"/>
      <c r="AB177" s="1189">
        <v>2902</v>
      </c>
      <c r="AC177" s="1190"/>
      <c r="AD177" s="1191"/>
      <c r="AE177" s="1189">
        <v>0</v>
      </c>
      <c r="AF177" s="1190"/>
      <c r="AG177" s="1191"/>
      <c r="AH177" s="1192">
        <v>0.57399999999999995</v>
      </c>
      <c r="AI177" s="1193"/>
      <c r="AJ177" s="1194"/>
      <c r="AK177" s="1192">
        <v>0.77</v>
      </c>
      <c r="AL177" s="1193"/>
      <c r="AM177" s="1194"/>
      <c r="AN177" s="1192">
        <v>0.83499999999999996</v>
      </c>
      <c r="AO177" s="1193"/>
      <c r="AP177" s="1194"/>
    </row>
    <row r="178" spans="1:42" x14ac:dyDescent="0.25">
      <c r="A178" s="1195">
        <f t="shared" si="4"/>
        <v>2029</v>
      </c>
      <c r="B178" s="1196"/>
      <c r="C178" s="1197"/>
      <c r="D178" s="1195">
        <v>6</v>
      </c>
      <c r="E178" s="1196"/>
      <c r="F178" s="1197"/>
      <c r="G178" s="1189">
        <v>166.63857254913069</v>
      </c>
      <c r="H178" s="1190"/>
      <c r="I178" s="1191"/>
      <c r="J178" s="1189">
        <v>485.71781236293697</v>
      </c>
      <c r="K178" s="1190"/>
      <c r="L178" s="1191"/>
      <c r="M178" s="1189">
        <v>0</v>
      </c>
      <c r="N178" s="1190"/>
      <c r="O178" s="1191"/>
      <c r="P178" s="1192">
        <v>0.10536340237411401</v>
      </c>
      <c r="Q178" s="1193"/>
      <c r="R178" s="1194"/>
      <c r="S178" s="1192">
        <v>0.1404845364988187</v>
      </c>
      <c r="T178" s="1193"/>
      <c r="U178" s="1194"/>
      <c r="V178" s="1192">
        <v>0.15318792543754164</v>
      </c>
      <c r="W178" s="1193"/>
      <c r="X178" s="1194"/>
      <c r="Y178" s="1189">
        <v>1162</v>
      </c>
      <c r="Z178" s="1190"/>
      <c r="AA178" s="1191"/>
      <c r="AB178" s="1189">
        <v>3388</v>
      </c>
      <c r="AC178" s="1190"/>
      <c r="AD178" s="1191"/>
      <c r="AE178" s="1189">
        <v>0</v>
      </c>
      <c r="AF178" s="1190"/>
      <c r="AG178" s="1191"/>
      <c r="AH178" s="1192">
        <v>0.67900000000000005</v>
      </c>
      <c r="AI178" s="1193"/>
      <c r="AJ178" s="1194"/>
      <c r="AK178" s="1192">
        <v>0.91</v>
      </c>
      <c r="AL178" s="1193"/>
      <c r="AM178" s="1194"/>
      <c r="AN178" s="1192">
        <v>0.98799999999999999</v>
      </c>
      <c r="AO178" s="1193"/>
      <c r="AP178" s="1194"/>
    </row>
    <row r="179" spans="1:42" x14ac:dyDescent="0.25">
      <c r="A179" s="1195">
        <f t="shared" si="4"/>
        <v>2030</v>
      </c>
      <c r="B179" s="1196"/>
      <c r="C179" s="1197"/>
      <c r="D179" s="1195">
        <v>7</v>
      </c>
      <c r="E179" s="1196"/>
      <c r="F179" s="1197"/>
      <c r="G179" s="1189">
        <v>157.20620051804781</v>
      </c>
      <c r="H179" s="1190"/>
      <c r="I179" s="1191"/>
      <c r="J179" s="1189">
        <v>458.22435128578957</v>
      </c>
      <c r="K179" s="1190"/>
      <c r="L179" s="1191"/>
      <c r="M179" s="1189">
        <v>0</v>
      </c>
      <c r="N179" s="1190"/>
      <c r="O179" s="1191"/>
      <c r="P179" s="1192">
        <v>0.10221927836375305</v>
      </c>
      <c r="Q179" s="1193"/>
      <c r="R179" s="1194"/>
      <c r="S179" s="1192">
        <v>0.1367623448452972</v>
      </c>
      <c r="T179" s="1193"/>
      <c r="U179" s="1194"/>
      <c r="V179" s="1192">
        <v>0.1487466740327717</v>
      </c>
      <c r="W179" s="1193"/>
      <c r="X179" s="1194"/>
      <c r="Y179" s="1189">
        <v>1320</v>
      </c>
      <c r="Z179" s="1190"/>
      <c r="AA179" s="1191"/>
      <c r="AB179" s="1189">
        <v>3846</v>
      </c>
      <c r="AC179" s="1190"/>
      <c r="AD179" s="1191"/>
      <c r="AE179" s="1189">
        <v>0</v>
      </c>
      <c r="AF179" s="1190"/>
      <c r="AG179" s="1191"/>
      <c r="AH179" s="1192">
        <v>0.78200000000000003</v>
      </c>
      <c r="AI179" s="1193"/>
      <c r="AJ179" s="1194"/>
      <c r="AK179" s="1192">
        <v>1.0469999999999999</v>
      </c>
      <c r="AL179" s="1193"/>
      <c r="AM179" s="1194"/>
      <c r="AN179" s="1192">
        <v>1.137</v>
      </c>
      <c r="AO179" s="1193"/>
      <c r="AP179" s="1194"/>
    </row>
    <row r="180" spans="1:42" x14ac:dyDescent="0.25">
      <c r="A180" s="1195">
        <f t="shared" si="4"/>
        <v>2031</v>
      </c>
      <c r="B180" s="1196"/>
      <c r="C180" s="1197"/>
      <c r="D180" s="1195">
        <v>8</v>
      </c>
      <c r="E180" s="1196"/>
      <c r="F180" s="1197"/>
      <c r="G180" s="1189">
        <v>148.30773633778094</v>
      </c>
      <c r="H180" s="1190"/>
      <c r="I180" s="1191"/>
      <c r="J180" s="1189">
        <v>432.28712385451843</v>
      </c>
      <c r="K180" s="1190"/>
      <c r="L180" s="1191"/>
      <c r="M180" s="1189">
        <v>0</v>
      </c>
      <c r="N180" s="1190"/>
      <c r="O180" s="1191"/>
      <c r="P180" s="1192">
        <v>9.9093509929728069E-2</v>
      </c>
      <c r="Q180" s="1193"/>
      <c r="R180" s="1194"/>
      <c r="S180" s="1192">
        <v>0.1330114227244672</v>
      </c>
      <c r="T180" s="1193"/>
      <c r="U180" s="1194"/>
      <c r="V180" s="1192">
        <v>0.14431739365604693</v>
      </c>
      <c r="W180" s="1193"/>
      <c r="X180" s="1194"/>
      <c r="Y180" s="1189">
        <v>1468</v>
      </c>
      <c r="Z180" s="1190"/>
      <c r="AA180" s="1191"/>
      <c r="AB180" s="1189">
        <v>4279</v>
      </c>
      <c r="AC180" s="1190"/>
      <c r="AD180" s="1191"/>
      <c r="AE180" s="1189">
        <v>0</v>
      </c>
      <c r="AF180" s="1190"/>
      <c r="AG180" s="1191"/>
      <c r="AH180" s="1192">
        <v>0.88100000000000001</v>
      </c>
      <c r="AI180" s="1193"/>
      <c r="AJ180" s="1194"/>
      <c r="AK180" s="1192">
        <v>1.18</v>
      </c>
      <c r="AL180" s="1193"/>
      <c r="AM180" s="1194"/>
      <c r="AN180" s="1192">
        <v>1.2809999999999999</v>
      </c>
      <c r="AO180" s="1193"/>
      <c r="AP180" s="1194"/>
    </row>
    <row r="181" spans="1:42" x14ac:dyDescent="0.25">
      <c r="A181" s="1195">
        <f t="shared" si="4"/>
        <v>2032</v>
      </c>
      <c r="B181" s="1196"/>
      <c r="C181" s="1197"/>
      <c r="D181" s="1195">
        <v>9</v>
      </c>
      <c r="E181" s="1196"/>
      <c r="F181" s="1197"/>
      <c r="G181" s="1189">
        <v>139.91295880922732</v>
      </c>
      <c r="H181" s="1190"/>
      <c r="I181" s="1191"/>
      <c r="J181" s="1189">
        <v>407.81804137218722</v>
      </c>
      <c r="K181" s="1190"/>
      <c r="L181" s="1191"/>
      <c r="M181" s="1189">
        <v>0</v>
      </c>
      <c r="N181" s="1190"/>
      <c r="O181" s="1191"/>
      <c r="P181" s="1192">
        <v>9.5994092815299456E-2</v>
      </c>
      <c r="Q181" s="1193"/>
      <c r="R181" s="1194"/>
      <c r="S181" s="1192">
        <v>0.12924694849641624</v>
      </c>
      <c r="T181" s="1193"/>
      <c r="U181" s="1194"/>
      <c r="V181" s="1192">
        <v>0.14054037118056914</v>
      </c>
      <c r="W181" s="1193"/>
      <c r="X181" s="1194"/>
      <c r="Y181" s="1189">
        <v>1608</v>
      </c>
      <c r="Z181" s="1190"/>
      <c r="AA181" s="1191"/>
      <c r="AB181" s="1189">
        <v>4686</v>
      </c>
      <c r="AC181" s="1190"/>
      <c r="AD181" s="1191"/>
      <c r="AE181" s="1189">
        <v>0</v>
      </c>
      <c r="AF181" s="1190"/>
      <c r="AG181" s="1191"/>
      <c r="AH181" s="1192">
        <v>0.97699999999999998</v>
      </c>
      <c r="AI181" s="1193"/>
      <c r="AJ181" s="1194"/>
      <c r="AK181" s="1192">
        <v>1.3089999999999999</v>
      </c>
      <c r="AL181" s="1193"/>
      <c r="AM181" s="1194"/>
      <c r="AN181" s="1192">
        <v>1.4219999999999999</v>
      </c>
      <c r="AO181" s="1193"/>
      <c r="AP181" s="1194"/>
    </row>
    <row r="182" spans="1:42" x14ac:dyDescent="0.25">
      <c r="A182" s="1195">
        <f t="shared" si="4"/>
        <v>2033</v>
      </c>
      <c r="B182" s="1196"/>
      <c r="C182" s="1197"/>
      <c r="D182" s="1195">
        <v>10</v>
      </c>
      <c r="E182" s="1196"/>
      <c r="F182" s="1197"/>
      <c r="G182" s="1189">
        <v>131.99335736719559</v>
      </c>
      <c r="H182" s="1190"/>
      <c r="I182" s="1191"/>
      <c r="J182" s="1189">
        <v>384.73400129451625</v>
      </c>
      <c r="K182" s="1190"/>
      <c r="L182" s="1191"/>
      <c r="M182" s="1189">
        <v>0</v>
      </c>
      <c r="N182" s="1190"/>
      <c r="O182" s="1191"/>
      <c r="P182" s="1192">
        <v>9.351995723774395E-2</v>
      </c>
      <c r="Q182" s="1193"/>
      <c r="R182" s="1194"/>
      <c r="S182" s="1192">
        <v>0.12548247426836528</v>
      </c>
      <c r="T182" s="1193"/>
      <c r="U182" s="1194"/>
      <c r="V182" s="1192">
        <v>0.13672854507543578</v>
      </c>
      <c r="W182" s="1193"/>
      <c r="X182" s="1194"/>
      <c r="Y182" s="1189">
        <v>1740</v>
      </c>
      <c r="Z182" s="1190"/>
      <c r="AA182" s="1191"/>
      <c r="AB182" s="1189">
        <v>5071</v>
      </c>
      <c r="AC182" s="1190"/>
      <c r="AD182" s="1191"/>
      <c r="AE182" s="1189">
        <v>0</v>
      </c>
      <c r="AF182" s="1190"/>
      <c r="AG182" s="1191"/>
      <c r="AH182" s="1192">
        <v>1.07</v>
      </c>
      <c r="AI182" s="1193"/>
      <c r="AJ182" s="1194"/>
      <c r="AK182" s="1192">
        <v>1.4350000000000001</v>
      </c>
      <c r="AL182" s="1193"/>
      <c r="AM182" s="1194"/>
      <c r="AN182" s="1192">
        <v>1.5580000000000001</v>
      </c>
      <c r="AO182" s="1193"/>
      <c r="AP182" s="1194"/>
    </row>
    <row r="183" spans="1:42" x14ac:dyDescent="0.25">
      <c r="A183" s="1195">
        <f t="shared" si="4"/>
        <v>2034</v>
      </c>
      <c r="B183" s="1196"/>
      <c r="C183" s="1197"/>
      <c r="D183" s="1195">
        <v>11</v>
      </c>
      <c r="E183" s="1196"/>
      <c r="F183" s="1197"/>
      <c r="G183" s="1189">
        <v>124.52203525207129</v>
      </c>
      <c r="H183" s="1190"/>
      <c r="I183" s="1191"/>
      <c r="J183" s="1189">
        <v>362.95660499482659</v>
      </c>
      <c r="K183" s="1190"/>
      <c r="L183" s="1191"/>
      <c r="M183" s="1189">
        <v>0</v>
      </c>
      <c r="N183" s="1190"/>
      <c r="O183" s="1191"/>
      <c r="P183" s="1192">
        <v>9.1018348637164223E-2</v>
      </c>
      <c r="Q183" s="1193"/>
      <c r="R183" s="1194"/>
      <c r="S183" s="1192">
        <v>0.1217300613674957</v>
      </c>
      <c r="T183" s="1193"/>
      <c r="U183" s="1194"/>
      <c r="V183" s="1192">
        <v>0.13289795690579806</v>
      </c>
      <c r="W183" s="1193"/>
      <c r="X183" s="1194"/>
      <c r="Y183" s="1189">
        <v>1864</v>
      </c>
      <c r="Z183" s="1190"/>
      <c r="AA183" s="1191"/>
      <c r="AB183" s="1189">
        <v>5434</v>
      </c>
      <c r="AC183" s="1190"/>
      <c r="AD183" s="1191"/>
      <c r="AE183" s="1189">
        <v>0</v>
      </c>
      <c r="AF183" s="1190"/>
      <c r="AG183" s="1191"/>
      <c r="AH183" s="1192">
        <v>1.161</v>
      </c>
      <c r="AI183" s="1193"/>
      <c r="AJ183" s="1194"/>
      <c r="AK183" s="1192">
        <v>1.5569999999999999</v>
      </c>
      <c r="AL183" s="1193"/>
      <c r="AM183" s="1194"/>
      <c r="AN183" s="1192">
        <v>1.6910000000000001</v>
      </c>
      <c r="AO183" s="1193"/>
      <c r="AP183" s="1194"/>
    </row>
    <row r="184" spans="1:42" x14ac:dyDescent="0.25">
      <c r="A184" s="1195">
        <f t="shared" si="4"/>
        <v>2035</v>
      </c>
      <c r="B184" s="1196"/>
      <c r="C184" s="1197"/>
      <c r="D184" s="1195">
        <v>12</v>
      </c>
      <c r="E184" s="1196"/>
      <c r="F184" s="1197"/>
      <c r="G184" s="1189">
        <v>117.47361816233138</v>
      </c>
      <c r="H184" s="1190"/>
      <c r="I184" s="1191"/>
      <c r="J184" s="1189">
        <v>342.41189150455335</v>
      </c>
      <c r="K184" s="1190"/>
      <c r="L184" s="1191"/>
      <c r="M184" s="1189">
        <v>0</v>
      </c>
      <c r="N184" s="1190"/>
      <c r="O184" s="1191"/>
      <c r="P184" s="1192">
        <v>8.8500304265792265E-2</v>
      </c>
      <c r="Q184" s="1193"/>
      <c r="R184" s="1194"/>
      <c r="S184" s="1192">
        <v>0.11852719321311463</v>
      </c>
      <c r="T184" s="1193"/>
      <c r="U184" s="1194"/>
      <c r="V184" s="1192">
        <v>0.12906294372094704</v>
      </c>
      <c r="W184" s="1193"/>
      <c r="X184" s="1194"/>
      <c r="Y184" s="1189">
        <v>1982</v>
      </c>
      <c r="Z184" s="1190"/>
      <c r="AA184" s="1191"/>
      <c r="AB184" s="1189">
        <v>5776</v>
      </c>
      <c r="AC184" s="1190"/>
      <c r="AD184" s="1191"/>
      <c r="AE184" s="1189">
        <v>0</v>
      </c>
      <c r="AF184" s="1190"/>
      <c r="AG184" s="1191"/>
      <c r="AH184" s="1192">
        <v>1.25</v>
      </c>
      <c r="AI184" s="1193"/>
      <c r="AJ184" s="1194"/>
      <c r="AK184" s="1192">
        <v>1.675</v>
      </c>
      <c r="AL184" s="1193"/>
      <c r="AM184" s="1194"/>
      <c r="AN184" s="1192">
        <v>1.82</v>
      </c>
      <c r="AO184" s="1193"/>
      <c r="AP184" s="1194"/>
    </row>
    <row r="185" spans="1:42" x14ac:dyDescent="0.25">
      <c r="A185" s="1195">
        <f t="shared" si="4"/>
        <v>2036</v>
      </c>
      <c r="B185" s="1196"/>
      <c r="C185" s="1197"/>
      <c r="D185" s="1195">
        <v>13</v>
      </c>
      <c r="E185" s="1196"/>
      <c r="F185" s="1197"/>
      <c r="G185" s="1189">
        <v>110.82416807767112</v>
      </c>
      <c r="H185" s="1190"/>
      <c r="I185" s="1191"/>
      <c r="J185" s="1189">
        <v>323.03008632505032</v>
      </c>
      <c r="K185" s="1190"/>
      <c r="L185" s="1191"/>
      <c r="M185" s="1189">
        <v>0</v>
      </c>
      <c r="N185" s="1190"/>
      <c r="O185" s="1191"/>
      <c r="P185" s="1192">
        <v>8.5975699898821076E-2</v>
      </c>
      <c r="Q185" s="1193"/>
      <c r="R185" s="1194"/>
      <c r="S185" s="1192">
        <v>0.11529689234986412</v>
      </c>
      <c r="T185" s="1193"/>
      <c r="U185" s="1194"/>
      <c r="V185" s="1192">
        <v>0.12523627962140413</v>
      </c>
      <c r="W185" s="1193"/>
      <c r="X185" s="1194"/>
      <c r="Y185" s="1189">
        <v>2093</v>
      </c>
      <c r="Z185" s="1190"/>
      <c r="AA185" s="1191"/>
      <c r="AB185" s="1189">
        <v>6099</v>
      </c>
      <c r="AC185" s="1190"/>
      <c r="AD185" s="1191"/>
      <c r="AE185" s="1189">
        <v>0</v>
      </c>
      <c r="AF185" s="1190"/>
      <c r="AG185" s="1191"/>
      <c r="AH185" s="1192">
        <v>1.3360000000000001</v>
      </c>
      <c r="AI185" s="1193"/>
      <c r="AJ185" s="1194"/>
      <c r="AK185" s="1192">
        <v>1.79</v>
      </c>
      <c r="AL185" s="1193"/>
      <c r="AM185" s="1194"/>
      <c r="AN185" s="1192">
        <v>1.946</v>
      </c>
      <c r="AO185" s="1193"/>
      <c r="AP185" s="1194"/>
    </row>
    <row r="186" spans="1:42" x14ac:dyDescent="0.25">
      <c r="A186" s="1195">
        <f t="shared" si="4"/>
        <v>2037</v>
      </c>
      <c r="B186" s="1196"/>
      <c r="C186" s="1197"/>
      <c r="D186" s="1195">
        <v>14</v>
      </c>
      <c r="E186" s="1196"/>
      <c r="F186" s="1197"/>
      <c r="G186" s="1189">
        <v>104.55110196006707</v>
      </c>
      <c r="H186" s="1190"/>
      <c r="I186" s="1191"/>
      <c r="J186" s="1189">
        <v>304.74536445759463</v>
      </c>
      <c r="K186" s="1190"/>
      <c r="L186" s="1191"/>
      <c r="M186" s="1189">
        <v>0</v>
      </c>
      <c r="N186" s="1190"/>
      <c r="O186" s="1191"/>
      <c r="P186" s="1192">
        <v>8.3453345959156669E-2</v>
      </c>
      <c r="Q186" s="1193"/>
      <c r="R186" s="1194"/>
      <c r="S186" s="1192">
        <v>0.11205252631594632</v>
      </c>
      <c r="T186" s="1193"/>
      <c r="U186" s="1194"/>
      <c r="V186" s="1192">
        <v>0.12189814578303786</v>
      </c>
      <c r="W186" s="1193"/>
      <c r="X186" s="1194"/>
      <c r="Y186" s="1189">
        <v>2197</v>
      </c>
      <c r="Z186" s="1190"/>
      <c r="AA186" s="1191"/>
      <c r="AB186" s="1189">
        <v>6404</v>
      </c>
      <c r="AC186" s="1190"/>
      <c r="AD186" s="1191"/>
      <c r="AE186" s="1189">
        <v>0</v>
      </c>
      <c r="AF186" s="1190"/>
      <c r="AG186" s="1191"/>
      <c r="AH186" s="1192">
        <v>1.419</v>
      </c>
      <c r="AI186" s="1193"/>
      <c r="AJ186" s="1194"/>
      <c r="AK186" s="1192">
        <v>1.9019999999999999</v>
      </c>
      <c r="AL186" s="1193"/>
      <c r="AM186" s="1194"/>
      <c r="AN186" s="1192">
        <v>2.0670000000000002</v>
      </c>
      <c r="AO186" s="1193"/>
      <c r="AP186" s="1194"/>
    </row>
    <row r="187" spans="1:42" x14ac:dyDescent="0.25">
      <c r="A187" s="1195">
        <f t="shared" si="4"/>
        <v>2038</v>
      </c>
      <c r="B187" s="1196"/>
      <c r="C187" s="1197"/>
      <c r="D187" s="1195">
        <v>15</v>
      </c>
      <c r="E187" s="1196"/>
      <c r="F187" s="1197"/>
      <c r="G187" s="1189">
        <v>98.633115056667052</v>
      </c>
      <c r="H187" s="1190"/>
      <c r="I187" s="1191"/>
      <c r="J187" s="1189">
        <v>287.49562684678739</v>
      </c>
      <c r="K187" s="1190"/>
      <c r="L187" s="1191"/>
      <c r="M187" s="1189">
        <v>0</v>
      </c>
      <c r="N187" s="1190"/>
      <c r="O187" s="1191"/>
      <c r="P187" s="1192">
        <v>8.0941076481480134E-2</v>
      </c>
      <c r="Q187" s="1193"/>
      <c r="R187" s="1194"/>
      <c r="S187" s="1192">
        <v>0.10880603723739954</v>
      </c>
      <c r="T187" s="1193"/>
      <c r="U187" s="1194"/>
      <c r="V187" s="1192">
        <v>0.11853665845375234</v>
      </c>
      <c r="W187" s="1193"/>
      <c r="X187" s="1194"/>
      <c r="Y187" s="1189">
        <v>2296</v>
      </c>
      <c r="Z187" s="1190"/>
      <c r="AA187" s="1191"/>
      <c r="AB187" s="1189">
        <v>6692</v>
      </c>
      <c r="AC187" s="1190"/>
      <c r="AD187" s="1191"/>
      <c r="AE187" s="1189">
        <v>0</v>
      </c>
      <c r="AF187" s="1190"/>
      <c r="AG187" s="1191"/>
      <c r="AH187" s="1192">
        <v>1.5</v>
      </c>
      <c r="AI187" s="1193"/>
      <c r="AJ187" s="1194"/>
      <c r="AK187" s="1192">
        <v>2.0110000000000001</v>
      </c>
      <c r="AL187" s="1193"/>
      <c r="AM187" s="1194"/>
      <c r="AN187" s="1192">
        <v>2.1859999999999999</v>
      </c>
      <c r="AO187" s="1193"/>
      <c r="AP187" s="1194"/>
    </row>
    <row r="188" spans="1:42" x14ac:dyDescent="0.25">
      <c r="A188" s="1195">
        <f t="shared" si="4"/>
        <v>2039</v>
      </c>
      <c r="B188" s="1196"/>
      <c r="C188" s="1197"/>
      <c r="D188" s="1195">
        <v>16</v>
      </c>
      <c r="E188" s="1196"/>
      <c r="F188" s="1197"/>
      <c r="G188" s="1189">
        <v>93.050108544025505</v>
      </c>
      <c r="H188" s="1190"/>
      <c r="I188" s="1191"/>
      <c r="J188" s="1189">
        <v>271.22228947810123</v>
      </c>
      <c r="K188" s="1190"/>
      <c r="L188" s="1191"/>
      <c r="M188" s="1189">
        <v>0</v>
      </c>
      <c r="N188" s="1190"/>
      <c r="O188" s="1191"/>
      <c r="P188" s="1192">
        <v>7.8445831418281584E-2</v>
      </c>
      <c r="Q188" s="1193"/>
      <c r="R188" s="1194"/>
      <c r="S188" s="1192">
        <v>0.1055680603660917</v>
      </c>
      <c r="T188" s="1193"/>
      <c r="U188" s="1194"/>
      <c r="V188" s="1192">
        <v>0.11516515676300915</v>
      </c>
      <c r="W188" s="1193"/>
      <c r="X188" s="1194"/>
      <c r="Y188" s="1189">
        <v>2389</v>
      </c>
      <c r="Z188" s="1190"/>
      <c r="AA188" s="1191"/>
      <c r="AB188" s="1189">
        <v>6963</v>
      </c>
      <c r="AC188" s="1190"/>
      <c r="AD188" s="1191"/>
      <c r="AE188" s="1189">
        <v>0</v>
      </c>
      <c r="AF188" s="1190"/>
      <c r="AG188" s="1191"/>
      <c r="AH188" s="1192">
        <v>1.5780000000000001</v>
      </c>
      <c r="AI188" s="1193"/>
      <c r="AJ188" s="1194"/>
      <c r="AK188" s="1192">
        <v>2.117</v>
      </c>
      <c r="AL188" s="1193"/>
      <c r="AM188" s="1194"/>
      <c r="AN188" s="1192">
        <v>2.3010000000000002</v>
      </c>
      <c r="AO188" s="1193"/>
      <c r="AP188" s="1194"/>
    </row>
    <row r="189" spans="1:42" x14ac:dyDescent="0.25">
      <c r="A189" s="1195">
        <f t="shared" si="4"/>
        <v>2040</v>
      </c>
      <c r="B189" s="1196"/>
      <c r="C189" s="1197"/>
      <c r="D189" s="1195">
        <v>17</v>
      </c>
      <c r="E189" s="1196"/>
      <c r="F189" s="1197"/>
      <c r="G189" s="1189">
        <v>87.783121267948601</v>
      </c>
      <c r="H189" s="1190"/>
      <c r="I189" s="1191"/>
      <c r="J189" s="1189">
        <v>255.87008441330312</v>
      </c>
      <c r="K189" s="1190"/>
      <c r="L189" s="1191"/>
      <c r="M189" s="1189">
        <v>0</v>
      </c>
      <c r="N189" s="1190"/>
      <c r="O189" s="1191"/>
      <c r="P189" s="1192">
        <v>7.6367379040278169E-2</v>
      </c>
      <c r="Q189" s="1193"/>
      <c r="R189" s="1194"/>
      <c r="S189" s="1192">
        <v>0.10274168004903403</v>
      </c>
      <c r="T189" s="1193"/>
      <c r="U189" s="1194"/>
      <c r="V189" s="1192">
        <v>0.11179554457442781</v>
      </c>
      <c r="W189" s="1193"/>
      <c r="X189" s="1194"/>
      <c r="Y189" s="1189">
        <v>2477</v>
      </c>
      <c r="Z189" s="1190"/>
      <c r="AA189" s="1191"/>
      <c r="AB189" s="1189">
        <v>7219</v>
      </c>
      <c r="AC189" s="1190"/>
      <c r="AD189" s="1191"/>
      <c r="AE189" s="1189">
        <v>0</v>
      </c>
      <c r="AF189" s="1190"/>
      <c r="AG189" s="1191"/>
      <c r="AH189" s="1192">
        <v>1.655</v>
      </c>
      <c r="AI189" s="1193"/>
      <c r="AJ189" s="1194"/>
      <c r="AK189" s="1192">
        <v>2.2200000000000002</v>
      </c>
      <c r="AL189" s="1193"/>
      <c r="AM189" s="1194"/>
      <c r="AN189" s="1192">
        <v>2.4129999999999998</v>
      </c>
      <c r="AO189" s="1193"/>
      <c r="AP189" s="1194"/>
    </row>
    <row r="190" spans="1:42" x14ac:dyDescent="0.25">
      <c r="A190" s="1195">
        <f t="shared" si="4"/>
        <v>2041</v>
      </c>
      <c r="B190" s="1196"/>
      <c r="C190" s="1197"/>
      <c r="D190" s="1195">
        <v>18</v>
      </c>
      <c r="E190" s="1196"/>
      <c r="F190" s="1197"/>
      <c r="G190" s="1189">
        <v>82.814265347121321</v>
      </c>
      <c r="H190" s="1190"/>
      <c r="I190" s="1191"/>
      <c r="J190" s="1189">
        <v>241.38687208802179</v>
      </c>
      <c r="K190" s="1190"/>
      <c r="L190" s="1191"/>
      <c r="M190" s="1189">
        <v>0</v>
      </c>
      <c r="N190" s="1190"/>
      <c r="O190" s="1191"/>
      <c r="P190" s="1192">
        <v>7.4272883719391322E-2</v>
      </c>
      <c r="Q190" s="1193"/>
      <c r="R190" s="1194"/>
      <c r="S190" s="1192">
        <v>9.9897028602581331E-2</v>
      </c>
      <c r="T190" s="1193"/>
      <c r="U190" s="1194"/>
      <c r="V190" s="1192">
        <v>0.10880977464890827</v>
      </c>
      <c r="W190" s="1193"/>
      <c r="X190" s="1194"/>
      <c r="Y190" s="1189">
        <v>2559</v>
      </c>
      <c r="Z190" s="1190"/>
      <c r="AA190" s="1191"/>
      <c r="AB190" s="1189">
        <v>7460</v>
      </c>
      <c r="AC190" s="1190"/>
      <c r="AD190" s="1191"/>
      <c r="AE190" s="1189">
        <v>0</v>
      </c>
      <c r="AF190" s="1190"/>
      <c r="AG190" s="1191"/>
      <c r="AH190" s="1192">
        <v>1.7290000000000001</v>
      </c>
      <c r="AI190" s="1193"/>
      <c r="AJ190" s="1194"/>
      <c r="AK190" s="1192">
        <v>2.319</v>
      </c>
      <c r="AL190" s="1193"/>
      <c r="AM190" s="1194"/>
      <c r="AN190" s="1192">
        <v>2.5219999999999998</v>
      </c>
      <c r="AO190" s="1193"/>
      <c r="AP190" s="1194"/>
    </row>
    <row r="191" spans="1:42" x14ac:dyDescent="0.25">
      <c r="A191" s="1195">
        <f t="shared" si="4"/>
        <v>2042</v>
      </c>
      <c r="B191" s="1196"/>
      <c r="C191" s="1197"/>
      <c r="D191" s="1195">
        <v>19</v>
      </c>
      <c r="E191" s="1196"/>
      <c r="F191" s="1197"/>
      <c r="G191" s="1189">
        <v>78.126665421812561</v>
      </c>
      <c r="H191" s="1190"/>
      <c r="I191" s="1191"/>
      <c r="J191" s="1189">
        <v>227.72346423398281</v>
      </c>
      <c r="K191" s="1190"/>
      <c r="L191" s="1191"/>
      <c r="M191" s="1189">
        <v>0</v>
      </c>
      <c r="N191" s="1190"/>
      <c r="O191" s="1191"/>
      <c r="P191" s="1192">
        <v>7.2170820972616082E-2</v>
      </c>
      <c r="Q191" s="1193"/>
      <c r="R191" s="1194"/>
      <c r="S191" s="1192">
        <v>9.704523014278961E-2</v>
      </c>
      <c r="T191" s="1193"/>
      <c r="U191" s="1194"/>
      <c r="V191" s="1192">
        <v>0.10580382492101971</v>
      </c>
      <c r="W191" s="1193"/>
      <c r="X191" s="1194"/>
      <c r="Y191" s="1189">
        <v>2638</v>
      </c>
      <c r="Z191" s="1190"/>
      <c r="AA191" s="1191"/>
      <c r="AB191" s="1189">
        <v>7688</v>
      </c>
      <c r="AC191" s="1190"/>
      <c r="AD191" s="1191"/>
      <c r="AE191" s="1189">
        <v>0</v>
      </c>
      <c r="AF191" s="1190"/>
      <c r="AG191" s="1191"/>
      <c r="AH191" s="1192">
        <v>1.8009999999999999</v>
      </c>
      <c r="AI191" s="1193"/>
      <c r="AJ191" s="1194"/>
      <c r="AK191" s="1192">
        <v>2.4169999999999998</v>
      </c>
      <c r="AL191" s="1193"/>
      <c r="AM191" s="1194"/>
      <c r="AN191" s="1192">
        <v>2.6280000000000001</v>
      </c>
      <c r="AO191" s="1193"/>
      <c r="AP191" s="1194"/>
    </row>
    <row r="192" spans="1:42" x14ac:dyDescent="0.25">
      <c r="A192" s="1195">
        <f t="shared" si="4"/>
        <v>2043</v>
      </c>
      <c r="B192" s="1196"/>
      <c r="C192" s="1197"/>
      <c r="D192" s="1195">
        <v>20</v>
      </c>
      <c r="E192" s="1196"/>
      <c r="F192" s="1197"/>
      <c r="G192" s="1189">
        <v>73.704401341332598</v>
      </c>
      <c r="H192" s="1190"/>
      <c r="I192" s="1191"/>
      <c r="J192" s="1189">
        <v>214.83345682451207</v>
      </c>
      <c r="K192" s="1190"/>
      <c r="L192" s="1191"/>
      <c r="M192" s="1189">
        <v>0</v>
      </c>
      <c r="N192" s="1190"/>
      <c r="O192" s="1191"/>
      <c r="P192" s="1192">
        <v>7.0068758225840855E-2</v>
      </c>
      <c r="Q192" s="1193"/>
      <c r="R192" s="1194"/>
      <c r="S192" s="1192">
        <v>9.4196207992286049E-2</v>
      </c>
      <c r="T192" s="1193"/>
      <c r="U192" s="1194"/>
      <c r="V192" s="1192">
        <v>0.10278954626526654</v>
      </c>
      <c r="W192" s="1193"/>
      <c r="X192" s="1194"/>
      <c r="Y192" s="1189">
        <v>2711</v>
      </c>
      <c r="Z192" s="1190"/>
      <c r="AA192" s="1191"/>
      <c r="AB192" s="1189">
        <v>7903</v>
      </c>
      <c r="AC192" s="1190"/>
      <c r="AD192" s="1191"/>
      <c r="AE192" s="1189">
        <v>0</v>
      </c>
      <c r="AF192" s="1190"/>
      <c r="AG192" s="1191"/>
      <c r="AH192" s="1192">
        <v>1.871</v>
      </c>
      <c r="AI192" s="1193"/>
      <c r="AJ192" s="1194"/>
      <c r="AK192" s="1192">
        <v>2.5110000000000001</v>
      </c>
      <c r="AL192" s="1193"/>
      <c r="AM192" s="1194"/>
      <c r="AN192" s="1192">
        <v>2.73</v>
      </c>
      <c r="AO192" s="1193"/>
      <c r="AP192" s="1194"/>
    </row>
    <row r="193" spans="1:42" x14ac:dyDescent="0.25">
      <c r="A193" s="1195">
        <f t="shared" si="4"/>
        <v>2044</v>
      </c>
      <c r="B193" s="1196"/>
      <c r="C193" s="1197"/>
      <c r="D193" s="1195">
        <v>21</v>
      </c>
      <c r="E193" s="1196"/>
      <c r="F193" s="1197"/>
      <c r="G193" s="1189">
        <v>69.53245409559679</v>
      </c>
      <c r="H193" s="1190"/>
      <c r="I193" s="1191"/>
      <c r="J193" s="1189">
        <v>202.67307247595477</v>
      </c>
      <c r="K193" s="1190"/>
      <c r="L193" s="1191"/>
      <c r="M193" s="1189">
        <v>0</v>
      </c>
      <c r="N193" s="1190"/>
      <c r="O193" s="1191"/>
      <c r="P193" s="1192">
        <v>6.797343046116637E-2</v>
      </c>
      <c r="Q193" s="1193"/>
      <c r="R193" s="1194"/>
      <c r="S193" s="1192">
        <v>9.1670589704508768E-2</v>
      </c>
      <c r="T193" s="1193"/>
      <c r="U193" s="1194"/>
      <c r="V193" s="1192">
        <v>9.9777512603546975E-2</v>
      </c>
      <c r="W193" s="1193"/>
      <c r="X193" s="1194"/>
      <c r="Y193" s="1189">
        <v>2781</v>
      </c>
      <c r="Z193" s="1190"/>
      <c r="AA193" s="1191"/>
      <c r="AB193" s="1189">
        <v>8105</v>
      </c>
      <c r="AC193" s="1190"/>
      <c r="AD193" s="1191"/>
      <c r="AE193" s="1189">
        <v>0</v>
      </c>
      <c r="AF193" s="1190"/>
      <c r="AG193" s="1191"/>
      <c r="AH193" s="1192">
        <v>1.9390000000000001</v>
      </c>
      <c r="AI193" s="1193"/>
      <c r="AJ193" s="1194"/>
      <c r="AK193" s="1192">
        <v>2.6019999999999999</v>
      </c>
      <c r="AL193" s="1193"/>
      <c r="AM193" s="1194"/>
      <c r="AN193" s="1192">
        <v>2.83</v>
      </c>
      <c r="AO193" s="1193"/>
      <c r="AP193" s="1194"/>
    </row>
    <row r="194" spans="1:42" x14ac:dyDescent="0.25">
      <c r="A194" s="1195">
        <f t="shared" si="4"/>
        <v>2045</v>
      </c>
      <c r="B194" s="1196"/>
      <c r="C194" s="1197"/>
      <c r="D194" s="1195">
        <v>22</v>
      </c>
      <c r="E194" s="1196"/>
      <c r="F194" s="1197"/>
      <c r="G194" s="1189">
        <v>65.596654807166772</v>
      </c>
      <c r="H194" s="1190"/>
      <c r="I194" s="1191"/>
      <c r="J194" s="1189">
        <v>191.20101176976863</v>
      </c>
      <c r="K194" s="1190"/>
      <c r="L194" s="1191"/>
      <c r="M194" s="1189">
        <v>0</v>
      </c>
      <c r="N194" s="1190"/>
      <c r="O194" s="1191"/>
      <c r="P194" s="1192">
        <v>6.6184965612612223E-2</v>
      </c>
      <c r="Q194" s="1193"/>
      <c r="R194" s="1194"/>
      <c r="S194" s="1192">
        <v>8.9129087024984441E-2</v>
      </c>
      <c r="T194" s="1193"/>
      <c r="U194" s="1194"/>
      <c r="V194" s="1192">
        <v>9.7071282898497924E-2</v>
      </c>
      <c r="W194" s="1193"/>
      <c r="X194" s="1194"/>
      <c r="Y194" s="1189">
        <v>2846</v>
      </c>
      <c r="Z194" s="1190"/>
      <c r="AA194" s="1191"/>
      <c r="AB194" s="1189">
        <v>8297</v>
      </c>
      <c r="AC194" s="1190"/>
      <c r="AD194" s="1191"/>
      <c r="AE194" s="1189">
        <v>0</v>
      </c>
      <c r="AF194" s="1190"/>
      <c r="AG194" s="1191"/>
      <c r="AH194" s="1192">
        <v>2.0049999999999999</v>
      </c>
      <c r="AI194" s="1193"/>
      <c r="AJ194" s="1194"/>
      <c r="AK194" s="1192">
        <v>2.6920000000000002</v>
      </c>
      <c r="AL194" s="1193"/>
      <c r="AM194" s="1194"/>
      <c r="AN194" s="1192">
        <v>2.927</v>
      </c>
      <c r="AO194" s="1193"/>
      <c r="AP194" s="1194"/>
    </row>
    <row r="195" spans="1:42" x14ac:dyDescent="0.25">
      <c r="A195" s="1195">
        <f t="shared" si="4"/>
        <v>2046</v>
      </c>
      <c r="B195" s="1196"/>
      <c r="C195" s="1197"/>
      <c r="D195" s="1195">
        <v>23</v>
      </c>
      <c r="E195" s="1196"/>
      <c r="F195" s="1197"/>
      <c r="G195" s="1189">
        <v>61.883636610534687</v>
      </c>
      <c r="H195" s="1190"/>
      <c r="I195" s="1191"/>
      <c r="J195" s="1189">
        <v>180.37831299034775</v>
      </c>
      <c r="K195" s="1190"/>
      <c r="L195" s="1191"/>
      <c r="M195" s="1189">
        <v>0</v>
      </c>
      <c r="N195" s="1190"/>
      <c r="O195" s="1191"/>
      <c r="P195" s="1192">
        <v>6.4381182482708743E-2</v>
      </c>
      <c r="Q195" s="1193"/>
      <c r="R195" s="1194"/>
      <c r="S195" s="1192">
        <v>8.658159023536692E-2</v>
      </c>
      <c r="T195" s="1193"/>
      <c r="U195" s="1194"/>
      <c r="V195" s="1192">
        <v>9.4351732948797284E-2</v>
      </c>
      <c r="W195" s="1193"/>
      <c r="X195" s="1194"/>
      <c r="Y195" s="1189">
        <v>2908</v>
      </c>
      <c r="Z195" s="1190"/>
      <c r="AA195" s="1191"/>
      <c r="AB195" s="1189">
        <v>8477</v>
      </c>
      <c r="AC195" s="1190"/>
      <c r="AD195" s="1191"/>
      <c r="AE195" s="1189">
        <v>0</v>
      </c>
      <c r="AF195" s="1190"/>
      <c r="AG195" s="1191"/>
      <c r="AH195" s="1192">
        <v>2.0699999999999998</v>
      </c>
      <c r="AI195" s="1193"/>
      <c r="AJ195" s="1194"/>
      <c r="AK195" s="1192">
        <v>2.778</v>
      </c>
      <c r="AL195" s="1193"/>
      <c r="AM195" s="1194"/>
      <c r="AN195" s="1192">
        <v>3.0219999999999998</v>
      </c>
      <c r="AO195" s="1193"/>
      <c r="AP195" s="1194"/>
    </row>
    <row r="196" spans="1:42" x14ac:dyDescent="0.25">
      <c r="A196" s="1195">
        <f t="shared" si="4"/>
        <v>2047</v>
      </c>
      <c r="B196" s="1196"/>
      <c r="C196" s="1197"/>
      <c r="D196" s="1195">
        <v>24</v>
      </c>
      <c r="E196" s="1196"/>
      <c r="F196" s="1197"/>
      <c r="G196" s="1189">
        <v>58.380789255221394</v>
      </c>
      <c r="H196" s="1190"/>
      <c r="I196" s="1191"/>
      <c r="J196" s="1189">
        <v>170.16821980221482</v>
      </c>
      <c r="K196" s="1190"/>
      <c r="L196" s="1191"/>
      <c r="M196" s="1189">
        <v>0</v>
      </c>
      <c r="N196" s="1190"/>
      <c r="O196" s="1191"/>
      <c r="P196" s="1192">
        <v>6.2569545434968218E-2</v>
      </c>
      <c r="Q196" s="1193"/>
      <c r="R196" s="1194"/>
      <c r="S196" s="1192">
        <v>8.4036920856170719E-2</v>
      </c>
      <c r="T196" s="1193"/>
      <c r="U196" s="1194"/>
      <c r="V196" s="1192">
        <v>9.1629041431961822E-2</v>
      </c>
      <c r="W196" s="1193"/>
      <c r="X196" s="1194"/>
      <c r="Y196" s="1189">
        <v>2967</v>
      </c>
      <c r="Z196" s="1190"/>
      <c r="AA196" s="1191"/>
      <c r="AB196" s="1189">
        <v>8647</v>
      </c>
      <c r="AC196" s="1190"/>
      <c r="AD196" s="1191"/>
      <c r="AE196" s="1189">
        <v>0</v>
      </c>
      <c r="AF196" s="1190"/>
      <c r="AG196" s="1191"/>
      <c r="AH196" s="1192">
        <v>2.1320000000000001</v>
      </c>
      <c r="AI196" s="1193"/>
      <c r="AJ196" s="1194"/>
      <c r="AK196" s="1192">
        <v>2.8620000000000001</v>
      </c>
      <c r="AL196" s="1193"/>
      <c r="AM196" s="1194"/>
      <c r="AN196" s="1192">
        <v>3.113</v>
      </c>
      <c r="AO196" s="1193"/>
      <c r="AP196" s="1194"/>
    </row>
    <row r="197" spans="1:42" x14ac:dyDescent="0.25">
      <c r="A197" s="1195">
        <f t="shared" si="4"/>
        <v>2048</v>
      </c>
      <c r="B197" s="1196"/>
      <c r="C197" s="1197"/>
      <c r="D197" s="1195">
        <v>25</v>
      </c>
      <c r="E197" s="1196"/>
      <c r="F197" s="1197"/>
      <c r="G197" s="1198">
        <v>55.076216278510756</v>
      </c>
      <c r="H197" s="1199"/>
      <c r="I197" s="1200"/>
      <c r="J197" s="1198">
        <v>160.53605641718383</v>
      </c>
      <c r="K197" s="1199"/>
      <c r="L197" s="1200"/>
      <c r="M197" s="1198">
        <v>0</v>
      </c>
      <c r="N197" s="1199"/>
      <c r="O197" s="1200"/>
      <c r="P197" s="1192">
        <v>6.0756722890195722E-2</v>
      </c>
      <c r="Q197" s="1193"/>
      <c r="R197" s="1194"/>
      <c r="S197" s="1192">
        <v>8.1749899498596693E-2</v>
      </c>
      <c r="T197" s="1193"/>
      <c r="U197" s="1194"/>
      <c r="V197" s="1192">
        <v>8.915925594862055E-2</v>
      </c>
      <c r="W197" s="1193"/>
      <c r="X197" s="1194"/>
      <c r="Y197" s="1198">
        <v>3022</v>
      </c>
      <c r="Z197" s="1199"/>
      <c r="AA197" s="1200"/>
      <c r="AB197" s="1198">
        <v>8808</v>
      </c>
      <c r="AC197" s="1199"/>
      <c r="AD197" s="1200"/>
      <c r="AE197" s="1189">
        <v>0</v>
      </c>
      <c r="AF197" s="1190"/>
      <c r="AG197" s="1191"/>
      <c r="AH197" s="1192">
        <v>2.1930000000000001</v>
      </c>
      <c r="AI197" s="1193"/>
      <c r="AJ197" s="1194"/>
      <c r="AK197" s="1192">
        <v>2.944</v>
      </c>
      <c r="AL197" s="1193"/>
      <c r="AM197" s="1194"/>
      <c r="AN197" s="1192">
        <v>3.202</v>
      </c>
      <c r="AO197" s="1193"/>
      <c r="AP197" s="1194"/>
    </row>
    <row r="199" spans="1:42" x14ac:dyDescent="0.25">
      <c r="A199" s="1252" t="s">
        <v>2294</v>
      </c>
      <c r="B199" s="1253"/>
      <c r="C199" s="1253"/>
      <c r="D199" s="1253"/>
      <c r="E199" s="1253"/>
      <c r="F199" s="1253"/>
      <c r="G199" s="1253"/>
      <c r="H199" s="1253"/>
      <c r="I199" s="1253"/>
      <c r="J199" s="1253"/>
      <c r="K199" s="1253"/>
      <c r="L199" s="1253"/>
      <c r="M199" s="1253"/>
      <c r="N199" s="1253"/>
      <c r="O199" s="1253"/>
      <c r="P199" s="1253"/>
      <c r="Q199" s="1253"/>
      <c r="R199" s="1253"/>
      <c r="S199" s="1253"/>
      <c r="T199" s="1253"/>
      <c r="U199" s="1253"/>
      <c r="V199" s="1253"/>
      <c r="W199" s="1253"/>
      <c r="X199" s="1253"/>
      <c r="Y199" s="1253"/>
      <c r="Z199" s="1253"/>
      <c r="AA199" s="1253"/>
      <c r="AB199" s="1253"/>
      <c r="AC199" s="1253"/>
      <c r="AD199" s="1253"/>
      <c r="AE199" s="1253"/>
      <c r="AF199" s="1254"/>
    </row>
    <row r="200" spans="1:42" ht="66.75" customHeight="1" x14ac:dyDescent="0.25">
      <c r="A200" s="1147" t="s">
        <v>1021</v>
      </c>
      <c r="B200" s="1147"/>
      <c r="C200" s="1147"/>
      <c r="D200" s="1147"/>
      <c r="E200" s="1147"/>
      <c r="F200" s="1147"/>
      <c r="G200" s="1147"/>
      <c r="H200" s="1147"/>
      <c r="I200" s="1147"/>
      <c r="J200" s="1147"/>
      <c r="K200" s="1147"/>
      <c r="L200" s="1147"/>
      <c r="M200" s="1147"/>
      <c r="N200" s="1147"/>
      <c r="O200" s="1147"/>
      <c r="P200" s="1147"/>
      <c r="Q200" s="1147"/>
      <c r="R200" s="1147"/>
      <c r="S200" s="1147"/>
      <c r="T200" s="1147"/>
      <c r="U200" s="1147"/>
      <c r="V200" s="1147"/>
      <c r="W200" s="1147"/>
      <c r="X200" s="1147"/>
      <c r="Y200" s="1147"/>
      <c r="Z200" s="1147"/>
      <c r="AA200" s="1147"/>
      <c r="AB200" s="1147"/>
      <c r="AC200" s="1147"/>
      <c r="AD200" s="1147"/>
      <c r="AE200" s="1147"/>
      <c r="AF200" s="1147"/>
    </row>
    <row r="201" spans="1:42" x14ac:dyDescent="0.25">
      <c r="A201" s="270"/>
      <c r="B201" s="270"/>
      <c r="C201" s="270"/>
      <c r="D201" s="270"/>
      <c r="E201" s="270"/>
      <c r="F201" s="270"/>
      <c r="G201" s="270"/>
      <c r="H201" s="270"/>
      <c r="I201" s="270"/>
      <c r="J201" s="270"/>
    </row>
    <row r="202" spans="1:42" x14ac:dyDescent="0.25">
      <c r="A202" s="1275" t="s">
        <v>1233</v>
      </c>
      <c r="B202" s="1275"/>
      <c r="C202" s="1275"/>
      <c r="D202" s="1275"/>
      <c r="E202" s="1275"/>
      <c r="F202" s="1275"/>
      <c r="G202" s="1275"/>
      <c r="H202" s="1275"/>
      <c r="I202" s="1275"/>
      <c r="J202" s="1275"/>
      <c r="K202" s="1275"/>
      <c r="L202" s="1275"/>
      <c r="M202" s="1275"/>
      <c r="N202" s="1275"/>
      <c r="O202" s="1275"/>
      <c r="P202" s="1275"/>
      <c r="Q202" s="1275"/>
      <c r="R202" s="1275"/>
      <c r="S202" s="1275"/>
      <c r="T202" s="1275"/>
      <c r="U202" s="1275"/>
      <c r="V202" s="1275"/>
      <c r="W202" s="1275"/>
      <c r="X202" s="1275"/>
      <c r="Y202" s="1275"/>
      <c r="Z202" s="1275"/>
      <c r="AA202" s="1275"/>
      <c r="AB202" s="1275"/>
      <c r="AC202" s="1275"/>
      <c r="AD202" s="1275"/>
      <c r="AE202" s="1275"/>
      <c r="AF202" s="1275"/>
    </row>
    <row r="203" spans="1:42" x14ac:dyDescent="0.25">
      <c r="A203" s="1275" t="s">
        <v>1234</v>
      </c>
      <c r="B203" s="1275"/>
      <c r="C203" s="1275"/>
      <c r="D203" s="1275"/>
      <c r="E203" s="1275"/>
      <c r="F203" s="1275"/>
      <c r="G203" s="1275"/>
      <c r="H203" s="1275"/>
      <c r="I203" s="1275"/>
      <c r="J203" s="1275"/>
      <c r="K203" s="1275"/>
      <c r="L203" s="1275"/>
      <c r="M203" s="1275"/>
      <c r="N203" s="1275"/>
      <c r="O203" s="1275"/>
      <c r="P203" s="1275"/>
      <c r="Q203" s="1275"/>
      <c r="R203" s="1275"/>
      <c r="S203" s="1275"/>
      <c r="T203" s="1275"/>
      <c r="U203" s="1275"/>
      <c r="V203" s="1275"/>
      <c r="W203" s="1275"/>
      <c r="X203" s="1275"/>
      <c r="Y203" s="1275"/>
      <c r="Z203" s="1275"/>
      <c r="AA203" s="1275"/>
      <c r="AB203" s="1275"/>
      <c r="AC203" s="1275"/>
      <c r="AD203" s="1275"/>
      <c r="AE203" s="1275"/>
      <c r="AF203" s="1275"/>
    </row>
    <row r="204" spans="1:42" x14ac:dyDescent="0.25">
      <c r="A204" s="38"/>
      <c r="B204" s="38"/>
      <c r="C204" s="38"/>
      <c r="D204" s="38"/>
      <c r="E204" s="38"/>
      <c r="F204" s="38"/>
      <c r="G204" s="38"/>
      <c r="H204" s="38"/>
      <c r="I204" s="38"/>
      <c r="J204" s="38"/>
    </row>
    <row r="205" spans="1:42" x14ac:dyDescent="0.25">
      <c r="G205" s="308" t="s">
        <v>1022</v>
      </c>
      <c r="H205" s="227" t="s">
        <v>1023</v>
      </c>
      <c r="I205" s="227"/>
      <c r="J205" s="227"/>
      <c r="K205" s="227"/>
      <c r="L205" s="227"/>
      <c r="M205" s="227"/>
      <c r="N205" s="227"/>
      <c r="O205" s="227"/>
      <c r="P205" s="227"/>
      <c r="Q205" s="227"/>
      <c r="R205" s="227"/>
      <c r="S205" s="227"/>
      <c r="T205" s="227"/>
      <c r="U205" s="227"/>
      <c r="V205" s="227"/>
      <c r="W205" s="227"/>
      <c r="X205" s="227"/>
      <c r="Y205" s="227"/>
      <c r="Z205" s="227"/>
      <c r="AA205" s="227"/>
      <c r="AB205" s="227"/>
      <c r="AC205" s="227"/>
      <c r="AD205" s="227"/>
      <c r="AE205" s="227"/>
      <c r="AF205" s="227"/>
    </row>
    <row r="206" spans="1:42" x14ac:dyDescent="0.25">
      <c r="G206" s="308" t="s">
        <v>1024</v>
      </c>
      <c r="H206" s="227" t="s">
        <v>1025</v>
      </c>
      <c r="I206" s="227"/>
      <c r="J206" s="227"/>
      <c r="K206" s="227"/>
      <c r="L206" s="227"/>
      <c r="M206" s="227"/>
      <c r="N206" s="227"/>
      <c r="O206" s="227"/>
      <c r="P206" s="227"/>
      <c r="Q206" s="227"/>
      <c r="R206" s="227"/>
      <c r="S206" s="227"/>
      <c r="T206" s="227"/>
      <c r="U206" s="227"/>
      <c r="V206" s="227"/>
      <c r="W206" s="227"/>
      <c r="X206" s="227"/>
      <c r="Y206" s="227"/>
      <c r="Z206" s="227"/>
      <c r="AA206" s="227"/>
      <c r="AB206" s="227"/>
      <c r="AC206" s="227"/>
      <c r="AD206" s="227"/>
      <c r="AE206" s="227"/>
      <c r="AF206" s="227"/>
    </row>
    <row r="207" spans="1:42" x14ac:dyDescent="0.25">
      <c r="G207" s="308" t="s">
        <v>1026</v>
      </c>
      <c r="H207" s="227" t="s">
        <v>1027</v>
      </c>
      <c r="I207" s="227"/>
      <c r="J207" s="227"/>
      <c r="K207" s="227"/>
      <c r="L207" s="227"/>
      <c r="M207" s="227"/>
      <c r="N207" s="227"/>
      <c r="O207" s="227"/>
      <c r="P207" s="227"/>
      <c r="Q207" s="227"/>
      <c r="R207" s="227"/>
      <c r="S207" s="227"/>
      <c r="T207" s="227"/>
      <c r="U207" s="227"/>
      <c r="V207" s="227"/>
      <c r="W207" s="227"/>
      <c r="X207" s="227"/>
      <c r="Y207" s="227"/>
      <c r="Z207" s="227"/>
      <c r="AA207" s="227"/>
      <c r="AB207" s="227"/>
      <c r="AC207" s="227"/>
      <c r="AD207" s="227"/>
      <c r="AE207" s="227"/>
      <c r="AF207" s="227"/>
    </row>
    <row r="208" spans="1:42" ht="30" customHeight="1" x14ac:dyDescent="0.25">
      <c r="G208" s="308" t="s">
        <v>1028</v>
      </c>
      <c r="H208" s="1323" t="s">
        <v>5609</v>
      </c>
      <c r="I208" s="1323"/>
      <c r="J208" s="1323"/>
      <c r="K208" s="1323"/>
      <c r="L208" s="1323"/>
      <c r="M208" s="1323"/>
      <c r="N208" s="1323"/>
      <c r="O208" s="1323"/>
      <c r="P208" s="1323"/>
      <c r="Q208" s="1323"/>
      <c r="R208" s="1323"/>
      <c r="S208" s="1323"/>
      <c r="T208" s="1323"/>
      <c r="U208" s="1323"/>
      <c r="V208" s="1323"/>
      <c r="W208" s="1323"/>
      <c r="X208" s="1323"/>
      <c r="Y208" s="1323"/>
      <c r="Z208" s="1323"/>
      <c r="AA208" s="1323"/>
      <c r="AB208" s="1323"/>
      <c r="AC208" s="1323"/>
      <c r="AD208" s="1323"/>
      <c r="AE208" s="1323"/>
      <c r="AF208" s="1323"/>
    </row>
    <row r="209" spans="1:32" x14ac:dyDescent="0.25">
      <c r="G209" s="308" t="s">
        <v>1029</v>
      </c>
      <c r="H209" s="227" t="s">
        <v>2290</v>
      </c>
      <c r="I209" s="227"/>
      <c r="J209" s="227"/>
      <c r="K209" s="227"/>
      <c r="L209" s="227"/>
      <c r="M209" s="227"/>
      <c r="N209" s="227"/>
      <c r="O209" s="227"/>
      <c r="P209" s="227"/>
      <c r="Q209" s="227"/>
      <c r="R209" s="227"/>
      <c r="S209" s="227"/>
      <c r="T209" s="227"/>
      <c r="U209" s="227"/>
      <c r="V209" s="227"/>
      <c r="W209" s="227"/>
      <c r="X209" s="227"/>
      <c r="Y209" s="227"/>
      <c r="Z209" s="227"/>
      <c r="AA209" s="227"/>
      <c r="AB209" s="227"/>
      <c r="AC209" s="227"/>
      <c r="AD209" s="227"/>
      <c r="AE209" s="227"/>
      <c r="AF209" s="227"/>
    </row>
    <row r="210" spans="1:32" x14ac:dyDescent="0.25">
      <c r="G210" s="308" t="s">
        <v>1235</v>
      </c>
      <c r="H210" s="227" t="s">
        <v>5610</v>
      </c>
      <c r="I210" s="227"/>
      <c r="J210" s="227"/>
      <c r="K210" s="227"/>
      <c r="L210" s="227"/>
      <c r="M210" s="227"/>
      <c r="N210" s="227"/>
      <c r="O210" s="227"/>
      <c r="P210" s="227"/>
      <c r="Q210" s="227"/>
      <c r="R210" s="227"/>
      <c r="S210" s="227"/>
      <c r="T210" s="227"/>
      <c r="U210" s="227"/>
      <c r="V210" s="227"/>
      <c r="W210" s="227"/>
      <c r="X210" s="227"/>
      <c r="Y210" s="227"/>
      <c r="Z210" s="227"/>
      <c r="AA210" s="227"/>
      <c r="AB210" s="227"/>
      <c r="AC210" s="227"/>
      <c r="AD210" s="227"/>
      <c r="AE210" s="227"/>
      <c r="AF210" s="227"/>
    </row>
    <row r="212" spans="1:32" x14ac:dyDescent="0.25">
      <c r="A212" s="1263" t="s">
        <v>2668</v>
      </c>
      <c r="B212" s="1263"/>
      <c r="C212" s="1263"/>
      <c r="D212" s="1263"/>
      <c r="E212" s="1263"/>
      <c r="F212" s="1263"/>
      <c r="G212" s="1263"/>
      <c r="H212" s="1263"/>
      <c r="I212" s="1263"/>
      <c r="J212" s="1263"/>
      <c r="K212" s="1263"/>
      <c r="L212" s="1263"/>
      <c r="M212" s="1263"/>
      <c r="N212" s="1263"/>
      <c r="O212" s="1263"/>
      <c r="P212" s="1263"/>
      <c r="Q212" s="1263"/>
      <c r="R212" s="1263"/>
      <c r="S212" s="1263"/>
      <c r="T212" s="1263"/>
      <c r="U212" s="1263"/>
      <c r="V212" s="1263"/>
      <c r="W212" s="1263"/>
      <c r="X212" s="1263"/>
      <c r="Y212" s="1263"/>
      <c r="Z212" s="1263"/>
      <c r="AA212" s="1263"/>
      <c r="AB212" s="1263"/>
      <c r="AC212" s="1263"/>
      <c r="AD212" s="1263"/>
      <c r="AE212" s="1263"/>
      <c r="AF212" s="1263"/>
    </row>
    <row r="213" spans="1:32" ht="91.5" customHeight="1" x14ac:dyDescent="0.25">
      <c r="A213" s="1168" t="s">
        <v>5611</v>
      </c>
      <c r="B213" s="1168"/>
      <c r="C213" s="1168"/>
      <c r="D213" s="1168"/>
      <c r="E213" s="1168"/>
      <c r="F213" s="1168"/>
      <c r="G213" s="1168"/>
      <c r="H213" s="1168"/>
      <c r="I213" s="1168"/>
      <c r="J213" s="1168"/>
      <c r="K213" s="1168"/>
      <c r="L213" s="1168"/>
      <c r="M213" s="1168"/>
      <c r="N213" s="1168"/>
      <c r="O213" s="1168"/>
      <c r="P213" s="1168"/>
      <c r="Q213" s="1168"/>
      <c r="R213" s="1168"/>
      <c r="S213" s="1168"/>
      <c r="T213" s="1168"/>
      <c r="U213" s="1168"/>
      <c r="V213" s="1168"/>
      <c r="W213" s="1168"/>
      <c r="X213" s="1168"/>
      <c r="Y213" s="1168"/>
      <c r="Z213" s="1168"/>
      <c r="AA213" s="1168"/>
      <c r="AB213" s="1168"/>
      <c r="AC213" s="1168"/>
      <c r="AD213" s="1168"/>
      <c r="AE213" s="1168"/>
      <c r="AF213" s="1168"/>
    </row>
    <row r="214" spans="1:32" x14ac:dyDescent="0.25">
      <c r="A214" s="256"/>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256"/>
      <c r="AE214" s="256"/>
      <c r="AF214" s="256"/>
    </row>
    <row r="215" spans="1:32" x14ac:dyDescent="0.25">
      <c r="A215" s="637" t="s">
        <v>5612</v>
      </c>
      <c r="B215" s="148"/>
      <c r="C215" s="148"/>
      <c r="D215" s="148"/>
      <c r="E215" s="148"/>
      <c r="F215" s="148"/>
      <c r="G215" s="148"/>
      <c r="H215" s="148"/>
      <c r="I215" s="148"/>
      <c r="J215" s="148"/>
      <c r="K215" s="148"/>
      <c r="L215" s="148"/>
      <c r="M215" s="148"/>
      <c r="N215" s="148"/>
      <c r="O215" s="148"/>
      <c r="P215" s="148"/>
      <c r="Q215" s="148"/>
      <c r="R215" s="148"/>
      <c r="S215" s="148"/>
      <c r="T215" s="148"/>
      <c r="U215" s="125"/>
      <c r="V215" s="125"/>
      <c r="W215" s="125"/>
      <c r="X215" s="125"/>
    </row>
    <row r="216" spans="1:32" ht="45.75" customHeight="1" x14ac:dyDescent="0.25">
      <c r="A216" s="1265" t="s">
        <v>879</v>
      </c>
      <c r="B216" s="1265"/>
      <c r="C216" s="1265"/>
      <c r="D216" s="1265"/>
      <c r="E216" s="1265"/>
      <c r="F216" s="1265"/>
      <c r="G216" s="1265"/>
      <c r="H216" s="1265"/>
      <c r="I216" s="1265"/>
      <c r="J216" s="1265"/>
      <c r="K216" s="1265"/>
      <c r="L216" s="1265"/>
      <c r="M216" s="1265"/>
      <c r="N216" s="1265"/>
      <c r="O216" s="1265"/>
      <c r="P216" s="1265"/>
      <c r="Q216" s="1265"/>
      <c r="R216" s="1265"/>
      <c r="S216" s="1265"/>
      <c r="T216" s="1265"/>
      <c r="U216" s="1265"/>
      <c r="V216" s="1265"/>
      <c r="W216" s="1267" t="s">
        <v>2291</v>
      </c>
      <c r="X216" s="1268"/>
      <c r="Y216" s="1268"/>
      <c r="Z216" s="1269"/>
      <c r="AA216" s="858"/>
      <c r="AB216" s="859"/>
      <c r="AC216" s="859"/>
      <c r="AD216" s="859"/>
    </row>
    <row r="217" spans="1:32" ht="32.25" customHeight="1" x14ac:dyDescent="0.25">
      <c r="A217" s="1266" t="s">
        <v>880</v>
      </c>
      <c r="B217" s="1266"/>
      <c r="C217" s="1266"/>
      <c r="D217" s="1264" t="s">
        <v>881</v>
      </c>
      <c r="E217" s="1264"/>
      <c r="F217" s="1264"/>
      <c r="G217" s="1264"/>
      <c r="H217" s="1264"/>
      <c r="I217" s="1264"/>
      <c r="J217" s="1264"/>
      <c r="K217" s="1264"/>
      <c r="L217" s="1276" t="s">
        <v>1236</v>
      </c>
      <c r="M217" s="1276"/>
      <c r="N217" s="1276"/>
      <c r="O217" s="1276"/>
      <c r="P217" s="1276"/>
      <c r="Q217" s="1276"/>
      <c r="R217" s="1276"/>
      <c r="S217" s="1276"/>
      <c r="T217" s="1276"/>
      <c r="U217" s="1276"/>
      <c r="V217" s="1276"/>
      <c r="W217" s="1270">
        <v>0.75</v>
      </c>
      <c r="X217" s="1270"/>
      <c r="Y217" s="1270"/>
      <c r="Z217" s="1270"/>
      <c r="AA217" s="860"/>
      <c r="AB217" s="861"/>
      <c r="AC217" s="861"/>
      <c r="AD217" s="861"/>
    </row>
    <row r="218" spans="1:32" ht="47.25" customHeight="1" x14ac:dyDescent="0.25">
      <c r="A218" s="1266" t="s">
        <v>882</v>
      </c>
      <c r="B218" s="1266"/>
      <c r="C218" s="1266"/>
      <c r="D218" s="1264" t="s">
        <v>883</v>
      </c>
      <c r="E218" s="1264"/>
      <c r="F218" s="1264"/>
      <c r="G218" s="1264"/>
      <c r="H218" s="1264"/>
      <c r="I218" s="1264"/>
      <c r="J218" s="1264"/>
      <c r="K218" s="1264"/>
      <c r="L218" s="1276" t="s">
        <v>1237</v>
      </c>
      <c r="M218" s="1276"/>
      <c r="N218" s="1276"/>
      <c r="O218" s="1276"/>
      <c r="P218" s="1276"/>
      <c r="Q218" s="1276"/>
      <c r="R218" s="1276"/>
      <c r="S218" s="1276"/>
      <c r="T218" s="1276"/>
      <c r="U218" s="1276"/>
      <c r="V218" s="1276"/>
      <c r="W218" s="1270">
        <v>0.75</v>
      </c>
      <c r="X218" s="1270"/>
      <c r="Y218" s="1270"/>
      <c r="Z218" s="1270"/>
      <c r="AA218" s="860"/>
      <c r="AB218" s="861"/>
      <c r="AC218" s="861"/>
      <c r="AD218" s="861"/>
    </row>
    <row r="219" spans="1:32" ht="53.25" customHeight="1" x14ac:dyDescent="0.25">
      <c r="A219" s="1266" t="s">
        <v>884</v>
      </c>
      <c r="B219" s="1266"/>
      <c r="C219" s="1266"/>
      <c r="D219" s="1264" t="s">
        <v>885</v>
      </c>
      <c r="E219" s="1264"/>
      <c r="F219" s="1264"/>
      <c r="G219" s="1264"/>
      <c r="H219" s="1264"/>
      <c r="I219" s="1264"/>
      <c r="J219" s="1264"/>
      <c r="K219" s="1264"/>
      <c r="L219" s="1276" t="s">
        <v>1238</v>
      </c>
      <c r="M219" s="1276"/>
      <c r="N219" s="1276"/>
      <c r="O219" s="1276"/>
      <c r="P219" s="1276"/>
      <c r="Q219" s="1276"/>
      <c r="R219" s="1276"/>
      <c r="S219" s="1276"/>
      <c r="T219" s="1276"/>
      <c r="U219" s="1276"/>
      <c r="V219" s="1276"/>
      <c r="W219" s="1270">
        <v>0.95</v>
      </c>
      <c r="X219" s="1270"/>
      <c r="Y219" s="1270"/>
      <c r="Z219" s="1270"/>
      <c r="AA219" s="860"/>
      <c r="AB219" s="861"/>
      <c r="AC219" s="861"/>
      <c r="AD219" s="861"/>
    </row>
    <row r="220" spans="1:32" ht="28.9" customHeight="1" x14ac:dyDescent="0.25">
      <c r="A220" s="1266" t="s">
        <v>886</v>
      </c>
      <c r="B220" s="1266"/>
      <c r="C220" s="1266"/>
      <c r="D220" s="1264" t="s">
        <v>887</v>
      </c>
      <c r="E220" s="1264"/>
      <c r="F220" s="1264"/>
      <c r="G220" s="1264"/>
      <c r="H220" s="1264"/>
      <c r="I220" s="1264"/>
      <c r="J220" s="1264"/>
      <c r="K220" s="1264"/>
      <c r="L220" s="1276" t="s">
        <v>1239</v>
      </c>
      <c r="M220" s="1276"/>
      <c r="N220" s="1276"/>
      <c r="O220" s="1276"/>
      <c r="P220" s="1276"/>
      <c r="Q220" s="1276"/>
      <c r="R220" s="1276"/>
      <c r="S220" s="1276"/>
      <c r="T220" s="1276"/>
      <c r="U220" s="1276"/>
      <c r="V220" s="1276"/>
      <c r="W220" s="1270">
        <v>0.91</v>
      </c>
      <c r="X220" s="1270"/>
      <c r="Y220" s="1270"/>
      <c r="Z220" s="1270"/>
      <c r="AA220" s="860"/>
      <c r="AB220" s="861"/>
      <c r="AC220" s="861"/>
      <c r="AD220" s="861"/>
    </row>
    <row r="221" spans="1:32" ht="28.9" customHeight="1" x14ac:dyDescent="0.25">
      <c r="A221" s="1279" t="s">
        <v>5613</v>
      </c>
      <c r="B221" s="1279"/>
      <c r="C221" s="1279"/>
      <c r="D221" s="1251" t="s">
        <v>5614</v>
      </c>
      <c r="E221" s="1251"/>
      <c r="F221" s="1251"/>
      <c r="G221" s="1251"/>
      <c r="H221" s="1251"/>
      <c r="I221" s="1251"/>
      <c r="J221" s="1251"/>
      <c r="K221" s="1251"/>
      <c r="L221" s="1271" t="s">
        <v>5615</v>
      </c>
      <c r="M221" s="1271"/>
      <c r="N221" s="1271"/>
      <c r="O221" s="1271"/>
      <c r="P221" s="1271"/>
      <c r="Q221" s="1271"/>
      <c r="R221" s="1271"/>
      <c r="S221" s="1271"/>
      <c r="T221" s="1271"/>
      <c r="U221" s="1271"/>
      <c r="V221" s="1271"/>
      <c r="W221" s="1278">
        <v>1</v>
      </c>
      <c r="X221" s="1278"/>
      <c r="Y221" s="1278"/>
      <c r="Z221" s="1278"/>
      <c r="AA221" s="860"/>
      <c r="AB221" s="861"/>
      <c r="AC221" s="861"/>
      <c r="AD221" s="861"/>
    </row>
    <row r="222" spans="1:32" ht="17.25" x14ac:dyDescent="0.25">
      <c r="A222" s="1255" t="s">
        <v>888</v>
      </c>
      <c r="B222" s="1256"/>
      <c r="C222" s="1257"/>
      <c r="D222" s="1324" t="s">
        <v>889</v>
      </c>
      <c r="E222" s="1325"/>
      <c r="F222" s="1325"/>
      <c r="G222" s="1325"/>
      <c r="H222" s="1325"/>
      <c r="I222" s="1325"/>
      <c r="J222" s="1325"/>
      <c r="K222" s="1326"/>
      <c r="L222" s="1271" t="s">
        <v>5620</v>
      </c>
      <c r="M222" s="1271"/>
      <c r="N222" s="1271"/>
      <c r="O222" s="1271"/>
      <c r="P222" s="1271"/>
      <c r="Q222" s="1271"/>
      <c r="R222" s="1271"/>
      <c r="S222" s="1271"/>
      <c r="T222" s="1271"/>
      <c r="U222" s="1271"/>
      <c r="V222" s="1271"/>
      <c r="W222" s="1277">
        <v>0.57499999999999996</v>
      </c>
      <c r="X222" s="1277"/>
      <c r="Y222" s="1277"/>
      <c r="Z222" s="1277"/>
      <c r="AA222" s="860"/>
      <c r="AB222" s="861"/>
      <c r="AC222" s="861"/>
      <c r="AD222" s="861"/>
    </row>
    <row r="223" spans="1:32" x14ac:dyDescent="0.25">
      <c r="A223" s="1258"/>
      <c r="B223" s="1259"/>
      <c r="C223" s="1260"/>
      <c r="D223" s="1327"/>
      <c r="E223" s="1328"/>
      <c r="F223" s="1328"/>
      <c r="G223" s="1328"/>
      <c r="H223" s="1328"/>
      <c r="I223" s="1328"/>
      <c r="J223" s="1328"/>
      <c r="K223" s="1329"/>
      <c r="L223" s="1271" t="s">
        <v>1240</v>
      </c>
      <c r="M223" s="1271"/>
      <c r="N223" s="1271"/>
      <c r="O223" s="1271"/>
      <c r="P223" s="1271"/>
      <c r="Q223" s="1271"/>
      <c r="R223" s="1271"/>
      <c r="S223" s="1271"/>
      <c r="T223" s="1271"/>
      <c r="U223" s="1271"/>
      <c r="V223" s="1271"/>
      <c r="W223" s="1278">
        <v>0.79</v>
      </c>
      <c r="X223" s="1278"/>
      <c r="Y223" s="1278"/>
      <c r="Z223" s="1278"/>
      <c r="AA223" s="860"/>
      <c r="AB223" s="861"/>
      <c r="AC223" s="861"/>
      <c r="AD223" s="861"/>
    </row>
    <row r="224" spans="1:32" ht="53.25" customHeight="1" x14ac:dyDescent="0.25">
      <c r="A224" s="1279" t="s">
        <v>890</v>
      </c>
      <c r="B224" s="1279"/>
      <c r="C224" s="1279"/>
      <c r="D224" s="1251" t="s">
        <v>891</v>
      </c>
      <c r="E224" s="1251"/>
      <c r="F224" s="1251"/>
      <c r="G224" s="1251"/>
      <c r="H224" s="1251"/>
      <c r="I224" s="1251"/>
      <c r="J224" s="1251"/>
      <c r="K224" s="1251"/>
      <c r="L224" s="1271" t="s">
        <v>2669</v>
      </c>
      <c r="M224" s="1271"/>
      <c r="N224" s="1271"/>
      <c r="O224" s="1271"/>
      <c r="P224" s="1271"/>
      <c r="Q224" s="1271"/>
      <c r="R224" s="1271"/>
      <c r="S224" s="1271"/>
      <c r="T224" s="1271"/>
      <c r="U224" s="1271"/>
      <c r="V224" s="1271"/>
      <c r="W224" s="1278">
        <v>0.65</v>
      </c>
      <c r="X224" s="1278"/>
      <c r="Y224" s="1278"/>
      <c r="Z224" s="1278"/>
      <c r="AA224" s="860"/>
      <c r="AB224" s="861"/>
      <c r="AC224" s="861"/>
      <c r="AD224" s="861"/>
    </row>
    <row r="225" spans="1:32" ht="49.5" customHeight="1" x14ac:dyDescent="0.25">
      <c r="A225" s="1279" t="s">
        <v>892</v>
      </c>
      <c r="B225" s="1279"/>
      <c r="C225" s="1279"/>
      <c r="D225" s="1251" t="s">
        <v>893</v>
      </c>
      <c r="E225" s="1251"/>
      <c r="F225" s="1251"/>
      <c r="G225" s="1251"/>
      <c r="H225" s="1251"/>
      <c r="I225" s="1251"/>
      <c r="J225" s="1251"/>
      <c r="K225" s="1251"/>
      <c r="L225" s="1271" t="s">
        <v>2670</v>
      </c>
      <c r="M225" s="1271"/>
      <c r="N225" s="1271"/>
      <c r="O225" s="1271"/>
      <c r="P225" s="1271"/>
      <c r="Q225" s="1271"/>
      <c r="R225" s="1271"/>
      <c r="S225" s="1271"/>
      <c r="T225" s="1271"/>
      <c r="U225" s="1271"/>
      <c r="V225" s="1271"/>
      <c r="W225" s="1278">
        <v>0.92</v>
      </c>
      <c r="X225" s="1278"/>
      <c r="Y225" s="1278"/>
      <c r="Z225" s="1278"/>
      <c r="AA225" s="860"/>
      <c r="AB225" s="861"/>
      <c r="AC225" s="861"/>
      <c r="AD225" s="861"/>
    </row>
    <row r="226" spans="1:32" ht="34.5" customHeight="1" x14ac:dyDescent="0.25">
      <c r="A226" s="1279" t="s">
        <v>894</v>
      </c>
      <c r="B226" s="1279"/>
      <c r="C226" s="1279"/>
      <c r="D226" s="1251" t="s">
        <v>895</v>
      </c>
      <c r="E226" s="1251"/>
      <c r="F226" s="1251"/>
      <c r="G226" s="1251"/>
      <c r="H226" s="1251"/>
      <c r="I226" s="1251"/>
      <c r="J226" s="1251"/>
      <c r="K226" s="1251"/>
      <c r="L226" s="1271" t="s">
        <v>2671</v>
      </c>
      <c r="M226" s="1271"/>
      <c r="N226" s="1271"/>
      <c r="O226" s="1271"/>
      <c r="P226" s="1271"/>
      <c r="Q226" s="1271"/>
      <c r="R226" s="1271"/>
      <c r="S226" s="1271"/>
      <c r="T226" s="1271"/>
      <c r="U226" s="1271"/>
      <c r="V226" s="1271"/>
      <c r="W226" s="1278">
        <v>1</v>
      </c>
      <c r="X226" s="1278"/>
      <c r="Y226" s="1278"/>
      <c r="Z226" s="1278"/>
      <c r="AA226" s="860"/>
      <c r="AB226" s="861"/>
      <c r="AC226" s="861"/>
      <c r="AD226" s="861"/>
    </row>
    <row r="227" spans="1:32" ht="34.5" customHeight="1" x14ac:dyDescent="0.25">
      <c r="A227" s="1279" t="s">
        <v>5616</v>
      </c>
      <c r="B227" s="1279"/>
      <c r="C227" s="1279"/>
      <c r="D227" s="1251" t="s">
        <v>5617</v>
      </c>
      <c r="E227" s="1251"/>
      <c r="F227" s="1251"/>
      <c r="G227" s="1251"/>
      <c r="H227" s="1251"/>
      <c r="I227" s="1251"/>
      <c r="J227" s="1251"/>
      <c r="K227" s="1251"/>
      <c r="L227" s="1271" t="s">
        <v>5618</v>
      </c>
      <c r="M227" s="1271"/>
      <c r="N227" s="1271"/>
      <c r="O227" s="1271"/>
      <c r="P227" s="1271"/>
      <c r="Q227" s="1271"/>
      <c r="R227" s="1271"/>
      <c r="S227" s="1271"/>
      <c r="T227" s="1271"/>
      <c r="U227" s="1271"/>
      <c r="V227" s="1271"/>
      <c r="W227" s="1278">
        <v>1</v>
      </c>
      <c r="X227" s="1278"/>
      <c r="Y227" s="1278"/>
      <c r="Z227" s="1278"/>
      <c r="AA227" s="860"/>
      <c r="AB227" s="861"/>
      <c r="AC227" s="861"/>
      <c r="AD227" s="861"/>
    </row>
    <row r="228" spans="1:32" s="227" customFormat="1" ht="55.5" customHeight="1" x14ac:dyDescent="0.25">
      <c r="A228" s="1281" t="s">
        <v>1047</v>
      </c>
      <c r="B228" s="1281"/>
      <c r="C228" s="1281"/>
      <c r="D228" s="1280" t="s">
        <v>3759</v>
      </c>
      <c r="E228" s="1280"/>
      <c r="F228" s="1280"/>
      <c r="G228" s="1280"/>
      <c r="H228" s="1280"/>
      <c r="I228" s="1280"/>
      <c r="J228" s="1280"/>
      <c r="K228" s="1280"/>
      <c r="L228" s="1280"/>
      <c r="M228" s="1280"/>
      <c r="N228" s="1280"/>
      <c r="O228" s="1280"/>
      <c r="P228" s="1280"/>
      <c r="Q228" s="1280"/>
      <c r="R228" s="1280"/>
      <c r="S228" s="1280"/>
      <c r="T228" s="1280"/>
      <c r="U228" s="1280"/>
      <c r="V228" s="1280"/>
      <c r="W228" s="1280"/>
      <c r="X228" s="1280"/>
      <c r="Y228" s="1280"/>
      <c r="Z228" s="1280"/>
      <c r="AA228" s="1262"/>
      <c r="AB228" s="1262"/>
      <c r="AC228" s="1262"/>
      <c r="AD228" s="1262"/>
      <c r="AE228" s="476"/>
      <c r="AF228" s="476"/>
    </row>
    <row r="229" spans="1:32" ht="15" customHeight="1" x14ac:dyDescent="0.25">
      <c r="A229" s="1261" t="s">
        <v>2672</v>
      </c>
      <c r="B229" s="1261"/>
      <c r="C229" s="1261"/>
      <c r="D229" s="1262" t="s">
        <v>5621</v>
      </c>
      <c r="E229" s="1262"/>
      <c r="F229" s="1262"/>
      <c r="G229" s="1262"/>
      <c r="H229" s="1262"/>
      <c r="I229" s="1262"/>
      <c r="J229" s="1262"/>
      <c r="K229" s="1262"/>
      <c r="L229" s="1262"/>
      <c r="M229" s="1262"/>
      <c r="N229" s="1262"/>
      <c r="O229" s="1262"/>
      <c r="P229" s="1262"/>
      <c r="Q229" s="1262"/>
      <c r="R229" s="1262"/>
      <c r="S229" s="1262"/>
      <c r="T229" s="1262"/>
      <c r="U229" s="1262"/>
      <c r="V229" s="1262"/>
      <c r="W229" s="1262"/>
      <c r="X229" s="1262"/>
      <c r="Y229" s="1262"/>
      <c r="Z229" s="1262"/>
      <c r="AA229" s="1262"/>
      <c r="AB229" s="1262"/>
      <c r="AC229" s="1262"/>
      <c r="AD229" s="1262"/>
      <c r="AE229" s="386"/>
      <c r="AF229" s="386"/>
    </row>
    <row r="230" spans="1:32" ht="55.5" customHeight="1" x14ac:dyDescent="0.25">
      <c r="A230" s="1261"/>
      <c r="B230" s="1261"/>
      <c r="C230" s="1261"/>
      <c r="D230" s="1262" t="s">
        <v>2931</v>
      </c>
      <c r="E230" s="1262"/>
      <c r="F230" s="1262"/>
      <c r="G230" s="1262"/>
      <c r="H230" s="1262"/>
      <c r="I230" s="1262"/>
      <c r="J230" s="1262"/>
      <c r="K230" s="1262"/>
      <c r="L230" s="1262"/>
      <c r="M230" s="1262"/>
      <c r="N230" s="1262"/>
      <c r="O230" s="1262"/>
      <c r="P230" s="1262"/>
      <c r="Q230" s="1262"/>
      <c r="R230" s="1262"/>
      <c r="S230" s="1262"/>
      <c r="T230" s="1262"/>
      <c r="U230" s="1262"/>
      <c r="V230" s="1262"/>
      <c r="W230" s="1262"/>
      <c r="X230" s="1262"/>
      <c r="Y230" s="1262"/>
      <c r="Z230" s="1262"/>
      <c r="AA230" s="1262"/>
      <c r="AB230" s="1262"/>
      <c r="AC230" s="1262"/>
      <c r="AD230" s="1262"/>
      <c r="AE230" s="386"/>
      <c r="AF230" s="386"/>
    </row>
    <row r="231" spans="1:32" ht="30.75" customHeight="1" x14ac:dyDescent="0.25">
      <c r="A231" s="1261"/>
      <c r="B231" s="1261"/>
      <c r="C231" s="1261"/>
      <c r="D231" s="1262" t="s">
        <v>2932</v>
      </c>
      <c r="E231" s="1262"/>
      <c r="F231" s="1262"/>
      <c r="G231" s="1262"/>
      <c r="H231" s="1262"/>
      <c r="I231" s="1262"/>
      <c r="J231" s="1262"/>
      <c r="K231" s="1262"/>
      <c r="L231" s="1262"/>
      <c r="M231" s="1262"/>
      <c r="N231" s="1262"/>
      <c r="O231" s="1262"/>
      <c r="P231" s="1262"/>
      <c r="Q231" s="1262"/>
      <c r="R231" s="1262"/>
      <c r="S231" s="1262"/>
      <c r="T231" s="1262"/>
      <c r="U231" s="1262"/>
      <c r="V231" s="1262"/>
      <c r="W231" s="1262"/>
      <c r="X231" s="1262"/>
      <c r="Y231" s="1262"/>
      <c r="Z231" s="1262"/>
      <c r="AA231" s="1262"/>
      <c r="AB231" s="1262"/>
      <c r="AC231" s="1262"/>
      <c r="AD231" s="1262"/>
      <c r="AE231" s="386"/>
      <c r="AF231" s="386"/>
    </row>
    <row r="232" spans="1:32" ht="45.75" customHeight="1" x14ac:dyDescent="0.25">
      <c r="A232" s="1261"/>
      <c r="B232" s="1261"/>
      <c r="C232" s="1261"/>
      <c r="D232" s="1262" t="s">
        <v>3760</v>
      </c>
      <c r="E232" s="1262"/>
      <c r="F232" s="1262"/>
      <c r="G232" s="1262"/>
      <c r="H232" s="1262"/>
      <c r="I232" s="1262"/>
      <c r="J232" s="1262"/>
      <c r="K232" s="1262"/>
      <c r="L232" s="1262"/>
      <c r="M232" s="1262"/>
      <c r="N232" s="1262"/>
      <c r="O232" s="1262"/>
      <c r="P232" s="1262"/>
      <c r="Q232" s="1262"/>
      <c r="R232" s="1262"/>
      <c r="S232" s="1262"/>
      <c r="T232" s="1262"/>
      <c r="U232" s="1262"/>
      <c r="V232" s="1262"/>
      <c r="W232" s="1262"/>
      <c r="X232" s="1262"/>
      <c r="Y232" s="1262"/>
      <c r="Z232" s="1262"/>
      <c r="AA232" s="1262"/>
      <c r="AB232" s="1262"/>
      <c r="AC232" s="1262"/>
      <c r="AD232" s="1262"/>
    </row>
    <row r="233" spans="1:32" ht="26.25" customHeight="1" x14ac:dyDescent="0.25">
      <c r="A233" s="1261"/>
      <c r="B233" s="1261"/>
      <c r="C233" s="1261"/>
      <c r="D233" s="1262" t="s">
        <v>5619</v>
      </c>
      <c r="E233" s="1262"/>
      <c r="F233" s="1262"/>
      <c r="G233" s="1262"/>
      <c r="H233" s="1262"/>
      <c r="I233" s="1262"/>
      <c r="J233" s="1262"/>
      <c r="K233" s="1262"/>
      <c r="L233" s="1262"/>
      <c r="M233" s="1262"/>
      <c r="N233" s="1262"/>
      <c r="O233" s="1262"/>
      <c r="P233" s="1262"/>
      <c r="Q233" s="1262"/>
      <c r="R233" s="1262"/>
      <c r="S233" s="1262"/>
      <c r="T233" s="1262"/>
      <c r="U233" s="1262"/>
      <c r="V233" s="1262"/>
      <c r="W233" s="1262"/>
      <c r="X233" s="1262"/>
      <c r="Y233" s="1262"/>
      <c r="Z233" s="1262"/>
      <c r="AA233" s="1262"/>
      <c r="AB233" s="1262"/>
      <c r="AC233" s="1262"/>
      <c r="AD233" s="1262"/>
    </row>
    <row r="234" spans="1:32" x14ac:dyDescent="0.25">
      <c r="A234" s="292"/>
      <c r="B234" s="292"/>
      <c r="C234" s="291"/>
      <c r="D234" s="648"/>
      <c r="E234" s="648"/>
      <c r="F234" s="648"/>
      <c r="G234" s="648"/>
      <c r="H234" s="648"/>
      <c r="I234" s="648"/>
      <c r="J234" s="648"/>
      <c r="K234" s="648"/>
      <c r="L234" s="648"/>
      <c r="M234" s="648"/>
      <c r="N234" s="648"/>
      <c r="O234" s="648"/>
      <c r="P234" s="648"/>
      <c r="Q234" s="648"/>
      <c r="R234" s="648"/>
      <c r="S234" s="648"/>
      <c r="T234" s="648"/>
      <c r="U234" s="648"/>
      <c r="V234" s="648"/>
      <c r="W234" s="648"/>
      <c r="X234" s="648"/>
      <c r="Y234" s="648"/>
      <c r="Z234" s="648"/>
      <c r="AA234" s="648"/>
      <c r="AB234" s="648"/>
      <c r="AC234" s="648"/>
      <c r="AD234" s="648"/>
    </row>
    <row r="235" spans="1:32" x14ac:dyDescent="0.25">
      <c r="A235" s="1252" t="s">
        <v>2293</v>
      </c>
      <c r="B235" s="1253"/>
      <c r="C235" s="1253"/>
      <c r="D235" s="1253"/>
      <c r="E235" s="1253"/>
      <c r="F235" s="1253"/>
      <c r="G235" s="1253"/>
      <c r="H235" s="1253"/>
      <c r="I235" s="1253"/>
      <c r="J235" s="1253"/>
      <c r="K235" s="1253"/>
      <c r="L235" s="1253"/>
      <c r="M235" s="1253"/>
      <c r="N235" s="1253"/>
      <c r="O235" s="1253"/>
      <c r="P235" s="1253"/>
      <c r="Q235" s="1253"/>
      <c r="R235" s="1253"/>
      <c r="S235" s="1253"/>
      <c r="T235" s="1253"/>
      <c r="U235" s="1253"/>
      <c r="V235" s="1253"/>
      <c r="W235" s="1253"/>
      <c r="X235" s="1253"/>
      <c r="Y235" s="1253"/>
      <c r="Z235" s="1253"/>
      <c r="AA235" s="1253"/>
      <c r="AB235" s="1253"/>
      <c r="AC235" s="1253"/>
      <c r="AD235" s="1253"/>
      <c r="AE235" s="1253"/>
      <c r="AF235" s="1254"/>
    </row>
    <row r="236" spans="1:32" ht="106.5" customHeight="1" x14ac:dyDescent="0.25">
      <c r="A236" s="1147" t="s">
        <v>3010</v>
      </c>
      <c r="B236" s="1147"/>
      <c r="C236" s="1147"/>
      <c r="D236" s="1147"/>
      <c r="E236" s="1147"/>
      <c r="F236" s="1147"/>
      <c r="G236" s="1147"/>
      <c r="H236" s="1147"/>
      <c r="I236" s="1147"/>
      <c r="J236" s="1147"/>
      <c r="K236" s="1147"/>
      <c r="L236" s="1147"/>
      <c r="M236" s="1147"/>
      <c r="N236" s="1147"/>
      <c r="O236" s="1147"/>
      <c r="P236" s="1147"/>
      <c r="Q236" s="1147"/>
      <c r="R236" s="1147"/>
      <c r="S236" s="1147"/>
      <c r="T236" s="1147"/>
      <c r="U236" s="1147"/>
      <c r="V236" s="1147"/>
      <c r="W236" s="1147"/>
      <c r="X236" s="1147"/>
      <c r="Y236" s="1147"/>
      <c r="Z236" s="1147"/>
      <c r="AA236" s="1147"/>
      <c r="AB236" s="1147"/>
      <c r="AC236" s="1147"/>
      <c r="AD236" s="1147"/>
      <c r="AE236" s="1147"/>
      <c r="AF236" s="1147"/>
    </row>
    <row r="237" spans="1:32" x14ac:dyDescent="0.25">
      <c r="A237" s="270"/>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70"/>
      <c r="AE237" s="270"/>
      <c r="AF237" s="270"/>
    </row>
    <row r="238" spans="1:32" ht="33.75" customHeight="1" x14ac:dyDescent="0.25">
      <c r="A238" s="1168" t="s">
        <v>5560</v>
      </c>
      <c r="B238" s="1168"/>
      <c r="C238" s="1168"/>
      <c r="D238" s="1168"/>
      <c r="E238" s="1168"/>
      <c r="F238" s="1168"/>
      <c r="G238" s="1168"/>
      <c r="H238" s="1168"/>
      <c r="I238" s="1168"/>
      <c r="J238" s="1168"/>
      <c r="K238" s="1168"/>
      <c r="L238" s="1168"/>
      <c r="M238" s="1168"/>
      <c r="N238" s="1168"/>
      <c r="O238" s="1168"/>
      <c r="P238" s="1168"/>
      <c r="Q238" s="1168"/>
      <c r="R238" s="1168"/>
      <c r="S238" s="1168"/>
      <c r="T238" s="1168"/>
      <c r="U238" s="1168"/>
      <c r="V238" s="1168"/>
      <c r="W238" s="1168"/>
      <c r="X238" s="1168"/>
      <c r="Y238" s="1168"/>
      <c r="Z238" s="1168"/>
      <c r="AA238" s="1168"/>
      <c r="AB238" s="1168"/>
      <c r="AC238" s="1168"/>
      <c r="AD238" s="1168"/>
      <c r="AE238" s="1168"/>
      <c r="AF238" s="1168"/>
    </row>
    <row r="239" spans="1:32" ht="94.5" customHeight="1" x14ac:dyDescent="0.25">
      <c r="A239" s="857" t="s">
        <v>1453</v>
      </c>
      <c r="B239" s="1173" t="s">
        <v>5561</v>
      </c>
      <c r="C239" s="1173"/>
      <c r="D239" s="1173"/>
      <c r="E239" s="1173"/>
      <c r="F239" s="1173"/>
      <c r="G239" s="1173"/>
      <c r="H239" s="1173"/>
      <c r="I239" s="1173"/>
      <c r="J239" s="1173"/>
      <c r="K239" s="1173"/>
      <c r="L239" s="1173"/>
      <c r="M239" s="1173"/>
      <c r="N239" s="1173"/>
      <c r="O239" s="1173"/>
      <c r="P239" s="1173"/>
      <c r="Q239" s="1173"/>
      <c r="R239" s="1173"/>
      <c r="S239" s="1173"/>
      <c r="T239" s="1173"/>
      <c r="U239" s="1173"/>
      <c r="V239" s="1173"/>
      <c r="W239" s="1173"/>
      <c r="X239" s="1173"/>
      <c r="Y239" s="1173"/>
      <c r="Z239" s="1173"/>
      <c r="AA239" s="1173"/>
      <c r="AB239" s="1173"/>
      <c r="AC239" s="1173"/>
      <c r="AD239" s="1173"/>
      <c r="AE239" s="1173"/>
      <c r="AF239" s="1173"/>
    </row>
    <row r="240" spans="1:32" ht="33.75" customHeight="1" x14ac:dyDescent="0.25">
      <c r="A240" s="857" t="s">
        <v>1454</v>
      </c>
      <c r="B240" s="1173" t="s">
        <v>5562</v>
      </c>
      <c r="C240" s="1173"/>
      <c r="D240" s="1173"/>
      <c r="E240" s="1173"/>
      <c r="F240" s="1173"/>
      <c r="G240" s="1173"/>
      <c r="H240" s="1173"/>
      <c r="I240" s="1173"/>
      <c r="J240" s="1173"/>
      <c r="K240" s="1173"/>
      <c r="L240" s="1173"/>
      <c r="M240" s="1173"/>
      <c r="N240" s="1173"/>
      <c r="O240" s="1173"/>
      <c r="P240" s="1173"/>
      <c r="Q240" s="1173"/>
      <c r="R240" s="1173"/>
      <c r="S240" s="1173"/>
      <c r="T240" s="1173"/>
      <c r="U240" s="1173"/>
      <c r="V240" s="1173"/>
      <c r="W240" s="1173"/>
      <c r="X240" s="1173"/>
      <c r="Y240" s="1173"/>
      <c r="Z240" s="1173"/>
      <c r="AA240" s="1173"/>
      <c r="AB240" s="1173"/>
      <c r="AC240" s="1173"/>
      <c r="AD240" s="1173"/>
      <c r="AE240" s="1173"/>
      <c r="AF240" s="1173"/>
    </row>
    <row r="241" spans="1:32" ht="64.5" customHeight="1" x14ac:dyDescent="0.25">
      <c r="A241" s="534" t="s">
        <v>3012</v>
      </c>
      <c r="B241" s="1173" t="s">
        <v>3011</v>
      </c>
      <c r="C241" s="1173"/>
      <c r="D241" s="1173"/>
      <c r="E241" s="1173"/>
      <c r="F241" s="1173"/>
      <c r="G241" s="1173"/>
      <c r="H241" s="1173"/>
      <c r="I241" s="1173"/>
      <c r="J241" s="1173"/>
      <c r="K241" s="1173"/>
      <c r="L241" s="1173"/>
      <c r="M241" s="1173"/>
      <c r="N241" s="1173"/>
      <c r="O241" s="1173"/>
      <c r="P241" s="1173"/>
      <c r="Q241" s="1173"/>
      <c r="R241" s="1173"/>
      <c r="S241" s="1173"/>
      <c r="T241" s="1173"/>
      <c r="U241" s="1173"/>
      <c r="V241" s="1173"/>
      <c r="W241" s="1173"/>
      <c r="X241" s="1173"/>
      <c r="Y241" s="1173"/>
      <c r="Z241" s="1173"/>
      <c r="AA241" s="1173"/>
      <c r="AB241" s="1173"/>
      <c r="AC241" s="1173"/>
      <c r="AD241" s="1173"/>
      <c r="AE241" s="1173"/>
      <c r="AF241" s="1173"/>
    </row>
    <row r="242" spans="1:32" x14ac:dyDescent="0.25">
      <c r="A242" s="256"/>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256"/>
      <c r="AE242" s="256"/>
      <c r="AF242" s="256"/>
    </row>
    <row r="243" spans="1:32" x14ac:dyDescent="0.25">
      <c r="A243" s="23" t="s">
        <v>3009</v>
      </c>
    </row>
    <row r="244" spans="1:32" x14ac:dyDescent="0.25">
      <c r="A244" s="1248" t="s">
        <v>3008</v>
      </c>
      <c r="B244" s="1248"/>
      <c r="C244" s="1248"/>
      <c r="D244" s="1248"/>
      <c r="E244" s="1248"/>
      <c r="F244" s="1248"/>
      <c r="G244" s="1248"/>
    </row>
    <row r="245" spans="1:32" x14ac:dyDescent="0.25">
      <c r="A245" s="1249" t="s">
        <v>3515</v>
      </c>
      <c r="B245" s="1249"/>
      <c r="C245" s="1249"/>
      <c r="D245" s="1249"/>
      <c r="E245" s="1250">
        <v>5.9799999999999999E-2</v>
      </c>
      <c r="F245" s="1250"/>
      <c r="G245" s="1250"/>
    </row>
    <row r="246" spans="1:32" x14ac:dyDescent="0.25">
      <c r="A246" s="1249" t="s">
        <v>1019</v>
      </c>
      <c r="B246" s="1249"/>
      <c r="C246" s="1249"/>
      <c r="D246" s="1249"/>
      <c r="E246" s="1250">
        <v>4.514E-2</v>
      </c>
      <c r="F246" s="1250"/>
      <c r="G246" s="1250"/>
    </row>
    <row r="247" spans="1:32" x14ac:dyDescent="0.25">
      <c r="A247" s="1249" t="s">
        <v>878</v>
      </c>
      <c r="B247" s="1249"/>
      <c r="C247" s="1249"/>
      <c r="D247" s="1249"/>
      <c r="E247" s="1250">
        <v>4.8559999999999992E-2</v>
      </c>
      <c r="F247" s="1250"/>
      <c r="G247" s="1250"/>
    </row>
    <row r="248" spans="1:32" x14ac:dyDescent="0.25">
      <c r="A248" s="1249" t="s">
        <v>1018</v>
      </c>
      <c r="B248" s="1249"/>
      <c r="C248" s="1249"/>
      <c r="D248" s="1249"/>
      <c r="E248" s="1250">
        <v>8.5100000000000009E-2</v>
      </c>
      <c r="F248" s="1250"/>
      <c r="G248" s="1250"/>
    </row>
    <row r="249" spans="1:32" x14ac:dyDescent="0.25">
      <c r="A249" s="1249" t="s">
        <v>877</v>
      </c>
      <c r="B249" s="1249"/>
      <c r="C249" s="1249"/>
      <c r="D249" s="1249"/>
      <c r="E249" s="1250">
        <v>3.952E-2</v>
      </c>
      <c r="F249" s="1250"/>
      <c r="G249" s="1250"/>
    </row>
    <row r="251" spans="1:32" ht="95.25" customHeight="1" x14ac:dyDescent="0.25">
      <c r="A251" s="1173" t="s">
        <v>5559</v>
      </c>
      <c r="B251" s="1173"/>
      <c r="C251" s="1173"/>
      <c r="D251" s="1173"/>
      <c r="E251" s="1173"/>
      <c r="F251" s="1173"/>
      <c r="G251" s="1173"/>
      <c r="H251" s="1173"/>
      <c r="I251" s="1173"/>
      <c r="J251" s="1173"/>
      <c r="K251" s="1173"/>
      <c r="L251" s="1173"/>
      <c r="M251" s="1173"/>
      <c r="N251" s="1173"/>
      <c r="O251" s="1173"/>
      <c r="P251" s="1173"/>
      <c r="Q251" s="1173"/>
      <c r="R251" s="1173"/>
      <c r="S251" s="1173"/>
      <c r="T251" s="1173"/>
      <c r="U251" s="1173"/>
      <c r="V251" s="1173"/>
      <c r="W251" s="1173"/>
      <c r="X251" s="1173"/>
      <c r="Y251" s="1173"/>
      <c r="Z251" s="1173"/>
      <c r="AA251" s="1173"/>
      <c r="AB251" s="1173"/>
      <c r="AC251" s="1173"/>
      <c r="AD251" s="1173"/>
      <c r="AE251" s="1173"/>
      <c r="AF251" s="1173"/>
    </row>
    <row r="253" spans="1:32" x14ac:dyDescent="0.25">
      <c r="A253" s="1252" t="s">
        <v>4856</v>
      </c>
      <c r="B253" s="1253"/>
      <c r="C253" s="1253"/>
      <c r="D253" s="1253"/>
      <c r="E253" s="1253"/>
      <c r="F253" s="1253"/>
      <c r="G253" s="1253"/>
      <c r="H253" s="1253"/>
      <c r="I253" s="1253"/>
      <c r="J253" s="1253"/>
      <c r="K253" s="1253"/>
      <c r="L253" s="1253"/>
      <c r="M253" s="1253"/>
      <c r="N253" s="1253"/>
      <c r="O253" s="1253"/>
      <c r="P253" s="1253"/>
      <c r="Q253" s="1253"/>
      <c r="R253" s="1253"/>
      <c r="S253" s="1253"/>
      <c r="T253" s="1253"/>
      <c r="U253" s="1253"/>
      <c r="V253" s="1253"/>
      <c r="W253" s="1253"/>
      <c r="X253" s="1253"/>
      <c r="Y253" s="1253"/>
      <c r="Z253" s="1253"/>
      <c r="AA253" s="1253"/>
      <c r="AB253" s="1253"/>
      <c r="AC253" s="1253"/>
      <c r="AD253" s="1253"/>
      <c r="AE253" s="1253"/>
      <c r="AF253" s="1254"/>
    </row>
    <row r="254" spans="1:32" ht="84" customHeight="1" x14ac:dyDescent="0.25">
      <c r="A254" s="1312" t="s">
        <v>5854</v>
      </c>
      <c r="B254" s="1312"/>
      <c r="C254" s="1312"/>
      <c r="D254" s="1312"/>
      <c r="E254" s="1312"/>
      <c r="F254" s="1312"/>
      <c r="G254" s="1312"/>
      <c r="H254" s="1312"/>
      <c r="I254" s="1312"/>
      <c r="J254" s="1312"/>
      <c r="K254" s="1312"/>
      <c r="L254" s="1312"/>
      <c r="M254" s="1312"/>
      <c r="N254" s="1312"/>
      <c r="O254" s="1312"/>
      <c r="P254" s="1312"/>
      <c r="Q254" s="1312"/>
      <c r="R254" s="1312"/>
      <c r="S254" s="1312"/>
      <c r="T254" s="1312"/>
      <c r="U254" s="1312"/>
      <c r="V254" s="1312"/>
      <c r="W254" s="1312"/>
      <c r="X254" s="1312"/>
      <c r="Y254" s="1312"/>
      <c r="Z254" s="1312"/>
      <c r="AA254" s="1312"/>
      <c r="AB254" s="1312"/>
      <c r="AC254" s="1312"/>
      <c r="AD254" s="1312"/>
      <c r="AE254" s="1312"/>
      <c r="AF254" s="1312"/>
    </row>
    <row r="255" spans="1:32" x14ac:dyDescent="0.25">
      <c r="A255" s="647"/>
      <c r="B255" s="647"/>
      <c r="C255" s="647"/>
      <c r="D255" s="647"/>
      <c r="E255" s="647"/>
      <c r="F255" s="647"/>
      <c r="G255" s="647"/>
      <c r="H255" s="647"/>
      <c r="I255" s="647"/>
      <c r="J255" s="647"/>
      <c r="K255" s="647"/>
      <c r="L255" s="647"/>
      <c r="M255" s="647"/>
      <c r="N255" s="647"/>
      <c r="O255" s="647"/>
      <c r="P255" s="647"/>
      <c r="Q255" s="647"/>
      <c r="R255" s="647"/>
      <c r="S255" s="647"/>
      <c r="T255" s="647"/>
      <c r="U255" s="647"/>
      <c r="V255" s="647"/>
      <c r="W255" s="647"/>
      <c r="X255" s="647"/>
      <c r="Y255" s="647"/>
      <c r="Z255" s="647"/>
      <c r="AA255" s="647"/>
      <c r="AB255" s="647"/>
      <c r="AC255" s="647"/>
      <c r="AD255" s="647"/>
      <c r="AE255" s="647"/>
      <c r="AF255" s="647"/>
    </row>
    <row r="256" spans="1:32" ht="142.5" customHeight="1" x14ac:dyDescent="0.25">
      <c r="A256" s="1173" t="s">
        <v>5855</v>
      </c>
      <c r="B256" s="1173"/>
      <c r="C256" s="1173"/>
      <c r="D256" s="1173"/>
      <c r="E256" s="1173"/>
      <c r="F256" s="1173"/>
      <c r="G256" s="1173"/>
      <c r="H256" s="1173"/>
      <c r="I256" s="1173"/>
      <c r="J256" s="1173"/>
      <c r="K256" s="1173"/>
      <c r="L256" s="1173"/>
      <c r="M256" s="1173"/>
      <c r="N256" s="1173"/>
      <c r="O256" s="1173"/>
      <c r="P256" s="1173"/>
      <c r="Q256" s="1173"/>
      <c r="R256" s="1173"/>
      <c r="S256" s="1173"/>
      <c r="T256" s="1173"/>
      <c r="U256" s="1173"/>
      <c r="V256" s="1173"/>
      <c r="W256" s="1173"/>
      <c r="X256" s="1173"/>
      <c r="Y256" s="1173"/>
      <c r="Z256" s="1173"/>
      <c r="AA256" s="1173"/>
      <c r="AB256" s="1173"/>
      <c r="AC256" s="1173"/>
      <c r="AD256" s="1173"/>
      <c r="AE256" s="1173"/>
      <c r="AF256" s="1173"/>
    </row>
    <row r="258" spans="2:32" x14ac:dyDescent="0.25">
      <c r="B258" s="23" t="s">
        <v>4857</v>
      </c>
    </row>
    <row r="259" spans="2:32" ht="15" customHeight="1" x14ac:dyDescent="0.25">
      <c r="B259" s="1313" t="s">
        <v>4858</v>
      </c>
      <c r="C259" s="1314"/>
      <c r="D259" s="1314"/>
      <c r="E259" s="1314"/>
      <c r="F259" s="1314"/>
      <c r="G259" s="1314"/>
      <c r="H259" s="1315"/>
      <c r="I259" s="1319" t="s">
        <v>4859</v>
      </c>
      <c r="J259" s="1319"/>
      <c r="K259" s="1319"/>
      <c r="L259" s="1319"/>
      <c r="M259" s="1319"/>
      <c r="N259" s="1319"/>
      <c r="O259" s="1319"/>
      <c r="P259" s="1319"/>
      <c r="Q259" s="1319"/>
      <c r="R259" s="1319"/>
      <c r="S259" s="1319"/>
      <c r="T259" s="1319"/>
      <c r="U259" s="1319"/>
      <c r="V259" s="1319"/>
      <c r="W259" s="227"/>
      <c r="X259" s="227"/>
      <c r="Y259" s="227"/>
      <c r="Z259" s="227"/>
      <c r="AA259" s="227"/>
      <c r="AB259" s="227"/>
      <c r="AC259" s="227"/>
      <c r="AD259" s="227"/>
      <c r="AE259" s="227"/>
      <c r="AF259" s="227"/>
    </row>
    <row r="260" spans="2:32" ht="17.25" x14ac:dyDescent="0.25">
      <c r="B260" s="1316"/>
      <c r="C260" s="1317"/>
      <c r="D260" s="1317"/>
      <c r="E260" s="1317"/>
      <c r="F260" s="1317"/>
      <c r="G260" s="1317"/>
      <c r="H260" s="1318"/>
      <c r="I260" s="1320" t="s">
        <v>4860</v>
      </c>
      <c r="J260" s="1320"/>
      <c r="K260" s="1320"/>
      <c r="L260" s="1320"/>
      <c r="M260" s="1320"/>
      <c r="N260" s="1320"/>
      <c r="O260" s="1320"/>
      <c r="P260" s="1320" t="s">
        <v>7059</v>
      </c>
      <c r="Q260" s="1320"/>
      <c r="R260" s="1320"/>
      <c r="S260" s="1320"/>
      <c r="T260" s="1320"/>
      <c r="U260" s="1320"/>
      <c r="V260" s="1320"/>
      <c r="W260" s="227"/>
      <c r="X260" s="227"/>
      <c r="Y260" s="227"/>
      <c r="Z260" s="227"/>
      <c r="AA260" s="227"/>
      <c r="AB260" s="227"/>
      <c r="AC260" s="227"/>
      <c r="AD260" s="227"/>
      <c r="AE260" s="227"/>
      <c r="AF260" s="227"/>
    </row>
    <row r="261" spans="2:32" ht="18" x14ac:dyDescent="0.25">
      <c r="B261" s="1271" t="s">
        <v>7060</v>
      </c>
      <c r="C261" s="1271"/>
      <c r="D261" s="1271"/>
      <c r="E261" s="1271"/>
      <c r="F261" s="1271"/>
      <c r="G261" s="1271"/>
      <c r="H261" s="1271"/>
      <c r="I261" s="1285">
        <v>1453.2</v>
      </c>
      <c r="J261" s="1283"/>
      <c r="K261" s="1283"/>
      <c r="L261" s="1283"/>
      <c r="M261" s="1283"/>
      <c r="N261" s="1283"/>
      <c r="O261" s="1283"/>
      <c r="P261" s="1284">
        <f>I261/2204.62</f>
        <v>0.65916121599187172</v>
      </c>
      <c r="Q261" s="1284"/>
      <c r="R261" s="1284"/>
      <c r="S261" s="1284"/>
      <c r="T261" s="1284"/>
      <c r="U261" s="1284"/>
      <c r="V261" s="1284"/>
      <c r="W261" s="227"/>
      <c r="X261" s="227"/>
      <c r="Y261" s="227"/>
      <c r="Z261" s="227"/>
      <c r="AA261" s="227"/>
      <c r="AB261" s="227"/>
      <c r="AC261" s="227"/>
      <c r="AD261" s="227"/>
      <c r="AE261" s="227"/>
      <c r="AF261" s="227"/>
    </row>
    <row r="262" spans="2:32" ht="18" x14ac:dyDescent="0.25">
      <c r="B262" s="1271" t="s">
        <v>7061</v>
      </c>
      <c r="C262" s="1271"/>
      <c r="D262" s="1271"/>
      <c r="E262" s="1271"/>
      <c r="F262" s="1271"/>
      <c r="G262" s="1271"/>
      <c r="H262" s="1271"/>
      <c r="I262" s="1283">
        <v>0.151</v>
      </c>
      <c r="J262" s="1283"/>
      <c r="K262" s="1283"/>
      <c r="L262" s="1283"/>
      <c r="M262" s="1283"/>
      <c r="N262" s="1283"/>
      <c r="O262" s="1283"/>
      <c r="P262" s="1284">
        <f t="shared" ref="P262:P267" si="5">I262/2204.62</f>
        <v>6.8492529324781592E-5</v>
      </c>
      <c r="Q262" s="1284"/>
      <c r="R262" s="1284"/>
      <c r="S262" s="1284"/>
      <c r="T262" s="1284"/>
      <c r="U262" s="1284"/>
      <c r="V262" s="1284"/>
      <c r="W262" s="227"/>
      <c r="X262" s="227"/>
      <c r="Y262" s="227"/>
      <c r="Z262" s="227"/>
      <c r="AA262" s="227"/>
      <c r="AB262" s="227"/>
      <c r="AC262" s="227"/>
      <c r="AD262" s="227"/>
      <c r="AE262" s="227"/>
      <c r="AF262" s="227"/>
    </row>
    <row r="263" spans="2:32" ht="18" x14ac:dyDescent="0.25">
      <c r="B263" s="1271" t="s">
        <v>7062</v>
      </c>
      <c r="C263" s="1271"/>
      <c r="D263" s="1271"/>
      <c r="E263" s="1271"/>
      <c r="F263" s="1271"/>
      <c r="G263" s="1271"/>
      <c r="H263" s="1271"/>
      <c r="I263" s="1283">
        <v>2.3E-2</v>
      </c>
      <c r="J263" s="1283"/>
      <c r="K263" s="1283"/>
      <c r="L263" s="1283"/>
      <c r="M263" s="1283"/>
      <c r="N263" s="1283"/>
      <c r="O263" s="1283"/>
      <c r="P263" s="1284">
        <f t="shared" si="5"/>
        <v>1.0432636917019713E-5</v>
      </c>
      <c r="Q263" s="1284"/>
      <c r="R263" s="1284"/>
      <c r="S263" s="1284"/>
      <c r="T263" s="1284"/>
      <c r="U263" s="1284"/>
      <c r="V263" s="1284"/>
      <c r="W263" s="227"/>
      <c r="X263" s="227"/>
      <c r="Y263" s="227"/>
      <c r="Z263" s="227"/>
      <c r="AA263" s="227"/>
      <c r="AB263" s="227"/>
      <c r="AC263" s="227"/>
      <c r="AD263" s="227"/>
      <c r="AE263" s="227"/>
      <c r="AF263" s="227"/>
    </row>
    <row r="264" spans="2:32" ht="18" x14ac:dyDescent="0.25">
      <c r="B264" s="1271" t="s">
        <v>7063</v>
      </c>
      <c r="C264" s="1271"/>
      <c r="D264" s="1271"/>
      <c r="E264" s="1271"/>
      <c r="F264" s="1271"/>
      <c r="G264" s="1271"/>
      <c r="H264" s="1271"/>
      <c r="I264" s="1285">
        <v>1463.6</v>
      </c>
      <c r="J264" s="1283"/>
      <c r="K264" s="1283"/>
      <c r="L264" s="1283"/>
      <c r="M264" s="1283"/>
      <c r="N264" s="1283"/>
      <c r="O264" s="1283"/>
      <c r="P264" s="1284">
        <f t="shared" si="5"/>
        <v>0.66387858225000229</v>
      </c>
      <c r="Q264" s="1284"/>
      <c r="R264" s="1284"/>
      <c r="S264" s="1284"/>
      <c r="T264" s="1284"/>
      <c r="U264" s="1284"/>
      <c r="V264" s="1284"/>
      <c r="W264" s="227"/>
      <c r="X264" s="227"/>
      <c r="Y264" s="227"/>
      <c r="Z264" s="227"/>
      <c r="AA264" s="227"/>
      <c r="AB264" s="227"/>
      <c r="AC264" s="227"/>
      <c r="AD264" s="227"/>
      <c r="AE264" s="227"/>
      <c r="AF264" s="227"/>
    </row>
    <row r="265" spans="2:32" ht="18" x14ac:dyDescent="0.25">
      <c r="B265" s="1271" t="s">
        <v>7064</v>
      </c>
      <c r="C265" s="1271"/>
      <c r="D265" s="1271"/>
      <c r="E265" s="1271"/>
      <c r="F265" s="1271"/>
      <c r="G265" s="1271"/>
      <c r="H265" s="1271"/>
      <c r="I265" s="1321">
        <v>4.8</v>
      </c>
      <c r="J265" s="1321"/>
      <c r="K265" s="1321"/>
      <c r="L265" s="1321"/>
      <c r="M265" s="1321"/>
      <c r="N265" s="1321"/>
      <c r="O265" s="1321"/>
      <c r="P265" s="1284">
        <f t="shared" si="5"/>
        <v>2.1772459652910706E-3</v>
      </c>
      <c r="Q265" s="1284"/>
      <c r="R265" s="1284"/>
      <c r="S265" s="1284"/>
      <c r="T265" s="1284"/>
      <c r="U265" s="1284"/>
      <c r="V265" s="1284"/>
      <c r="W265" s="227"/>
      <c r="X265" s="227"/>
      <c r="Y265" s="227"/>
      <c r="Z265" s="227"/>
      <c r="AA265" s="227"/>
      <c r="AB265" s="227"/>
      <c r="AC265" s="227"/>
      <c r="AD265" s="227"/>
      <c r="AE265" s="227"/>
      <c r="AF265" s="227"/>
    </row>
    <row r="266" spans="2:32" ht="18" x14ac:dyDescent="0.25">
      <c r="B266" s="1271" t="s">
        <v>7065</v>
      </c>
      <c r="C266" s="1271"/>
      <c r="D266" s="1271"/>
      <c r="E266" s="1271"/>
      <c r="F266" s="1271"/>
      <c r="G266" s="1271"/>
      <c r="H266" s="1271"/>
      <c r="I266" s="1283">
        <v>4.7</v>
      </c>
      <c r="J266" s="1283"/>
      <c r="K266" s="1283"/>
      <c r="L266" s="1283"/>
      <c r="M266" s="1283"/>
      <c r="N266" s="1283"/>
      <c r="O266" s="1283"/>
      <c r="P266" s="1284">
        <f t="shared" si="5"/>
        <v>2.1318866743475066E-3</v>
      </c>
      <c r="Q266" s="1284"/>
      <c r="R266" s="1284"/>
      <c r="S266" s="1284"/>
      <c r="T266" s="1284"/>
      <c r="U266" s="1284"/>
      <c r="V266" s="1284"/>
      <c r="W266" s="227"/>
      <c r="X266" s="227"/>
      <c r="Y266" s="227"/>
      <c r="Z266" s="227"/>
      <c r="AA266" s="227"/>
      <c r="AB266" s="227"/>
      <c r="AC266" s="227"/>
      <c r="AD266" s="227"/>
      <c r="AE266" s="227"/>
      <c r="AF266" s="227"/>
    </row>
    <row r="267" spans="2:32" ht="18" x14ac:dyDescent="0.25">
      <c r="B267" s="1271" t="s">
        <v>7066</v>
      </c>
      <c r="C267" s="1271"/>
      <c r="D267" s="1271"/>
      <c r="E267" s="1271"/>
      <c r="F267" s="1271"/>
      <c r="G267" s="1271"/>
      <c r="H267" s="1271"/>
      <c r="I267" s="1283">
        <v>5.3970000000000002</v>
      </c>
      <c r="J267" s="1283"/>
      <c r="K267" s="1283"/>
      <c r="L267" s="1283"/>
      <c r="M267" s="1283"/>
      <c r="N267" s="1283"/>
      <c r="O267" s="1283"/>
      <c r="P267" s="1284">
        <f t="shared" si="5"/>
        <v>2.4480409322241476E-3</v>
      </c>
      <c r="Q267" s="1284"/>
      <c r="R267" s="1284"/>
      <c r="S267" s="1284"/>
      <c r="T267" s="1284"/>
      <c r="U267" s="1284"/>
      <c r="V267" s="1284"/>
      <c r="W267" s="227"/>
      <c r="X267" s="227"/>
      <c r="Y267" s="227"/>
      <c r="Z267" s="227"/>
      <c r="AA267" s="227"/>
      <c r="AB267" s="227"/>
      <c r="AC267" s="227"/>
      <c r="AD267" s="227"/>
      <c r="AE267" s="227"/>
      <c r="AF267" s="227"/>
    </row>
    <row r="268" spans="2:32" ht="15" customHeight="1" x14ac:dyDescent="0.25">
      <c r="B268" s="1322" t="s">
        <v>1047</v>
      </c>
      <c r="C268" s="1322"/>
      <c r="D268" s="1322"/>
      <c r="E268" s="1290" t="s">
        <v>7067</v>
      </c>
      <c r="F268" s="1290"/>
      <c r="G268" s="1290"/>
      <c r="H268" s="1290"/>
      <c r="I268" s="1290"/>
      <c r="J268" s="1290"/>
      <c r="K268" s="1290"/>
      <c r="L268" s="1290"/>
      <c r="M268" s="1290"/>
      <c r="N268" s="1290"/>
      <c r="O268" s="1290"/>
      <c r="P268" s="1290"/>
      <c r="Q268" s="1290"/>
      <c r="R268" s="1290"/>
      <c r="S268" s="1290"/>
      <c r="T268" s="1290"/>
      <c r="U268" s="1290"/>
      <c r="V268" s="1290"/>
      <c r="W268" s="1290"/>
      <c r="X268" s="1290"/>
      <c r="Y268" s="1290"/>
      <c r="Z268" s="1290"/>
      <c r="AA268" s="1290"/>
      <c r="AB268" s="1290"/>
      <c r="AC268" s="1290"/>
      <c r="AD268" s="1290"/>
      <c r="AE268" s="1290"/>
      <c r="AF268" s="1290"/>
    </row>
    <row r="269" spans="2:32" ht="108.75" customHeight="1" x14ac:dyDescent="0.25">
      <c r="B269" s="459"/>
      <c r="C269" s="459"/>
      <c r="D269" s="459"/>
      <c r="E269" s="1290" t="s">
        <v>7068</v>
      </c>
      <c r="F269" s="1290"/>
      <c r="G269" s="1290"/>
      <c r="H269" s="1290"/>
      <c r="I269" s="1290"/>
      <c r="J269" s="1290"/>
      <c r="K269" s="1290"/>
      <c r="L269" s="1290"/>
      <c r="M269" s="1290"/>
      <c r="N269" s="1290"/>
      <c r="O269" s="1290"/>
      <c r="P269" s="1290"/>
      <c r="Q269" s="1290"/>
      <c r="R269" s="1290"/>
      <c r="S269" s="1290"/>
      <c r="T269" s="1290"/>
      <c r="U269" s="1290"/>
      <c r="V269" s="1290"/>
      <c r="W269" s="1290"/>
      <c r="X269" s="1290"/>
      <c r="Y269" s="1290"/>
      <c r="Z269" s="1290"/>
      <c r="AA269" s="1290"/>
      <c r="AB269" s="1290"/>
      <c r="AC269" s="1290"/>
      <c r="AD269" s="1290"/>
      <c r="AE269" s="1290"/>
      <c r="AF269" s="1290"/>
    </row>
    <row r="270" spans="2:32" ht="53.25" customHeight="1" x14ac:dyDescent="0.25">
      <c r="B270" s="1289" t="s">
        <v>2672</v>
      </c>
      <c r="C270" s="1289"/>
      <c r="D270" s="1289"/>
      <c r="E270" s="1290" t="s">
        <v>7057</v>
      </c>
      <c r="F270" s="1290"/>
      <c r="G270" s="1290"/>
      <c r="H270" s="1290"/>
      <c r="I270" s="1290"/>
      <c r="J270" s="1290"/>
      <c r="K270" s="1290"/>
      <c r="L270" s="1290"/>
      <c r="M270" s="1290"/>
      <c r="N270" s="1290"/>
      <c r="O270" s="1290"/>
      <c r="P270" s="1290"/>
      <c r="Q270" s="1290"/>
      <c r="R270" s="1290"/>
      <c r="S270" s="1290"/>
      <c r="T270" s="1290"/>
      <c r="U270" s="1290"/>
      <c r="V270" s="1290"/>
      <c r="W270" s="1290"/>
      <c r="X270" s="1290"/>
      <c r="Y270" s="1290"/>
      <c r="Z270" s="1290"/>
      <c r="AA270" s="1290"/>
      <c r="AB270" s="1290"/>
      <c r="AC270" s="1290"/>
      <c r="AD270" s="1290"/>
      <c r="AE270" s="1290"/>
      <c r="AF270" s="1290"/>
    </row>
    <row r="271" spans="2:32" ht="46.5" customHeight="1" x14ac:dyDescent="0.25">
      <c r="B271" s="227"/>
      <c r="C271" s="227"/>
      <c r="D271" s="227"/>
      <c r="E271" s="1290" t="s">
        <v>7058</v>
      </c>
      <c r="F271" s="1290"/>
      <c r="G271" s="1290"/>
      <c r="H271" s="1290"/>
      <c r="I271" s="1290"/>
      <c r="J271" s="1290"/>
      <c r="K271" s="1290"/>
      <c r="L271" s="1290"/>
      <c r="M271" s="1290"/>
      <c r="N271" s="1290"/>
      <c r="O271" s="1290"/>
      <c r="P271" s="1290"/>
      <c r="Q271" s="1290"/>
      <c r="R271" s="1290"/>
      <c r="S271" s="1290"/>
      <c r="T271" s="1290"/>
      <c r="U271" s="1290"/>
      <c r="V271" s="1290"/>
      <c r="W271" s="1290"/>
      <c r="X271" s="1290"/>
      <c r="Y271" s="1290"/>
      <c r="Z271" s="1290"/>
      <c r="AA271" s="1290"/>
      <c r="AB271" s="1290"/>
      <c r="AC271" s="1290"/>
      <c r="AD271" s="1290"/>
      <c r="AE271" s="1290"/>
      <c r="AF271" s="1290"/>
    </row>
    <row r="273" spans="2:32" ht="18" x14ac:dyDescent="0.35">
      <c r="B273" s="23" t="s">
        <v>4867</v>
      </c>
    </row>
    <row r="274" spans="2:32" ht="18" x14ac:dyDescent="0.35">
      <c r="B274" s="1291" t="s">
        <v>4868</v>
      </c>
      <c r="C274" s="1292"/>
      <c r="D274" s="1292"/>
      <c r="E274" s="1292"/>
      <c r="F274" s="1292"/>
      <c r="G274" s="1293">
        <v>0.43</v>
      </c>
      <c r="H274" s="1293"/>
      <c r="I274" s="1294" t="s">
        <v>4869</v>
      </c>
      <c r="J274" s="1294"/>
      <c r="K274" s="1294"/>
      <c r="L274" s="1294"/>
      <c r="M274" s="1295"/>
    </row>
    <row r="275" spans="2:32" x14ac:dyDescent="0.25">
      <c r="B275" s="1238" t="s">
        <v>4870</v>
      </c>
      <c r="C275" s="1238"/>
      <c r="D275" s="1238"/>
      <c r="E275" s="1238"/>
      <c r="F275" s="1238"/>
      <c r="G275" s="1238"/>
      <c r="H275" s="1238"/>
      <c r="I275" s="1238"/>
      <c r="J275" s="1238"/>
      <c r="K275" s="1238"/>
      <c r="L275" s="1238"/>
      <c r="M275" s="1238"/>
      <c r="N275" s="1238"/>
      <c r="O275" s="1238"/>
      <c r="P275" s="1238"/>
      <c r="Q275" s="1238"/>
      <c r="R275" s="1238"/>
      <c r="S275" s="1238"/>
      <c r="T275" s="1238"/>
      <c r="U275" s="1238"/>
      <c r="V275" s="1238"/>
      <c r="W275" s="1238"/>
      <c r="X275" s="1238"/>
      <c r="Y275" s="1238"/>
      <c r="Z275" s="1238"/>
      <c r="AA275" s="1238"/>
      <c r="AB275" s="1238"/>
      <c r="AC275" s="1238"/>
      <c r="AD275" s="1238"/>
      <c r="AE275" s="1238"/>
      <c r="AF275" s="1238"/>
    </row>
    <row r="276" spans="2:32" ht="48" customHeight="1" x14ac:dyDescent="0.25">
      <c r="B276" s="1290" t="s">
        <v>5856</v>
      </c>
      <c r="C276" s="1290"/>
      <c r="D276" s="1290"/>
      <c r="E276" s="1290"/>
      <c r="F276" s="1290"/>
      <c r="G276" s="1290"/>
      <c r="H276" s="1290"/>
      <c r="I276" s="1290"/>
      <c r="J276" s="1290"/>
      <c r="K276" s="1290"/>
      <c r="L276" s="1290"/>
      <c r="M276" s="1290"/>
      <c r="N276" s="1290"/>
      <c r="O276" s="1290"/>
      <c r="P276" s="1290"/>
      <c r="Q276" s="1290"/>
      <c r="R276" s="1290"/>
      <c r="S276" s="1290"/>
      <c r="T276" s="1290"/>
      <c r="U276" s="1290"/>
      <c r="V276" s="1290"/>
      <c r="W276" s="1290"/>
      <c r="X276" s="1290"/>
      <c r="Y276" s="1290"/>
      <c r="Z276" s="1290"/>
      <c r="AA276" s="1290"/>
      <c r="AB276" s="1290"/>
      <c r="AC276" s="1290"/>
      <c r="AD276" s="1290"/>
      <c r="AE276" s="1290"/>
      <c r="AF276" s="1290"/>
    </row>
    <row r="277" spans="2:32" x14ac:dyDescent="0.25">
      <c r="B277" s="747"/>
      <c r="C277" s="747"/>
      <c r="D277" s="747"/>
      <c r="E277" s="747"/>
      <c r="F277" s="747"/>
      <c r="G277" s="747"/>
      <c r="H277" s="747"/>
      <c r="I277" s="747"/>
      <c r="J277" s="747"/>
      <c r="K277" s="747"/>
      <c r="L277" s="747"/>
      <c r="M277" s="747"/>
      <c r="N277" s="747"/>
      <c r="O277" s="747"/>
      <c r="P277" s="747"/>
      <c r="Q277" s="747"/>
      <c r="R277" s="747"/>
      <c r="S277" s="747"/>
      <c r="T277" s="747"/>
      <c r="U277" s="747"/>
      <c r="V277" s="747"/>
      <c r="W277" s="747"/>
      <c r="X277" s="747"/>
      <c r="Y277" s="747"/>
      <c r="Z277" s="747"/>
      <c r="AA277" s="747"/>
      <c r="AB277" s="747"/>
      <c r="AC277" s="747"/>
      <c r="AD277" s="747"/>
      <c r="AE277" s="747"/>
      <c r="AF277" s="747"/>
    </row>
    <row r="278" spans="2:32" x14ac:dyDescent="0.25">
      <c r="B278" s="754" t="s">
        <v>4871</v>
      </c>
      <c r="C278" s="747"/>
      <c r="D278" s="747"/>
      <c r="E278" s="747"/>
      <c r="F278" s="747"/>
      <c r="G278" s="747"/>
      <c r="H278" s="747"/>
      <c r="I278" s="747"/>
      <c r="J278" s="747"/>
      <c r="K278" s="747"/>
      <c r="L278" s="747"/>
      <c r="M278" s="747"/>
      <c r="N278" s="747"/>
      <c r="O278" s="747"/>
      <c r="P278" s="747"/>
      <c r="Q278" s="747"/>
      <c r="R278" s="747"/>
      <c r="S278" s="747"/>
      <c r="T278" s="747"/>
      <c r="U278" s="747"/>
      <c r="V278" s="747"/>
      <c r="W278" s="747"/>
      <c r="X278" s="747"/>
      <c r="Y278" s="747"/>
      <c r="Z278" s="747"/>
      <c r="AA278" s="747"/>
      <c r="AB278" s="747"/>
      <c r="AC278" s="747"/>
      <c r="AD278" s="747"/>
      <c r="AE278" s="747"/>
      <c r="AF278" s="747"/>
    </row>
    <row r="280" spans="2:32" x14ac:dyDescent="0.25">
      <c r="B280" t="s">
        <v>4872</v>
      </c>
    </row>
    <row r="281" spans="2:32" x14ac:dyDescent="0.25">
      <c r="F281" s="1297">
        <v>100000000</v>
      </c>
      <c r="G281" s="1298"/>
      <c r="H281" s="1298"/>
      <c r="I281" s="1298"/>
      <c r="J281" s="1298"/>
      <c r="K281" s="1298"/>
      <c r="L281" s="1299"/>
    </row>
    <row r="282" spans="2:32" x14ac:dyDescent="0.25">
      <c r="F282" s="755"/>
      <c r="G282" s="755"/>
      <c r="H282" s="755"/>
      <c r="I282" s="755"/>
      <c r="J282" s="755"/>
      <c r="K282" s="755"/>
      <c r="L282" s="755"/>
    </row>
    <row r="283" spans="2:32" ht="18" x14ac:dyDescent="0.35">
      <c r="B283" s="23" t="s">
        <v>4873</v>
      </c>
    </row>
    <row r="284" spans="2:32" ht="33" customHeight="1" x14ac:dyDescent="0.25">
      <c r="B284" s="1300" t="s">
        <v>4874</v>
      </c>
      <c r="C284" s="1301"/>
      <c r="D284" s="1301"/>
      <c r="E284" s="1301"/>
      <c r="F284" s="1301"/>
      <c r="G284" s="1301"/>
      <c r="H284" s="1302"/>
      <c r="I284" s="1303" t="s">
        <v>510</v>
      </c>
      <c r="J284" s="1303"/>
      <c r="K284" s="1303"/>
      <c r="L284" s="1303"/>
      <c r="M284" s="1303"/>
      <c r="N284" s="1303"/>
      <c r="O284" s="1303"/>
      <c r="P284" s="1303" t="s">
        <v>4875</v>
      </c>
      <c r="Q284" s="1303"/>
      <c r="R284" s="1303"/>
      <c r="S284" s="1303"/>
      <c r="T284" s="1303"/>
      <c r="U284" s="1303"/>
      <c r="V284" s="1303"/>
    </row>
    <row r="285" spans="2:32" ht="18" x14ac:dyDescent="0.25">
      <c r="B285" s="1276" t="s">
        <v>4876</v>
      </c>
      <c r="C285" s="1276"/>
      <c r="D285" s="1276"/>
      <c r="E285" s="1276"/>
      <c r="F285" s="1276"/>
      <c r="G285" s="1276"/>
      <c r="H285" s="1276"/>
      <c r="I285" s="1304">
        <f>($F$281/1000)*I264</f>
        <v>146360000</v>
      </c>
      <c r="J285" s="1304"/>
      <c r="K285" s="1304"/>
      <c r="L285" s="1304"/>
      <c r="M285" s="1304"/>
      <c r="N285" s="1304"/>
      <c r="O285" s="1304"/>
      <c r="P285" s="1304">
        <f>($F$281/1000)*P264</f>
        <v>66387.858225000236</v>
      </c>
      <c r="Q285" s="1304"/>
      <c r="R285" s="1304"/>
      <c r="S285" s="1304"/>
      <c r="T285" s="1304"/>
      <c r="U285" s="1304"/>
      <c r="V285" s="1304"/>
    </row>
    <row r="286" spans="2:32" x14ac:dyDescent="0.25">
      <c r="B286" s="8"/>
      <c r="C286" s="8"/>
      <c r="D286" s="8"/>
      <c r="E286" s="8"/>
      <c r="F286" s="8"/>
      <c r="G286" s="8"/>
      <c r="H286" s="8"/>
      <c r="I286" s="756"/>
      <c r="J286" s="756"/>
      <c r="K286" s="756"/>
      <c r="L286" s="756"/>
      <c r="M286" s="756"/>
      <c r="N286" s="756"/>
      <c r="O286" s="756"/>
      <c r="P286" s="756"/>
      <c r="Q286" s="756"/>
      <c r="R286" s="756"/>
      <c r="S286" s="756"/>
      <c r="T286" s="756"/>
      <c r="U286" s="756"/>
      <c r="V286" s="756"/>
    </row>
    <row r="287" spans="2:32" x14ac:dyDescent="0.25">
      <c r="B287" s="23" t="s">
        <v>4877</v>
      </c>
    </row>
    <row r="288" spans="2:32" x14ac:dyDescent="0.25">
      <c r="B288" s="1305" t="s">
        <v>4858</v>
      </c>
      <c r="C288" s="1306"/>
      <c r="D288" s="1306"/>
      <c r="E288" s="1306"/>
      <c r="F288" s="1306"/>
      <c r="G288" s="1306"/>
      <c r="H288" s="1307"/>
      <c r="I288" s="1311" t="s">
        <v>4878</v>
      </c>
      <c r="J288" s="1311"/>
      <c r="K288" s="1311"/>
      <c r="L288" s="1311"/>
      <c r="M288" s="1311"/>
      <c r="N288" s="1311"/>
      <c r="O288" s="1311"/>
      <c r="P288" s="1311"/>
      <c r="Q288" s="1311"/>
      <c r="R288" s="1311"/>
      <c r="S288" s="1311"/>
      <c r="T288" s="1311"/>
      <c r="U288" s="1311"/>
      <c r="V288" s="1311"/>
    </row>
    <row r="289" spans="2:22" x14ac:dyDescent="0.25">
      <c r="B289" s="1308"/>
      <c r="C289" s="1309"/>
      <c r="D289" s="1309"/>
      <c r="E289" s="1309"/>
      <c r="F289" s="1309"/>
      <c r="G289" s="1309"/>
      <c r="H289" s="1310"/>
      <c r="I289" s="1303" t="s">
        <v>510</v>
      </c>
      <c r="J289" s="1303"/>
      <c r="K289" s="1303"/>
      <c r="L289" s="1303"/>
      <c r="M289" s="1303"/>
      <c r="N289" s="1303"/>
      <c r="O289" s="1303"/>
      <c r="P289" s="1303" t="s">
        <v>4875</v>
      </c>
      <c r="Q289" s="1303"/>
      <c r="R289" s="1303"/>
      <c r="S289" s="1303"/>
      <c r="T289" s="1303"/>
      <c r="U289" s="1303"/>
      <c r="V289" s="1303"/>
    </row>
    <row r="290" spans="2:22" ht="18" x14ac:dyDescent="0.25">
      <c r="B290" s="1276" t="s">
        <v>4861</v>
      </c>
      <c r="C290" s="1276"/>
      <c r="D290" s="1276"/>
      <c r="E290" s="1276"/>
      <c r="F290" s="1276"/>
      <c r="G290" s="1276"/>
      <c r="H290" s="1276"/>
      <c r="I290" s="1282">
        <f>($F$281/1000)*I261</f>
        <v>145320000</v>
      </c>
      <c r="J290" s="1282"/>
      <c r="K290" s="1282"/>
      <c r="L290" s="1282"/>
      <c r="M290" s="1282"/>
      <c r="N290" s="1282"/>
      <c r="O290" s="1282"/>
      <c r="P290" s="1282">
        <f>($F$281/1000)*P261</f>
        <v>65916.121599187172</v>
      </c>
      <c r="Q290" s="1282"/>
      <c r="R290" s="1282"/>
      <c r="S290" s="1282"/>
      <c r="T290" s="1282"/>
      <c r="U290" s="1282"/>
      <c r="V290" s="1282"/>
    </row>
    <row r="291" spans="2:22" ht="18" x14ac:dyDescent="0.25">
      <c r="B291" s="1276" t="s">
        <v>4862</v>
      </c>
      <c r="C291" s="1276"/>
      <c r="D291" s="1276"/>
      <c r="E291" s="1276"/>
      <c r="F291" s="1276"/>
      <c r="G291" s="1276"/>
      <c r="H291" s="1276"/>
      <c r="I291" s="1282">
        <f>($F$281/1000)*I262</f>
        <v>15100</v>
      </c>
      <c r="J291" s="1282"/>
      <c r="K291" s="1282"/>
      <c r="L291" s="1282"/>
      <c r="M291" s="1282"/>
      <c r="N291" s="1282"/>
      <c r="O291" s="1282"/>
      <c r="P291" s="1282">
        <f>($F$281/1000)*P262</f>
        <v>6.8492529324781595</v>
      </c>
      <c r="Q291" s="1282"/>
      <c r="R291" s="1282"/>
      <c r="S291" s="1282"/>
      <c r="T291" s="1282"/>
      <c r="U291" s="1282"/>
      <c r="V291" s="1282"/>
    </row>
    <row r="292" spans="2:22" ht="18" x14ac:dyDescent="0.25">
      <c r="B292" s="1276" t="s">
        <v>4863</v>
      </c>
      <c r="C292" s="1276"/>
      <c r="D292" s="1276"/>
      <c r="E292" s="1276"/>
      <c r="F292" s="1276"/>
      <c r="G292" s="1276"/>
      <c r="H292" s="1276"/>
      <c r="I292" s="1282">
        <f>($F$281/1000)*I263</f>
        <v>2300</v>
      </c>
      <c r="J292" s="1282"/>
      <c r="K292" s="1282"/>
      <c r="L292" s="1282"/>
      <c r="M292" s="1282"/>
      <c r="N292" s="1282"/>
      <c r="O292" s="1282"/>
      <c r="P292" s="1282">
        <f>($F$281/1000)*P263</f>
        <v>1.0432636917019713</v>
      </c>
      <c r="Q292" s="1282"/>
      <c r="R292" s="1282"/>
      <c r="S292" s="1282"/>
      <c r="T292" s="1282"/>
      <c r="U292" s="1282"/>
      <c r="V292" s="1282"/>
    </row>
    <row r="293" spans="2:22" ht="18" x14ac:dyDescent="0.25">
      <c r="B293" s="1276" t="s">
        <v>4864</v>
      </c>
      <c r="C293" s="1276"/>
      <c r="D293" s="1276"/>
      <c r="E293" s="1276"/>
      <c r="F293" s="1276"/>
      <c r="G293" s="1276"/>
      <c r="H293" s="1276"/>
      <c r="I293" s="1282">
        <f>($F$281/1000)*I265</f>
        <v>480000</v>
      </c>
      <c r="J293" s="1282"/>
      <c r="K293" s="1282"/>
      <c r="L293" s="1282"/>
      <c r="M293" s="1282"/>
      <c r="N293" s="1282"/>
      <c r="O293" s="1282"/>
      <c r="P293" s="1282">
        <f>($F$281/1000)*P265</f>
        <v>217.72459652910706</v>
      </c>
      <c r="Q293" s="1282"/>
      <c r="R293" s="1282"/>
      <c r="S293" s="1282"/>
      <c r="T293" s="1282"/>
      <c r="U293" s="1282"/>
      <c r="V293" s="1282"/>
    </row>
    <row r="294" spans="2:22" ht="18" x14ac:dyDescent="0.25">
      <c r="B294" s="1276" t="s">
        <v>4865</v>
      </c>
      <c r="C294" s="1276"/>
      <c r="D294" s="1276"/>
      <c r="E294" s="1276"/>
      <c r="F294" s="1276"/>
      <c r="G294" s="1276"/>
      <c r="H294" s="1276"/>
      <c r="I294" s="1282">
        <f>($F$281/1000)*I266</f>
        <v>470000</v>
      </c>
      <c r="J294" s="1282"/>
      <c r="K294" s="1282"/>
      <c r="L294" s="1282"/>
      <c r="M294" s="1282"/>
      <c r="N294" s="1282"/>
      <c r="O294" s="1282"/>
      <c r="P294" s="1282">
        <f>($F$281/1000)*P266</f>
        <v>213.18866743475067</v>
      </c>
      <c r="Q294" s="1282"/>
      <c r="R294" s="1282"/>
      <c r="S294" s="1282"/>
      <c r="T294" s="1282"/>
      <c r="U294" s="1282"/>
      <c r="V294" s="1282"/>
    </row>
    <row r="295" spans="2:22" ht="18" x14ac:dyDescent="0.25">
      <c r="B295" s="1276" t="s">
        <v>4866</v>
      </c>
      <c r="C295" s="1276"/>
      <c r="D295" s="1276"/>
      <c r="E295" s="1276"/>
      <c r="F295" s="1276"/>
      <c r="G295" s="1276"/>
      <c r="H295" s="1276"/>
      <c r="I295" s="1282">
        <f>($F$281/1000)*I267</f>
        <v>539700</v>
      </c>
      <c r="J295" s="1282"/>
      <c r="K295" s="1282"/>
      <c r="L295" s="1282"/>
      <c r="M295" s="1282"/>
      <c r="N295" s="1282"/>
      <c r="O295" s="1282"/>
      <c r="P295" s="1282">
        <f>($F$281/1000)*P267</f>
        <v>244.80409322241476</v>
      </c>
      <c r="Q295" s="1282"/>
      <c r="R295" s="1282"/>
      <c r="S295" s="1282"/>
      <c r="T295" s="1282"/>
      <c r="U295" s="1282"/>
      <c r="V295" s="1282"/>
    </row>
    <row r="297" spans="2:22" x14ac:dyDescent="0.25">
      <c r="B297" s="23" t="s">
        <v>4879</v>
      </c>
    </row>
    <row r="298" spans="2:22" x14ac:dyDescent="0.25">
      <c r="B298" s="1276" t="s">
        <v>4880</v>
      </c>
      <c r="C298" s="1276"/>
      <c r="D298" s="1276"/>
      <c r="E298" s="1276"/>
      <c r="F298" s="1276"/>
      <c r="G298" s="1276"/>
      <c r="H298" s="1276"/>
      <c r="I298" s="1296">
        <f>P290/G274</f>
        <v>153293.30604462133</v>
      </c>
      <c r="J298" s="1296"/>
      <c r="K298" s="1296"/>
      <c r="L298" s="1296"/>
      <c r="M298" s="1296"/>
      <c r="N298" s="1296"/>
      <c r="O298" s="1296"/>
    </row>
  </sheetData>
  <sheetProtection algorithmName="SHA-512" hashValue="IObkotcY0VlcW52AuXPMfCdkFODnxjQSPMMPfzw8sj2vljg35md77qy3/pyLkAkpC510APcUKaE4R3755Jx1eA==" saltValue="7hGBOlGc2RFC0d+Rs/dptg==" spinCount="100000" sheet="1" objects="1" scenarios="1"/>
  <mergeCells count="1426">
    <mergeCell ref="A5:AF5"/>
    <mergeCell ref="H208:AF208"/>
    <mergeCell ref="A221:C221"/>
    <mergeCell ref="D221:K221"/>
    <mergeCell ref="L221:V221"/>
    <mergeCell ref="W221:Z221"/>
    <mergeCell ref="A227:C227"/>
    <mergeCell ref="D227:K227"/>
    <mergeCell ref="L227:V227"/>
    <mergeCell ref="W227:Z227"/>
    <mergeCell ref="A233:C233"/>
    <mergeCell ref="D233:AD233"/>
    <mergeCell ref="D222:K223"/>
    <mergeCell ref="S93:AF93"/>
    <mergeCell ref="B13:AF13"/>
    <mergeCell ref="C91:P91"/>
    <mergeCell ref="C92:P92"/>
    <mergeCell ref="C93:P93"/>
    <mergeCell ref="C94:AF94"/>
    <mergeCell ref="C72:AF72"/>
    <mergeCell ref="C73:AF73"/>
    <mergeCell ref="C74:AF74"/>
    <mergeCell ref="C75:AF75"/>
    <mergeCell ref="C61:AF61"/>
    <mergeCell ref="C62:AF62"/>
    <mergeCell ref="C63:AF63"/>
    <mergeCell ref="C64:AF64"/>
    <mergeCell ref="C65:AF65"/>
    <mergeCell ref="A232:C232"/>
    <mergeCell ref="P105:R105"/>
    <mergeCell ref="S105:U105"/>
    <mergeCell ref="V105:X105"/>
    <mergeCell ref="B292:H292"/>
    <mergeCell ref="I292:O292"/>
    <mergeCell ref="P292:V292"/>
    <mergeCell ref="B293:H293"/>
    <mergeCell ref="I293:O293"/>
    <mergeCell ref="P293:V293"/>
    <mergeCell ref="A253:AF253"/>
    <mergeCell ref="A254:AF254"/>
    <mergeCell ref="A256:AF256"/>
    <mergeCell ref="B259:H260"/>
    <mergeCell ref="I259:V259"/>
    <mergeCell ref="I260:O260"/>
    <mergeCell ref="P260:V260"/>
    <mergeCell ref="B261:H261"/>
    <mergeCell ref="I261:O261"/>
    <mergeCell ref="P261:V261"/>
    <mergeCell ref="B262:H262"/>
    <mergeCell ref="I262:O262"/>
    <mergeCell ref="P262:V262"/>
    <mergeCell ref="B263:H263"/>
    <mergeCell ref="B265:H265"/>
    <mergeCell ref="I265:O265"/>
    <mergeCell ref="P265:V265"/>
    <mergeCell ref="B266:H266"/>
    <mergeCell ref="I266:O266"/>
    <mergeCell ref="P266:V266"/>
    <mergeCell ref="B267:H267"/>
    <mergeCell ref="I267:O267"/>
    <mergeCell ref="P267:V267"/>
    <mergeCell ref="B268:D268"/>
    <mergeCell ref="E268:AF268"/>
    <mergeCell ref="E269:AF269"/>
    <mergeCell ref="B270:D270"/>
    <mergeCell ref="B295:H295"/>
    <mergeCell ref="I295:O295"/>
    <mergeCell ref="P295:V295"/>
    <mergeCell ref="E270:AF270"/>
    <mergeCell ref="E271:AF271"/>
    <mergeCell ref="B274:F274"/>
    <mergeCell ref="G274:H274"/>
    <mergeCell ref="I274:M274"/>
    <mergeCell ref="B298:H298"/>
    <mergeCell ref="I298:O298"/>
    <mergeCell ref="B275:AF275"/>
    <mergeCell ref="B276:AF276"/>
    <mergeCell ref="F281:L281"/>
    <mergeCell ref="B284:H284"/>
    <mergeCell ref="I284:O284"/>
    <mergeCell ref="P284:V284"/>
    <mergeCell ref="B285:H285"/>
    <mergeCell ref="I285:O285"/>
    <mergeCell ref="P285:V285"/>
    <mergeCell ref="B288:H289"/>
    <mergeCell ref="I288:V288"/>
    <mergeCell ref="I289:O289"/>
    <mergeCell ref="P289:V289"/>
    <mergeCell ref="B290:H290"/>
    <mergeCell ref="I290:O290"/>
    <mergeCell ref="P290:V290"/>
    <mergeCell ref="B291:H291"/>
    <mergeCell ref="I291:O291"/>
    <mergeCell ref="P291:V291"/>
    <mergeCell ref="B294:H294"/>
    <mergeCell ref="I294:O294"/>
    <mergeCell ref="AE109:AG109"/>
    <mergeCell ref="J106:L106"/>
    <mergeCell ref="M106:O106"/>
    <mergeCell ref="P106:R106"/>
    <mergeCell ref="S106:U106"/>
    <mergeCell ref="P294:V294"/>
    <mergeCell ref="I263:O263"/>
    <mergeCell ref="P263:V263"/>
    <mergeCell ref="B264:H264"/>
    <mergeCell ref="I264:O264"/>
    <mergeCell ref="P264:V264"/>
    <mergeCell ref="C76:AF76"/>
    <mergeCell ref="C77:AF77"/>
    <mergeCell ref="C78:AF78"/>
    <mergeCell ref="C79:AF79"/>
    <mergeCell ref="C80:AF80"/>
    <mergeCell ref="A82:AF82"/>
    <mergeCell ref="S86:AF86"/>
    <mergeCell ref="S87:AF87"/>
    <mergeCell ref="S88:AF88"/>
    <mergeCell ref="S89:AF89"/>
    <mergeCell ref="S90:AF90"/>
    <mergeCell ref="S91:AF91"/>
    <mergeCell ref="S92:AF92"/>
    <mergeCell ref="C86:P86"/>
    <mergeCell ref="C87:P87"/>
    <mergeCell ref="C88:P88"/>
    <mergeCell ref="C89:P89"/>
    <mergeCell ref="C90:P90"/>
    <mergeCell ref="D226:K226"/>
    <mergeCell ref="D232:AD232"/>
    <mergeCell ref="A251:AF251"/>
    <mergeCell ref="L220:V220"/>
    <mergeCell ref="W222:Z222"/>
    <mergeCell ref="W223:Z223"/>
    <mergeCell ref="W219:Z219"/>
    <mergeCell ref="W224:Z224"/>
    <mergeCell ref="W220:Z220"/>
    <mergeCell ref="A226:C226"/>
    <mergeCell ref="W226:Z226"/>
    <mergeCell ref="L226:V226"/>
    <mergeCell ref="D228:AD228"/>
    <mergeCell ref="A228:C228"/>
    <mergeCell ref="D109:F109"/>
    <mergeCell ref="G105:I105"/>
    <mergeCell ref="J105:L105"/>
    <mergeCell ref="M105:O105"/>
    <mergeCell ref="G107:I107"/>
    <mergeCell ref="M109:O109"/>
    <mergeCell ref="P109:R109"/>
    <mergeCell ref="V108:X108"/>
    <mergeCell ref="V109:X109"/>
    <mergeCell ref="V110:X110"/>
    <mergeCell ref="W225:Z225"/>
    <mergeCell ref="A220:C220"/>
    <mergeCell ref="A224:C224"/>
    <mergeCell ref="A225:C225"/>
    <mergeCell ref="A249:D249"/>
    <mergeCell ref="E249:G249"/>
    <mergeCell ref="A1:AF1"/>
    <mergeCell ref="A10:AF10"/>
    <mergeCell ref="A52:AF52"/>
    <mergeCell ref="A199:AF199"/>
    <mergeCell ref="A200:AF200"/>
    <mergeCell ref="A202:AF202"/>
    <mergeCell ref="A203:AF203"/>
    <mergeCell ref="L217:V217"/>
    <mergeCell ref="L218:V218"/>
    <mergeCell ref="L219:V219"/>
    <mergeCell ref="A100:AF100"/>
    <mergeCell ref="P107:R107"/>
    <mergeCell ref="S107:U107"/>
    <mergeCell ref="A106:C106"/>
    <mergeCell ref="D106:F106"/>
    <mergeCell ref="A3:AF3"/>
    <mergeCell ref="A107:C107"/>
    <mergeCell ref="D107:F107"/>
    <mergeCell ref="J107:L107"/>
    <mergeCell ref="M110:O110"/>
    <mergeCell ref="P110:R110"/>
    <mergeCell ref="S110:U110"/>
    <mergeCell ref="A109:C109"/>
    <mergeCell ref="J109:L109"/>
    <mergeCell ref="A51:AF51"/>
    <mergeCell ref="A7:AF7"/>
    <mergeCell ref="A8:AF8"/>
    <mergeCell ref="A219:C219"/>
    <mergeCell ref="D219:K219"/>
    <mergeCell ref="D220:K220"/>
    <mergeCell ref="A108:C108"/>
    <mergeCell ref="D108:F108"/>
    <mergeCell ref="J108:L108"/>
    <mergeCell ref="M108:O108"/>
    <mergeCell ref="P108:R108"/>
    <mergeCell ref="S108:U108"/>
    <mergeCell ref="G106:I106"/>
    <mergeCell ref="V106:X106"/>
    <mergeCell ref="V107:X107"/>
    <mergeCell ref="M107:O107"/>
    <mergeCell ref="J22:N22"/>
    <mergeCell ref="A116:C116"/>
    <mergeCell ref="D116:F116"/>
    <mergeCell ref="J116:L116"/>
    <mergeCell ref="M116:O116"/>
    <mergeCell ref="P116:R116"/>
    <mergeCell ref="S116:U116"/>
    <mergeCell ref="G116:I116"/>
    <mergeCell ref="A115:C115"/>
    <mergeCell ref="D115:F115"/>
    <mergeCell ref="J115:L115"/>
    <mergeCell ref="M115:O115"/>
    <mergeCell ref="P115:R115"/>
    <mergeCell ref="S115:U115"/>
    <mergeCell ref="G115:I115"/>
    <mergeCell ref="S113:U113"/>
    <mergeCell ref="A114:C114"/>
    <mergeCell ref="D114:F114"/>
    <mergeCell ref="J114:L114"/>
    <mergeCell ref="M114:O114"/>
    <mergeCell ref="P114:R114"/>
    <mergeCell ref="S114:U114"/>
    <mergeCell ref="A113:C113"/>
    <mergeCell ref="D113:F113"/>
    <mergeCell ref="J113:L113"/>
    <mergeCell ref="M113:O113"/>
    <mergeCell ref="P113:R113"/>
    <mergeCell ref="G113:I113"/>
    <mergeCell ref="G114:I114"/>
    <mergeCell ref="E28:F28"/>
    <mergeCell ref="G28:I28"/>
    <mergeCell ref="J28:N28"/>
    <mergeCell ref="A120:C120"/>
    <mergeCell ref="D120:F120"/>
    <mergeCell ref="J120:L120"/>
    <mergeCell ref="M120:O120"/>
    <mergeCell ref="P120:R120"/>
    <mergeCell ref="S120:U120"/>
    <mergeCell ref="G120:I120"/>
    <mergeCell ref="A119:C119"/>
    <mergeCell ref="D119:F119"/>
    <mergeCell ref="J119:L119"/>
    <mergeCell ref="M119:O119"/>
    <mergeCell ref="P119:R119"/>
    <mergeCell ref="S119:U119"/>
    <mergeCell ref="G119:I119"/>
    <mergeCell ref="S117:U117"/>
    <mergeCell ref="A118:C118"/>
    <mergeCell ref="D118:F118"/>
    <mergeCell ref="J118:L118"/>
    <mergeCell ref="M118:O118"/>
    <mergeCell ref="P118:R118"/>
    <mergeCell ref="S118:U118"/>
    <mergeCell ref="A117:C117"/>
    <mergeCell ref="D117:F117"/>
    <mergeCell ref="J117:L117"/>
    <mergeCell ref="M117:O117"/>
    <mergeCell ref="P117:R117"/>
    <mergeCell ref="G117:I117"/>
    <mergeCell ref="G118:I118"/>
    <mergeCell ref="A124:C124"/>
    <mergeCell ref="D124:F124"/>
    <mergeCell ref="J124:L124"/>
    <mergeCell ref="M124:O124"/>
    <mergeCell ref="P124:R124"/>
    <mergeCell ref="S124:U124"/>
    <mergeCell ref="G124:I124"/>
    <mergeCell ref="A123:C123"/>
    <mergeCell ref="D123:F123"/>
    <mergeCell ref="J123:L123"/>
    <mergeCell ref="M123:O123"/>
    <mergeCell ref="P123:R123"/>
    <mergeCell ref="S123:U123"/>
    <mergeCell ref="G123:I123"/>
    <mergeCell ref="S121:U121"/>
    <mergeCell ref="A122:C122"/>
    <mergeCell ref="D122:F122"/>
    <mergeCell ref="J122:L122"/>
    <mergeCell ref="M122:O122"/>
    <mergeCell ref="P122:R122"/>
    <mergeCell ref="S122:U122"/>
    <mergeCell ref="A121:C121"/>
    <mergeCell ref="D121:F121"/>
    <mergeCell ref="J121:L121"/>
    <mergeCell ref="M121:O121"/>
    <mergeCell ref="P121:R121"/>
    <mergeCell ref="G121:I121"/>
    <mergeCell ref="G122:I122"/>
    <mergeCell ref="A127:C127"/>
    <mergeCell ref="D127:F127"/>
    <mergeCell ref="J127:L127"/>
    <mergeCell ref="M127:O127"/>
    <mergeCell ref="P127:R127"/>
    <mergeCell ref="S127:U127"/>
    <mergeCell ref="G127:I127"/>
    <mergeCell ref="S125:U125"/>
    <mergeCell ref="A126:C126"/>
    <mergeCell ref="D126:F126"/>
    <mergeCell ref="J126:L126"/>
    <mergeCell ref="M126:O126"/>
    <mergeCell ref="P126:R126"/>
    <mergeCell ref="S126:U126"/>
    <mergeCell ref="A125:C125"/>
    <mergeCell ref="D125:F125"/>
    <mergeCell ref="J125:L125"/>
    <mergeCell ref="M125:O125"/>
    <mergeCell ref="P125:R125"/>
    <mergeCell ref="G125:I125"/>
    <mergeCell ref="G126:I126"/>
    <mergeCell ref="S129:U129"/>
    <mergeCell ref="A130:C130"/>
    <mergeCell ref="D130:F130"/>
    <mergeCell ref="J130:L130"/>
    <mergeCell ref="M130:O130"/>
    <mergeCell ref="P130:R130"/>
    <mergeCell ref="S130:U130"/>
    <mergeCell ref="A129:C129"/>
    <mergeCell ref="D129:F129"/>
    <mergeCell ref="J129:L129"/>
    <mergeCell ref="M129:O129"/>
    <mergeCell ref="P129:R129"/>
    <mergeCell ref="G129:I129"/>
    <mergeCell ref="G130:I130"/>
    <mergeCell ref="A128:C128"/>
    <mergeCell ref="D128:F128"/>
    <mergeCell ref="J128:L128"/>
    <mergeCell ref="M128:O128"/>
    <mergeCell ref="P128:R128"/>
    <mergeCell ref="S128:U128"/>
    <mergeCell ref="G128:I128"/>
    <mergeCell ref="A131:C131"/>
    <mergeCell ref="A212:AF212"/>
    <mergeCell ref="A213:AF213"/>
    <mergeCell ref="D217:K217"/>
    <mergeCell ref="D218:K218"/>
    <mergeCell ref="D131:F131"/>
    <mergeCell ref="J131:L131"/>
    <mergeCell ref="M131:O131"/>
    <mergeCell ref="P131:R131"/>
    <mergeCell ref="S131:U131"/>
    <mergeCell ref="A216:V216"/>
    <mergeCell ref="A217:C217"/>
    <mergeCell ref="A218:C218"/>
    <mergeCell ref="W216:Z216"/>
    <mergeCell ref="W217:Z217"/>
    <mergeCell ref="W218:Z218"/>
    <mergeCell ref="G131:I131"/>
    <mergeCell ref="A133:AF133"/>
    <mergeCell ref="K134:N134"/>
    <mergeCell ref="K135:N135"/>
    <mergeCell ref="G137:O137"/>
    <mergeCell ref="P137:X137"/>
    <mergeCell ref="Y137:AG137"/>
    <mergeCell ref="A140:C140"/>
    <mergeCell ref="D140:F140"/>
    <mergeCell ref="G140:I140"/>
    <mergeCell ref="J140:L140"/>
    <mergeCell ref="M140:O140"/>
    <mergeCell ref="P140:R140"/>
    <mergeCell ref="AB139:AD139"/>
    <mergeCell ref="AE139:AG139"/>
    <mergeCell ref="AB141:AD141"/>
    <mergeCell ref="A244:G244"/>
    <mergeCell ref="A247:D247"/>
    <mergeCell ref="E247:G247"/>
    <mergeCell ref="A248:D248"/>
    <mergeCell ref="E248:G248"/>
    <mergeCell ref="D225:K225"/>
    <mergeCell ref="A245:D245"/>
    <mergeCell ref="E245:G245"/>
    <mergeCell ref="A246:D246"/>
    <mergeCell ref="E246:G246"/>
    <mergeCell ref="B240:AF240"/>
    <mergeCell ref="B241:AF241"/>
    <mergeCell ref="A238:AF238"/>
    <mergeCell ref="B239:AF239"/>
    <mergeCell ref="A236:AF236"/>
    <mergeCell ref="A235:AF235"/>
    <mergeCell ref="A222:C223"/>
    <mergeCell ref="A229:C229"/>
    <mergeCell ref="D229:AD229"/>
    <mergeCell ref="A230:C230"/>
    <mergeCell ref="D230:AD230"/>
    <mergeCell ref="D231:AD231"/>
    <mergeCell ref="L224:V224"/>
    <mergeCell ref="L225:V225"/>
    <mergeCell ref="D224:K224"/>
    <mergeCell ref="L222:V222"/>
    <mergeCell ref="L223:V223"/>
    <mergeCell ref="A231:C231"/>
    <mergeCell ref="E20:F20"/>
    <mergeCell ref="E21:F21"/>
    <mergeCell ref="E22:F22"/>
    <mergeCell ref="B20:D22"/>
    <mergeCell ref="A11:AF11"/>
    <mergeCell ref="B12:AF12"/>
    <mergeCell ref="B14:AF14"/>
    <mergeCell ref="G19:I19"/>
    <mergeCell ref="J19:N19"/>
    <mergeCell ref="E19:F19"/>
    <mergeCell ref="B19:D19"/>
    <mergeCell ref="E26:F26"/>
    <mergeCell ref="G26:I26"/>
    <mergeCell ref="J26:N26"/>
    <mergeCell ref="E27:F27"/>
    <mergeCell ref="G27:I27"/>
    <mergeCell ref="J27:N27"/>
    <mergeCell ref="A16:AF16"/>
    <mergeCell ref="G20:I20"/>
    <mergeCell ref="J20:N20"/>
    <mergeCell ref="G21:I21"/>
    <mergeCell ref="J21:N21"/>
    <mergeCell ref="G22:I22"/>
    <mergeCell ref="B26:D28"/>
    <mergeCell ref="E23:F23"/>
    <mergeCell ref="G23:I23"/>
    <mergeCell ref="J23:N23"/>
    <mergeCell ref="E24:F24"/>
    <mergeCell ref="G24:I24"/>
    <mergeCell ref="J24:N24"/>
    <mergeCell ref="E25:F25"/>
    <mergeCell ref="G25:I25"/>
    <mergeCell ref="J25:N25"/>
    <mergeCell ref="B23:D25"/>
    <mergeCell ref="B39:D41"/>
    <mergeCell ref="E39:F39"/>
    <mergeCell ref="G39:I39"/>
    <mergeCell ref="E40:F40"/>
    <mergeCell ref="G40:I40"/>
    <mergeCell ref="E41:F41"/>
    <mergeCell ref="G41:I41"/>
    <mergeCell ref="J39:O39"/>
    <mergeCell ref="J40:O40"/>
    <mergeCell ref="J41:O41"/>
    <mergeCell ref="H29:I29"/>
    <mergeCell ref="B30:AF30"/>
    <mergeCell ref="B31:AF31"/>
    <mergeCell ref="B32:AF32"/>
    <mergeCell ref="B33:AF33"/>
    <mergeCell ref="J29:AF29"/>
    <mergeCell ref="A35:AF35"/>
    <mergeCell ref="B38:D38"/>
    <mergeCell ref="E38:F38"/>
    <mergeCell ref="G38:I38"/>
    <mergeCell ref="J38:O38"/>
    <mergeCell ref="B45:D47"/>
    <mergeCell ref="E45:F45"/>
    <mergeCell ref="G45:I45"/>
    <mergeCell ref="E46:F46"/>
    <mergeCell ref="G46:I46"/>
    <mergeCell ref="E47:F47"/>
    <mergeCell ref="G47:I47"/>
    <mergeCell ref="J45:O45"/>
    <mergeCell ref="J46:O46"/>
    <mergeCell ref="J47:O47"/>
    <mergeCell ref="B42:D44"/>
    <mergeCell ref="E42:F42"/>
    <mergeCell ref="G42:I42"/>
    <mergeCell ref="E43:F43"/>
    <mergeCell ref="G43:I43"/>
    <mergeCell ref="E44:F44"/>
    <mergeCell ref="G44:I44"/>
    <mergeCell ref="J42:O42"/>
    <mergeCell ref="J43:O43"/>
    <mergeCell ref="J44:O44"/>
    <mergeCell ref="G108:I108"/>
    <mergeCell ref="G109:I109"/>
    <mergeCell ref="G110:I110"/>
    <mergeCell ref="G111:I111"/>
    <mergeCell ref="G112:I112"/>
    <mergeCell ref="H48:I48"/>
    <mergeCell ref="J48:AF48"/>
    <mergeCell ref="B49:AF49"/>
    <mergeCell ref="K101:N101"/>
    <mergeCell ref="K102:N102"/>
    <mergeCell ref="G104:O104"/>
    <mergeCell ref="P104:X104"/>
    <mergeCell ref="Y104:AG104"/>
    <mergeCell ref="A112:C112"/>
    <mergeCell ref="D112:F112"/>
    <mergeCell ref="J112:L112"/>
    <mergeCell ref="M112:O112"/>
    <mergeCell ref="P112:R112"/>
    <mergeCell ref="S112:U112"/>
    <mergeCell ref="A111:C111"/>
    <mergeCell ref="D111:F111"/>
    <mergeCell ref="J111:L111"/>
    <mergeCell ref="M111:O111"/>
    <mergeCell ref="P111:R111"/>
    <mergeCell ref="S111:U111"/>
    <mergeCell ref="S109:U109"/>
    <mergeCell ref="A110:C110"/>
    <mergeCell ref="D110:F110"/>
    <mergeCell ref="A57:AF57"/>
    <mergeCell ref="A68:AF68"/>
    <mergeCell ref="A54:AF54"/>
    <mergeCell ref="J110:L110"/>
    <mergeCell ref="V120:X120"/>
    <mergeCell ref="V121:X121"/>
    <mergeCell ref="V122:X122"/>
    <mergeCell ref="V123:X123"/>
    <mergeCell ref="V124:X124"/>
    <mergeCell ref="V125:X125"/>
    <mergeCell ref="V126:X126"/>
    <mergeCell ref="V127:X127"/>
    <mergeCell ref="V128:X128"/>
    <mergeCell ref="V111:X111"/>
    <mergeCell ref="V112:X112"/>
    <mergeCell ref="V113:X113"/>
    <mergeCell ref="V114:X114"/>
    <mergeCell ref="V115:X115"/>
    <mergeCell ref="V116:X116"/>
    <mergeCell ref="V117:X117"/>
    <mergeCell ref="V118:X118"/>
    <mergeCell ref="V119:X119"/>
    <mergeCell ref="AH104:AP104"/>
    <mergeCell ref="Y106:AA106"/>
    <mergeCell ref="AB106:AD106"/>
    <mergeCell ref="AE106:AG106"/>
    <mergeCell ref="AH106:AJ106"/>
    <mergeCell ref="AK106:AM106"/>
    <mergeCell ref="AN106:AP106"/>
    <mergeCell ref="AE107:AG107"/>
    <mergeCell ref="AE108:AG108"/>
    <mergeCell ref="V129:X129"/>
    <mergeCell ref="V130:X130"/>
    <mergeCell ref="V131:X131"/>
    <mergeCell ref="Y105:AA105"/>
    <mergeCell ref="AB105:AD105"/>
    <mergeCell ref="AE105:AG105"/>
    <mergeCell ref="AH105:AJ105"/>
    <mergeCell ref="AK105:AM105"/>
    <mergeCell ref="AN105:AP105"/>
    <mergeCell ref="AB130:AD130"/>
    <mergeCell ref="AB131:AD131"/>
    <mergeCell ref="AB107:AD107"/>
    <mergeCell ref="AB108:AD108"/>
    <mergeCell ref="AB109:AD109"/>
    <mergeCell ref="AB110:AD110"/>
    <mergeCell ref="AB111:AD111"/>
    <mergeCell ref="AB112:AD112"/>
    <mergeCell ref="AB113:AD113"/>
    <mergeCell ref="AB114:AD114"/>
    <mergeCell ref="AB115:AD115"/>
    <mergeCell ref="AB116:AD116"/>
    <mergeCell ref="AB117:AD117"/>
    <mergeCell ref="AB118:AD118"/>
    <mergeCell ref="AB119:AD119"/>
    <mergeCell ref="AB120:AD120"/>
    <mergeCell ref="AB121:AD121"/>
    <mergeCell ref="AB122:AD122"/>
    <mergeCell ref="AE127:AG127"/>
    <mergeCell ref="AE110:AG110"/>
    <mergeCell ref="AE111:AG111"/>
    <mergeCell ref="AE112:AG112"/>
    <mergeCell ref="AE113:AG113"/>
    <mergeCell ref="AE114:AG114"/>
    <mergeCell ref="AE115:AG115"/>
    <mergeCell ref="AE116:AG116"/>
    <mergeCell ref="AE117:AG117"/>
    <mergeCell ref="AE118:AG118"/>
    <mergeCell ref="AB123:AD123"/>
    <mergeCell ref="AB124:AD124"/>
    <mergeCell ref="AB125:AD125"/>
    <mergeCell ref="AB126:AD126"/>
    <mergeCell ref="AB127:AD127"/>
    <mergeCell ref="AE123:AG123"/>
    <mergeCell ref="AE124:AG124"/>
    <mergeCell ref="AE125:AG125"/>
    <mergeCell ref="AE126:AG126"/>
    <mergeCell ref="AB128:AD128"/>
    <mergeCell ref="AB129:AD129"/>
    <mergeCell ref="AE128:AG128"/>
    <mergeCell ref="AE129:AG129"/>
    <mergeCell ref="AK130:AM130"/>
    <mergeCell ref="AK131:AM131"/>
    <mergeCell ref="AE130:AG130"/>
    <mergeCell ref="AE131:AG131"/>
    <mergeCell ref="AH107:AJ107"/>
    <mergeCell ref="AH108:AJ108"/>
    <mergeCell ref="AH109:AJ109"/>
    <mergeCell ref="AH110:AJ110"/>
    <mergeCell ref="AH111:AJ111"/>
    <mergeCell ref="AH112:AJ112"/>
    <mergeCell ref="AH113:AJ113"/>
    <mergeCell ref="AH114:AJ114"/>
    <mergeCell ref="AH115:AJ115"/>
    <mergeCell ref="AH116:AJ116"/>
    <mergeCell ref="AH117:AJ117"/>
    <mergeCell ref="AH118:AJ118"/>
    <mergeCell ref="AH119:AJ119"/>
    <mergeCell ref="AH120:AJ120"/>
    <mergeCell ref="AH121:AJ121"/>
    <mergeCell ref="AH122:AJ122"/>
    <mergeCell ref="AH123:AJ123"/>
    <mergeCell ref="AH124:AJ124"/>
    <mergeCell ref="AH125:AJ125"/>
    <mergeCell ref="AH126:AJ126"/>
    <mergeCell ref="AE119:AG119"/>
    <mergeCell ref="AE120:AG120"/>
    <mergeCell ref="AE121:AG121"/>
    <mergeCell ref="AE122:AG122"/>
    <mergeCell ref="AK107:AM107"/>
    <mergeCell ref="AK108:AM108"/>
    <mergeCell ref="AK109:AM109"/>
    <mergeCell ref="AK110:AM110"/>
    <mergeCell ref="AK111:AM111"/>
    <mergeCell ref="AK112:AM112"/>
    <mergeCell ref="AK113:AM113"/>
    <mergeCell ref="AK114:AM114"/>
    <mergeCell ref="AK115:AM115"/>
    <mergeCell ref="AK116:AM116"/>
    <mergeCell ref="AK117:AM117"/>
    <mergeCell ref="AK118:AM118"/>
    <mergeCell ref="AK119:AM119"/>
    <mergeCell ref="AK120:AM120"/>
    <mergeCell ref="AK121:AM121"/>
    <mergeCell ref="AK122:AM122"/>
    <mergeCell ref="AK123:AM123"/>
    <mergeCell ref="AN107:AP107"/>
    <mergeCell ref="AN108:AP108"/>
    <mergeCell ref="AN109:AP109"/>
    <mergeCell ref="AN110:AP110"/>
    <mergeCell ref="AN111:AP111"/>
    <mergeCell ref="AN112:AP112"/>
    <mergeCell ref="AN113:AP113"/>
    <mergeCell ref="AN114:AP114"/>
    <mergeCell ref="AN115:AP115"/>
    <mergeCell ref="AN116:AP116"/>
    <mergeCell ref="AN117:AP117"/>
    <mergeCell ref="AN118:AP118"/>
    <mergeCell ref="AN119:AP119"/>
    <mergeCell ref="AN120:AP120"/>
    <mergeCell ref="AN121:AP121"/>
    <mergeCell ref="AN122:AP122"/>
    <mergeCell ref="AN123:AP123"/>
    <mergeCell ref="AN124:AP124"/>
    <mergeCell ref="AN125:AP125"/>
    <mergeCell ref="AN126:AP126"/>
    <mergeCell ref="AN127:AP127"/>
    <mergeCell ref="AN128:AP128"/>
    <mergeCell ref="AN129:AP129"/>
    <mergeCell ref="AN130:AP130"/>
    <mergeCell ref="AN131:AP131"/>
    <mergeCell ref="AH137:AP137"/>
    <mergeCell ref="G138:I138"/>
    <mergeCell ref="J138:L138"/>
    <mergeCell ref="M138:O138"/>
    <mergeCell ref="P138:R138"/>
    <mergeCell ref="S138:U138"/>
    <mergeCell ref="V138:X138"/>
    <mergeCell ref="Y138:AA138"/>
    <mergeCell ref="AB138:AD138"/>
    <mergeCell ref="AE138:AG138"/>
    <mergeCell ref="AH138:AJ138"/>
    <mergeCell ref="AK138:AM138"/>
    <mergeCell ref="AN138:AP138"/>
    <mergeCell ref="AH127:AJ127"/>
    <mergeCell ref="AH128:AJ128"/>
    <mergeCell ref="AH129:AJ129"/>
    <mergeCell ref="AH130:AJ130"/>
    <mergeCell ref="AH131:AJ131"/>
    <mergeCell ref="AK124:AM124"/>
    <mergeCell ref="AK125:AM125"/>
    <mergeCell ref="AK126:AM126"/>
    <mergeCell ref="AK127:AM127"/>
    <mergeCell ref="AK128:AM128"/>
    <mergeCell ref="AK129:AM129"/>
    <mergeCell ref="AH139:AJ139"/>
    <mergeCell ref="AK139:AM139"/>
    <mergeCell ref="AN139:AP139"/>
    <mergeCell ref="S140:U140"/>
    <mergeCell ref="V140:X140"/>
    <mergeCell ref="Y140:AA140"/>
    <mergeCell ref="AB140:AD140"/>
    <mergeCell ref="AE140:AG140"/>
    <mergeCell ref="AH140:AJ140"/>
    <mergeCell ref="AK140:AM140"/>
    <mergeCell ref="AN140:AP140"/>
    <mergeCell ref="A139:C139"/>
    <mergeCell ref="D139:F139"/>
    <mergeCell ref="G139:I139"/>
    <mergeCell ref="J139:L139"/>
    <mergeCell ref="M139:O139"/>
    <mergeCell ref="P139:R139"/>
    <mergeCell ref="S139:U139"/>
    <mergeCell ref="V139:X139"/>
    <mergeCell ref="Y139:AA139"/>
    <mergeCell ref="AE141:AG141"/>
    <mergeCell ref="AH141:AJ141"/>
    <mergeCell ref="AK141:AM141"/>
    <mergeCell ref="AN141:AP141"/>
    <mergeCell ref="A142:C142"/>
    <mergeCell ref="D142:F142"/>
    <mergeCell ref="G142:I142"/>
    <mergeCell ref="J142:L142"/>
    <mergeCell ref="M142:O142"/>
    <mergeCell ref="P142:R142"/>
    <mergeCell ref="S142:U142"/>
    <mergeCell ref="V142:X142"/>
    <mergeCell ref="Y142:AA142"/>
    <mergeCell ref="AB142:AD142"/>
    <mergeCell ref="AE142:AG142"/>
    <mergeCell ref="AH142:AJ142"/>
    <mergeCell ref="AK142:AM142"/>
    <mergeCell ref="AN142:AP142"/>
    <mergeCell ref="A141:C141"/>
    <mergeCell ref="D141:F141"/>
    <mergeCell ref="G141:I141"/>
    <mergeCell ref="J141:L141"/>
    <mergeCell ref="M141:O141"/>
    <mergeCell ref="P141:R141"/>
    <mergeCell ref="S141:U141"/>
    <mergeCell ref="V141:X141"/>
    <mergeCell ref="Y141:AA141"/>
    <mergeCell ref="AB143:AD143"/>
    <mergeCell ref="AE143:AG143"/>
    <mergeCell ref="AH143:AJ143"/>
    <mergeCell ref="AK143:AM143"/>
    <mergeCell ref="AN143:AP143"/>
    <mergeCell ref="A144:C144"/>
    <mergeCell ref="D144:F144"/>
    <mergeCell ref="G144:I144"/>
    <mergeCell ref="J144:L144"/>
    <mergeCell ref="M144:O144"/>
    <mergeCell ref="P144:R144"/>
    <mergeCell ref="S144:U144"/>
    <mergeCell ref="V144:X144"/>
    <mergeCell ref="Y144:AA144"/>
    <mergeCell ref="AB144:AD144"/>
    <mergeCell ref="AE144:AG144"/>
    <mergeCell ref="AH144:AJ144"/>
    <mergeCell ref="AK144:AM144"/>
    <mergeCell ref="AN144:AP144"/>
    <mergeCell ref="A143:C143"/>
    <mergeCell ref="D143:F143"/>
    <mergeCell ref="G143:I143"/>
    <mergeCell ref="J143:L143"/>
    <mergeCell ref="M143:O143"/>
    <mergeCell ref="P143:R143"/>
    <mergeCell ref="S143:U143"/>
    <mergeCell ref="V143:X143"/>
    <mergeCell ref="Y143:AA143"/>
    <mergeCell ref="AB145:AD145"/>
    <mergeCell ref="AE145:AG145"/>
    <mergeCell ref="AH145:AJ145"/>
    <mergeCell ref="AK145:AM145"/>
    <mergeCell ref="AN145:AP145"/>
    <mergeCell ref="A146:C146"/>
    <mergeCell ref="D146:F146"/>
    <mergeCell ref="G146:I146"/>
    <mergeCell ref="J146:L146"/>
    <mergeCell ref="M146:O146"/>
    <mergeCell ref="P146:R146"/>
    <mergeCell ref="S146:U146"/>
    <mergeCell ref="V146:X146"/>
    <mergeCell ref="Y146:AA146"/>
    <mergeCell ref="AB146:AD146"/>
    <mergeCell ref="AE146:AG146"/>
    <mergeCell ref="AH146:AJ146"/>
    <mergeCell ref="AK146:AM146"/>
    <mergeCell ref="AN146:AP146"/>
    <mergeCell ref="A145:C145"/>
    <mergeCell ref="D145:F145"/>
    <mergeCell ref="G145:I145"/>
    <mergeCell ref="J145:L145"/>
    <mergeCell ref="M145:O145"/>
    <mergeCell ref="P145:R145"/>
    <mergeCell ref="S145:U145"/>
    <mergeCell ref="V145:X145"/>
    <mergeCell ref="Y145:AA145"/>
    <mergeCell ref="AB147:AD147"/>
    <mergeCell ref="AE147:AG147"/>
    <mergeCell ref="AH147:AJ147"/>
    <mergeCell ref="AK147:AM147"/>
    <mergeCell ref="AN147:AP147"/>
    <mergeCell ref="A148:C148"/>
    <mergeCell ref="D148:F148"/>
    <mergeCell ref="G148:I148"/>
    <mergeCell ref="J148:L148"/>
    <mergeCell ref="M148:O148"/>
    <mergeCell ref="P148:R148"/>
    <mergeCell ref="S148:U148"/>
    <mergeCell ref="V148:X148"/>
    <mergeCell ref="Y148:AA148"/>
    <mergeCell ref="AB148:AD148"/>
    <mergeCell ref="AE148:AG148"/>
    <mergeCell ref="AH148:AJ148"/>
    <mergeCell ref="AK148:AM148"/>
    <mergeCell ref="AN148:AP148"/>
    <mergeCell ref="A147:C147"/>
    <mergeCell ref="D147:F147"/>
    <mergeCell ref="G147:I147"/>
    <mergeCell ref="J147:L147"/>
    <mergeCell ref="M147:O147"/>
    <mergeCell ref="P147:R147"/>
    <mergeCell ref="S147:U147"/>
    <mergeCell ref="V147:X147"/>
    <mergeCell ref="Y147:AA147"/>
    <mergeCell ref="AB149:AD149"/>
    <mergeCell ref="AE149:AG149"/>
    <mergeCell ref="AH149:AJ149"/>
    <mergeCell ref="AK149:AM149"/>
    <mergeCell ref="AN149:AP149"/>
    <mergeCell ref="A150:C150"/>
    <mergeCell ref="D150:F150"/>
    <mergeCell ref="G150:I150"/>
    <mergeCell ref="J150:L150"/>
    <mergeCell ref="M150:O150"/>
    <mergeCell ref="P150:R150"/>
    <mergeCell ref="S150:U150"/>
    <mergeCell ref="V150:X150"/>
    <mergeCell ref="Y150:AA150"/>
    <mergeCell ref="AB150:AD150"/>
    <mergeCell ref="AE150:AG150"/>
    <mergeCell ref="AH150:AJ150"/>
    <mergeCell ref="AK150:AM150"/>
    <mergeCell ref="AN150:AP150"/>
    <mergeCell ref="A149:C149"/>
    <mergeCell ref="D149:F149"/>
    <mergeCell ref="G149:I149"/>
    <mergeCell ref="J149:L149"/>
    <mergeCell ref="M149:O149"/>
    <mergeCell ref="P149:R149"/>
    <mergeCell ref="S149:U149"/>
    <mergeCell ref="V149:X149"/>
    <mergeCell ref="Y149:AA149"/>
    <mergeCell ref="AB151:AD151"/>
    <mergeCell ref="AE151:AG151"/>
    <mergeCell ref="AH151:AJ151"/>
    <mergeCell ref="AK151:AM151"/>
    <mergeCell ref="AN151:AP151"/>
    <mergeCell ref="A152:C152"/>
    <mergeCell ref="D152:F152"/>
    <mergeCell ref="G152:I152"/>
    <mergeCell ref="J152:L152"/>
    <mergeCell ref="M152:O152"/>
    <mergeCell ref="P152:R152"/>
    <mergeCell ref="S152:U152"/>
    <mergeCell ref="V152:X152"/>
    <mergeCell ref="Y152:AA152"/>
    <mergeCell ref="AB152:AD152"/>
    <mergeCell ref="AE152:AG152"/>
    <mergeCell ref="AH152:AJ152"/>
    <mergeCell ref="AK152:AM152"/>
    <mergeCell ref="AN152:AP152"/>
    <mergeCell ref="A151:C151"/>
    <mergeCell ref="D151:F151"/>
    <mergeCell ref="G151:I151"/>
    <mergeCell ref="J151:L151"/>
    <mergeCell ref="M151:O151"/>
    <mergeCell ref="P151:R151"/>
    <mergeCell ref="S151:U151"/>
    <mergeCell ref="V151:X151"/>
    <mergeCell ref="Y151:AA151"/>
    <mergeCell ref="AB153:AD153"/>
    <mergeCell ref="AE153:AG153"/>
    <mergeCell ref="AH153:AJ153"/>
    <mergeCell ref="AK153:AM153"/>
    <mergeCell ref="AN153:AP153"/>
    <mergeCell ref="A154:C154"/>
    <mergeCell ref="D154:F154"/>
    <mergeCell ref="G154:I154"/>
    <mergeCell ref="J154:L154"/>
    <mergeCell ref="M154:O154"/>
    <mergeCell ref="P154:R154"/>
    <mergeCell ref="S154:U154"/>
    <mergeCell ref="V154:X154"/>
    <mergeCell ref="Y154:AA154"/>
    <mergeCell ref="AB154:AD154"/>
    <mergeCell ref="AE154:AG154"/>
    <mergeCell ref="AH154:AJ154"/>
    <mergeCell ref="AK154:AM154"/>
    <mergeCell ref="AN154:AP154"/>
    <mergeCell ref="A153:C153"/>
    <mergeCell ref="D153:F153"/>
    <mergeCell ref="G153:I153"/>
    <mergeCell ref="J153:L153"/>
    <mergeCell ref="M153:O153"/>
    <mergeCell ref="P153:R153"/>
    <mergeCell ref="S153:U153"/>
    <mergeCell ref="V153:X153"/>
    <mergeCell ref="Y153:AA153"/>
    <mergeCell ref="AB155:AD155"/>
    <mergeCell ref="AE155:AG155"/>
    <mergeCell ref="AH155:AJ155"/>
    <mergeCell ref="AK155:AM155"/>
    <mergeCell ref="AN155:AP155"/>
    <mergeCell ref="A156:C156"/>
    <mergeCell ref="D156:F156"/>
    <mergeCell ref="G156:I156"/>
    <mergeCell ref="J156:L156"/>
    <mergeCell ref="M156:O156"/>
    <mergeCell ref="P156:R156"/>
    <mergeCell ref="S156:U156"/>
    <mergeCell ref="V156:X156"/>
    <mergeCell ref="Y156:AA156"/>
    <mergeCell ref="AB156:AD156"/>
    <mergeCell ref="AE156:AG156"/>
    <mergeCell ref="AH156:AJ156"/>
    <mergeCell ref="AK156:AM156"/>
    <mergeCell ref="AN156:AP156"/>
    <mergeCell ref="A155:C155"/>
    <mergeCell ref="D155:F155"/>
    <mergeCell ref="G155:I155"/>
    <mergeCell ref="J155:L155"/>
    <mergeCell ref="M155:O155"/>
    <mergeCell ref="P155:R155"/>
    <mergeCell ref="S155:U155"/>
    <mergeCell ref="V155:X155"/>
    <mergeCell ref="Y155:AA155"/>
    <mergeCell ref="AB157:AD157"/>
    <mergeCell ref="AE157:AG157"/>
    <mergeCell ref="AH157:AJ157"/>
    <mergeCell ref="AK157:AM157"/>
    <mergeCell ref="AN157:AP157"/>
    <mergeCell ref="A158:C158"/>
    <mergeCell ref="D158:F158"/>
    <mergeCell ref="G158:I158"/>
    <mergeCell ref="J158:L158"/>
    <mergeCell ref="M158:O158"/>
    <mergeCell ref="P158:R158"/>
    <mergeCell ref="S158:U158"/>
    <mergeCell ref="V158:X158"/>
    <mergeCell ref="Y158:AA158"/>
    <mergeCell ref="AB158:AD158"/>
    <mergeCell ref="AE158:AG158"/>
    <mergeCell ref="AH158:AJ158"/>
    <mergeCell ref="AK158:AM158"/>
    <mergeCell ref="AN158:AP158"/>
    <mergeCell ref="A157:C157"/>
    <mergeCell ref="D157:F157"/>
    <mergeCell ref="G157:I157"/>
    <mergeCell ref="J157:L157"/>
    <mergeCell ref="M157:O157"/>
    <mergeCell ref="P157:R157"/>
    <mergeCell ref="S157:U157"/>
    <mergeCell ref="V157:X157"/>
    <mergeCell ref="Y157:AA157"/>
    <mergeCell ref="AB159:AD159"/>
    <mergeCell ref="AE159:AG159"/>
    <mergeCell ref="AH159:AJ159"/>
    <mergeCell ref="AK159:AM159"/>
    <mergeCell ref="AN159:AP159"/>
    <mergeCell ref="A160:C160"/>
    <mergeCell ref="D160:F160"/>
    <mergeCell ref="G160:I160"/>
    <mergeCell ref="J160:L160"/>
    <mergeCell ref="M160:O160"/>
    <mergeCell ref="P160:R160"/>
    <mergeCell ref="S160:U160"/>
    <mergeCell ref="V160:X160"/>
    <mergeCell ref="Y160:AA160"/>
    <mergeCell ref="AB160:AD160"/>
    <mergeCell ref="AE160:AG160"/>
    <mergeCell ref="AH160:AJ160"/>
    <mergeCell ref="AK160:AM160"/>
    <mergeCell ref="AN160:AP160"/>
    <mergeCell ref="A159:C159"/>
    <mergeCell ref="D159:F159"/>
    <mergeCell ref="G159:I159"/>
    <mergeCell ref="J159:L159"/>
    <mergeCell ref="M159:O159"/>
    <mergeCell ref="P159:R159"/>
    <mergeCell ref="S159:U159"/>
    <mergeCell ref="V159:X159"/>
    <mergeCell ref="Y159:AA159"/>
    <mergeCell ref="AB161:AD161"/>
    <mergeCell ref="AE161:AG161"/>
    <mergeCell ref="AH161:AJ161"/>
    <mergeCell ref="AK161:AM161"/>
    <mergeCell ref="AN161:AP161"/>
    <mergeCell ref="A162:C162"/>
    <mergeCell ref="D162:F162"/>
    <mergeCell ref="G162:I162"/>
    <mergeCell ref="J162:L162"/>
    <mergeCell ref="M162:O162"/>
    <mergeCell ref="P162:R162"/>
    <mergeCell ref="S162:U162"/>
    <mergeCell ref="V162:X162"/>
    <mergeCell ref="Y162:AA162"/>
    <mergeCell ref="AB162:AD162"/>
    <mergeCell ref="AE162:AG162"/>
    <mergeCell ref="AH162:AJ162"/>
    <mergeCell ref="AK162:AM162"/>
    <mergeCell ref="AN162:AP162"/>
    <mergeCell ref="A161:C161"/>
    <mergeCell ref="D161:F161"/>
    <mergeCell ref="G161:I161"/>
    <mergeCell ref="J161:L161"/>
    <mergeCell ref="M161:O161"/>
    <mergeCell ref="P161:R161"/>
    <mergeCell ref="S161:U161"/>
    <mergeCell ref="V161:X161"/>
    <mergeCell ref="Y161:AA161"/>
    <mergeCell ref="AB163:AD163"/>
    <mergeCell ref="AE163:AG163"/>
    <mergeCell ref="AH163:AJ163"/>
    <mergeCell ref="AK163:AM163"/>
    <mergeCell ref="AN163:AP163"/>
    <mergeCell ref="A164:C164"/>
    <mergeCell ref="D164:F164"/>
    <mergeCell ref="G164:I164"/>
    <mergeCell ref="J164:L164"/>
    <mergeCell ref="M164:O164"/>
    <mergeCell ref="P164:R164"/>
    <mergeCell ref="S164:U164"/>
    <mergeCell ref="V164:X164"/>
    <mergeCell ref="Y164:AA164"/>
    <mergeCell ref="AB164:AD164"/>
    <mergeCell ref="AE164:AG164"/>
    <mergeCell ref="AH164:AJ164"/>
    <mergeCell ref="AK164:AM164"/>
    <mergeCell ref="AN164:AP164"/>
    <mergeCell ref="A163:C163"/>
    <mergeCell ref="D163:F163"/>
    <mergeCell ref="G163:I163"/>
    <mergeCell ref="J163:L163"/>
    <mergeCell ref="M163:O163"/>
    <mergeCell ref="P163:R163"/>
    <mergeCell ref="S163:U163"/>
    <mergeCell ref="V163:X163"/>
    <mergeCell ref="Y163:AA163"/>
    <mergeCell ref="A166:AF166"/>
    <mergeCell ref="K167:N167"/>
    <mergeCell ref="K168:N168"/>
    <mergeCell ref="G170:O170"/>
    <mergeCell ref="P170:X170"/>
    <mergeCell ref="Y170:AG170"/>
    <mergeCell ref="AH170:AP170"/>
    <mergeCell ref="G171:I171"/>
    <mergeCell ref="J171:L171"/>
    <mergeCell ref="M171:O171"/>
    <mergeCell ref="P171:R171"/>
    <mergeCell ref="S171:U171"/>
    <mergeCell ref="V171:X171"/>
    <mergeCell ref="Y171:AA171"/>
    <mergeCell ref="AB171:AD171"/>
    <mergeCell ref="AE171:AG171"/>
    <mergeCell ref="AH171:AJ171"/>
    <mergeCell ref="AK171:AM171"/>
    <mergeCell ref="AN171:AP171"/>
    <mergeCell ref="AB172:AD172"/>
    <mergeCell ref="AE172:AG172"/>
    <mergeCell ref="AH172:AJ172"/>
    <mergeCell ref="AK172:AM172"/>
    <mergeCell ref="AN172:AP172"/>
    <mergeCell ref="A173:C173"/>
    <mergeCell ref="D173:F173"/>
    <mergeCell ref="G173:I173"/>
    <mergeCell ref="J173:L173"/>
    <mergeCell ref="M173:O173"/>
    <mergeCell ref="P173:R173"/>
    <mergeCell ref="S173:U173"/>
    <mergeCell ref="V173:X173"/>
    <mergeCell ref="Y173:AA173"/>
    <mergeCell ref="AB173:AD173"/>
    <mergeCell ref="AE173:AG173"/>
    <mergeCell ref="AH173:AJ173"/>
    <mergeCell ref="AK173:AM173"/>
    <mergeCell ref="AN173:AP173"/>
    <mergeCell ref="A172:C172"/>
    <mergeCell ref="D172:F172"/>
    <mergeCell ref="G172:I172"/>
    <mergeCell ref="J172:L172"/>
    <mergeCell ref="M172:O172"/>
    <mergeCell ref="P172:R172"/>
    <mergeCell ref="S172:U172"/>
    <mergeCell ref="V172:X172"/>
    <mergeCell ref="Y172:AA172"/>
    <mergeCell ref="AB174:AD174"/>
    <mergeCell ref="AE174:AG174"/>
    <mergeCell ref="AH174:AJ174"/>
    <mergeCell ref="AK174:AM174"/>
    <mergeCell ref="AN174:AP174"/>
    <mergeCell ref="A175:C175"/>
    <mergeCell ref="D175:F175"/>
    <mergeCell ref="G175:I175"/>
    <mergeCell ref="J175:L175"/>
    <mergeCell ref="M175:O175"/>
    <mergeCell ref="P175:R175"/>
    <mergeCell ref="S175:U175"/>
    <mergeCell ref="V175:X175"/>
    <mergeCell ref="Y175:AA175"/>
    <mergeCell ref="AB175:AD175"/>
    <mergeCell ref="AE175:AG175"/>
    <mergeCell ref="AH175:AJ175"/>
    <mergeCell ref="AK175:AM175"/>
    <mergeCell ref="AN175:AP175"/>
    <mergeCell ref="A174:C174"/>
    <mergeCell ref="D174:F174"/>
    <mergeCell ref="G174:I174"/>
    <mergeCell ref="J174:L174"/>
    <mergeCell ref="M174:O174"/>
    <mergeCell ref="P174:R174"/>
    <mergeCell ref="S174:U174"/>
    <mergeCell ref="V174:X174"/>
    <mergeCell ref="Y174:AA174"/>
    <mergeCell ref="AB176:AD176"/>
    <mergeCell ref="AE176:AG176"/>
    <mergeCell ref="AH176:AJ176"/>
    <mergeCell ref="AK176:AM176"/>
    <mergeCell ref="AN176:AP176"/>
    <mergeCell ref="A177:C177"/>
    <mergeCell ref="D177:F177"/>
    <mergeCell ref="G177:I177"/>
    <mergeCell ref="J177:L177"/>
    <mergeCell ref="M177:O177"/>
    <mergeCell ref="P177:R177"/>
    <mergeCell ref="S177:U177"/>
    <mergeCell ref="V177:X177"/>
    <mergeCell ref="Y177:AA177"/>
    <mergeCell ref="AB177:AD177"/>
    <mergeCell ref="AE177:AG177"/>
    <mergeCell ref="AH177:AJ177"/>
    <mergeCell ref="AK177:AM177"/>
    <mergeCell ref="AN177:AP177"/>
    <mergeCell ref="A176:C176"/>
    <mergeCell ref="D176:F176"/>
    <mergeCell ref="G176:I176"/>
    <mergeCell ref="J176:L176"/>
    <mergeCell ref="M176:O176"/>
    <mergeCell ref="P176:R176"/>
    <mergeCell ref="S176:U176"/>
    <mergeCell ref="V176:X176"/>
    <mergeCell ref="Y176:AA176"/>
    <mergeCell ref="AB178:AD178"/>
    <mergeCell ref="AE178:AG178"/>
    <mergeCell ref="AH178:AJ178"/>
    <mergeCell ref="AK178:AM178"/>
    <mergeCell ref="AN178:AP178"/>
    <mergeCell ref="A179:C179"/>
    <mergeCell ref="D179:F179"/>
    <mergeCell ref="G179:I179"/>
    <mergeCell ref="J179:L179"/>
    <mergeCell ref="M179:O179"/>
    <mergeCell ref="P179:R179"/>
    <mergeCell ref="S179:U179"/>
    <mergeCell ref="V179:X179"/>
    <mergeCell ref="Y179:AA179"/>
    <mergeCell ref="AB179:AD179"/>
    <mergeCell ref="AE179:AG179"/>
    <mergeCell ref="AH179:AJ179"/>
    <mergeCell ref="AK179:AM179"/>
    <mergeCell ref="AN179:AP179"/>
    <mergeCell ref="A178:C178"/>
    <mergeCell ref="D178:F178"/>
    <mergeCell ref="G178:I178"/>
    <mergeCell ref="J178:L178"/>
    <mergeCell ref="M178:O178"/>
    <mergeCell ref="P178:R178"/>
    <mergeCell ref="S178:U178"/>
    <mergeCell ref="V178:X178"/>
    <mergeCell ref="Y178:AA178"/>
    <mergeCell ref="AB180:AD180"/>
    <mergeCell ref="AE180:AG180"/>
    <mergeCell ref="AH180:AJ180"/>
    <mergeCell ref="AK180:AM180"/>
    <mergeCell ref="AN180:AP180"/>
    <mergeCell ref="A181:C181"/>
    <mergeCell ref="D181:F181"/>
    <mergeCell ref="G181:I181"/>
    <mergeCell ref="J181:L181"/>
    <mergeCell ref="M181:O181"/>
    <mergeCell ref="P181:R181"/>
    <mergeCell ref="S181:U181"/>
    <mergeCell ref="V181:X181"/>
    <mergeCell ref="Y181:AA181"/>
    <mergeCell ref="AB181:AD181"/>
    <mergeCell ref="AE181:AG181"/>
    <mergeCell ref="AH181:AJ181"/>
    <mergeCell ref="AK181:AM181"/>
    <mergeCell ref="AN181:AP181"/>
    <mergeCell ref="A180:C180"/>
    <mergeCell ref="D180:F180"/>
    <mergeCell ref="G180:I180"/>
    <mergeCell ref="J180:L180"/>
    <mergeCell ref="M180:O180"/>
    <mergeCell ref="P180:R180"/>
    <mergeCell ref="S180:U180"/>
    <mergeCell ref="V180:X180"/>
    <mergeCell ref="Y180:AA180"/>
    <mergeCell ref="AB182:AD182"/>
    <mergeCell ref="AE182:AG182"/>
    <mergeCell ref="AH182:AJ182"/>
    <mergeCell ref="AK182:AM182"/>
    <mergeCell ref="AN182:AP182"/>
    <mergeCell ref="A183:C183"/>
    <mergeCell ref="D183:F183"/>
    <mergeCell ref="G183:I183"/>
    <mergeCell ref="J183:L183"/>
    <mergeCell ref="M183:O183"/>
    <mergeCell ref="P183:R183"/>
    <mergeCell ref="S183:U183"/>
    <mergeCell ref="V183:X183"/>
    <mergeCell ref="Y183:AA183"/>
    <mergeCell ref="AB183:AD183"/>
    <mergeCell ref="AE183:AG183"/>
    <mergeCell ref="AH183:AJ183"/>
    <mergeCell ref="AK183:AM183"/>
    <mergeCell ref="AN183:AP183"/>
    <mergeCell ref="A182:C182"/>
    <mergeCell ref="D182:F182"/>
    <mergeCell ref="G182:I182"/>
    <mergeCell ref="J182:L182"/>
    <mergeCell ref="M182:O182"/>
    <mergeCell ref="P182:R182"/>
    <mergeCell ref="S182:U182"/>
    <mergeCell ref="V182:X182"/>
    <mergeCell ref="Y182:AA182"/>
    <mergeCell ref="AB184:AD184"/>
    <mergeCell ref="AE184:AG184"/>
    <mergeCell ref="AH184:AJ184"/>
    <mergeCell ref="AK184:AM184"/>
    <mergeCell ref="AN184:AP184"/>
    <mergeCell ref="A185:C185"/>
    <mergeCell ref="D185:F185"/>
    <mergeCell ref="G185:I185"/>
    <mergeCell ref="J185:L185"/>
    <mergeCell ref="M185:O185"/>
    <mergeCell ref="P185:R185"/>
    <mergeCell ref="S185:U185"/>
    <mergeCell ref="V185:X185"/>
    <mergeCell ref="Y185:AA185"/>
    <mergeCell ref="AB185:AD185"/>
    <mergeCell ref="AE185:AG185"/>
    <mergeCell ref="AH185:AJ185"/>
    <mergeCell ref="AK185:AM185"/>
    <mergeCell ref="AN185:AP185"/>
    <mergeCell ref="A184:C184"/>
    <mergeCell ref="D184:F184"/>
    <mergeCell ref="G184:I184"/>
    <mergeCell ref="J184:L184"/>
    <mergeCell ref="M184:O184"/>
    <mergeCell ref="P184:R184"/>
    <mergeCell ref="S184:U184"/>
    <mergeCell ref="V184:X184"/>
    <mergeCell ref="Y184:AA184"/>
    <mergeCell ref="AB186:AD186"/>
    <mergeCell ref="AE186:AG186"/>
    <mergeCell ref="AH186:AJ186"/>
    <mergeCell ref="AK186:AM186"/>
    <mergeCell ref="AN186:AP186"/>
    <mergeCell ref="A187:C187"/>
    <mergeCell ref="D187:F187"/>
    <mergeCell ref="G187:I187"/>
    <mergeCell ref="J187:L187"/>
    <mergeCell ref="M187:O187"/>
    <mergeCell ref="P187:R187"/>
    <mergeCell ref="S187:U187"/>
    <mergeCell ref="V187:X187"/>
    <mergeCell ref="Y187:AA187"/>
    <mergeCell ref="AB187:AD187"/>
    <mergeCell ref="AE187:AG187"/>
    <mergeCell ref="AH187:AJ187"/>
    <mergeCell ref="AK187:AM187"/>
    <mergeCell ref="AN187:AP187"/>
    <mergeCell ref="A186:C186"/>
    <mergeCell ref="D186:F186"/>
    <mergeCell ref="G186:I186"/>
    <mergeCell ref="J186:L186"/>
    <mergeCell ref="M186:O186"/>
    <mergeCell ref="P186:R186"/>
    <mergeCell ref="S186:U186"/>
    <mergeCell ref="V186:X186"/>
    <mergeCell ref="Y186:AA186"/>
    <mergeCell ref="AB188:AD188"/>
    <mergeCell ref="AE188:AG188"/>
    <mergeCell ref="AH188:AJ188"/>
    <mergeCell ref="AK188:AM188"/>
    <mergeCell ref="AN188:AP188"/>
    <mergeCell ref="A189:C189"/>
    <mergeCell ref="D189:F189"/>
    <mergeCell ref="G189:I189"/>
    <mergeCell ref="J189:L189"/>
    <mergeCell ref="M189:O189"/>
    <mergeCell ref="P189:R189"/>
    <mergeCell ref="S189:U189"/>
    <mergeCell ref="V189:X189"/>
    <mergeCell ref="Y189:AA189"/>
    <mergeCell ref="AB189:AD189"/>
    <mergeCell ref="AE189:AG189"/>
    <mergeCell ref="AH189:AJ189"/>
    <mergeCell ref="AK189:AM189"/>
    <mergeCell ref="AN189:AP189"/>
    <mergeCell ref="A188:C188"/>
    <mergeCell ref="D188:F188"/>
    <mergeCell ref="G188:I188"/>
    <mergeCell ref="J188:L188"/>
    <mergeCell ref="M188:O188"/>
    <mergeCell ref="P188:R188"/>
    <mergeCell ref="S188:U188"/>
    <mergeCell ref="V188:X188"/>
    <mergeCell ref="Y188:AA188"/>
    <mergeCell ref="AB190:AD190"/>
    <mergeCell ref="AE190:AG190"/>
    <mergeCell ref="AH190:AJ190"/>
    <mergeCell ref="AK190:AM190"/>
    <mergeCell ref="AN190:AP190"/>
    <mergeCell ref="A191:C191"/>
    <mergeCell ref="D191:F191"/>
    <mergeCell ref="G191:I191"/>
    <mergeCell ref="J191:L191"/>
    <mergeCell ref="M191:O191"/>
    <mergeCell ref="P191:R191"/>
    <mergeCell ref="S191:U191"/>
    <mergeCell ref="V191:X191"/>
    <mergeCell ref="Y191:AA191"/>
    <mergeCell ref="AB191:AD191"/>
    <mergeCell ref="AE191:AG191"/>
    <mergeCell ref="AH191:AJ191"/>
    <mergeCell ref="AK191:AM191"/>
    <mergeCell ref="AN191:AP191"/>
    <mergeCell ref="A190:C190"/>
    <mergeCell ref="D190:F190"/>
    <mergeCell ref="G190:I190"/>
    <mergeCell ref="J190:L190"/>
    <mergeCell ref="M190:O190"/>
    <mergeCell ref="P190:R190"/>
    <mergeCell ref="S190:U190"/>
    <mergeCell ref="V190:X190"/>
    <mergeCell ref="Y190:AA190"/>
    <mergeCell ref="AB192:AD192"/>
    <mergeCell ref="AE192:AG192"/>
    <mergeCell ref="AH192:AJ192"/>
    <mergeCell ref="AK192:AM192"/>
    <mergeCell ref="AN192:AP192"/>
    <mergeCell ref="A193:C193"/>
    <mergeCell ref="D193:F193"/>
    <mergeCell ref="G193:I193"/>
    <mergeCell ref="J193:L193"/>
    <mergeCell ref="M193:O193"/>
    <mergeCell ref="P193:R193"/>
    <mergeCell ref="S193:U193"/>
    <mergeCell ref="V193:X193"/>
    <mergeCell ref="Y193:AA193"/>
    <mergeCell ref="AB193:AD193"/>
    <mergeCell ref="AE193:AG193"/>
    <mergeCell ref="AH193:AJ193"/>
    <mergeCell ref="AK193:AM193"/>
    <mergeCell ref="AN193:AP193"/>
    <mergeCell ref="A192:C192"/>
    <mergeCell ref="D192:F192"/>
    <mergeCell ref="G192:I192"/>
    <mergeCell ref="J192:L192"/>
    <mergeCell ref="M192:O192"/>
    <mergeCell ref="P192:R192"/>
    <mergeCell ref="S192:U192"/>
    <mergeCell ref="V192:X192"/>
    <mergeCell ref="Y192:AA192"/>
    <mergeCell ref="AB194:AD194"/>
    <mergeCell ref="AE194:AG194"/>
    <mergeCell ref="AH194:AJ194"/>
    <mergeCell ref="AK194:AM194"/>
    <mergeCell ref="AN194:AP194"/>
    <mergeCell ref="A195:C195"/>
    <mergeCell ref="D195:F195"/>
    <mergeCell ref="G195:I195"/>
    <mergeCell ref="J195:L195"/>
    <mergeCell ref="M195:O195"/>
    <mergeCell ref="P195:R195"/>
    <mergeCell ref="S195:U195"/>
    <mergeCell ref="V195:X195"/>
    <mergeCell ref="Y195:AA195"/>
    <mergeCell ref="AB195:AD195"/>
    <mergeCell ref="AE195:AG195"/>
    <mergeCell ref="AH195:AJ195"/>
    <mergeCell ref="AK195:AM195"/>
    <mergeCell ref="AN195:AP195"/>
    <mergeCell ref="A194:C194"/>
    <mergeCell ref="D194:F194"/>
    <mergeCell ref="G194:I194"/>
    <mergeCell ref="J194:L194"/>
    <mergeCell ref="M194:O194"/>
    <mergeCell ref="P194:R194"/>
    <mergeCell ref="S194:U194"/>
    <mergeCell ref="V194:X194"/>
    <mergeCell ref="Y194:AA194"/>
    <mergeCell ref="AB196:AD196"/>
    <mergeCell ref="AE196:AG196"/>
    <mergeCell ref="AH196:AJ196"/>
    <mergeCell ref="AK196:AM196"/>
    <mergeCell ref="AN196:AP196"/>
    <mergeCell ref="A197:C197"/>
    <mergeCell ref="D197:F197"/>
    <mergeCell ref="G197:I197"/>
    <mergeCell ref="J197:L197"/>
    <mergeCell ref="M197:O197"/>
    <mergeCell ref="P197:R197"/>
    <mergeCell ref="S197:U197"/>
    <mergeCell ref="V197:X197"/>
    <mergeCell ref="Y197:AA197"/>
    <mergeCell ref="AB197:AD197"/>
    <mergeCell ref="AE197:AG197"/>
    <mergeCell ref="AH197:AJ197"/>
    <mergeCell ref="AK197:AM197"/>
    <mergeCell ref="AN197:AP197"/>
    <mergeCell ref="A196:C196"/>
    <mergeCell ref="D196:F196"/>
    <mergeCell ref="G196:I196"/>
    <mergeCell ref="J196:L196"/>
    <mergeCell ref="M196:O196"/>
    <mergeCell ref="P196:R196"/>
    <mergeCell ref="S196:U196"/>
    <mergeCell ref="V196:X196"/>
    <mergeCell ref="Y196:AA196"/>
    <mergeCell ref="Y128:AA128"/>
    <mergeCell ref="Y129:AA129"/>
    <mergeCell ref="Y130:AA130"/>
    <mergeCell ref="Y131:AA131"/>
    <mergeCell ref="Y107:AA107"/>
    <mergeCell ref="Y108:AA108"/>
    <mergeCell ref="Y109:AA109"/>
    <mergeCell ref="Y110:AA110"/>
    <mergeCell ref="Y111:AA111"/>
    <mergeCell ref="Y112:AA112"/>
    <mergeCell ref="Y113:AA113"/>
    <mergeCell ref="Y114:AA114"/>
    <mergeCell ref="Y115:AA115"/>
    <mergeCell ref="Y116:AA116"/>
    <mergeCell ref="Y117:AA117"/>
    <mergeCell ref="Y118:AA118"/>
    <mergeCell ref="Y119:AA119"/>
    <mergeCell ref="Y120:AA120"/>
    <mergeCell ref="Y121:AA121"/>
    <mergeCell ref="Y122:AA122"/>
    <mergeCell ref="Y123:AA123"/>
    <mergeCell ref="Y124:AA124"/>
    <mergeCell ref="Y125:AA125"/>
    <mergeCell ref="Y126:AA126"/>
    <mergeCell ref="Y127:AA127"/>
  </mergeCells>
  <hyperlinks>
    <hyperlink ref="A2" location="TOC!A1" display="Return to TOC" xr:uid="{00000000-0004-0000-0800-000000000000}"/>
    <hyperlink ref="C86:P86" location="'R_HVAC_Window AC'!A1" display="R_HVAC_Window AC" xr:uid="{00000000-0004-0000-0800-000001000000}"/>
    <hyperlink ref="C88:P88" location="'R_HVAC_Central AC Retrofit'!A1" display="R_HVAC_Central AC Retrofit" xr:uid="{00000000-0004-0000-0800-000002000000}"/>
    <hyperlink ref="C90:P90" location="R_WH_LFShowerhead!A1" display="R_WH_LFShowerhead" xr:uid="{00000000-0004-0000-0800-000007000000}"/>
    <hyperlink ref="C91:P91" location="R_Appliance_Refrigerator!A1" display="R_Appliance_Refrigerator" xr:uid="{00000000-0004-0000-0800-000008000000}"/>
    <hyperlink ref="S86:AF86" location="'C_HVAC_Window AC'!A1" display="C_HVAC_Window AC" xr:uid="{00000000-0004-0000-0800-000009000000}"/>
    <hyperlink ref="S88:AF88" location="C_Light_General!A1" display="C_Light_General" xr:uid="{00000000-0004-0000-0800-00000A000000}"/>
    <hyperlink ref="S90:AF90" location="'C_Light_Energy Advantage'!A1" display="C_Light_Energy Advantage**" xr:uid="{00000000-0004-0000-0800-00000D000000}"/>
    <hyperlink ref="C89:P89" location="'R_WH_Faucet Aerator'!A1" display="R_WH_Faucet Aerator" xr:uid="{2D657D51-BE7F-4541-9141-E22A96F60629}"/>
    <hyperlink ref="S91:AF91" location="'C_Lighting_Refrigerated Case'!A1" display="C_Lighting_Refrigerated Case" xr:uid="{173B022E-68D2-45BD-9362-8BEF740EDCC1}"/>
    <hyperlink ref="S93:AF93" location="C_Other_Transformer!A1" display="C_Other_Transformer" xr:uid="{71E33922-C855-4BE7-8BB8-6803197A1226}"/>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239:A241 AF59 AF70" numberStoredAsText="1"/>
  </ignoredError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46">
    <tabColor theme="7" tint="0.79998168889431442"/>
    <pageSetUpPr autoPageBreaks="0"/>
  </sheetPr>
  <dimension ref="A1:AG108"/>
  <sheetViews>
    <sheetView workbookViewId="0">
      <selection sqref="A1:AF1"/>
    </sheetView>
  </sheetViews>
  <sheetFormatPr defaultColWidth="2.7109375" defaultRowHeight="15" x14ac:dyDescent="0.25"/>
  <sheetData>
    <row r="1" spans="1:32" ht="18.75" x14ac:dyDescent="0.25">
      <c r="A1" s="1464" t="s">
        <v>1163</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x14ac:dyDescent="0.25">
      <c r="A2" s="376" t="s">
        <v>1702</v>
      </c>
      <c r="W2" s="689"/>
    </row>
    <row r="3" spans="1:32"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262"/>
      <c r="B5" s="1151" t="s">
        <v>4024</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1"/>
    </row>
    <row r="9" spans="1:32" x14ac:dyDescent="0.25">
      <c r="A9" s="1475" t="s">
        <v>10</v>
      </c>
      <c r="B9" s="1475"/>
      <c r="C9" s="1475"/>
      <c r="D9" s="1475"/>
      <c r="E9" s="1475"/>
      <c r="F9" s="1475"/>
      <c r="G9" s="1475"/>
      <c r="H9" s="1475"/>
      <c r="I9" s="1"/>
      <c r="J9" s="692"/>
      <c r="K9" s="1"/>
      <c r="L9" s="1"/>
      <c r="M9" s="1"/>
      <c r="N9" s="1"/>
      <c r="O9" s="1"/>
      <c r="P9" s="1"/>
      <c r="Q9" s="1"/>
      <c r="R9" s="1"/>
      <c r="S9" s="1"/>
      <c r="T9" s="1"/>
      <c r="U9" s="1"/>
      <c r="V9" s="1"/>
      <c r="W9" s="1"/>
      <c r="X9" s="1"/>
      <c r="Y9" s="1"/>
      <c r="Z9" s="1"/>
      <c r="AA9" s="1"/>
      <c r="AB9" s="1"/>
      <c r="AC9" s="1"/>
      <c r="AD9" s="1"/>
      <c r="AE9" s="1"/>
      <c r="AF9" s="1"/>
    </row>
    <row r="10" spans="1:32" ht="36.75" customHeight="1" x14ac:dyDescent="0.25">
      <c r="A10" s="1589" t="s">
        <v>4025</v>
      </c>
      <c r="B10" s="1589"/>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4"/>
    </row>
    <row r="11" spans="1:32"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25">
      <c r="A12" s="1475" t="s">
        <v>11</v>
      </c>
      <c r="B12" s="1475"/>
      <c r="C12" s="1475"/>
      <c r="D12" s="1475"/>
      <c r="E12" s="1475"/>
      <c r="F12" s="1475"/>
      <c r="G12" s="1475"/>
      <c r="H12" s="1475"/>
      <c r="I12" s="1"/>
      <c r="J12" s="1"/>
      <c r="K12" s="1"/>
      <c r="L12" s="1"/>
      <c r="M12" s="1"/>
      <c r="N12" s="1"/>
      <c r="O12" s="1"/>
      <c r="P12" s="1"/>
      <c r="Q12" s="1"/>
      <c r="R12" s="1"/>
      <c r="S12" s="1"/>
      <c r="T12" s="1"/>
      <c r="U12" s="1"/>
      <c r="V12" s="1"/>
      <c r="W12" s="1"/>
      <c r="X12" s="1"/>
      <c r="Y12" s="1"/>
      <c r="Z12" s="1"/>
      <c r="AA12" s="1"/>
      <c r="AB12" s="1"/>
      <c r="AC12" s="1"/>
      <c r="AD12" s="1"/>
      <c r="AE12" s="1"/>
      <c r="AF12" s="1"/>
    </row>
    <row r="13" spans="1:32" x14ac:dyDescent="0.25">
      <c r="A13" s="1473" t="s">
        <v>1572</v>
      </c>
      <c r="B13" s="1473"/>
      <c r="C13" s="1473"/>
      <c r="D13" s="1473"/>
      <c r="E13" s="1473"/>
      <c r="F13" s="1473"/>
      <c r="G13" s="1473"/>
      <c r="H13" s="1473"/>
      <c r="I13" s="1473"/>
      <c r="J13" s="1473"/>
      <c r="K13" s="1473"/>
      <c r="L13" s="1473"/>
      <c r="M13" s="1473"/>
      <c r="N13" s="1473"/>
      <c r="O13" s="1473"/>
      <c r="P13" s="1473"/>
      <c r="Q13" s="1473"/>
      <c r="R13" s="1473"/>
      <c r="S13" s="1473"/>
      <c r="T13" s="1473"/>
      <c r="U13" s="1473"/>
      <c r="V13" s="1473"/>
      <c r="W13" s="1473"/>
      <c r="X13" s="1473"/>
      <c r="Y13" s="1473"/>
      <c r="Z13" s="1473"/>
      <c r="AA13" s="1473"/>
      <c r="AB13" s="1473"/>
      <c r="AC13" s="1473"/>
      <c r="AD13" s="1473"/>
      <c r="AE13" s="1473"/>
      <c r="AF13" s="1"/>
    </row>
    <row r="14" spans="1:32"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25">
      <c r="A15" s="1475" t="s">
        <v>12</v>
      </c>
      <c r="B15" s="1475"/>
      <c r="C15" s="1475"/>
      <c r="D15" s="1475"/>
      <c r="E15" s="1475"/>
      <c r="F15" s="1475"/>
      <c r="G15" s="1475"/>
      <c r="H15" s="1475"/>
      <c r="I15" s="1"/>
      <c r="J15" s="1"/>
      <c r="K15" s="1"/>
      <c r="L15" s="1"/>
      <c r="M15" s="1"/>
      <c r="N15" s="1"/>
      <c r="O15" s="1"/>
      <c r="P15" s="1"/>
      <c r="Q15" s="1"/>
      <c r="R15" s="1"/>
      <c r="S15" s="1"/>
      <c r="T15" s="1"/>
      <c r="U15" s="1"/>
      <c r="V15" s="1"/>
      <c r="W15" s="1"/>
      <c r="X15" s="1"/>
      <c r="Y15" s="1"/>
      <c r="Z15" s="1"/>
      <c r="AA15" s="1"/>
      <c r="AB15" s="1"/>
      <c r="AC15" s="1"/>
      <c r="AD15" s="1"/>
      <c r="AE15" s="1"/>
      <c r="AF15" s="1"/>
    </row>
    <row r="16" spans="1:32" x14ac:dyDescent="0.25">
      <c r="A16" s="1473" t="s">
        <v>4026</v>
      </c>
      <c r="B16" s="1473"/>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
    </row>
    <row r="17" spans="1:32"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25">
      <c r="A18" s="1475" t="s">
        <v>13</v>
      </c>
      <c r="B18" s="1475"/>
      <c r="C18" s="1475"/>
      <c r="D18" s="1475"/>
      <c r="E18" s="1475"/>
      <c r="F18" s="1475"/>
      <c r="G18" s="1475"/>
      <c r="H18" s="1475"/>
      <c r="I18" s="1"/>
      <c r="J18" s="1"/>
      <c r="K18" s="1"/>
      <c r="L18" s="1"/>
      <c r="M18" s="1"/>
      <c r="N18" s="1"/>
      <c r="O18" s="1"/>
      <c r="P18" s="1"/>
      <c r="Q18" s="1"/>
      <c r="R18" s="1"/>
      <c r="S18" s="1"/>
      <c r="T18" s="1"/>
      <c r="U18" s="1"/>
      <c r="V18" s="1"/>
      <c r="W18" s="1"/>
      <c r="X18" s="1"/>
      <c r="Y18" s="1"/>
      <c r="Z18" s="1"/>
      <c r="AA18" s="1"/>
      <c r="AB18" s="1"/>
      <c r="AC18" s="1"/>
      <c r="AD18" s="1"/>
      <c r="AE18" s="1"/>
      <c r="AF18" s="1"/>
    </row>
    <row r="19" spans="1:32" ht="70.5" customHeight="1" x14ac:dyDescent="0.25">
      <c r="A19" s="1151" t="s">
        <v>4027</v>
      </c>
      <c r="B19" s="1151"/>
      <c r="C19" s="1151"/>
      <c r="D19" s="1151"/>
      <c r="E19" s="1151"/>
      <c r="F19" s="1151"/>
      <c r="G19" s="1151"/>
      <c r="H19" s="1151"/>
      <c r="I19" s="1151"/>
      <c r="J19" s="1151"/>
      <c r="K19" s="1151"/>
      <c r="L19" s="1151"/>
      <c r="M19" s="1151"/>
      <c r="N19" s="1151"/>
      <c r="O19" s="1151"/>
      <c r="P19" s="1151"/>
      <c r="Q19" s="1151"/>
      <c r="R19" s="1151"/>
      <c r="S19" s="1151"/>
      <c r="T19" s="1151"/>
      <c r="U19" s="1151"/>
      <c r="V19" s="1151"/>
      <c r="W19" s="1151"/>
      <c r="X19" s="1151"/>
      <c r="Y19" s="1151"/>
      <c r="Z19" s="1151"/>
      <c r="AA19" s="1151"/>
      <c r="AB19" s="1151"/>
      <c r="AC19" s="1151"/>
      <c r="AD19" s="1151"/>
      <c r="AE19" s="1151"/>
      <c r="AF19" s="4"/>
    </row>
    <row r="20" spans="1:32"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25">
      <c r="A21" s="171" t="s">
        <v>20</v>
      </c>
      <c r="B21" s="171"/>
      <c r="C21" s="171"/>
      <c r="D21" s="171"/>
      <c r="E21" s="171"/>
      <c r="F21" s="171"/>
      <c r="G21" s="171"/>
      <c r="H21" s="171"/>
      <c r="I21" s="1"/>
      <c r="J21" s="1"/>
      <c r="K21" s="1"/>
      <c r="L21" s="1"/>
      <c r="M21" s="1"/>
      <c r="N21" s="1"/>
      <c r="O21" s="1"/>
      <c r="P21" s="1"/>
      <c r="Q21" s="1"/>
      <c r="R21" s="1"/>
      <c r="S21" s="1"/>
      <c r="T21" s="1"/>
      <c r="U21" s="1"/>
      <c r="V21" s="1"/>
      <c r="W21" s="1"/>
      <c r="X21" s="1"/>
      <c r="Y21" s="1"/>
      <c r="Z21" s="1"/>
      <c r="AA21" s="1"/>
      <c r="AB21" s="1"/>
      <c r="AC21" s="1"/>
      <c r="AD21" s="1"/>
      <c r="AE21" s="1"/>
      <c r="AF21" s="1"/>
    </row>
    <row r="22" spans="1:32" x14ac:dyDescent="0.25">
      <c r="A22" s="1151" t="s">
        <v>1493</v>
      </c>
      <c r="B22" s="1473"/>
      <c r="C22" s="1473"/>
      <c r="D22" s="1473"/>
      <c r="E22" s="1473"/>
      <c r="F22" s="1473"/>
      <c r="G22" s="1473"/>
      <c r="H22" s="1473"/>
      <c r="I22" s="1473"/>
      <c r="J22" s="1473"/>
      <c r="K22" s="1473"/>
      <c r="L22" s="1473"/>
      <c r="M22" s="1473"/>
      <c r="N22" s="1473"/>
      <c r="O22" s="1473"/>
      <c r="P22" s="1473"/>
      <c r="Q22" s="1473"/>
      <c r="R22" s="1473"/>
      <c r="S22" s="1473"/>
      <c r="T22" s="1473"/>
      <c r="U22" s="1473"/>
      <c r="V22" s="1473"/>
      <c r="W22" s="1473"/>
      <c r="X22" s="1473"/>
      <c r="Y22" s="1473"/>
      <c r="Z22" s="1473"/>
      <c r="AA22" s="1473"/>
      <c r="AB22" s="1473"/>
      <c r="AC22" s="1473"/>
      <c r="AD22" s="1473"/>
      <c r="AE22" s="1473"/>
      <c r="AF22" s="1"/>
    </row>
    <row r="23" spans="1:32"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x14ac:dyDescent="0.25">
      <c r="A25" s="1472" t="s">
        <v>14</v>
      </c>
      <c r="B25" s="1472"/>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row>
    <row r="26" spans="1:32"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2" x14ac:dyDescent="0.25">
      <c r="A27" s="379" t="s">
        <v>2194</v>
      </c>
      <c r="B27" s="148"/>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row>
    <row r="28" spans="1:32" x14ac:dyDescent="0.25">
      <c r="A28" s="148"/>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row>
    <row r="29" spans="1:32" x14ac:dyDescent="0.25">
      <c r="A29" s="148"/>
      <c r="B29" s="304"/>
      <c r="C29" s="148"/>
      <c r="E29" s="148"/>
      <c r="F29" s="148"/>
      <c r="G29" s="257"/>
      <c r="H29" s="4"/>
      <c r="I29" s="4"/>
      <c r="J29" s="4"/>
      <c r="K29" s="4"/>
      <c r="L29" s="4"/>
      <c r="M29" s="4"/>
      <c r="N29" s="4"/>
      <c r="O29" s="4"/>
      <c r="P29" s="4"/>
      <c r="Q29" s="4"/>
      <c r="R29" s="4"/>
      <c r="S29" s="4"/>
      <c r="T29" s="4"/>
      <c r="U29" s="4"/>
      <c r="V29" s="4"/>
      <c r="W29" s="4"/>
      <c r="X29" s="4"/>
      <c r="Y29" s="4"/>
      <c r="Z29" s="4"/>
      <c r="AA29" s="4"/>
      <c r="AB29" s="4"/>
      <c r="AC29" s="4"/>
      <c r="AD29" s="4"/>
      <c r="AE29" s="148"/>
      <c r="AF29" s="685" t="s">
        <v>1705</v>
      </c>
    </row>
    <row r="30" spans="1:32" x14ac:dyDescent="0.25">
      <c r="A30" s="148"/>
      <c r="B30" s="148"/>
      <c r="C30" s="148"/>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311"/>
    </row>
    <row r="31" spans="1:32" x14ac:dyDescent="0.25">
      <c r="A31" s="379" t="s">
        <v>2303</v>
      </c>
      <c r="B31" s="148"/>
      <c r="C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311"/>
    </row>
    <row r="32" spans="1:32" x14ac:dyDescent="0.25">
      <c r="A32" s="148"/>
      <c r="B32" s="148"/>
      <c r="C32" s="148"/>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311"/>
    </row>
    <row r="33" spans="1:33" x14ac:dyDescent="0.25">
      <c r="A33" s="148"/>
      <c r="B33" s="148"/>
      <c r="C33" s="148"/>
      <c r="E33" s="148"/>
      <c r="F33" s="148"/>
      <c r="G33" s="257"/>
      <c r="H33" s="4"/>
      <c r="I33" s="4"/>
      <c r="J33" s="4"/>
      <c r="K33" s="4"/>
      <c r="L33" s="4"/>
      <c r="M33" s="4"/>
      <c r="N33" s="4"/>
      <c r="O33" s="4"/>
      <c r="P33" s="4"/>
      <c r="Q33" s="4"/>
      <c r="R33" s="4"/>
      <c r="S33" s="4"/>
      <c r="T33" s="4"/>
      <c r="U33" s="4"/>
      <c r="V33" s="4"/>
      <c r="W33" s="4"/>
      <c r="X33" s="4"/>
      <c r="Y33" s="4"/>
      <c r="Z33" s="4"/>
      <c r="AA33" s="4"/>
      <c r="AB33" s="4"/>
      <c r="AC33" s="4"/>
      <c r="AD33" s="4"/>
      <c r="AE33" s="148"/>
      <c r="AF33" s="419" t="s">
        <v>1706</v>
      </c>
    </row>
    <row r="34" spans="1:33" x14ac:dyDescent="0.25">
      <c r="A34" s="148"/>
      <c r="B34" s="148"/>
      <c r="C34" s="148"/>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311"/>
    </row>
    <row r="35" spans="1:33" x14ac:dyDescent="0.25">
      <c r="A35" s="379" t="s">
        <v>1998</v>
      </c>
      <c r="B35" s="148"/>
      <c r="C35" s="148"/>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311"/>
    </row>
    <row r="36" spans="1:33" x14ac:dyDescent="0.25">
      <c r="A36" s="148"/>
      <c r="B36" s="148"/>
      <c r="C36" s="148"/>
      <c r="E36" s="148"/>
      <c r="F36" s="148"/>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311"/>
    </row>
    <row r="37" spans="1:33" x14ac:dyDescent="0.25">
      <c r="A37" s="148"/>
      <c r="B37" s="304"/>
      <c r="C37" s="148"/>
      <c r="E37" s="148"/>
      <c r="F37" s="148"/>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148"/>
      <c r="AF37" s="339" t="s">
        <v>1707</v>
      </c>
    </row>
    <row r="38" spans="1:33" x14ac:dyDescent="0.25">
      <c r="A38" s="148"/>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311"/>
    </row>
    <row r="39" spans="1:3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spans="1:33" x14ac:dyDescent="0.25">
      <c r="A40" s="1472" t="s">
        <v>15</v>
      </c>
      <c r="B40" s="1472"/>
      <c r="C40" s="1472"/>
      <c r="D40" s="1472"/>
      <c r="E40" s="1472"/>
      <c r="F40" s="1472"/>
      <c r="G40" s="1472"/>
      <c r="H40" s="1472"/>
      <c r="I40" s="1472"/>
      <c r="J40" s="1472"/>
      <c r="K40" s="1472"/>
      <c r="L40" s="1472"/>
      <c r="M40" s="1472"/>
      <c r="N40" s="1472"/>
      <c r="O40" s="1472"/>
      <c r="P40" s="1472"/>
      <c r="Q40" s="1472"/>
      <c r="R40" s="1472"/>
      <c r="S40" s="1472"/>
      <c r="T40" s="1472"/>
      <c r="U40" s="1472"/>
      <c r="V40" s="1472"/>
      <c r="W40" s="1472"/>
      <c r="X40" s="1472"/>
      <c r="Y40" s="1472"/>
      <c r="Z40" s="1472"/>
      <c r="AA40" s="1472"/>
      <c r="AB40" s="1472"/>
      <c r="AC40" s="1472"/>
      <c r="AD40" s="1472"/>
      <c r="AE40" s="1472"/>
      <c r="AF40" s="1472"/>
    </row>
    <row r="41" spans="1:33" x14ac:dyDescent="0.25">
      <c r="A41" s="1474" t="s">
        <v>16</v>
      </c>
      <c r="B41" s="1474"/>
      <c r="C41" s="1474"/>
      <c r="D41" s="1474"/>
      <c r="E41" s="1474" t="s">
        <v>10</v>
      </c>
      <c r="F41" s="1474"/>
      <c r="G41" s="1474"/>
      <c r="H41" s="1474"/>
      <c r="I41" s="1474"/>
      <c r="J41" s="1474"/>
      <c r="K41" s="1474"/>
      <c r="L41" s="1474"/>
      <c r="M41" s="1474"/>
      <c r="N41" s="1474"/>
      <c r="O41" s="1474"/>
      <c r="P41" s="1474"/>
      <c r="Q41" s="1474" t="s">
        <v>17</v>
      </c>
      <c r="R41" s="1474"/>
      <c r="S41" s="1474"/>
      <c r="T41" s="1474"/>
      <c r="U41" s="1590" t="s">
        <v>18</v>
      </c>
      <c r="V41" s="1591"/>
      <c r="W41" s="1751"/>
      <c r="X41" s="1590" t="s">
        <v>2772</v>
      </c>
      <c r="Y41" s="1591"/>
      <c r="Z41" s="1591"/>
      <c r="AA41" s="1591"/>
      <c r="AB41" s="1591"/>
      <c r="AC41" s="1591"/>
      <c r="AD41" s="1591"/>
      <c r="AE41" s="1591"/>
      <c r="AF41" s="1751"/>
    </row>
    <row r="42" spans="1:33" ht="60" customHeight="1" x14ac:dyDescent="0.25">
      <c r="A42" s="3394" t="s">
        <v>4028</v>
      </c>
      <c r="B42" s="3395"/>
      <c r="C42" s="3395"/>
      <c r="D42" s="3396"/>
      <c r="E42" s="1494" t="s">
        <v>4029</v>
      </c>
      <c r="F42" s="1495" t="s">
        <v>609</v>
      </c>
      <c r="G42" s="1495" t="s">
        <v>609</v>
      </c>
      <c r="H42" s="1495" t="s">
        <v>609</v>
      </c>
      <c r="I42" s="1495" t="s">
        <v>609</v>
      </c>
      <c r="J42" s="1495" t="s">
        <v>609</v>
      </c>
      <c r="K42" s="1495" t="s">
        <v>609</v>
      </c>
      <c r="L42" s="1495" t="s">
        <v>609</v>
      </c>
      <c r="M42" s="1495" t="s">
        <v>609</v>
      </c>
      <c r="N42" s="1495" t="s">
        <v>609</v>
      </c>
      <c r="O42" s="1495" t="s">
        <v>609</v>
      </c>
      <c r="P42" s="1496" t="s">
        <v>609</v>
      </c>
      <c r="Q42" s="3342">
        <v>7.768404561755303E-2</v>
      </c>
      <c r="R42" s="3343">
        <v>0.2</v>
      </c>
      <c r="S42" s="3343">
        <v>0.2</v>
      </c>
      <c r="T42" s="3344">
        <v>0.2</v>
      </c>
      <c r="U42" s="1574" t="s">
        <v>28</v>
      </c>
      <c r="V42" s="1575"/>
      <c r="W42" s="1576"/>
      <c r="X42" s="3127" t="s">
        <v>4030</v>
      </c>
      <c r="Y42" s="3128" t="s">
        <v>617</v>
      </c>
      <c r="Z42" s="3128" t="s">
        <v>617</v>
      </c>
      <c r="AA42" s="3128" t="s">
        <v>617</v>
      </c>
      <c r="AB42" s="3128" t="s">
        <v>617</v>
      </c>
      <c r="AC42" s="3128" t="s">
        <v>617</v>
      </c>
      <c r="AD42" s="3128" t="s">
        <v>617</v>
      </c>
      <c r="AE42" s="3128" t="s">
        <v>617</v>
      </c>
      <c r="AF42" s="3129" t="s">
        <v>617</v>
      </c>
    </row>
    <row r="43" spans="1:33" ht="60" customHeight="1" x14ac:dyDescent="0.25">
      <c r="A43" s="3397"/>
      <c r="B43" s="3398"/>
      <c r="C43" s="3398"/>
      <c r="D43" s="3399"/>
      <c r="E43" s="1494" t="s">
        <v>4031</v>
      </c>
      <c r="F43" s="1495" t="s">
        <v>609</v>
      </c>
      <c r="G43" s="1495" t="s">
        <v>609</v>
      </c>
      <c r="H43" s="1495" t="s">
        <v>609</v>
      </c>
      <c r="I43" s="1495" t="s">
        <v>609</v>
      </c>
      <c r="J43" s="1495" t="s">
        <v>609</v>
      </c>
      <c r="K43" s="1495" t="s">
        <v>609</v>
      </c>
      <c r="L43" s="1495" t="s">
        <v>609</v>
      </c>
      <c r="M43" s="1495" t="s">
        <v>609</v>
      </c>
      <c r="N43" s="1495" t="s">
        <v>609</v>
      </c>
      <c r="O43" s="1495" t="s">
        <v>609</v>
      </c>
      <c r="P43" s="1496" t="s">
        <v>609</v>
      </c>
      <c r="Q43" s="3342">
        <v>3.3663086434272765E-2</v>
      </c>
      <c r="R43" s="3343">
        <v>0.2</v>
      </c>
      <c r="S43" s="3343">
        <v>0.2</v>
      </c>
      <c r="T43" s="3344">
        <v>0.2</v>
      </c>
      <c r="U43" s="1574" t="s">
        <v>28</v>
      </c>
      <c r="V43" s="1575"/>
      <c r="W43" s="1576"/>
      <c r="X43" s="3130"/>
      <c r="Y43" s="3131"/>
      <c r="Z43" s="3131"/>
      <c r="AA43" s="3131"/>
      <c r="AB43" s="3131"/>
      <c r="AC43" s="3131"/>
      <c r="AD43" s="3131"/>
      <c r="AE43" s="3131"/>
      <c r="AF43" s="3132"/>
    </row>
    <row r="44" spans="1:33" ht="60" customHeight="1" x14ac:dyDescent="0.25">
      <c r="A44" s="3394" t="s">
        <v>4032</v>
      </c>
      <c r="B44" s="3395"/>
      <c r="C44" s="3395"/>
      <c r="D44" s="3396"/>
      <c r="E44" s="1494" t="s">
        <v>3979</v>
      </c>
      <c r="F44" s="1495" t="s">
        <v>611</v>
      </c>
      <c r="G44" s="1495" t="s">
        <v>611</v>
      </c>
      <c r="H44" s="1495" t="s">
        <v>611</v>
      </c>
      <c r="I44" s="1495" t="s">
        <v>611</v>
      </c>
      <c r="J44" s="1495" t="s">
        <v>611</v>
      </c>
      <c r="K44" s="1495" t="s">
        <v>611</v>
      </c>
      <c r="L44" s="1495" t="s">
        <v>611</v>
      </c>
      <c r="M44" s="1495" t="s">
        <v>611</v>
      </c>
      <c r="N44" s="1495" t="s">
        <v>611</v>
      </c>
      <c r="O44" s="1495" t="s">
        <v>611</v>
      </c>
      <c r="P44" s="1496" t="s">
        <v>611</v>
      </c>
      <c r="Q44" s="1656">
        <v>24000</v>
      </c>
      <c r="R44" s="1657">
        <v>8500</v>
      </c>
      <c r="S44" s="1657">
        <v>8500</v>
      </c>
      <c r="T44" s="1658">
        <v>8500</v>
      </c>
      <c r="U44" s="1683" t="s">
        <v>2876</v>
      </c>
      <c r="V44" s="1684"/>
      <c r="W44" s="1685"/>
      <c r="X44" s="1538" t="s">
        <v>4383</v>
      </c>
      <c r="Y44" s="1539" t="s">
        <v>612</v>
      </c>
      <c r="Z44" s="1539" t="s">
        <v>612</v>
      </c>
      <c r="AA44" s="1539" t="s">
        <v>612</v>
      </c>
      <c r="AB44" s="1539" t="s">
        <v>612</v>
      </c>
      <c r="AC44" s="1539" t="s">
        <v>612</v>
      </c>
      <c r="AD44" s="1539" t="s">
        <v>612</v>
      </c>
      <c r="AE44" s="1539" t="s">
        <v>612</v>
      </c>
      <c r="AF44" s="1540" t="s">
        <v>612</v>
      </c>
      <c r="AG44" s="262"/>
    </row>
    <row r="45" spans="1:33" ht="60" customHeight="1" x14ac:dyDescent="0.25">
      <c r="A45" s="3397"/>
      <c r="B45" s="3398"/>
      <c r="C45" s="3398"/>
      <c r="D45" s="3399"/>
      <c r="E45" s="1494" t="s">
        <v>3980</v>
      </c>
      <c r="F45" s="1495" t="s">
        <v>611</v>
      </c>
      <c r="G45" s="1495" t="s">
        <v>611</v>
      </c>
      <c r="H45" s="1495" t="s">
        <v>611</v>
      </c>
      <c r="I45" s="1495" t="s">
        <v>611</v>
      </c>
      <c r="J45" s="1495" t="s">
        <v>611</v>
      </c>
      <c r="K45" s="1495" t="s">
        <v>611</v>
      </c>
      <c r="L45" s="1495" t="s">
        <v>611</v>
      </c>
      <c r="M45" s="1495" t="s">
        <v>611</v>
      </c>
      <c r="N45" s="1495" t="s">
        <v>611</v>
      </c>
      <c r="O45" s="1495" t="s">
        <v>611</v>
      </c>
      <c r="P45" s="1496" t="s">
        <v>611</v>
      </c>
      <c r="Q45" s="1656">
        <v>36000</v>
      </c>
      <c r="R45" s="1657">
        <v>8500</v>
      </c>
      <c r="S45" s="1657">
        <v>8500</v>
      </c>
      <c r="T45" s="1658">
        <v>8500</v>
      </c>
      <c r="U45" s="1683" t="s">
        <v>824</v>
      </c>
      <c r="V45" s="1684"/>
      <c r="W45" s="1685"/>
      <c r="X45" s="1538" t="s">
        <v>3981</v>
      </c>
      <c r="Y45" s="1539" t="s">
        <v>612</v>
      </c>
      <c r="Z45" s="1539" t="s">
        <v>612</v>
      </c>
      <c r="AA45" s="1539" t="s">
        <v>612</v>
      </c>
      <c r="AB45" s="1539" t="s">
        <v>612</v>
      </c>
      <c r="AC45" s="1539" t="s">
        <v>612</v>
      </c>
      <c r="AD45" s="1539" t="s">
        <v>612</v>
      </c>
      <c r="AE45" s="1539" t="s">
        <v>612</v>
      </c>
      <c r="AF45" s="1540" t="s">
        <v>612</v>
      </c>
      <c r="AG45" s="262"/>
    </row>
    <row r="46" spans="1:33" ht="60" customHeight="1" x14ac:dyDescent="0.25">
      <c r="A46" s="1680" t="s">
        <v>167</v>
      </c>
      <c r="B46" s="1681"/>
      <c r="C46" s="1681"/>
      <c r="D46" s="1682"/>
      <c r="E46" s="1494" t="s">
        <v>3600</v>
      </c>
      <c r="F46" s="1495"/>
      <c r="G46" s="1495"/>
      <c r="H46" s="1495"/>
      <c r="I46" s="1495"/>
      <c r="J46" s="1495"/>
      <c r="K46" s="1495"/>
      <c r="L46" s="1495"/>
      <c r="M46" s="1495"/>
      <c r="N46" s="1495"/>
      <c r="O46" s="1495"/>
      <c r="P46" s="1496"/>
      <c r="Q46" s="1656">
        <v>1000</v>
      </c>
      <c r="R46" s="1657"/>
      <c r="S46" s="1657"/>
      <c r="T46" s="1658"/>
      <c r="U46" s="1497" t="s">
        <v>293</v>
      </c>
      <c r="V46" s="1498"/>
      <c r="W46" s="1499"/>
      <c r="X46" s="2121"/>
      <c r="Y46" s="2122"/>
      <c r="Z46" s="2122"/>
      <c r="AA46" s="2122"/>
      <c r="AB46" s="2122"/>
      <c r="AC46" s="2122"/>
      <c r="AD46" s="2122"/>
      <c r="AE46" s="2122"/>
      <c r="AF46" s="2123"/>
    </row>
    <row r="47" spans="1:33" ht="107.25" customHeight="1" x14ac:dyDescent="0.25">
      <c r="A47" s="3394" t="s">
        <v>1008</v>
      </c>
      <c r="B47" s="3395"/>
      <c r="C47" s="3395"/>
      <c r="D47" s="3396"/>
      <c r="E47" s="1494" t="s">
        <v>3982</v>
      </c>
      <c r="F47" s="1495" t="s">
        <v>613</v>
      </c>
      <c r="G47" s="1495" t="s">
        <v>613</v>
      </c>
      <c r="H47" s="1495" t="s">
        <v>613</v>
      </c>
      <c r="I47" s="1495" t="s">
        <v>613</v>
      </c>
      <c r="J47" s="1495" t="s">
        <v>613</v>
      </c>
      <c r="K47" s="1495" t="s">
        <v>613</v>
      </c>
      <c r="L47" s="1495" t="s">
        <v>613</v>
      </c>
      <c r="M47" s="1495" t="s">
        <v>613</v>
      </c>
      <c r="N47" s="1495" t="s">
        <v>613</v>
      </c>
      <c r="O47" s="1495" t="s">
        <v>613</v>
      </c>
      <c r="P47" s="1496" t="s">
        <v>613</v>
      </c>
      <c r="Q47" s="3292">
        <v>13</v>
      </c>
      <c r="R47" s="3293">
        <v>9.8000000000000007</v>
      </c>
      <c r="S47" s="3293">
        <v>9.8000000000000007</v>
      </c>
      <c r="T47" s="3294">
        <v>9.8000000000000007</v>
      </c>
      <c r="U47" s="1497" t="s">
        <v>2878</v>
      </c>
      <c r="V47" s="1498"/>
      <c r="W47" s="1499"/>
      <c r="X47" s="1538" t="s">
        <v>3983</v>
      </c>
      <c r="Y47" s="1539"/>
      <c r="Z47" s="1539"/>
      <c r="AA47" s="1539"/>
      <c r="AB47" s="1539"/>
      <c r="AC47" s="1539"/>
      <c r="AD47" s="1539"/>
      <c r="AE47" s="1539"/>
      <c r="AF47" s="1540"/>
    </row>
    <row r="48" spans="1:33" ht="94.5" customHeight="1" x14ac:dyDescent="0.25">
      <c r="A48" s="3397"/>
      <c r="B48" s="3398"/>
      <c r="C48" s="3398"/>
      <c r="D48" s="3399"/>
      <c r="E48" s="3306" t="s">
        <v>3986</v>
      </c>
      <c r="F48" s="3306"/>
      <c r="G48" s="3306" t="s">
        <v>214</v>
      </c>
      <c r="H48" s="3306"/>
      <c r="I48" s="3306" t="s">
        <v>214</v>
      </c>
      <c r="J48" s="3306"/>
      <c r="K48" s="3306" t="s">
        <v>214</v>
      </c>
      <c r="L48" s="3306"/>
      <c r="M48" s="3306" t="s">
        <v>214</v>
      </c>
      <c r="N48" s="3306"/>
      <c r="O48" s="3306" t="s">
        <v>214</v>
      </c>
      <c r="P48" s="3306"/>
      <c r="Q48" s="2070">
        <v>9.4</v>
      </c>
      <c r="R48" s="2070" t="s">
        <v>215</v>
      </c>
      <c r="S48" s="2070" t="s">
        <v>215</v>
      </c>
      <c r="T48" s="2070" t="s">
        <v>215</v>
      </c>
      <c r="U48" s="2064" t="s">
        <v>2878</v>
      </c>
      <c r="V48" s="2065"/>
      <c r="W48" s="2066"/>
      <c r="X48" s="2067" t="s">
        <v>4033</v>
      </c>
      <c r="Y48" s="2068"/>
      <c r="Z48" s="2068"/>
      <c r="AA48" s="2068"/>
      <c r="AB48" s="2068"/>
      <c r="AC48" s="2068"/>
      <c r="AD48" s="2068"/>
      <c r="AE48" s="2068"/>
      <c r="AF48" s="2069"/>
    </row>
    <row r="49" spans="1:32" ht="60" customHeight="1" x14ac:dyDescent="0.25">
      <c r="A49" s="2059" t="s">
        <v>3988</v>
      </c>
      <c r="B49" s="2060" t="s">
        <v>212</v>
      </c>
      <c r="C49" s="2060" t="s">
        <v>212</v>
      </c>
      <c r="D49" s="2061" t="s">
        <v>212</v>
      </c>
      <c r="E49" s="2062" t="s">
        <v>3989</v>
      </c>
      <c r="F49" s="2062"/>
      <c r="G49" s="2062" t="s">
        <v>214</v>
      </c>
      <c r="H49" s="2062"/>
      <c r="I49" s="2062" t="s">
        <v>214</v>
      </c>
      <c r="J49" s="2062"/>
      <c r="K49" s="2062" t="s">
        <v>214</v>
      </c>
      <c r="L49" s="2062"/>
      <c r="M49" s="2062" t="s">
        <v>214</v>
      </c>
      <c r="N49" s="2062"/>
      <c r="O49" s="2062" t="s">
        <v>214</v>
      </c>
      <c r="P49" s="2062"/>
      <c r="Q49" s="3285">
        <v>9.6999999999999993</v>
      </c>
      <c r="R49" s="3285" t="s">
        <v>215</v>
      </c>
      <c r="S49" s="3285" t="s">
        <v>215</v>
      </c>
      <c r="T49" s="3285" t="s">
        <v>215</v>
      </c>
      <c r="U49" s="2072" t="s">
        <v>2878</v>
      </c>
      <c r="V49" s="2073"/>
      <c r="W49" s="2074"/>
      <c r="X49" s="3391" t="s">
        <v>4034</v>
      </c>
      <c r="Y49" s="3392"/>
      <c r="Z49" s="3392"/>
      <c r="AA49" s="3392"/>
      <c r="AB49" s="3392"/>
      <c r="AC49" s="3392"/>
      <c r="AD49" s="3392"/>
      <c r="AE49" s="3392"/>
      <c r="AF49" s="3393"/>
    </row>
    <row r="50" spans="1:32" ht="133.5" customHeight="1" x14ac:dyDescent="0.25">
      <c r="A50" s="3385" t="s">
        <v>257</v>
      </c>
      <c r="B50" s="3386"/>
      <c r="C50" s="3386"/>
      <c r="D50" s="3387"/>
      <c r="E50" s="1479" t="s">
        <v>3993</v>
      </c>
      <c r="F50" s="1480" t="s">
        <v>614</v>
      </c>
      <c r="G50" s="1480" t="s">
        <v>614</v>
      </c>
      <c r="H50" s="1480" t="s">
        <v>614</v>
      </c>
      <c r="I50" s="1480" t="s">
        <v>614</v>
      </c>
      <c r="J50" s="1480" t="s">
        <v>614</v>
      </c>
      <c r="K50" s="1480" t="s">
        <v>614</v>
      </c>
      <c r="L50" s="1480" t="s">
        <v>614</v>
      </c>
      <c r="M50" s="1480" t="s">
        <v>614</v>
      </c>
      <c r="N50" s="1480" t="s">
        <v>614</v>
      </c>
      <c r="O50" s="1480" t="s">
        <v>614</v>
      </c>
      <c r="P50" s="1481" t="s">
        <v>614</v>
      </c>
      <c r="Q50" s="2668">
        <v>1884</v>
      </c>
      <c r="R50" s="3332">
        <v>1825</v>
      </c>
      <c r="S50" s="3332">
        <v>1825</v>
      </c>
      <c r="T50" s="3333">
        <v>1825</v>
      </c>
      <c r="U50" s="1574" t="s">
        <v>45</v>
      </c>
      <c r="V50" s="1575"/>
      <c r="W50" s="1576"/>
      <c r="X50" s="2121" t="s">
        <v>3480</v>
      </c>
      <c r="Y50" s="2122"/>
      <c r="Z50" s="2122"/>
      <c r="AA50" s="2122"/>
      <c r="AB50" s="2122"/>
      <c r="AC50" s="2122"/>
      <c r="AD50" s="2122"/>
      <c r="AE50" s="2122"/>
      <c r="AF50" s="2123"/>
    </row>
    <row r="51" spans="1:32" ht="138.75" customHeight="1" x14ac:dyDescent="0.25">
      <c r="A51" s="3388"/>
      <c r="B51" s="3389"/>
      <c r="C51" s="3389"/>
      <c r="D51" s="3390"/>
      <c r="E51" s="2062" t="s">
        <v>3994</v>
      </c>
      <c r="F51" s="2062"/>
      <c r="G51" s="2062" t="s">
        <v>217</v>
      </c>
      <c r="H51" s="2062"/>
      <c r="I51" s="2062" t="s">
        <v>217</v>
      </c>
      <c r="J51" s="2062"/>
      <c r="K51" s="2062" t="s">
        <v>217</v>
      </c>
      <c r="L51" s="2062"/>
      <c r="M51" s="2062" t="s">
        <v>217</v>
      </c>
      <c r="N51" s="2062"/>
      <c r="O51" s="2062" t="s">
        <v>217</v>
      </c>
      <c r="P51" s="2062"/>
      <c r="Q51" s="2078">
        <v>2528</v>
      </c>
      <c r="R51" s="2078">
        <v>1825</v>
      </c>
      <c r="S51" s="2078">
        <v>1825</v>
      </c>
      <c r="T51" s="2078">
        <v>1825</v>
      </c>
      <c r="U51" s="2072" t="s">
        <v>1000</v>
      </c>
      <c r="V51" s="2073"/>
      <c r="W51" s="2074" t="s">
        <v>1081</v>
      </c>
      <c r="X51" s="3391" t="s">
        <v>3995</v>
      </c>
      <c r="Y51" s="3392"/>
      <c r="Z51" s="3392"/>
      <c r="AA51" s="3392"/>
      <c r="AB51" s="3392"/>
      <c r="AC51" s="3392"/>
      <c r="AD51" s="3392"/>
      <c r="AE51" s="3392"/>
      <c r="AF51" s="3393"/>
    </row>
    <row r="52" spans="1:32" ht="60" customHeight="1" x14ac:dyDescent="0.25">
      <c r="A52" s="1577" t="s">
        <v>545</v>
      </c>
      <c r="B52" s="1486" t="s">
        <v>545</v>
      </c>
      <c r="C52" s="1486" t="s">
        <v>545</v>
      </c>
      <c r="D52" s="1487" t="s">
        <v>545</v>
      </c>
      <c r="E52" s="1479" t="s">
        <v>104</v>
      </c>
      <c r="F52" s="1480" t="s">
        <v>546</v>
      </c>
      <c r="G52" s="1480" t="s">
        <v>546</v>
      </c>
      <c r="H52" s="1480" t="s">
        <v>546</v>
      </c>
      <c r="I52" s="1480" t="s">
        <v>546</v>
      </c>
      <c r="J52" s="1480" t="s">
        <v>546</v>
      </c>
      <c r="K52" s="1480" t="s">
        <v>546</v>
      </c>
      <c r="L52" s="1480" t="s">
        <v>546</v>
      </c>
      <c r="M52" s="1480" t="s">
        <v>546</v>
      </c>
      <c r="N52" s="1480" t="s">
        <v>546</v>
      </c>
      <c r="O52" s="1480" t="s">
        <v>546</v>
      </c>
      <c r="P52" s="1481" t="s">
        <v>546</v>
      </c>
      <c r="Q52" s="2490">
        <v>1.1585835943924877E-2</v>
      </c>
      <c r="R52" s="2491">
        <v>0</v>
      </c>
      <c r="S52" s="2491">
        <v>0</v>
      </c>
      <c r="T52" s="2492">
        <v>0</v>
      </c>
      <c r="U52" s="1574" t="s">
        <v>28</v>
      </c>
      <c r="V52" s="1575"/>
      <c r="W52" s="1576"/>
      <c r="X52" s="2121" t="s">
        <v>4035</v>
      </c>
      <c r="Y52" s="2122"/>
      <c r="Z52" s="2122"/>
      <c r="AA52" s="2122"/>
      <c r="AB52" s="2122"/>
      <c r="AC52" s="2122"/>
      <c r="AD52" s="2122"/>
      <c r="AE52" s="2122"/>
      <c r="AF52" s="2123"/>
    </row>
    <row r="53" spans="1:32" x14ac:dyDescent="0.25">
      <c r="A53" s="1485" t="s">
        <v>42</v>
      </c>
      <c r="B53" s="1486" t="s">
        <v>42</v>
      </c>
      <c r="C53" s="1486" t="s">
        <v>42</v>
      </c>
      <c r="D53" s="1487" t="s">
        <v>42</v>
      </c>
      <c r="E53" s="1479" t="s">
        <v>865</v>
      </c>
      <c r="F53" s="1480" t="s">
        <v>548</v>
      </c>
      <c r="G53" s="1480" t="s">
        <v>548</v>
      </c>
      <c r="H53" s="1480" t="s">
        <v>548</v>
      </c>
      <c r="I53" s="1480" t="s">
        <v>548</v>
      </c>
      <c r="J53" s="1480" t="s">
        <v>548</v>
      </c>
      <c r="K53" s="1480" t="s">
        <v>548</v>
      </c>
      <c r="L53" s="1480" t="s">
        <v>548</v>
      </c>
      <c r="M53" s="1480" t="s">
        <v>548</v>
      </c>
      <c r="N53" s="1480" t="s">
        <v>548</v>
      </c>
      <c r="O53" s="1480" t="s">
        <v>548</v>
      </c>
      <c r="P53" s="1481" t="s">
        <v>548</v>
      </c>
      <c r="Q53" s="3318">
        <v>1</v>
      </c>
      <c r="R53" s="3319">
        <v>1</v>
      </c>
      <c r="S53" s="3319">
        <v>1</v>
      </c>
      <c r="T53" s="3320">
        <v>1</v>
      </c>
      <c r="U53" s="1574" t="s">
        <v>28</v>
      </c>
      <c r="V53" s="1575"/>
      <c r="W53" s="1576"/>
      <c r="X53" s="3382"/>
      <c r="Y53" s="3383"/>
      <c r="Z53" s="3383"/>
      <c r="AA53" s="3383"/>
      <c r="AB53" s="3383"/>
      <c r="AC53" s="3383"/>
      <c r="AD53" s="3383"/>
      <c r="AE53" s="3383"/>
      <c r="AF53" s="3384"/>
    </row>
    <row r="54" spans="1:32" x14ac:dyDescent="0.25">
      <c r="A54" s="1680" t="s">
        <v>3935</v>
      </c>
      <c r="B54" s="1681" t="s">
        <v>34</v>
      </c>
      <c r="C54" s="1681" t="s">
        <v>34</v>
      </c>
      <c r="D54" s="1682" t="s">
        <v>34</v>
      </c>
      <c r="E54" s="1494" t="s">
        <v>2217</v>
      </c>
      <c r="F54" s="1495" t="s">
        <v>219</v>
      </c>
      <c r="G54" s="1495" t="s">
        <v>219</v>
      </c>
      <c r="H54" s="1495" t="s">
        <v>219</v>
      </c>
      <c r="I54" s="1495" t="s">
        <v>219</v>
      </c>
      <c r="J54" s="1495" t="s">
        <v>219</v>
      </c>
      <c r="K54" s="1495" t="s">
        <v>219</v>
      </c>
      <c r="L54" s="1495" t="s">
        <v>219</v>
      </c>
      <c r="M54" s="1495" t="s">
        <v>219</v>
      </c>
      <c r="N54" s="1495" t="s">
        <v>219</v>
      </c>
      <c r="O54" s="1495" t="s">
        <v>219</v>
      </c>
      <c r="P54" s="1496" t="s">
        <v>219</v>
      </c>
      <c r="Q54" s="3318">
        <f>'Master EUL'!X23</f>
        <v>20</v>
      </c>
      <c r="R54" s="3319" t="s">
        <v>448</v>
      </c>
      <c r="S54" s="3319" t="s">
        <v>448</v>
      </c>
      <c r="T54" s="3320" t="s">
        <v>448</v>
      </c>
      <c r="U54" s="1574" t="s">
        <v>46</v>
      </c>
      <c r="V54" s="1575"/>
      <c r="W54" s="1576"/>
      <c r="X54" s="1574"/>
      <c r="Y54" s="1575"/>
      <c r="Z54" s="1575"/>
      <c r="AA54" s="1575"/>
      <c r="AB54" s="1575"/>
      <c r="AC54" s="1575"/>
      <c r="AD54" s="1575"/>
      <c r="AE54" s="1575"/>
      <c r="AF54" s="1576"/>
    </row>
    <row r="55" spans="1:32" x14ac:dyDescent="0.25">
      <c r="A55" s="693"/>
      <c r="B55" s="693"/>
      <c r="C55" s="693"/>
      <c r="D55" s="693"/>
      <c r="E55" s="693"/>
      <c r="F55" s="693"/>
      <c r="G55" s="693"/>
      <c r="H55" s="693"/>
      <c r="I55" s="693"/>
      <c r="J55" s="693"/>
      <c r="K55" s="693"/>
      <c r="L55" s="693"/>
      <c r="M55" s="693"/>
      <c r="N55" s="693"/>
      <c r="O55" s="693"/>
      <c r="P55" s="693"/>
      <c r="Q55" s="693"/>
      <c r="R55" s="693"/>
      <c r="S55" s="693"/>
      <c r="T55" s="693"/>
      <c r="U55" s="693"/>
      <c r="V55" s="693"/>
      <c r="W55" s="693"/>
      <c r="X55" s="693"/>
      <c r="Y55" s="693"/>
      <c r="Z55" s="693"/>
      <c r="AA55" s="693"/>
      <c r="AB55" s="693"/>
      <c r="AC55" s="693"/>
      <c r="AD55" s="693"/>
      <c r="AE55" s="693"/>
      <c r="AF55" s="693"/>
    </row>
    <row r="56" spans="1:32" x14ac:dyDescent="0.25">
      <c r="A56" s="190"/>
      <c r="B56" s="190"/>
      <c r="C56" s="190" t="s">
        <v>4002</v>
      </c>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row>
    <row r="57" spans="1:32" x14ac:dyDescent="0.25">
      <c r="A57" s="190"/>
      <c r="B57" s="190"/>
      <c r="C57" s="1697" t="s">
        <v>4036</v>
      </c>
      <c r="D57" s="1698"/>
      <c r="E57" s="1698"/>
      <c r="F57" s="1698"/>
      <c r="G57" s="1698"/>
      <c r="H57" s="1698"/>
      <c r="I57" s="1698"/>
      <c r="J57" s="1698"/>
      <c r="K57" s="1698"/>
      <c r="L57" s="1698"/>
      <c r="M57" s="1698"/>
      <c r="N57" s="1698"/>
      <c r="O57" s="1698"/>
      <c r="P57" s="1698"/>
      <c r="Q57" s="1699"/>
      <c r="R57" s="190"/>
      <c r="S57" s="190"/>
      <c r="T57" s="190"/>
      <c r="U57" s="190"/>
      <c r="V57" s="190"/>
      <c r="W57" s="190"/>
      <c r="X57" s="190"/>
      <c r="Y57" s="190"/>
      <c r="Z57" s="190"/>
      <c r="AA57" s="190"/>
      <c r="AB57" s="190"/>
      <c r="AC57" s="190"/>
      <c r="AD57" s="190"/>
      <c r="AE57" s="190"/>
      <c r="AF57" s="190"/>
    </row>
    <row r="58" spans="1:32" x14ac:dyDescent="0.25">
      <c r="A58" s="190"/>
      <c r="B58" s="190"/>
      <c r="C58" s="1735" t="s">
        <v>4003</v>
      </c>
      <c r="D58" s="1735"/>
      <c r="E58" s="1735"/>
      <c r="F58" s="1735"/>
      <c r="G58" s="1735"/>
      <c r="H58" s="1735"/>
      <c r="I58" s="1735"/>
      <c r="J58" s="1735"/>
      <c r="K58" s="1735"/>
      <c r="L58" s="1735"/>
      <c r="M58" s="2528">
        <v>0.15384615384615385</v>
      </c>
      <c r="N58" s="2528"/>
      <c r="O58" s="2528"/>
      <c r="P58" s="2528"/>
      <c r="Q58" s="2528"/>
      <c r="R58" s="190"/>
      <c r="S58" s="190"/>
      <c r="T58" s="190"/>
      <c r="U58" s="190"/>
      <c r="V58" s="690"/>
      <c r="W58" s="190"/>
      <c r="X58" s="190"/>
      <c r="Y58" s="190"/>
      <c r="Z58" s="227"/>
      <c r="AA58" s="227"/>
      <c r="AB58" s="227"/>
      <c r="AC58" s="227"/>
      <c r="AD58" s="227"/>
      <c r="AE58" s="190"/>
      <c r="AF58" s="190"/>
    </row>
    <row r="59" spans="1:32" x14ac:dyDescent="0.25">
      <c r="A59" s="190"/>
      <c r="B59" s="190"/>
      <c r="C59" s="1735" t="s">
        <v>4004</v>
      </c>
      <c r="D59" s="1735"/>
      <c r="E59" s="1735"/>
      <c r="F59" s="1735"/>
      <c r="G59" s="1735"/>
      <c r="H59" s="1735"/>
      <c r="I59" s="1735"/>
      <c r="J59" s="1735"/>
      <c r="K59" s="1735"/>
      <c r="L59" s="1735"/>
      <c r="M59" s="2528">
        <v>0.51923076923076927</v>
      </c>
      <c r="N59" s="2528"/>
      <c r="O59" s="2528"/>
      <c r="P59" s="2528"/>
      <c r="Q59" s="2528"/>
      <c r="R59" s="190"/>
      <c r="S59" s="190"/>
      <c r="T59" s="190"/>
      <c r="U59" s="190"/>
      <c r="V59" s="690"/>
      <c r="W59" s="190"/>
      <c r="X59" s="190"/>
      <c r="Y59" s="190"/>
      <c r="Z59" s="227"/>
      <c r="AA59" s="227"/>
      <c r="AB59" s="227"/>
      <c r="AC59" s="227"/>
      <c r="AD59" s="227"/>
      <c r="AE59" s="190"/>
      <c r="AF59" s="190"/>
    </row>
    <row r="60" spans="1:32" x14ac:dyDescent="0.25">
      <c r="A60" s="190"/>
      <c r="B60" s="190"/>
      <c r="C60" s="1735" t="s">
        <v>4005</v>
      </c>
      <c r="D60" s="1735"/>
      <c r="E60" s="1735"/>
      <c r="F60" s="1735"/>
      <c r="G60" s="1735"/>
      <c r="H60" s="1735"/>
      <c r="I60" s="1735"/>
      <c r="J60" s="1735"/>
      <c r="K60" s="1735"/>
      <c r="L60" s="1735"/>
      <c r="M60" s="2528">
        <v>0.32692307692307693</v>
      </c>
      <c r="N60" s="2528"/>
      <c r="O60" s="2528"/>
      <c r="P60" s="2528"/>
      <c r="Q60" s="2528"/>
      <c r="R60" s="190"/>
      <c r="S60" s="190"/>
      <c r="T60" s="190"/>
      <c r="U60" s="190"/>
      <c r="V60" s="690"/>
      <c r="W60" s="190"/>
      <c r="X60" s="190"/>
      <c r="Y60" s="190"/>
      <c r="Z60" s="227"/>
      <c r="AA60" s="227"/>
      <c r="AB60" s="227"/>
      <c r="AC60" s="227"/>
      <c r="AD60" s="227"/>
      <c r="AE60" s="190"/>
      <c r="AF60" s="190"/>
    </row>
    <row r="61" spans="1:32" ht="16.5" x14ac:dyDescent="0.25">
      <c r="A61" s="190"/>
      <c r="B61" s="190"/>
      <c r="C61" s="1841" t="s">
        <v>4006</v>
      </c>
      <c r="D61" s="1841"/>
      <c r="E61" s="1841"/>
      <c r="F61" s="1841"/>
      <c r="G61" s="1841"/>
      <c r="H61" s="1841"/>
      <c r="I61" s="1841"/>
      <c r="J61" s="1841"/>
      <c r="K61" s="1841"/>
      <c r="L61" s="1841"/>
      <c r="M61" s="1841"/>
      <c r="N61" s="1841"/>
      <c r="O61" s="1841"/>
      <c r="P61" s="1841"/>
      <c r="Q61" s="1841"/>
      <c r="R61" s="190"/>
      <c r="S61" s="190"/>
      <c r="T61" s="190"/>
      <c r="U61" s="190"/>
      <c r="V61" s="190"/>
      <c r="W61" s="190"/>
      <c r="X61" s="190"/>
      <c r="Y61" s="190"/>
      <c r="Z61" s="190"/>
      <c r="AA61" s="190"/>
      <c r="AB61" s="190"/>
      <c r="AC61" s="190"/>
      <c r="AD61" s="190"/>
      <c r="AE61" s="190"/>
      <c r="AF61" s="190"/>
    </row>
    <row r="62" spans="1:32" x14ac:dyDescent="0.25">
      <c r="A62" s="190"/>
      <c r="B62" s="190"/>
      <c r="C62" s="632"/>
      <c r="D62" s="632"/>
      <c r="E62" s="632"/>
      <c r="F62" s="632"/>
      <c r="G62" s="632"/>
      <c r="H62" s="632"/>
      <c r="I62" s="632"/>
      <c r="J62" s="632"/>
      <c r="K62" s="632"/>
      <c r="L62" s="632"/>
      <c r="M62" s="632"/>
      <c r="N62" s="632"/>
      <c r="O62" s="632"/>
      <c r="P62" s="632"/>
      <c r="Q62" s="632"/>
      <c r="R62" s="190"/>
      <c r="S62" s="190"/>
      <c r="T62" s="190"/>
      <c r="U62" s="190"/>
      <c r="V62" s="190"/>
      <c r="W62" s="190"/>
      <c r="X62" s="190"/>
      <c r="Y62" s="190"/>
      <c r="Z62" s="190"/>
      <c r="AA62" s="190"/>
      <c r="AB62" s="190"/>
      <c r="AC62" s="190"/>
      <c r="AD62" s="190"/>
      <c r="AE62" s="190"/>
      <c r="AF62" s="190"/>
    </row>
    <row r="63" spans="1:32" x14ac:dyDescent="0.25">
      <c r="A63" s="190"/>
      <c r="B63" s="190"/>
      <c r="C63" s="190" t="s">
        <v>4037</v>
      </c>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row>
    <row r="64" spans="1:32" x14ac:dyDescent="0.25">
      <c r="A64" s="190"/>
      <c r="B64" s="190"/>
      <c r="C64" s="1697" t="s">
        <v>4038</v>
      </c>
      <c r="D64" s="1698"/>
      <c r="E64" s="1698"/>
      <c r="F64" s="1698"/>
      <c r="G64" s="1698"/>
      <c r="H64" s="1698"/>
      <c r="I64" s="1698"/>
      <c r="J64" s="1698"/>
      <c r="K64" s="1698"/>
      <c r="L64" s="1698"/>
      <c r="M64" s="1698"/>
      <c r="N64" s="1698"/>
      <c r="O64" s="1698"/>
      <c r="P64" s="1698"/>
      <c r="Q64" s="1699"/>
      <c r="R64" s="190"/>
      <c r="S64" s="190"/>
      <c r="T64" s="190"/>
      <c r="U64" s="190"/>
      <c r="V64" s="190"/>
      <c r="W64" s="190"/>
      <c r="X64" s="190"/>
      <c r="Y64" s="190"/>
      <c r="Z64" s="190"/>
      <c r="AA64" s="190"/>
      <c r="AB64" s="190"/>
      <c r="AC64" s="190"/>
      <c r="AD64" s="190"/>
      <c r="AE64" s="190"/>
      <c r="AF64" s="190"/>
    </row>
    <row r="65" spans="1:32" x14ac:dyDescent="0.25">
      <c r="A65" s="190"/>
      <c r="B65" s="190"/>
      <c r="C65" s="1735" t="s">
        <v>4039</v>
      </c>
      <c r="D65" s="1735"/>
      <c r="E65" s="1735"/>
      <c r="F65" s="1735"/>
      <c r="G65" s="1735"/>
      <c r="H65" s="1735"/>
      <c r="I65" s="1735"/>
      <c r="J65" s="1735"/>
      <c r="K65" s="1735"/>
      <c r="L65" s="1735"/>
      <c r="M65" s="2528">
        <v>0.94199999999999995</v>
      </c>
      <c r="N65" s="2528"/>
      <c r="O65" s="2528"/>
      <c r="P65" s="2528"/>
      <c r="Q65" s="2528"/>
      <c r="R65" s="190"/>
      <c r="S65" s="190"/>
      <c r="T65" s="190"/>
      <c r="U65" s="190"/>
      <c r="V65" s="190"/>
      <c r="W65" s="190"/>
      <c r="X65" s="190"/>
      <c r="Y65" s="190"/>
      <c r="Z65" s="190"/>
      <c r="AA65" s="190"/>
      <c r="AB65" s="190"/>
      <c r="AC65" s="190"/>
      <c r="AD65" s="190"/>
      <c r="AE65" s="190"/>
      <c r="AF65" s="190"/>
    </row>
    <row r="66" spans="1:32" x14ac:dyDescent="0.25">
      <c r="A66" s="190"/>
      <c r="B66" s="190"/>
      <c r="C66" s="1735" t="s">
        <v>4040</v>
      </c>
      <c r="D66" s="1735"/>
      <c r="E66" s="1735"/>
      <c r="F66" s="1735"/>
      <c r="G66" s="1735"/>
      <c r="H66" s="1735"/>
      <c r="I66" s="1735"/>
      <c r="J66" s="1735"/>
      <c r="K66" s="1735"/>
      <c r="L66" s="1735"/>
      <c r="M66" s="2528">
        <v>5.8000000000000003E-2</v>
      </c>
      <c r="N66" s="2528"/>
      <c r="O66" s="2528"/>
      <c r="P66" s="2528"/>
      <c r="Q66" s="2528"/>
      <c r="R66" s="190"/>
      <c r="S66" s="190"/>
      <c r="T66" s="190"/>
      <c r="U66" s="190"/>
      <c r="V66" s="190"/>
      <c r="W66" s="190"/>
      <c r="X66" s="190"/>
      <c r="Y66" s="190"/>
      <c r="Z66" s="190"/>
      <c r="AA66" s="190"/>
      <c r="AB66" s="190"/>
      <c r="AC66" s="190"/>
      <c r="AD66" s="190"/>
      <c r="AE66" s="190"/>
      <c r="AF66" s="190"/>
    </row>
    <row r="67" spans="1:32" ht="16.5" x14ac:dyDescent="0.25">
      <c r="A67" s="190"/>
      <c r="B67" s="190"/>
      <c r="C67" s="1841" t="s">
        <v>4006</v>
      </c>
      <c r="D67" s="1841"/>
      <c r="E67" s="1841"/>
      <c r="F67" s="1841"/>
      <c r="G67" s="1841"/>
      <c r="H67" s="1841"/>
      <c r="I67" s="1841"/>
      <c r="J67" s="1841"/>
      <c r="K67" s="1841"/>
      <c r="L67" s="1841"/>
      <c r="M67" s="1841"/>
      <c r="N67" s="1841"/>
      <c r="O67" s="1841"/>
      <c r="P67" s="1841"/>
      <c r="Q67" s="1841"/>
      <c r="R67" s="190"/>
      <c r="S67" s="190"/>
      <c r="T67" s="190"/>
      <c r="U67" s="190"/>
      <c r="V67" s="190"/>
      <c r="W67" s="190"/>
      <c r="X67" s="190"/>
      <c r="Y67" s="190"/>
      <c r="Z67" s="190"/>
      <c r="AA67" s="190"/>
      <c r="AB67" s="190"/>
      <c r="AC67" s="190"/>
      <c r="AD67" s="190"/>
      <c r="AE67" s="190"/>
      <c r="AF67" s="190"/>
    </row>
    <row r="68" spans="1:32" x14ac:dyDescent="0.25">
      <c r="A68" s="190"/>
      <c r="B68" s="190"/>
      <c r="C68" s="632"/>
      <c r="D68" s="632"/>
      <c r="E68" s="632"/>
      <c r="F68" s="632"/>
      <c r="G68" s="632"/>
      <c r="H68" s="632"/>
      <c r="I68" s="632"/>
      <c r="J68" s="632"/>
      <c r="K68" s="632"/>
      <c r="L68" s="632"/>
      <c r="M68" s="632"/>
      <c r="N68" s="632"/>
      <c r="O68" s="632"/>
      <c r="P68" s="632"/>
      <c r="Q68" s="632"/>
      <c r="R68" s="190"/>
      <c r="S68" s="190"/>
      <c r="T68" s="190"/>
      <c r="U68" s="190"/>
      <c r="V68" s="190"/>
      <c r="W68" s="190"/>
      <c r="X68" s="190"/>
      <c r="Y68" s="190"/>
      <c r="Z68" s="190"/>
      <c r="AA68" s="190"/>
      <c r="AB68" s="190"/>
      <c r="AC68" s="190"/>
      <c r="AD68" s="190"/>
      <c r="AE68" s="190"/>
      <c r="AF68" s="190"/>
    </row>
    <row r="69" spans="1:32" ht="165" customHeight="1" x14ac:dyDescent="0.25">
      <c r="A69" s="3381" t="s">
        <v>1047</v>
      </c>
      <c r="B69" s="3381"/>
      <c r="C69" s="1686" t="s">
        <v>4041</v>
      </c>
      <c r="D69" s="1686"/>
      <c r="E69" s="1686"/>
      <c r="F69" s="1686"/>
      <c r="G69" s="1686"/>
      <c r="H69" s="1686"/>
      <c r="I69" s="1686"/>
      <c r="J69" s="1686"/>
      <c r="K69" s="1686"/>
      <c r="L69" s="1686"/>
      <c r="M69" s="1686"/>
      <c r="N69" s="1686"/>
      <c r="O69" s="1686"/>
      <c r="P69" s="1686"/>
      <c r="Q69" s="1686"/>
      <c r="R69" s="1686"/>
      <c r="S69" s="1686"/>
      <c r="T69" s="1686"/>
      <c r="U69" s="1686"/>
      <c r="V69" s="1686"/>
      <c r="W69" s="1686"/>
      <c r="X69" s="1686"/>
      <c r="Y69" s="1686"/>
      <c r="Z69" s="1686"/>
      <c r="AA69" s="1686"/>
      <c r="AB69" s="1686"/>
      <c r="AC69" s="1686"/>
      <c r="AD69" s="1686"/>
      <c r="AE69" s="1686"/>
      <c r="AF69" s="1686"/>
    </row>
    <row r="72" spans="1:32" x14ac:dyDescent="0.25">
      <c r="A72" s="1472" t="s">
        <v>21</v>
      </c>
      <c r="B72" s="1472"/>
      <c r="C72" s="1472"/>
      <c r="D72" s="1472"/>
      <c r="E72" s="1472"/>
      <c r="F72" s="1472"/>
      <c r="G72" s="1472"/>
      <c r="H72" s="1472"/>
      <c r="I72" s="1472"/>
      <c r="J72" s="1472"/>
      <c r="K72" s="1472"/>
      <c r="L72" s="1472"/>
      <c r="M72" s="1472"/>
      <c r="N72" s="1472"/>
      <c r="O72" s="1472"/>
      <c r="P72" s="1472"/>
      <c r="Q72" s="1472"/>
      <c r="R72" s="1472"/>
      <c r="S72" s="1472"/>
      <c r="T72" s="1472"/>
      <c r="U72" s="1472"/>
      <c r="V72" s="1472"/>
      <c r="W72" s="1472"/>
      <c r="X72" s="1472"/>
      <c r="Y72" s="1472"/>
      <c r="Z72" s="1472"/>
      <c r="AA72" s="1472"/>
      <c r="AB72" s="1472"/>
      <c r="AC72" s="1472"/>
      <c r="AD72" s="1472"/>
      <c r="AE72" s="1472"/>
      <c r="AF72" s="1472"/>
    </row>
    <row r="73" spans="1:32" x14ac:dyDescent="0.25">
      <c r="A73" s="470"/>
      <c r="B73" s="470"/>
      <c r="C73" s="691"/>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row>
    <row r="74" spans="1:32" x14ac:dyDescent="0.25">
      <c r="A74" s="227"/>
      <c r="B74" s="642" t="s">
        <v>1736</v>
      </c>
      <c r="C74" s="227"/>
      <c r="D74" s="227"/>
      <c r="E74" s="227"/>
      <c r="F74" s="227"/>
      <c r="G74" s="227"/>
      <c r="H74" s="227"/>
      <c r="I74" s="227"/>
      <c r="J74" s="227"/>
      <c r="K74" s="227"/>
      <c r="L74" s="227"/>
      <c r="M74" s="227"/>
      <c r="N74" s="227"/>
      <c r="O74" s="227"/>
      <c r="P74" s="227"/>
      <c r="Q74" s="227"/>
      <c r="R74" s="227"/>
      <c r="S74" s="262"/>
      <c r="T74" s="227"/>
      <c r="U74" s="227"/>
      <c r="V74" s="227"/>
      <c r="W74" s="227"/>
      <c r="X74" s="227"/>
      <c r="Y74" s="227"/>
      <c r="Z74" s="227"/>
      <c r="AA74" s="227"/>
      <c r="AB74" s="227"/>
      <c r="AC74" s="227"/>
      <c r="AD74" s="227"/>
      <c r="AE74" s="227"/>
      <c r="AF74" s="227"/>
    </row>
    <row r="75" spans="1:32" ht="15.75" thickBot="1" x14ac:dyDescent="0.3">
      <c r="A75" s="190"/>
      <c r="B75" s="190"/>
      <c r="C75" s="190"/>
      <c r="D75" s="190"/>
      <c r="E75" s="190"/>
      <c r="F75" s="190"/>
      <c r="G75" s="190"/>
      <c r="H75" s="190"/>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row>
    <row r="76" spans="1:32" ht="39" customHeight="1" x14ac:dyDescent="0.25">
      <c r="A76" s="1810" t="s">
        <v>4008</v>
      </c>
      <c r="B76" s="1643"/>
      <c r="C76" s="1643"/>
      <c r="D76" s="1643"/>
      <c r="E76" s="1643"/>
      <c r="F76" s="1643"/>
      <c r="G76" s="1643"/>
      <c r="H76" s="1643"/>
      <c r="I76" s="1642" t="s">
        <v>23</v>
      </c>
      <c r="J76" s="1642"/>
      <c r="K76" s="1642"/>
      <c r="L76" s="1642"/>
      <c r="M76" s="1642"/>
      <c r="N76" s="1642"/>
      <c r="O76" s="1642"/>
      <c r="P76" s="1642"/>
      <c r="Q76" s="1642" t="s">
        <v>24</v>
      </c>
      <c r="R76" s="1642"/>
      <c r="S76" s="1642"/>
      <c r="T76" s="1642"/>
      <c r="U76" s="1642"/>
      <c r="V76" s="1642"/>
      <c r="W76" s="1642"/>
      <c r="X76" s="1642"/>
      <c r="Y76" s="1642" t="s">
        <v>1786</v>
      </c>
      <c r="Z76" s="1643"/>
      <c r="AA76" s="1643"/>
      <c r="AB76" s="1643"/>
      <c r="AC76" s="1643"/>
      <c r="AD76" s="1643"/>
      <c r="AE76" s="1643"/>
      <c r="AF76" s="1644"/>
    </row>
    <row r="77" spans="1:32" x14ac:dyDescent="0.25">
      <c r="A77" s="2467" t="s">
        <v>4009</v>
      </c>
      <c r="B77" s="1283"/>
      <c r="C77" s="1283"/>
      <c r="D77" s="1283"/>
      <c r="E77" s="1283"/>
      <c r="F77" s="1283"/>
      <c r="G77" s="1283"/>
      <c r="H77" s="1283"/>
      <c r="I77" s="3377">
        <f>ROUND(Q45/1000*1/Q47*Q52*(M65*Q42+Q43*M66)*Q53,3)</f>
        <v>2E-3</v>
      </c>
      <c r="J77" s="3377"/>
      <c r="K77" s="3377"/>
      <c r="L77" s="3377"/>
      <c r="M77" s="3377"/>
      <c r="N77" s="3377"/>
      <c r="O77" s="3377"/>
      <c r="P77" s="3377"/>
      <c r="Q77" s="3378">
        <f>ROUND(Q45/1000*1/Q47*Q50*(M65*Q42+Q43*M66)*Q53,2)</f>
        <v>391.97</v>
      </c>
      <c r="R77" s="3378"/>
      <c r="S77" s="3378"/>
      <c r="T77" s="3378"/>
      <c r="U77" s="3378"/>
      <c r="V77" s="3378"/>
      <c r="W77" s="3378"/>
      <c r="X77" s="3378"/>
      <c r="Y77" s="3063">
        <f>ROUND(Q77*$Q$54,2)</f>
        <v>7839.4</v>
      </c>
      <c r="Z77" s="3063"/>
      <c r="AA77" s="3063"/>
      <c r="AB77" s="3063"/>
      <c r="AC77" s="3063"/>
      <c r="AD77" s="3063"/>
      <c r="AE77" s="3063"/>
      <c r="AF77" s="3064"/>
    </row>
    <row r="78" spans="1:32" x14ac:dyDescent="0.25">
      <c r="A78" s="2467" t="s">
        <v>4010</v>
      </c>
      <c r="B78" s="1283"/>
      <c r="C78" s="1283"/>
      <c r="D78" s="1283"/>
      <c r="E78" s="1283"/>
      <c r="F78" s="1283"/>
      <c r="G78" s="1283"/>
      <c r="H78" s="1283"/>
      <c r="I78" s="3377">
        <f>ROUND(Q44/1000*1/Q49*Q52*(M65*Q42+Q43*M66)*Q53,3)</f>
        <v>2E-3</v>
      </c>
      <c r="J78" s="3377"/>
      <c r="K78" s="3377"/>
      <c r="L78" s="3377"/>
      <c r="M78" s="3377"/>
      <c r="N78" s="3377"/>
      <c r="O78" s="3377"/>
      <c r="P78" s="3377"/>
      <c r="Q78" s="3378">
        <f>ROUND(Q44/1000*1/Q49*Q51*(M65*Q42+Q43*M66)*Q53,2)</f>
        <v>469.93</v>
      </c>
      <c r="R78" s="3378"/>
      <c r="S78" s="3378"/>
      <c r="T78" s="3378"/>
      <c r="U78" s="3378"/>
      <c r="V78" s="3378"/>
      <c r="W78" s="3378"/>
      <c r="X78" s="3378"/>
      <c r="Y78" s="3063">
        <f t="shared" ref="Y78:Y79" si="0">ROUND(Q78*$Q$54,2)</f>
        <v>9398.6</v>
      </c>
      <c r="Z78" s="3063"/>
      <c r="AA78" s="3063"/>
      <c r="AB78" s="3063"/>
      <c r="AC78" s="3063"/>
      <c r="AD78" s="3063"/>
      <c r="AE78" s="3063"/>
      <c r="AF78" s="3064"/>
    </row>
    <row r="79" spans="1:32" x14ac:dyDescent="0.25">
      <c r="A79" s="2467" t="s">
        <v>4011</v>
      </c>
      <c r="B79" s="1283"/>
      <c r="C79" s="1283"/>
      <c r="D79" s="1283"/>
      <c r="E79" s="1283"/>
      <c r="F79" s="1283"/>
      <c r="G79" s="1283"/>
      <c r="H79" s="1283"/>
      <c r="I79" s="3377">
        <f>ROUND(Q44/1000*1/Q48*Q52*(M65*Q42+Q43*M66)*Q53,3)</f>
        <v>2E-3</v>
      </c>
      <c r="J79" s="3377"/>
      <c r="K79" s="3377"/>
      <c r="L79" s="3377"/>
      <c r="M79" s="3377"/>
      <c r="N79" s="3377"/>
      <c r="O79" s="3377"/>
      <c r="P79" s="3377"/>
      <c r="Q79" s="3378">
        <f>ROUND(Q44/1000*1/Q48*Q51*(M65*Q42+Q43*M66)*Q53,2)</f>
        <v>484.93</v>
      </c>
      <c r="R79" s="3378"/>
      <c r="S79" s="3378"/>
      <c r="T79" s="3378"/>
      <c r="U79" s="3378"/>
      <c r="V79" s="3378"/>
      <c r="W79" s="3378"/>
      <c r="X79" s="3378"/>
      <c r="Y79" s="3063">
        <f t="shared" si="0"/>
        <v>9698.6</v>
      </c>
      <c r="Z79" s="3063"/>
      <c r="AA79" s="3063"/>
      <c r="AB79" s="3063"/>
      <c r="AC79" s="3063"/>
      <c r="AD79" s="3063"/>
      <c r="AE79" s="3063"/>
      <c r="AF79" s="3064"/>
    </row>
    <row r="80" spans="1:32" ht="15.75" thickBot="1" x14ac:dyDescent="0.3">
      <c r="A80" s="2481" t="s">
        <v>4012</v>
      </c>
      <c r="B80" s="1803"/>
      <c r="C80" s="1803"/>
      <c r="D80" s="1803"/>
      <c r="E80" s="1803"/>
      <c r="F80" s="1803"/>
      <c r="G80" s="1803"/>
      <c r="H80" s="1803"/>
      <c r="I80" s="3379">
        <f>ROUND((Q45/1000*1/Q47*Q52*(M65*Q42+Q43*M66)*Q53)*M58+(Q44/1000*1/Q49*Q52*(M65*Q42+Q43*M66)*Q53)*M59+(Q44/1000*1/Q48*Q52*(M65*Q42+Q43*M66)*Q53)*M60,3)</f>
        <v>2E-3</v>
      </c>
      <c r="J80" s="3379"/>
      <c r="K80" s="3379"/>
      <c r="L80" s="3379"/>
      <c r="M80" s="3379"/>
      <c r="N80" s="3379"/>
      <c r="O80" s="3379"/>
      <c r="P80" s="3379"/>
      <c r="Q80" s="3380">
        <f>ROUND((Q45/1000*1/Q47*Q50*(M65*Q42+Q43*M66)*Q53)*M58+(Q44/1000*1/Q49*Q51*(M65*Q42+Q43*M66)*Q53)*M59+(Q44/1000*1/Q48*Q51*(M65*Q42+Q43*M66)*Q53)*M60,2)</f>
        <v>462.84</v>
      </c>
      <c r="R80" s="3380"/>
      <c r="S80" s="3380"/>
      <c r="T80" s="3380"/>
      <c r="U80" s="3380"/>
      <c r="V80" s="3380"/>
      <c r="W80" s="3380"/>
      <c r="X80" s="3380"/>
      <c r="Y80" s="3071">
        <f>ROUND(Q80*$Q$54,2)</f>
        <v>9256.7999999999993</v>
      </c>
      <c r="Z80" s="3071"/>
      <c r="AA80" s="3071"/>
      <c r="AB80" s="3071"/>
      <c r="AC80" s="3071"/>
      <c r="AD80" s="3071"/>
      <c r="AE80" s="3071"/>
      <c r="AF80" s="3072"/>
    </row>
    <row r="81" spans="1:32" x14ac:dyDescent="0.25">
      <c r="A81" s="227"/>
      <c r="B81" s="642"/>
      <c r="C81" s="227"/>
      <c r="D81" s="227"/>
      <c r="E81" s="227"/>
      <c r="F81" s="227"/>
      <c r="G81" s="227"/>
      <c r="H81" s="227"/>
      <c r="I81" s="227"/>
      <c r="J81" s="227"/>
      <c r="K81" s="227"/>
      <c r="L81" s="227"/>
      <c r="M81" s="227"/>
      <c r="N81" s="227"/>
      <c r="O81" s="227"/>
      <c r="P81" s="227"/>
      <c r="Q81" s="227"/>
      <c r="R81" s="227"/>
      <c r="S81" s="262"/>
      <c r="T81" s="227"/>
      <c r="U81" s="227"/>
      <c r="V81" s="227"/>
      <c r="W81" s="227"/>
      <c r="X81" s="227"/>
      <c r="Y81" s="227"/>
      <c r="Z81" s="227"/>
      <c r="AA81" s="227"/>
      <c r="AB81" s="227"/>
      <c r="AC81" s="227"/>
      <c r="AD81" s="227"/>
      <c r="AE81" s="227"/>
      <c r="AF81" s="227"/>
    </row>
    <row r="82" spans="1:32" x14ac:dyDescent="0.25">
      <c r="A82" s="190"/>
      <c r="B82" s="190"/>
      <c r="C82" s="190"/>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row>
    <row r="83" spans="1:32" x14ac:dyDescent="0.25">
      <c r="A83" s="227"/>
      <c r="B83" s="642" t="s">
        <v>1737</v>
      </c>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row>
    <row r="84" spans="1:32" x14ac:dyDescent="0.25">
      <c r="B84" s="380"/>
      <c r="Z84" s="1"/>
    </row>
    <row r="85" spans="1:32" x14ac:dyDescent="0.25">
      <c r="A85" s="3"/>
      <c r="B85" s="3"/>
      <c r="C85" s="8" t="s">
        <v>4014</v>
      </c>
      <c r="D85" s="1"/>
      <c r="E85" s="1"/>
      <c r="F85" s="1"/>
      <c r="G85" s="1"/>
      <c r="H85" s="1"/>
      <c r="I85" s="1"/>
      <c r="J85" s="1"/>
      <c r="K85" s="1"/>
      <c r="L85" s="1"/>
      <c r="M85" s="686"/>
      <c r="N85" s="686"/>
      <c r="O85" s="686"/>
      <c r="P85" s="686"/>
      <c r="Q85" s="686"/>
      <c r="R85" s="686"/>
      <c r="S85" s="686"/>
      <c r="T85" s="2667" t="s">
        <v>4011</v>
      </c>
      <c r="U85" s="2667"/>
      <c r="V85" s="2667"/>
      <c r="W85" s="2667"/>
      <c r="X85" s="2667"/>
      <c r="Y85" s="2667"/>
      <c r="Z85" s="2667"/>
      <c r="AA85" s="3"/>
      <c r="AB85" s="3"/>
      <c r="AC85" s="3"/>
      <c r="AD85" s="3"/>
      <c r="AE85" s="3"/>
      <c r="AF85" s="3"/>
    </row>
    <row r="86" spans="1:32" x14ac:dyDescent="0.25">
      <c r="A86" s="3"/>
      <c r="B86" s="3"/>
      <c r="C86" s="8"/>
      <c r="D86" s="1"/>
      <c r="E86" s="1"/>
      <c r="F86" s="1"/>
      <c r="G86" s="1"/>
      <c r="H86" s="1"/>
      <c r="I86" s="1"/>
      <c r="J86" s="1"/>
      <c r="K86" s="1"/>
      <c r="L86" s="1"/>
      <c r="M86" s="686"/>
      <c r="N86" s="686"/>
      <c r="O86" s="686"/>
      <c r="P86" s="686"/>
      <c r="Q86" s="686"/>
      <c r="R86" s="686"/>
      <c r="S86" s="686"/>
      <c r="T86" s="1121"/>
      <c r="U86" s="1121"/>
      <c r="V86" s="1121"/>
      <c r="W86" s="1121"/>
      <c r="X86" s="1121"/>
      <c r="Y86" s="1121"/>
      <c r="Z86" s="1121"/>
      <c r="AA86" s="3"/>
      <c r="AB86" s="3"/>
      <c r="AC86" s="3"/>
      <c r="AD86" s="3"/>
      <c r="AE86" s="3"/>
      <c r="AF86" s="3"/>
    </row>
    <row r="87" spans="1:32" x14ac:dyDescent="0.25">
      <c r="A87" s="3"/>
      <c r="B87" s="3"/>
      <c r="C87" s="1753" t="s">
        <v>4042</v>
      </c>
      <c r="D87" s="1753"/>
      <c r="E87" s="1753"/>
      <c r="F87" s="1753"/>
      <c r="G87" s="1753"/>
      <c r="H87" s="1753"/>
      <c r="I87" s="1753"/>
      <c r="J87" s="1753"/>
      <c r="K87" s="1753"/>
      <c r="L87" s="1753"/>
      <c r="M87" s="686"/>
      <c r="N87" s="686"/>
      <c r="O87" s="686"/>
      <c r="P87" s="686"/>
      <c r="Q87" s="686"/>
      <c r="R87" s="686"/>
      <c r="S87" s="686"/>
      <c r="T87" s="2667" t="s">
        <v>4039</v>
      </c>
      <c r="U87" s="2667"/>
      <c r="V87" s="2667"/>
      <c r="W87" s="2667"/>
      <c r="X87" s="2667"/>
      <c r="Y87" s="2667"/>
      <c r="Z87" s="2667"/>
      <c r="AA87" s="3"/>
      <c r="AB87" s="3"/>
      <c r="AC87" s="3"/>
      <c r="AD87" s="3"/>
      <c r="AE87" s="3"/>
      <c r="AF87" s="3"/>
    </row>
    <row r="88" spans="1:32" x14ac:dyDescent="0.25">
      <c r="A88" s="3"/>
      <c r="B88" s="3"/>
      <c r="C88" s="8"/>
      <c r="D88" s="8"/>
      <c r="E88" s="8"/>
      <c r="F88" s="8"/>
      <c r="G88" s="8"/>
      <c r="H88" s="8"/>
      <c r="I88" s="8"/>
      <c r="J88" s="8"/>
      <c r="K88" s="8"/>
      <c r="L88" s="8"/>
      <c r="M88" s="686"/>
      <c r="N88" s="686"/>
      <c r="O88" s="686"/>
      <c r="P88" s="686"/>
      <c r="Q88" s="686"/>
      <c r="R88" s="686"/>
      <c r="S88" s="686"/>
      <c r="T88" s="1121"/>
      <c r="U88" s="1121"/>
      <c r="V88" s="1121"/>
      <c r="W88" s="1121"/>
      <c r="X88" s="1121"/>
      <c r="Y88" s="1121"/>
      <c r="Z88" s="1121"/>
      <c r="AA88" s="3"/>
      <c r="AB88" s="3"/>
      <c r="AC88" s="3"/>
      <c r="AD88" s="3"/>
      <c r="AE88" s="3"/>
      <c r="AF88" s="3"/>
    </row>
    <row r="89" spans="1:32" x14ac:dyDescent="0.25">
      <c r="A89" s="3"/>
      <c r="B89" s="3"/>
      <c r="C89" s="262" t="s">
        <v>4015</v>
      </c>
      <c r="D89" s="688"/>
      <c r="E89" s="688"/>
      <c r="F89" s="688"/>
      <c r="G89" s="688"/>
      <c r="H89" s="688"/>
      <c r="I89" s="688"/>
      <c r="J89" s="688"/>
      <c r="K89" s="688"/>
      <c r="L89" s="688"/>
      <c r="M89" s="694"/>
      <c r="N89" s="694"/>
      <c r="O89" s="694"/>
      <c r="P89" s="694"/>
      <c r="Q89" s="694"/>
      <c r="R89" s="686"/>
      <c r="S89" s="686"/>
      <c r="T89" s="3371">
        <v>24000</v>
      </c>
      <c r="U89" s="3372"/>
      <c r="V89" s="3372"/>
      <c r="W89" s="3372"/>
      <c r="X89" s="3372"/>
      <c r="Y89" s="3372"/>
      <c r="Z89" s="3373"/>
      <c r="AA89" s="3"/>
      <c r="AB89" s="3"/>
      <c r="AC89" s="3"/>
      <c r="AD89" s="3"/>
      <c r="AE89" s="3"/>
      <c r="AF89" s="3"/>
    </row>
    <row r="90" spans="1:32" x14ac:dyDescent="0.25">
      <c r="A90" s="3"/>
      <c r="B90" s="3"/>
      <c r="C90" s="262"/>
      <c r="D90" s="688"/>
      <c r="E90" s="688"/>
      <c r="F90" s="688"/>
      <c r="G90" s="688"/>
      <c r="H90" s="688"/>
      <c r="I90" s="688"/>
      <c r="J90" s="688"/>
      <c r="K90" s="688"/>
      <c r="L90" s="688"/>
      <c r="M90" s="694"/>
      <c r="N90" s="694"/>
      <c r="O90" s="694"/>
      <c r="P90" s="694"/>
      <c r="Q90" s="694"/>
      <c r="R90" s="686"/>
      <c r="S90" s="686"/>
      <c r="T90" s="1121"/>
      <c r="U90" s="1121"/>
      <c r="V90" s="1121"/>
      <c r="W90" s="1121"/>
      <c r="X90" s="1121"/>
      <c r="Y90" s="1121"/>
      <c r="Z90" s="1121"/>
      <c r="AA90" s="3"/>
      <c r="AC90" s="3"/>
      <c r="AD90" s="3"/>
      <c r="AE90" s="3"/>
      <c r="AF90" s="3"/>
    </row>
    <row r="91" spans="1:32" x14ac:dyDescent="0.25">
      <c r="A91" s="3"/>
      <c r="B91" s="3"/>
      <c r="C91" s="262" t="s">
        <v>4016</v>
      </c>
      <c r="D91" s="688"/>
      <c r="E91" s="688"/>
      <c r="F91" s="688"/>
      <c r="G91" s="688"/>
      <c r="H91" s="688"/>
      <c r="I91" s="688"/>
      <c r="J91" s="688"/>
      <c r="K91" s="688"/>
      <c r="L91" s="688"/>
      <c r="M91" s="694"/>
      <c r="N91" s="694"/>
      <c r="O91" s="694"/>
      <c r="P91" s="694"/>
      <c r="Q91" s="694"/>
      <c r="R91" s="686"/>
      <c r="S91" s="686"/>
      <c r="T91" s="3374">
        <v>13</v>
      </c>
      <c r="U91" s="3375"/>
      <c r="V91" s="3375"/>
      <c r="W91" s="3375"/>
      <c r="X91" s="3375"/>
      <c r="Y91" s="3375"/>
      <c r="Z91" s="3376"/>
      <c r="AA91" s="3"/>
      <c r="AB91" s="3"/>
      <c r="AC91" s="3"/>
      <c r="AD91" s="3"/>
      <c r="AF91" s="3"/>
    </row>
    <row r="92" spans="1:32" ht="15.75" thickBot="1" x14ac:dyDescent="0.3">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row>
    <row r="93" spans="1:32" ht="35.25" customHeight="1" x14ac:dyDescent="0.25">
      <c r="A93" s="1583" t="s">
        <v>22</v>
      </c>
      <c r="B93" s="1584"/>
      <c r="C93" s="1584"/>
      <c r="D93" s="1584"/>
      <c r="E93" s="1584"/>
      <c r="F93" s="1584"/>
      <c r="G93" s="1584"/>
      <c r="H93" s="1584"/>
      <c r="I93" s="1584" t="s">
        <v>23</v>
      </c>
      <c r="J93" s="1584"/>
      <c r="K93" s="1584"/>
      <c r="L93" s="1584"/>
      <c r="M93" s="1584"/>
      <c r="N93" s="1584"/>
      <c r="O93" s="1584"/>
      <c r="P93" s="1584"/>
      <c r="Q93" s="1584" t="s">
        <v>24</v>
      </c>
      <c r="R93" s="1584"/>
      <c r="S93" s="1584"/>
      <c r="T93" s="1584"/>
      <c r="U93" s="1584"/>
      <c r="V93" s="1584"/>
      <c r="W93" s="1584"/>
      <c r="X93" s="1610"/>
      <c r="Y93" s="1609" t="s">
        <v>1786</v>
      </c>
      <c r="Z93" s="1584"/>
      <c r="AA93" s="1584"/>
      <c r="AB93" s="1584"/>
      <c r="AC93" s="1584"/>
      <c r="AD93" s="1584"/>
      <c r="AE93" s="1584"/>
      <c r="AF93" s="1585"/>
    </row>
    <row r="94" spans="1:32" ht="15.75" thickBot="1" x14ac:dyDescent="0.3">
      <c r="A94" s="1578" t="s">
        <v>607</v>
      </c>
      <c r="B94" s="1579"/>
      <c r="C94" s="1579"/>
      <c r="D94" s="1579"/>
      <c r="E94" s="1579"/>
      <c r="F94" s="1579"/>
      <c r="G94" s="1579"/>
      <c r="H94" s="1579"/>
      <c r="I94" s="1611">
        <f>ROUND(IF($T$85="Central AC",$T$89/1000*1/$T$91*Q52*IF(T87="Before 2010",Q42,IF(T87="2010 and After",Q43,M65*Q42+Q43*M66))*Q53,IF($T$85="Room AC",$T$89/1000*1/$T$91*Q52*IF(T87="Before 2010",Q42,IF(T87="2010 and After",Q43,M65*Q42+Q43*M66))*Q53,IF($T$85="Ductless Mini Split",$T$89/1000*1/$T$91*Q52*IF(T87="Before 2010",Q42,IF(T87="2010 and After",Q43,M65*Q42+Q43*M66))*Q53,IF($T$85="Unknown",($T$89/1000*1/$T$91*Q52*IF(T87="Before 2010",Q42,IF(T87="2010 and After",Q43,M65*Q42+Q43*M66))*Q53*M58+$T$89/1000*1/$T$91*Q52*IF(T87="Before 2010",Q42,IF(T87="2010 and After",Q43,M65*Q42+Q43*M66))*Q53*M59+$T$89/1000*1/$T$91*Q52*IF(T87="Before 2010",Q42,IF(T87="2010 and After",Q43,M65*Q42+Q43*M66))*Q53*M60))))),3)</f>
        <v>2E-3</v>
      </c>
      <c r="J94" s="1611"/>
      <c r="K94" s="1611"/>
      <c r="L94" s="1611"/>
      <c r="M94" s="1611"/>
      <c r="N94" s="1611"/>
      <c r="O94" s="1611"/>
      <c r="P94" s="1611"/>
      <c r="Q94" s="3369">
        <f>ROUND(IF($T$85="Central AC",$T$89/1000*1/$T$91*Q50*IF(T87="Before 2010",Q42,IF(T87="2010 and After",Q43,M65*Q42+Q43*M66))*Q53,IF($T$85="Room AC",$T$89/1000*1/$T$91*Q51*IF(T87="Before 2010",Q42,IF(T87="2010 and After",Q43,M65*Q42+Q43*M66))*Q53,IF($T$85="Ductless Mini Split",$T$89/1000*1/$T$91*Q51*IF(T87="Before 2010",Q42,IF(T87="2010 and After",Q43,M65*Q42+Q43*M66))*Q53,IF($T$85="Unknown",($T$89/1000*1/$T$91*Q50*IF(T87="Before 2010",Q42,IF(T87="2010 and After",Q43,M65*Q42+Q43*M66))*Q53*M58+$T$89/1000*1/$T$91*Q51*IF(T87="Before 2010",Q42,IF(T87="2010 and After",Q43,M65*Q42+Q43*M66))*Q53*M59+$T$89/1000*1/$T$91*Q51*IF(T87="Before 2010",Q42,IF(T87="2010 and After",Q43,M65*Q42+Q43*M66))*Q53*M60))))),2)</f>
        <v>362.56</v>
      </c>
      <c r="R94" s="3369"/>
      <c r="S94" s="3369"/>
      <c r="T94" s="3369"/>
      <c r="U94" s="3369"/>
      <c r="V94" s="3369"/>
      <c r="W94" s="3369"/>
      <c r="X94" s="3370"/>
      <c r="Y94" s="2739">
        <f>ROUND(Q94*Q54,2)</f>
        <v>7251.2</v>
      </c>
      <c r="Z94" s="2739"/>
      <c r="AA94" s="2739"/>
      <c r="AB94" s="2739"/>
      <c r="AC94" s="2739"/>
      <c r="AD94" s="2739"/>
      <c r="AE94" s="2739"/>
      <c r="AF94" s="2740"/>
    </row>
    <row r="96" spans="1:32" x14ac:dyDescent="0.25">
      <c r="A96" s="1472" t="s">
        <v>1753</v>
      </c>
      <c r="B96" s="1472"/>
      <c r="C96" s="1472"/>
      <c r="D96" s="1472"/>
      <c r="E96" s="1472"/>
      <c r="F96" s="1472"/>
      <c r="G96" s="1472"/>
      <c r="H96" s="1472"/>
      <c r="I96" s="1472"/>
      <c r="J96" s="1472"/>
      <c r="K96" s="1472"/>
      <c r="L96" s="1472"/>
      <c r="M96" s="1472"/>
      <c r="N96" s="1472"/>
      <c r="O96" s="1472"/>
      <c r="P96" s="1472"/>
      <c r="Q96" s="1472"/>
      <c r="R96" s="1472"/>
      <c r="S96" s="1472"/>
      <c r="T96" s="1472"/>
      <c r="U96" s="1472"/>
      <c r="V96" s="1472"/>
      <c r="W96" s="1472"/>
      <c r="X96" s="1472"/>
      <c r="Y96" s="1472"/>
      <c r="Z96" s="1472"/>
      <c r="AA96" s="1472"/>
      <c r="AB96" s="1472"/>
      <c r="AC96" s="1472"/>
      <c r="AD96" s="1472"/>
      <c r="AE96" s="1472"/>
      <c r="AF96" s="1472"/>
    </row>
    <row r="98" spans="1:32" x14ac:dyDescent="0.25">
      <c r="A98" s="515" t="s">
        <v>1013</v>
      </c>
      <c r="B98" s="1247" t="s">
        <v>3972</v>
      </c>
      <c r="C98" s="1247"/>
      <c r="D98" s="1247"/>
      <c r="E98" s="1247"/>
      <c r="F98" s="1247"/>
      <c r="G98" s="1247"/>
      <c r="H98" s="1247"/>
      <c r="I98" s="1247"/>
      <c r="J98" s="1247"/>
      <c r="K98" s="1247"/>
      <c r="L98" s="1247"/>
      <c r="M98" s="1247"/>
      <c r="N98" s="1247"/>
      <c r="O98" s="1247"/>
      <c r="P98" s="1247"/>
      <c r="Q98" s="1247"/>
      <c r="R98" s="1247"/>
      <c r="S98" s="1247"/>
      <c r="T98" s="1247"/>
      <c r="U98" s="1247"/>
      <c r="V98" s="1247"/>
      <c r="W98" s="1247"/>
      <c r="X98" s="1247"/>
      <c r="Y98" s="1247"/>
      <c r="Z98" s="1247"/>
      <c r="AA98" s="1247"/>
      <c r="AB98" s="1247"/>
      <c r="AC98" s="1247"/>
      <c r="AD98" s="1247"/>
      <c r="AE98" s="1247"/>
      <c r="AF98" s="1247"/>
    </row>
    <row r="99" spans="1:32" ht="38.25" customHeight="1" x14ac:dyDescent="0.25">
      <c r="A99" s="515" t="s">
        <v>1013</v>
      </c>
      <c r="B99" s="1247" t="s">
        <v>3956</v>
      </c>
      <c r="C99" s="1247"/>
      <c r="D99" s="1247"/>
      <c r="E99" s="1247"/>
      <c r="F99" s="1247"/>
      <c r="G99" s="1247"/>
      <c r="H99" s="1247"/>
      <c r="I99" s="1247"/>
      <c r="J99" s="1247"/>
      <c r="K99" s="1247"/>
      <c r="L99" s="1247"/>
      <c r="M99" s="1247"/>
      <c r="N99" s="1247"/>
      <c r="O99" s="1247"/>
      <c r="P99" s="1247"/>
      <c r="Q99" s="1247"/>
      <c r="R99" s="1247"/>
      <c r="S99" s="1247"/>
      <c r="T99" s="1247"/>
      <c r="U99" s="1247"/>
      <c r="V99" s="1247"/>
      <c r="W99" s="1247"/>
      <c r="X99" s="1247"/>
      <c r="Y99" s="1247"/>
      <c r="Z99" s="1247"/>
      <c r="AA99" s="1247"/>
      <c r="AB99" s="1247"/>
      <c r="AC99" s="1247"/>
      <c r="AD99" s="1247"/>
      <c r="AE99" s="1247"/>
      <c r="AF99" s="1247"/>
    </row>
    <row r="100" spans="1:32" ht="51.75" customHeight="1" x14ac:dyDescent="0.25">
      <c r="A100" s="515" t="s">
        <v>1013</v>
      </c>
      <c r="B100" s="1247" t="s">
        <v>4043</v>
      </c>
      <c r="C100" s="1247"/>
      <c r="D100" s="1247"/>
      <c r="E100" s="1247"/>
      <c r="F100" s="1247"/>
      <c r="G100" s="1247"/>
      <c r="H100" s="1247"/>
      <c r="I100" s="1247"/>
      <c r="J100" s="1247"/>
      <c r="K100" s="1247"/>
      <c r="L100" s="1247"/>
      <c r="M100" s="1247"/>
      <c r="N100" s="1247"/>
      <c r="O100" s="1247"/>
      <c r="P100" s="1247"/>
      <c r="Q100" s="1247"/>
      <c r="R100" s="1247"/>
      <c r="S100" s="1247"/>
      <c r="T100" s="1247"/>
      <c r="U100" s="1247"/>
      <c r="V100" s="1247"/>
      <c r="W100" s="1247"/>
      <c r="X100" s="1247"/>
      <c r="Y100" s="1247"/>
      <c r="Z100" s="1247"/>
      <c r="AA100" s="1247"/>
      <c r="AB100" s="1247"/>
      <c r="AC100" s="1247"/>
      <c r="AD100" s="1247"/>
      <c r="AE100" s="1247"/>
      <c r="AF100" s="1247"/>
    </row>
    <row r="101" spans="1:32" x14ac:dyDescent="0.25">
      <c r="A101" s="515" t="s">
        <v>1013</v>
      </c>
      <c r="B101" s="1247" t="s">
        <v>4044</v>
      </c>
      <c r="C101" s="1247"/>
      <c r="D101" s="1247"/>
      <c r="E101" s="1247"/>
      <c r="F101" s="1247"/>
      <c r="G101" s="1247"/>
      <c r="H101" s="1247"/>
      <c r="I101" s="1247"/>
      <c r="J101" s="1247"/>
      <c r="K101" s="1247"/>
      <c r="L101" s="1247"/>
      <c r="M101" s="1247"/>
      <c r="N101" s="1247"/>
      <c r="O101" s="1247"/>
      <c r="P101" s="1247"/>
      <c r="Q101" s="1247"/>
      <c r="R101" s="1247"/>
      <c r="S101" s="1247"/>
      <c r="T101" s="1247"/>
      <c r="U101" s="1247"/>
      <c r="V101" s="1247"/>
      <c r="W101" s="1247"/>
      <c r="X101" s="1247"/>
      <c r="Y101" s="1247"/>
      <c r="Z101" s="1247"/>
      <c r="AA101" s="1247"/>
      <c r="AB101" s="1247"/>
      <c r="AC101" s="1247"/>
      <c r="AD101" s="1247"/>
      <c r="AE101" s="1247"/>
      <c r="AF101" s="1247"/>
    </row>
    <row r="102" spans="1:32" ht="38.25" customHeight="1" x14ac:dyDescent="0.25">
      <c r="A102" s="515" t="s">
        <v>1013</v>
      </c>
      <c r="B102" s="1247" t="s">
        <v>4045</v>
      </c>
      <c r="C102" s="1247"/>
      <c r="D102" s="1247"/>
      <c r="E102" s="1247"/>
      <c r="F102" s="1247"/>
      <c r="G102" s="1247"/>
      <c r="H102" s="1247"/>
      <c r="I102" s="1247"/>
      <c r="J102" s="1247"/>
      <c r="K102" s="1247"/>
      <c r="L102" s="1247"/>
      <c r="M102" s="1247"/>
      <c r="N102" s="1247"/>
      <c r="O102" s="1247"/>
      <c r="P102" s="1247"/>
      <c r="Q102" s="1247"/>
      <c r="R102" s="1247"/>
      <c r="S102" s="1247"/>
      <c r="T102" s="1247"/>
      <c r="U102" s="1247"/>
      <c r="V102" s="1247"/>
      <c r="W102" s="1247"/>
      <c r="X102" s="1247"/>
      <c r="Y102" s="1247"/>
      <c r="Z102" s="1247"/>
      <c r="AA102" s="1247"/>
      <c r="AB102" s="1247"/>
      <c r="AC102" s="1247"/>
      <c r="AD102" s="1247"/>
      <c r="AE102" s="1247"/>
      <c r="AF102" s="1247"/>
    </row>
    <row r="103" spans="1:32" ht="50.25" customHeight="1" x14ac:dyDescent="0.25">
      <c r="A103" s="515" t="s">
        <v>1013</v>
      </c>
      <c r="B103" s="1247" t="s">
        <v>4046</v>
      </c>
      <c r="C103" s="1247"/>
      <c r="D103" s="1247"/>
      <c r="E103" s="1247"/>
      <c r="F103" s="1247"/>
      <c r="G103" s="1247"/>
      <c r="H103" s="1247"/>
      <c r="I103" s="1247"/>
      <c r="J103" s="1247"/>
      <c r="K103" s="1247"/>
      <c r="L103" s="1247"/>
      <c r="M103" s="1247"/>
      <c r="N103" s="1247"/>
      <c r="O103" s="1247"/>
      <c r="P103" s="1247"/>
      <c r="Q103" s="1247"/>
      <c r="R103" s="1247"/>
      <c r="S103" s="1247"/>
      <c r="T103" s="1247"/>
      <c r="U103" s="1247"/>
      <c r="V103" s="1247"/>
      <c r="W103" s="1247"/>
      <c r="X103" s="1247"/>
      <c r="Y103" s="1247"/>
      <c r="Z103" s="1247"/>
      <c r="AA103" s="1247"/>
      <c r="AB103" s="1247"/>
      <c r="AC103" s="1247"/>
      <c r="AD103" s="1247"/>
      <c r="AE103" s="1247"/>
      <c r="AF103" s="1247"/>
    </row>
    <row r="104" spans="1:32" x14ac:dyDescent="0.25">
      <c r="A104" s="515" t="s">
        <v>1013</v>
      </c>
      <c r="B104" s="1247" t="s">
        <v>4047</v>
      </c>
      <c r="C104" s="1247"/>
      <c r="D104" s="1247"/>
      <c r="E104" s="1247"/>
      <c r="F104" s="1247"/>
      <c r="G104" s="1247"/>
      <c r="H104" s="1247"/>
      <c r="I104" s="1247"/>
      <c r="J104" s="1247"/>
      <c r="K104" s="1247"/>
      <c r="L104" s="1247"/>
      <c r="M104" s="1247"/>
      <c r="N104" s="1247"/>
      <c r="O104" s="1247"/>
      <c r="P104" s="1247"/>
      <c r="Q104" s="1247"/>
      <c r="R104" s="1247"/>
      <c r="S104" s="1247"/>
      <c r="T104" s="1247"/>
      <c r="U104" s="1247"/>
      <c r="V104" s="1247"/>
      <c r="W104" s="1247"/>
      <c r="X104" s="1247"/>
      <c r="Y104" s="1247"/>
      <c r="Z104" s="1247"/>
      <c r="AA104" s="1247"/>
      <c r="AB104" s="1247"/>
      <c r="AC104" s="1247"/>
      <c r="AD104" s="1247"/>
      <c r="AE104" s="1247"/>
      <c r="AF104" s="1247"/>
    </row>
    <row r="105" spans="1:32" ht="33" customHeight="1" x14ac:dyDescent="0.25">
      <c r="A105" s="515" t="s">
        <v>1013</v>
      </c>
      <c r="B105" s="1173" t="s">
        <v>4048</v>
      </c>
      <c r="C105" s="1173"/>
      <c r="D105" s="1173"/>
      <c r="E105" s="1173"/>
      <c r="F105" s="1173"/>
      <c r="G105" s="1173"/>
      <c r="H105" s="1173"/>
      <c r="I105" s="1173"/>
      <c r="J105" s="1173"/>
      <c r="K105" s="1173"/>
      <c r="L105" s="1173"/>
      <c r="M105" s="1173"/>
      <c r="N105" s="1173"/>
      <c r="O105" s="1173"/>
      <c r="P105" s="1173"/>
      <c r="Q105" s="1173"/>
      <c r="R105" s="1173"/>
      <c r="S105" s="1173"/>
      <c r="T105" s="1173"/>
      <c r="U105" s="1173"/>
      <c r="V105" s="1173"/>
      <c r="W105" s="1173"/>
      <c r="X105" s="1173"/>
      <c r="Y105" s="1173"/>
      <c r="Z105" s="1173"/>
      <c r="AA105" s="1173"/>
      <c r="AB105" s="1173"/>
      <c r="AC105" s="1173"/>
      <c r="AD105" s="1173"/>
      <c r="AE105" s="1173"/>
      <c r="AF105" s="1173"/>
    </row>
    <row r="106" spans="1:32" ht="36" customHeight="1" x14ac:dyDescent="0.25">
      <c r="A106" s="515" t="s">
        <v>1013</v>
      </c>
      <c r="B106" s="1173" t="s">
        <v>4049</v>
      </c>
      <c r="C106" s="1173"/>
      <c r="D106" s="1173"/>
      <c r="E106" s="1173"/>
      <c r="F106" s="1173"/>
      <c r="G106" s="1173"/>
      <c r="H106" s="1173"/>
      <c r="I106" s="1173"/>
      <c r="J106" s="1173"/>
      <c r="K106" s="1173"/>
      <c r="L106" s="1173"/>
      <c r="M106" s="1173"/>
      <c r="N106" s="1173"/>
      <c r="O106" s="1173"/>
      <c r="P106" s="1173"/>
      <c r="Q106" s="1173"/>
      <c r="R106" s="1173"/>
      <c r="S106" s="1173"/>
      <c r="T106" s="1173"/>
      <c r="U106" s="1173"/>
      <c r="V106" s="1173"/>
      <c r="W106" s="1173"/>
      <c r="X106" s="1173"/>
      <c r="Y106" s="1173"/>
      <c r="Z106" s="1173"/>
      <c r="AA106" s="1173"/>
      <c r="AB106" s="1173"/>
      <c r="AC106" s="1173"/>
      <c r="AD106" s="1173"/>
      <c r="AE106" s="1173"/>
      <c r="AF106" s="1173"/>
    </row>
    <row r="107" spans="1:32" ht="69" customHeight="1" x14ac:dyDescent="0.25">
      <c r="A107" s="515" t="s">
        <v>1013</v>
      </c>
      <c r="B107" s="1247" t="s">
        <v>3971</v>
      </c>
      <c r="C107" s="1247"/>
      <c r="D107" s="1247"/>
      <c r="E107" s="1247"/>
      <c r="F107" s="1247"/>
      <c r="G107" s="1247"/>
      <c r="H107" s="1247"/>
      <c r="I107" s="1247"/>
      <c r="J107" s="1247"/>
      <c r="K107" s="1247"/>
      <c r="L107" s="1247"/>
      <c r="M107" s="1247"/>
      <c r="N107" s="1247"/>
      <c r="O107" s="1247"/>
      <c r="P107" s="1247"/>
      <c r="Q107" s="1247"/>
      <c r="R107" s="1247"/>
      <c r="S107" s="1247"/>
      <c r="T107" s="1247"/>
      <c r="U107" s="1247"/>
      <c r="V107" s="1247"/>
      <c r="W107" s="1247"/>
      <c r="X107" s="1247"/>
      <c r="Y107" s="1247"/>
      <c r="Z107" s="1247"/>
      <c r="AA107" s="1247"/>
      <c r="AB107" s="1247"/>
      <c r="AC107" s="1247"/>
      <c r="AD107" s="1247"/>
      <c r="AE107" s="1247"/>
      <c r="AF107" s="1247"/>
    </row>
    <row r="108" spans="1:32" x14ac:dyDescent="0.25">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row>
  </sheetData>
  <sheetProtection algorithmName="SHA-512" hashValue="OWx7T5d8B5qXR/37v28YgRSDceEtfA/UFQJxjtgBn0XcYxY/MQKR4iGhWoy2GTGE+MIWHI42kEKfPJ58IxBGHw==" saltValue="VEKYX67pgycvE+xIIDYxOg==" spinCount="100000" sheet="1" objects="1" scenarios="1"/>
  <mergeCells count="141">
    <mergeCell ref="A1:AF1"/>
    <mergeCell ref="B5:AF5"/>
    <mergeCell ref="A7:AF7"/>
    <mergeCell ref="A9:H9"/>
    <mergeCell ref="A10:AE10"/>
    <mergeCell ref="A12:H12"/>
    <mergeCell ref="A13:AE13"/>
    <mergeCell ref="A15:H15"/>
    <mergeCell ref="A42:D43"/>
    <mergeCell ref="E42:P42"/>
    <mergeCell ref="Q42:T42"/>
    <mergeCell ref="U42:W42"/>
    <mergeCell ref="X42:AF43"/>
    <mergeCell ref="E43:P43"/>
    <mergeCell ref="Q43:T43"/>
    <mergeCell ref="U43:W43"/>
    <mergeCell ref="A3:AF3"/>
    <mergeCell ref="A40:AF40"/>
    <mergeCell ref="A41:D41"/>
    <mergeCell ref="E41:P41"/>
    <mergeCell ref="Q41:T41"/>
    <mergeCell ref="U41:W41"/>
    <mergeCell ref="X41:AF41"/>
    <mergeCell ref="A16:AE16"/>
    <mergeCell ref="A18:H18"/>
    <mergeCell ref="A19:AE19"/>
    <mergeCell ref="A22:AE22"/>
    <mergeCell ref="A25:AF25"/>
    <mergeCell ref="A46:D46"/>
    <mergeCell ref="E46:P46"/>
    <mergeCell ref="Q46:T46"/>
    <mergeCell ref="U46:W46"/>
    <mergeCell ref="X46:AF46"/>
    <mergeCell ref="A44:D45"/>
    <mergeCell ref="E44:P44"/>
    <mergeCell ref="Q44:T44"/>
    <mergeCell ref="U44:W44"/>
    <mergeCell ref="X44:AF44"/>
    <mergeCell ref="E45:P45"/>
    <mergeCell ref="Q45:T45"/>
    <mergeCell ref="U45:W45"/>
    <mergeCell ref="X45:AF45"/>
    <mergeCell ref="A49:D49"/>
    <mergeCell ref="E49:P49"/>
    <mergeCell ref="Q49:T49"/>
    <mergeCell ref="U49:W49"/>
    <mergeCell ref="X49:AF49"/>
    <mergeCell ref="A47:D48"/>
    <mergeCell ref="E47:P47"/>
    <mergeCell ref="Q47:T47"/>
    <mergeCell ref="U47:W47"/>
    <mergeCell ref="X47:AF47"/>
    <mergeCell ref="E48:P48"/>
    <mergeCell ref="Q48:T48"/>
    <mergeCell ref="U48:W48"/>
    <mergeCell ref="X48:AF48"/>
    <mergeCell ref="A52:D52"/>
    <mergeCell ref="E52:P52"/>
    <mergeCell ref="Q52:T52"/>
    <mergeCell ref="U52:W52"/>
    <mergeCell ref="X52:AF52"/>
    <mergeCell ref="A50:D51"/>
    <mergeCell ref="E50:P50"/>
    <mergeCell ref="Q50:T50"/>
    <mergeCell ref="U50:W50"/>
    <mergeCell ref="X50:AF50"/>
    <mergeCell ref="E51:P51"/>
    <mergeCell ref="Q51:T51"/>
    <mergeCell ref="U51:W51"/>
    <mergeCell ref="X51:AF51"/>
    <mergeCell ref="A54:D54"/>
    <mergeCell ref="E54:P54"/>
    <mergeCell ref="Q54:T54"/>
    <mergeCell ref="U54:W54"/>
    <mergeCell ref="X54:AF54"/>
    <mergeCell ref="A53:D53"/>
    <mergeCell ref="E53:P53"/>
    <mergeCell ref="Q53:T53"/>
    <mergeCell ref="U53:W53"/>
    <mergeCell ref="X53:AF53"/>
    <mergeCell ref="C60:L60"/>
    <mergeCell ref="M60:Q60"/>
    <mergeCell ref="C61:Q61"/>
    <mergeCell ref="C64:Q64"/>
    <mergeCell ref="C65:L65"/>
    <mergeCell ref="M65:Q65"/>
    <mergeCell ref="C57:Q57"/>
    <mergeCell ref="C58:L58"/>
    <mergeCell ref="M58:Q58"/>
    <mergeCell ref="C59:L59"/>
    <mergeCell ref="M59:Q59"/>
    <mergeCell ref="A72:AF72"/>
    <mergeCell ref="A76:H76"/>
    <mergeCell ref="I76:P76"/>
    <mergeCell ref="Q76:X76"/>
    <mergeCell ref="Y76:AF76"/>
    <mergeCell ref="C66:L66"/>
    <mergeCell ref="M66:Q66"/>
    <mergeCell ref="C67:Q67"/>
    <mergeCell ref="A69:B69"/>
    <mergeCell ref="C69:AF69"/>
    <mergeCell ref="A79:H79"/>
    <mergeCell ref="I79:P79"/>
    <mergeCell ref="Q79:X79"/>
    <mergeCell ref="Y79:AF79"/>
    <mergeCell ref="A80:H80"/>
    <mergeCell ref="I80:P80"/>
    <mergeCell ref="Q80:X80"/>
    <mergeCell ref="Y80:AF80"/>
    <mergeCell ref="A77:H77"/>
    <mergeCell ref="I77:P77"/>
    <mergeCell ref="Q77:X77"/>
    <mergeCell ref="Y77:AF77"/>
    <mergeCell ref="A78:H78"/>
    <mergeCell ref="I78:P78"/>
    <mergeCell ref="Q78:X78"/>
    <mergeCell ref="Y78:AF78"/>
    <mergeCell ref="A93:H93"/>
    <mergeCell ref="I93:P93"/>
    <mergeCell ref="Q93:X93"/>
    <mergeCell ref="Y93:AF93"/>
    <mergeCell ref="A94:H94"/>
    <mergeCell ref="I94:P94"/>
    <mergeCell ref="Q94:X94"/>
    <mergeCell ref="Y94:AF94"/>
    <mergeCell ref="T85:Z85"/>
    <mergeCell ref="C87:L87"/>
    <mergeCell ref="T87:Z87"/>
    <mergeCell ref="T89:Z89"/>
    <mergeCell ref="T91:Z91"/>
    <mergeCell ref="B107:AF107"/>
    <mergeCell ref="B102:AF102"/>
    <mergeCell ref="B103:AF103"/>
    <mergeCell ref="B104:AF104"/>
    <mergeCell ref="B105:AF105"/>
    <mergeCell ref="B106:AF106"/>
    <mergeCell ref="A96:AF96"/>
    <mergeCell ref="B98:AF98"/>
    <mergeCell ref="B99:AF99"/>
    <mergeCell ref="B100:AF100"/>
    <mergeCell ref="B101:AF101"/>
  </mergeCells>
  <conditionalFormatting sqref="T91:Z91">
    <cfRule type="expression" dxfId="3" priority="1">
      <formula>$T$85&lt;&gt;"Central AC"</formula>
    </cfRule>
    <cfRule type="expression" dxfId="2" priority="2">
      <formula>$T$85="Central AC"</formula>
    </cfRule>
  </conditionalFormatting>
  <dataValidations count="2">
    <dataValidation type="list" allowBlank="1" showInputMessage="1" showErrorMessage="1" sqref="T87:Z87" xr:uid="{00000000-0002-0000-5300-000000000000}">
      <formula1>"Before 2010, 2010 and After, Unknown"</formula1>
    </dataValidation>
    <dataValidation type="list" allowBlank="1" showInputMessage="1" showErrorMessage="1" sqref="T85:Z85" xr:uid="{00000000-0002-0000-5300-000001000000}">
      <formula1>"Central AC, Room AC, Ductless Mini Split, Unknown"</formula1>
    </dataValidation>
  </dataValidations>
  <hyperlinks>
    <hyperlink ref="A2" location="TOC!A1" display="Return to TOC" xr:uid="{00000000-0004-0000-5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47">
    <tabColor theme="7" tint="0.79998168889431442"/>
    <pageSetUpPr autoPageBreaks="0"/>
  </sheetPr>
  <dimension ref="A1:AG116"/>
  <sheetViews>
    <sheetView workbookViewId="0">
      <selection sqref="A1:AF1"/>
    </sheetView>
  </sheetViews>
  <sheetFormatPr defaultColWidth="2.7109375" defaultRowHeight="15" x14ac:dyDescent="0.25"/>
  <sheetData>
    <row r="1" spans="1:32" ht="18.75" x14ac:dyDescent="0.25">
      <c r="A1" s="1464" t="s">
        <v>1164</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x14ac:dyDescent="0.25">
      <c r="A2" s="376" t="s">
        <v>1702</v>
      </c>
      <c r="S2" s="689"/>
    </row>
    <row r="3" spans="1:32"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262"/>
      <c r="B5" s="1151" t="s">
        <v>4635</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25">
      <c r="A9" s="1"/>
      <c r="B9" s="1475" t="s">
        <v>10</v>
      </c>
      <c r="C9" s="1475"/>
      <c r="D9" s="1475"/>
      <c r="E9" s="1475"/>
      <c r="F9" s="1475"/>
      <c r="G9" s="1475"/>
      <c r="H9" s="1475"/>
      <c r="I9" s="1475"/>
      <c r="J9" s="1"/>
      <c r="K9" s="1"/>
      <c r="L9" s="1"/>
      <c r="M9" s="1"/>
      <c r="N9" s="1"/>
      <c r="O9" s="1"/>
      <c r="P9" s="1"/>
      <c r="Q9" s="1"/>
      <c r="R9" s="1"/>
      <c r="S9" s="1"/>
      <c r="T9" s="1"/>
      <c r="U9" s="1"/>
      <c r="V9" s="1"/>
      <c r="W9" s="1"/>
      <c r="X9" s="1"/>
      <c r="Y9" s="1"/>
      <c r="Z9" s="1"/>
      <c r="AA9" s="1"/>
      <c r="AB9" s="1"/>
      <c r="AC9" s="1"/>
      <c r="AD9" s="1"/>
      <c r="AE9" s="1"/>
      <c r="AF9" s="1"/>
    </row>
    <row r="10" spans="1:32" ht="159.75" customHeight="1" x14ac:dyDescent="0.25">
      <c r="A10" s="4"/>
      <c r="B10" s="1173" t="s">
        <v>3973</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row>
    <row r="11" spans="1:32"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25">
      <c r="A12" s="1"/>
      <c r="B12" s="1475" t="s">
        <v>11</v>
      </c>
      <c r="C12" s="1475"/>
      <c r="D12" s="1475"/>
      <c r="E12" s="1475"/>
      <c r="F12" s="1475"/>
      <c r="G12" s="1475"/>
      <c r="H12" s="1475"/>
      <c r="I12" s="1475"/>
      <c r="J12" s="1"/>
      <c r="K12" s="1"/>
      <c r="L12" s="1"/>
      <c r="M12" s="1"/>
      <c r="N12" s="1"/>
      <c r="O12" s="1"/>
      <c r="P12" s="1"/>
      <c r="Q12" s="1"/>
      <c r="R12" s="1"/>
      <c r="S12" s="1"/>
      <c r="T12" s="1"/>
      <c r="U12" s="1"/>
      <c r="V12" s="1"/>
      <c r="W12" s="1"/>
      <c r="X12" s="1"/>
      <c r="Y12" s="1"/>
      <c r="Z12" s="1"/>
      <c r="AA12" s="1"/>
      <c r="AB12" s="1"/>
      <c r="AC12" s="1"/>
      <c r="AD12" s="1"/>
      <c r="AE12" s="1"/>
      <c r="AF12" s="1"/>
    </row>
    <row r="13" spans="1:32" x14ac:dyDescent="0.25">
      <c r="A13" s="1"/>
      <c r="B13" s="1473" t="s">
        <v>1572</v>
      </c>
      <c r="C13" s="1473"/>
      <c r="D13" s="1473"/>
      <c r="E13" s="1473"/>
      <c r="F13" s="1473"/>
      <c r="G13" s="1473"/>
      <c r="H13" s="1473"/>
      <c r="I13" s="1473"/>
      <c r="J13" s="1473"/>
      <c r="K13" s="1473"/>
      <c r="L13" s="1473"/>
      <c r="M13" s="1473"/>
      <c r="N13" s="1473"/>
      <c r="O13" s="1473"/>
      <c r="P13" s="1473"/>
      <c r="Q13" s="1473"/>
      <c r="R13" s="1473"/>
      <c r="S13" s="1473"/>
      <c r="T13" s="1473"/>
      <c r="U13" s="1473"/>
      <c r="V13" s="1473"/>
      <c r="W13" s="1473"/>
      <c r="X13" s="1473"/>
      <c r="Y13" s="1473"/>
      <c r="Z13" s="1473"/>
      <c r="AA13" s="1473"/>
      <c r="AB13" s="1473"/>
      <c r="AC13" s="1473"/>
      <c r="AD13" s="1473"/>
      <c r="AE13" s="1473"/>
      <c r="AF13" s="1473"/>
    </row>
    <row r="14" spans="1:32"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25">
      <c r="A15" s="1"/>
      <c r="B15" s="1475" t="s">
        <v>12</v>
      </c>
      <c r="C15" s="1475"/>
      <c r="D15" s="1475"/>
      <c r="E15" s="1475"/>
      <c r="F15" s="1475"/>
      <c r="G15" s="1475"/>
      <c r="H15" s="1475"/>
      <c r="I15" s="1475"/>
      <c r="J15" s="1"/>
      <c r="K15" s="1"/>
      <c r="L15" s="1"/>
      <c r="M15" s="1"/>
      <c r="N15" s="1"/>
      <c r="O15" s="1"/>
      <c r="P15" s="1"/>
      <c r="Q15" s="1"/>
      <c r="R15" s="1"/>
      <c r="S15" s="1"/>
      <c r="T15" s="1"/>
      <c r="U15" s="1"/>
      <c r="V15" s="1"/>
      <c r="W15" s="1"/>
      <c r="X15" s="1"/>
      <c r="Y15" s="1"/>
      <c r="Z15" s="1"/>
      <c r="AA15" s="1"/>
      <c r="AB15" s="1"/>
      <c r="AC15" s="1"/>
      <c r="AD15" s="1"/>
      <c r="AE15" s="1"/>
      <c r="AF15" s="1"/>
    </row>
    <row r="16" spans="1:32" x14ac:dyDescent="0.25">
      <c r="A16" s="1"/>
      <c r="B16" s="1473" t="s">
        <v>1494</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row>
    <row r="17" spans="1:32"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25">
      <c r="A18" s="1"/>
      <c r="B18" s="1475" t="s">
        <v>13</v>
      </c>
      <c r="C18" s="1475"/>
      <c r="D18" s="1475"/>
      <c r="E18" s="1475"/>
      <c r="F18" s="1475"/>
      <c r="G18" s="1475"/>
      <c r="H18" s="1475"/>
      <c r="I18" s="1475"/>
      <c r="J18" s="1"/>
      <c r="K18" s="1"/>
      <c r="L18" s="1"/>
      <c r="M18" s="1"/>
      <c r="N18" s="1"/>
      <c r="O18" s="1"/>
      <c r="P18" s="1"/>
      <c r="Q18" s="1"/>
      <c r="R18" s="1"/>
      <c r="S18" s="1"/>
      <c r="T18" s="1"/>
      <c r="U18" s="1"/>
      <c r="V18" s="1"/>
      <c r="W18" s="1"/>
      <c r="X18" s="1"/>
      <c r="Y18" s="1"/>
      <c r="Z18" s="1"/>
      <c r="AA18" s="1"/>
      <c r="AB18" s="1"/>
      <c r="AC18" s="1"/>
      <c r="AD18" s="1"/>
      <c r="AE18" s="1"/>
      <c r="AF18" s="1"/>
    </row>
    <row r="19" spans="1:32" ht="86.25" customHeight="1" x14ac:dyDescent="0.25">
      <c r="A19" s="4"/>
      <c r="B19" s="1151" t="s">
        <v>3974</v>
      </c>
      <c r="C19" s="1151"/>
      <c r="D19" s="1151"/>
      <c r="E19" s="1151"/>
      <c r="F19" s="1151"/>
      <c r="G19" s="1151"/>
      <c r="H19" s="1151"/>
      <c r="I19" s="1151"/>
      <c r="J19" s="1151"/>
      <c r="K19" s="1151"/>
      <c r="L19" s="1151"/>
      <c r="M19" s="1151"/>
      <c r="N19" s="1151"/>
      <c r="O19" s="1151"/>
      <c r="P19" s="1151"/>
      <c r="Q19" s="1151"/>
      <c r="R19" s="1151"/>
      <c r="S19" s="1151"/>
      <c r="T19" s="1151"/>
      <c r="U19" s="1151"/>
      <c r="V19" s="1151"/>
      <c r="W19" s="1151"/>
      <c r="X19" s="1151"/>
      <c r="Y19" s="1151"/>
      <c r="Z19" s="1151"/>
      <c r="AA19" s="1151"/>
      <c r="AB19" s="1151"/>
      <c r="AC19" s="1151"/>
      <c r="AD19" s="1151"/>
      <c r="AE19" s="1151"/>
      <c r="AF19" s="1151"/>
    </row>
    <row r="20" spans="1:32"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25">
      <c r="A21" s="1"/>
      <c r="B21" s="171" t="s">
        <v>20</v>
      </c>
      <c r="C21" s="171"/>
      <c r="D21" s="171"/>
      <c r="E21" s="171"/>
      <c r="F21" s="171"/>
      <c r="G21" s="171"/>
      <c r="H21" s="171"/>
      <c r="I21" s="171"/>
      <c r="J21" s="1"/>
      <c r="K21" s="1"/>
      <c r="L21" s="1"/>
      <c r="M21" s="1"/>
      <c r="N21" s="1"/>
      <c r="O21" s="1"/>
      <c r="P21" s="1"/>
      <c r="Q21" s="1"/>
      <c r="R21" s="1"/>
      <c r="S21" s="1"/>
      <c r="T21" s="1"/>
      <c r="U21" s="1"/>
      <c r="V21" s="1"/>
      <c r="W21" s="1"/>
      <c r="X21" s="1"/>
      <c r="Y21" s="1"/>
      <c r="Z21" s="1"/>
      <c r="AA21" s="1"/>
      <c r="AB21" s="1"/>
      <c r="AC21" s="1"/>
      <c r="AD21" s="1"/>
      <c r="AE21" s="1"/>
      <c r="AF21" s="1"/>
    </row>
    <row r="22" spans="1:32" x14ac:dyDescent="0.25">
      <c r="A22" s="1"/>
      <c r="B22" s="1151" t="s">
        <v>1495</v>
      </c>
      <c r="C22" s="1473"/>
      <c r="D22" s="1473"/>
      <c r="E22" s="1473"/>
      <c r="F22" s="1473"/>
      <c r="G22" s="1473"/>
      <c r="H22" s="1473"/>
      <c r="I22" s="1473"/>
      <c r="J22" s="1473"/>
      <c r="K22" s="1473"/>
      <c r="L22" s="1473"/>
      <c r="M22" s="1473"/>
      <c r="N22" s="1473"/>
      <c r="O22" s="1473"/>
      <c r="P22" s="1473"/>
      <c r="Q22" s="1473"/>
      <c r="R22" s="1473"/>
      <c r="S22" s="1473"/>
      <c r="T22" s="1473"/>
      <c r="U22" s="1473"/>
      <c r="V22" s="1473"/>
      <c r="W22" s="1473"/>
      <c r="X22" s="1473"/>
      <c r="Y22" s="1473"/>
      <c r="Z22" s="1473"/>
      <c r="AA22" s="1473"/>
      <c r="AB22" s="1473"/>
      <c r="AC22" s="1473"/>
      <c r="AD22" s="1473"/>
      <c r="AE22" s="1473"/>
      <c r="AF22" s="1473"/>
    </row>
    <row r="23" spans="1:32" x14ac:dyDescent="0.25">
      <c r="A23" s="1"/>
      <c r="B23" s="4"/>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25">
      <c r="A24" s="1472" t="s">
        <v>14</v>
      </c>
      <c r="B24" s="1472"/>
      <c r="C24" s="1472"/>
      <c r="D24" s="1472"/>
      <c r="E24" s="1472"/>
      <c r="F24" s="1472"/>
      <c r="G24" s="1472"/>
      <c r="H24" s="1472"/>
      <c r="I24" s="1472"/>
      <c r="J24" s="1472"/>
      <c r="K24" s="1472"/>
      <c r="L24" s="1472"/>
      <c r="M24" s="1472"/>
      <c r="N24" s="1472"/>
      <c r="O24" s="1472"/>
      <c r="P24" s="1472"/>
      <c r="Q24" s="1472"/>
      <c r="R24" s="1472"/>
      <c r="S24" s="1472"/>
      <c r="T24" s="1472"/>
      <c r="U24" s="1472"/>
      <c r="V24" s="1472"/>
      <c r="W24" s="1472"/>
      <c r="X24" s="1472"/>
      <c r="Y24" s="1472"/>
      <c r="Z24" s="1472"/>
      <c r="AA24" s="1472"/>
      <c r="AB24" s="1472"/>
      <c r="AC24" s="1472"/>
      <c r="AD24" s="1472"/>
      <c r="AE24" s="1472"/>
      <c r="AF24" s="1472"/>
    </row>
    <row r="25" spans="1:32"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x14ac:dyDescent="0.25">
      <c r="A26" s="379" t="s">
        <v>2194</v>
      </c>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row>
    <row r="27" spans="1:32" x14ac:dyDescent="0.25">
      <c r="A27" s="148"/>
      <c r="B27" s="148"/>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row>
    <row r="28" spans="1:32" x14ac:dyDescent="0.25">
      <c r="A28" s="148"/>
      <c r="B28" s="304"/>
      <c r="C28" s="148"/>
      <c r="E28" s="148"/>
      <c r="F28" s="148"/>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57"/>
      <c r="AE28" s="148"/>
      <c r="AF28" s="685" t="s">
        <v>1705</v>
      </c>
    </row>
    <row r="29" spans="1:32" x14ac:dyDescent="0.25">
      <c r="A29" s="148"/>
      <c r="B29" s="148"/>
      <c r="C29" s="148"/>
      <c r="E29" s="148"/>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311"/>
    </row>
    <row r="30" spans="1:32" x14ac:dyDescent="0.25">
      <c r="A30" s="379" t="s">
        <v>2303</v>
      </c>
      <c r="B30" s="148"/>
      <c r="C30" s="148"/>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311"/>
    </row>
    <row r="31" spans="1:32" x14ac:dyDescent="0.25">
      <c r="A31" s="148"/>
      <c r="B31" s="148"/>
      <c r="C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311"/>
    </row>
    <row r="32" spans="1:32" x14ac:dyDescent="0.25">
      <c r="A32" s="148"/>
      <c r="B32" s="148"/>
      <c r="C32" s="148"/>
      <c r="E32" s="148"/>
      <c r="F32" s="148"/>
      <c r="G32" s="257"/>
      <c r="H32" s="4"/>
      <c r="I32" s="4"/>
      <c r="J32" s="4"/>
      <c r="K32" s="4"/>
      <c r="L32" s="4"/>
      <c r="M32" s="4"/>
      <c r="N32" s="4"/>
      <c r="O32" s="4"/>
      <c r="P32" s="4"/>
      <c r="Q32" s="4"/>
      <c r="R32" s="4"/>
      <c r="S32" s="4"/>
      <c r="T32" s="4"/>
      <c r="U32" s="4"/>
      <c r="V32" s="4"/>
      <c r="W32" s="4"/>
      <c r="X32" s="4"/>
      <c r="Y32" s="4"/>
      <c r="Z32" s="4"/>
      <c r="AA32" s="4"/>
      <c r="AB32" s="4"/>
      <c r="AC32" s="4"/>
      <c r="AD32" s="4"/>
      <c r="AE32" s="148"/>
      <c r="AF32" s="419" t="s">
        <v>1706</v>
      </c>
    </row>
    <row r="33" spans="1:33" x14ac:dyDescent="0.25">
      <c r="A33" s="148"/>
      <c r="B33" s="148"/>
      <c r="C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311"/>
    </row>
    <row r="34" spans="1:33" x14ac:dyDescent="0.25">
      <c r="A34" s="379" t="s">
        <v>1998</v>
      </c>
      <c r="B34" s="148"/>
      <c r="C34" s="148"/>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311"/>
    </row>
    <row r="35" spans="1:33" x14ac:dyDescent="0.25">
      <c r="A35" s="148"/>
      <c r="B35" s="148"/>
      <c r="C35" s="148"/>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311"/>
    </row>
    <row r="36" spans="1:33" x14ac:dyDescent="0.25">
      <c r="A36" s="148"/>
      <c r="B36" s="304"/>
      <c r="C36" s="148"/>
      <c r="E36" s="148"/>
      <c r="F36" s="148"/>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148"/>
      <c r="AF36" s="339" t="s">
        <v>1707</v>
      </c>
    </row>
    <row r="37" spans="1:33" x14ac:dyDescent="0.25">
      <c r="A37" s="148"/>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311"/>
    </row>
    <row r="38" spans="1:3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3" x14ac:dyDescent="0.25">
      <c r="A39" s="1472" t="s">
        <v>15</v>
      </c>
      <c r="B39" s="1472"/>
      <c r="C39" s="1472"/>
      <c r="D39" s="1472"/>
      <c r="E39" s="1472"/>
      <c r="F39" s="1472"/>
      <c r="G39" s="1472"/>
      <c r="H39" s="1472"/>
      <c r="I39" s="1472"/>
      <c r="J39" s="1472"/>
      <c r="K39" s="1472"/>
      <c r="L39" s="1472"/>
      <c r="M39" s="1472"/>
      <c r="N39" s="1472"/>
      <c r="O39" s="1472"/>
      <c r="P39" s="1472"/>
      <c r="Q39" s="1472"/>
      <c r="R39" s="1472"/>
      <c r="S39" s="1472"/>
      <c r="T39" s="1472"/>
      <c r="U39" s="1472"/>
      <c r="V39" s="1472"/>
      <c r="W39" s="1472"/>
      <c r="X39" s="1472"/>
      <c r="Y39" s="1472"/>
      <c r="Z39" s="1472"/>
      <c r="AA39" s="1472"/>
      <c r="AB39" s="1472"/>
      <c r="AC39" s="1472"/>
      <c r="AD39" s="1472"/>
      <c r="AE39" s="1472"/>
      <c r="AF39" s="1472"/>
    </row>
    <row r="40" spans="1:33" x14ac:dyDescent="0.25">
      <c r="A40" s="1474" t="s">
        <v>16</v>
      </c>
      <c r="B40" s="1474"/>
      <c r="C40" s="1474"/>
      <c r="D40" s="1474"/>
      <c r="E40" s="1474" t="s">
        <v>10</v>
      </c>
      <c r="F40" s="1474"/>
      <c r="G40" s="1474"/>
      <c r="H40" s="1474"/>
      <c r="I40" s="1474"/>
      <c r="J40" s="1474"/>
      <c r="K40" s="1474"/>
      <c r="L40" s="1474"/>
      <c r="M40" s="1474"/>
      <c r="N40" s="1474"/>
      <c r="O40" s="1474"/>
      <c r="P40" s="1474"/>
      <c r="Q40" s="1474" t="s">
        <v>17</v>
      </c>
      <c r="R40" s="1474"/>
      <c r="S40" s="1474"/>
      <c r="T40" s="1474"/>
      <c r="U40" s="1590" t="s">
        <v>18</v>
      </c>
      <c r="V40" s="1591"/>
      <c r="W40" s="1751"/>
      <c r="X40" s="1590" t="s">
        <v>2772</v>
      </c>
      <c r="Y40" s="1591"/>
      <c r="Z40" s="1591"/>
      <c r="AA40" s="1591"/>
      <c r="AB40" s="1591"/>
      <c r="AC40" s="1591"/>
      <c r="AD40" s="1591"/>
      <c r="AE40" s="1591"/>
      <c r="AF40" s="1751"/>
    </row>
    <row r="41" spans="1:33" ht="221.25" customHeight="1" x14ac:dyDescent="0.25">
      <c r="A41" s="1680" t="s">
        <v>3975</v>
      </c>
      <c r="B41" s="1681" t="s">
        <v>608</v>
      </c>
      <c r="C41" s="1681" t="s">
        <v>608</v>
      </c>
      <c r="D41" s="1682" t="s">
        <v>608</v>
      </c>
      <c r="E41" s="1494" t="s">
        <v>3976</v>
      </c>
      <c r="F41" s="1495" t="s">
        <v>609</v>
      </c>
      <c r="G41" s="1495" t="s">
        <v>609</v>
      </c>
      <c r="H41" s="1495" t="s">
        <v>609</v>
      </c>
      <c r="I41" s="1495" t="s">
        <v>609</v>
      </c>
      <c r="J41" s="1495" t="s">
        <v>609</v>
      </c>
      <c r="K41" s="1495" t="s">
        <v>609</v>
      </c>
      <c r="L41" s="1495" t="s">
        <v>609</v>
      </c>
      <c r="M41" s="1495" t="s">
        <v>609</v>
      </c>
      <c r="N41" s="1495" t="s">
        <v>609</v>
      </c>
      <c r="O41" s="1495" t="s">
        <v>609</v>
      </c>
      <c r="P41" s="1496" t="s">
        <v>609</v>
      </c>
      <c r="Q41" s="1664">
        <v>0.17752203098384522</v>
      </c>
      <c r="R41" s="1665">
        <v>0.2</v>
      </c>
      <c r="S41" s="1665">
        <v>0.2</v>
      </c>
      <c r="T41" s="1666">
        <v>0.2</v>
      </c>
      <c r="U41" s="1683" t="s">
        <v>28</v>
      </c>
      <c r="V41" s="1684"/>
      <c r="W41" s="1685"/>
      <c r="X41" s="1494" t="s">
        <v>3977</v>
      </c>
      <c r="Y41" s="1495" t="s">
        <v>617</v>
      </c>
      <c r="Z41" s="1495" t="s">
        <v>617</v>
      </c>
      <c r="AA41" s="1495" t="s">
        <v>617</v>
      </c>
      <c r="AB41" s="1495" t="s">
        <v>617</v>
      </c>
      <c r="AC41" s="1495" t="s">
        <v>617</v>
      </c>
      <c r="AD41" s="1495" t="s">
        <v>617</v>
      </c>
      <c r="AE41" s="1495" t="s">
        <v>617</v>
      </c>
      <c r="AF41" s="1496" t="s">
        <v>617</v>
      </c>
    </row>
    <row r="42" spans="1:33" ht="60" customHeight="1" x14ac:dyDescent="0.25">
      <c r="A42" s="1488" t="s">
        <v>3978</v>
      </c>
      <c r="B42" s="1489" t="s">
        <v>610</v>
      </c>
      <c r="C42" s="1489" t="s">
        <v>610</v>
      </c>
      <c r="D42" s="1490" t="s">
        <v>610</v>
      </c>
      <c r="E42" s="1494" t="s">
        <v>3979</v>
      </c>
      <c r="F42" s="1495" t="s">
        <v>611</v>
      </c>
      <c r="G42" s="1495" t="s">
        <v>611</v>
      </c>
      <c r="H42" s="1495" t="s">
        <v>611</v>
      </c>
      <c r="I42" s="1495" t="s">
        <v>611</v>
      </c>
      <c r="J42" s="1495" t="s">
        <v>611</v>
      </c>
      <c r="K42" s="1495" t="s">
        <v>611</v>
      </c>
      <c r="L42" s="1495" t="s">
        <v>611</v>
      </c>
      <c r="M42" s="1495" t="s">
        <v>611</v>
      </c>
      <c r="N42" s="1495" t="s">
        <v>611</v>
      </c>
      <c r="O42" s="1495" t="s">
        <v>611</v>
      </c>
      <c r="P42" s="1496" t="s">
        <v>611</v>
      </c>
      <c r="Q42" s="1656">
        <v>24000</v>
      </c>
      <c r="R42" s="1657">
        <v>8500</v>
      </c>
      <c r="S42" s="1657">
        <v>8500</v>
      </c>
      <c r="T42" s="1658">
        <v>8500</v>
      </c>
      <c r="U42" s="1497" t="s">
        <v>2876</v>
      </c>
      <c r="V42" s="1498"/>
      <c r="W42" s="1499"/>
      <c r="X42" s="1494" t="s">
        <v>4384</v>
      </c>
      <c r="Y42" s="1495" t="s">
        <v>612</v>
      </c>
      <c r="Z42" s="1495" t="s">
        <v>612</v>
      </c>
      <c r="AA42" s="1495" t="s">
        <v>612</v>
      </c>
      <c r="AB42" s="1495" t="s">
        <v>612</v>
      </c>
      <c r="AC42" s="1495" t="s">
        <v>612</v>
      </c>
      <c r="AD42" s="1495" t="s">
        <v>612</v>
      </c>
      <c r="AE42" s="1495" t="s">
        <v>612</v>
      </c>
      <c r="AF42" s="1496" t="s">
        <v>612</v>
      </c>
      <c r="AG42" s="262"/>
    </row>
    <row r="43" spans="1:33" ht="60" customHeight="1" x14ac:dyDescent="0.25">
      <c r="A43" s="1491"/>
      <c r="B43" s="1492"/>
      <c r="C43" s="1492"/>
      <c r="D43" s="1493"/>
      <c r="E43" s="1494" t="s">
        <v>3980</v>
      </c>
      <c r="F43" s="1495" t="s">
        <v>611</v>
      </c>
      <c r="G43" s="1495" t="s">
        <v>611</v>
      </c>
      <c r="H43" s="1495" t="s">
        <v>611</v>
      </c>
      <c r="I43" s="1495" t="s">
        <v>611</v>
      </c>
      <c r="J43" s="1495" t="s">
        <v>611</v>
      </c>
      <c r="K43" s="1495" t="s">
        <v>611</v>
      </c>
      <c r="L43" s="1495" t="s">
        <v>611</v>
      </c>
      <c r="M43" s="1495" t="s">
        <v>611</v>
      </c>
      <c r="N43" s="1495" t="s">
        <v>611</v>
      </c>
      <c r="O43" s="1495" t="s">
        <v>611</v>
      </c>
      <c r="P43" s="1496" t="s">
        <v>611</v>
      </c>
      <c r="Q43" s="1656">
        <v>36000</v>
      </c>
      <c r="R43" s="1657">
        <v>8500</v>
      </c>
      <c r="S43" s="1657">
        <v>8500</v>
      </c>
      <c r="T43" s="1658">
        <v>8500</v>
      </c>
      <c r="U43" s="1497" t="s">
        <v>2876</v>
      </c>
      <c r="V43" s="1498"/>
      <c r="W43" s="1499"/>
      <c r="X43" s="1494" t="s">
        <v>3981</v>
      </c>
      <c r="Y43" s="1495" t="s">
        <v>612</v>
      </c>
      <c r="Z43" s="1495" t="s">
        <v>612</v>
      </c>
      <c r="AA43" s="1495" t="s">
        <v>612</v>
      </c>
      <c r="AB43" s="1495" t="s">
        <v>612</v>
      </c>
      <c r="AC43" s="1495" t="s">
        <v>612</v>
      </c>
      <c r="AD43" s="1495" t="s">
        <v>612</v>
      </c>
      <c r="AE43" s="1495" t="s">
        <v>612</v>
      </c>
      <c r="AF43" s="1496" t="s">
        <v>612</v>
      </c>
    </row>
    <row r="44" spans="1:33" x14ac:dyDescent="0.25">
      <c r="A44" s="1680" t="s">
        <v>167</v>
      </c>
      <c r="B44" s="1681"/>
      <c r="C44" s="1681"/>
      <c r="D44" s="1682"/>
      <c r="E44" s="1494" t="s">
        <v>3600</v>
      </c>
      <c r="F44" s="1495"/>
      <c r="G44" s="1495"/>
      <c r="H44" s="1495"/>
      <c r="I44" s="1495"/>
      <c r="J44" s="1495"/>
      <c r="K44" s="1495"/>
      <c r="L44" s="1495"/>
      <c r="M44" s="1495"/>
      <c r="N44" s="1495"/>
      <c r="O44" s="1495"/>
      <c r="P44" s="1496"/>
      <c r="Q44" s="1656">
        <v>1000</v>
      </c>
      <c r="R44" s="1657"/>
      <c r="S44" s="1657"/>
      <c r="T44" s="1658"/>
      <c r="U44" s="1497" t="s">
        <v>293</v>
      </c>
      <c r="V44" s="1498"/>
      <c r="W44" s="1499"/>
      <c r="X44" s="1494"/>
      <c r="Y44" s="1495"/>
      <c r="Z44" s="1495"/>
      <c r="AA44" s="1495"/>
      <c r="AB44" s="1495"/>
      <c r="AC44" s="1495"/>
      <c r="AD44" s="1495"/>
      <c r="AE44" s="1495"/>
      <c r="AF44" s="1496"/>
    </row>
    <row r="45" spans="1:33" ht="114" customHeight="1" x14ac:dyDescent="0.25">
      <c r="A45" s="3394" t="s">
        <v>1008</v>
      </c>
      <c r="B45" s="3395"/>
      <c r="C45" s="3395"/>
      <c r="D45" s="3396"/>
      <c r="E45" s="1494" t="s">
        <v>3982</v>
      </c>
      <c r="F45" s="1495" t="s">
        <v>613</v>
      </c>
      <c r="G45" s="1495" t="s">
        <v>613</v>
      </c>
      <c r="H45" s="1495" t="s">
        <v>613</v>
      </c>
      <c r="I45" s="1495" t="s">
        <v>613</v>
      </c>
      <c r="J45" s="1495" t="s">
        <v>613</v>
      </c>
      <c r="K45" s="1495" t="s">
        <v>613</v>
      </c>
      <c r="L45" s="1495" t="s">
        <v>613</v>
      </c>
      <c r="M45" s="1495" t="s">
        <v>613</v>
      </c>
      <c r="N45" s="1495" t="s">
        <v>613</v>
      </c>
      <c r="O45" s="1495" t="s">
        <v>613</v>
      </c>
      <c r="P45" s="1496" t="s">
        <v>613</v>
      </c>
      <c r="Q45" s="3292">
        <v>13</v>
      </c>
      <c r="R45" s="3293">
        <v>9.8000000000000007</v>
      </c>
      <c r="S45" s="3293">
        <v>9.8000000000000007</v>
      </c>
      <c r="T45" s="3294">
        <v>9.8000000000000007</v>
      </c>
      <c r="U45" s="1497" t="s">
        <v>2878</v>
      </c>
      <c r="V45" s="1498"/>
      <c r="W45" s="1499"/>
      <c r="X45" s="1494" t="s">
        <v>3983</v>
      </c>
      <c r="Y45" s="1495"/>
      <c r="Z45" s="1495"/>
      <c r="AA45" s="1495"/>
      <c r="AB45" s="1495"/>
      <c r="AC45" s="1495"/>
      <c r="AD45" s="1495"/>
      <c r="AE45" s="1495"/>
      <c r="AF45" s="1496"/>
    </row>
    <row r="46" spans="1:33" ht="99" customHeight="1" x14ac:dyDescent="0.25">
      <c r="A46" s="3419"/>
      <c r="B46" s="3420"/>
      <c r="C46" s="3420"/>
      <c r="D46" s="3421"/>
      <c r="E46" s="1494" t="s">
        <v>3984</v>
      </c>
      <c r="F46" s="1495" t="s">
        <v>613</v>
      </c>
      <c r="G46" s="1495" t="s">
        <v>613</v>
      </c>
      <c r="H46" s="1495" t="s">
        <v>613</v>
      </c>
      <c r="I46" s="1495" t="s">
        <v>613</v>
      </c>
      <c r="J46" s="1495" t="s">
        <v>613</v>
      </c>
      <c r="K46" s="1495" t="s">
        <v>613</v>
      </c>
      <c r="L46" s="1495" t="s">
        <v>613</v>
      </c>
      <c r="M46" s="1495" t="s">
        <v>613</v>
      </c>
      <c r="N46" s="1495" t="s">
        <v>613</v>
      </c>
      <c r="O46" s="1495" t="s">
        <v>613</v>
      </c>
      <c r="P46" s="1496" t="s">
        <v>613</v>
      </c>
      <c r="Q46" s="3292">
        <v>14</v>
      </c>
      <c r="R46" s="3293">
        <v>9.8000000000000007</v>
      </c>
      <c r="S46" s="3293">
        <v>9.8000000000000007</v>
      </c>
      <c r="T46" s="3294">
        <v>9.8000000000000007</v>
      </c>
      <c r="U46" s="1497" t="s">
        <v>2878</v>
      </c>
      <c r="V46" s="1498"/>
      <c r="W46" s="1499"/>
      <c r="X46" s="1494" t="s">
        <v>3985</v>
      </c>
      <c r="Y46" s="1495"/>
      <c r="Z46" s="1495"/>
      <c r="AA46" s="1495"/>
      <c r="AB46" s="1495"/>
      <c r="AC46" s="1495"/>
      <c r="AD46" s="1495"/>
      <c r="AE46" s="1495"/>
      <c r="AF46" s="1496"/>
    </row>
    <row r="47" spans="1:33" ht="89.25" customHeight="1" x14ac:dyDescent="0.25">
      <c r="A47" s="3397"/>
      <c r="B47" s="3398"/>
      <c r="C47" s="3398"/>
      <c r="D47" s="3399"/>
      <c r="E47" s="3306" t="s">
        <v>3986</v>
      </c>
      <c r="F47" s="3306"/>
      <c r="G47" s="3306" t="s">
        <v>214</v>
      </c>
      <c r="H47" s="3306"/>
      <c r="I47" s="3306" t="s">
        <v>214</v>
      </c>
      <c r="J47" s="3306"/>
      <c r="K47" s="3306" t="s">
        <v>214</v>
      </c>
      <c r="L47" s="3306"/>
      <c r="M47" s="3306" t="s">
        <v>214</v>
      </c>
      <c r="N47" s="3306"/>
      <c r="O47" s="3306" t="s">
        <v>214</v>
      </c>
      <c r="P47" s="3306"/>
      <c r="Q47" s="2070">
        <v>9.4</v>
      </c>
      <c r="R47" s="2070" t="s">
        <v>215</v>
      </c>
      <c r="S47" s="2070" t="s">
        <v>215</v>
      </c>
      <c r="T47" s="2070" t="s">
        <v>215</v>
      </c>
      <c r="U47" s="2064" t="s">
        <v>2878</v>
      </c>
      <c r="V47" s="2065"/>
      <c r="W47" s="2066"/>
      <c r="X47" s="2067" t="s">
        <v>3987</v>
      </c>
      <c r="Y47" s="2068"/>
      <c r="Z47" s="2068"/>
      <c r="AA47" s="2068"/>
      <c r="AB47" s="2068"/>
      <c r="AC47" s="2068"/>
      <c r="AD47" s="2068"/>
      <c r="AE47" s="2068"/>
      <c r="AF47" s="2069"/>
    </row>
    <row r="48" spans="1:33" ht="87" customHeight="1" x14ac:dyDescent="0.25">
      <c r="A48" s="3413" t="s">
        <v>3988</v>
      </c>
      <c r="B48" s="3414"/>
      <c r="C48" s="3414"/>
      <c r="D48" s="3415"/>
      <c r="E48" s="3306" t="s">
        <v>3989</v>
      </c>
      <c r="F48" s="3306"/>
      <c r="G48" s="3306" t="s">
        <v>214</v>
      </c>
      <c r="H48" s="3306"/>
      <c r="I48" s="3306" t="s">
        <v>214</v>
      </c>
      <c r="J48" s="3306"/>
      <c r="K48" s="3306" t="s">
        <v>214</v>
      </c>
      <c r="L48" s="3306"/>
      <c r="M48" s="3306" t="s">
        <v>214</v>
      </c>
      <c r="N48" s="3306"/>
      <c r="O48" s="3306" t="s">
        <v>214</v>
      </c>
      <c r="P48" s="3306"/>
      <c r="Q48" s="2070">
        <v>9.6999999999999993</v>
      </c>
      <c r="R48" s="2070" t="s">
        <v>215</v>
      </c>
      <c r="S48" s="2070" t="s">
        <v>215</v>
      </c>
      <c r="T48" s="2070" t="s">
        <v>215</v>
      </c>
      <c r="U48" s="2064" t="s">
        <v>2878</v>
      </c>
      <c r="V48" s="2065"/>
      <c r="W48" s="2066"/>
      <c r="X48" s="2067" t="s">
        <v>3990</v>
      </c>
      <c r="Y48" s="2068"/>
      <c r="Z48" s="2068"/>
      <c r="AA48" s="2068"/>
      <c r="AB48" s="2068"/>
      <c r="AC48" s="2068"/>
      <c r="AD48" s="2068"/>
      <c r="AE48" s="2068"/>
      <c r="AF48" s="2069"/>
    </row>
    <row r="49" spans="1:32" ht="79.5" customHeight="1" x14ac:dyDescent="0.25">
      <c r="A49" s="3416"/>
      <c r="B49" s="3417"/>
      <c r="C49" s="3417"/>
      <c r="D49" s="3418"/>
      <c r="E49" s="3306" t="s">
        <v>3991</v>
      </c>
      <c r="F49" s="3306"/>
      <c r="G49" s="3306" t="s">
        <v>214</v>
      </c>
      <c r="H49" s="3306"/>
      <c r="I49" s="3306" t="s">
        <v>214</v>
      </c>
      <c r="J49" s="3306"/>
      <c r="K49" s="3306" t="s">
        <v>214</v>
      </c>
      <c r="L49" s="3306"/>
      <c r="M49" s="3306" t="s">
        <v>214</v>
      </c>
      <c r="N49" s="3306"/>
      <c r="O49" s="3306" t="s">
        <v>214</v>
      </c>
      <c r="P49" s="3306"/>
      <c r="Q49" s="2070">
        <v>10.9</v>
      </c>
      <c r="R49" s="2070" t="s">
        <v>215</v>
      </c>
      <c r="S49" s="2070" t="s">
        <v>215</v>
      </c>
      <c r="T49" s="2070" t="s">
        <v>215</v>
      </c>
      <c r="U49" s="2064" t="s">
        <v>2878</v>
      </c>
      <c r="V49" s="2065"/>
      <c r="W49" s="2066"/>
      <c r="X49" s="2067" t="s">
        <v>3992</v>
      </c>
      <c r="Y49" s="2068"/>
      <c r="Z49" s="2068"/>
      <c r="AA49" s="2068"/>
      <c r="AB49" s="2068"/>
      <c r="AC49" s="2068"/>
      <c r="AD49" s="2068"/>
      <c r="AE49" s="2068"/>
      <c r="AF49" s="2069"/>
    </row>
    <row r="50" spans="1:32" ht="126.75" customHeight="1" x14ac:dyDescent="0.25">
      <c r="A50" s="3385" t="s">
        <v>257</v>
      </c>
      <c r="B50" s="3386"/>
      <c r="C50" s="3386"/>
      <c r="D50" s="3387"/>
      <c r="E50" s="1494" t="s">
        <v>3993</v>
      </c>
      <c r="F50" s="1495" t="s">
        <v>614</v>
      </c>
      <c r="G50" s="1495" t="s">
        <v>614</v>
      </c>
      <c r="H50" s="1495" t="s">
        <v>614</v>
      </c>
      <c r="I50" s="1495" t="s">
        <v>614</v>
      </c>
      <c r="J50" s="1495" t="s">
        <v>614</v>
      </c>
      <c r="K50" s="1495" t="s">
        <v>614</v>
      </c>
      <c r="L50" s="1495" t="s">
        <v>614</v>
      </c>
      <c r="M50" s="1495" t="s">
        <v>614</v>
      </c>
      <c r="N50" s="1495" t="s">
        <v>614</v>
      </c>
      <c r="O50" s="1495" t="s">
        <v>614</v>
      </c>
      <c r="P50" s="1496" t="s">
        <v>614</v>
      </c>
      <c r="Q50" s="2063">
        <v>1884</v>
      </c>
      <c r="R50" s="2063">
        <v>1825</v>
      </c>
      <c r="S50" s="2063">
        <v>1825</v>
      </c>
      <c r="T50" s="2063">
        <v>1825</v>
      </c>
      <c r="U50" s="1683" t="s">
        <v>45</v>
      </c>
      <c r="V50" s="1684"/>
      <c r="W50" s="1685"/>
      <c r="X50" s="1494" t="s">
        <v>3480</v>
      </c>
      <c r="Y50" s="1495"/>
      <c r="Z50" s="1495"/>
      <c r="AA50" s="1495"/>
      <c r="AB50" s="1495"/>
      <c r="AC50" s="1495"/>
      <c r="AD50" s="1495"/>
      <c r="AE50" s="1495"/>
      <c r="AF50" s="1496"/>
    </row>
    <row r="51" spans="1:32" ht="139.5" customHeight="1" x14ac:dyDescent="0.25">
      <c r="A51" s="3388"/>
      <c r="B51" s="3389"/>
      <c r="C51" s="3389"/>
      <c r="D51" s="3390"/>
      <c r="E51" s="3306" t="s">
        <v>3994</v>
      </c>
      <c r="F51" s="3306"/>
      <c r="G51" s="3306" t="s">
        <v>217</v>
      </c>
      <c r="H51" s="3306"/>
      <c r="I51" s="3306" t="s">
        <v>217</v>
      </c>
      <c r="J51" s="3306"/>
      <c r="K51" s="3306" t="s">
        <v>217</v>
      </c>
      <c r="L51" s="3306"/>
      <c r="M51" s="3306" t="s">
        <v>217</v>
      </c>
      <c r="N51" s="3306"/>
      <c r="O51" s="3306" t="s">
        <v>217</v>
      </c>
      <c r="P51" s="3306"/>
      <c r="Q51" s="2063">
        <v>2528</v>
      </c>
      <c r="R51" s="2063">
        <v>1825</v>
      </c>
      <c r="S51" s="2063">
        <v>1825</v>
      </c>
      <c r="T51" s="2063">
        <v>1825</v>
      </c>
      <c r="U51" s="2064" t="s">
        <v>1000</v>
      </c>
      <c r="V51" s="2065"/>
      <c r="W51" s="2066" t="s">
        <v>1081</v>
      </c>
      <c r="X51" s="2067" t="s">
        <v>3995</v>
      </c>
      <c r="Y51" s="2068"/>
      <c r="Z51" s="2068"/>
      <c r="AA51" s="2068"/>
      <c r="AB51" s="2068"/>
      <c r="AC51" s="2068"/>
      <c r="AD51" s="2068"/>
      <c r="AE51" s="2068"/>
      <c r="AF51" s="2069"/>
    </row>
    <row r="52" spans="1:32" ht="60" customHeight="1" x14ac:dyDescent="0.25">
      <c r="A52" s="3303" t="s">
        <v>3996</v>
      </c>
      <c r="B52" s="3304" t="s">
        <v>216</v>
      </c>
      <c r="C52" s="3304" t="s">
        <v>216</v>
      </c>
      <c r="D52" s="3305" t="s">
        <v>216</v>
      </c>
      <c r="E52" s="3306" t="s">
        <v>3997</v>
      </c>
      <c r="F52" s="3306"/>
      <c r="G52" s="3306" t="s">
        <v>217</v>
      </c>
      <c r="H52" s="3306"/>
      <c r="I52" s="3306" t="s">
        <v>217</v>
      </c>
      <c r="J52" s="3306"/>
      <c r="K52" s="3306" t="s">
        <v>217</v>
      </c>
      <c r="L52" s="3306"/>
      <c r="M52" s="3306" t="s">
        <v>217</v>
      </c>
      <c r="N52" s="3306"/>
      <c r="O52" s="3306" t="s">
        <v>217</v>
      </c>
      <c r="P52" s="3306"/>
      <c r="Q52" s="2063">
        <v>321.17584800000003</v>
      </c>
      <c r="R52" s="2063">
        <v>1825</v>
      </c>
      <c r="S52" s="2063">
        <v>1825</v>
      </c>
      <c r="T52" s="2063">
        <v>1825</v>
      </c>
      <c r="U52" s="2064" t="s">
        <v>44</v>
      </c>
      <c r="V52" s="2065"/>
      <c r="W52" s="2066" t="s">
        <v>1081</v>
      </c>
      <c r="X52" s="2067" t="s">
        <v>3998</v>
      </c>
      <c r="Y52" s="2068"/>
      <c r="Z52" s="2068"/>
      <c r="AA52" s="2068"/>
      <c r="AB52" s="2068"/>
      <c r="AC52" s="2068"/>
      <c r="AD52" s="2068"/>
      <c r="AE52" s="2068"/>
      <c r="AF52" s="2069"/>
    </row>
    <row r="53" spans="1:32" ht="60" customHeight="1" x14ac:dyDescent="0.25">
      <c r="A53" s="3303" t="s">
        <v>3999</v>
      </c>
      <c r="B53" s="3304" t="s">
        <v>216</v>
      </c>
      <c r="C53" s="3304" t="s">
        <v>216</v>
      </c>
      <c r="D53" s="3305" t="s">
        <v>216</v>
      </c>
      <c r="E53" s="3306" t="s">
        <v>4000</v>
      </c>
      <c r="F53" s="3306"/>
      <c r="G53" s="3306" t="s">
        <v>217</v>
      </c>
      <c r="H53" s="3306"/>
      <c r="I53" s="3306" t="s">
        <v>217</v>
      </c>
      <c r="J53" s="3306"/>
      <c r="K53" s="3306" t="s">
        <v>217</v>
      </c>
      <c r="L53" s="3306"/>
      <c r="M53" s="3306" t="s">
        <v>217</v>
      </c>
      <c r="N53" s="3306"/>
      <c r="O53" s="3306" t="s">
        <v>217</v>
      </c>
      <c r="P53" s="3306"/>
      <c r="Q53" s="3412">
        <v>0.10898400000000001</v>
      </c>
      <c r="R53" s="3412">
        <v>1825</v>
      </c>
      <c r="S53" s="3412">
        <v>1825</v>
      </c>
      <c r="T53" s="3412">
        <v>1825</v>
      </c>
      <c r="U53" s="2064" t="s">
        <v>26</v>
      </c>
      <c r="V53" s="2065"/>
      <c r="W53" s="2066" t="s">
        <v>1081</v>
      </c>
      <c r="X53" s="2067" t="s">
        <v>3998</v>
      </c>
      <c r="Y53" s="2068"/>
      <c r="Z53" s="2068"/>
      <c r="AA53" s="2068"/>
      <c r="AB53" s="2068"/>
      <c r="AC53" s="2068"/>
      <c r="AD53" s="2068"/>
      <c r="AE53" s="2068"/>
      <c r="AF53" s="2069"/>
    </row>
    <row r="54" spans="1:32" ht="60" customHeight="1" x14ac:dyDescent="0.25">
      <c r="A54" s="2522" t="s">
        <v>545</v>
      </c>
      <c r="B54" s="1681" t="s">
        <v>545</v>
      </c>
      <c r="C54" s="1681" t="s">
        <v>545</v>
      </c>
      <c r="D54" s="1682" t="s">
        <v>545</v>
      </c>
      <c r="E54" s="1494" t="s">
        <v>104</v>
      </c>
      <c r="F54" s="1495" t="s">
        <v>546</v>
      </c>
      <c r="G54" s="1495" t="s">
        <v>546</v>
      </c>
      <c r="H54" s="1495" t="s">
        <v>546</v>
      </c>
      <c r="I54" s="1495" t="s">
        <v>546</v>
      </c>
      <c r="J54" s="1495" t="s">
        <v>546</v>
      </c>
      <c r="K54" s="1495" t="s">
        <v>546</v>
      </c>
      <c r="L54" s="1495" t="s">
        <v>546</v>
      </c>
      <c r="M54" s="1495" t="s">
        <v>546</v>
      </c>
      <c r="N54" s="1495" t="s">
        <v>546</v>
      </c>
      <c r="O54" s="1495" t="s">
        <v>546</v>
      </c>
      <c r="P54" s="1496" t="s">
        <v>546</v>
      </c>
      <c r="Q54" s="2464">
        <v>9.6012966243744627E-2</v>
      </c>
      <c r="R54" s="2465">
        <v>0.59</v>
      </c>
      <c r="S54" s="2465">
        <v>0.59</v>
      </c>
      <c r="T54" s="2466">
        <v>0.59</v>
      </c>
      <c r="U54" s="1683" t="s">
        <v>28</v>
      </c>
      <c r="V54" s="1684"/>
      <c r="W54" s="1685"/>
      <c r="X54" s="1494" t="s">
        <v>4001</v>
      </c>
      <c r="Y54" s="1495"/>
      <c r="Z54" s="1495"/>
      <c r="AA54" s="1495"/>
      <c r="AB54" s="1495"/>
      <c r="AC54" s="1495"/>
      <c r="AD54" s="1495"/>
      <c r="AE54" s="1495"/>
      <c r="AF54" s="1496"/>
    </row>
    <row r="55" spans="1:32" x14ac:dyDescent="0.25">
      <c r="A55" s="1680" t="s">
        <v>42</v>
      </c>
      <c r="B55" s="1681" t="s">
        <v>42</v>
      </c>
      <c r="C55" s="1681" t="s">
        <v>42</v>
      </c>
      <c r="D55" s="1682" t="s">
        <v>42</v>
      </c>
      <c r="E55" s="1494" t="s">
        <v>865</v>
      </c>
      <c r="F55" s="1495" t="s">
        <v>548</v>
      </c>
      <c r="G55" s="1495" t="s">
        <v>548</v>
      </c>
      <c r="H55" s="1495" t="s">
        <v>548</v>
      </c>
      <c r="I55" s="1495" t="s">
        <v>548</v>
      </c>
      <c r="J55" s="1495" t="s">
        <v>548</v>
      </c>
      <c r="K55" s="1495" t="s">
        <v>548</v>
      </c>
      <c r="L55" s="1495" t="s">
        <v>548</v>
      </c>
      <c r="M55" s="1495" t="s">
        <v>548</v>
      </c>
      <c r="N55" s="1495" t="s">
        <v>548</v>
      </c>
      <c r="O55" s="1495" t="s">
        <v>548</v>
      </c>
      <c r="P55" s="1496" t="s">
        <v>548</v>
      </c>
      <c r="Q55" s="3409">
        <v>1</v>
      </c>
      <c r="R55" s="3410">
        <v>1</v>
      </c>
      <c r="S55" s="3410">
        <v>1</v>
      </c>
      <c r="T55" s="3411">
        <v>1</v>
      </c>
      <c r="U55" s="1683" t="s">
        <v>28</v>
      </c>
      <c r="V55" s="1684"/>
      <c r="W55" s="1685"/>
      <c r="X55" s="1680"/>
      <c r="Y55" s="1681"/>
      <c r="Z55" s="1681"/>
      <c r="AA55" s="1681"/>
      <c r="AB55" s="1681"/>
      <c r="AC55" s="1681"/>
      <c r="AD55" s="1681"/>
      <c r="AE55" s="1681"/>
      <c r="AF55" s="1682"/>
    </row>
    <row r="56" spans="1:32" x14ac:dyDescent="0.25">
      <c r="A56" s="1680" t="s">
        <v>3935</v>
      </c>
      <c r="B56" s="1681" t="s">
        <v>34</v>
      </c>
      <c r="C56" s="1681" t="s">
        <v>34</v>
      </c>
      <c r="D56" s="1682" t="s">
        <v>34</v>
      </c>
      <c r="E56" s="1494" t="s">
        <v>2217</v>
      </c>
      <c r="F56" s="1495" t="s">
        <v>219</v>
      </c>
      <c r="G56" s="1495" t="s">
        <v>219</v>
      </c>
      <c r="H56" s="1495" t="s">
        <v>219</v>
      </c>
      <c r="I56" s="1495" t="s">
        <v>219</v>
      </c>
      <c r="J56" s="1495" t="s">
        <v>219</v>
      </c>
      <c r="K56" s="1495" t="s">
        <v>219</v>
      </c>
      <c r="L56" s="1495" t="s">
        <v>219</v>
      </c>
      <c r="M56" s="1495" t="s">
        <v>219</v>
      </c>
      <c r="N56" s="1495" t="s">
        <v>219</v>
      </c>
      <c r="O56" s="1495" t="s">
        <v>219</v>
      </c>
      <c r="P56" s="1496" t="s">
        <v>219</v>
      </c>
      <c r="Q56" s="3409">
        <f>'Master EUL'!X24</f>
        <v>20</v>
      </c>
      <c r="R56" s="3410" t="s">
        <v>448</v>
      </c>
      <c r="S56" s="3410" t="s">
        <v>448</v>
      </c>
      <c r="T56" s="3411" t="s">
        <v>448</v>
      </c>
      <c r="U56" s="1683" t="s">
        <v>46</v>
      </c>
      <c r="V56" s="1684"/>
      <c r="W56" s="1685"/>
      <c r="X56" s="1680"/>
      <c r="Y56" s="1681"/>
      <c r="Z56" s="1681"/>
      <c r="AA56" s="1681"/>
      <c r="AB56" s="1681"/>
      <c r="AC56" s="1681"/>
      <c r="AD56" s="1681"/>
      <c r="AE56" s="1681"/>
      <c r="AF56" s="1682"/>
    </row>
    <row r="57" spans="1:32" x14ac:dyDescent="0.25">
      <c r="A57" s="190"/>
      <c r="B57" s="190"/>
      <c r="C57" s="190"/>
      <c r="D57" s="190"/>
      <c r="E57" s="190"/>
      <c r="F57" s="190"/>
      <c r="G57" s="190"/>
      <c r="H57" s="190"/>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row>
    <row r="58" spans="1:32" x14ac:dyDescent="0.25">
      <c r="A58" s="190"/>
      <c r="B58" s="190"/>
      <c r="C58" s="190" t="s">
        <v>4002</v>
      </c>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row>
    <row r="59" spans="1:32" x14ac:dyDescent="0.25">
      <c r="A59" s="190"/>
      <c r="B59" s="190"/>
      <c r="C59" s="1735" t="s">
        <v>4003</v>
      </c>
      <c r="D59" s="1735"/>
      <c r="E59" s="1735"/>
      <c r="F59" s="1735"/>
      <c r="G59" s="1735"/>
      <c r="H59" s="1735"/>
      <c r="I59" s="1735"/>
      <c r="J59" s="1735"/>
      <c r="K59" s="1735"/>
      <c r="L59" s="1735"/>
      <c r="M59" s="2528">
        <v>0.15384615384615385</v>
      </c>
      <c r="N59" s="2528"/>
      <c r="O59" s="2528"/>
      <c r="P59" s="2528"/>
      <c r="Q59" s="2528"/>
      <c r="R59" s="190"/>
      <c r="S59" s="190"/>
      <c r="T59" s="190"/>
      <c r="U59" s="190"/>
      <c r="V59" s="690"/>
      <c r="W59" s="190"/>
      <c r="X59" s="190"/>
      <c r="Y59" s="190"/>
      <c r="Z59" s="190"/>
      <c r="AA59" s="190"/>
      <c r="AB59" s="190"/>
      <c r="AC59" s="190"/>
      <c r="AD59" s="190"/>
      <c r="AE59" s="190"/>
      <c r="AF59" s="190"/>
    </row>
    <row r="60" spans="1:32" x14ac:dyDescent="0.25">
      <c r="A60" s="190"/>
      <c r="B60" s="190"/>
      <c r="C60" s="1735" t="s">
        <v>4004</v>
      </c>
      <c r="D60" s="1735"/>
      <c r="E60" s="1735"/>
      <c r="F60" s="1735"/>
      <c r="G60" s="1735"/>
      <c r="H60" s="1735"/>
      <c r="I60" s="1735"/>
      <c r="J60" s="1735"/>
      <c r="K60" s="1735"/>
      <c r="L60" s="1735"/>
      <c r="M60" s="2528">
        <v>0.51923076923076927</v>
      </c>
      <c r="N60" s="2528"/>
      <c r="O60" s="2528"/>
      <c r="P60" s="2528"/>
      <c r="Q60" s="2528"/>
      <c r="R60" s="190"/>
      <c r="S60" s="190"/>
      <c r="T60" s="190"/>
      <c r="U60" s="192"/>
      <c r="V60" s="690"/>
      <c r="W60" s="190"/>
      <c r="X60" s="190"/>
      <c r="Y60" s="190"/>
      <c r="Z60" s="190"/>
      <c r="AA60" s="190"/>
      <c r="AB60" s="190"/>
      <c r="AC60" s="190"/>
      <c r="AD60" s="190"/>
      <c r="AE60" s="190"/>
      <c r="AF60" s="190"/>
    </row>
    <row r="61" spans="1:32" x14ac:dyDescent="0.25">
      <c r="A61" s="190"/>
      <c r="B61" s="190"/>
      <c r="C61" s="1735" t="s">
        <v>4005</v>
      </c>
      <c r="D61" s="1735"/>
      <c r="E61" s="1735"/>
      <c r="F61" s="1735"/>
      <c r="G61" s="1735"/>
      <c r="H61" s="1735"/>
      <c r="I61" s="1735"/>
      <c r="J61" s="1735"/>
      <c r="K61" s="1735"/>
      <c r="L61" s="1735"/>
      <c r="M61" s="2528">
        <v>0.32692307692307693</v>
      </c>
      <c r="N61" s="2528"/>
      <c r="O61" s="2528"/>
      <c r="P61" s="2528"/>
      <c r="Q61" s="2528"/>
      <c r="R61" s="190"/>
      <c r="S61" s="190"/>
      <c r="T61" s="190"/>
      <c r="U61" s="190"/>
      <c r="V61" s="690"/>
      <c r="W61" s="190"/>
      <c r="X61" s="190"/>
      <c r="Y61" s="190"/>
      <c r="Z61" s="190"/>
      <c r="AA61" s="190"/>
      <c r="AB61" s="190"/>
      <c r="AC61" s="190"/>
      <c r="AD61" s="190"/>
      <c r="AE61" s="190"/>
      <c r="AF61" s="190"/>
    </row>
    <row r="62" spans="1:32" ht="16.5" x14ac:dyDescent="0.25">
      <c r="A62" s="190"/>
      <c r="B62" s="190"/>
      <c r="C62" s="1841" t="s">
        <v>4006</v>
      </c>
      <c r="D62" s="1841"/>
      <c r="E62" s="1841"/>
      <c r="F62" s="1841"/>
      <c r="G62" s="1841"/>
      <c r="H62" s="1841"/>
      <c r="I62" s="1841"/>
      <c r="J62" s="1841"/>
      <c r="K62" s="1841"/>
      <c r="L62" s="1841"/>
      <c r="M62" s="1841"/>
      <c r="N62" s="1841"/>
      <c r="O62" s="1841"/>
      <c r="P62" s="1841"/>
      <c r="Q62" s="1841"/>
      <c r="R62" s="190"/>
      <c r="S62" s="190"/>
      <c r="T62" s="190"/>
      <c r="U62" s="227"/>
      <c r="V62" s="190"/>
      <c r="W62" s="190"/>
      <c r="X62" s="190"/>
      <c r="Y62" s="190"/>
      <c r="Z62" s="190"/>
      <c r="AA62" s="190"/>
      <c r="AB62" s="190"/>
      <c r="AC62" s="190"/>
      <c r="AD62" s="190"/>
      <c r="AE62" s="190"/>
      <c r="AF62" s="190"/>
    </row>
    <row r="63" spans="1:32" x14ac:dyDescent="0.25">
      <c r="A63" s="3381"/>
      <c r="B63" s="3381"/>
      <c r="C63" s="691"/>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row>
    <row r="64" spans="1:32" ht="177" customHeight="1" x14ac:dyDescent="0.25">
      <c r="A64" s="3381" t="s">
        <v>1047</v>
      </c>
      <c r="B64" s="3381"/>
      <c r="C64" s="1686" t="s">
        <v>4007</v>
      </c>
      <c r="D64" s="1686"/>
      <c r="E64" s="1686"/>
      <c r="F64" s="1686"/>
      <c r="G64" s="1686"/>
      <c r="H64" s="1686"/>
      <c r="I64" s="1686"/>
      <c r="J64" s="1686"/>
      <c r="K64" s="1686"/>
      <c r="L64" s="1686"/>
      <c r="M64" s="1686"/>
      <c r="N64" s="1686"/>
      <c r="O64" s="1686"/>
      <c r="P64" s="1686"/>
      <c r="Q64" s="1686"/>
      <c r="R64" s="1686"/>
      <c r="S64" s="1686"/>
      <c r="T64" s="1686"/>
      <c r="U64" s="1686"/>
      <c r="V64" s="1686"/>
      <c r="W64" s="1686"/>
      <c r="X64" s="1686"/>
      <c r="Y64" s="1686"/>
      <c r="Z64" s="1686"/>
      <c r="AA64" s="1686"/>
      <c r="AB64" s="1686"/>
      <c r="AC64" s="1686"/>
      <c r="AD64" s="1686"/>
      <c r="AE64" s="1686"/>
      <c r="AF64" s="1686"/>
    </row>
    <row r="65" spans="1:32" x14ac:dyDescent="0.25">
      <c r="A65" s="691"/>
      <c r="B65" s="691"/>
      <c r="C65" s="691"/>
      <c r="D65" s="190"/>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row>
    <row r="67" spans="1:32" x14ac:dyDescent="0.25">
      <c r="A67" s="1472" t="s">
        <v>21</v>
      </c>
      <c r="B67" s="1472"/>
      <c r="C67" s="1472"/>
      <c r="D67" s="1472"/>
      <c r="E67" s="1472"/>
      <c r="F67" s="1472"/>
      <c r="G67" s="1472"/>
      <c r="H67" s="1472"/>
      <c r="I67" s="1472"/>
      <c r="J67" s="1472"/>
      <c r="K67" s="1472"/>
      <c r="L67" s="1472"/>
      <c r="M67" s="1472"/>
      <c r="N67" s="1472"/>
      <c r="O67" s="1472"/>
      <c r="P67" s="1472"/>
      <c r="Q67" s="1472"/>
      <c r="R67" s="1472"/>
      <c r="S67" s="1472"/>
      <c r="T67" s="1472"/>
      <c r="U67" s="1472"/>
      <c r="V67" s="1472"/>
      <c r="W67" s="1472"/>
      <c r="X67" s="1472"/>
      <c r="Y67" s="1472"/>
      <c r="Z67" s="1472"/>
      <c r="AA67" s="1472"/>
      <c r="AB67" s="1472"/>
      <c r="AC67" s="1472"/>
      <c r="AD67" s="1472"/>
      <c r="AE67" s="1472"/>
      <c r="AF67" s="1472"/>
    </row>
    <row r="68" spans="1:32" x14ac:dyDescent="0.25">
      <c r="B68" s="380"/>
      <c r="S68" s="1"/>
    </row>
    <row r="69" spans="1:32" x14ac:dyDescent="0.25">
      <c r="B69" s="380" t="s">
        <v>1736</v>
      </c>
      <c r="S69" s="1"/>
    </row>
    <row r="70" spans="1:32" ht="15.75" thickBot="1" x14ac:dyDescent="0.3">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row>
    <row r="71" spans="1:32" ht="44.25" customHeight="1" x14ac:dyDescent="0.25">
      <c r="A71" s="1583" t="s">
        <v>4008</v>
      </c>
      <c r="B71" s="1584"/>
      <c r="C71" s="1584"/>
      <c r="D71" s="1584"/>
      <c r="E71" s="1584"/>
      <c r="F71" s="1584"/>
      <c r="G71" s="1584"/>
      <c r="H71" s="1584"/>
      <c r="I71" s="1609" t="s">
        <v>23</v>
      </c>
      <c r="J71" s="1609"/>
      <c r="K71" s="1609"/>
      <c r="L71" s="1609"/>
      <c r="M71" s="1609"/>
      <c r="N71" s="1609"/>
      <c r="O71" s="1609"/>
      <c r="P71" s="1609"/>
      <c r="Q71" s="1609" t="s">
        <v>24</v>
      </c>
      <c r="R71" s="1609"/>
      <c r="S71" s="1609"/>
      <c r="T71" s="1609"/>
      <c r="U71" s="1609"/>
      <c r="V71" s="1609"/>
      <c r="W71" s="1609"/>
      <c r="X71" s="1609"/>
      <c r="Y71" s="1609" t="s">
        <v>1786</v>
      </c>
      <c r="Z71" s="1584"/>
      <c r="AA71" s="1584"/>
      <c r="AB71" s="1584"/>
      <c r="AC71" s="1584"/>
      <c r="AD71" s="1584"/>
      <c r="AE71" s="1584"/>
      <c r="AF71" s="1585"/>
    </row>
    <row r="72" spans="1:32" x14ac:dyDescent="0.25">
      <c r="A72" s="1782" t="s">
        <v>4009</v>
      </c>
      <c r="B72" s="1243"/>
      <c r="C72" s="1243"/>
      <c r="D72" s="1243"/>
      <c r="E72" s="1243"/>
      <c r="F72" s="1243"/>
      <c r="G72" s="1243"/>
      <c r="H72" s="1243"/>
      <c r="I72" s="3251">
        <f>ROUND((Q43/1000*1/Q45*Q41*Q55-Q53)*Q54,3)</f>
        <v>3.6999999999999998E-2</v>
      </c>
      <c r="J72" s="3251"/>
      <c r="K72" s="3251"/>
      <c r="L72" s="3251"/>
      <c r="M72" s="3251"/>
      <c r="N72" s="3251"/>
      <c r="O72" s="3251"/>
      <c r="P72" s="3251"/>
      <c r="Q72" s="3252">
        <f>ROUND(Q43/1000*1/Q45*Q50*Q41*Q55-Q52,2)</f>
        <v>605</v>
      </c>
      <c r="R72" s="3252"/>
      <c r="S72" s="3252"/>
      <c r="T72" s="3252"/>
      <c r="U72" s="3252"/>
      <c r="V72" s="3252"/>
      <c r="W72" s="3252"/>
      <c r="X72" s="3252"/>
      <c r="Y72" s="3405">
        <f>ROUND(Q72*$Q$56,2)</f>
        <v>12100</v>
      </c>
      <c r="Z72" s="3405"/>
      <c r="AA72" s="3405"/>
      <c r="AB72" s="3405"/>
      <c r="AC72" s="3405"/>
      <c r="AD72" s="3405"/>
      <c r="AE72" s="3405"/>
      <c r="AF72" s="3406"/>
    </row>
    <row r="73" spans="1:32" x14ac:dyDescent="0.25">
      <c r="A73" s="1782" t="s">
        <v>4010</v>
      </c>
      <c r="B73" s="1243"/>
      <c r="C73" s="1243"/>
      <c r="D73" s="1243"/>
      <c r="E73" s="1243"/>
      <c r="F73" s="1243"/>
      <c r="G73" s="1243"/>
      <c r="H73" s="1243"/>
      <c r="I73" s="3251">
        <f>ROUND((Q42/1000*1/Q48*Q55*Q41-Q53)*Q54,3)</f>
        <v>3.2000000000000001E-2</v>
      </c>
      <c r="J73" s="3251"/>
      <c r="K73" s="3251"/>
      <c r="L73" s="3251"/>
      <c r="M73" s="3251"/>
      <c r="N73" s="3251"/>
      <c r="O73" s="3251"/>
      <c r="P73" s="3251"/>
      <c r="Q73" s="3252">
        <f>ROUND(Q42/1000*1/Q48*Q51*Q41*Q55-Q52,2)</f>
        <v>789.2</v>
      </c>
      <c r="R73" s="3252"/>
      <c r="S73" s="3252"/>
      <c r="T73" s="3252"/>
      <c r="U73" s="3252"/>
      <c r="V73" s="3252"/>
      <c r="W73" s="3252"/>
      <c r="X73" s="3252"/>
      <c r="Y73" s="3405">
        <f t="shared" ref="Y73:Y74" si="0">ROUND(Q73*$Q$56,2)</f>
        <v>15784</v>
      </c>
      <c r="Z73" s="3405"/>
      <c r="AA73" s="3405"/>
      <c r="AB73" s="3405"/>
      <c r="AC73" s="3405"/>
      <c r="AD73" s="3405"/>
      <c r="AE73" s="3405"/>
      <c r="AF73" s="3406"/>
    </row>
    <row r="74" spans="1:32" x14ac:dyDescent="0.25">
      <c r="A74" s="1782" t="s">
        <v>4011</v>
      </c>
      <c r="B74" s="1243"/>
      <c r="C74" s="1243"/>
      <c r="D74" s="1243"/>
      <c r="E74" s="1243"/>
      <c r="F74" s="1243"/>
      <c r="G74" s="1243"/>
      <c r="H74" s="1243"/>
      <c r="I74" s="3251">
        <f>ROUND((Q42/1000*1/Q47*Q55*Q41-Q53)*Q54,3)</f>
        <v>3.3000000000000002E-2</v>
      </c>
      <c r="J74" s="3251"/>
      <c r="K74" s="3251"/>
      <c r="L74" s="3251"/>
      <c r="M74" s="3251"/>
      <c r="N74" s="3251"/>
      <c r="O74" s="3251"/>
      <c r="P74" s="3251"/>
      <c r="Q74" s="3252">
        <f>ROUND(Q42/1000*1/Q47*Q51*Q41*Q55-Q52,2)</f>
        <v>824.63</v>
      </c>
      <c r="R74" s="3252"/>
      <c r="S74" s="3252"/>
      <c r="T74" s="3252"/>
      <c r="U74" s="3252"/>
      <c r="V74" s="3252"/>
      <c r="W74" s="3252"/>
      <c r="X74" s="3252"/>
      <c r="Y74" s="3405">
        <f t="shared" si="0"/>
        <v>16492.599999999999</v>
      </c>
      <c r="Z74" s="3405"/>
      <c r="AA74" s="3405"/>
      <c r="AB74" s="3405"/>
      <c r="AC74" s="3405"/>
      <c r="AD74" s="3405"/>
      <c r="AE74" s="3405"/>
      <c r="AF74" s="3406"/>
    </row>
    <row r="75" spans="1:32" x14ac:dyDescent="0.25">
      <c r="A75" s="1782" t="s">
        <v>4012</v>
      </c>
      <c r="B75" s="1243"/>
      <c r="C75" s="1243"/>
      <c r="D75" s="1243"/>
      <c r="E75" s="1243"/>
      <c r="F75" s="1243"/>
      <c r="G75" s="1243"/>
      <c r="H75" s="1243"/>
      <c r="I75" s="3251">
        <f>ROUND(((Q43/1000*1/Q45*Q41*Q55*M59+Q42/1000*1/Q48*Q41*Q55*M60+Q42/1000*1/Q47*Q41*Q55*M61)-Q53)*Q54,3)</f>
        <v>3.3000000000000002E-2</v>
      </c>
      <c r="J75" s="3251"/>
      <c r="K75" s="3251"/>
      <c r="L75" s="3251"/>
      <c r="M75" s="3251"/>
      <c r="N75" s="3251"/>
      <c r="O75" s="3251"/>
      <c r="P75" s="3251"/>
      <c r="Q75" s="3252">
        <f>ROUND((Q43/1000*1/Q45*Q50*Q41*Q55*M59+Q42/1000*1/Q48*Q51*Q41*Q55*M60+Q42/1000*1/Q47*Q51*Q41*Q55*M61)-Q52,2)</f>
        <v>772.44</v>
      </c>
      <c r="R75" s="3252"/>
      <c r="S75" s="3252"/>
      <c r="T75" s="3252"/>
      <c r="U75" s="3252"/>
      <c r="V75" s="3252"/>
      <c r="W75" s="3252"/>
      <c r="X75" s="3252"/>
      <c r="Y75" s="3405">
        <f>ROUND(Q75*$Q$56,2)</f>
        <v>15448.8</v>
      </c>
      <c r="Z75" s="3405"/>
      <c r="AA75" s="3405"/>
      <c r="AB75" s="3405"/>
      <c r="AC75" s="3405"/>
      <c r="AD75" s="3405"/>
      <c r="AE75" s="3405"/>
      <c r="AF75" s="3406"/>
    </row>
    <row r="76" spans="1:32" ht="15.75" thickBot="1" x14ac:dyDescent="0.3">
      <c r="A76" s="1578" t="s">
        <v>4013</v>
      </c>
      <c r="B76" s="1579"/>
      <c r="C76" s="1579"/>
      <c r="D76" s="1579"/>
      <c r="E76" s="1579"/>
      <c r="F76" s="1579"/>
      <c r="G76" s="1579"/>
      <c r="H76" s="1579"/>
      <c r="I76" s="3153">
        <f>ROUND(((Q43/1000*1/Q46*Q41*Q55*M59+Q42/1000*1/Q49*Q41*Q55*M60+Q42/1000*1/Q47*Q41*Q55*M61)-Q53)*Q54,3)</f>
        <v>0.03</v>
      </c>
      <c r="J76" s="3153"/>
      <c r="K76" s="3153"/>
      <c r="L76" s="3153"/>
      <c r="M76" s="3153"/>
      <c r="N76" s="3153"/>
      <c r="O76" s="3153"/>
      <c r="P76" s="3153"/>
      <c r="Q76" s="3154">
        <f>ROUND((Q43/1000*1/Q46*Q50*Q41*Q55*M59+Q42/1000*1/Q49*Q51*Q41*Q55*M60+Q42/1000*1/Q47*Q51*Q41*Q55*M61)-Q52,2)</f>
        <v>698.79</v>
      </c>
      <c r="R76" s="3154"/>
      <c r="S76" s="3154"/>
      <c r="T76" s="3154"/>
      <c r="U76" s="3154"/>
      <c r="V76" s="3154"/>
      <c r="W76" s="3154"/>
      <c r="X76" s="3154"/>
      <c r="Y76" s="3407">
        <f>ROUND(Q76*$Q$56,2)</f>
        <v>13975.8</v>
      </c>
      <c r="Z76" s="3407"/>
      <c r="AA76" s="3407"/>
      <c r="AB76" s="3407"/>
      <c r="AC76" s="3407"/>
      <c r="AD76" s="3407"/>
      <c r="AE76" s="3407"/>
      <c r="AF76" s="3408"/>
    </row>
    <row r="77" spans="1:32" x14ac:dyDescent="0.25">
      <c r="B77" s="380"/>
      <c r="S77" s="1"/>
    </row>
    <row r="78" spans="1:32" x14ac:dyDescent="0.25">
      <c r="B78" s="380"/>
      <c r="S78" s="1"/>
    </row>
    <row r="79" spans="1:32" x14ac:dyDescent="0.25">
      <c r="B79" s="380" t="s">
        <v>1737</v>
      </c>
    </row>
    <row r="80" spans="1:32" x14ac:dyDescent="0.25">
      <c r="B80" s="380"/>
      <c r="Z80" s="1"/>
    </row>
    <row r="81" spans="1:32" x14ac:dyDescent="0.25">
      <c r="A81" s="3"/>
      <c r="B81" s="3"/>
      <c r="C81" s="1" t="s">
        <v>4014</v>
      </c>
      <c r="D81" s="10"/>
      <c r="E81" s="10"/>
      <c r="F81" s="10"/>
      <c r="G81" s="10"/>
      <c r="H81" s="10"/>
      <c r="I81" s="10"/>
      <c r="J81" s="10"/>
      <c r="K81" s="10"/>
      <c r="L81" s="10"/>
      <c r="M81" s="686"/>
      <c r="N81" s="686"/>
      <c r="O81" s="686"/>
      <c r="P81" s="686"/>
      <c r="Q81" s="686"/>
      <c r="R81" s="686"/>
      <c r="S81" s="686"/>
      <c r="T81" s="2109" t="s">
        <v>4009</v>
      </c>
      <c r="U81" s="2110"/>
      <c r="V81" s="2110"/>
      <c r="W81" s="2110"/>
      <c r="X81" s="2110"/>
      <c r="Y81" s="2110"/>
      <c r="Z81" s="2111"/>
      <c r="AA81" s="3"/>
      <c r="AB81" s="3"/>
      <c r="AC81" s="3"/>
      <c r="AD81" s="3"/>
      <c r="AE81" s="3"/>
      <c r="AF81" s="3"/>
    </row>
    <row r="82" spans="1:32" x14ac:dyDescent="0.25">
      <c r="A82" s="3"/>
      <c r="B82" s="3"/>
      <c r="C82" s="7"/>
      <c r="D82" s="686"/>
      <c r="E82" s="686"/>
      <c r="F82" s="686"/>
      <c r="G82" s="686"/>
      <c r="H82" s="3"/>
      <c r="I82" s="3"/>
      <c r="J82" s="3"/>
      <c r="K82" s="3"/>
      <c r="L82" s="3"/>
      <c r="M82" s="3"/>
      <c r="N82" s="3"/>
      <c r="O82" s="3"/>
      <c r="P82" s="3"/>
      <c r="Q82" s="3"/>
      <c r="R82" s="3"/>
      <c r="S82" s="3"/>
      <c r="T82" s="1122"/>
      <c r="U82" s="1122"/>
      <c r="V82" s="1122"/>
      <c r="W82" s="1065"/>
      <c r="X82" s="1065"/>
      <c r="Y82" s="1065"/>
      <c r="Z82" s="1065"/>
      <c r="AA82" s="584"/>
      <c r="AB82" s="584"/>
      <c r="AC82" s="584"/>
      <c r="AD82" s="584"/>
      <c r="AE82" s="584"/>
      <c r="AF82" s="3"/>
    </row>
    <row r="83" spans="1:32" x14ac:dyDescent="0.25">
      <c r="A83" s="3"/>
      <c r="B83" s="3"/>
      <c r="C83" s="1" t="s">
        <v>4015</v>
      </c>
      <c r="D83" s="10"/>
      <c r="E83" s="10"/>
      <c r="F83" s="10"/>
      <c r="G83" s="10"/>
      <c r="H83" s="10"/>
      <c r="I83" s="10"/>
      <c r="J83" s="10"/>
      <c r="K83" s="10"/>
      <c r="L83" s="10"/>
      <c r="M83" s="686"/>
      <c r="N83" s="686"/>
      <c r="O83" s="686"/>
      <c r="P83" s="686"/>
      <c r="Q83" s="686"/>
      <c r="R83" s="686"/>
      <c r="S83" s="686"/>
      <c r="T83" s="3371">
        <v>36000</v>
      </c>
      <c r="U83" s="3372"/>
      <c r="V83" s="3372"/>
      <c r="W83" s="3372"/>
      <c r="X83" s="3372"/>
      <c r="Y83" s="3372"/>
      <c r="Z83" s="3373"/>
      <c r="AA83" s="3"/>
      <c r="AB83" s="3"/>
      <c r="AC83" s="3"/>
      <c r="AD83" s="3"/>
      <c r="AE83" s="3"/>
      <c r="AF83" s="3"/>
    </row>
    <row r="84" spans="1:32" x14ac:dyDescent="0.25">
      <c r="A84" s="3"/>
      <c r="B84" s="3"/>
      <c r="C84" s="7"/>
      <c r="D84" s="686"/>
      <c r="E84" s="686"/>
      <c r="F84" s="686"/>
      <c r="G84" s="686"/>
      <c r="H84" s="686"/>
      <c r="I84" s="686"/>
      <c r="J84" s="686"/>
      <c r="K84" s="686"/>
      <c r="L84" s="686"/>
      <c r="M84" s="686"/>
      <c r="N84" s="686"/>
      <c r="O84" s="686"/>
      <c r="P84" s="686"/>
      <c r="Q84" s="686"/>
      <c r="R84" s="686"/>
      <c r="S84" s="686"/>
      <c r="T84" s="1122"/>
      <c r="U84" s="1122"/>
      <c r="V84" s="1122"/>
      <c r="W84" s="1122"/>
      <c r="X84" s="1122"/>
      <c r="Y84" s="1122"/>
      <c r="Z84" s="1122"/>
      <c r="AA84" s="3"/>
      <c r="AB84" s="3"/>
      <c r="AC84" s="3"/>
      <c r="AD84" s="3"/>
      <c r="AE84" s="3"/>
      <c r="AF84" s="3"/>
    </row>
    <row r="85" spans="1:32" x14ac:dyDescent="0.25">
      <c r="A85" s="3"/>
      <c r="B85" s="3"/>
      <c r="C85" s="1" t="s">
        <v>4016</v>
      </c>
      <c r="D85" s="10"/>
      <c r="E85" s="10"/>
      <c r="F85" s="10"/>
      <c r="G85" s="10"/>
      <c r="H85" s="10"/>
      <c r="I85" s="10"/>
      <c r="J85" s="10"/>
      <c r="K85" s="10"/>
      <c r="L85" s="10"/>
      <c r="M85" s="686"/>
      <c r="N85" s="686"/>
      <c r="O85" s="686"/>
      <c r="P85" s="686"/>
      <c r="Q85" s="686"/>
      <c r="R85" s="686"/>
      <c r="S85" s="686"/>
      <c r="T85" s="3402">
        <v>13</v>
      </c>
      <c r="U85" s="3403"/>
      <c r="V85" s="3403"/>
      <c r="W85" s="3403"/>
      <c r="X85" s="3403"/>
      <c r="Y85" s="3403"/>
      <c r="Z85" s="3404"/>
      <c r="AA85" s="3"/>
      <c r="AB85" s="3"/>
      <c r="AC85" s="3"/>
      <c r="AD85" s="3"/>
      <c r="AE85" s="3"/>
      <c r="AF85" s="3"/>
    </row>
    <row r="86" spans="1:32"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row>
    <row r="87" spans="1:32" ht="15.75" thickBot="1" x14ac:dyDescent="0.3">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row>
    <row r="88" spans="1:32" ht="41.25" customHeight="1" x14ac:dyDescent="0.25">
      <c r="A88" s="1583" t="s">
        <v>22</v>
      </c>
      <c r="B88" s="1584"/>
      <c r="C88" s="1584"/>
      <c r="D88" s="1584"/>
      <c r="E88" s="1584"/>
      <c r="F88" s="1584"/>
      <c r="G88" s="1584"/>
      <c r="H88" s="1584"/>
      <c r="I88" s="1609" t="s">
        <v>23</v>
      </c>
      <c r="J88" s="1609"/>
      <c r="K88" s="1609"/>
      <c r="L88" s="1609"/>
      <c r="M88" s="1609"/>
      <c r="N88" s="1609"/>
      <c r="O88" s="1609"/>
      <c r="P88" s="1609"/>
      <c r="Q88" s="1609" t="s">
        <v>24</v>
      </c>
      <c r="R88" s="1609"/>
      <c r="S88" s="1609"/>
      <c r="T88" s="1609"/>
      <c r="U88" s="1609"/>
      <c r="V88" s="1609"/>
      <c r="W88" s="1609"/>
      <c r="X88" s="2484"/>
      <c r="Y88" s="1609" t="s">
        <v>1786</v>
      </c>
      <c r="Z88" s="1584"/>
      <c r="AA88" s="1584"/>
      <c r="AB88" s="1584"/>
      <c r="AC88" s="1584"/>
      <c r="AD88" s="1584"/>
      <c r="AE88" s="1584"/>
      <c r="AF88" s="1585"/>
    </row>
    <row r="89" spans="1:32" ht="15.75" thickBot="1" x14ac:dyDescent="0.3">
      <c r="A89" s="1578" t="s">
        <v>1334</v>
      </c>
      <c r="B89" s="1579"/>
      <c r="C89" s="1579"/>
      <c r="D89" s="1579"/>
      <c r="E89" s="1579"/>
      <c r="F89" s="1579"/>
      <c r="G89" s="1579"/>
      <c r="H89" s="1579"/>
      <c r="I89" s="1611">
        <f>ROUND((IF(T83="",IF(T81="Central AC",Q43,Q42),T83)/1000*(1/IF(T85="",IF(T81="Central AC",Q45,IF(T81="Room AC",Q48,Q47)),T85))*Q41*Q55-Q53)*Q54,3)</f>
        <v>3.6999999999999998E-2</v>
      </c>
      <c r="J89" s="1611"/>
      <c r="K89" s="1611"/>
      <c r="L89" s="1611"/>
      <c r="M89" s="1611"/>
      <c r="N89" s="1611"/>
      <c r="O89" s="1611"/>
      <c r="P89" s="1611"/>
      <c r="Q89" s="3369">
        <f>ROUND(IF(T83="",IF(T81="Central AC",Q43,Q42),T83)/1000*(1/IF(T85="",IF(T81="Central AC",Q45,IF(T81="Room AC",Q48,Q47)),T85))*Q41*Q55*IF(T81="Central AC",Q50,Q51)-Q52,2)</f>
        <v>605</v>
      </c>
      <c r="R89" s="3369"/>
      <c r="S89" s="3369"/>
      <c r="T89" s="3369"/>
      <c r="U89" s="3369"/>
      <c r="V89" s="3369"/>
      <c r="W89" s="3369"/>
      <c r="X89" s="3370"/>
      <c r="Y89" s="3400">
        <f>ROUND(Q89*Q56,2)</f>
        <v>12100</v>
      </c>
      <c r="Z89" s="3400"/>
      <c r="AA89" s="3400"/>
      <c r="AB89" s="3400"/>
      <c r="AC89" s="3400"/>
      <c r="AD89" s="3400"/>
      <c r="AE89" s="3400"/>
      <c r="AF89" s="3401"/>
    </row>
    <row r="92" spans="1:32" x14ac:dyDescent="0.25">
      <c r="A92" s="1148" t="s">
        <v>1753</v>
      </c>
      <c r="B92" s="1149"/>
      <c r="C92" s="1149"/>
      <c r="D92" s="1149"/>
      <c r="E92" s="1149"/>
      <c r="F92" s="1149"/>
      <c r="G92" s="1149"/>
      <c r="H92" s="1149"/>
      <c r="I92" s="1149"/>
      <c r="J92" s="1149"/>
      <c r="K92" s="1149"/>
      <c r="L92" s="1149"/>
      <c r="M92" s="1149"/>
      <c r="N92" s="1149"/>
      <c r="O92" s="1149"/>
      <c r="P92" s="1149"/>
      <c r="Q92" s="1149"/>
      <c r="R92" s="1149"/>
      <c r="S92" s="1149"/>
      <c r="T92" s="1149"/>
      <c r="U92" s="1149"/>
      <c r="V92" s="1149"/>
      <c r="W92" s="1149"/>
      <c r="X92" s="1149"/>
      <c r="Y92" s="1149"/>
      <c r="Z92" s="1149"/>
      <c r="AA92" s="1149"/>
      <c r="AB92" s="1149"/>
      <c r="AC92" s="1149"/>
      <c r="AD92" s="1149"/>
      <c r="AE92" s="1149"/>
      <c r="AF92" s="1150"/>
    </row>
    <row r="94" spans="1:32" x14ac:dyDescent="0.25">
      <c r="A94" s="515" t="s">
        <v>1013</v>
      </c>
      <c r="B94" s="1247" t="s">
        <v>3972</v>
      </c>
      <c r="C94" s="1247"/>
      <c r="D94" s="1247"/>
      <c r="E94" s="1247"/>
      <c r="F94" s="1247"/>
      <c r="G94" s="1247"/>
      <c r="H94" s="1247"/>
      <c r="I94" s="1247"/>
      <c r="J94" s="1247"/>
      <c r="K94" s="1247"/>
      <c r="L94" s="1247"/>
      <c r="M94" s="1247"/>
      <c r="N94" s="1247"/>
      <c r="O94" s="1247"/>
      <c r="P94" s="1247"/>
      <c r="Q94" s="1247"/>
      <c r="R94" s="1247"/>
      <c r="S94" s="1247"/>
      <c r="T94" s="1247"/>
      <c r="U94" s="1247"/>
      <c r="V94" s="1247"/>
      <c r="W94" s="1247"/>
      <c r="X94" s="1247"/>
      <c r="Y94" s="1247"/>
      <c r="Z94" s="1247"/>
      <c r="AA94" s="1247"/>
      <c r="AB94" s="1247"/>
      <c r="AC94" s="1247"/>
      <c r="AD94" s="1247"/>
      <c r="AE94" s="1247"/>
      <c r="AF94" s="1247"/>
    </row>
    <row r="95" spans="1:32" ht="36.75" customHeight="1" x14ac:dyDescent="0.25">
      <c r="A95" s="515" t="s">
        <v>1013</v>
      </c>
      <c r="B95" s="1247" t="s">
        <v>3956</v>
      </c>
      <c r="C95" s="1247"/>
      <c r="D95" s="1247"/>
      <c r="E95" s="1247"/>
      <c r="F95" s="1247"/>
      <c r="G95" s="1247"/>
      <c r="H95" s="1247"/>
      <c r="I95" s="1247"/>
      <c r="J95" s="1247"/>
      <c r="K95" s="1247"/>
      <c r="L95" s="1247"/>
      <c r="M95" s="1247"/>
      <c r="N95" s="1247"/>
      <c r="O95" s="1247"/>
      <c r="P95" s="1247"/>
      <c r="Q95" s="1247"/>
      <c r="R95" s="1247"/>
      <c r="S95" s="1247"/>
      <c r="T95" s="1247"/>
      <c r="U95" s="1247"/>
      <c r="V95" s="1247"/>
      <c r="W95" s="1247"/>
      <c r="X95" s="1247"/>
      <c r="Y95" s="1247"/>
      <c r="Z95" s="1247"/>
      <c r="AA95" s="1247"/>
      <c r="AB95" s="1247"/>
      <c r="AC95" s="1247"/>
      <c r="AD95" s="1247"/>
      <c r="AE95" s="1247"/>
      <c r="AF95" s="1247"/>
    </row>
    <row r="96" spans="1:32" x14ac:dyDescent="0.25">
      <c r="A96" s="515" t="s">
        <v>1013</v>
      </c>
      <c r="B96" s="1173" t="s">
        <v>4017</v>
      </c>
      <c r="C96" s="1173"/>
      <c r="D96" s="1173"/>
      <c r="E96" s="1173"/>
      <c r="F96" s="1173"/>
      <c r="G96" s="1173"/>
      <c r="H96" s="1173"/>
      <c r="I96" s="1173"/>
      <c r="J96" s="1173"/>
      <c r="K96" s="1173"/>
      <c r="L96" s="1173"/>
      <c r="M96" s="1173"/>
      <c r="N96" s="1173"/>
      <c r="O96" s="1173"/>
      <c r="P96" s="1173"/>
      <c r="Q96" s="1173"/>
      <c r="R96" s="1173"/>
      <c r="S96" s="1173"/>
      <c r="T96" s="1173"/>
      <c r="U96" s="1173"/>
      <c r="V96" s="1173"/>
      <c r="W96" s="1173"/>
      <c r="X96" s="1173"/>
      <c r="Y96" s="1173"/>
      <c r="Z96" s="1173"/>
      <c r="AA96" s="1173"/>
      <c r="AB96" s="1173"/>
      <c r="AC96" s="1173"/>
      <c r="AD96" s="1173"/>
      <c r="AE96" s="1173"/>
      <c r="AF96" s="1173"/>
    </row>
    <row r="97" spans="1:32" ht="50.25" customHeight="1" x14ac:dyDescent="0.25">
      <c r="A97" s="515" t="s">
        <v>1013</v>
      </c>
      <c r="B97" s="1173" t="s">
        <v>4018</v>
      </c>
      <c r="C97" s="1173"/>
      <c r="D97" s="1173"/>
      <c r="E97" s="1173"/>
      <c r="F97" s="1173"/>
      <c r="G97" s="1173"/>
      <c r="H97" s="1173"/>
      <c r="I97" s="1173"/>
      <c r="J97" s="1173"/>
      <c r="K97" s="1173"/>
      <c r="L97" s="1173"/>
      <c r="M97" s="1173"/>
      <c r="N97" s="1173"/>
      <c r="O97" s="1173"/>
      <c r="P97" s="1173"/>
      <c r="Q97" s="1173"/>
      <c r="R97" s="1173"/>
      <c r="S97" s="1173"/>
      <c r="T97" s="1173"/>
      <c r="U97" s="1173"/>
      <c r="V97" s="1173"/>
      <c r="W97" s="1173"/>
      <c r="X97" s="1173"/>
      <c r="Y97" s="1173"/>
      <c r="Z97" s="1173"/>
      <c r="AA97" s="1173"/>
      <c r="AB97" s="1173"/>
      <c r="AC97" s="1173"/>
      <c r="AD97" s="1173"/>
      <c r="AE97" s="1173"/>
      <c r="AF97" s="1173"/>
    </row>
    <row r="98" spans="1:32" ht="71.25" customHeight="1" x14ac:dyDescent="0.25">
      <c r="A98" s="515" t="s">
        <v>1013</v>
      </c>
      <c r="B98" s="1173" t="s">
        <v>4019</v>
      </c>
      <c r="C98" s="1173"/>
      <c r="D98" s="1173"/>
      <c r="E98" s="1173"/>
      <c r="F98" s="1173"/>
      <c r="G98" s="1173"/>
      <c r="H98" s="1173"/>
      <c r="I98" s="1173"/>
      <c r="J98" s="1173"/>
      <c r="K98" s="1173"/>
      <c r="L98" s="1173"/>
      <c r="M98" s="1173"/>
      <c r="N98" s="1173"/>
      <c r="O98" s="1173"/>
      <c r="P98" s="1173"/>
      <c r="Q98" s="1173"/>
      <c r="R98" s="1173"/>
      <c r="S98" s="1173"/>
      <c r="T98" s="1173"/>
      <c r="U98" s="1173"/>
      <c r="V98" s="1173"/>
      <c r="W98" s="1173"/>
      <c r="X98" s="1173"/>
      <c r="Y98" s="1173"/>
      <c r="Z98" s="1173"/>
      <c r="AA98" s="1173"/>
      <c r="AB98" s="1173"/>
      <c r="AC98" s="1173"/>
      <c r="AD98" s="1173"/>
      <c r="AE98" s="1173"/>
      <c r="AF98" s="1173"/>
    </row>
    <row r="99" spans="1:32" ht="33.75" customHeight="1" x14ac:dyDescent="0.25">
      <c r="A99" s="515" t="s">
        <v>1013</v>
      </c>
      <c r="B99" s="1173" t="s">
        <v>4020</v>
      </c>
      <c r="C99" s="1173"/>
      <c r="D99" s="1173"/>
      <c r="E99" s="1173"/>
      <c r="F99" s="1173"/>
      <c r="G99" s="1173"/>
      <c r="H99" s="1173"/>
      <c r="I99" s="1173"/>
      <c r="J99" s="1173"/>
      <c r="K99" s="1173"/>
      <c r="L99" s="1173"/>
      <c r="M99" s="1173"/>
      <c r="N99" s="1173"/>
      <c r="O99" s="1173"/>
      <c r="P99" s="1173"/>
      <c r="Q99" s="1173"/>
      <c r="R99" s="1173"/>
      <c r="S99" s="1173"/>
      <c r="T99" s="1173"/>
      <c r="U99" s="1173"/>
      <c r="V99" s="1173"/>
      <c r="W99" s="1173"/>
      <c r="X99" s="1173"/>
      <c r="Y99" s="1173"/>
      <c r="Z99" s="1173"/>
      <c r="AA99" s="1173"/>
      <c r="AB99" s="1173"/>
      <c r="AC99" s="1173"/>
      <c r="AD99" s="1173"/>
      <c r="AE99" s="1173"/>
      <c r="AF99" s="1173"/>
    </row>
    <row r="100" spans="1:32" ht="50.25" customHeight="1" x14ac:dyDescent="0.25">
      <c r="A100" s="515" t="s">
        <v>1013</v>
      </c>
      <c r="B100" s="1173" t="s">
        <v>4021</v>
      </c>
      <c r="C100" s="1173"/>
      <c r="D100" s="1173"/>
      <c r="E100" s="1173"/>
      <c r="F100" s="1173"/>
      <c r="G100" s="1173"/>
      <c r="H100" s="1173"/>
      <c r="I100" s="1173"/>
      <c r="J100" s="1173"/>
      <c r="K100" s="1173"/>
      <c r="L100" s="1173"/>
      <c r="M100" s="1173"/>
      <c r="N100" s="1173"/>
      <c r="O100" s="1173"/>
      <c r="P100" s="1173"/>
      <c r="Q100" s="1173"/>
      <c r="R100" s="1173"/>
      <c r="S100" s="1173"/>
      <c r="T100" s="1173"/>
      <c r="U100" s="1173"/>
      <c r="V100" s="1173"/>
      <c r="W100" s="1173"/>
      <c r="X100" s="1173"/>
      <c r="Y100" s="1173"/>
      <c r="Z100" s="1173"/>
      <c r="AA100" s="1173"/>
      <c r="AB100" s="1173"/>
      <c r="AC100" s="1173"/>
      <c r="AD100" s="1173"/>
      <c r="AE100" s="1173"/>
      <c r="AF100" s="1173"/>
    </row>
    <row r="101" spans="1:32" ht="33" customHeight="1" x14ac:dyDescent="0.25">
      <c r="A101" s="515" t="s">
        <v>1013</v>
      </c>
      <c r="B101" s="1173" t="s">
        <v>4022</v>
      </c>
      <c r="C101" s="1173"/>
      <c r="D101" s="1173"/>
      <c r="E101" s="1173"/>
      <c r="F101" s="1173"/>
      <c r="G101" s="1173"/>
      <c r="H101" s="1173"/>
      <c r="I101" s="1173"/>
      <c r="J101" s="1173"/>
      <c r="K101" s="1173"/>
      <c r="L101" s="1173"/>
      <c r="M101" s="1173"/>
      <c r="N101" s="1173"/>
      <c r="O101" s="1173"/>
      <c r="P101" s="1173"/>
      <c r="Q101" s="1173"/>
      <c r="R101" s="1173"/>
      <c r="S101" s="1173"/>
      <c r="T101" s="1173"/>
      <c r="U101" s="1173"/>
      <c r="V101" s="1173"/>
      <c r="W101" s="1173"/>
      <c r="X101" s="1173"/>
      <c r="Y101" s="1173"/>
      <c r="Z101" s="1173"/>
      <c r="AA101" s="1173"/>
      <c r="AB101" s="1173"/>
      <c r="AC101" s="1173"/>
      <c r="AD101" s="1173"/>
      <c r="AE101" s="1173"/>
      <c r="AF101" s="1173"/>
    </row>
    <row r="102" spans="1:32" ht="31.5" customHeight="1" x14ac:dyDescent="0.25">
      <c r="A102" s="515" t="s">
        <v>1013</v>
      </c>
      <c r="B102" s="1173" t="s">
        <v>4023</v>
      </c>
      <c r="C102" s="1173"/>
      <c r="D102" s="1173"/>
      <c r="E102" s="1173"/>
      <c r="F102" s="1173"/>
      <c r="G102" s="1173"/>
      <c r="H102" s="1173"/>
      <c r="I102" s="1173"/>
      <c r="J102" s="1173"/>
      <c r="K102" s="1173"/>
      <c r="L102" s="1173"/>
      <c r="M102" s="1173"/>
      <c r="N102" s="1173"/>
      <c r="O102" s="1173"/>
      <c r="P102" s="1173"/>
      <c r="Q102" s="1173"/>
      <c r="R102" s="1173"/>
      <c r="S102" s="1173"/>
      <c r="T102" s="1173"/>
      <c r="U102" s="1173"/>
      <c r="V102" s="1173"/>
      <c r="W102" s="1173"/>
      <c r="X102" s="1173"/>
      <c r="Y102" s="1173"/>
      <c r="Z102" s="1173"/>
      <c r="AA102" s="1173"/>
      <c r="AB102" s="1173"/>
      <c r="AC102" s="1173"/>
      <c r="AD102" s="1173"/>
      <c r="AE102" s="1173"/>
      <c r="AF102" s="1173"/>
    </row>
    <row r="103" spans="1:32" x14ac:dyDescent="0.25">
      <c r="A103" s="515"/>
      <c r="B103" s="647"/>
      <c r="C103" s="647"/>
      <c r="D103" s="647"/>
      <c r="E103" s="647"/>
      <c r="F103" s="647"/>
      <c r="G103" s="647"/>
      <c r="H103" s="647"/>
      <c r="I103" s="647"/>
      <c r="J103" s="647"/>
      <c r="K103" s="647"/>
      <c r="L103" s="647"/>
      <c r="M103" s="647"/>
      <c r="N103" s="647"/>
      <c r="O103" s="647"/>
      <c r="P103" s="647"/>
      <c r="Q103" s="647"/>
      <c r="R103" s="647"/>
      <c r="S103" s="647"/>
      <c r="T103" s="647"/>
      <c r="U103" s="647"/>
      <c r="V103" s="647"/>
      <c r="W103" s="647"/>
      <c r="X103" s="647"/>
      <c r="Y103" s="647"/>
      <c r="Z103" s="647"/>
      <c r="AA103" s="647"/>
      <c r="AB103" s="647"/>
      <c r="AC103" s="647"/>
      <c r="AD103" s="647"/>
      <c r="AE103" s="647"/>
      <c r="AF103" s="647"/>
    </row>
    <row r="104" spans="1:32" x14ac:dyDescent="0.25">
      <c r="B104" s="227"/>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row>
    <row r="105" spans="1:32" x14ac:dyDescent="0.25">
      <c r="B105" s="227"/>
      <c r="C105" s="227"/>
      <c r="D105" s="227"/>
      <c r="E105" s="227"/>
      <c r="F105" s="227"/>
      <c r="G105" s="227"/>
      <c r="H105" s="227"/>
      <c r="I105" s="227"/>
      <c r="J105" s="227"/>
      <c r="K105" s="227"/>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row>
    <row r="106" spans="1:32" x14ac:dyDescent="0.25">
      <c r="B106" s="227"/>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row>
    <row r="107" spans="1:32" x14ac:dyDescent="0.25">
      <c r="B107" s="227"/>
      <c r="C107" s="227"/>
      <c r="D107" s="227"/>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row>
    <row r="108" spans="1:32" x14ac:dyDescent="0.25">
      <c r="B108" s="227"/>
      <c r="C108" s="227"/>
      <c r="D108" s="227"/>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c r="AA108" s="227"/>
      <c r="AB108" s="227"/>
      <c r="AC108" s="227"/>
      <c r="AD108" s="227"/>
      <c r="AE108" s="227"/>
      <c r="AF108" s="227"/>
    </row>
    <row r="109" spans="1:32" x14ac:dyDescent="0.25">
      <c r="B109" s="227"/>
      <c r="C109" s="227"/>
      <c r="D109" s="227"/>
      <c r="E109" s="227"/>
      <c r="F109" s="227"/>
      <c r="G109" s="227"/>
      <c r="H109" s="227"/>
      <c r="I109" s="227"/>
      <c r="J109" s="227"/>
      <c r="K109" s="227"/>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row>
    <row r="110" spans="1:32" x14ac:dyDescent="0.25">
      <c r="B110" s="227"/>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row>
    <row r="111" spans="1:32" x14ac:dyDescent="0.25">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row>
    <row r="112" spans="1:32" x14ac:dyDescent="0.25">
      <c r="B112" s="227"/>
      <c r="C112" s="227"/>
      <c r="D112" s="227"/>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c r="AA112" s="227"/>
      <c r="AB112" s="227"/>
      <c r="AC112" s="227"/>
      <c r="AD112" s="227"/>
      <c r="AE112" s="227"/>
      <c r="AF112" s="227"/>
    </row>
    <row r="113" spans="2:32" x14ac:dyDescent="0.25">
      <c r="B113" s="227"/>
      <c r="C113" s="227"/>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row>
    <row r="114" spans="2:32" x14ac:dyDescent="0.25">
      <c r="B114" s="227"/>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7"/>
      <c r="AE114" s="227"/>
      <c r="AF114" s="227"/>
    </row>
    <row r="115" spans="2:32" x14ac:dyDescent="0.25">
      <c r="B115" s="227"/>
      <c r="C115" s="227"/>
      <c r="D115" s="227"/>
      <c r="E115" s="227"/>
      <c r="F115" s="227"/>
      <c r="G115" s="227"/>
      <c r="H115" s="227"/>
      <c r="I115" s="227"/>
      <c r="J115" s="227"/>
      <c r="K115" s="227"/>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row>
    <row r="116" spans="2:32" x14ac:dyDescent="0.25">
      <c r="B116" s="227"/>
      <c r="C116" s="227"/>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row>
  </sheetData>
  <sheetProtection algorithmName="SHA-512" hashValue="5x2Iq2c7PqskLbNQ+Rtbf3P5AJ9fJphs4TQF0bf3uFgSb3ycuwr9UDDT2rLKNO4uKy1zmEGyCGC7CyU2vA7LzA==" saltValue="jAKoX+ISB1Tg0O9xTnWVEQ==" spinCount="100000" sheet="1" objects="1" scenarios="1"/>
  <mergeCells count="151">
    <mergeCell ref="B16:AF16"/>
    <mergeCell ref="B18:I18"/>
    <mergeCell ref="A41:D41"/>
    <mergeCell ref="E41:P41"/>
    <mergeCell ref="Q41:T41"/>
    <mergeCell ref="U41:W41"/>
    <mergeCell ref="X41:AF41"/>
    <mergeCell ref="A42:D43"/>
    <mergeCell ref="E42:P42"/>
    <mergeCell ref="Q42:T42"/>
    <mergeCell ref="U42:W42"/>
    <mergeCell ref="X42:AF42"/>
    <mergeCell ref="E43:P43"/>
    <mergeCell ref="Q43:T43"/>
    <mergeCell ref="U43:W43"/>
    <mergeCell ref="X43:AF43"/>
    <mergeCell ref="A3:AF3"/>
    <mergeCell ref="A1:AF1"/>
    <mergeCell ref="B5:AF5"/>
    <mergeCell ref="A7:AF7"/>
    <mergeCell ref="B9:I9"/>
    <mergeCell ref="B10:AF10"/>
    <mergeCell ref="B12:I12"/>
    <mergeCell ref="B13:AF13"/>
    <mergeCell ref="B15:I15"/>
    <mergeCell ref="A44:D44"/>
    <mergeCell ref="E44:P44"/>
    <mergeCell ref="Q44:T44"/>
    <mergeCell ref="U44:W44"/>
    <mergeCell ref="X44:AF44"/>
    <mergeCell ref="B19:AF19"/>
    <mergeCell ref="B22:AF22"/>
    <mergeCell ref="A24:AF24"/>
    <mergeCell ref="A39:AF39"/>
    <mergeCell ref="A40:D40"/>
    <mergeCell ref="E40:P40"/>
    <mergeCell ref="Q40:T40"/>
    <mergeCell ref="U40:W40"/>
    <mergeCell ref="X40:AF40"/>
    <mergeCell ref="A45:D47"/>
    <mergeCell ref="E45:P45"/>
    <mergeCell ref="Q45:T45"/>
    <mergeCell ref="U45:W45"/>
    <mergeCell ref="X45:AF45"/>
    <mergeCell ref="E46:P46"/>
    <mergeCell ref="Q46:T46"/>
    <mergeCell ref="U46:W46"/>
    <mergeCell ref="X46:AF46"/>
    <mergeCell ref="E47:P47"/>
    <mergeCell ref="Q47:T47"/>
    <mergeCell ref="U47:W47"/>
    <mergeCell ref="X47:AF47"/>
    <mergeCell ref="A48:D49"/>
    <mergeCell ref="E48:P48"/>
    <mergeCell ref="Q48:T48"/>
    <mergeCell ref="U48:W48"/>
    <mergeCell ref="X48:AF48"/>
    <mergeCell ref="E49:P49"/>
    <mergeCell ref="Q49:T49"/>
    <mergeCell ref="U49:W49"/>
    <mergeCell ref="X49:AF49"/>
    <mergeCell ref="A50:D51"/>
    <mergeCell ref="E50:P50"/>
    <mergeCell ref="Q50:T50"/>
    <mergeCell ref="U50:W50"/>
    <mergeCell ref="X50:AF50"/>
    <mergeCell ref="E51:P51"/>
    <mergeCell ref="Q51:T51"/>
    <mergeCell ref="U51:W51"/>
    <mergeCell ref="X51:AF51"/>
    <mergeCell ref="A53:D53"/>
    <mergeCell ref="E53:P53"/>
    <mergeCell ref="Q53:T53"/>
    <mergeCell ref="U53:W53"/>
    <mergeCell ref="X53:AF53"/>
    <mergeCell ref="A52:D52"/>
    <mergeCell ref="E52:P52"/>
    <mergeCell ref="Q52:T52"/>
    <mergeCell ref="U52:W52"/>
    <mergeCell ref="X52:AF52"/>
    <mergeCell ref="U56:W56"/>
    <mergeCell ref="X56:AF56"/>
    <mergeCell ref="A55:D55"/>
    <mergeCell ref="E55:P55"/>
    <mergeCell ref="Q55:T55"/>
    <mergeCell ref="U55:W55"/>
    <mergeCell ref="X55:AF55"/>
    <mergeCell ref="A54:D54"/>
    <mergeCell ref="E54:P54"/>
    <mergeCell ref="Q54:T54"/>
    <mergeCell ref="U54:W54"/>
    <mergeCell ref="X54:AF54"/>
    <mergeCell ref="C59:L59"/>
    <mergeCell ref="M59:Q59"/>
    <mergeCell ref="C60:L60"/>
    <mergeCell ref="M60:Q60"/>
    <mergeCell ref="C61:L61"/>
    <mergeCell ref="M61:Q61"/>
    <mergeCell ref="A56:D56"/>
    <mergeCell ref="E56:P56"/>
    <mergeCell ref="Q56:T56"/>
    <mergeCell ref="A71:H71"/>
    <mergeCell ref="I71:P71"/>
    <mergeCell ref="Q71:X71"/>
    <mergeCell ref="Y71:AF71"/>
    <mergeCell ref="A72:H72"/>
    <mergeCell ref="I72:P72"/>
    <mergeCell ref="Q72:X72"/>
    <mergeCell ref="Y72:AF72"/>
    <mergeCell ref="C62:Q62"/>
    <mergeCell ref="A63:B63"/>
    <mergeCell ref="A64:B64"/>
    <mergeCell ref="C64:AF64"/>
    <mergeCell ref="A67:AF67"/>
    <mergeCell ref="A75:H75"/>
    <mergeCell ref="I75:P75"/>
    <mergeCell ref="Q75:X75"/>
    <mergeCell ref="Y75:AF75"/>
    <mergeCell ref="A76:H76"/>
    <mergeCell ref="I76:P76"/>
    <mergeCell ref="Q76:X76"/>
    <mergeCell ref="Y76:AF76"/>
    <mergeCell ref="A73:H73"/>
    <mergeCell ref="I73:P73"/>
    <mergeCell ref="Q73:X73"/>
    <mergeCell ref="Y73:AF73"/>
    <mergeCell ref="A74:H74"/>
    <mergeCell ref="I74:P74"/>
    <mergeCell ref="Q74:X74"/>
    <mergeCell ref="Y74:AF74"/>
    <mergeCell ref="A89:H89"/>
    <mergeCell ref="I89:P89"/>
    <mergeCell ref="Q89:X89"/>
    <mergeCell ref="Y89:AF89"/>
    <mergeCell ref="A92:AF92"/>
    <mergeCell ref="T81:Z81"/>
    <mergeCell ref="T83:Z83"/>
    <mergeCell ref="T85:Z85"/>
    <mergeCell ref="A88:H88"/>
    <mergeCell ref="I88:P88"/>
    <mergeCell ref="Q88:X88"/>
    <mergeCell ref="Y88:AF88"/>
    <mergeCell ref="B99:AF99"/>
    <mergeCell ref="B100:AF100"/>
    <mergeCell ref="B101:AF101"/>
    <mergeCell ref="B102:AF102"/>
    <mergeCell ref="B94:AF94"/>
    <mergeCell ref="B95:AF95"/>
    <mergeCell ref="B96:AF96"/>
    <mergeCell ref="B97:AF97"/>
    <mergeCell ref="B98:AF98"/>
  </mergeCells>
  <conditionalFormatting sqref="T85:Z85">
    <cfRule type="expression" dxfId="1" priority="1">
      <formula>$T$81&lt;&gt;"Central AC"</formula>
    </cfRule>
    <cfRule type="expression" dxfId="0" priority="2">
      <formula>$T$81="Central AC"</formula>
    </cfRule>
  </conditionalFormatting>
  <dataValidations count="1">
    <dataValidation type="list" allowBlank="1" showInputMessage="1" showErrorMessage="1" sqref="T81:Z81" xr:uid="{00000000-0002-0000-5400-000000000000}">
      <formula1>"Central AC, Room AC, Ductless Mini Split"</formula1>
    </dataValidation>
  </dataValidations>
  <hyperlinks>
    <hyperlink ref="A2" location="TOC!A1" display="Return to TOC" xr:uid="{00000000-0004-0000-5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7" tint="0.79998168889431442"/>
    <pageSetUpPr autoPageBreaks="0"/>
  </sheetPr>
  <dimension ref="A1:AF65"/>
  <sheetViews>
    <sheetView workbookViewId="0">
      <selection sqref="A1:AF1"/>
    </sheetView>
  </sheetViews>
  <sheetFormatPr defaultColWidth="2.7109375" defaultRowHeight="15" x14ac:dyDescent="0.25"/>
  <cols>
    <col min="1" max="1" width="2.7109375" style="564"/>
    <col min="2" max="3" width="2.7109375" style="565"/>
    <col min="4" max="4" width="2.7109375" style="566"/>
    <col min="5" max="32" width="2.7109375" style="561"/>
  </cols>
  <sheetData>
    <row r="1" spans="1:32" ht="18.75" x14ac:dyDescent="0.25">
      <c r="A1" s="3176" t="s">
        <v>3145</v>
      </c>
      <c r="B1" s="3176"/>
      <c r="C1" s="3176"/>
      <c r="D1" s="3176"/>
      <c r="E1" s="3176"/>
      <c r="F1" s="3176"/>
      <c r="G1" s="3176"/>
      <c r="H1" s="3176"/>
      <c r="I1" s="3176"/>
      <c r="J1" s="3176"/>
      <c r="K1" s="3176"/>
      <c r="L1" s="3176"/>
      <c r="M1" s="3176"/>
      <c r="N1" s="3176"/>
      <c r="O1" s="3176"/>
      <c r="P1" s="3176"/>
      <c r="Q1" s="3176"/>
      <c r="R1" s="3176"/>
      <c r="S1" s="3176"/>
      <c r="T1" s="3176"/>
      <c r="U1" s="3176"/>
      <c r="V1" s="3176"/>
      <c r="W1" s="3176"/>
      <c r="X1" s="3176"/>
      <c r="Y1" s="3176"/>
      <c r="Z1" s="3176"/>
      <c r="AA1" s="3176"/>
      <c r="AB1" s="3176"/>
      <c r="AC1" s="3176"/>
      <c r="AD1" s="3176"/>
      <c r="AE1" s="3176"/>
      <c r="AF1" s="3176"/>
    </row>
    <row r="2" spans="1:32" ht="14.45" customHeight="1" x14ac:dyDescent="0.25">
      <c r="A2" s="376" t="s">
        <v>1702</v>
      </c>
      <c r="B2"/>
      <c r="C2"/>
      <c r="D2"/>
      <c r="E2"/>
      <c r="F2"/>
      <c r="G2"/>
      <c r="H2"/>
      <c r="I2"/>
      <c r="J2"/>
      <c r="K2"/>
      <c r="L2"/>
      <c r="M2"/>
      <c r="N2"/>
      <c r="O2"/>
      <c r="P2"/>
      <c r="Q2"/>
      <c r="R2"/>
      <c r="S2"/>
      <c r="T2"/>
      <c r="U2"/>
      <c r="V2"/>
      <c r="W2"/>
      <c r="X2"/>
      <c r="Y2"/>
      <c r="Z2"/>
      <c r="AA2"/>
      <c r="AB2"/>
      <c r="AC2"/>
      <c r="AD2"/>
      <c r="AE2"/>
      <c r="AF2"/>
    </row>
    <row r="3" spans="1:32"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5" customHeight="1" x14ac:dyDescent="0.25">
      <c r="A5" s="262"/>
      <c r="B5" s="1151" t="s">
        <v>3171</v>
      </c>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row>
    <row r="6" spans="1:32" ht="14.45" customHeight="1" x14ac:dyDescent="0.25">
      <c r="A6" s="376"/>
      <c r="B6"/>
      <c r="C6"/>
      <c r="D6"/>
      <c r="E6"/>
      <c r="F6"/>
      <c r="G6"/>
      <c r="H6"/>
      <c r="I6"/>
      <c r="J6"/>
      <c r="K6"/>
      <c r="L6"/>
      <c r="M6"/>
      <c r="N6"/>
      <c r="O6"/>
      <c r="P6"/>
      <c r="Q6"/>
      <c r="R6"/>
      <c r="S6"/>
      <c r="T6"/>
      <c r="U6"/>
      <c r="V6"/>
      <c r="W6"/>
      <c r="X6"/>
      <c r="Y6"/>
      <c r="Z6"/>
      <c r="AA6"/>
      <c r="AB6"/>
      <c r="AC6"/>
      <c r="AD6"/>
      <c r="AE6"/>
      <c r="AF6"/>
    </row>
    <row r="7" spans="1:32" x14ac:dyDescent="0.25">
      <c r="A7" s="3173" t="s">
        <v>9</v>
      </c>
      <c r="B7" s="3174"/>
      <c r="C7" s="3174"/>
      <c r="D7" s="3174"/>
      <c r="E7" s="3174"/>
      <c r="F7" s="3174"/>
      <c r="G7" s="3174"/>
      <c r="H7" s="3174"/>
      <c r="I7" s="3174"/>
      <c r="J7" s="3174"/>
      <c r="K7" s="3174"/>
      <c r="L7" s="3174"/>
      <c r="M7" s="3174"/>
      <c r="N7" s="3174"/>
      <c r="O7" s="3174"/>
      <c r="P7" s="3174"/>
      <c r="Q7" s="3174"/>
      <c r="R7" s="3174"/>
      <c r="S7" s="3174"/>
      <c r="T7" s="3174"/>
      <c r="U7" s="3174"/>
      <c r="V7" s="3174"/>
      <c r="W7" s="3174"/>
      <c r="X7" s="3174"/>
      <c r="Y7" s="3174"/>
      <c r="Z7" s="3174"/>
      <c r="AA7" s="3174"/>
      <c r="AB7" s="3174"/>
      <c r="AC7" s="3174"/>
      <c r="AD7" s="3174"/>
      <c r="AE7" s="3174"/>
      <c r="AF7" s="3175"/>
    </row>
    <row r="8" spans="1:32" x14ac:dyDescent="0.25">
      <c r="A8" s="199"/>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row>
    <row r="9" spans="1:32" x14ac:dyDescent="0.25">
      <c r="A9" s="551"/>
      <c r="B9" s="552" t="s">
        <v>10</v>
      </c>
      <c r="C9" s="552"/>
      <c r="D9" s="552"/>
      <c r="E9" s="552"/>
      <c r="F9" s="552"/>
      <c r="G9" s="552"/>
      <c r="H9" s="552"/>
      <c r="I9" s="552"/>
      <c r="J9" s="551"/>
      <c r="K9" s="551"/>
      <c r="L9" s="551"/>
      <c r="M9" s="551"/>
      <c r="N9" s="551"/>
      <c r="O9" s="551"/>
      <c r="P9" s="551"/>
      <c r="Q9" s="551"/>
      <c r="R9" s="551"/>
      <c r="S9" s="551"/>
      <c r="T9" s="551"/>
      <c r="U9" s="551"/>
      <c r="V9" s="551"/>
      <c r="W9" s="551"/>
      <c r="X9" s="551"/>
      <c r="Y9" s="551"/>
      <c r="Z9" s="551"/>
      <c r="AA9" s="551"/>
      <c r="AB9" s="551"/>
      <c r="AC9" s="551"/>
      <c r="AD9" s="551"/>
      <c r="AE9" s="551"/>
      <c r="AF9" s="551"/>
    </row>
    <row r="10" spans="1:32" x14ac:dyDescent="0.25">
      <c r="A10" s="553"/>
      <c r="B10" s="3177" t="s">
        <v>3146</v>
      </c>
      <c r="C10" s="3177"/>
      <c r="D10" s="3177"/>
      <c r="E10" s="3177"/>
      <c r="F10" s="3177"/>
      <c r="G10" s="3177"/>
      <c r="H10" s="3177"/>
      <c r="I10" s="3177"/>
      <c r="J10" s="3177"/>
      <c r="K10" s="3177"/>
      <c r="L10" s="3177"/>
      <c r="M10" s="3177"/>
      <c r="N10" s="3177"/>
      <c r="O10" s="3177"/>
      <c r="P10" s="3177"/>
      <c r="Q10" s="3177"/>
      <c r="R10" s="3177"/>
      <c r="S10" s="3177"/>
      <c r="T10" s="3177"/>
      <c r="U10" s="3177"/>
      <c r="V10" s="3177"/>
      <c r="W10" s="3177"/>
      <c r="X10" s="3177"/>
      <c r="Y10" s="3177"/>
      <c r="Z10" s="3177"/>
      <c r="AA10" s="3177"/>
      <c r="AB10" s="3177"/>
      <c r="AC10" s="3177"/>
      <c r="AD10" s="3177"/>
      <c r="AE10" s="3177"/>
      <c r="AF10" s="3177"/>
    </row>
    <row r="11" spans="1:32" x14ac:dyDescent="0.25">
      <c r="A11" s="551"/>
      <c r="B11" s="551"/>
      <c r="C11" s="551"/>
      <c r="D11" s="551"/>
      <c r="E11" s="551"/>
      <c r="F11" s="551"/>
      <c r="G11" s="551"/>
      <c r="H11" s="551"/>
      <c r="I11" s="551"/>
      <c r="J11" s="551"/>
      <c r="K11" s="551"/>
      <c r="L11" s="551"/>
      <c r="M11" s="551"/>
      <c r="N11" s="551"/>
      <c r="O11" s="551"/>
      <c r="P11" s="551"/>
      <c r="Q11" s="551"/>
      <c r="R11" s="551"/>
      <c r="S11" s="551"/>
      <c r="T11" s="551"/>
      <c r="U11" s="551"/>
      <c r="V11" s="551"/>
      <c r="W11" s="551"/>
      <c r="X11" s="551"/>
      <c r="Y11" s="551"/>
      <c r="Z11" s="551"/>
      <c r="AA11" s="551"/>
      <c r="AB11" s="551"/>
      <c r="AC11" s="551"/>
      <c r="AD11" s="551"/>
      <c r="AE11" s="551"/>
      <c r="AF11" s="551"/>
    </row>
    <row r="12" spans="1:32" x14ac:dyDescent="0.25">
      <c r="A12" s="551"/>
      <c r="B12" s="552" t="s">
        <v>11</v>
      </c>
      <c r="C12" s="552"/>
      <c r="D12" s="552"/>
      <c r="E12" s="552"/>
      <c r="F12" s="552"/>
      <c r="G12" s="552"/>
      <c r="H12" s="552"/>
      <c r="I12" s="552"/>
      <c r="J12" s="551"/>
      <c r="K12" s="551"/>
      <c r="L12" s="551"/>
      <c r="M12" s="551"/>
      <c r="N12" s="551"/>
      <c r="O12" s="551"/>
      <c r="P12" s="551"/>
      <c r="Q12" s="551"/>
      <c r="R12" s="551"/>
      <c r="S12" s="551"/>
      <c r="T12" s="551"/>
      <c r="U12" s="551"/>
      <c r="V12" s="551"/>
      <c r="W12" s="551"/>
      <c r="X12" s="551"/>
      <c r="Y12" s="551"/>
      <c r="Z12" s="551"/>
      <c r="AA12" s="551"/>
      <c r="AB12" s="551"/>
      <c r="AC12" s="551"/>
      <c r="AD12" s="551"/>
      <c r="AE12" s="551"/>
      <c r="AF12" s="551"/>
    </row>
    <row r="13" spans="1:32" ht="15" customHeight="1" x14ac:dyDescent="0.25">
      <c r="A13" s="551"/>
      <c r="B13" s="3177" t="s">
        <v>3147</v>
      </c>
      <c r="C13" s="3177"/>
      <c r="D13" s="3177"/>
      <c r="E13" s="3177"/>
      <c r="F13" s="3177"/>
      <c r="G13" s="3177"/>
      <c r="H13" s="3177"/>
      <c r="I13" s="3177"/>
      <c r="J13" s="3177"/>
      <c r="K13" s="3177"/>
      <c r="L13" s="3177"/>
      <c r="M13" s="3177"/>
      <c r="N13" s="3177"/>
      <c r="O13" s="3177"/>
      <c r="P13" s="3177"/>
      <c r="Q13" s="3177"/>
      <c r="R13" s="3177"/>
      <c r="S13" s="3177"/>
      <c r="T13" s="3177"/>
      <c r="U13" s="3177"/>
      <c r="V13" s="3177"/>
      <c r="W13" s="3177"/>
      <c r="X13" s="3177"/>
      <c r="Y13" s="3177"/>
      <c r="Z13" s="3177"/>
      <c r="AA13" s="3177"/>
      <c r="AB13" s="3177"/>
      <c r="AC13" s="3177"/>
      <c r="AD13" s="3177"/>
      <c r="AE13" s="3177"/>
      <c r="AF13" s="3177"/>
    </row>
    <row r="14" spans="1:32" x14ac:dyDescent="0.25">
      <c r="A14" s="551"/>
      <c r="B14" s="551"/>
      <c r="C14" s="551"/>
      <c r="D14" s="551"/>
      <c r="E14" s="551"/>
      <c r="F14" s="551"/>
      <c r="G14" s="551"/>
      <c r="H14" s="551"/>
      <c r="I14" s="551"/>
      <c r="J14" s="551"/>
      <c r="K14" s="551"/>
      <c r="L14" s="551"/>
      <c r="M14" s="551"/>
      <c r="N14" s="551"/>
      <c r="O14" s="551"/>
      <c r="P14" s="551"/>
      <c r="Q14" s="551"/>
      <c r="R14" s="551"/>
      <c r="S14" s="551"/>
      <c r="T14" s="551"/>
      <c r="U14" s="551"/>
      <c r="V14" s="551"/>
      <c r="W14" s="551"/>
      <c r="X14" s="551"/>
      <c r="Y14" s="551"/>
      <c r="Z14" s="551"/>
      <c r="AA14" s="551"/>
      <c r="AB14" s="551"/>
      <c r="AC14" s="551"/>
      <c r="AD14" s="551"/>
      <c r="AE14" s="551"/>
      <c r="AF14" s="551"/>
    </row>
    <row r="15" spans="1:32" x14ac:dyDescent="0.25">
      <c r="A15" s="551"/>
      <c r="B15" s="552" t="s">
        <v>12</v>
      </c>
      <c r="C15" s="552"/>
      <c r="D15" s="552"/>
      <c r="E15" s="552"/>
      <c r="F15" s="552"/>
      <c r="G15" s="552"/>
      <c r="H15" s="552"/>
      <c r="I15" s="552"/>
      <c r="J15" s="551"/>
      <c r="K15" s="551"/>
      <c r="L15" s="551"/>
      <c r="M15" s="551"/>
      <c r="N15" s="551"/>
      <c r="O15" s="551"/>
      <c r="P15" s="551"/>
      <c r="Q15" s="551"/>
      <c r="R15" s="551"/>
      <c r="S15" s="551"/>
      <c r="T15" s="551"/>
      <c r="U15" s="551"/>
      <c r="V15" s="551"/>
      <c r="W15" s="551"/>
      <c r="X15" s="551"/>
      <c r="Y15" s="551"/>
      <c r="Z15" s="551"/>
      <c r="AA15" s="551"/>
      <c r="AB15" s="551"/>
      <c r="AC15" s="551"/>
      <c r="AD15" s="551"/>
      <c r="AE15" s="551"/>
      <c r="AF15" s="551"/>
    </row>
    <row r="16" spans="1:32" x14ac:dyDescent="0.25">
      <c r="A16" s="551"/>
      <c r="B16" s="3177" t="s">
        <v>3167</v>
      </c>
      <c r="C16" s="3177"/>
      <c r="D16" s="3177"/>
      <c r="E16" s="3177"/>
      <c r="F16" s="3177"/>
      <c r="G16" s="3177"/>
      <c r="H16" s="3177"/>
      <c r="I16" s="3177"/>
      <c r="J16" s="3177"/>
      <c r="K16" s="3177"/>
      <c r="L16" s="3177"/>
      <c r="M16" s="3177"/>
      <c r="N16" s="3177"/>
      <c r="O16" s="3177"/>
      <c r="P16" s="3177"/>
      <c r="Q16" s="3177"/>
      <c r="R16" s="3177"/>
      <c r="S16" s="3177"/>
      <c r="T16" s="3177"/>
      <c r="U16" s="3177"/>
      <c r="V16" s="3177"/>
      <c r="W16" s="3177"/>
      <c r="X16" s="3177"/>
      <c r="Y16" s="3177"/>
      <c r="Z16" s="3177"/>
      <c r="AA16" s="3177"/>
      <c r="AB16" s="3177"/>
      <c r="AC16" s="3177"/>
      <c r="AD16" s="3177"/>
      <c r="AE16" s="3177"/>
      <c r="AF16" s="3177"/>
    </row>
    <row r="17" spans="1:32" x14ac:dyDescent="0.25">
      <c r="A17" s="551"/>
      <c r="B17" s="551"/>
      <c r="C17" s="551"/>
      <c r="D17" s="551"/>
      <c r="E17" s="551"/>
      <c r="F17" s="551"/>
      <c r="G17" s="551"/>
      <c r="H17" s="551"/>
      <c r="I17" s="551"/>
      <c r="J17" s="551"/>
      <c r="K17" s="551"/>
      <c r="L17" s="551"/>
      <c r="M17" s="551"/>
      <c r="N17" s="551"/>
      <c r="O17" s="551"/>
      <c r="P17" s="551"/>
      <c r="Q17" s="551"/>
      <c r="R17" s="551"/>
      <c r="S17" s="551"/>
      <c r="T17" s="551"/>
      <c r="U17" s="551"/>
      <c r="V17" s="551"/>
      <c r="W17" s="551"/>
      <c r="X17" s="551"/>
      <c r="Y17" s="551"/>
      <c r="Z17" s="551"/>
      <c r="AA17" s="551"/>
      <c r="AB17" s="551"/>
      <c r="AC17" s="551"/>
      <c r="AD17" s="551"/>
      <c r="AE17" s="551"/>
      <c r="AF17" s="551"/>
    </row>
    <row r="18" spans="1:32" x14ac:dyDescent="0.25">
      <c r="A18" s="551"/>
      <c r="B18" s="552" t="s">
        <v>13</v>
      </c>
      <c r="C18" s="552"/>
      <c r="D18" s="552"/>
      <c r="E18" s="552"/>
      <c r="F18" s="552"/>
      <c r="G18" s="552"/>
      <c r="H18" s="552"/>
      <c r="I18" s="552"/>
      <c r="J18" s="551"/>
      <c r="K18" s="551"/>
      <c r="L18" s="551"/>
      <c r="M18" s="551"/>
      <c r="N18" s="551"/>
      <c r="O18" s="551"/>
      <c r="P18" s="551"/>
      <c r="Q18" s="551"/>
      <c r="R18" s="551"/>
      <c r="S18" s="551"/>
      <c r="T18" s="551"/>
      <c r="U18" s="551"/>
      <c r="V18" s="551"/>
      <c r="W18" s="551"/>
      <c r="X18" s="551"/>
      <c r="Y18" s="551"/>
      <c r="Z18" s="551"/>
      <c r="AA18" s="551"/>
      <c r="AB18" s="551"/>
      <c r="AC18" s="551"/>
      <c r="AD18" s="551"/>
      <c r="AE18" s="551"/>
      <c r="AF18" s="551"/>
    </row>
    <row r="19" spans="1:32" x14ac:dyDescent="0.25">
      <c r="A19" s="551"/>
      <c r="B19" s="3177" t="s">
        <v>3168</v>
      </c>
      <c r="C19" s="3177"/>
      <c r="D19" s="3177"/>
      <c r="E19" s="3177"/>
      <c r="F19" s="3177"/>
      <c r="G19" s="3177"/>
      <c r="H19" s="3177"/>
      <c r="I19" s="3177"/>
      <c r="J19" s="3177"/>
      <c r="K19" s="3177"/>
      <c r="L19" s="3177"/>
      <c r="M19" s="3177"/>
      <c r="N19" s="3177"/>
      <c r="O19" s="3177"/>
      <c r="P19" s="3177"/>
      <c r="Q19" s="3177"/>
      <c r="R19" s="3177"/>
      <c r="S19" s="3177"/>
      <c r="T19" s="3177"/>
      <c r="U19" s="3177"/>
      <c r="V19" s="3177"/>
      <c r="W19" s="3177"/>
      <c r="X19" s="3177"/>
      <c r="Y19" s="3177"/>
      <c r="Z19" s="3177"/>
      <c r="AA19" s="3177"/>
      <c r="AB19" s="3177"/>
      <c r="AC19" s="3177"/>
      <c r="AD19" s="3177"/>
      <c r="AE19" s="3177"/>
      <c r="AF19" s="3177"/>
    </row>
    <row r="20" spans="1:32" x14ac:dyDescent="0.25">
      <c r="A20" s="551"/>
      <c r="B20" s="551"/>
      <c r="C20" s="551"/>
      <c r="D20" s="551"/>
      <c r="E20" s="551"/>
      <c r="F20" s="551"/>
      <c r="G20" s="551"/>
      <c r="H20" s="551"/>
      <c r="I20" s="551"/>
      <c r="J20" s="551"/>
      <c r="K20" s="551"/>
      <c r="L20" s="551"/>
      <c r="M20" s="551"/>
      <c r="N20" s="551"/>
      <c r="O20" s="551"/>
      <c r="P20" s="551"/>
      <c r="Q20" s="551"/>
      <c r="R20" s="551"/>
      <c r="S20" s="551"/>
      <c r="T20" s="551"/>
      <c r="U20" s="551"/>
      <c r="V20" s="551"/>
      <c r="W20" s="551"/>
      <c r="X20" s="551"/>
      <c r="Y20" s="551"/>
      <c r="Z20" s="551"/>
      <c r="AA20" s="551"/>
      <c r="AB20" s="551"/>
      <c r="AC20" s="551"/>
      <c r="AD20" s="551"/>
      <c r="AE20" s="551"/>
      <c r="AF20" s="551"/>
    </row>
    <row r="21" spans="1:32" x14ac:dyDescent="0.25">
      <c r="A21" s="551"/>
      <c r="B21" s="552" t="s">
        <v>20</v>
      </c>
      <c r="C21" s="552"/>
      <c r="D21" s="552"/>
      <c r="E21" s="552"/>
      <c r="F21" s="552"/>
      <c r="G21" s="552"/>
      <c r="H21" s="552"/>
      <c r="I21" s="552"/>
      <c r="J21" s="551"/>
      <c r="K21" s="551"/>
      <c r="L21" s="551"/>
      <c r="M21" s="551"/>
      <c r="N21" s="551"/>
      <c r="O21" s="551"/>
      <c r="P21" s="551"/>
      <c r="Q21" s="551"/>
      <c r="R21" s="551"/>
      <c r="S21" s="551"/>
      <c r="T21" s="551"/>
      <c r="U21" s="551"/>
      <c r="V21" s="551"/>
      <c r="W21" s="551"/>
      <c r="X21" s="551"/>
      <c r="Y21" s="551"/>
      <c r="Z21" s="551"/>
      <c r="AA21" s="551"/>
      <c r="AB21" s="551"/>
      <c r="AC21" s="551"/>
      <c r="AD21" s="551"/>
      <c r="AE21" s="551"/>
      <c r="AF21" s="551"/>
    </row>
    <row r="22" spans="1:32" x14ac:dyDescent="0.25">
      <c r="A22" s="551"/>
      <c r="B22" s="3177" t="s">
        <v>3169</v>
      </c>
      <c r="C22" s="3177"/>
      <c r="D22" s="3177"/>
      <c r="E22" s="3177"/>
      <c r="F22" s="3177"/>
      <c r="G22" s="3177"/>
      <c r="H22" s="3177"/>
      <c r="I22" s="3177"/>
      <c r="J22" s="3177"/>
      <c r="K22" s="3177"/>
      <c r="L22" s="3177"/>
      <c r="M22" s="3177"/>
      <c r="N22" s="3177"/>
      <c r="O22" s="3177"/>
      <c r="P22" s="3177"/>
      <c r="Q22" s="3177"/>
      <c r="R22" s="3177"/>
      <c r="S22" s="3177"/>
      <c r="T22" s="3177"/>
      <c r="U22" s="3177"/>
      <c r="V22" s="3177"/>
      <c r="W22" s="3177"/>
      <c r="X22" s="3177"/>
      <c r="Y22" s="3177"/>
      <c r="Z22" s="3177"/>
      <c r="AA22" s="3177"/>
      <c r="AB22" s="3177"/>
      <c r="AC22" s="3177"/>
      <c r="AD22" s="3177"/>
      <c r="AE22" s="3177"/>
      <c r="AF22" s="3177"/>
    </row>
    <row r="23" spans="1:32" x14ac:dyDescent="0.25">
      <c r="A23" s="551"/>
      <c r="B23" s="554"/>
      <c r="C23" s="554"/>
      <c r="D23" s="554"/>
      <c r="E23" s="554"/>
      <c r="F23" s="554"/>
      <c r="G23" s="554"/>
      <c r="H23" s="554"/>
      <c r="I23" s="554"/>
      <c r="J23" s="554"/>
      <c r="K23" s="554"/>
      <c r="L23" s="554"/>
      <c r="M23" s="554"/>
      <c r="N23" s="554"/>
      <c r="O23" s="554"/>
      <c r="P23" s="554"/>
      <c r="Q23" s="554"/>
      <c r="R23" s="554"/>
      <c r="S23" s="554"/>
      <c r="T23" s="554"/>
      <c r="U23" s="554"/>
      <c r="V23" s="554"/>
      <c r="W23" s="554"/>
      <c r="X23" s="554"/>
      <c r="Y23" s="554"/>
      <c r="Z23" s="554"/>
      <c r="AA23" s="554"/>
      <c r="AB23" s="554"/>
      <c r="AC23" s="554"/>
      <c r="AD23" s="554"/>
      <c r="AE23" s="554"/>
      <c r="AF23" s="554"/>
    </row>
    <row r="24" spans="1:32" x14ac:dyDescent="0.25">
      <c r="A24" s="551"/>
      <c r="B24" s="551"/>
      <c r="C24" s="551"/>
      <c r="D24" s="551"/>
      <c r="E24" s="551"/>
      <c r="F24" s="551"/>
      <c r="G24" s="551"/>
      <c r="H24" s="551"/>
      <c r="I24" s="551"/>
      <c r="J24" s="551"/>
      <c r="K24" s="551"/>
      <c r="L24" s="551"/>
      <c r="M24" s="551"/>
      <c r="N24" s="551"/>
      <c r="O24" s="551"/>
      <c r="P24" s="551"/>
      <c r="Q24" s="551"/>
      <c r="R24" s="551"/>
      <c r="S24" s="551"/>
      <c r="T24" s="551"/>
      <c r="U24" s="551"/>
      <c r="V24" s="551"/>
      <c r="W24" s="551"/>
      <c r="X24" s="551"/>
      <c r="Y24" s="551"/>
      <c r="Z24" s="551"/>
      <c r="AA24" s="551"/>
      <c r="AB24" s="551"/>
      <c r="AC24" s="551"/>
      <c r="AD24" s="551"/>
      <c r="AE24" s="551"/>
      <c r="AF24" s="551"/>
    </row>
    <row r="25" spans="1:32" x14ac:dyDescent="0.25">
      <c r="A25" s="3173" t="s">
        <v>14</v>
      </c>
      <c r="B25" s="3174"/>
      <c r="C25" s="3174"/>
      <c r="D25" s="3174"/>
      <c r="E25" s="3174"/>
      <c r="F25" s="3174"/>
      <c r="G25" s="3174"/>
      <c r="H25" s="3174"/>
      <c r="I25" s="3174"/>
      <c r="J25" s="3174"/>
      <c r="K25" s="3174"/>
      <c r="L25" s="3174"/>
      <c r="M25" s="3174"/>
      <c r="N25" s="3174"/>
      <c r="O25" s="3174"/>
      <c r="P25" s="3174"/>
      <c r="Q25" s="3174"/>
      <c r="R25" s="3174"/>
      <c r="S25" s="3174"/>
      <c r="T25" s="3174"/>
      <c r="U25" s="3174"/>
      <c r="V25" s="3174"/>
      <c r="W25" s="3174"/>
      <c r="X25" s="3174"/>
      <c r="Y25" s="3174"/>
      <c r="Z25" s="3174"/>
      <c r="AA25" s="3174"/>
      <c r="AB25" s="3174"/>
      <c r="AC25" s="3174"/>
      <c r="AD25" s="3174"/>
      <c r="AE25" s="3174"/>
      <c r="AF25" s="3175"/>
    </row>
    <row r="26" spans="1:32" x14ac:dyDescent="0.25">
      <c r="A26" s="551"/>
      <c r="B26" s="551"/>
      <c r="C26" s="551"/>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51"/>
      <c r="AB26" s="551"/>
      <c r="AC26" s="551"/>
      <c r="AD26" s="551"/>
      <c r="AE26" s="551"/>
      <c r="AF26" s="551"/>
    </row>
    <row r="27" spans="1:32" x14ac:dyDescent="0.25">
      <c r="A27" s="3161" t="s">
        <v>3175</v>
      </c>
      <c r="B27" s="3161"/>
      <c r="C27" s="3161"/>
      <c r="D27" s="3161"/>
      <c r="E27" s="3161"/>
      <c r="F27" s="3161"/>
      <c r="G27" s="567" t="s">
        <v>3176</v>
      </c>
      <c r="H27" s="567"/>
      <c r="I27" s="567"/>
      <c r="J27" s="567"/>
      <c r="K27" s="551"/>
      <c r="L27" s="551"/>
      <c r="M27" s="551"/>
      <c r="N27" s="551"/>
      <c r="O27" s="551"/>
      <c r="P27" s="551"/>
      <c r="Q27" s="551"/>
      <c r="R27" s="551"/>
      <c r="S27" s="551"/>
      <c r="T27" s="551"/>
      <c r="U27" s="551"/>
      <c r="V27" s="551"/>
      <c r="W27" s="551"/>
      <c r="X27" s="551"/>
      <c r="Y27" s="551"/>
      <c r="Z27" s="551"/>
      <c r="AA27" s="551"/>
      <c r="AB27" s="551"/>
      <c r="AC27" s="551"/>
      <c r="AD27" s="551"/>
      <c r="AE27" s="551"/>
      <c r="AF27" s="551"/>
    </row>
    <row r="28" spans="1:32" x14ac:dyDescent="0.25">
      <c r="A28" s="3161" t="s">
        <v>3177</v>
      </c>
      <c r="B28" s="3161"/>
      <c r="C28" s="3161"/>
      <c r="D28" s="3161"/>
      <c r="E28" s="3161"/>
      <c r="F28" s="3161"/>
      <c r="G28" s="567" t="s">
        <v>3178</v>
      </c>
      <c r="H28" s="567"/>
      <c r="I28" s="567"/>
      <c r="J28" s="567"/>
      <c r="K28" s="551"/>
      <c r="L28" s="551"/>
      <c r="M28" s="551"/>
      <c r="N28" s="551"/>
      <c r="O28" s="551"/>
      <c r="P28" s="551"/>
      <c r="Q28" s="551"/>
      <c r="R28" s="551"/>
      <c r="S28" s="551"/>
      <c r="T28" s="551"/>
      <c r="U28" s="551"/>
      <c r="V28" s="551"/>
      <c r="W28" s="551"/>
      <c r="X28" s="551"/>
      <c r="Y28" s="551"/>
      <c r="Z28" s="551"/>
      <c r="AA28" s="551"/>
      <c r="AB28" s="551"/>
      <c r="AC28" s="551"/>
      <c r="AD28" s="551"/>
      <c r="AE28" s="551"/>
      <c r="AF28" s="551"/>
    </row>
    <row r="29" spans="1:32" x14ac:dyDescent="0.25">
      <c r="A29" s="3161" t="s">
        <v>3179</v>
      </c>
      <c r="B29" s="3161"/>
      <c r="C29" s="3161"/>
      <c r="D29" s="3161"/>
      <c r="E29" s="3161"/>
      <c r="F29" s="3161"/>
      <c r="G29" s="567" t="s">
        <v>3210</v>
      </c>
      <c r="H29" s="567"/>
      <c r="I29" s="567"/>
      <c r="J29" s="567"/>
      <c r="K29" s="551"/>
      <c r="L29" s="551"/>
      <c r="M29" s="551"/>
      <c r="N29" s="551"/>
      <c r="O29" s="551"/>
      <c r="P29" s="551"/>
      <c r="Q29" s="551"/>
      <c r="R29" s="551"/>
      <c r="S29" s="551"/>
      <c r="T29" s="551"/>
      <c r="U29" s="551"/>
      <c r="V29" s="551"/>
      <c r="W29" s="551"/>
      <c r="X29" s="551"/>
      <c r="Y29" s="551"/>
      <c r="Z29" s="551"/>
      <c r="AA29" s="551"/>
      <c r="AB29" s="551"/>
      <c r="AC29" s="551"/>
      <c r="AD29" s="551"/>
      <c r="AE29" s="551"/>
      <c r="AF29" s="551"/>
    </row>
    <row r="30" spans="1:32" x14ac:dyDescent="0.25">
      <c r="A30" s="551"/>
      <c r="B30" s="551"/>
      <c r="C30" s="551"/>
      <c r="D30" s="551"/>
      <c r="E30" s="551"/>
      <c r="F30" s="551"/>
      <c r="G30" s="551"/>
      <c r="H30" s="551"/>
      <c r="I30" s="551"/>
      <c r="J30" s="551"/>
      <c r="K30" s="551"/>
      <c r="L30" s="551"/>
      <c r="M30" s="551"/>
      <c r="N30" s="551"/>
      <c r="O30" s="551"/>
      <c r="P30" s="551"/>
      <c r="Q30" s="551"/>
      <c r="R30" s="551"/>
      <c r="S30" s="551"/>
      <c r="T30" s="551"/>
      <c r="U30" s="551"/>
      <c r="V30" s="551"/>
      <c r="W30" s="551"/>
      <c r="X30" s="551"/>
      <c r="Y30" s="551"/>
      <c r="Z30" s="551"/>
      <c r="AA30" s="551"/>
      <c r="AB30" s="551"/>
      <c r="AC30" s="551"/>
      <c r="AD30" s="551"/>
      <c r="AE30" s="551"/>
      <c r="AF30" s="551"/>
    </row>
    <row r="31" spans="1:32" x14ac:dyDescent="0.25">
      <c r="A31" s="3178" t="s">
        <v>15</v>
      </c>
      <c r="B31" s="3178"/>
      <c r="C31" s="3178"/>
      <c r="D31" s="3178"/>
      <c r="E31" s="3178"/>
      <c r="F31" s="3178"/>
      <c r="G31" s="3178"/>
      <c r="H31" s="3178"/>
      <c r="I31" s="3178"/>
      <c r="J31" s="3178"/>
      <c r="K31" s="3178"/>
      <c r="L31" s="3178"/>
      <c r="M31" s="3178"/>
      <c r="N31" s="3178"/>
      <c r="O31" s="3178"/>
      <c r="P31" s="3178"/>
      <c r="Q31" s="3178"/>
      <c r="R31" s="3178"/>
      <c r="S31" s="3178"/>
      <c r="T31" s="3178"/>
      <c r="U31" s="3178"/>
      <c r="V31" s="3178"/>
      <c r="W31" s="3178"/>
      <c r="X31" s="3178"/>
      <c r="Y31" s="3178"/>
      <c r="Z31" s="3178"/>
      <c r="AA31" s="3178"/>
      <c r="AB31" s="3178"/>
      <c r="AC31" s="3178"/>
      <c r="AD31" s="3178"/>
      <c r="AE31" s="3178"/>
      <c r="AF31" s="3178"/>
    </row>
    <row r="32" spans="1:32" x14ac:dyDescent="0.25">
      <c r="A32" s="3179" t="s">
        <v>16</v>
      </c>
      <c r="B32" s="3179"/>
      <c r="C32" s="3179"/>
      <c r="D32" s="3179"/>
      <c r="E32" s="3179" t="s">
        <v>10</v>
      </c>
      <c r="F32" s="3179"/>
      <c r="G32" s="3179"/>
      <c r="H32" s="3179"/>
      <c r="I32" s="3179"/>
      <c r="J32" s="3179"/>
      <c r="K32" s="3179"/>
      <c r="L32" s="3179"/>
      <c r="M32" s="3179"/>
      <c r="N32" s="3179"/>
      <c r="O32" s="3179"/>
      <c r="P32" s="3179"/>
      <c r="Q32" s="3179" t="s">
        <v>17</v>
      </c>
      <c r="R32" s="3179"/>
      <c r="S32" s="3179"/>
      <c r="T32" s="3179"/>
      <c r="U32" s="3180" t="s">
        <v>18</v>
      </c>
      <c r="V32" s="3181"/>
      <c r="W32" s="3182"/>
      <c r="X32" s="3180" t="s">
        <v>1708</v>
      </c>
      <c r="Y32" s="3181"/>
      <c r="Z32" s="3181"/>
      <c r="AA32" s="3181"/>
      <c r="AB32" s="3181"/>
      <c r="AC32" s="3181"/>
      <c r="AD32" s="3181"/>
      <c r="AE32" s="3181"/>
      <c r="AF32" s="3182"/>
    </row>
    <row r="33" spans="1:32" x14ac:dyDescent="0.25">
      <c r="A33" s="3167" t="s">
        <v>78</v>
      </c>
      <c r="B33" s="3168"/>
      <c r="C33" s="3168"/>
      <c r="D33" s="3169"/>
      <c r="E33" s="1647" t="s">
        <v>2874</v>
      </c>
      <c r="F33" s="1648"/>
      <c r="G33" s="1648"/>
      <c r="H33" s="1648"/>
      <c r="I33" s="1648"/>
      <c r="J33" s="1648"/>
      <c r="K33" s="1648"/>
      <c r="L33" s="1648"/>
      <c r="M33" s="1648"/>
      <c r="N33" s="1648"/>
      <c r="O33" s="1648"/>
      <c r="P33" s="1649"/>
      <c r="Q33" s="3167" t="s">
        <v>3148</v>
      </c>
      <c r="R33" s="3168"/>
      <c r="S33" s="3168"/>
      <c r="T33" s="3169"/>
      <c r="U33" s="3167" t="s">
        <v>3149</v>
      </c>
      <c r="V33" s="3168"/>
      <c r="W33" s="3169"/>
      <c r="X33" s="3170"/>
      <c r="Y33" s="3171"/>
      <c r="Z33" s="3171"/>
      <c r="AA33" s="3171"/>
      <c r="AB33" s="3171"/>
      <c r="AC33" s="3171"/>
      <c r="AD33" s="3171"/>
      <c r="AE33" s="3171"/>
      <c r="AF33" s="3172"/>
    </row>
    <row r="34" spans="1:32" ht="47.25" customHeight="1" x14ac:dyDescent="0.25">
      <c r="A34" s="3167" t="s">
        <v>3173</v>
      </c>
      <c r="B34" s="3168"/>
      <c r="C34" s="3168"/>
      <c r="D34" s="3169"/>
      <c r="E34" s="1647" t="s">
        <v>3131</v>
      </c>
      <c r="F34" s="1648"/>
      <c r="G34" s="1648"/>
      <c r="H34" s="1648"/>
      <c r="I34" s="1648"/>
      <c r="J34" s="1648"/>
      <c r="K34" s="1648"/>
      <c r="L34" s="1648"/>
      <c r="M34" s="1648"/>
      <c r="N34" s="1648"/>
      <c r="O34" s="1648"/>
      <c r="P34" s="1649"/>
      <c r="Q34" s="3164" t="s">
        <v>3148</v>
      </c>
      <c r="R34" s="3165"/>
      <c r="S34" s="3165"/>
      <c r="T34" s="3166"/>
      <c r="U34" s="3167" t="s">
        <v>3150</v>
      </c>
      <c r="V34" s="3168"/>
      <c r="W34" s="3169"/>
      <c r="X34" s="3170" t="s">
        <v>3133</v>
      </c>
      <c r="Y34" s="3171"/>
      <c r="Z34" s="3171"/>
      <c r="AA34" s="3171"/>
      <c r="AB34" s="3171"/>
      <c r="AC34" s="3171"/>
      <c r="AD34" s="3171"/>
      <c r="AE34" s="3171"/>
      <c r="AF34" s="3172"/>
    </row>
    <row r="35" spans="1:32" ht="50.25" customHeight="1" x14ac:dyDescent="0.25">
      <c r="A35" s="3167" t="s">
        <v>3174</v>
      </c>
      <c r="B35" s="3168"/>
      <c r="C35" s="3168"/>
      <c r="D35" s="3169"/>
      <c r="E35" s="1647" t="s">
        <v>3134</v>
      </c>
      <c r="F35" s="1648"/>
      <c r="G35" s="1648"/>
      <c r="H35" s="1648"/>
      <c r="I35" s="1648"/>
      <c r="J35" s="1648"/>
      <c r="K35" s="1648"/>
      <c r="L35" s="1648"/>
      <c r="M35" s="1648"/>
      <c r="N35" s="1648"/>
      <c r="O35" s="1648"/>
      <c r="P35" s="1649"/>
      <c r="Q35" s="3164" t="s">
        <v>3148</v>
      </c>
      <c r="R35" s="3165"/>
      <c r="S35" s="3165"/>
      <c r="T35" s="3166"/>
      <c r="U35" s="3167" t="s">
        <v>3150</v>
      </c>
      <c r="V35" s="3168"/>
      <c r="W35" s="3169"/>
      <c r="X35" s="3170" t="s">
        <v>3133</v>
      </c>
      <c r="Y35" s="3171"/>
      <c r="Z35" s="3171"/>
      <c r="AA35" s="3171"/>
      <c r="AB35" s="3171"/>
      <c r="AC35" s="3171"/>
      <c r="AD35" s="3171"/>
      <c r="AE35" s="3171"/>
      <c r="AF35" s="3172"/>
    </row>
    <row r="36" spans="1:32" ht="42.75" customHeight="1" x14ac:dyDescent="0.25">
      <c r="A36" s="3167" t="s">
        <v>29</v>
      </c>
      <c r="B36" s="3168"/>
      <c r="C36" s="3168"/>
      <c r="D36" s="3169"/>
      <c r="E36" s="1653" t="s">
        <v>3151</v>
      </c>
      <c r="F36" s="1654"/>
      <c r="G36" s="1654"/>
      <c r="H36" s="1654"/>
      <c r="I36" s="1654"/>
      <c r="J36" s="1654"/>
      <c r="K36" s="1654"/>
      <c r="L36" s="1654"/>
      <c r="M36" s="1654"/>
      <c r="N36" s="1654"/>
      <c r="O36" s="1654"/>
      <c r="P36" s="1655"/>
      <c r="Q36" s="3422">
        <f>ROUND(3185/8760,2)</f>
        <v>0.36</v>
      </c>
      <c r="R36" s="3423"/>
      <c r="S36" s="3423"/>
      <c r="T36" s="3424"/>
      <c r="U36" s="3167" t="s">
        <v>28</v>
      </c>
      <c r="V36" s="3168"/>
      <c r="W36" s="3169"/>
      <c r="X36" s="3425" t="s">
        <v>3186</v>
      </c>
      <c r="Y36" s="3426"/>
      <c r="Z36" s="3426"/>
      <c r="AA36" s="3426"/>
      <c r="AB36" s="3426"/>
      <c r="AC36" s="3426"/>
      <c r="AD36" s="3426"/>
      <c r="AE36" s="3426"/>
      <c r="AF36" s="3427"/>
    </row>
    <row r="37" spans="1:32" ht="91.5" customHeight="1" x14ac:dyDescent="0.25">
      <c r="A37" s="3167" t="s">
        <v>32</v>
      </c>
      <c r="B37" s="3168"/>
      <c r="C37" s="3168"/>
      <c r="D37" s="3169"/>
      <c r="E37" s="1714" t="s">
        <v>3137</v>
      </c>
      <c r="F37" s="1714"/>
      <c r="G37" s="1714"/>
      <c r="H37" s="1714"/>
      <c r="I37" s="1714"/>
      <c r="J37" s="1714"/>
      <c r="K37" s="1714"/>
      <c r="L37" s="1714"/>
      <c r="M37" s="1714"/>
      <c r="N37" s="1714"/>
      <c r="O37" s="1714"/>
      <c r="P37" s="1714"/>
      <c r="Q37" s="3191">
        <v>3185</v>
      </c>
      <c r="R37" s="3192"/>
      <c r="S37" s="3192"/>
      <c r="T37" s="3193"/>
      <c r="U37" s="3167" t="s">
        <v>1000</v>
      </c>
      <c r="V37" s="3168"/>
      <c r="W37" s="3168"/>
      <c r="X37" s="1653" t="s">
        <v>3152</v>
      </c>
      <c r="Y37" s="1654"/>
      <c r="Z37" s="1654"/>
      <c r="AA37" s="1654"/>
      <c r="AB37" s="1654"/>
      <c r="AC37" s="1654"/>
      <c r="AD37" s="1654"/>
      <c r="AE37" s="1654"/>
      <c r="AF37" s="1655"/>
    </row>
    <row r="38" spans="1:32" x14ac:dyDescent="0.25">
      <c r="A38" s="3167" t="s">
        <v>167</v>
      </c>
      <c r="B38" s="3168"/>
      <c r="C38" s="3168"/>
      <c r="D38" s="3169"/>
      <c r="E38" s="1653" t="s">
        <v>3153</v>
      </c>
      <c r="F38" s="1654"/>
      <c r="G38" s="1654"/>
      <c r="H38" s="1654"/>
      <c r="I38" s="1654"/>
      <c r="J38" s="1654"/>
      <c r="K38" s="1654"/>
      <c r="L38" s="1654"/>
      <c r="M38" s="1654"/>
      <c r="N38" s="1654"/>
      <c r="O38" s="1654"/>
      <c r="P38" s="1655"/>
      <c r="Q38" s="3167">
        <v>0.47299999999999998</v>
      </c>
      <c r="R38" s="3168"/>
      <c r="S38" s="3168"/>
      <c r="T38" s="3169"/>
      <c r="U38" s="3167" t="s">
        <v>3154</v>
      </c>
      <c r="V38" s="3168"/>
      <c r="W38" s="3169"/>
      <c r="X38" s="3428"/>
      <c r="Y38" s="3429"/>
      <c r="Z38" s="3429"/>
      <c r="AA38" s="3429"/>
      <c r="AB38" s="3429"/>
      <c r="AC38" s="3429"/>
      <c r="AD38" s="3429"/>
      <c r="AE38" s="3429"/>
      <c r="AF38" s="3430"/>
    </row>
    <row r="39" spans="1:32" ht="48.75" customHeight="1" x14ac:dyDescent="0.25">
      <c r="A39" s="3167" t="s">
        <v>2724</v>
      </c>
      <c r="B39" s="3168"/>
      <c r="C39" s="3168"/>
      <c r="D39" s="3169"/>
      <c r="E39" s="1647" t="s">
        <v>2217</v>
      </c>
      <c r="F39" s="1648"/>
      <c r="G39" s="1648"/>
      <c r="H39" s="1648"/>
      <c r="I39" s="1648"/>
      <c r="J39" s="1648"/>
      <c r="K39" s="1648"/>
      <c r="L39" s="1648"/>
      <c r="M39" s="1648"/>
      <c r="N39" s="1648"/>
      <c r="O39" s="1648"/>
      <c r="P39" s="1649"/>
      <c r="Q39" s="3167">
        <f>'Master EUL'!X25</f>
        <v>12</v>
      </c>
      <c r="R39" s="3168"/>
      <c r="S39" s="3168"/>
      <c r="T39" s="3169"/>
      <c r="U39" s="3167" t="s">
        <v>46</v>
      </c>
      <c r="V39" s="3168"/>
      <c r="W39" s="3168"/>
      <c r="X39" s="3170" t="s">
        <v>3191</v>
      </c>
      <c r="Y39" s="3189"/>
      <c r="Z39" s="3189"/>
      <c r="AA39" s="3189"/>
      <c r="AB39" s="3189"/>
      <c r="AC39" s="3189"/>
      <c r="AD39" s="3189"/>
      <c r="AE39" s="3189"/>
      <c r="AF39" s="3190"/>
    </row>
    <row r="40" spans="1:32" x14ac:dyDescent="0.25">
      <c r="A40" s="551"/>
      <c r="B40" s="551"/>
      <c r="C40" s="551"/>
      <c r="D40" s="551"/>
      <c r="E40" s="551"/>
      <c r="F40" s="551"/>
      <c r="G40" s="551"/>
      <c r="H40" s="551"/>
      <c r="I40" s="551"/>
      <c r="J40" s="551"/>
      <c r="K40" s="551"/>
      <c r="L40" s="551"/>
      <c r="M40" s="551"/>
      <c r="N40" s="551"/>
      <c r="O40" s="551"/>
      <c r="P40" s="551"/>
      <c r="Q40" s="551"/>
      <c r="R40" s="551"/>
      <c r="S40" s="551"/>
      <c r="T40" s="551"/>
      <c r="U40" s="551"/>
      <c r="V40" s="551"/>
      <c r="W40" s="551"/>
      <c r="X40" s="551"/>
      <c r="Y40" s="551"/>
      <c r="Z40" s="551"/>
      <c r="AA40" s="551"/>
      <c r="AB40" s="551"/>
      <c r="AC40" s="551"/>
      <c r="AD40" s="551"/>
      <c r="AE40" s="551"/>
      <c r="AF40" s="551"/>
    </row>
    <row r="41" spans="1:32" x14ac:dyDescent="0.25">
      <c r="A41" s="551"/>
      <c r="B41" s="551"/>
      <c r="C41" s="551"/>
      <c r="D41" s="551"/>
      <c r="E41" s="551"/>
      <c r="F41" s="551"/>
      <c r="G41" s="551"/>
      <c r="H41" s="551"/>
      <c r="I41" s="551"/>
      <c r="J41" s="551"/>
      <c r="K41" s="551"/>
      <c r="L41" s="551"/>
      <c r="M41" s="551"/>
      <c r="N41" s="551"/>
      <c r="O41" s="551"/>
      <c r="P41" s="551"/>
      <c r="Q41" s="551"/>
      <c r="R41" s="551"/>
      <c r="S41" s="551"/>
      <c r="T41" s="551"/>
      <c r="U41" s="551"/>
      <c r="V41" s="551"/>
      <c r="W41" s="551"/>
      <c r="X41" s="551"/>
      <c r="Y41" s="551"/>
      <c r="Z41" s="551"/>
      <c r="AA41" s="551"/>
      <c r="AB41" s="551"/>
      <c r="AC41" s="551"/>
      <c r="AD41" s="551"/>
      <c r="AE41" s="551"/>
      <c r="AF41" s="551"/>
    </row>
    <row r="42" spans="1:32" x14ac:dyDescent="0.25">
      <c r="A42" s="3173" t="s">
        <v>21</v>
      </c>
      <c r="B42" s="3174"/>
      <c r="C42" s="3174"/>
      <c r="D42" s="3174"/>
      <c r="E42" s="3174"/>
      <c r="F42" s="3174"/>
      <c r="G42" s="3174"/>
      <c r="H42" s="3174"/>
      <c r="I42" s="3174"/>
      <c r="J42" s="3174"/>
      <c r="K42" s="3174"/>
      <c r="L42" s="3174"/>
      <c r="M42" s="3174"/>
      <c r="N42" s="3174"/>
      <c r="O42" s="3174"/>
      <c r="P42" s="3174"/>
      <c r="Q42" s="3174"/>
      <c r="R42" s="3174"/>
      <c r="S42" s="3174"/>
      <c r="T42" s="3174"/>
      <c r="U42" s="3174"/>
      <c r="V42" s="3174"/>
      <c r="W42" s="3174"/>
      <c r="X42" s="3174"/>
      <c r="Y42" s="3174"/>
      <c r="Z42" s="3174"/>
      <c r="AA42" s="3174"/>
      <c r="AB42" s="3174"/>
      <c r="AC42" s="3174"/>
      <c r="AD42" s="3174"/>
      <c r="AE42" s="3174"/>
      <c r="AF42" s="3175"/>
    </row>
    <row r="43" spans="1:32" x14ac:dyDescent="0.25">
      <c r="A43" s="199"/>
      <c r="B43" s="555"/>
      <c r="C43" s="555"/>
      <c r="D43" s="555"/>
      <c r="E43" s="199"/>
      <c r="F43" s="551"/>
      <c r="G43" s="551"/>
      <c r="H43" s="551"/>
      <c r="I43" s="199"/>
      <c r="J43" s="551"/>
      <c r="K43" s="551"/>
      <c r="L43" s="551"/>
      <c r="M43" s="199"/>
      <c r="N43" s="551"/>
      <c r="O43" s="551"/>
      <c r="P43" s="551"/>
      <c r="Q43" s="199"/>
      <c r="R43" s="551"/>
      <c r="S43" s="551"/>
      <c r="T43" s="551"/>
      <c r="U43" s="199"/>
      <c r="V43" s="551"/>
      <c r="W43" s="551"/>
      <c r="X43" s="551"/>
      <c r="Y43" s="199"/>
      <c r="Z43" s="551"/>
      <c r="AA43" s="551"/>
      <c r="AB43" s="551"/>
      <c r="AC43" s="199"/>
      <c r="AD43" s="199"/>
      <c r="AE43" s="199"/>
      <c r="AF43" s="199"/>
    </row>
    <row r="44" spans="1:32" ht="48.75" customHeight="1" x14ac:dyDescent="0.25">
      <c r="A44" s="3431" t="s">
        <v>3155</v>
      </c>
      <c r="B44" s="3431"/>
      <c r="C44" s="3431"/>
      <c r="D44" s="3431"/>
      <c r="E44" s="3436" t="s">
        <v>3180</v>
      </c>
      <c r="F44" s="3436"/>
      <c r="G44" s="3436"/>
      <c r="H44" s="3436"/>
      <c r="I44" s="3436" t="s">
        <v>3181</v>
      </c>
      <c r="J44" s="3436"/>
      <c r="K44" s="3436"/>
      <c r="L44" s="3436"/>
      <c r="M44" s="3431" t="s">
        <v>3182</v>
      </c>
      <c r="N44" s="3431"/>
      <c r="O44" s="3431"/>
      <c r="P44" s="3431"/>
      <c r="Q44" s="3431" t="s">
        <v>3183</v>
      </c>
      <c r="R44" s="3431"/>
      <c r="S44" s="3431"/>
      <c r="T44" s="3431"/>
      <c r="U44" s="3431" t="s">
        <v>3156</v>
      </c>
      <c r="V44" s="3431"/>
      <c r="W44" s="3431"/>
      <c r="X44" s="3431"/>
      <c r="Y44" s="3431" t="s">
        <v>3157</v>
      </c>
      <c r="Z44" s="3431"/>
      <c r="AA44" s="3431"/>
      <c r="AB44" s="3431"/>
      <c r="AC44" s="3431" t="s">
        <v>3158</v>
      </c>
      <c r="AD44" s="3431"/>
      <c r="AE44" s="3431"/>
      <c r="AF44" s="3431"/>
    </row>
    <row r="45" spans="1:32" x14ac:dyDescent="0.25">
      <c r="A45" s="3432" t="s">
        <v>3159</v>
      </c>
      <c r="B45" s="3432"/>
      <c r="C45" s="3432"/>
      <c r="D45" s="3432"/>
      <c r="E45" s="3433">
        <v>25</v>
      </c>
      <c r="F45" s="3433"/>
      <c r="G45" s="3433"/>
      <c r="H45" s="3433"/>
      <c r="I45" s="3434">
        <f>2/361</f>
        <v>5.5401662049861496E-3</v>
      </c>
      <c r="J45" s="3434"/>
      <c r="K45" s="3434"/>
      <c r="L45" s="3434"/>
      <c r="M45" s="3432">
        <v>1.35</v>
      </c>
      <c r="N45" s="3432"/>
      <c r="O45" s="3432"/>
      <c r="P45" s="3432"/>
      <c r="Q45" s="3432">
        <v>2</v>
      </c>
      <c r="R45" s="3432"/>
      <c r="S45" s="3432"/>
      <c r="T45" s="3432"/>
      <c r="U45" s="3435">
        <f t="shared" ref="U45:U51" si="0">(E45*0.473)/24 * (1/M45)*$Q$37</f>
        <v>1162.426697530864</v>
      </c>
      <c r="V45" s="3435"/>
      <c r="W45" s="3435"/>
      <c r="X45" s="3435"/>
      <c r="Y45" s="3435">
        <f t="shared" ref="Y45:Y51" si="1">(E45*0.473)/24 * (1/Q45)*$Q$37</f>
        <v>784.63802083333326</v>
      </c>
      <c r="Z45" s="3435"/>
      <c r="AA45" s="3435"/>
      <c r="AB45" s="3435"/>
      <c r="AC45" s="3435">
        <f>U45-Y45</f>
        <v>377.78867669753072</v>
      </c>
      <c r="AD45" s="3435"/>
      <c r="AE45" s="3435"/>
      <c r="AF45" s="3435"/>
    </row>
    <row r="46" spans="1:32" x14ac:dyDescent="0.25">
      <c r="A46" s="3432" t="s">
        <v>3160</v>
      </c>
      <c r="B46" s="3432"/>
      <c r="C46" s="3432"/>
      <c r="D46" s="3432"/>
      <c r="E46" s="3433">
        <v>30.25</v>
      </c>
      <c r="F46" s="3433"/>
      <c r="G46" s="3433"/>
      <c r="H46" s="3433"/>
      <c r="I46" s="3434">
        <f>72/361</f>
        <v>0.1994459833795014</v>
      </c>
      <c r="J46" s="3434"/>
      <c r="K46" s="3434"/>
      <c r="L46" s="3434"/>
      <c r="M46" s="3432">
        <v>1.35</v>
      </c>
      <c r="N46" s="3432"/>
      <c r="O46" s="3432"/>
      <c r="P46" s="3432"/>
      <c r="Q46" s="3432">
        <v>2</v>
      </c>
      <c r="R46" s="3432"/>
      <c r="S46" s="3432"/>
      <c r="T46" s="3432"/>
      <c r="U46" s="3435">
        <f t="shared" si="0"/>
        <v>1406.5363040123455</v>
      </c>
      <c r="V46" s="3435"/>
      <c r="W46" s="3435"/>
      <c r="X46" s="3435"/>
      <c r="Y46" s="3435">
        <f t="shared" si="1"/>
        <v>949.41200520833331</v>
      </c>
      <c r="Z46" s="3435"/>
      <c r="AA46" s="3435"/>
      <c r="AB46" s="3435"/>
      <c r="AC46" s="3435">
        <f t="shared" ref="AC46:AC51" si="2">U46-Y46</f>
        <v>457.12429880401214</v>
      </c>
      <c r="AD46" s="3435"/>
      <c r="AE46" s="3435"/>
      <c r="AF46" s="3435"/>
    </row>
    <row r="47" spans="1:32" x14ac:dyDescent="0.25">
      <c r="A47" s="3432" t="s">
        <v>3161</v>
      </c>
      <c r="B47" s="3432"/>
      <c r="C47" s="3432"/>
      <c r="D47" s="3432"/>
      <c r="E47" s="3433">
        <v>44.473684210526315</v>
      </c>
      <c r="F47" s="3433"/>
      <c r="G47" s="3433"/>
      <c r="H47" s="3433"/>
      <c r="I47" s="3434">
        <f>19/361</f>
        <v>5.2631578947368418E-2</v>
      </c>
      <c r="J47" s="3434"/>
      <c r="K47" s="3434"/>
      <c r="L47" s="3434"/>
      <c r="M47" s="3432">
        <v>1.5</v>
      </c>
      <c r="N47" s="3432"/>
      <c r="O47" s="3432"/>
      <c r="P47" s="3432"/>
      <c r="Q47" s="3432">
        <v>2</v>
      </c>
      <c r="R47" s="3432"/>
      <c r="S47" s="3432"/>
      <c r="T47" s="3432"/>
      <c r="U47" s="3435">
        <f t="shared" si="0"/>
        <v>1861.106323099415</v>
      </c>
      <c r="V47" s="3435"/>
      <c r="W47" s="3435"/>
      <c r="X47" s="3435"/>
      <c r="Y47" s="3435">
        <f t="shared" si="1"/>
        <v>1395.8297423245615</v>
      </c>
      <c r="Z47" s="3435"/>
      <c r="AA47" s="3435"/>
      <c r="AB47" s="3435"/>
      <c r="AC47" s="3435">
        <f t="shared" si="2"/>
        <v>465.27658077485353</v>
      </c>
      <c r="AD47" s="3435"/>
      <c r="AE47" s="3435"/>
      <c r="AF47" s="3435"/>
    </row>
    <row r="48" spans="1:32" x14ac:dyDescent="0.25">
      <c r="A48" s="3432" t="s">
        <v>3162</v>
      </c>
      <c r="B48" s="3432"/>
      <c r="C48" s="3432"/>
      <c r="D48" s="3432"/>
      <c r="E48" s="3433">
        <v>50</v>
      </c>
      <c r="F48" s="3433"/>
      <c r="G48" s="3433"/>
      <c r="H48" s="3433"/>
      <c r="I48" s="3434">
        <f>84/361</f>
        <v>0.23268698060941828</v>
      </c>
      <c r="J48" s="3434"/>
      <c r="K48" s="3434"/>
      <c r="L48" s="3434"/>
      <c r="M48" s="3432">
        <v>1.6</v>
      </c>
      <c r="N48" s="3432"/>
      <c r="O48" s="3432"/>
      <c r="P48" s="3432"/>
      <c r="Q48" s="3432">
        <v>2</v>
      </c>
      <c r="R48" s="3432"/>
      <c r="S48" s="3432"/>
      <c r="T48" s="3432"/>
      <c r="U48" s="3435">
        <f t="shared" si="0"/>
        <v>1961.5950520833333</v>
      </c>
      <c r="V48" s="3435"/>
      <c r="W48" s="3435"/>
      <c r="X48" s="3435"/>
      <c r="Y48" s="3435">
        <f t="shared" si="1"/>
        <v>1569.2760416666665</v>
      </c>
      <c r="Z48" s="3435"/>
      <c r="AA48" s="3435"/>
      <c r="AB48" s="3435"/>
      <c r="AC48" s="3435">
        <f t="shared" si="2"/>
        <v>392.31901041666674</v>
      </c>
      <c r="AD48" s="3435"/>
      <c r="AE48" s="3435"/>
      <c r="AF48" s="3435"/>
    </row>
    <row r="49" spans="1:32" x14ac:dyDescent="0.25">
      <c r="A49" s="3432" t="s">
        <v>3163</v>
      </c>
      <c r="B49" s="3432"/>
      <c r="C49" s="3432"/>
      <c r="D49" s="3432"/>
      <c r="E49" s="3433">
        <v>68.779444444444451</v>
      </c>
      <c r="F49" s="3433"/>
      <c r="G49" s="3433"/>
      <c r="H49" s="3433"/>
      <c r="I49" s="3434">
        <f>144/361</f>
        <v>0.39889196675900279</v>
      </c>
      <c r="J49" s="3434"/>
      <c r="K49" s="3434"/>
      <c r="L49" s="3434"/>
      <c r="M49" s="3432">
        <v>1.7</v>
      </c>
      <c r="N49" s="3432"/>
      <c r="O49" s="3432"/>
      <c r="P49" s="3432"/>
      <c r="Q49" s="3432">
        <v>2</v>
      </c>
      <c r="R49" s="3432"/>
      <c r="S49" s="3432"/>
      <c r="T49" s="3432"/>
      <c r="U49" s="3435">
        <f t="shared" si="0"/>
        <v>2539.6219841367106</v>
      </c>
      <c r="V49" s="3435"/>
      <c r="W49" s="3435"/>
      <c r="X49" s="3435"/>
      <c r="Y49" s="3435">
        <f t="shared" si="1"/>
        <v>2158.6786865162039</v>
      </c>
      <c r="Z49" s="3435"/>
      <c r="AA49" s="3435"/>
      <c r="AB49" s="3435"/>
      <c r="AC49" s="3435">
        <f t="shared" si="2"/>
        <v>380.94329762050666</v>
      </c>
      <c r="AD49" s="3435"/>
      <c r="AE49" s="3435"/>
      <c r="AF49" s="3435"/>
    </row>
    <row r="50" spans="1:32" x14ac:dyDescent="0.25">
      <c r="A50" s="3432" t="s">
        <v>3164</v>
      </c>
      <c r="B50" s="3432"/>
      <c r="C50" s="3432"/>
      <c r="D50" s="3432"/>
      <c r="E50" s="3433">
        <v>106.11824999999999</v>
      </c>
      <c r="F50" s="3433"/>
      <c r="G50" s="3433"/>
      <c r="H50" s="3433"/>
      <c r="I50" s="3434">
        <f>40/361</f>
        <v>0.11080332409972299</v>
      </c>
      <c r="J50" s="3434"/>
      <c r="K50" s="3434"/>
      <c r="L50" s="3434"/>
      <c r="M50" s="3432">
        <v>2.5</v>
      </c>
      <c r="N50" s="3432"/>
      <c r="O50" s="3432"/>
      <c r="P50" s="3432"/>
      <c r="Q50" s="3432">
        <v>2.8</v>
      </c>
      <c r="R50" s="3432"/>
      <c r="S50" s="3432"/>
      <c r="T50" s="3432"/>
      <c r="U50" s="3435">
        <f t="shared" si="0"/>
        <v>2664.4612369374995</v>
      </c>
      <c r="V50" s="3435"/>
      <c r="W50" s="3435"/>
      <c r="X50" s="3435"/>
      <c r="Y50" s="3435">
        <f t="shared" si="1"/>
        <v>2378.9832472656244</v>
      </c>
      <c r="Z50" s="3435"/>
      <c r="AA50" s="3435"/>
      <c r="AB50" s="3435"/>
      <c r="AC50" s="3435">
        <f t="shared" si="2"/>
        <v>285.47798967187509</v>
      </c>
      <c r="AD50" s="3435"/>
      <c r="AE50" s="3435"/>
      <c r="AF50" s="3435"/>
    </row>
    <row r="51" spans="1:32" x14ac:dyDescent="0.25">
      <c r="A51" s="3440" t="s">
        <v>57</v>
      </c>
      <c r="B51" s="3440"/>
      <c r="C51" s="3440"/>
      <c r="D51" s="3440"/>
      <c r="E51" s="3441">
        <f>SUMPRODUCT(I45:L50,E45:H50)</f>
        <v>59.34063711911358</v>
      </c>
      <c r="F51" s="3441"/>
      <c r="G51" s="3441"/>
      <c r="H51" s="3441"/>
      <c r="I51" s="3442"/>
      <c r="J51" s="3442"/>
      <c r="K51" s="3442"/>
      <c r="L51" s="3442"/>
      <c r="M51" s="3441">
        <f>SUMPRODUCT(I45:L50,M45:P50)</f>
        <v>1.6831024930747924</v>
      </c>
      <c r="N51" s="3441"/>
      <c r="O51" s="3441"/>
      <c r="P51" s="3441"/>
      <c r="Q51" s="3441">
        <f>SUMPRODUCT(I45:L50,Q45:T50)</f>
        <v>2.0886426592797784</v>
      </c>
      <c r="R51" s="3441"/>
      <c r="S51" s="3441"/>
      <c r="T51" s="3441"/>
      <c r="U51" s="3443">
        <f t="shared" si="0"/>
        <v>2213.0996896841398</v>
      </c>
      <c r="V51" s="3443"/>
      <c r="W51" s="3443"/>
      <c r="X51" s="3443"/>
      <c r="Y51" s="3443">
        <f t="shared" si="1"/>
        <v>1783.3943918462646</v>
      </c>
      <c r="Z51" s="3443"/>
      <c r="AA51" s="3443"/>
      <c r="AB51" s="3443"/>
      <c r="AC51" s="3443">
        <f t="shared" si="2"/>
        <v>429.70529783787515</v>
      </c>
      <c r="AD51" s="3443"/>
      <c r="AE51" s="3443"/>
      <c r="AF51" s="3443"/>
    </row>
    <row r="52" spans="1:32" ht="54" customHeight="1" x14ac:dyDescent="0.25">
      <c r="A52" s="3437" t="s">
        <v>1047</v>
      </c>
      <c r="B52" s="3437"/>
      <c r="C52" s="3438" t="s">
        <v>3165</v>
      </c>
      <c r="D52" s="3439"/>
      <c r="E52" s="3439"/>
      <c r="F52" s="3439"/>
      <c r="G52" s="3439"/>
      <c r="H52" s="3439"/>
      <c r="I52" s="3439"/>
      <c r="J52" s="3439"/>
      <c r="K52" s="3439"/>
      <c r="L52" s="3439"/>
      <c r="M52" s="3439"/>
      <c r="N52" s="3439"/>
      <c r="O52" s="3439"/>
      <c r="P52" s="3439"/>
      <c r="Q52" s="3439"/>
      <c r="R52" s="3439"/>
      <c r="S52" s="3439"/>
      <c r="T52" s="3439"/>
      <c r="U52" s="3439"/>
      <c r="V52" s="3439"/>
      <c r="W52" s="3439"/>
      <c r="X52" s="3439"/>
      <c r="Y52" s="3439"/>
      <c r="Z52" s="3439"/>
      <c r="AA52" s="3439"/>
      <c r="AB52" s="3439"/>
      <c r="AC52" s="3439"/>
      <c r="AD52" s="3439"/>
      <c r="AE52" s="3439"/>
      <c r="AF52" s="3439"/>
    </row>
    <row r="53" spans="1:32" ht="15.75" thickBot="1" x14ac:dyDescent="0.3"/>
    <row r="54" spans="1:32" x14ac:dyDescent="0.25">
      <c r="A54" s="3213" t="s">
        <v>22</v>
      </c>
      <c r="B54" s="3162"/>
      <c r="C54" s="3162"/>
      <c r="D54" s="3162"/>
      <c r="E54" s="3162"/>
      <c r="F54" s="3162"/>
      <c r="G54" s="3162"/>
      <c r="H54" s="3162"/>
      <c r="I54" s="3162" t="s">
        <v>23</v>
      </c>
      <c r="J54" s="3162"/>
      <c r="K54" s="3162"/>
      <c r="L54" s="3162"/>
      <c r="M54" s="3162"/>
      <c r="N54" s="3162"/>
      <c r="O54" s="3162"/>
      <c r="P54" s="3162"/>
      <c r="Q54" s="3162" t="s">
        <v>24</v>
      </c>
      <c r="R54" s="3162"/>
      <c r="S54" s="3162"/>
      <c r="T54" s="3162"/>
      <c r="U54" s="3162"/>
      <c r="V54" s="3162"/>
      <c r="W54" s="3162"/>
      <c r="X54" s="3207"/>
      <c r="Y54" s="3162" t="s">
        <v>2012</v>
      </c>
      <c r="Z54" s="3162"/>
      <c r="AA54" s="3162"/>
      <c r="AB54" s="3162"/>
      <c r="AC54" s="3162"/>
      <c r="AD54" s="3162"/>
      <c r="AE54" s="3162"/>
      <c r="AF54" s="3163"/>
    </row>
    <row r="55" spans="1:32" ht="15.75" thickBot="1" x14ac:dyDescent="0.3">
      <c r="A55" s="3208" t="s">
        <v>3125</v>
      </c>
      <c r="B55" s="3209"/>
      <c r="C55" s="3209"/>
      <c r="D55" s="3209"/>
      <c r="E55" s="3209"/>
      <c r="F55" s="3209"/>
      <c r="G55" s="3209"/>
      <c r="H55" s="3209"/>
      <c r="I55" s="3210">
        <f>ROUND((E51*0.473)/24 * (1/M51-1/Q51)*$Q$36,3)</f>
        <v>4.9000000000000002E-2</v>
      </c>
      <c r="J55" s="3210"/>
      <c r="K55" s="3210"/>
      <c r="L55" s="3210"/>
      <c r="M55" s="3210"/>
      <c r="N55" s="3210"/>
      <c r="O55" s="3210"/>
      <c r="P55" s="3210"/>
      <c r="Q55" s="3211">
        <f>ROUND(AC51,2)</f>
        <v>429.71</v>
      </c>
      <c r="R55" s="3211"/>
      <c r="S55" s="3211"/>
      <c r="T55" s="3211"/>
      <c r="U55" s="3211"/>
      <c r="V55" s="3211"/>
      <c r="W55" s="3211"/>
      <c r="X55" s="3212"/>
      <c r="Y55" s="1889">
        <f>ROUND($Q$55*$Q$39,2)</f>
        <v>5156.5200000000004</v>
      </c>
      <c r="Z55" s="1889"/>
      <c r="AA55" s="1889"/>
      <c r="AB55" s="1889"/>
      <c r="AC55" s="1889"/>
      <c r="AD55" s="1889"/>
      <c r="AE55" s="1889"/>
      <c r="AF55" s="1890"/>
    </row>
    <row r="58" spans="1:32" x14ac:dyDescent="0.25">
      <c r="A58" s="1472" t="s">
        <v>1753</v>
      </c>
      <c r="B58" s="1472"/>
      <c r="C58" s="1472"/>
      <c r="D58" s="1472"/>
      <c r="E58" s="1472"/>
      <c r="F58" s="1472"/>
      <c r="G58" s="1472"/>
      <c r="H58" s="1472"/>
      <c r="I58" s="1472"/>
      <c r="J58" s="1472"/>
      <c r="K58" s="1472"/>
      <c r="L58" s="1472"/>
      <c r="M58" s="1472"/>
      <c r="N58" s="1472"/>
      <c r="O58" s="1472"/>
      <c r="P58" s="1472"/>
      <c r="Q58" s="1472"/>
      <c r="R58" s="1472"/>
      <c r="S58" s="1472"/>
      <c r="T58" s="1472"/>
      <c r="U58" s="1472"/>
      <c r="V58" s="1472"/>
      <c r="W58" s="1472"/>
      <c r="X58" s="1472"/>
      <c r="Y58" s="1472"/>
      <c r="Z58" s="1472"/>
      <c r="AA58" s="1472"/>
      <c r="AB58" s="1472"/>
      <c r="AC58" s="1472"/>
      <c r="AD58" s="1472"/>
      <c r="AE58" s="1472"/>
      <c r="AF58" s="1472"/>
    </row>
    <row r="59" spans="1:32" x14ac:dyDescent="0.25">
      <c r="A59"/>
      <c r="B59"/>
      <c r="C59"/>
      <c r="D59"/>
      <c r="E59"/>
      <c r="F59"/>
      <c r="G59"/>
      <c r="H59"/>
      <c r="I59"/>
      <c r="J59"/>
      <c r="K59"/>
      <c r="L59"/>
      <c r="M59"/>
      <c r="N59"/>
      <c r="O59"/>
      <c r="P59"/>
      <c r="Q59"/>
      <c r="R59"/>
      <c r="S59"/>
      <c r="T59"/>
      <c r="U59"/>
      <c r="V59"/>
      <c r="W59"/>
      <c r="X59"/>
      <c r="Y59"/>
      <c r="Z59"/>
      <c r="AA59"/>
      <c r="AB59"/>
      <c r="AC59"/>
      <c r="AD59"/>
      <c r="AE59"/>
      <c r="AF59"/>
    </row>
    <row r="60" spans="1:32" x14ac:dyDescent="0.25">
      <c r="A60" s="515" t="s">
        <v>1013</v>
      </c>
      <c r="B60" s="1247" t="s">
        <v>3187</v>
      </c>
      <c r="C60" s="1247"/>
      <c r="D60" s="1247"/>
      <c r="E60" s="1247"/>
      <c r="F60" s="1247"/>
      <c r="G60" s="1247"/>
      <c r="H60" s="1247"/>
      <c r="I60" s="1247"/>
      <c r="J60" s="1247"/>
      <c r="K60" s="1247"/>
      <c r="L60" s="1247"/>
      <c r="M60" s="1247"/>
      <c r="N60" s="1247"/>
      <c r="O60" s="1247"/>
      <c r="P60" s="1247"/>
      <c r="Q60" s="1247"/>
      <c r="R60" s="1247"/>
      <c r="S60" s="1247"/>
      <c r="T60" s="1247"/>
      <c r="U60" s="1247"/>
      <c r="V60" s="1247"/>
      <c r="W60" s="1247"/>
      <c r="X60" s="1247"/>
      <c r="Y60" s="1247"/>
      <c r="Z60" s="1247"/>
      <c r="AA60" s="1247"/>
      <c r="AB60" s="1247"/>
      <c r="AC60" s="1247"/>
      <c r="AD60" s="1247"/>
      <c r="AE60" s="1247"/>
      <c r="AF60" s="1247"/>
    </row>
    <row r="61" spans="1:32" x14ac:dyDescent="0.25">
      <c r="A61" s="515" t="s">
        <v>1013</v>
      </c>
      <c r="B61" s="1247" t="s">
        <v>3192</v>
      </c>
      <c r="C61" s="1247"/>
      <c r="D61" s="1247"/>
      <c r="E61" s="1247"/>
      <c r="F61" s="1247"/>
      <c r="G61" s="1247"/>
      <c r="H61" s="1247"/>
      <c r="I61" s="1247"/>
      <c r="J61" s="1247"/>
      <c r="K61" s="1247"/>
      <c r="L61" s="1247"/>
      <c r="M61" s="1247"/>
      <c r="N61" s="1247"/>
      <c r="O61" s="1247"/>
      <c r="P61" s="1247"/>
      <c r="Q61" s="1247"/>
      <c r="R61" s="1247"/>
      <c r="S61" s="1247"/>
      <c r="T61" s="1247"/>
      <c r="U61" s="1247"/>
      <c r="V61" s="1247"/>
      <c r="W61" s="1247"/>
      <c r="X61" s="1247"/>
      <c r="Y61" s="1247"/>
      <c r="Z61" s="1247"/>
      <c r="AA61" s="1247"/>
      <c r="AB61" s="1247"/>
      <c r="AC61" s="1247"/>
      <c r="AD61" s="1247"/>
      <c r="AE61" s="1247"/>
      <c r="AF61" s="1247"/>
    </row>
    <row r="62" spans="1:32" ht="31.5" customHeight="1" x14ac:dyDescent="0.25">
      <c r="A62" s="515" t="s">
        <v>1013</v>
      </c>
      <c r="B62" s="1247" t="s">
        <v>3190</v>
      </c>
      <c r="C62" s="1247"/>
      <c r="D62" s="1247"/>
      <c r="E62" s="1247"/>
      <c r="F62" s="1247"/>
      <c r="G62" s="1247"/>
      <c r="H62" s="1247"/>
      <c r="I62" s="1247"/>
      <c r="J62" s="1247"/>
      <c r="K62" s="1247"/>
      <c r="L62" s="1247"/>
      <c r="M62" s="1247"/>
      <c r="N62" s="1247"/>
      <c r="O62" s="1247"/>
      <c r="P62" s="1247"/>
      <c r="Q62" s="1247"/>
      <c r="R62" s="1247"/>
      <c r="S62" s="1247"/>
      <c r="T62" s="1247"/>
      <c r="U62" s="1247"/>
      <c r="V62" s="1247"/>
      <c r="W62" s="1247"/>
      <c r="X62" s="1247"/>
      <c r="Y62" s="1247"/>
      <c r="Z62" s="1247"/>
      <c r="AA62" s="1247"/>
      <c r="AB62" s="1247"/>
      <c r="AC62" s="1247"/>
      <c r="AD62" s="1247"/>
      <c r="AE62" s="1247"/>
      <c r="AF62" s="1247"/>
    </row>
    <row r="63" spans="1:32" ht="31.5" customHeight="1" x14ac:dyDescent="0.25">
      <c r="A63" s="515" t="s">
        <v>1013</v>
      </c>
      <c r="B63" s="1247" t="s">
        <v>3189</v>
      </c>
      <c r="C63" s="1247"/>
      <c r="D63" s="1247"/>
      <c r="E63" s="1247"/>
      <c r="F63" s="1247"/>
      <c r="G63" s="1247"/>
      <c r="H63" s="1247"/>
      <c r="I63" s="1247"/>
      <c r="J63" s="1247"/>
      <c r="K63" s="1247"/>
      <c r="L63" s="1247"/>
      <c r="M63" s="1247"/>
      <c r="N63" s="1247"/>
      <c r="O63" s="1247"/>
      <c r="P63" s="1247"/>
      <c r="Q63" s="1247"/>
      <c r="R63" s="1247"/>
      <c r="S63" s="1247"/>
      <c r="T63" s="1247"/>
      <c r="U63" s="1247"/>
      <c r="V63" s="1247"/>
      <c r="W63" s="1247"/>
      <c r="X63" s="1247"/>
      <c r="Y63" s="1247"/>
      <c r="Z63" s="1247"/>
      <c r="AA63" s="1247"/>
      <c r="AB63" s="1247"/>
      <c r="AC63" s="1247"/>
      <c r="AD63" s="1247"/>
      <c r="AE63" s="1247"/>
      <c r="AF63" s="1247"/>
    </row>
    <row r="64" spans="1:32" ht="63" customHeight="1" x14ac:dyDescent="0.25">
      <c r="A64" s="515" t="s">
        <v>1013</v>
      </c>
      <c r="B64" s="1247" t="s">
        <v>3188</v>
      </c>
      <c r="C64" s="1247"/>
      <c r="D64" s="1247"/>
      <c r="E64" s="1247"/>
      <c r="F64" s="1247"/>
      <c r="G64" s="1247"/>
      <c r="H64" s="1247"/>
      <c r="I64" s="1247"/>
      <c r="J64" s="1247"/>
      <c r="K64" s="1247"/>
      <c r="L64" s="1247"/>
      <c r="M64" s="1247"/>
      <c r="N64" s="1247"/>
      <c r="O64" s="1247"/>
      <c r="P64" s="1247"/>
      <c r="Q64" s="1247"/>
      <c r="R64" s="1247"/>
      <c r="S64" s="1247"/>
      <c r="T64" s="1247"/>
      <c r="U64" s="1247"/>
      <c r="V64" s="1247"/>
      <c r="W64" s="1247"/>
      <c r="X64" s="1247"/>
      <c r="Y64" s="1247"/>
      <c r="Z64" s="1247"/>
      <c r="AA64" s="1247"/>
      <c r="AB64" s="1247"/>
      <c r="AC64" s="1247"/>
      <c r="AD64" s="1247"/>
      <c r="AE64" s="1247"/>
      <c r="AF64" s="1247"/>
    </row>
    <row r="65" spans="1:1" x14ac:dyDescent="0.25">
      <c r="A65" s="515"/>
    </row>
  </sheetData>
  <sheetProtection algorithmName="SHA-512" hashValue="6VVd0Q806OVGLhaHoB9gBZZ6da4t8y5oTjSfrp7ojMxzd4Rku7dgW1fQB+/jZDtOikXBu+FnLZ39drZgdbcOZg==" saltValue="K3g/9qKPoZX9K2sn7HQFpg==" spinCount="100000" sheet="1" objects="1" scenarios="1"/>
  <mergeCells count="135">
    <mergeCell ref="A52:B52"/>
    <mergeCell ref="C52:AF52"/>
    <mergeCell ref="A54:H54"/>
    <mergeCell ref="I54:P54"/>
    <mergeCell ref="Q54:X54"/>
    <mergeCell ref="A55:H55"/>
    <mergeCell ref="I55:P55"/>
    <mergeCell ref="Q55:X55"/>
    <mergeCell ref="Y50:AB50"/>
    <mergeCell ref="AC50:AF50"/>
    <mergeCell ref="A51:D51"/>
    <mergeCell ref="E51:H51"/>
    <mergeCell ref="I51:L51"/>
    <mergeCell ref="M51:P51"/>
    <mergeCell ref="Q51:T51"/>
    <mergeCell ref="U51:X51"/>
    <mergeCell ref="Y51:AB51"/>
    <mergeCell ref="AC51:AF51"/>
    <mergeCell ref="A50:D50"/>
    <mergeCell ref="E50:H50"/>
    <mergeCell ref="I50:L50"/>
    <mergeCell ref="M50:P50"/>
    <mergeCell ref="Q50:T50"/>
    <mergeCell ref="U50:X50"/>
    <mergeCell ref="Y48:AB48"/>
    <mergeCell ref="AC48:AF48"/>
    <mergeCell ref="A49:D49"/>
    <mergeCell ref="E49:H49"/>
    <mergeCell ref="I49:L49"/>
    <mergeCell ref="M49:P49"/>
    <mergeCell ref="Q49:T49"/>
    <mergeCell ref="U49:X49"/>
    <mergeCell ref="Y49:AB49"/>
    <mergeCell ref="AC49:AF49"/>
    <mergeCell ref="A48:D48"/>
    <mergeCell ref="E48:H48"/>
    <mergeCell ref="I48:L48"/>
    <mergeCell ref="M48:P48"/>
    <mergeCell ref="Q48:T48"/>
    <mergeCell ref="U48:X48"/>
    <mergeCell ref="Y46:AB46"/>
    <mergeCell ref="AC46:AF46"/>
    <mergeCell ref="A47:D47"/>
    <mergeCell ref="E47:H47"/>
    <mergeCell ref="I47:L47"/>
    <mergeCell ref="M47:P47"/>
    <mergeCell ref="Q47:T47"/>
    <mergeCell ref="U47:X47"/>
    <mergeCell ref="Y47:AB47"/>
    <mergeCell ref="AC47:AF47"/>
    <mergeCell ref="A46:D46"/>
    <mergeCell ref="E46:H46"/>
    <mergeCell ref="I46:L46"/>
    <mergeCell ref="M46:P46"/>
    <mergeCell ref="Q46:T46"/>
    <mergeCell ref="U46:X46"/>
    <mergeCell ref="Y44:AB44"/>
    <mergeCell ref="AC44:AF44"/>
    <mergeCell ref="A45:D45"/>
    <mergeCell ref="E45:H45"/>
    <mergeCell ref="I45:L45"/>
    <mergeCell ref="M45:P45"/>
    <mergeCell ref="Q45:T45"/>
    <mergeCell ref="U45:X45"/>
    <mergeCell ref="Y45:AB45"/>
    <mergeCell ref="AC45:AF45"/>
    <mergeCell ref="A44:D44"/>
    <mergeCell ref="E44:H44"/>
    <mergeCell ref="I44:L44"/>
    <mergeCell ref="M44:P44"/>
    <mergeCell ref="Q44:T44"/>
    <mergeCell ref="U44:X44"/>
    <mergeCell ref="A39:D39"/>
    <mergeCell ref="E39:P39"/>
    <mergeCell ref="Q39:T39"/>
    <mergeCell ref="U39:W39"/>
    <mergeCell ref="X39:AF39"/>
    <mergeCell ref="A42:AF42"/>
    <mergeCell ref="A37:D37"/>
    <mergeCell ref="E37:P37"/>
    <mergeCell ref="Q37:T37"/>
    <mergeCell ref="U37:W37"/>
    <mergeCell ref="X37:AF37"/>
    <mergeCell ref="A38:D38"/>
    <mergeCell ref="E38:P38"/>
    <mergeCell ref="Q38:T38"/>
    <mergeCell ref="U38:W38"/>
    <mergeCell ref="X38:AF38"/>
    <mergeCell ref="Q34:T34"/>
    <mergeCell ref="U34:W34"/>
    <mergeCell ref="X34:AF34"/>
    <mergeCell ref="A35:D35"/>
    <mergeCell ref="E35:P35"/>
    <mergeCell ref="Q35:T35"/>
    <mergeCell ref="U35:W35"/>
    <mergeCell ref="X35:AF35"/>
    <mergeCell ref="A36:D36"/>
    <mergeCell ref="E36:P36"/>
    <mergeCell ref="Q36:T36"/>
    <mergeCell ref="U36:W36"/>
    <mergeCell ref="X36:AF36"/>
    <mergeCell ref="A1:AF1"/>
    <mergeCell ref="A7:AF7"/>
    <mergeCell ref="B10:AF10"/>
    <mergeCell ref="B13:AF13"/>
    <mergeCell ref="B16:AF16"/>
    <mergeCell ref="A25:AF25"/>
    <mergeCell ref="A3:AF3"/>
    <mergeCell ref="B5:AF5"/>
    <mergeCell ref="B19:AF19"/>
    <mergeCell ref="B22:AF22"/>
    <mergeCell ref="Y54:AF54"/>
    <mergeCell ref="Y55:AF55"/>
    <mergeCell ref="A58:AF58"/>
    <mergeCell ref="B60:AF60"/>
    <mergeCell ref="B62:AF62"/>
    <mergeCell ref="B64:AF64"/>
    <mergeCell ref="B63:AF63"/>
    <mergeCell ref="B61:AF61"/>
    <mergeCell ref="A27:F27"/>
    <mergeCell ref="A28:F28"/>
    <mergeCell ref="A31:AF31"/>
    <mergeCell ref="A32:D32"/>
    <mergeCell ref="E32:P32"/>
    <mergeCell ref="Q32:T32"/>
    <mergeCell ref="U32:W32"/>
    <mergeCell ref="X32:AF32"/>
    <mergeCell ref="A29:F29"/>
    <mergeCell ref="A33:D33"/>
    <mergeCell ref="E33:P33"/>
    <mergeCell ref="Q33:T33"/>
    <mergeCell ref="U33:W33"/>
    <mergeCell ref="X33:AF33"/>
    <mergeCell ref="A34:D34"/>
    <mergeCell ref="E34:P34"/>
  </mergeCells>
  <hyperlinks>
    <hyperlink ref="A2" location="TOC!A1" display="Return to TOC" xr:uid="{00000000-0004-0000-5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49">
    <tabColor theme="8" tint="0.79998168889431442"/>
    <pageSetUpPr autoPageBreaks="0"/>
  </sheetPr>
  <dimension ref="A1:CI131"/>
  <sheetViews>
    <sheetView topLeftCell="A60" zoomScaleNormal="100" workbookViewId="0">
      <selection sqref="A1:AF1"/>
    </sheetView>
  </sheetViews>
  <sheetFormatPr defaultColWidth="2.7109375" defaultRowHeight="15" x14ac:dyDescent="0.25"/>
  <sheetData>
    <row r="1" spans="1:63" s="1" customFormat="1" ht="18.75" x14ac:dyDescent="0.25">
      <c r="A1" s="1464" t="s">
        <v>1121</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L1" s="266"/>
    </row>
    <row r="2" spans="1:63" ht="14.45" customHeight="1" x14ac:dyDescent="0.25">
      <c r="A2" s="376" t="s">
        <v>1702</v>
      </c>
    </row>
    <row r="3" spans="1:63"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c r="AL3" s="266"/>
    </row>
    <row r="4" spans="1:63"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L4" s="839"/>
    </row>
    <row r="5" spans="1:63" ht="113.25" customHeight="1" x14ac:dyDescent="0.25">
      <c r="A5" s="262"/>
      <c r="B5" s="1589" t="s">
        <v>7106</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I5" s="839"/>
      <c r="AJ5" s="839"/>
      <c r="AK5" s="839"/>
      <c r="AL5" s="839"/>
      <c r="AM5" s="624"/>
      <c r="AN5" s="839"/>
      <c r="AO5" s="839"/>
      <c r="AP5" s="839"/>
      <c r="AQ5" s="839"/>
      <c r="AR5" s="839"/>
      <c r="AS5" s="839"/>
      <c r="AT5" s="839"/>
      <c r="AU5" s="839"/>
      <c r="AV5" s="839"/>
      <c r="AW5" s="839"/>
      <c r="AX5" s="839"/>
      <c r="AY5" s="839"/>
      <c r="AZ5" s="839"/>
      <c r="BA5" s="839"/>
      <c r="BB5" s="839"/>
      <c r="BC5" s="839"/>
      <c r="BD5" s="839"/>
      <c r="BE5" s="839"/>
      <c r="BF5" s="839"/>
      <c r="BG5" s="839"/>
      <c r="BH5" s="839"/>
      <c r="BI5" s="839"/>
      <c r="BJ5" s="839"/>
      <c r="BK5" s="839"/>
    </row>
    <row r="6" spans="1:63" ht="14.45" customHeight="1" x14ac:dyDescent="0.25">
      <c r="A6" s="529"/>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L6" s="266"/>
    </row>
    <row r="7" spans="1:63" s="1" customFormat="1"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c r="AL7" s="266"/>
    </row>
    <row r="8" spans="1:63" s="1" customFormat="1" x14ac:dyDescent="0.25">
      <c r="A8" s="19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L8" s="266"/>
    </row>
    <row r="9" spans="1:63" s="1" customFormat="1"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c r="AL9" s="266"/>
    </row>
    <row r="10" spans="1:63" s="4" customFormat="1" ht="60.75" customHeight="1" x14ac:dyDescent="0.25">
      <c r="A10" s="263"/>
      <c r="B10" s="1589" t="s">
        <v>7107</v>
      </c>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L10" s="268"/>
    </row>
    <row r="11" spans="1:63" s="1" customFormat="1"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L11" s="266"/>
    </row>
    <row r="12" spans="1:63" s="1" customFormat="1"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L12" s="266"/>
    </row>
    <row r="13" spans="1:63" s="1" customFormat="1" ht="30" customHeight="1" x14ac:dyDescent="0.25">
      <c r="A13" s="262"/>
      <c r="B13" s="1589" t="s">
        <v>5588</v>
      </c>
      <c r="C13" s="1589"/>
      <c r="D13" s="1589"/>
      <c r="E13" s="1589"/>
      <c r="F13" s="1589"/>
      <c r="G13" s="1589"/>
      <c r="H13" s="1589"/>
      <c r="I13" s="1589"/>
      <c r="J13" s="1589"/>
      <c r="K13" s="1589"/>
      <c r="L13" s="1589"/>
      <c r="M13" s="1589"/>
      <c r="N13" s="1589"/>
      <c r="O13" s="1589"/>
      <c r="P13" s="1589"/>
      <c r="Q13" s="1589"/>
      <c r="R13" s="1589"/>
      <c r="S13" s="1589"/>
      <c r="T13" s="1589"/>
      <c r="U13" s="1589"/>
      <c r="V13" s="1589"/>
      <c r="W13" s="1589"/>
      <c r="X13" s="1589"/>
      <c r="Y13" s="1589"/>
      <c r="Z13" s="1589"/>
      <c r="AA13" s="1589"/>
      <c r="AB13" s="1589"/>
      <c r="AC13" s="1589"/>
      <c r="AD13" s="1589"/>
      <c r="AE13" s="1589"/>
      <c r="AF13" s="1589"/>
      <c r="AL13" s="266"/>
    </row>
    <row r="14" spans="1:63" s="1" customFormat="1" x14ac:dyDescent="0.25">
      <c r="A14" s="262"/>
      <c r="B14" s="1589" t="s">
        <v>1755</v>
      </c>
      <c r="C14" s="1589"/>
      <c r="D14" s="1589"/>
      <c r="E14" s="1589"/>
      <c r="F14" s="1589"/>
      <c r="G14" s="1589"/>
      <c r="H14" s="1589"/>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L14" s="839"/>
    </row>
    <row r="15" spans="1:63" s="1" customFormat="1" ht="30" customHeight="1" x14ac:dyDescent="0.25">
      <c r="A15" s="262"/>
      <c r="B15" s="1589" t="s">
        <v>7108</v>
      </c>
      <c r="C15" s="1589"/>
      <c r="D15" s="1589"/>
      <c r="E15" s="1589"/>
      <c r="F15" s="1589"/>
      <c r="G15" s="1589"/>
      <c r="H15" s="1589"/>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I15" s="839"/>
      <c r="AM15" s="624"/>
    </row>
    <row r="16" spans="1:63" s="1" customFormat="1" x14ac:dyDescent="0.25">
      <c r="A16" s="262"/>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L16" s="266"/>
    </row>
    <row r="17" spans="1:38" s="1" customFormat="1" x14ac:dyDescent="0.25">
      <c r="B17" s="1475" t="s">
        <v>12</v>
      </c>
      <c r="C17" s="1475"/>
      <c r="D17" s="1475"/>
      <c r="E17" s="1475"/>
      <c r="F17" s="1475"/>
      <c r="G17" s="1475"/>
      <c r="H17" s="1475"/>
      <c r="I17" s="1475"/>
      <c r="AL17" s="266"/>
    </row>
    <row r="18" spans="1:38" s="1" customFormat="1" x14ac:dyDescent="0.25">
      <c r="B18" s="1473" t="s">
        <v>3172</v>
      </c>
      <c r="C18" s="1473"/>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L18" s="266"/>
    </row>
    <row r="19" spans="1:38" s="1" customFormat="1" x14ac:dyDescent="0.25">
      <c r="AL19" s="266"/>
    </row>
    <row r="20" spans="1:38" s="1" customFormat="1" x14ac:dyDescent="0.25">
      <c r="B20" s="1475" t="s">
        <v>13</v>
      </c>
      <c r="C20" s="1475"/>
      <c r="D20" s="1475"/>
      <c r="E20" s="1475"/>
      <c r="F20" s="1475"/>
      <c r="G20" s="1475"/>
      <c r="H20" s="1475"/>
      <c r="I20" s="1475"/>
      <c r="AL20" s="266"/>
    </row>
    <row r="21" spans="1:38" s="1" customFormat="1" ht="51" customHeight="1" x14ac:dyDescent="0.25">
      <c r="B21" s="1173" t="s">
        <v>5604</v>
      </c>
      <c r="C21" s="1173"/>
      <c r="D21" s="1173"/>
      <c r="E21" s="1173"/>
      <c r="F21" s="1173"/>
      <c r="G21" s="1173"/>
      <c r="H21" s="1173"/>
      <c r="I21" s="1173"/>
      <c r="J21" s="1173"/>
      <c r="K21" s="1173"/>
      <c r="L21" s="1173"/>
      <c r="M21" s="1173"/>
      <c r="N21" s="1173"/>
      <c r="O21" s="1173"/>
      <c r="P21" s="1173"/>
      <c r="Q21" s="1173"/>
      <c r="R21" s="1173"/>
      <c r="S21" s="1173"/>
      <c r="T21" s="1173"/>
      <c r="U21" s="1173"/>
      <c r="V21" s="1173"/>
      <c r="W21" s="1173"/>
      <c r="X21" s="1173"/>
      <c r="Y21" s="1173"/>
      <c r="Z21" s="1173"/>
      <c r="AA21" s="1173"/>
      <c r="AB21" s="1173"/>
      <c r="AC21" s="1173"/>
      <c r="AD21" s="1173"/>
      <c r="AE21" s="1173"/>
      <c r="AF21" s="1173"/>
      <c r="AL21" s="266"/>
    </row>
    <row r="22" spans="1:38" s="1" customFormat="1" x14ac:dyDescent="0.25">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L22" s="266"/>
    </row>
    <row r="23" spans="1:38" s="1" customFormat="1" x14ac:dyDescent="0.25">
      <c r="B23" s="1845" t="s">
        <v>20</v>
      </c>
      <c r="C23" s="1845"/>
      <c r="D23" s="1845"/>
      <c r="E23" s="1845"/>
      <c r="F23" s="1845"/>
      <c r="G23" s="1845"/>
      <c r="H23" s="1845"/>
      <c r="I23" s="1845"/>
      <c r="J23" s="1845"/>
      <c r="K23" s="262"/>
      <c r="L23" s="262"/>
      <c r="M23" s="262"/>
      <c r="N23" s="262"/>
      <c r="O23" s="262"/>
      <c r="P23" s="262"/>
      <c r="Q23" s="262"/>
      <c r="R23" s="262"/>
      <c r="S23" s="262"/>
      <c r="T23" s="262"/>
      <c r="U23" s="262"/>
      <c r="V23" s="262"/>
      <c r="W23" s="262"/>
      <c r="X23" s="262"/>
      <c r="Y23" s="262"/>
      <c r="Z23" s="262"/>
      <c r="AA23" s="262"/>
      <c r="AB23" s="262"/>
      <c r="AC23" s="262"/>
      <c r="AD23" s="262"/>
      <c r="AE23" s="262"/>
      <c r="AF23" s="262"/>
      <c r="AL23" s="839"/>
    </row>
    <row r="24" spans="1:38" s="1" customFormat="1" ht="90" customHeight="1" x14ac:dyDescent="0.25">
      <c r="B24" s="1622" t="s">
        <v>7112</v>
      </c>
      <c r="C24" s="1287"/>
      <c r="D24" s="1287"/>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I24" s="839"/>
    </row>
    <row r="25" spans="1:38" s="1" customFormat="1" x14ac:dyDescent="0.25">
      <c r="AL25" s="266"/>
    </row>
    <row r="26" spans="1:38" s="1" customFormat="1" x14ac:dyDescent="0.25">
      <c r="A26" s="1472" t="s">
        <v>14</v>
      </c>
      <c r="B26" s="1472"/>
      <c r="C26" s="1472"/>
      <c r="D26" s="1472"/>
      <c r="E26" s="1472"/>
      <c r="F26" s="1472"/>
      <c r="G26" s="1472"/>
      <c r="H26" s="1472"/>
      <c r="I26" s="1472"/>
      <c r="J26" s="1472"/>
      <c r="K26" s="1472"/>
      <c r="L26" s="1472"/>
      <c r="M26" s="1472"/>
      <c r="N26" s="1472"/>
      <c r="O26" s="1472"/>
      <c r="P26" s="1472"/>
      <c r="Q26" s="1472"/>
      <c r="R26" s="1472"/>
      <c r="S26" s="1472"/>
      <c r="T26" s="1472"/>
      <c r="U26" s="1472"/>
      <c r="V26" s="1472"/>
      <c r="W26" s="1472"/>
      <c r="X26" s="1472"/>
      <c r="Y26" s="1472"/>
      <c r="Z26" s="1472"/>
      <c r="AA26" s="1472"/>
      <c r="AB26" s="1472"/>
      <c r="AC26" s="1472"/>
      <c r="AD26" s="1472"/>
      <c r="AE26" s="1472"/>
      <c r="AF26" s="1472"/>
      <c r="AI26" s="683"/>
      <c r="AL26" s="266"/>
    </row>
    <row r="27" spans="1:38" s="1" customFormat="1" x14ac:dyDescent="0.25">
      <c r="AI27" s="656"/>
      <c r="AL27" s="266"/>
    </row>
    <row r="28" spans="1:38" s="1" customFormat="1" x14ac:dyDescent="0.25">
      <c r="B28" s="519" t="s">
        <v>2303</v>
      </c>
      <c r="AL28" s="266"/>
    </row>
    <row r="29" spans="1:38" s="1" customFormat="1" x14ac:dyDescent="0.25">
      <c r="B29" s="262"/>
      <c r="AL29" s="266"/>
    </row>
    <row r="30" spans="1:38" s="1" customFormat="1" x14ac:dyDescent="0.25">
      <c r="B30" s="262"/>
      <c r="AF30" s="204" t="s">
        <v>1705</v>
      </c>
      <c r="AI30" s="683"/>
      <c r="AL30" s="266"/>
    </row>
    <row r="31" spans="1:38" s="1" customFormat="1" x14ac:dyDescent="0.25">
      <c r="B31" s="262"/>
      <c r="AF31" s="204"/>
      <c r="AL31" s="266"/>
    </row>
    <row r="32" spans="1:38" s="1" customFormat="1" x14ac:dyDescent="0.25">
      <c r="B32" s="414" t="s">
        <v>2194</v>
      </c>
      <c r="AL32" s="266"/>
    </row>
    <row r="33" spans="1:68" s="1" customFormat="1" x14ac:dyDescent="0.25">
      <c r="B33" s="262"/>
      <c r="AL33" s="266"/>
    </row>
    <row r="34" spans="1:68" s="1" customFormat="1" x14ac:dyDescent="0.25">
      <c r="B34" s="262"/>
      <c r="AF34" s="204" t="s">
        <v>1706</v>
      </c>
      <c r="AI34" s="683"/>
      <c r="AL34" s="266"/>
    </row>
    <row r="35" spans="1:68" s="1" customFormat="1" x14ac:dyDescent="0.25">
      <c r="B35" s="262"/>
      <c r="AL35" s="266"/>
    </row>
    <row r="36" spans="1:68" s="1" customFormat="1" x14ac:dyDescent="0.25">
      <c r="B36" s="414" t="s">
        <v>1998</v>
      </c>
      <c r="AF36" s="204"/>
      <c r="AL36" s="266"/>
    </row>
    <row r="37" spans="1:68" s="1" customFormat="1" x14ac:dyDescent="0.25">
      <c r="AF37" s="204"/>
      <c r="AL37" s="266"/>
    </row>
    <row r="38" spans="1:68" s="1" customFormat="1" x14ac:dyDescent="0.25">
      <c r="AF38" s="204" t="s">
        <v>1707</v>
      </c>
      <c r="AI38" s="683"/>
      <c r="AL38" s="266"/>
    </row>
    <row r="39" spans="1:68" s="1" customFormat="1" x14ac:dyDescent="0.25">
      <c r="AF39" s="204"/>
      <c r="AL39" s="266"/>
    </row>
    <row r="40" spans="1:68" s="1" customFormat="1" x14ac:dyDescent="0.25">
      <c r="B40" s="171" t="s">
        <v>3031</v>
      </c>
      <c r="AF40" s="204"/>
      <c r="AL40" s="266"/>
    </row>
    <row r="41" spans="1:68" s="1" customFormat="1" x14ac:dyDescent="0.25">
      <c r="AF41" s="204"/>
      <c r="AL41" s="1047"/>
      <c r="BP41" s="204"/>
    </row>
    <row r="42" spans="1:68" s="1" customFormat="1" x14ac:dyDescent="0.25">
      <c r="AF42" s="204" t="s">
        <v>1756</v>
      </c>
      <c r="AL42" s="1047"/>
      <c r="BP42" s="204"/>
    </row>
    <row r="43" spans="1:68" s="1" customFormat="1" x14ac:dyDescent="0.25">
      <c r="AF43" s="204"/>
      <c r="AL43" s="1047"/>
      <c r="BP43" s="204"/>
    </row>
    <row r="44" spans="1:68" s="1" customFormat="1" x14ac:dyDescent="0.25">
      <c r="AF44" s="204" t="s">
        <v>1788</v>
      </c>
      <c r="AL44" s="266"/>
      <c r="BP44" s="204"/>
    </row>
    <row r="45" spans="1:68" s="1" customFormat="1" x14ac:dyDescent="0.25">
      <c r="AF45" s="204"/>
      <c r="AL45" s="266"/>
      <c r="BP45" s="204"/>
    </row>
    <row r="46" spans="1:68" s="1" customFormat="1" x14ac:dyDescent="0.25">
      <c r="AL46" s="266"/>
      <c r="BP46" s="204"/>
    </row>
    <row r="47" spans="1:68" s="1" customFormat="1" x14ac:dyDescent="0.25">
      <c r="A47" s="1472" t="s">
        <v>15</v>
      </c>
      <c r="B47" s="1472"/>
      <c r="C47" s="1472"/>
      <c r="D47" s="1472"/>
      <c r="E47" s="1472"/>
      <c r="F47" s="1472"/>
      <c r="G47" s="1472"/>
      <c r="H47" s="1472"/>
      <c r="I47" s="1472"/>
      <c r="J47" s="1472"/>
      <c r="K47" s="1472"/>
      <c r="L47" s="1472"/>
      <c r="M47" s="1472"/>
      <c r="N47" s="1472"/>
      <c r="O47" s="1472"/>
      <c r="P47" s="1472"/>
      <c r="Q47" s="1472"/>
      <c r="R47" s="1472"/>
      <c r="S47" s="1472"/>
      <c r="T47" s="1472"/>
      <c r="U47" s="1472"/>
      <c r="V47" s="1472"/>
      <c r="W47" s="1472"/>
      <c r="X47" s="1472"/>
      <c r="Y47" s="1472"/>
      <c r="Z47" s="1472"/>
      <c r="AA47" s="1472"/>
      <c r="AB47" s="1472"/>
      <c r="AC47" s="1472"/>
      <c r="AD47" s="1472"/>
      <c r="AE47" s="1472"/>
      <c r="AF47" s="1472"/>
      <c r="AI47" s="683"/>
      <c r="AL47" s="266"/>
      <c r="BP47" s="204"/>
    </row>
    <row r="48" spans="1:68" s="1" customFormat="1" x14ac:dyDescent="0.25">
      <c r="A48" s="1474" t="s">
        <v>16</v>
      </c>
      <c r="B48" s="1474"/>
      <c r="C48" s="1474"/>
      <c r="D48" s="1474"/>
      <c r="E48" s="1474" t="s">
        <v>10</v>
      </c>
      <c r="F48" s="1474"/>
      <c r="G48" s="1474"/>
      <c r="H48" s="1474"/>
      <c r="I48" s="1474"/>
      <c r="J48" s="1474"/>
      <c r="K48" s="1474"/>
      <c r="L48" s="1474"/>
      <c r="M48" s="1474"/>
      <c r="N48" s="1474"/>
      <c r="O48" s="1474"/>
      <c r="P48" s="1474"/>
      <c r="Q48" s="1474" t="s">
        <v>17</v>
      </c>
      <c r="R48" s="1474"/>
      <c r="S48" s="1474"/>
      <c r="T48" s="1474"/>
      <c r="U48" s="1590" t="s">
        <v>18</v>
      </c>
      <c r="V48" s="1591"/>
      <c r="W48" s="1751"/>
      <c r="X48" s="1590" t="s">
        <v>1708</v>
      </c>
      <c r="Y48" s="1591"/>
      <c r="Z48" s="1591"/>
      <c r="AA48" s="1591"/>
      <c r="AB48" s="1591"/>
      <c r="AC48" s="1591"/>
      <c r="AD48" s="1591"/>
      <c r="AE48" s="1591"/>
      <c r="AF48" s="1751"/>
      <c r="AL48" s="266"/>
    </row>
    <row r="49" spans="1:55" s="1" customFormat="1" ht="62.25" customHeight="1" x14ac:dyDescent="0.25">
      <c r="A49" s="1680" t="s">
        <v>6596</v>
      </c>
      <c r="B49" s="1681" t="s">
        <v>294</v>
      </c>
      <c r="C49" s="1681" t="s">
        <v>294</v>
      </c>
      <c r="D49" s="1682" t="s">
        <v>294</v>
      </c>
      <c r="E49" s="1494" t="s">
        <v>7109</v>
      </c>
      <c r="F49" s="1495"/>
      <c r="G49" s="1495"/>
      <c r="H49" s="1495"/>
      <c r="I49" s="1495"/>
      <c r="J49" s="1495"/>
      <c r="K49" s="1495"/>
      <c r="L49" s="1495"/>
      <c r="M49" s="1495"/>
      <c r="N49" s="1495"/>
      <c r="O49" s="1495"/>
      <c r="P49" s="1496"/>
      <c r="Q49" s="2464" t="s">
        <v>626</v>
      </c>
      <c r="R49" s="2465" t="s">
        <v>251</v>
      </c>
      <c r="S49" s="2465" t="s">
        <v>251</v>
      </c>
      <c r="T49" s="2466" t="s">
        <v>251</v>
      </c>
      <c r="U49" s="1683" t="s">
        <v>26</v>
      </c>
      <c r="V49" s="1684"/>
      <c r="W49" s="1685"/>
      <c r="X49" s="1494" t="s">
        <v>5605</v>
      </c>
      <c r="Y49" s="1495"/>
      <c r="Z49" s="1495"/>
      <c r="AA49" s="1495"/>
      <c r="AB49" s="1495"/>
      <c r="AC49" s="1495"/>
      <c r="AD49" s="1495"/>
      <c r="AE49" s="1495"/>
      <c r="AF49" s="1496"/>
      <c r="AI49" s="683"/>
      <c r="AL49" s="266"/>
      <c r="AN49" s="372"/>
      <c r="AO49" s="372"/>
      <c r="AP49" s="372"/>
      <c r="AQ49" s="372"/>
      <c r="AR49" s="538"/>
      <c r="AS49" s="538"/>
      <c r="AT49" s="538"/>
      <c r="AU49" s="1048"/>
      <c r="AV49" s="538"/>
      <c r="AW49" s="538"/>
      <c r="AX49" s="538"/>
      <c r="AY49" s="538"/>
      <c r="AZ49" s="538"/>
      <c r="BA49" s="538"/>
      <c r="BB49" s="538"/>
      <c r="BC49" s="538"/>
    </row>
    <row r="50" spans="1:55" s="1" customFormat="1" ht="46.5" customHeight="1" x14ac:dyDescent="0.25">
      <c r="A50" s="1680" t="s">
        <v>7113</v>
      </c>
      <c r="B50" s="1681" t="s">
        <v>638</v>
      </c>
      <c r="C50" s="1681" t="s">
        <v>638</v>
      </c>
      <c r="D50" s="1682" t="s">
        <v>638</v>
      </c>
      <c r="E50" s="1494" t="s">
        <v>2978</v>
      </c>
      <c r="F50" s="1495" t="s">
        <v>622</v>
      </c>
      <c r="G50" s="1495" t="s">
        <v>622</v>
      </c>
      <c r="H50" s="1495" t="s">
        <v>622</v>
      </c>
      <c r="I50" s="1495" t="s">
        <v>622</v>
      </c>
      <c r="J50" s="1495" t="s">
        <v>622</v>
      </c>
      <c r="K50" s="1495" t="s">
        <v>622</v>
      </c>
      <c r="L50" s="1495" t="s">
        <v>622</v>
      </c>
      <c r="M50" s="1495" t="s">
        <v>622</v>
      </c>
      <c r="N50" s="1495" t="s">
        <v>622</v>
      </c>
      <c r="O50" s="1495" t="s">
        <v>622</v>
      </c>
      <c r="P50" s="1496" t="s">
        <v>622</v>
      </c>
      <c r="Q50" s="2464" t="s">
        <v>626</v>
      </c>
      <c r="R50" s="2465" t="s">
        <v>623</v>
      </c>
      <c r="S50" s="2465" t="s">
        <v>623</v>
      </c>
      <c r="T50" s="2466" t="s">
        <v>623</v>
      </c>
      <c r="U50" s="1683" t="s">
        <v>26</v>
      </c>
      <c r="V50" s="1684"/>
      <c r="W50" s="1685"/>
      <c r="X50" s="1729" t="s">
        <v>1724</v>
      </c>
      <c r="Y50" s="1729"/>
      <c r="Z50" s="1729"/>
      <c r="AA50" s="1729"/>
      <c r="AB50" s="1729"/>
      <c r="AC50" s="1729"/>
      <c r="AD50" s="1729"/>
      <c r="AE50" s="1729"/>
      <c r="AF50" s="1729"/>
      <c r="AL50" s="266"/>
      <c r="AN50" s="372"/>
      <c r="AO50" s="372"/>
      <c r="AP50" s="372"/>
      <c r="AQ50" s="372"/>
      <c r="AR50" s="538"/>
      <c r="AS50" s="538"/>
      <c r="AT50" s="538"/>
      <c r="AU50" s="538"/>
      <c r="AV50" s="538"/>
      <c r="AW50" s="538"/>
      <c r="AX50" s="538"/>
      <c r="AY50" s="538"/>
      <c r="AZ50" s="538"/>
      <c r="BA50" s="538"/>
      <c r="BB50" s="538"/>
      <c r="BC50" s="538"/>
    </row>
    <row r="51" spans="1:55" s="1" customFormat="1" ht="32.1" customHeight="1" x14ac:dyDescent="0.25">
      <c r="A51" s="1680" t="s">
        <v>1760</v>
      </c>
      <c r="B51" s="1681"/>
      <c r="C51" s="1681"/>
      <c r="D51" s="1682"/>
      <c r="E51" s="1494" t="s">
        <v>2031</v>
      </c>
      <c r="F51" s="1495"/>
      <c r="G51" s="1495"/>
      <c r="H51" s="1495"/>
      <c r="I51" s="1495"/>
      <c r="J51" s="1495"/>
      <c r="K51" s="1495"/>
      <c r="L51" s="1495"/>
      <c r="M51" s="1495"/>
      <c r="N51" s="1495"/>
      <c r="O51" s="1495"/>
      <c r="P51" s="1496"/>
      <c r="Q51" s="1661">
        <v>0.97</v>
      </c>
      <c r="R51" s="1662"/>
      <c r="S51" s="1662"/>
      <c r="T51" s="1663"/>
      <c r="U51" s="1696" t="s">
        <v>28</v>
      </c>
      <c r="V51" s="1684"/>
      <c r="W51" s="1685"/>
      <c r="X51" s="1715" t="s">
        <v>1757</v>
      </c>
      <c r="Y51" s="1715"/>
      <c r="Z51" s="1715"/>
      <c r="AA51" s="1715"/>
      <c r="AB51" s="1715"/>
      <c r="AC51" s="1715"/>
      <c r="AD51" s="1715"/>
      <c r="AE51" s="1715"/>
      <c r="AF51" s="1715"/>
      <c r="AL51" s="266"/>
    </row>
    <row r="52" spans="1:55" s="1" customFormat="1" ht="50.1" customHeight="1" x14ac:dyDescent="0.25">
      <c r="A52" s="1680" t="s">
        <v>545</v>
      </c>
      <c r="B52" s="1681" t="s">
        <v>545</v>
      </c>
      <c r="C52" s="1681" t="s">
        <v>545</v>
      </c>
      <c r="D52" s="1682" t="s">
        <v>545</v>
      </c>
      <c r="E52" s="1494" t="s">
        <v>1703</v>
      </c>
      <c r="F52" s="1495" t="s">
        <v>546</v>
      </c>
      <c r="G52" s="1495" t="s">
        <v>546</v>
      </c>
      <c r="H52" s="1495" t="s">
        <v>546</v>
      </c>
      <c r="I52" s="1495" t="s">
        <v>546</v>
      </c>
      <c r="J52" s="1495" t="s">
        <v>546</v>
      </c>
      <c r="K52" s="1495" t="s">
        <v>546</v>
      </c>
      <c r="L52" s="1495" t="s">
        <v>546</v>
      </c>
      <c r="M52" s="1495" t="s">
        <v>546</v>
      </c>
      <c r="N52" s="1495" t="s">
        <v>546</v>
      </c>
      <c r="O52" s="1495" t="s">
        <v>546</v>
      </c>
      <c r="P52" s="1496" t="s">
        <v>546</v>
      </c>
      <c r="Q52" s="1497" t="s">
        <v>1106</v>
      </c>
      <c r="R52" s="1498">
        <v>0.12</v>
      </c>
      <c r="S52" s="1498">
        <v>0.12</v>
      </c>
      <c r="T52" s="1499">
        <v>0.12</v>
      </c>
      <c r="U52" s="1497" t="s">
        <v>28</v>
      </c>
      <c r="V52" s="1498"/>
      <c r="W52" s="1499"/>
      <c r="X52" s="1715" t="s">
        <v>2979</v>
      </c>
      <c r="Y52" s="1715"/>
      <c r="Z52" s="1715"/>
      <c r="AA52" s="1715"/>
      <c r="AB52" s="1715"/>
      <c r="AC52" s="1715"/>
      <c r="AD52" s="1715"/>
      <c r="AE52" s="1715"/>
      <c r="AF52" s="1715"/>
      <c r="AL52" s="266"/>
    </row>
    <row r="53" spans="1:55" s="1" customFormat="1" ht="45" customHeight="1" x14ac:dyDescent="0.25">
      <c r="A53" s="1680" t="s">
        <v>1762</v>
      </c>
      <c r="B53" s="1681"/>
      <c r="C53" s="1681"/>
      <c r="D53" s="1682"/>
      <c r="E53" s="1494" t="s">
        <v>1763</v>
      </c>
      <c r="F53" s="1495"/>
      <c r="G53" s="1495"/>
      <c r="H53" s="1495"/>
      <c r="I53" s="1495"/>
      <c r="J53" s="1495"/>
      <c r="K53" s="1495"/>
      <c r="L53" s="1495"/>
      <c r="M53" s="1495"/>
      <c r="N53" s="1495"/>
      <c r="O53" s="1495"/>
      <c r="P53" s="1496"/>
      <c r="Q53" s="1497" t="s">
        <v>1106</v>
      </c>
      <c r="R53" s="1498">
        <v>0.12</v>
      </c>
      <c r="S53" s="1498">
        <v>0.12</v>
      </c>
      <c r="T53" s="1499">
        <v>0.12</v>
      </c>
      <c r="U53" s="1696" t="s">
        <v>1819</v>
      </c>
      <c r="V53" s="1684"/>
      <c r="W53" s="1685"/>
      <c r="X53" s="1715" t="s">
        <v>1764</v>
      </c>
      <c r="Y53" s="1715"/>
      <c r="Z53" s="1715"/>
      <c r="AA53" s="1715"/>
      <c r="AB53" s="1715"/>
      <c r="AC53" s="1715"/>
      <c r="AD53" s="1715"/>
      <c r="AE53" s="1715"/>
      <c r="AF53" s="1715"/>
      <c r="AL53" s="266"/>
    </row>
    <row r="54" spans="1:55" s="1" customFormat="1" ht="50.1" customHeight="1" x14ac:dyDescent="0.25">
      <c r="A54" s="1680" t="s">
        <v>7114</v>
      </c>
      <c r="B54" s="1681"/>
      <c r="C54" s="1681"/>
      <c r="D54" s="1682"/>
      <c r="E54" s="3455" t="s">
        <v>3032</v>
      </c>
      <c r="F54" s="1495"/>
      <c r="G54" s="1495"/>
      <c r="H54" s="1495"/>
      <c r="I54" s="1495"/>
      <c r="J54" s="1495"/>
      <c r="K54" s="1495"/>
      <c r="L54" s="1495"/>
      <c r="M54" s="1495"/>
      <c r="N54" s="1495"/>
      <c r="O54" s="1495"/>
      <c r="P54" s="1496"/>
      <c r="Q54" s="1497" t="s">
        <v>2075</v>
      </c>
      <c r="R54" s="1498"/>
      <c r="S54" s="1498"/>
      <c r="T54" s="1499"/>
      <c r="U54" s="1497" t="s">
        <v>28</v>
      </c>
      <c r="V54" s="1498"/>
      <c r="W54" s="1499"/>
      <c r="X54" s="1715" t="s">
        <v>3034</v>
      </c>
      <c r="Y54" s="1715"/>
      <c r="Z54" s="1715"/>
      <c r="AA54" s="1715"/>
      <c r="AB54" s="1715"/>
      <c r="AC54" s="1715"/>
      <c r="AD54" s="1715"/>
      <c r="AE54" s="1715"/>
      <c r="AF54" s="1715"/>
      <c r="AL54" s="266"/>
    </row>
    <row r="55" spans="1:55" s="1" customFormat="1" ht="50.1" customHeight="1" x14ac:dyDescent="0.25">
      <c r="A55" s="1680" t="s">
        <v>7115</v>
      </c>
      <c r="B55" s="1681"/>
      <c r="C55" s="1681"/>
      <c r="D55" s="1682"/>
      <c r="E55" s="3455" t="s">
        <v>3033</v>
      </c>
      <c r="F55" s="1495"/>
      <c r="G55" s="1495"/>
      <c r="H55" s="1495"/>
      <c r="I55" s="1495"/>
      <c r="J55" s="1495"/>
      <c r="K55" s="1495"/>
      <c r="L55" s="1495"/>
      <c r="M55" s="1495"/>
      <c r="N55" s="1495"/>
      <c r="O55" s="1495"/>
      <c r="P55" s="1496"/>
      <c r="Q55" s="1497" t="s">
        <v>2075</v>
      </c>
      <c r="R55" s="1498"/>
      <c r="S55" s="1498"/>
      <c r="T55" s="1499"/>
      <c r="U55" s="1497" t="s">
        <v>28</v>
      </c>
      <c r="V55" s="1498"/>
      <c r="W55" s="1499"/>
      <c r="X55" s="1715" t="s">
        <v>3035</v>
      </c>
      <c r="Y55" s="1715"/>
      <c r="Z55" s="1715"/>
      <c r="AA55" s="1715"/>
      <c r="AB55" s="1715"/>
      <c r="AC55" s="1715"/>
      <c r="AD55" s="1715"/>
      <c r="AE55" s="1715"/>
      <c r="AF55" s="1715"/>
      <c r="AL55" s="266"/>
    </row>
    <row r="56" spans="1:55" s="1" customFormat="1" ht="46.5" customHeight="1" x14ac:dyDescent="0.25">
      <c r="A56" s="1680" t="s">
        <v>3670</v>
      </c>
      <c r="B56" s="1681"/>
      <c r="C56" s="1681"/>
      <c r="D56" s="1682"/>
      <c r="E56" s="1494" t="s">
        <v>1771</v>
      </c>
      <c r="F56" s="1495"/>
      <c r="G56" s="1495"/>
      <c r="H56" s="1495"/>
      <c r="I56" s="1495"/>
      <c r="J56" s="1495"/>
      <c r="K56" s="1495"/>
      <c r="L56" s="1495"/>
      <c r="M56" s="1495"/>
      <c r="N56" s="1495"/>
      <c r="O56" s="1495"/>
      <c r="P56" s="1496"/>
      <c r="Q56" s="1497" t="s">
        <v>1106</v>
      </c>
      <c r="R56" s="1498"/>
      <c r="S56" s="1498"/>
      <c r="T56" s="1499"/>
      <c r="U56" s="3456" t="s">
        <v>28</v>
      </c>
      <c r="V56" s="1498"/>
      <c r="W56" s="1499"/>
      <c r="X56" s="1494" t="s">
        <v>4587</v>
      </c>
      <c r="Y56" s="1495"/>
      <c r="Z56" s="1495"/>
      <c r="AA56" s="1495"/>
      <c r="AB56" s="1495"/>
      <c r="AC56" s="1495"/>
      <c r="AD56" s="1495"/>
      <c r="AE56" s="1495"/>
      <c r="AF56" s="1496"/>
      <c r="AL56" s="266"/>
    </row>
    <row r="57" spans="1:55" s="1" customFormat="1" ht="46.5" customHeight="1" x14ac:dyDescent="0.25">
      <c r="A57" s="1680" t="s">
        <v>7116</v>
      </c>
      <c r="B57" s="1681"/>
      <c r="C57" s="1681"/>
      <c r="D57" s="1682"/>
      <c r="E57" s="1494" t="s">
        <v>2345</v>
      </c>
      <c r="F57" s="1495"/>
      <c r="G57" s="1495"/>
      <c r="H57" s="1495"/>
      <c r="I57" s="1495"/>
      <c r="J57" s="1495"/>
      <c r="K57" s="1495"/>
      <c r="L57" s="1495"/>
      <c r="M57" s="1495"/>
      <c r="N57" s="1495"/>
      <c r="O57" s="1495"/>
      <c r="P57" s="1496"/>
      <c r="Q57" s="1664">
        <v>0.85</v>
      </c>
      <c r="R57" s="1665"/>
      <c r="S57" s="1665"/>
      <c r="T57" s="1666"/>
      <c r="U57" s="1696" t="s">
        <v>28</v>
      </c>
      <c r="V57" s="1684"/>
      <c r="W57" s="1685"/>
      <c r="X57" s="1715" t="s">
        <v>4588</v>
      </c>
      <c r="Y57" s="1715"/>
      <c r="Z57" s="1715"/>
      <c r="AA57" s="1715"/>
      <c r="AB57" s="1715"/>
      <c r="AC57" s="1715"/>
      <c r="AD57" s="1715"/>
      <c r="AE57" s="1715"/>
      <c r="AF57" s="1715"/>
      <c r="AL57" s="266"/>
    </row>
    <row r="58" spans="1:55" s="1" customFormat="1" ht="50.1" customHeight="1" x14ac:dyDescent="0.25">
      <c r="A58" s="1680" t="s">
        <v>3671</v>
      </c>
      <c r="B58" s="1681"/>
      <c r="C58" s="1681"/>
      <c r="D58" s="1682"/>
      <c r="E58" s="1494" t="s">
        <v>1769</v>
      </c>
      <c r="F58" s="1495"/>
      <c r="G58" s="1495"/>
      <c r="H58" s="1495"/>
      <c r="I58" s="1495"/>
      <c r="J58" s="1495"/>
      <c r="K58" s="1495"/>
      <c r="L58" s="1495"/>
      <c r="M58" s="1495"/>
      <c r="N58" s="1495"/>
      <c r="O58" s="1495"/>
      <c r="P58" s="1496"/>
      <c r="Q58" s="1661">
        <v>1.3</v>
      </c>
      <c r="R58" s="1662"/>
      <c r="S58" s="1662"/>
      <c r="T58" s="1663"/>
      <c r="U58" s="1696" t="s">
        <v>28</v>
      </c>
      <c r="V58" s="1684"/>
      <c r="W58" s="1685"/>
      <c r="X58" s="1715" t="s">
        <v>2979</v>
      </c>
      <c r="Y58" s="1715"/>
      <c r="Z58" s="1715"/>
      <c r="AA58" s="1715"/>
      <c r="AB58" s="1715"/>
      <c r="AC58" s="1715"/>
      <c r="AD58" s="1715"/>
      <c r="AE58" s="1715"/>
      <c r="AF58" s="1715"/>
      <c r="AL58" s="266"/>
    </row>
    <row r="59" spans="1:55" s="1" customFormat="1" ht="46.5" customHeight="1" x14ac:dyDescent="0.25">
      <c r="A59" s="1680" t="s">
        <v>3672</v>
      </c>
      <c r="B59" s="1681"/>
      <c r="C59" s="1681"/>
      <c r="D59" s="1682"/>
      <c r="E59" s="1494" t="s">
        <v>1768</v>
      </c>
      <c r="F59" s="1495"/>
      <c r="G59" s="1495"/>
      <c r="H59" s="1495"/>
      <c r="I59" s="1495"/>
      <c r="J59" s="1495"/>
      <c r="K59" s="1495"/>
      <c r="L59" s="1495"/>
      <c r="M59" s="1495"/>
      <c r="N59" s="1495"/>
      <c r="O59" s="1495"/>
      <c r="P59" s="1496"/>
      <c r="Q59" s="1497">
        <v>1.35</v>
      </c>
      <c r="R59" s="1498"/>
      <c r="S59" s="1498"/>
      <c r="T59" s="1499"/>
      <c r="U59" s="1696" t="s">
        <v>28</v>
      </c>
      <c r="V59" s="1684"/>
      <c r="W59" s="1685"/>
      <c r="X59" s="1715" t="s">
        <v>2979</v>
      </c>
      <c r="Y59" s="1715"/>
      <c r="Z59" s="1715"/>
      <c r="AA59" s="1715"/>
      <c r="AB59" s="1715"/>
      <c r="AC59" s="1715"/>
      <c r="AD59" s="1715"/>
      <c r="AE59" s="1715"/>
      <c r="AF59" s="1715"/>
      <c r="AL59" s="266"/>
    </row>
    <row r="60" spans="1:55" s="1" customFormat="1" ht="28.9" customHeight="1" x14ac:dyDescent="0.25">
      <c r="A60" s="2522" t="s">
        <v>42</v>
      </c>
      <c r="B60" s="1681" t="s">
        <v>42</v>
      </c>
      <c r="C60" s="1681" t="s">
        <v>42</v>
      </c>
      <c r="D60" s="1682" t="s">
        <v>42</v>
      </c>
      <c r="E60" s="1494" t="s">
        <v>865</v>
      </c>
      <c r="F60" s="1495" t="s">
        <v>256</v>
      </c>
      <c r="G60" s="1495" t="s">
        <v>256</v>
      </c>
      <c r="H60" s="1495" t="s">
        <v>256</v>
      </c>
      <c r="I60" s="1495" t="s">
        <v>256</v>
      </c>
      <c r="J60" s="1495" t="s">
        <v>256</v>
      </c>
      <c r="K60" s="1495" t="s">
        <v>256</v>
      </c>
      <c r="L60" s="1495" t="s">
        <v>256</v>
      </c>
      <c r="M60" s="1495" t="s">
        <v>256</v>
      </c>
      <c r="N60" s="1495" t="s">
        <v>256</v>
      </c>
      <c r="O60" s="1495" t="s">
        <v>256</v>
      </c>
      <c r="P60" s="1496" t="s">
        <v>256</v>
      </c>
      <c r="Q60" s="1497">
        <v>1</v>
      </c>
      <c r="R60" s="1498">
        <v>0.96</v>
      </c>
      <c r="S60" s="1498">
        <v>0.96</v>
      </c>
      <c r="T60" s="1499">
        <v>0.96</v>
      </c>
      <c r="U60" s="1683" t="s">
        <v>28</v>
      </c>
      <c r="V60" s="1684"/>
      <c r="W60" s="1685"/>
      <c r="X60" s="1680" t="s">
        <v>1821</v>
      </c>
      <c r="Y60" s="1681"/>
      <c r="Z60" s="1681"/>
      <c r="AA60" s="1681"/>
      <c r="AB60" s="1681"/>
      <c r="AC60" s="1681"/>
      <c r="AD60" s="1681"/>
      <c r="AE60" s="1681"/>
      <c r="AF60" s="1682"/>
      <c r="AL60" s="266"/>
    </row>
    <row r="61" spans="1:55" s="1" customFormat="1" ht="32.1" customHeight="1" x14ac:dyDescent="0.25">
      <c r="A61" s="1680" t="s">
        <v>3675</v>
      </c>
      <c r="B61" s="1681" t="s">
        <v>34</v>
      </c>
      <c r="C61" s="1681" t="s">
        <v>34</v>
      </c>
      <c r="D61" s="1682" t="s">
        <v>34</v>
      </c>
      <c r="E61" s="1680" t="s">
        <v>2218</v>
      </c>
      <c r="F61" s="1681" t="s">
        <v>219</v>
      </c>
      <c r="G61" s="1681" t="s">
        <v>219</v>
      </c>
      <c r="H61" s="1681" t="s">
        <v>219</v>
      </c>
      <c r="I61" s="1681" t="s">
        <v>219</v>
      </c>
      <c r="J61" s="1681" t="s">
        <v>219</v>
      </c>
      <c r="K61" s="1681" t="s">
        <v>219</v>
      </c>
      <c r="L61" s="1681" t="s">
        <v>219</v>
      </c>
      <c r="M61" s="1681" t="s">
        <v>219</v>
      </c>
      <c r="N61" s="1681" t="s">
        <v>219</v>
      </c>
      <c r="O61" s="1681" t="s">
        <v>219</v>
      </c>
      <c r="P61" s="1682" t="s">
        <v>219</v>
      </c>
      <c r="Q61" s="1497" t="s">
        <v>1106</v>
      </c>
      <c r="R61" s="1498">
        <v>0.12</v>
      </c>
      <c r="S61" s="1498">
        <v>0.12</v>
      </c>
      <c r="T61" s="1499">
        <v>0.12</v>
      </c>
      <c r="U61" s="1683" t="s">
        <v>46</v>
      </c>
      <c r="V61" s="1684"/>
      <c r="W61" s="1685"/>
      <c r="X61" s="1494" t="s">
        <v>2359</v>
      </c>
      <c r="Y61" s="1495"/>
      <c r="Z61" s="1495"/>
      <c r="AA61" s="1495"/>
      <c r="AB61" s="1495"/>
      <c r="AC61" s="1495"/>
      <c r="AD61" s="1495"/>
      <c r="AE61" s="1495"/>
      <c r="AF61" s="1496"/>
      <c r="AI61" s="683"/>
      <c r="AL61" s="266"/>
      <c r="AU61" s="1048"/>
    </row>
    <row r="62" spans="1:55" s="1" customFormat="1" ht="32.1" customHeight="1" x14ac:dyDescent="0.25">
      <c r="A62" s="2288" t="s">
        <v>4590</v>
      </c>
      <c r="B62" s="2288"/>
      <c r="C62" s="2288"/>
      <c r="D62" s="2288"/>
      <c r="E62" s="2288"/>
      <c r="F62" s="2288"/>
      <c r="G62" s="2288"/>
      <c r="H62" s="2288"/>
      <c r="I62" s="2288"/>
      <c r="J62" s="2288"/>
      <c r="K62" s="2288"/>
      <c r="L62" s="2288"/>
      <c r="M62" s="2288"/>
      <c r="N62" s="2288"/>
      <c r="O62" s="2288"/>
      <c r="P62" s="2288"/>
      <c r="Q62" s="2288"/>
      <c r="R62" s="2288"/>
      <c r="S62" s="2288"/>
      <c r="T62" s="2288"/>
      <c r="U62" s="2288"/>
      <c r="V62" s="2288"/>
      <c r="W62" s="2288"/>
      <c r="X62" s="2288"/>
      <c r="Y62" s="2288"/>
      <c r="Z62" s="2288"/>
      <c r="AA62" s="2288"/>
      <c r="AB62" s="2288"/>
      <c r="AC62" s="2288"/>
      <c r="AD62" s="2288"/>
      <c r="AE62" s="2288"/>
      <c r="AF62" s="2288"/>
      <c r="AL62" s="266"/>
    </row>
    <row r="63" spans="1:55" s="1" customFormat="1" ht="67.5" customHeight="1" x14ac:dyDescent="0.25">
      <c r="A63" s="1686" t="s">
        <v>4591</v>
      </c>
      <c r="B63" s="1686"/>
      <c r="C63" s="1686"/>
      <c r="D63" s="1686"/>
      <c r="E63" s="1686"/>
      <c r="F63" s="1686"/>
      <c r="G63" s="1686"/>
      <c r="H63" s="1686"/>
      <c r="I63" s="1686"/>
      <c r="J63" s="1686"/>
      <c r="K63" s="1686"/>
      <c r="L63" s="1686"/>
      <c r="M63" s="1686"/>
      <c r="N63" s="1686"/>
      <c r="O63" s="1686"/>
      <c r="P63" s="1686"/>
      <c r="Q63" s="1686"/>
      <c r="R63" s="1686"/>
      <c r="S63" s="1686"/>
      <c r="T63" s="1686"/>
      <c r="U63" s="1686"/>
      <c r="V63" s="1686"/>
      <c r="W63" s="1686"/>
      <c r="X63" s="1686"/>
      <c r="Y63" s="1686"/>
      <c r="Z63" s="1686"/>
      <c r="AA63" s="1686"/>
      <c r="AB63" s="1686"/>
      <c r="AC63" s="1686"/>
      <c r="AD63" s="1686"/>
      <c r="AE63" s="1686"/>
      <c r="AF63" s="1686"/>
      <c r="AL63" s="266"/>
    </row>
    <row r="64" spans="1:55" s="1" customFormat="1" ht="14.45" customHeight="1" x14ac:dyDescent="0.25">
      <c r="A64" s="628" t="s">
        <v>4592</v>
      </c>
      <c r="B64" s="629"/>
      <c r="C64" s="629"/>
      <c r="D64" s="629"/>
      <c r="E64" s="630"/>
      <c r="F64" s="630"/>
      <c r="G64" s="630"/>
      <c r="H64" s="630"/>
      <c r="I64" s="630"/>
      <c r="J64" s="630"/>
      <c r="K64" s="630"/>
      <c r="L64" s="630"/>
      <c r="M64" s="630"/>
      <c r="N64" s="630"/>
      <c r="O64" s="630"/>
      <c r="P64" s="630"/>
      <c r="Q64" s="631"/>
      <c r="R64" s="631"/>
      <c r="S64" s="631"/>
      <c r="T64" s="631"/>
      <c r="U64" s="632"/>
      <c r="V64" s="632"/>
      <c r="W64" s="632"/>
      <c r="X64" s="632"/>
      <c r="Y64" s="632"/>
      <c r="Z64" s="632"/>
      <c r="AA64" s="632"/>
      <c r="AB64" s="632"/>
      <c r="AC64" s="632"/>
      <c r="AD64" s="632"/>
      <c r="AE64" s="632"/>
      <c r="AF64" s="632"/>
      <c r="AL64" s="266"/>
    </row>
    <row r="65" spans="1:48" x14ac:dyDescent="0.25">
      <c r="A65" s="18"/>
      <c r="B65" s="386"/>
      <c r="C65" s="386"/>
      <c r="D65" s="386"/>
      <c r="E65" s="386"/>
      <c r="F65" s="386"/>
      <c r="G65" s="386"/>
      <c r="H65" s="386"/>
      <c r="I65" s="386"/>
      <c r="J65" s="386"/>
      <c r="K65" s="386"/>
      <c r="L65" s="386"/>
      <c r="M65" s="386"/>
      <c r="N65" s="386"/>
      <c r="O65" s="386"/>
      <c r="P65" s="386"/>
      <c r="Q65" s="386"/>
      <c r="R65" s="386"/>
      <c r="S65" s="386"/>
      <c r="T65" s="386"/>
      <c r="U65" s="386"/>
      <c r="V65" s="386"/>
      <c r="W65" s="386"/>
      <c r="X65" s="386"/>
      <c r="Y65" s="386"/>
      <c r="Z65" s="386"/>
      <c r="AA65" s="386"/>
      <c r="AB65" s="386"/>
      <c r="AC65" s="386"/>
      <c r="AD65" s="386"/>
      <c r="AE65" s="386"/>
      <c r="AL65" s="266"/>
    </row>
    <row r="66" spans="1:48" ht="15" customHeight="1" x14ac:dyDescent="0.25">
      <c r="B66" s="23" t="s">
        <v>1773</v>
      </c>
      <c r="AL66" s="266"/>
    </row>
    <row r="67" spans="1:48" ht="69.599999999999994" customHeight="1" x14ac:dyDescent="0.25">
      <c r="B67" s="3451" t="s">
        <v>1774</v>
      </c>
      <c r="C67" s="3451"/>
      <c r="D67" s="3451"/>
      <c r="E67" s="3451"/>
      <c r="F67" s="3451"/>
      <c r="G67" s="3451" t="s">
        <v>1785</v>
      </c>
      <c r="H67" s="3451"/>
      <c r="I67" s="3451"/>
      <c r="J67" s="3451"/>
      <c r="K67" s="3451"/>
      <c r="L67" s="3451" t="s">
        <v>7117</v>
      </c>
      <c r="M67" s="3451"/>
      <c r="N67" s="3451"/>
      <c r="O67" s="3451"/>
      <c r="P67" s="3451"/>
      <c r="Q67" s="3451" t="s">
        <v>7118</v>
      </c>
      <c r="R67" s="3451"/>
      <c r="S67" s="3451"/>
      <c r="T67" s="3451"/>
      <c r="U67" s="3451"/>
      <c r="V67" s="3451" t="s">
        <v>7119</v>
      </c>
      <c r="W67" s="3451"/>
      <c r="X67" s="3451"/>
      <c r="Y67" s="3451"/>
      <c r="Z67" s="3451"/>
      <c r="AI67" s="692"/>
      <c r="AL67" s="266"/>
    </row>
    <row r="68" spans="1:48" ht="15" customHeight="1" x14ac:dyDescent="0.25">
      <c r="B68" s="1631">
        <v>40</v>
      </c>
      <c r="C68" s="1631"/>
      <c r="D68" s="1631"/>
      <c r="E68" s="1631"/>
      <c r="F68" s="1631"/>
      <c r="G68" s="1631" t="s">
        <v>1775</v>
      </c>
      <c r="H68" s="1631"/>
      <c r="I68" s="1631"/>
      <c r="J68" s="1631"/>
      <c r="K68" s="1631"/>
      <c r="L68" s="1631">
        <v>1.2E-2</v>
      </c>
      <c r="M68" s="1631"/>
      <c r="N68" s="1631"/>
      <c r="O68" s="1631"/>
      <c r="P68" s="1631"/>
      <c r="Q68" s="1631">
        <v>6.0000000000000001E-3</v>
      </c>
      <c r="R68" s="1631"/>
      <c r="S68" s="1631"/>
      <c r="T68" s="1631"/>
      <c r="U68" s="1631"/>
      <c r="V68" s="3449">
        <v>0.06</v>
      </c>
      <c r="W68" s="3449"/>
      <c r="X68" s="3449"/>
      <c r="Y68" s="3449"/>
      <c r="Z68" s="3449"/>
      <c r="AI68" s="692"/>
      <c r="AL68" s="266"/>
      <c r="AU68" s="1048"/>
    </row>
    <row r="69" spans="1:48" ht="15" customHeight="1" x14ac:dyDescent="0.25">
      <c r="B69" s="1631">
        <v>60</v>
      </c>
      <c r="C69" s="1631"/>
      <c r="D69" s="1631"/>
      <c r="E69" s="1631"/>
      <c r="F69" s="1631"/>
      <c r="G69" s="1631" t="s">
        <v>1776</v>
      </c>
      <c r="H69" s="1631"/>
      <c r="I69" s="1631"/>
      <c r="J69" s="1631"/>
      <c r="K69" s="1631"/>
      <c r="L69" s="1277">
        <v>0.02</v>
      </c>
      <c r="M69" s="1277"/>
      <c r="N69" s="1277"/>
      <c r="O69" s="1277"/>
      <c r="P69" s="1277"/>
      <c r="Q69" s="1631">
        <v>8.0000000000000002E-3</v>
      </c>
      <c r="R69" s="1631"/>
      <c r="S69" s="1631"/>
      <c r="T69" s="1631"/>
      <c r="U69" s="1631"/>
      <c r="V69" s="3449">
        <v>0.56999999999999995</v>
      </c>
      <c r="W69" s="3449"/>
      <c r="X69" s="3449"/>
      <c r="Y69" s="3449"/>
      <c r="Z69" s="3449"/>
      <c r="AL69" s="266"/>
    </row>
    <row r="70" spans="1:48" x14ac:dyDescent="0.25">
      <c r="B70" s="1631">
        <v>75</v>
      </c>
      <c r="C70" s="1631"/>
      <c r="D70" s="1631"/>
      <c r="E70" s="1631"/>
      <c r="F70" s="1631"/>
      <c r="G70" s="1631" t="s">
        <v>1777</v>
      </c>
      <c r="H70" s="1631"/>
      <c r="I70" s="1631"/>
      <c r="J70" s="1631"/>
      <c r="K70" s="1631"/>
      <c r="L70" s="1631">
        <v>2.8000000000000001E-2</v>
      </c>
      <c r="M70" s="1631"/>
      <c r="N70" s="1631"/>
      <c r="O70" s="1631"/>
      <c r="P70" s="1631"/>
      <c r="Q70" s="1631">
        <v>1.2999999999999999E-2</v>
      </c>
      <c r="R70" s="1631"/>
      <c r="S70" s="1631"/>
      <c r="T70" s="1631"/>
      <c r="U70" s="1631"/>
      <c r="V70" s="3449">
        <v>0.28999999999999998</v>
      </c>
      <c r="W70" s="3449"/>
      <c r="X70" s="3449"/>
      <c r="Y70" s="3449"/>
      <c r="Z70" s="3449"/>
      <c r="AL70" s="266"/>
    </row>
    <row r="71" spans="1:48" x14ac:dyDescent="0.25">
      <c r="B71" s="1631">
        <v>100</v>
      </c>
      <c r="C71" s="1631"/>
      <c r="D71" s="1631"/>
      <c r="E71" s="1631"/>
      <c r="F71" s="1631"/>
      <c r="G71" s="1631" t="s">
        <v>1778</v>
      </c>
      <c r="H71" s="1631"/>
      <c r="I71" s="1631"/>
      <c r="J71" s="1631"/>
      <c r="K71" s="1631"/>
      <c r="L71" s="1631">
        <v>4.4999999999999998E-2</v>
      </c>
      <c r="M71" s="1631"/>
      <c r="N71" s="1631"/>
      <c r="O71" s="1631"/>
      <c r="P71" s="1631"/>
      <c r="Q71" s="1631">
        <v>1.7000000000000001E-2</v>
      </c>
      <c r="R71" s="1631"/>
      <c r="S71" s="1631"/>
      <c r="T71" s="1631"/>
      <c r="U71" s="1631"/>
      <c r="V71" s="3449">
        <v>0.08</v>
      </c>
      <c r="W71" s="3449"/>
      <c r="X71" s="3449"/>
      <c r="Y71" s="3449"/>
      <c r="Z71" s="3449"/>
      <c r="AL71" s="266"/>
    </row>
    <row r="72" spans="1:48" x14ac:dyDescent="0.25">
      <c r="B72" s="3444" t="s">
        <v>1784</v>
      </c>
      <c r="C72" s="3445"/>
      <c r="D72" s="3445"/>
      <c r="E72" s="3445"/>
      <c r="F72" s="3445"/>
      <c r="G72" s="3445"/>
      <c r="H72" s="3445"/>
      <c r="I72" s="3445"/>
      <c r="J72" s="3445"/>
      <c r="K72" s="3446"/>
      <c r="L72" s="3447">
        <f>SUMPRODUCT(L68:P71,$V68:$Z71)</f>
        <v>2.3839999999999997E-2</v>
      </c>
      <c r="M72" s="3447"/>
      <c r="N72" s="3447"/>
      <c r="O72" s="3447"/>
      <c r="P72" s="3447"/>
      <c r="Q72" s="3447">
        <f>SUMPRODUCT(Q68:U71,$V68:$Z71)</f>
        <v>1.005E-2</v>
      </c>
      <c r="R72" s="3447"/>
      <c r="S72" s="3447"/>
      <c r="T72" s="3447"/>
      <c r="U72" s="3447"/>
      <c r="V72" s="3448" t="s">
        <v>28</v>
      </c>
      <c r="W72" s="3449"/>
      <c r="X72" s="3449"/>
      <c r="Y72" s="3449"/>
      <c r="Z72" s="3449"/>
      <c r="AL72" s="266"/>
    </row>
    <row r="73" spans="1:48" x14ac:dyDescent="0.25">
      <c r="B73" s="381" t="s">
        <v>1779</v>
      </c>
      <c r="C73" s="381"/>
      <c r="D73" s="381"/>
      <c r="E73" s="381"/>
      <c r="F73" s="381"/>
      <c r="G73" s="381"/>
      <c r="H73" s="382"/>
      <c r="I73" s="382"/>
      <c r="J73" s="382"/>
      <c r="K73" s="382"/>
      <c r="L73" s="382"/>
      <c r="M73" s="382"/>
      <c r="N73" s="382"/>
      <c r="O73" s="383"/>
      <c r="P73" s="383"/>
      <c r="Q73" s="383"/>
      <c r="R73" s="383"/>
      <c r="S73" s="383"/>
      <c r="T73" s="383"/>
      <c r="U73" s="383"/>
      <c r="V73" s="383"/>
      <c r="W73" s="383"/>
      <c r="X73" s="383"/>
      <c r="Y73" s="383"/>
      <c r="Z73" s="383"/>
      <c r="AA73" s="383"/>
      <c r="AB73" s="383"/>
      <c r="AC73" s="383"/>
      <c r="AD73" s="383"/>
      <c r="AE73" s="383"/>
      <c r="AF73" s="383"/>
      <c r="AL73" s="266"/>
    </row>
    <row r="74" spans="1:48" ht="28.5" customHeight="1" x14ac:dyDescent="0.25">
      <c r="A74" s="18"/>
      <c r="B74" s="3450" t="s">
        <v>3185</v>
      </c>
      <c r="C74" s="3450"/>
      <c r="D74" s="3450"/>
      <c r="E74" s="3450"/>
      <c r="F74" s="3450"/>
      <c r="G74" s="3450"/>
      <c r="H74" s="3450"/>
      <c r="I74" s="3450"/>
      <c r="J74" s="3450"/>
      <c r="K74" s="3450"/>
      <c r="L74" s="3450"/>
      <c r="M74" s="3450"/>
      <c r="N74" s="3450"/>
      <c r="O74" s="3450"/>
      <c r="P74" s="3450"/>
      <c r="Q74" s="3450"/>
      <c r="R74" s="3450"/>
      <c r="S74" s="3450"/>
      <c r="T74" s="3450"/>
      <c r="U74" s="3450"/>
      <c r="V74" s="3450"/>
      <c r="W74" s="3450"/>
      <c r="X74" s="3450"/>
      <c r="Y74" s="3450"/>
      <c r="Z74" s="3450"/>
      <c r="AA74" s="3450"/>
      <c r="AB74" s="3450"/>
      <c r="AC74" s="3450"/>
      <c r="AD74" s="3450"/>
      <c r="AE74" s="3450"/>
      <c r="AF74" s="384"/>
      <c r="AL74" s="266"/>
    </row>
    <row r="75" spans="1:48" x14ac:dyDescent="0.25">
      <c r="A75" s="18"/>
      <c r="AL75" s="266"/>
    </row>
    <row r="76" spans="1:48" s="148" customFormat="1" x14ac:dyDescent="0.25">
      <c r="A76"/>
      <c r="B76" s="23" t="s">
        <v>1783</v>
      </c>
      <c r="C76"/>
      <c r="D76"/>
      <c r="E76"/>
      <c r="F76"/>
      <c r="G76"/>
      <c r="H76"/>
      <c r="I76"/>
      <c r="J76"/>
      <c r="K76"/>
      <c r="L76"/>
      <c r="M76"/>
      <c r="N76"/>
      <c r="O76"/>
      <c r="P76"/>
      <c r="Q76"/>
      <c r="R76"/>
      <c r="S76"/>
      <c r="T76"/>
      <c r="U76"/>
      <c r="V76"/>
      <c r="W76"/>
      <c r="X76"/>
      <c r="Y76"/>
      <c r="Z76"/>
      <c r="AA76"/>
      <c r="AB76"/>
      <c r="AC76"/>
      <c r="AD76"/>
      <c r="AE76"/>
      <c r="AL76" s="272"/>
    </row>
    <row r="77" spans="1:48" s="148" customFormat="1" ht="15" customHeight="1" x14ac:dyDescent="0.25">
      <c r="A77"/>
      <c r="B77" s="3451"/>
      <c r="C77" s="3451"/>
      <c r="D77" s="3451"/>
      <c r="E77" s="3451"/>
      <c r="F77" s="3451"/>
      <c r="G77" s="3451" t="s">
        <v>29</v>
      </c>
      <c r="H77" s="3451"/>
      <c r="I77" s="3451"/>
      <c r="J77" s="3451"/>
      <c r="K77" s="3451"/>
      <c r="L77" s="3451" t="s">
        <v>7120</v>
      </c>
      <c r="M77" s="3451"/>
      <c r="N77" s="3451"/>
      <c r="O77" s="3451"/>
      <c r="P77" s="3451"/>
      <c r="Q77" s="3451" t="s">
        <v>7121</v>
      </c>
      <c r="R77" s="3451"/>
      <c r="S77" s="3451"/>
      <c r="T77" s="3451"/>
      <c r="U77" s="3451"/>
      <c r="V77" s="3452" t="s">
        <v>7122</v>
      </c>
      <c r="W77" s="3453"/>
      <c r="X77" s="3453"/>
      <c r="Y77" s="3453"/>
      <c r="Z77" s="3454"/>
      <c r="AA77"/>
      <c r="AB77"/>
      <c r="AC77"/>
      <c r="AD77"/>
      <c r="AE77"/>
      <c r="AL77" s="272"/>
    </row>
    <row r="78" spans="1:48" s="148" customFormat="1" x14ac:dyDescent="0.25">
      <c r="A78"/>
      <c r="B78" s="3451" t="s">
        <v>1780</v>
      </c>
      <c r="C78" s="3451"/>
      <c r="D78" s="3451"/>
      <c r="E78" s="3451"/>
      <c r="F78" s="3451"/>
      <c r="G78" s="1631">
        <v>0.16</v>
      </c>
      <c r="H78" s="1631"/>
      <c r="I78" s="1631"/>
      <c r="J78" s="1631"/>
      <c r="K78" s="1631"/>
      <c r="L78" s="3449">
        <v>0.48</v>
      </c>
      <c r="M78" s="3449"/>
      <c r="N78" s="3449"/>
      <c r="O78" s="3449"/>
      <c r="P78" s="3449"/>
      <c r="Q78" s="1631">
        <v>2.2999999999999998</v>
      </c>
      <c r="R78" s="1631"/>
      <c r="S78" s="1631"/>
      <c r="T78" s="1631"/>
      <c r="U78" s="1631"/>
      <c r="V78" s="1631">
        <f>ROUND(15000/(Q78*365),0)</f>
        <v>18</v>
      </c>
      <c r="W78" s="1631"/>
      <c r="X78" s="1631"/>
      <c r="Y78" s="1631"/>
      <c r="Z78" s="1631"/>
      <c r="AA78"/>
      <c r="AB78"/>
      <c r="AC78"/>
      <c r="AD78"/>
      <c r="AE78"/>
      <c r="AI78" s="683"/>
      <c r="AK78" s="1"/>
      <c r="AL78" s="1"/>
      <c r="AM78" s="266"/>
      <c r="AN78" s="1"/>
      <c r="AO78" s="1"/>
      <c r="AP78" s="1"/>
      <c r="AQ78" s="1"/>
      <c r="AR78" s="1"/>
      <c r="AS78" s="1"/>
      <c r="AT78" s="1"/>
      <c r="AU78" s="1"/>
      <c r="AV78" s="1048"/>
    </row>
    <row r="79" spans="1:48" s="148" customFormat="1" x14ac:dyDescent="0.25">
      <c r="A79"/>
      <c r="B79" s="3451" t="s">
        <v>1781</v>
      </c>
      <c r="C79" s="3451"/>
      <c r="D79" s="3451"/>
      <c r="E79" s="3451"/>
      <c r="F79" s="3451"/>
      <c r="G79" s="1631">
        <v>0.24</v>
      </c>
      <c r="H79" s="1631"/>
      <c r="I79" s="1631"/>
      <c r="J79" s="1631"/>
      <c r="K79" s="1631"/>
      <c r="L79" s="3449">
        <v>1</v>
      </c>
      <c r="M79" s="3449"/>
      <c r="N79" s="3449"/>
      <c r="O79" s="3449"/>
      <c r="P79" s="3449"/>
      <c r="Q79" s="1631">
        <f>ROUND(Q78*1.5,1)</f>
        <v>3.5</v>
      </c>
      <c r="R79" s="1631"/>
      <c r="S79" s="1631"/>
      <c r="T79" s="1631"/>
      <c r="U79" s="1631"/>
      <c r="V79" s="1631">
        <f>ROUND(15000/(Q79*365),0)</f>
        <v>12</v>
      </c>
      <c r="W79" s="1631"/>
      <c r="X79" s="1631"/>
      <c r="Y79" s="1631"/>
      <c r="Z79" s="1631"/>
      <c r="AA79"/>
      <c r="AB79"/>
      <c r="AC79"/>
      <c r="AD79"/>
      <c r="AE79"/>
      <c r="AL79" s="272"/>
    </row>
    <row r="80" spans="1:48" s="148" customFormat="1" ht="28.5" customHeight="1" x14ac:dyDescent="0.25">
      <c r="A80"/>
      <c r="B80" s="3457" t="s">
        <v>3184</v>
      </c>
      <c r="C80" s="3457"/>
      <c r="D80" s="3457"/>
      <c r="E80" s="3457"/>
      <c r="F80" s="3457"/>
      <c r="G80" s="3457"/>
      <c r="H80" s="3457"/>
      <c r="I80" s="3457"/>
      <c r="J80" s="3457"/>
      <c r="K80" s="3457"/>
      <c r="L80" s="3457"/>
      <c r="M80" s="3457"/>
      <c r="N80" s="3457"/>
      <c r="O80" s="3457"/>
      <c r="P80" s="3457"/>
      <c r="Q80" s="3457"/>
      <c r="R80" s="3457"/>
      <c r="S80" s="3457"/>
      <c r="T80" s="3457"/>
      <c r="U80" s="3457"/>
      <c r="V80" s="3457"/>
      <c r="W80" s="3457"/>
      <c r="X80" s="3457"/>
      <c r="Y80" s="3457"/>
      <c r="Z80" s="3457"/>
      <c r="AA80" s="3457"/>
      <c r="AB80" s="3457"/>
      <c r="AC80" s="3457"/>
      <c r="AD80" s="3457"/>
      <c r="AE80" s="3457"/>
      <c r="AL80" s="272"/>
    </row>
    <row r="81" spans="1:87" x14ac:dyDescent="0.25">
      <c r="AJ81" s="692"/>
      <c r="AL81" s="266"/>
    </row>
    <row r="82" spans="1:87" x14ac:dyDescent="0.25">
      <c r="AI82" s="683"/>
      <c r="AL82" s="266"/>
      <c r="CI82" s="1048"/>
    </row>
    <row r="83" spans="1:87" s="1" customFormat="1" x14ac:dyDescent="0.25">
      <c r="A83" s="3458" t="s">
        <v>7123</v>
      </c>
      <c r="B83" s="3458"/>
      <c r="C83" s="3458"/>
      <c r="D83" s="3458"/>
      <c r="E83" s="3458"/>
      <c r="F83" s="3458"/>
      <c r="G83" s="3458"/>
      <c r="H83" s="3458"/>
      <c r="I83" s="3458"/>
      <c r="J83" s="3458"/>
      <c r="K83" s="3458"/>
      <c r="L83" s="3458"/>
      <c r="M83" s="3458"/>
      <c r="N83" s="3458"/>
      <c r="O83" s="3458"/>
      <c r="P83" s="3458"/>
      <c r="Q83" s="3458"/>
      <c r="R83" s="3458"/>
      <c r="S83" s="3458"/>
      <c r="T83" s="3458"/>
      <c r="U83" s="3458"/>
      <c r="V83" s="3458"/>
      <c r="W83" s="3458"/>
      <c r="X83" s="3458"/>
      <c r="Y83" s="3458"/>
      <c r="Z83" s="3458"/>
      <c r="AA83" s="3458"/>
      <c r="AB83" s="3458"/>
      <c r="AC83" s="3458"/>
      <c r="AD83" s="3458"/>
      <c r="AE83" s="3458"/>
      <c r="AF83" s="3458"/>
      <c r="AI83" s="1049"/>
      <c r="AJ83" s="1048"/>
      <c r="AL83" s="266"/>
    </row>
    <row r="84" spans="1:87" s="1" customForma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I84" s="656"/>
      <c r="AJ84" s="692"/>
      <c r="AK84"/>
      <c r="AL84" s="266"/>
      <c r="AM84"/>
      <c r="AN84"/>
      <c r="AO84"/>
      <c r="AP84"/>
      <c r="AQ84"/>
      <c r="AR84"/>
      <c r="AS84"/>
      <c r="AT84"/>
      <c r="AU84"/>
      <c r="AV84"/>
      <c r="AW84"/>
      <c r="AX84"/>
      <c r="AY84"/>
      <c r="AZ84"/>
      <c r="BA84"/>
      <c r="BB84"/>
      <c r="BC84"/>
      <c r="BD84"/>
      <c r="BE84"/>
      <c r="BF84"/>
      <c r="BG84"/>
      <c r="BH84"/>
      <c r="BI84"/>
      <c r="BJ84"/>
      <c r="BK84"/>
    </row>
    <row r="85" spans="1:87" s="1" customFormat="1" x14ac:dyDescent="0.25">
      <c r="A85" s="3"/>
      <c r="B85" s="642" t="s">
        <v>7110</v>
      </c>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L85" s="266"/>
    </row>
    <row r="86" spans="1:87" ht="15.75" thickBot="1" x14ac:dyDescent="0.3">
      <c r="A86" s="275"/>
      <c r="B86" s="288"/>
      <c r="C86" s="288"/>
      <c r="D86" s="148"/>
      <c r="E86" s="148"/>
      <c r="F86" s="148"/>
      <c r="G86" s="148"/>
      <c r="H86" s="148"/>
      <c r="I86" s="148"/>
      <c r="AL86" s="266"/>
    </row>
    <row r="87" spans="1:87" ht="32.1" customHeight="1" x14ac:dyDescent="0.25">
      <c r="A87" s="1583" t="s">
        <v>22</v>
      </c>
      <c r="B87" s="1584"/>
      <c r="C87" s="1584"/>
      <c r="D87" s="1584"/>
      <c r="E87" s="1584"/>
      <c r="F87" s="1584"/>
      <c r="G87" s="1584"/>
      <c r="H87" s="1584"/>
      <c r="I87" s="1609" t="s">
        <v>2922</v>
      </c>
      <c r="J87" s="1609"/>
      <c r="K87" s="1609"/>
      <c r="L87" s="1609"/>
      <c r="M87" s="1609"/>
      <c r="N87" s="1609"/>
      <c r="O87" s="1609"/>
      <c r="P87" s="1609"/>
      <c r="Q87" s="1609" t="s">
        <v>2923</v>
      </c>
      <c r="R87" s="1584"/>
      <c r="S87" s="1584"/>
      <c r="T87" s="1584"/>
      <c r="U87" s="1584"/>
      <c r="V87" s="1584"/>
      <c r="W87" s="1584"/>
      <c r="X87" s="1610"/>
      <c r="Y87" s="1609" t="s">
        <v>1786</v>
      </c>
      <c r="Z87" s="1584"/>
      <c r="AA87" s="1584"/>
      <c r="AB87" s="1584"/>
      <c r="AC87" s="1584"/>
      <c r="AD87" s="1584"/>
      <c r="AE87" s="1584"/>
      <c r="AF87" s="1585"/>
      <c r="AL87" s="266"/>
    </row>
    <row r="88" spans="1:87" x14ac:dyDescent="0.25">
      <c r="A88" s="1782" t="s">
        <v>1496</v>
      </c>
      <c r="B88" s="1243"/>
      <c r="C88" s="1243"/>
      <c r="D88" s="1243"/>
      <c r="E88" s="1243"/>
      <c r="F88" s="1243"/>
      <c r="G88" s="1243"/>
      <c r="H88" s="1243"/>
      <c r="I88" s="3377">
        <f>ROUND((L72-Q72)*Q51*G78*(1+L78*Q57*(Q58-1))*Q60,3)</f>
        <v>2E-3</v>
      </c>
      <c r="J88" s="3377"/>
      <c r="K88" s="3377"/>
      <c r="L88" s="3377"/>
      <c r="M88" s="3377"/>
      <c r="N88" s="3377"/>
      <c r="O88" s="3377"/>
      <c r="P88" s="3377"/>
      <c r="Q88" s="3378">
        <f>ROUND((L72-Q72)*Q51*Q78*365*(1+L78*Q57*(Q59-1))*Q60,2)</f>
        <v>12.83</v>
      </c>
      <c r="R88" s="3378"/>
      <c r="S88" s="3378"/>
      <c r="T88" s="3378"/>
      <c r="U88" s="3378"/>
      <c r="V88" s="3378"/>
      <c r="W88" s="3378"/>
      <c r="X88" s="3459"/>
      <c r="Y88" s="3460">
        <f>ROUND(Q88*V78,2)</f>
        <v>230.94</v>
      </c>
      <c r="Z88" s="3460"/>
      <c r="AA88" s="3460"/>
      <c r="AB88" s="3460"/>
      <c r="AC88" s="3460"/>
      <c r="AD88" s="3460"/>
      <c r="AE88" s="3460"/>
      <c r="AF88" s="3461"/>
      <c r="AL88" s="266"/>
    </row>
    <row r="89" spans="1:87" ht="15.75" thickBot="1" x14ac:dyDescent="0.3">
      <c r="A89" s="1578" t="s">
        <v>1497</v>
      </c>
      <c r="B89" s="1579"/>
      <c r="C89" s="1579"/>
      <c r="D89" s="1579"/>
      <c r="E89" s="1579"/>
      <c r="F89" s="1579"/>
      <c r="G89" s="1579"/>
      <c r="H89" s="1579"/>
      <c r="I89" s="3153">
        <f>ROUND((L72-Q72)*Q51*G79*(1+L79*Q57*(Q58-1))*Q60,3)</f>
        <v>4.0000000000000001E-3</v>
      </c>
      <c r="J89" s="3153"/>
      <c r="K89" s="3153"/>
      <c r="L89" s="3153"/>
      <c r="M89" s="3153"/>
      <c r="N89" s="3153"/>
      <c r="O89" s="3153"/>
      <c r="P89" s="3153"/>
      <c r="Q89" s="3154">
        <f>ROUND((L72-Q72)*Q51*Q79*365*(1+L79*Q57*(Q59-1))*Q60,2)</f>
        <v>22.17</v>
      </c>
      <c r="R89" s="3154"/>
      <c r="S89" s="3154"/>
      <c r="T89" s="3154"/>
      <c r="U89" s="3154"/>
      <c r="V89" s="3154"/>
      <c r="W89" s="3154"/>
      <c r="X89" s="3155"/>
      <c r="Y89" s="3156">
        <f>ROUND(Q89*V79,2)</f>
        <v>266.04000000000002</v>
      </c>
      <c r="Z89" s="3156"/>
      <c r="AA89" s="3156"/>
      <c r="AB89" s="3156"/>
      <c r="AC89" s="3156"/>
      <c r="AD89" s="3156"/>
      <c r="AE89" s="3156"/>
      <c r="AF89" s="3157"/>
      <c r="AL89" s="266"/>
    </row>
    <row r="90" spans="1:87" x14ac:dyDescent="0.25">
      <c r="AL90" s="266"/>
    </row>
    <row r="91" spans="1:87" x14ac:dyDescent="0.25">
      <c r="AL91" s="266"/>
    </row>
    <row r="92" spans="1:87" x14ac:dyDescent="0.25">
      <c r="B92" s="380" t="s">
        <v>1792</v>
      </c>
      <c r="AL92" s="266"/>
    </row>
    <row r="93" spans="1:87" x14ac:dyDescent="0.25">
      <c r="AL93" s="266"/>
    </row>
    <row r="94" spans="1:87" x14ac:dyDescent="0.25">
      <c r="B94" t="s">
        <v>1794</v>
      </c>
      <c r="AL94" s="266"/>
    </row>
    <row r="95" spans="1:87" ht="18" x14ac:dyDescent="0.35">
      <c r="D95" s="2721">
        <v>60</v>
      </c>
      <c r="E95" s="2722"/>
      <c r="F95" s="2722"/>
      <c r="G95" s="2722"/>
      <c r="H95" s="2723"/>
      <c r="N95" t="s">
        <v>1790</v>
      </c>
      <c r="Q95" s="3462">
        <f>VLOOKUP(D95,B67:Z71,11,FALSE)</f>
        <v>0.02</v>
      </c>
      <c r="R95" s="3463"/>
      <c r="S95" s="3464"/>
      <c r="V95" t="s">
        <v>1791</v>
      </c>
      <c r="Y95" s="1358">
        <f>VLOOKUP(D95,B67:Z71,16,FALSE)</f>
        <v>8.0000000000000002E-3</v>
      </c>
      <c r="Z95" s="1293"/>
      <c r="AA95" s="1359"/>
      <c r="AL95" s="266"/>
    </row>
    <row r="96" spans="1:87" ht="15.75" thickBot="1" x14ac:dyDescent="0.3">
      <c r="AL96" s="266"/>
    </row>
    <row r="97" spans="1:38" ht="32.450000000000003" customHeight="1" x14ac:dyDescent="0.25">
      <c r="A97" s="1583" t="s">
        <v>22</v>
      </c>
      <c r="B97" s="1584"/>
      <c r="C97" s="1584"/>
      <c r="D97" s="1584"/>
      <c r="E97" s="1584"/>
      <c r="F97" s="1584"/>
      <c r="G97" s="1584"/>
      <c r="H97" s="1584"/>
      <c r="I97" s="2484" t="s">
        <v>2922</v>
      </c>
      <c r="J97" s="2749"/>
      <c r="K97" s="2749"/>
      <c r="L97" s="2749"/>
      <c r="M97" s="2749"/>
      <c r="N97" s="2749"/>
      <c r="O97" s="2749"/>
      <c r="P97" s="2750"/>
      <c r="Q97" s="2484" t="s">
        <v>2923</v>
      </c>
      <c r="R97" s="2749"/>
      <c r="S97" s="2749"/>
      <c r="T97" s="2749"/>
      <c r="U97" s="2749"/>
      <c r="V97" s="2749"/>
      <c r="W97" s="2749"/>
      <c r="X97" s="2750"/>
      <c r="Y97" s="2484" t="s">
        <v>1786</v>
      </c>
      <c r="Z97" s="2749"/>
      <c r="AA97" s="2749"/>
      <c r="AB97" s="2749"/>
      <c r="AC97" s="2749"/>
      <c r="AD97" s="2749"/>
      <c r="AE97" s="2749"/>
      <c r="AF97" s="2779"/>
      <c r="AL97" s="266"/>
    </row>
    <row r="98" spans="1:38" x14ac:dyDescent="0.25">
      <c r="A98" s="1782" t="s">
        <v>1496</v>
      </c>
      <c r="B98" s="1243"/>
      <c r="C98" s="1243"/>
      <c r="D98" s="1243"/>
      <c r="E98" s="1243"/>
      <c r="F98" s="1243"/>
      <c r="G98" s="1243"/>
      <c r="H98" s="1243"/>
      <c r="I98" s="3465">
        <f>ROUND((Q95-Y95)*Q51*G78*(1+L78*Q57*(Q58-1))*Q60,3)</f>
        <v>2E-3</v>
      </c>
      <c r="J98" s="3465"/>
      <c r="K98" s="3465"/>
      <c r="L98" s="3465"/>
      <c r="M98" s="3465"/>
      <c r="N98" s="3465"/>
      <c r="O98" s="3465"/>
      <c r="P98" s="3465"/>
      <c r="Q98" s="3466">
        <f>ROUND((Q95-Y95)*Q51*Q78*365*(1+L78*Q57*(Q59-1))*Q60,2)</f>
        <v>11.17</v>
      </c>
      <c r="R98" s="3466"/>
      <c r="S98" s="3466"/>
      <c r="T98" s="3466"/>
      <c r="U98" s="3466"/>
      <c r="V98" s="3466"/>
      <c r="W98" s="3466"/>
      <c r="X98" s="3467"/>
      <c r="Y98" s="3468">
        <f>ROUND(Q98*V78,2)</f>
        <v>201.06</v>
      </c>
      <c r="Z98" s="3468"/>
      <c r="AA98" s="3468"/>
      <c r="AB98" s="3468"/>
      <c r="AC98" s="3468"/>
      <c r="AD98" s="3468"/>
      <c r="AE98" s="3468"/>
      <c r="AF98" s="3469"/>
      <c r="AL98" s="266"/>
    </row>
    <row r="99" spans="1:38" ht="15.75" thickBot="1" x14ac:dyDescent="0.3">
      <c r="A99" s="1578" t="s">
        <v>1497</v>
      </c>
      <c r="B99" s="1579"/>
      <c r="C99" s="1579"/>
      <c r="D99" s="1579"/>
      <c r="E99" s="1579"/>
      <c r="F99" s="1579"/>
      <c r="G99" s="1579"/>
      <c r="H99" s="1579"/>
      <c r="I99" s="1611">
        <f>ROUND((Q95-Y95)*Q51*G79*(1+L79*Q57*(Q58-1))*Q60,3)</f>
        <v>4.0000000000000001E-3</v>
      </c>
      <c r="J99" s="1611"/>
      <c r="K99" s="1611"/>
      <c r="L99" s="1611"/>
      <c r="M99" s="1611"/>
      <c r="N99" s="1611"/>
      <c r="O99" s="1611"/>
      <c r="P99" s="1611"/>
      <c r="Q99" s="3369">
        <f>ROUND((Q95-Y95)*Q51*Q79*365*(1+L79*Q57*(Q59-1))*Q60,2)</f>
        <v>19.29</v>
      </c>
      <c r="R99" s="3369"/>
      <c r="S99" s="3369"/>
      <c r="T99" s="3369"/>
      <c r="U99" s="3369"/>
      <c r="V99" s="3369"/>
      <c r="W99" s="3369"/>
      <c r="X99" s="3370"/>
      <c r="Y99" s="3470">
        <f>ROUND(Q99*V79,2)</f>
        <v>231.48</v>
      </c>
      <c r="Z99" s="3470"/>
      <c r="AA99" s="3470"/>
      <c r="AB99" s="3470"/>
      <c r="AC99" s="3470"/>
      <c r="AD99" s="3470"/>
      <c r="AE99" s="3470"/>
      <c r="AF99" s="3471"/>
      <c r="AL99" s="266"/>
    </row>
    <row r="100" spans="1:38" x14ac:dyDescent="0.25">
      <c r="A100" s="416" t="s">
        <v>5552</v>
      </c>
      <c r="AL100" s="266"/>
    </row>
    <row r="101" spans="1:38" x14ac:dyDescent="0.25">
      <c r="F101" s="386"/>
      <c r="G101" s="386"/>
      <c r="H101" s="386"/>
      <c r="AL101" s="266"/>
    </row>
    <row r="102" spans="1:38" x14ac:dyDescent="0.25">
      <c r="A102" s="1472" t="s">
        <v>1753</v>
      </c>
      <c r="B102" s="1472"/>
      <c r="C102" s="1472"/>
      <c r="D102" s="147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L102" s="266"/>
    </row>
    <row r="103" spans="1:38" x14ac:dyDescent="0.25">
      <c r="AL103" s="266"/>
    </row>
    <row r="104" spans="1:38" x14ac:dyDescent="0.25">
      <c r="A104" s="517" t="s">
        <v>1013</v>
      </c>
      <c r="B104" s="1168" t="s">
        <v>7111</v>
      </c>
      <c r="C104" s="1168"/>
      <c r="D104" s="1168"/>
      <c r="E104" s="1168"/>
      <c r="F104" s="1168"/>
      <c r="G104" s="1168"/>
      <c r="H104" s="1168"/>
      <c r="I104" s="1168"/>
      <c r="J104" s="1168"/>
      <c r="K104" s="1168"/>
      <c r="L104" s="1168"/>
      <c r="M104" s="1168"/>
      <c r="N104" s="1168"/>
      <c r="O104" s="1168"/>
      <c r="P104" s="1168"/>
      <c r="Q104" s="1168"/>
      <c r="R104" s="1168"/>
      <c r="S104" s="1168"/>
      <c r="T104" s="1168"/>
      <c r="U104" s="1168"/>
      <c r="V104" s="1168"/>
      <c r="W104" s="1168"/>
      <c r="X104" s="1168"/>
      <c r="Y104" s="1168"/>
      <c r="Z104" s="1168"/>
      <c r="AA104" s="1168"/>
      <c r="AB104" s="1168"/>
      <c r="AC104" s="1168"/>
      <c r="AD104" s="1168"/>
      <c r="AE104" s="1168"/>
      <c r="AF104" s="1168"/>
      <c r="AI104" s="692"/>
      <c r="AL104" s="266"/>
    </row>
    <row r="105" spans="1:38" ht="34.5" customHeight="1" x14ac:dyDescent="0.25">
      <c r="A105" s="517" t="s">
        <v>1013</v>
      </c>
      <c r="B105" s="1168" t="s">
        <v>5606</v>
      </c>
      <c r="C105" s="1168"/>
      <c r="D105" s="1168"/>
      <c r="E105" s="1168"/>
      <c r="F105" s="1168"/>
      <c r="G105" s="1168"/>
      <c r="H105" s="1168"/>
      <c r="I105" s="1168"/>
      <c r="J105" s="1168"/>
      <c r="K105" s="1168"/>
      <c r="L105" s="1168"/>
      <c r="M105" s="1168"/>
      <c r="N105" s="1168"/>
      <c r="O105" s="1168"/>
      <c r="P105" s="1168"/>
      <c r="Q105" s="1168"/>
      <c r="R105" s="1168"/>
      <c r="S105" s="1168"/>
      <c r="T105" s="1168"/>
      <c r="U105" s="1168"/>
      <c r="V105" s="1168"/>
      <c r="W105" s="1168"/>
      <c r="X105" s="1168"/>
      <c r="Y105" s="1168"/>
      <c r="Z105" s="1168"/>
      <c r="AA105" s="1168"/>
      <c r="AB105" s="1168"/>
      <c r="AC105" s="1168"/>
      <c r="AD105" s="1168"/>
      <c r="AE105" s="1168"/>
      <c r="AF105" s="1168"/>
      <c r="AK105" s="692"/>
      <c r="AL105" s="266"/>
    </row>
    <row r="106" spans="1:38" s="1" customFormat="1" ht="48.75" customHeight="1" x14ac:dyDescent="0.25">
      <c r="A106" s="517" t="s">
        <v>1013</v>
      </c>
      <c r="B106" s="1173" t="s">
        <v>5608</v>
      </c>
      <c r="C106" s="1173"/>
      <c r="D106" s="1173"/>
      <c r="E106" s="1173"/>
      <c r="F106" s="1173"/>
      <c r="G106" s="1173"/>
      <c r="H106" s="1173"/>
      <c r="I106" s="1173"/>
      <c r="J106" s="1173"/>
      <c r="K106" s="1173"/>
      <c r="L106" s="1173"/>
      <c r="M106" s="1173"/>
      <c r="N106" s="1173"/>
      <c r="O106" s="1173"/>
      <c r="P106" s="1173"/>
      <c r="Q106" s="1173"/>
      <c r="R106" s="1173"/>
      <c r="S106" s="1173"/>
      <c r="T106" s="1173"/>
      <c r="U106" s="1173"/>
      <c r="V106" s="1173"/>
      <c r="W106" s="1173"/>
      <c r="X106" s="1173"/>
      <c r="Y106" s="1173"/>
      <c r="Z106" s="1173"/>
      <c r="AA106" s="1173"/>
      <c r="AB106" s="1173"/>
      <c r="AC106" s="1173"/>
      <c r="AD106" s="1173"/>
      <c r="AE106" s="1173"/>
      <c r="AF106" s="1173"/>
      <c r="AL106" s="266"/>
    </row>
    <row r="107" spans="1:38" s="1" customFormat="1" ht="33" customHeight="1" x14ac:dyDescent="0.25">
      <c r="A107" s="517" t="s">
        <v>1013</v>
      </c>
      <c r="B107" s="1168" t="s">
        <v>4583</v>
      </c>
      <c r="C107" s="1168"/>
      <c r="D107" s="1168"/>
      <c r="E107" s="1168"/>
      <c r="F107" s="1168"/>
      <c r="G107" s="1168"/>
      <c r="H107" s="1168"/>
      <c r="I107" s="1168"/>
      <c r="J107" s="1168"/>
      <c r="K107" s="1168"/>
      <c r="L107" s="1168"/>
      <c r="M107" s="1168"/>
      <c r="N107" s="1168"/>
      <c r="O107" s="1168"/>
      <c r="P107" s="1168"/>
      <c r="Q107" s="1168"/>
      <c r="R107" s="1168"/>
      <c r="S107" s="1168"/>
      <c r="T107" s="1168"/>
      <c r="U107" s="1168"/>
      <c r="V107" s="1168"/>
      <c r="W107" s="1168"/>
      <c r="X107" s="1168"/>
      <c r="Y107" s="1168"/>
      <c r="Z107" s="1168"/>
      <c r="AA107" s="1168"/>
      <c r="AB107" s="1168"/>
      <c r="AC107" s="1168"/>
      <c r="AD107" s="1168"/>
      <c r="AE107" s="1168"/>
      <c r="AF107" s="1168"/>
      <c r="AL107" s="266"/>
    </row>
    <row r="108" spans="1:38" s="1" customFormat="1" ht="32.450000000000003" customHeight="1" x14ac:dyDescent="0.25">
      <c r="A108" s="517" t="s">
        <v>1013</v>
      </c>
      <c r="B108" s="1168" t="s">
        <v>4584</v>
      </c>
      <c r="C108" s="1168"/>
      <c r="D108" s="1168"/>
      <c r="E108" s="1168"/>
      <c r="F108" s="1168"/>
      <c r="G108" s="1168"/>
      <c r="H108" s="1168"/>
      <c r="I108" s="1168"/>
      <c r="J108" s="1168"/>
      <c r="K108" s="1168"/>
      <c r="L108" s="1168"/>
      <c r="M108" s="1168"/>
      <c r="N108" s="1168"/>
      <c r="O108" s="1168"/>
      <c r="P108" s="1168"/>
      <c r="Q108" s="1168"/>
      <c r="R108" s="1168"/>
      <c r="S108" s="1168"/>
      <c r="T108" s="1168"/>
      <c r="U108" s="1168"/>
      <c r="V108" s="1168"/>
      <c r="W108" s="1168"/>
      <c r="X108" s="1168"/>
      <c r="Y108" s="1168"/>
      <c r="Z108" s="1168"/>
      <c r="AA108" s="1168"/>
      <c r="AB108" s="1168"/>
      <c r="AC108" s="1168"/>
      <c r="AD108" s="1168"/>
      <c r="AE108" s="1168"/>
      <c r="AF108" s="1168"/>
      <c r="AL108" s="266"/>
    </row>
    <row r="109" spans="1:38" ht="142.5" customHeight="1" x14ac:dyDescent="0.25">
      <c r="A109" s="515" t="s">
        <v>1013</v>
      </c>
      <c r="B109" s="1168" t="s">
        <v>2980</v>
      </c>
      <c r="C109" s="1168"/>
      <c r="D109" s="1168"/>
      <c r="E109" s="1168"/>
      <c r="F109" s="1168"/>
      <c r="G109" s="1168"/>
      <c r="H109" s="1168"/>
      <c r="I109" s="1168"/>
      <c r="J109" s="1168"/>
      <c r="K109" s="1168"/>
      <c r="L109" s="1168"/>
      <c r="M109" s="1168"/>
      <c r="N109" s="1168"/>
      <c r="O109" s="1168"/>
      <c r="P109" s="1168"/>
      <c r="Q109" s="1168"/>
      <c r="R109" s="1168"/>
      <c r="S109" s="1168"/>
      <c r="T109" s="1168"/>
      <c r="U109" s="1168"/>
      <c r="V109" s="1168"/>
      <c r="W109" s="1168"/>
      <c r="X109" s="1168"/>
      <c r="Y109" s="1168"/>
      <c r="Z109" s="1168"/>
      <c r="AA109" s="1168"/>
      <c r="AB109" s="1168"/>
      <c r="AC109" s="1168"/>
      <c r="AD109" s="1168"/>
      <c r="AE109" s="1168"/>
      <c r="AF109" s="1168"/>
      <c r="AL109" s="266"/>
    </row>
    <row r="110" spans="1:38" x14ac:dyDescent="0.25">
      <c r="A110" s="515" t="s">
        <v>1013</v>
      </c>
      <c r="B110" s="1173" t="s">
        <v>1795</v>
      </c>
      <c r="C110" s="1173"/>
      <c r="D110" s="1173"/>
      <c r="E110" s="1173"/>
      <c r="F110" s="1173"/>
      <c r="G110" s="1173"/>
      <c r="H110" s="1173"/>
      <c r="I110" s="1173"/>
      <c r="J110" s="1173"/>
      <c r="K110" s="1173"/>
      <c r="L110" s="1173"/>
      <c r="M110" s="1173"/>
      <c r="N110" s="1173"/>
      <c r="O110" s="1173"/>
      <c r="P110" s="1173"/>
      <c r="Q110" s="1173"/>
      <c r="R110" s="1173"/>
      <c r="S110" s="1173"/>
      <c r="T110" s="1173"/>
      <c r="U110" s="1173"/>
      <c r="V110" s="1173"/>
      <c r="W110" s="1173"/>
      <c r="X110" s="1173"/>
      <c r="Y110" s="1173"/>
      <c r="Z110" s="1173"/>
      <c r="AA110" s="1173"/>
      <c r="AB110" s="1173"/>
      <c r="AC110" s="1173"/>
      <c r="AD110" s="1173"/>
      <c r="AE110" s="1173"/>
      <c r="AF110" s="1173"/>
      <c r="AL110" s="266"/>
    </row>
    <row r="111" spans="1:38" ht="48.75" customHeight="1" x14ac:dyDescent="0.25">
      <c r="A111" s="515" t="s">
        <v>1013</v>
      </c>
      <c r="B111" s="1173" t="s">
        <v>3432</v>
      </c>
      <c r="C111" s="1173"/>
      <c r="D111" s="1173"/>
      <c r="E111" s="1173"/>
      <c r="F111" s="1173"/>
      <c r="G111" s="1173"/>
      <c r="H111" s="1173"/>
      <c r="I111" s="1173"/>
      <c r="J111" s="1173"/>
      <c r="K111" s="1173"/>
      <c r="L111" s="1173"/>
      <c r="M111" s="1173"/>
      <c r="N111" s="1173"/>
      <c r="O111" s="1173"/>
      <c r="P111" s="1173"/>
      <c r="Q111" s="1173"/>
      <c r="R111" s="1173"/>
      <c r="S111" s="1173"/>
      <c r="T111" s="1173"/>
      <c r="U111" s="1173"/>
      <c r="V111" s="1173"/>
      <c r="W111" s="1173"/>
      <c r="X111" s="1173"/>
      <c r="Y111" s="1173"/>
      <c r="Z111" s="1173"/>
      <c r="AA111" s="1173"/>
      <c r="AB111" s="1173"/>
      <c r="AC111" s="1173"/>
      <c r="AD111" s="1173"/>
      <c r="AE111" s="1173"/>
      <c r="AF111" s="1173"/>
      <c r="AL111" s="266"/>
    </row>
    <row r="112" spans="1:38" x14ac:dyDescent="0.25">
      <c r="A112" s="515" t="s">
        <v>1013</v>
      </c>
      <c r="B112" s="3472" t="s">
        <v>1796</v>
      </c>
      <c r="C112" s="3472"/>
      <c r="D112" s="3472"/>
      <c r="E112" s="3472"/>
      <c r="F112" s="3472"/>
      <c r="G112" s="3472"/>
      <c r="H112" s="3472"/>
      <c r="I112" s="3472"/>
      <c r="J112" s="3472"/>
      <c r="K112" s="3472"/>
      <c r="L112" s="3472"/>
      <c r="M112" s="3472"/>
      <c r="N112" s="3472"/>
      <c r="O112" s="3472"/>
      <c r="P112" s="3472"/>
      <c r="Q112" s="3472"/>
      <c r="R112" s="3472"/>
      <c r="S112" s="3472"/>
      <c r="T112" s="3472"/>
      <c r="U112" s="3472"/>
      <c r="V112" s="3472"/>
      <c r="W112" s="3472"/>
      <c r="X112" s="3472"/>
      <c r="Y112" s="3472"/>
      <c r="Z112" s="3472"/>
      <c r="AA112" s="3472"/>
      <c r="AB112" s="3472"/>
      <c r="AC112" s="3472"/>
      <c r="AD112" s="3472"/>
      <c r="AE112" s="3472"/>
      <c r="AF112" s="3472"/>
      <c r="AL112" s="266"/>
    </row>
    <row r="113" spans="1:38" ht="32.25" customHeight="1" x14ac:dyDescent="0.25">
      <c r="A113" s="515" t="s">
        <v>1013</v>
      </c>
      <c r="B113" s="3472" t="s">
        <v>2035</v>
      </c>
      <c r="C113" s="3472"/>
      <c r="D113" s="3472"/>
      <c r="E113" s="3472"/>
      <c r="F113" s="3472"/>
      <c r="G113" s="3472"/>
      <c r="H113" s="3472"/>
      <c r="I113" s="3472"/>
      <c r="J113" s="3472"/>
      <c r="K113" s="3472"/>
      <c r="L113" s="3472"/>
      <c r="M113" s="3472"/>
      <c r="N113" s="3472"/>
      <c r="O113" s="3472"/>
      <c r="P113" s="3472"/>
      <c r="Q113" s="3472"/>
      <c r="R113" s="3472"/>
      <c r="S113" s="3472"/>
      <c r="T113" s="3472"/>
      <c r="U113" s="3472"/>
      <c r="V113" s="3472"/>
      <c r="W113" s="3472"/>
      <c r="X113" s="3472"/>
      <c r="Y113" s="3472"/>
      <c r="Z113" s="3472"/>
      <c r="AA113" s="3472"/>
      <c r="AB113" s="3472"/>
      <c r="AC113" s="3472"/>
      <c r="AD113" s="3472"/>
      <c r="AE113" s="3472"/>
      <c r="AF113" s="3472"/>
      <c r="AL113" s="266"/>
    </row>
    <row r="114" spans="1:38" x14ac:dyDescent="0.25">
      <c r="A114" s="515" t="s">
        <v>1013</v>
      </c>
      <c r="B114" s="1173" t="s">
        <v>2981</v>
      </c>
      <c r="C114" s="1173"/>
      <c r="D114" s="1173"/>
      <c r="E114" s="1173"/>
      <c r="F114" s="1173"/>
      <c r="G114" s="1173"/>
      <c r="H114" s="1173"/>
      <c r="I114" s="1173"/>
      <c r="J114" s="1173"/>
      <c r="K114" s="1173"/>
      <c r="L114" s="1173"/>
      <c r="M114" s="1173"/>
      <c r="N114" s="1173"/>
      <c r="O114" s="1173"/>
      <c r="P114" s="1173"/>
      <c r="Q114" s="1173"/>
      <c r="R114" s="1173"/>
      <c r="S114" s="1173"/>
      <c r="T114" s="1173"/>
      <c r="U114" s="1173"/>
      <c r="V114" s="1173"/>
      <c r="W114" s="1173"/>
      <c r="X114" s="1173"/>
      <c r="Y114" s="1173"/>
      <c r="Z114" s="1173"/>
      <c r="AA114" s="1173"/>
      <c r="AB114" s="1173"/>
      <c r="AC114" s="1173"/>
      <c r="AD114" s="1173"/>
      <c r="AE114" s="1173"/>
      <c r="AF114" s="1173"/>
      <c r="AL114" s="266"/>
    </row>
    <row r="115" spans="1:38" x14ac:dyDescent="0.25">
      <c r="A115" s="515" t="s">
        <v>1013</v>
      </c>
      <c r="B115" s="1173" t="s">
        <v>1797</v>
      </c>
      <c r="C115" s="1173"/>
      <c r="D115" s="1173"/>
      <c r="E115" s="1173"/>
      <c r="F115" s="1173"/>
      <c r="G115" s="1173"/>
      <c r="H115" s="1173"/>
      <c r="I115" s="1173"/>
      <c r="J115" s="1173"/>
      <c r="K115" s="1173"/>
      <c r="L115" s="1173"/>
      <c r="M115" s="1173"/>
      <c r="N115" s="1173"/>
      <c r="O115" s="1173"/>
      <c r="P115" s="1173"/>
      <c r="Q115" s="1173"/>
      <c r="R115" s="1173"/>
      <c r="S115" s="1173"/>
      <c r="T115" s="1173"/>
      <c r="U115" s="1173"/>
      <c r="V115" s="1173"/>
      <c r="W115" s="1173"/>
      <c r="X115" s="1173"/>
      <c r="Y115" s="1173"/>
      <c r="Z115" s="1173"/>
      <c r="AA115" s="1173"/>
      <c r="AB115" s="1173"/>
      <c r="AC115" s="1173"/>
      <c r="AD115" s="1173"/>
      <c r="AE115" s="1173"/>
      <c r="AF115" s="1173"/>
      <c r="AL115" s="266"/>
    </row>
    <row r="116" spans="1:38" ht="47.25" customHeight="1" x14ac:dyDescent="0.25">
      <c r="A116" s="515" t="s">
        <v>1013</v>
      </c>
      <c r="B116" s="1173" t="s">
        <v>2029</v>
      </c>
      <c r="C116" s="1173"/>
      <c r="D116" s="1173"/>
      <c r="E116" s="1173"/>
      <c r="F116" s="1173"/>
      <c r="G116" s="1173"/>
      <c r="H116" s="1173"/>
      <c r="I116" s="1173"/>
      <c r="J116" s="1173"/>
      <c r="K116" s="1173"/>
      <c r="L116" s="1173"/>
      <c r="M116" s="1173"/>
      <c r="N116" s="1173"/>
      <c r="O116" s="1173"/>
      <c r="P116" s="1173"/>
      <c r="Q116" s="1173"/>
      <c r="R116" s="1173"/>
      <c r="S116" s="1173"/>
      <c r="T116" s="1173"/>
      <c r="U116" s="1173"/>
      <c r="V116" s="1173"/>
      <c r="W116" s="1173"/>
      <c r="X116" s="1173"/>
      <c r="Y116" s="1173"/>
      <c r="Z116" s="1173"/>
      <c r="AA116" s="1173"/>
      <c r="AB116" s="1173"/>
      <c r="AC116" s="1173"/>
      <c r="AD116" s="1173"/>
      <c r="AE116" s="1173"/>
      <c r="AF116" s="1173"/>
      <c r="AL116" s="266"/>
    </row>
    <row r="117" spans="1:38" x14ac:dyDescent="0.25">
      <c r="A117" s="515" t="s">
        <v>1013</v>
      </c>
      <c r="B117" s="1173" t="s">
        <v>1798</v>
      </c>
      <c r="C117" s="1173"/>
      <c r="D117" s="1173"/>
      <c r="E117" s="1173"/>
      <c r="F117" s="1173"/>
      <c r="G117" s="1173"/>
      <c r="H117" s="1173"/>
      <c r="I117" s="1173"/>
      <c r="J117" s="1173"/>
      <c r="K117" s="1173"/>
      <c r="L117" s="1173"/>
      <c r="M117" s="1173"/>
      <c r="N117" s="1173"/>
      <c r="O117" s="1173"/>
      <c r="P117" s="1173"/>
      <c r="Q117" s="1173"/>
      <c r="R117" s="1173"/>
      <c r="S117" s="1173"/>
      <c r="T117" s="1173"/>
      <c r="U117" s="1173"/>
      <c r="V117" s="1173"/>
      <c r="W117" s="1173"/>
      <c r="X117" s="1173"/>
      <c r="Y117" s="1173"/>
      <c r="Z117" s="1173"/>
      <c r="AA117" s="1173"/>
      <c r="AB117" s="1173"/>
      <c r="AC117" s="1173"/>
      <c r="AD117" s="1173"/>
      <c r="AE117" s="1173"/>
      <c r="AF117" s="1173"/>
      <c r="AL117" s="266"/>
    </row>
    <row r="118" spans="1:38" ht="33.75" customHeight="1" x14ac:dyDescent="0.25">
      <c r="A118" s="515" t="s">
        <v>1013</v>
      </c>
      <c r="B118" s="1173" t="s">
        <v>2036</v>
      </c>
      <c r="C118" s="1173"/>
      <c r="D118" s="1173"/>
      <c r="E118" s="1173"/>
      <c r="F118" s="1173"/>
      <c r="G118" s="1173"/>
      <c r="H118" s="1173"/>
      <c r="I118" s="1173"/>
      <c r="J118" s="1173"/>
      <c r="K118" s="1173"/>
      <c r="L118" s="1173"/>
      <c r="M118" s="1173"/>
      <c r="N118" s="1173"/>
      <c r="O118" s="1173"/>
      <c r="P118" s="1173"/>
      <c r="Q118" s="1173"/>
      <c r="R118" s="1173"/>
      <c r="S118" s="1173"/>
      <c r="T118" s="1173"/>
      <c r="U118" s="1173"/>
      <c r="V118" s="1173"/>
      <c r="W118" s="1173"/>
      <c r="X118" s="1173"/>
      <c r="Y118" s="1173"/>
      <c r="Z118" s="1173"/>
      <c r="AA118" s="1173"/>
      <c r="AB118" s="1173"/>
      <c r="AC118" s="1173"/>
      <c r="AD118" s="1173"/>
      <c r="AE118" s="1173"/>
      <c r="AF118" s="1173"/>
      <c r="AL118" s="266"/>
    </row>
    <row r="119" spans="1:38" x14ac:dyDescent="0.25">
      <c r="A119" s="515" t="s">
        <v>1013</v>
      </c>
      <c r="B119" s="1173" t="s">
        <v>1799</v>
      </c>
      <c r="C119" s="1173"/>
      <c r="D119" s="1173"/>
      <c r="E119" s="1173"/>
      <c r="F119" s="1173"/>
      <c r="G119" s="1173"/>
      <c r="H119" s="1173"/>
      <c r="I119" s="1173"/>
      <c r="J119" s="1173"/>
      <c r="K119" s="1173"/>
      <c r="L119" s="1173"/>
      <c r="M119" s="1173"/>
      <c r="N119" s="1173"/>
      <c r="O119" s="1173"/>
      <c r="P119" s="1173"/>
      <c r="Q119" s="1173"/>
      <c r="R119" s="1173"/>
      <c r="S119" s="1173"/>
      <c r="T119" s="1173"/>
      <c r="U119" s="1173"/>
      <c r="V119" s="1173"/>
      <c r="W119" s="1173"/>
      <c r="X119" s="1173"/>
      <c r="Y119" s="1173"/>
      <c r="Z119" s="1173"/>
      <c r="AA119" s="1173"/>
      <c r="AB119" s="1173"/>
      <c r="AC119" s="1173"/>
      <c r="AD119" s="1173"/>
      <c r="AE119" s="1173"/>
      <c r="AF119" s="1173"/>
      <c r="AL119" s="266"/>
    </row>
    <row r="120" spans="1:38" ht="30.6" customHeight="1" x14ac:dyDescent="0.25">
      <c r="A120" s="515" t="s">
        <v>1013</v>
      </c>
      <c r="B120" s="1173" t="s">
        <v>2058</v>
      </c>
      <c r="C120" s="1173"/>
      <c r="D120" s="1173"/>
      <c r="E120" s="1173"/>
      <c r="F120" s="1173"/>
      <c r="G120" s="1173"/>
      <c r="H120" s="1173"/>
      <c r="I120" s="1173"/>
      <c r="J120" s="1173"/>
      <c r="K120" s="1173"/>
      <c r="L120" s="1173"/>
      <c r="M120" s="1173"/>
      <c r="N120" s="1173"/>
      <c r="O120" s="1173"/>
      <c r="P120" s="1173"/>
      <c r="Q120" s="1173"/>
      <c r="R120" s="1173"/>
      <c r="S120" s="1173"/>
      <c r="T120" s="1173"/>
      <c r="U120" s="1173"/>
      <c r="V120" s="1173"/>
      <c r="W120" s="1173"/>
      <c r="X120" s="1173"/>
      <c r="Y120" s="1173"/>
      <c r="Z120" s="1173"/>
      <c r="AA120" s="1173"/>
      <c r="AB120" s="1173"/>
      <c r="AC120" s="1173"/>
      <c r="AD120" s="1173"/>
      <c r="AE120" s="1173"/>
      <c r="AF120" s="1173"/>
      <c r="AL120" s="266"/>
    </row>
    <row r="121" spans="1:38" ht="29.45" customHeight="1" x14ac:dyDescent="0.25">
      <c r="A121" s="515" t="s">
        <v>1013</v>
      </c>
      <c r="B121" s="1173" t="s">
        <v>1800</v>
      </c>
      <c r="C121" s="1173"/>
      <c r="D121" s="1173"/>
      <c r="E121" s="1173"/>
      <c r="F121" s="1173"/>
      <c r="G121" s="1173"/>
      <c r="H121" s="1173"/>
      <c r="I121" s="1173"/>
      <c r="J121" s="1173"/>
      <c r="K121" s="1173"/>
      <c r="L121" s="1173"/>
      <c r="M121" s="1173"/>
      <c r="N121" s="1173"/>
      <c r="O121" s="1173"/>
      <c r="P121" s="1173"/>
      <c r="Q121" s="1173"/>
      <c r="R121" s="1173"/>
      <c r="S121" s="1173"/>
      <c r="T121" s="1173"/>
      <c r="U121" s="1173"/>
      <c r="V121" s="1173"/>
      <c r="W121" s="1173"/>
      <c r="X121" s="1173"/>
      <c r="Y121" s="1173"/>
      <c r="Z121" s="1173"/>
      <c r="AA121" s="1173"/>
      <c r="AB121" s="1173"/>
      <c r="AC121" s="1173"/>
      <c r="AD121" s="1173"/>
      <c r="AE121" s="1173"/>
      <c r="AF121" s="1173"/>
      <c r="AL121" s="266"/>
    </row>
    <row r="122" spans="1:38" ht="30.6" customHeight="1" x14ac:dyDescent="0.25">
      <c r="A122" s="515" t="s">
        <v>1013</v>
      </c>
      <c r="B122" s="1173" t="s">
        <v>1801</v>
      </c>
      <c r="C122" s="1173"/>
      <c r="D122" s="1173"/>
      <c r="E122" s="1173"/>
      <c r="F122" s="1173"/>
      <c r="G122" s="1173"/>
      <c r="H122" s="1173"/>
      <c r="I122" s="1173"/>
      <c r="J122" s="1173"/>
      <c r="K122" s="1173"/>
      <c r="L122" s="1173"/>
      <c r="M122" s="1173"/>
      <c r="N122" s="1173"/>
      <c r="O122" s="1173"/>
      <c r="P122" s="1173"/>
      <c r="Q122" s="1173"/>
      <c r="R122" s="1173"/>
      <c r="S122" s="1173"/>
      <c r="T122" s="1173"/>
      <c r="U122" s="1173"/>
      <c r="V122" s="1173"/>
      <c r="W122" s="1173"/>
      <c r="X122" s="1173"/>
      <c r="Y122" s="1173"/>
      <c r="Z122" s="1173"/>
      <c r="AA122" s="1173"/>
      <c r="AB122" s="1173"/>
      <c r="AC122" s="1173"/>
      <c r="AD122" s="1173"/>
      <c r="AE122" s="1173"/>
      <c r="AF122" s="1173"/>
      <c r="AL122" s="266"/>
    </row>
    <row r="123" spans="1:38" ht="63" customHeight="1" x14ac:dyDescent="0.25">
      <c r="A123" s="515" t="s">
        <v>1013</v>
      </c>
      <c r="B123" s="1173" t="s">
        <v>2346</v>
      </c>
      <c r="C123" s="1173"/>
      <c r="D123" s="1173"/>
      <c r="E123" s="1173"/>
      <c r="F123" s="1173"/>
      <c r="G123" s="1173"/>
      <c r="H123" s="1173"/>
      <c r="I123" s="1173"/>
      <c r="J123" s="1173"/>
      <c r="K123" s="1173"/>
      <c r="L123" s="1173"/>
      <c r="M123" s="1173"/>
      <c r="N123" s="1173"/>
      <c r="O123" s="1173"/>
      <c r="P123" s="1173"/>
      <c r="Q123" s="1173"/>
      <c r="R123" s="1173"/>
      <c r="S123" s="1173"/>
      <c r="T123" s="1173"/>
      <c r="U123" s="1173"/>
      <c r="V123" s="1173"/>
      <c r="W123" s="1173"/>
      <c r="X123" s="1173"/>
      <c r="Y123" s="1173"/>
      <c r="Z123" s="1173"/>
      <c r="AA123" s="1173"/>
      <c r="AB123" s="1173"/>
      <c r="AC123" s="1173"/>
      <c r="AD123" s="1173"/>
      <c r="AE123" s="1173"/>
      <c r="AF123" s="1173"/>
      <c r="AL123" s="266"/>
    </row>
    <row r="124" spans="1:38" x14ac:dyDescent="0.25">
      <c r="A124" s="515" t="s">
        <v>1013</v>
      </c>
      <c r="B124" s="1173" t="s">
        <v>2018</v>
      </c>
      <c r="C124" s="1173"/>
      <c r="D124" s="1173"/>
      <c r="E124" s="1173"/>
      <c r="F124" s="1173"/>
      <c r="G124" s="1173"/>
      <c r="H124" s="1173"/>
      <c r="I124" s="1173"/>
      <c r="J124" s="1173"/>
      <c r="K124" s="1173"/>
      <c r="L124" s="1173"/>
      <c r="M124" s="1173"/>
      <c r="N124" s="1173"/>
      <c r="O124" s="1173"/>
      <c r="P124" s="1173"/>
      <c r="Q124" s="1173"/>
      <c r="R124" s="1173"/>
      <c r="S124" s="1173"/>
      <c r="T124" s="1173"/>
      <c r="U124" s="1173"/>
      <c r="V124" s="1173"/>
      <c r="W124" s="1173"/>
      <c r="X124" s="1173"/>
      <c r="Y124" s="1173"/>
      <c r="Z124" s="1173"/>
      <c r="AA124" s="1173"/>
      <c r="AB124" s="1173"/>
      <c r="AC124" s="1173"/>
      <c r="AD124" s="1173"/>
      <c r="AE124" s="1173"/>
      <c r="AF124" s="1173"/>
      <c r="AL124" s="266"/>
    </row>
    <row r="125" spans="1:38" ht="45.6" customHeight="1" x14ac:dyDescent="0.25">
      <c r="A125" s="515" t="s">
        <v>1013</v>
      </c>
      <c r="B125" s="1173" t="s">
        <v>1802</v>
      </c>
      <c r="C125" s="1173"/>
      <c r="D125" s="1173"/>
      <c r="E125" s="1173"/>
      <c r="F125" s="1173"/>
      <c r="G125" s="1173"/>
      <c r="H125" s="1173"/>
      <c r="I125" s="1173"/>
      <c r="J125" s="1173"/>
      <c r="K125" s="1173"/>
      <c r="L125" s="1173"/>
      <c r="M125" s="1173"/>
      <c r="N125" s="1173"/>
      <c r="O125" s="1173"/>
      <c r="P125" s="1173"/>
      <c r="Q125" s="1173"/>
      <c r="R125" s="1173"/>
      <c r="S125" s="1173"/>
      <c r="T125" s="1173"/>
      <c r="U125" s="1173"/>
      <c r="V125" s="1173"/>
      <c r="W125" s="1173"/>
      <c r="X125" s="1173"/>
      <c r="Y125" s="1173"/>
      <c r="Z125" s="1173"/>
      <c r="AA125" s="1173"/>
      <c r="AB125" s="1173"/>
      <c r="AC125" s="1173"/>
      <c r="AD125" s="1173"/>
      <c r="AE125" s="1173"/>
      <c r="AF125" s="1173"/>
      <c r="AL125" s="266"/>
    </row>
    <row r="126" spans="1:38" ht="29.45" customHeight="1" x14ac:dyDescent="0.25">
      <c r="A126" s="515" t="s">
        <v>1013</v>
      </c>
      <c r="B126" s="1173" t="s">
        <v>1613</v>
      </c>
      <c r="C126" s="1173"/>
      <c r="D126" s="1173"/>
      <c r="E126" s="1173"/>
      <c r="F126" s="1173"/>
      <c r="G126" s="1173"/>
      <c r="H126" s="1173"/>
      <c r="I126" s="1173"/>
      <c r="J126" s="1173"/>
      <c r="K126" s="1173"/>
      <c r="L126" s="1173"/>
      <c r="M126" s="1173"/>
      <c r="N126" s="1173"/>
      <c r="O126" s="1173"/>
      <c r="P126" s="1173"/>
      <c r="Q126" s="1173"/>
      <c r="R126" s="1173"/>
      <c r="S126" s="1173"/>
      <c r="T126" s="1173"/>
      <c r="U126" s="1173"/>
      <c r="V126" s="1173"/>
      <c r="W126" s="1173"/>
      <c r="X126" s="1173"/>
      <c r="Y126" s="1173"/>
      <c r="Z126" s="1173"/>
      <c r="AA126" s="1173"/>
      <c r="AB126" s="1173"/>
      <c r="AC126" s="1173"/>
      <c r="AD126" s="1173"/>
      <c r="AE126" s="1173"/>
      <c r="AF126" s="1173"/>
      <c r="AL126" s="266"/>
    </row>
    <row r="127" spans="1:38" ht="29.45" customHeight="1" x14ac:dyDescent="0.25">
      <c r="A127" s="515" t="s">
        <v>1013</v>
      </c>
      <c r="B127" s="1173" t="s">
        <v>1803</v>
      </c>
      <c r="C127" s="1173"/>
      <c r="D127" s="1173"/>
      <c r="E127" s="1173"/>
      <c r="F127" s="1173"/>
      <c r="G127" s="1173"/>
      <c r="H127" s="1173"/>
      <c r="I127" s="1173"/>
      <c r="J127" s="1173"/>
      <c r="K127" s="1173"/>
      <c r="L127" s="1173"/>
      <c r="M127" s="1173"/>
      <c r="N127" s="1173"/>
      <c r="O127" s="1173"/>
      <c r="P127" s="1173"/>
      <c r="Q127" s="1173"/>
      <c r="R127" s="1173"/>
      <c r="S127" s="1173"/>
      <c r="T127" s="1173"/>
      <c r="U127" s="1173"/>
      <c r="V127" s="1173"/>
      <c r="W127" s="1173"/>
      <c r="X127" s="1173"/>
      <c r="Y127" s="1173"/>
      <c r="Z127" s="1173"/>
      <c r="AA127" s="1173"/>
      <c r="AB127" s="1173"/>
      <c r="AC127" s="1173"/>
      <c r="AD127" s="1173"/>
      <c r="AE127" s="1173"/>
      <c r="AF127" s="1173"/>
      <c r="AL127" s="266"/>
    </row>
    <row r="128" spans="1:38" x14ac:dyDescent="0.25">
      <c r="A128" s="515" t="s">
        <v>1013</v>
      </c>
      <c r="B128" s="1173" t="s">
        <v>1749</v>
      </c>
      <c r="C128" s="1173"/>
      <c r="D128" s="1173"/>
      <c r="E128" s="1173"/>
      <c r="F128" s="1173"/>
      <c r="G128" s="1173"/>
      <c r="H128" s="1173"/>
      <c r="I128" s="1173"/>
      <c r="J128" s="1173"/>
      <c r="K128" s="1173"/>
      <c r="L128" s="1173"/>
      <c r="M128" s="1173"/>
      <c r="N128" s="1173"/>
      <c r="O128" s="1173"/>
      <c r="P128" s="1173"/>
      <c r="Q128" s="1173"/>
      <c r="R128" s="1173"/>
      <c r="S128" s="1173"/>
      <c r="T128" s="1173"/>
      <c r="U128" s="1173"/>
      <c r="V128" s="1173"/>
      <c r="W128" s="1173"/>
      <c r="X128" s="1173"/>
      <c r="Y128" s="1173"/>
      <c r="Z128" s="1173"/>
      <c r="AA128" s="1173"/>
      <c r="AB128" s="1173"/>
      <c r="AC128" s="1173"/>
      <c r="AD128" s="1173"/>
      <c r="AE128" s="1173"/>
      <c r="AF128" s="1173"/>
      <c r="AL128" s="266"/>
    </row>
    <row r="129" spans="1:38" ht="44.45" customHeight="1" x14ac:dyDescent="0.25">
      <c r="A129" s="515" t="s">
        <v>1013</v>
      </c>
      <c r="B129" s="1173" t="s">
        <v>1804</v>
      </c>
      <c r="C129" s="1173"/>
      <c r="D129" s="1173"/>
      <c r="E129" s="1173"/>
      <c r="F129" s="1173"/>
      <c r="G129" s="1173"/>
      <c r="H129" s="1173"/>
      <c r="I129" s="1173"/>
      <c r="J129" s="1173"/>
      <c r="K129" s="1173"/>
      <c r="L129" s="1173"/>
      <c r="M129" s="1173"/>
      <c r="N129" s="1173"/>
      <c r="O129" s="1173"/>
      <c r="P129" s="1173"/>
      <c r="Q129" s="1173"/>
      <c r="R129" s="1173"/>
      <c r="S129" s="1173"/>
      <c r="T129" s="1173"/>
      <c r="U129" s="1173"/>
      <c r="V129" s="1173"/>
      <c r="W129" s="1173"/>
      <c r="X129" s="1173"/>
      <c r="Y129" s="1173"/>
      <c r="Z129" s="1173"/>
      <c r="AA129" s="1173"/>
      <c r="AB129" s="1173"/>
      <c r="AC129" s="1173"/>
      <c r="AD129" s="1173"/>
      <c r="AE129" s="1173"/>
      <c r="AF129" s="1173"/>
      <c r="AL129" s="266"/>
    </row>
    <row r="130" spans="1:38" ht="38.25" customHeight="1" x14ac:dyDescent="0.25">
      <c r="A130" s="515" t="s">
        <v>1013</v>
      </c>
      <c r="B130" s="1173" t="s">
        <v>5607</v>
      </c>
      <c r="C130" s="1173"/>
      <c r="D130" s="1173"/>
      <c r="E130" s="1173"/>
      <c r="F130" s="1173"/>
      <c r="G130" s="1173"/>
      <c r="H130" s="1173"/>
      <c r="I130" s="1173"/>
      <c r="J130" s="1173"/>
      <c r="K130" s="1173"/>
      <c r="L130" s="1173"/>
      <c r="M130" s="1173"/>
      <c r="N130" s="1173"/>
      <c r="O130" s="1173"/>
      <c r="P130" s="1173"/>
      <c r="Q130" s="1173"/>
      <c r="R130" s="1173"/>
      <c r="S130" s="1173"/>
      <c r="T130" s="1173"/>
      <c r="U130" s="1173"/>
      <c r="V130" s="1173"/>
      <c r="W130" s="1173"/>
      <c r="X130" s="1173"/>
      <c r="Y130" s="1173"/>
      <c r="Z130" s="1173"/>
      <c r="AA130" s="1173"/>
      <c r="AB130" s="1173"/>
      <c r="AC130" s="1173"/>
      <c r="AD130" s="1173"/>
      <c r="AE130" s="1173"/>
      <c r="AF130" s="1173"/>
      <c r="AL130" s="266"/>
    </row>
    <row r="131" spans="1:38" ht="33" customHeight="1" x14ac:dyDescent="0.25">
      <c r="A131" s="515" t="s">
        <v>1013</v>
      </c>
      <c r="B131" s="1173" t="s">
        <v>2037</v>
      </c>
      <c r="C131" s="1173"/>
      <c r="D131" s="1173"/>
      <c r="E131" s="1173"/>
      <c r="F131" s="1173"/>
      <c r="G131" s="1173"/>
      <c r="H131" s="1173"/>
      <c r="I131" s="1173"/>
      <c r="J131" s="1173"/>
      <c r="K131" s="1173"/>
      <c r="L131" s="1173"/>
      <c r="M131" s="1173"/>
      <c r="N131" s="1173"/>
      <c r="O131" s="1173"/>
      <c r="P131" s="1173"/>
      <c r="Q131" s="1173"/>
      <c r="R131" s="1173"/>
      <c r="S131" s="1173"/>
      <c r="T131" s="1173"/>
      <c r="U131" s="1173"/>
      <c r="V131" s="1173"/>
      <c r="W131" s="1173"/>
      <c r="X131" s="1173"/>
      <c r="Y131" s="1173"/>
      <c r="Z131" s="1173"/>
      <c r="AA131" s="1173"/>
      <c r="AB131" s="1173"/>
      <c r="AC131" s="1173"/>
      <c r="AD131" s="1173"/>
      <c r="AE131" s="1173"/>
      <c r="AF131" s="1173"/>
      <c r="AL131" s="266"/>
    </row>
  </sheetData>
  <sheetProtection algorithmName="SHA-512" hashValue="/BQ75tkC0apO706xTmcLFp0H4KKt/y0jdgILqCrEfWyuqIvrE+wZM4d2QxOdjGU1ZyhwBhJB0OdsDYhbn1OsVg==" saltValue="Z1AEJ00fkgQBR+nPehlJng==" spinCount="100000" sheet="1" objects="1" scenarios="1"/>
  <mergeCells count="193">
    <mergeCell ref="B127:AF127"/>
    <mergeCell ref="B128:AF128"/>
    <mergeCell ref="B129:AF129"/>
    <mergeCell ref="B130:AF130"/>
    <mergeCell ref="B131:AF131"/>
    <mergeCell ref="B118:AF118"/>
    <mergeCell ref="B119:AF119"/>
    <mergeCell ref="B120:AF120"/>
    <mergeCell ref="B121:AF121"/>
    <mergeCell ref="B122:AF122"/>
    <mergeCell ref="B123:AF123"/>
    <mergeCell ref="B124:AF124"/>
    <mergeCell ref="B125:AF125"/>
    <mergeCell ref="B126:AF126"/>
    <mergeCell ref="B108:AF108"/>
    <mergeCell ref="B109:AF109"/>
    <mergeCell ref="B110:AF110"/>
    <mergeCell ref="B111:AF111"/>
    <mergeCell ref="B112:AF112"/>
    <mergeCell ref="B114:AF114"/>
    <mergeCell ref="B115:AF115"/>
    <mergeCell ref="B116:AF116"/>
    <mergeCell ref="B117:AF117"/>
    <mergeCell ref="B113:AF113"/>
    <mergeCell ref="A99:H99"/>
    <mergeCell ref="I99:P99"/>
    <mergeCell ref="Q99:X99"/>
    <mergeCell ref="Y99:AF99"/>
    <mergeCell ref="A102:AF102"/>
    <mergeCell ref="B104:AF104"/>
    <mergeCell ref="B105:AF105"/>
    <mergeCell ref="B106:AF106"/>
    <mergeCell ref="B107:AF107"/>
    <mergeCell ref="D95:H95"/>
    <mergeCell ref="Q95:S95"/>
    <mergeCell ref="Y95:AA95"/>
    <mergeCell ref="A97:H97"/>
    <mergeCell ref="I97:P97"/>
    <mergeCell ref="Q97:X97"/>
    <mergeCell ref="Y97:AF97"/>
    <mergeCell ref="A98:H98"/>
    <mergeCell ref="I98:P98"/>
    <mergeCell ref="Q98:X98"/>
    <mergeCell ref="Y98:AF98"/>
    <mergeCell ref="A87:H87"/>
    <mergeCell ref="I87:P87"/>
    <mergeCell ref="Q87:X87"/>
    <mergeCell ref="Y87:AF87"/>
    <mergeCell ref="A88:H88"/>
    <mergeCell ref="I88:P88"/>
    <mergeCell ref="Q88:X88"/>
    <mergeCell ref="Y88:AF88"/>
    <mergeCell ref="A89:H89"/>
    <mergeCell ref="I89:P89"/>
    <mergeCell ref="Q89:X89"/>
    <mergeCell ref="Y89:AF89"/>
    <mergeCell ref="Q78:U78"/>
    <mergeCell ref="V78:Z78"/>
    <mergeCell ref="B79:F79"/>
    <mergeCell ref="G79:K79"/>
    <mergeCell ref="L79:P79"/>
    <mergeCell ref="Q79:U79"/>
    <mergeCell ref="V79:Z79"/>
    <mergeCell ref="B80:AE80"/>
    <mergeCell ref="A83:AF83"/>
    <mergeCell ref="B78:F78"/>
    <mergeCell ref="G78:K78"/>
    <mergeCell ref="L78:P78"/>
    <mergeCell ref="B68:F68"/>
    <mergeCell ref="G68:K68"/>
    <mergeCell ref="L68:P68"/>
    <mergeCell ref="Q68:U68"/>
    <mergeCell ref="V68:Z68"/>
    <mergeCell ref="B69:F69"/>
    <mergeCell ref="G69:K69"/>
    <mergeCell ref="L69:P69"/>
    <mergeCell ref="Q69:U69"/>
    <mergeCell ref="V69:Z69"/>
    <mergeCell ref="A61:D61"/>
    <mergeCell ref="E61:P61"/>
    <mergeCell ref="Q61:T61"/>
    <mergeCell ref="U61:W61"/>
    <mergeCell ref="X61:AF61"/>
    <mergeCell ref="A63:AF63"/>
    <mergeCell ref="B67:F67"/>
    <mergeCell ref="G67:K67"/>
    <mergeCell ref="L67:P67"/>
    <mergeCell ref="Q67:U67"/>
    <mergeCell ref="V67:Z67"/>
    <mergeCell ref="A59:D59"/>
    <mergeCell ref="E59:P59"/>
    <mergeCell ref="Q59:T59"/>
    <mergeCell ref="U59:W59"/>
    <mergeCell ref="X59:AF59"/>
    <mergeCell ref="A60:D60"/>
    <mergeCell ref="E60:P60"/>
    <mergeCell ref="Q60:T60"/>
    <mergeCell ref="U60:W60"/>
    <mergeCell ref="X60:AF60"/>
    <mergeCell ref="A57:D57"/>
    <mergeCell ref="E57:P57"/>
    <mergeCell ref="Q57:T57"/>
    <mergeCell ref="U57:W57"/>
    <mergeCell ref="X57:AF57"/>
    <mergeCell ref="A58:D58"/>
    <mergeCell ref="E58:P58"/>
    <mergeCell ref="Q58:T58"/>
    <mergeCell ref="U58:W58"/>
    <mergeCell ref="X58:AF58"/>
    <mergeCell ref="A55:D55"/>
    <mergeCell ref="E55:P55"/>
    <mergeCell ref="Q55:T55"/>
    <mergeCell ref="U55:W55"/>
    <mergeCell ref="X55:AF55"/>
    <mergeCell ref="A56:D56"/>
    <mergeCell ref="E56:P56"/>
    <mergeCell ref="Q56:T56"/>
    <mergeCell ref="U56:W56"/>
    <mergeCell ref="X56:AF56"/>
    <mergeCell ref="A53:D53"/>
    <mergeCell ref="E53:P53"/>
    <mergeCell ref="Q53:T53"/>
    <mergeCell ref="U53:W53"/>
    <mergeCell ref="X53:AF53"/>
    <mergeCell ref="A54:D54"/>
    <mergeCell ref="E54:P54"/>
    <mergeCell ref="Q54:T54"/>
    <mergeCell ref="U54:W54"/>
    <mergeCell ref="X54:AF54"/>
    <mergeCell ref="A51:D51"/>
    <mergeCell ref="E51:P51"/>
    <mergeCell ref="Q51:T51"/>
    <mergeCell ref="U51:W51"/>
    <mergeCell ref="X51:AF51"/>
    <mergeCell ref="A52:D52"/>
    <mergeCell ref="E52:P52"/>
    <mergeCell ref="Q52:T52"/>
    <mergeCell ref="U52:W52"/>
    <mergeCell ref="X52:AF52"/>
    <mergeCell ref="A49:D49"/>
    <mergeCell ref="E49:P49"/>
    <mergeCell ref="Q49:T49"/>
    <mergeCell ref="U49:W49"/>
    <mergeCell ref="X49:AF49"/>
    <mergeCell ref="A50:D50"/>
    <mergeCell ref="E50:P50"/>
    <mergeCell ref="Q50:T50"/>
    <mergeCell ref="U50:W50"/>
    <mergeCell ref="X50:AF50"/>
    <mergeCell ref="A1:AF1"/>
    <mergeCell ref="A7:AF7"/>
    <mergeCell ref="B9:I9"/>
    <mergeCell ref="B10:AF10"/>
    <mergeCell ref="B12:I12"/>
    <mergeCell ref="B13:AF13"/>
    <mergeCell ref="A62:AF62"/>
    <mergeCell ref="A3:AF3"/>
    <mergeCell ref="B5:AF5"/>
    <mergeCell ref="B14:AF14"/>
    <mergeCell ref="B24:AF24"/>
    <mergeCell ref="B15:AF15"/>
    <mergeCell ref="B17:I17"/>
    <mergeCell ref="B18:AF18"/>
    <mergeCell ref="B20:I20"/>
    <mergeCell ref="B21:AF21"/>
    <mergeCell ref="B23:J23"/>
    <mergeCell ref="A26:AF26"/>
    <mergeCell ref="A47:AF47"/>
    <mergeCell ref="A48:D48"/>
    <mergeCell ref="E48:P48"/>
    <mergeCell ref="Q48:T48"/>
    <mergeCell ref="U48:W48"/>
    <mergeCell ref="X48:AF48"/>
    <mergeCell ref="B70:F70"/>
    <mergeCell ref="G70:K70"/>
    <mergeCell ref="L70:P70"/>
    <mergeCell ref="Q70:U70"/>
    <mergeCell ref="V70:Z70"/>
    <mergeCell ref="B71:F71"/>
    <mergeCell ref="G71:K71"/>
    <mergeCell ref="L71:P71"/>
    <mergeCell ref="Q71:U71"/>
    <mergeCell ref="V71:Z71"/>
    <mergeCell ref="B72:K72"/>
    <mergeCell ref="L72:P72"/>
    <mergeCell ref="Q72:U72"/>
    <mergeCell ref="V72:Z72"/>
    <mergeCell ref="B74:AE74"/>
    <mergeCell ref="B77:F77"/>
    <mergeCell ref="G77:K77"/>
    <mergeCell ref="L77:P77"/>
    <mergeCell ref="Q77:U77"/>
    <mergeCell ref="V77:Z77"/>
  </mergeCells>
  <hyperlinks>
    <hyperlink ref="A2" location="TOC!A1" display="Return to TOC" xr:uid="{CC3019D8-5EBA-42B2-B901-28C62E897332}"/>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0:AF44" numberStoredAsText="1"/>
  </ignoredError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74">
    <tabColor theme="8" tint="0.79998168889431442"/>
    <pageSetUpPr autoPageBreaks="0"/>
  </sheetPr>
  <dimension ref="A1:BQ137"/>
  <sheetViews>
    <sheetView workbookViewId="0">
      <selection activeCell="AO23" sqref="AO23"/>
    </sheetView>
  </sheetViews>
  <sheetFormatPr defaultColWidth="2.7109375" defaultRowHeight="15" x14ac:dyDescent="0.25"/>
  <cols>
    <col min="1" max="41" width="2.7109375" style="1"/>
    <col min="42" max="42" width="2.7109375" style="1" customWidth="1"/>
    <col min="43" max="16384" width="2.7109375" style="1"/>
  </cols>
  <sheetData>
    <row r="1" spans="1:39" ht="19.5" thickBot="1" x14ac:dyDescent="0.3">
      <c r="A1" s="1272" t="s">
        <v>1165</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row>
    <row r="2" spans="1:39" s="262" customFormat="1" ht="14.45" customHeight="1" x14ac:dyDescent="0.25">
      <c r="A2" s="376" t="s">
        <v>1702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row>
    <row r="3" spans="1:39" customFormat="1" ht="14.45" customHeight="1" x14ac:dyDescent="0.25">
      <c r="A3" s="1148" t="s">
        <v>1630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50"/>
    </row>
    <row r="4" spans="1:39"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9" customFormat="1" ht="29.25" customHeight="1" x14ac:dyDescent="0.25">
      <c r="A5" s="262"/>
      <c r="B5" s="1589" t="s">
        <v>4580</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9" customFormat="1" ht="14.45" customHeight="1" x14ac:dyDescent="0.25">
      <c r="A6" s="376"/>
    </row>
    <row r="7" spans="1:39"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9"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9" x14ac:dyDescent="0.25">
      <c r="B9" s="1475" t="s">
        <v>10</v>
      </c>
      <c r="C9" s="1475"/>
      <c r="D9" s="1475"/>
      <c r="E9" s="1475"/>
      <c r="F9" s="1475"/>
      <c r="G9" s="1475"/>
      <c r="H9" s="1475"/>
      <c r="I9" s="1475"/>
    </row>
    <row r="10" spans="1:39" s="4" customFormat="1" ht="78" customHeight="1" x14ac:dyDescent="0.25">
      <c r="B10" s="1142" t="s">
        <v>2355</v>
      </c>
      <c r="C10" s="1142"/>
      <c r="D10" s="1142"/>
      <c r="E10" s="1142"/>
      <c r="F10" s="1142"/>
      <c r="G10" s="1142"/>
      <c r="H10" s="1142"/>
      <c r="I10" s="1142"/>
      <c r="J10" s="1142"/>
      <c r="K10" s="1142"/>
      <c r="L10" s="1142"/>
      <c r="M10" s="1142"/>
      <c r="N10" s="1142"/>
      <c r="O10" s="1142"/>
      <c r="P10" s="1142"/>
      <c r="Q10" s="1142"/>
      <c r="R10" s="1142"/>
      <c r="S10" s="1142"/>
      <c r="T10" s="1142"/>
      <c r="U10" s="1142"/>
      <c r="V10" s="1142"/>
      <c r="W10" s="1142"/>
      <c r="X10" s="1142"/>
      <c r="Y10" s="1142"/>
      <c r="Z10" s="1142"/>
      <c r="AA10" s="1142"/>
      <c r="AB10" s="1142"/>
      <c r="AC10" s="1142"/>
      <c r="AD10" s="1142"/>
      <c r="AE10" s="1142"/>
      <c r="AF10" s="1142"/>
    </row>
    <row r="12" spans="1:39" x14ac:dyDescent="0.25">
      <c r="B12" s="1475" t="s">
        <v>11</v>
      </c>
      <c r="C12" s="1475"/>
      <c r="D12" s="1475"/>
      <c r="E12" s="1475"/>
      <c r="F12" s="1475"/>
      <c r="G12" s="1475"/>
      <c r="H12" s="1475"/>
      <c r="I12" s="1475"/>
    </row>
    <row r="13" spans="1:39" x14ac:dyDescent="0.25">
      <c r="B13" s="1151" t="s">
        <v>1754</v>
      </c>
      <c r="C13" s="1151"/>
      <c r="D13" s="1151"/>
      <c r="E13" s="1151"/>
      <c r="F13" s="1151"/>
      <c r="G13" s="1151"/>
      <c r="H13" s="1151"/>
      <c r="I13" s="1151"/>
      <c r="J13" s="1151"/>
      <c r="K13" s="1151"/>
      <c r="L13" s="1151"/>
      <c r="M13" s="1151"/>
      <c r="N13" s="1151"/>
      <c r="O13" s="1151"/>
      <c r="P13" s="1151"/>
      <c r="Q13" s="1151"/>
      <c r="R13" s="1151"/>
      <c r="S13" s="1151"/>
      <c r="T13" s="1151"/>
      <c r="U13" s="1151"/>
      <c r="V13" s="1151"/>
      <c r="W13" s="1151"/>
      <c r="X13" s="1151"/>
      <c r="Y13" s="1151"/>
      <c r="Z13" s="1151"/>
      <c r="AA13" s="1151"/>
      <c r="AB13" s="1151"/>
      <c r="AC13" s="1151"/>
      <c r="AD13" s="1151"/>
      <c r="AE13" s="1151"/>
      <c r="AF13" s="1151"/>
    </row>
    <row r="14" spans="1:39" x14ac:dyDescent="0.25">
      <c r="B14" s="262" t="s">
        <v>2348</v>
      </c>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9" x14ac:dyDescent="0.25">
      <c r="B15" s="1151" t="s">
        <v>2347</v>
      </c>
      <c r="C15" s="1151"/>
      <c r="D15" s="1151"/>
      <c r="E15" s="1151"/>
      <c r="F15" s="1151"/>
      <c r="G15" s="1151"/>
      <c r="H15" s="1151"/>
      <c r="I15" s="1151"/>
      <c r="J15" s="1151"/>
      <c r="K15" s="1151"/>
      <c r="L15" s="1151"/>
      <c r="M15" s="1151"/>
      <c r="N15" s="1151"/>
      <c r="O15" s="1151"/>
      <c r="P15" s="1151"/>
      <c r="Q15" s="1151"/>
      <c r="R15" s="1151"/>
      <c r="S15" s="1151"/>
      <c r="T15" s="1151"/>
      <c r="U15" s="1151"/>
      <c r="V15" s="1151"/>
      <c r="W15" s="1151"/>
      <c r="X15" s="1151"/>
      <c r="Y15" s="1151"/>
      <c r="Z15" s="1151"/>
      <c r="AA15" s="1151"/>
      <c r="AB15" s="1151"/>
      <c r="AC15" s="1151"/>
      <c r="AD15" s="1151"/>
      <c r="AE15" s="1151"/>
      <c r="AF15" s="1151"/>
    </row>
    <row r="16" spans="1:39" x14ac:dyDescent="0.25">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M16" s="262"/>
    </row>
    <row r="17" spans="1:69" x14ac:dyDescent="0.25">
      <c r="B17" s="1475" t="s">
        <v>12</v>
      </c>
      <c r="C17" s="1475"/>
      <c r="D17" s="1475"/>
      <c r="E17" s="1475"/>
      <c r="F17" s="1475"/>
      <c r="G17" s="1475"/>
      <c r="H17" s="1475"/>
      <c r="I17" s="1475"/>
    </row>
    <row r="18" spans="1:69" x14ac:dyDescent="0.25">
      <c r="B18" s="1473" t="s">
        <v>3170</v>
      </c>
      <c r="C18" s="1473"/>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row>
    <row r="20" spans="1:69" x14ac:dyDescent="0.25">
      <c r="B20" s="1475" t="s">
        <v>13</v>
      </c>
      <c r="C20" s="1475"/>
      <c r="D20" s="1475"/>
      <c r="E20" s="1475"/>
      <c r="F20" s="1475"/>
      <c r="G20" s="1475"/>
      <c r="H20" s="1475"/>
      <c r="I20" s="1475"/>
    </row>
    <row r="21" spans="1:69" s="4" customFormat="1" ht="103.5" customHeight="1" x14ac:dyDescent="0.25">
      <c r="B21" s="1173" t="s">
        <v>4594</v>
      </c>
      <c r="C21" s="1173"/>
      <c r="D21" s="1173"/>
      <c r="E21" s="1173"/>
      <c r="F21" s="1173"/>
      <c r="G21" s="1173"/>
      <c r="H21" s="1173"/>
      <c r="I21" s="1173"/>
      <c r="J21" s="1173"/>
      <c r="K21" s="1173"/>
      <c r="L21" s="1173"/>
      <c r="M21" s="1173"/>
      <c r="N21" s="1173"/>
      <c r="O21" s="1173"/>
      <c r="P21" s="1173"/>
      <c r="Q21" s="1173"/>
      <c r="R21" s="1173"/>
      <c r="S21" s="1173"/>
      <c r="T21" s="1173"/>
      <c r="U21" s="1173"/>
      <c r="V21" s="1173"/>
      <c r="W21" s="1173"/>
      <c r="X21" s="1173"/>
      <c r="Y21" s="1173"/>
      <c r="Z21" s="1173"/>
      <c r="AA21" s="1173"/>
      <c r="AB21" s="1173"/>
      <c r="AC21" s="1173"/>
      <c r="AD21" s="1173"/>
      <c r="AE21" s="1173"/>
      <c r="AF21" s="1173"/>
    </row>
    <row r="22" spans="1:69" s="4" customFormat="1" x14ac:dyDescent="0.25">
      <c r="B22" s="647"/>
      <c r="C22" s="647"/>
      <c r="D22" s="647"/>
      <c r="E22" s="647"/>
      <c r="F22" s="647"/>
      <c r="G22" s="647"/>
      <c r="H22" s="647"/>
      <c r="I22" s="647"/>
      <c r="J22" s="647"/>
      <c r="K22" s="647"/>
      <c r="L22" s="647"/>
      <c r="M22" s="647"/>
      <c r="N22" s="647"/>
      <c r="O22" s="647"/>
      <c r="P22" s="647"/>
      <c r="Q22" s="647"/>
      <c r="R22" s="647"/>
      <c r="S22" s="647"/>
      <c r="T22" s="647"/>
      <c r="U22" s="647"/>
      <c r="V22" s="647"/>
      <c r="W22" s="647"/>
      <c r="X22" s="647"/>
      <c r="Y22" s="647"/>
      <c r="Z22" s="647"/>
      <c r="AA22" s="647"/>
      <c r="AB22" s="647"/>
      <c r="AC22" s="647"/>
      <c r="AD22" s="647"/>
      <c r="AE22" s="647"/>
      <c r="AF22" s="647"/>
    </row>
    <row r="23" spans="1:69" s="4" customFormat="1" ht="75" customHeight="1" x14ac:dyDescent="0.25">
      <c r="B23" s="1173" t="s">
        <v>4595</v>
      </c>
      <c r="C23" s="1173"/>
      <c r="D23" s="1173"/>
      <c r="E23" s="1173"/>
      <c r="F23" s="1173"/>
      <c r="G23" s="1173"/>
      <c r="H23" s="1173"/>
      <c r="I23" s="1173"/>
      <c r="J23" s="1173"/>
      <c r="K23" s="1173"/>
      <c r="L23" s="1173"/>
      <c r="M23" s="1173"/>
      <c r="N23" s="1173"/>
      <c r="O23" s="1173"/>
      <c r="P23" s="1173"/>
      <c r="Q23" s="1173"/>
      <c r="R23" s="1173"/>
      <c r="S23" s="1173"/>
      <c r="T23" s="1173"/>
      <c r="U23" s="1173"/>
      <c r="V23" s="1173"/>
      <c r="W23" s="1173"/>
      <c r="X23" s="1173"/>
      <c r="Y23" s="1173"/>
      <c r="Z23" s="1173"/>
      <c r="AA23" s="1173"/>
      <c r="AB23" s="1173"/>
      <c r="AC23" s="1173"/>
      <c r="AD23" s="1173"/>
      <c r="AE23" s="1173"/>
      <c r="AF23" s="1173"/>
    </row>
    <row r="24" spans="1:69" s="4" customFormat="1" x14ac:dyDescent="0.25">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row>
    <row r="25" spans="1:69" x14ac:dyDescent="0.25">
      <c r="B25" s="171" t="s">
        <v>20</v>
      </c>
      <c r="C25" s="171"/>
      <c r="D25" s="171"/>
      <c r="E25" s="171"/>
      <c r="F25" s="171"/>
      <c r="G25" s="171"/>
      <c r="H25" s="171"/>
      <c r="I25" s="171"/>
    </row>
    <row r="26" spans="1:69" ht="32.25" customHeight="1" x14ac:dyDescent="0.25">
      <c r="B26" s="1151" t="s">
        <v>2349</v>
      </c>
      <c r="C26" s="1473"/>
      <c r="D26" s="1473"/>
      <c r="E26" s="1473"/>
      <c r="F26" s="1473"/>
      <c r="G26" s="1473"/>
      <c r="H26" s="1473"/>
      <c r="I26" s="1473"/>
      <c r="J26" s="1473"/>
      <c r="K26" s="1473"/>
      <c r="L26" s="1473"/>
      <c r="M26" s="1473"/>
      <c r="N26" s="1473"/>
      <c r="O26" s="1473"/>
      <c r="P26" s="1473"/>
      <c r="Q26" s="1473"/>
      <c r="R26" s="1473"/>
      <c r="S26" s="1473"/>
      <c r="T26" s="1473"/>
      <c r="U26" s="1473"/>
      <c r="V26" s="1473"/>
      <c r="W26" s="1473"/>
      <c r="X26" s="1473"/>
      <c r="Y26" s="1473"/>
      <c r="Z26" s="1473"/>
      <c r="AA26" s="1473"/>
      <c r="AB26" s="1473"/>
      <c r="AC26" s="1473"/>
      <c r="AD26" s="1473"/>
      <c r="AE26" s="1473"/>
      <c r="AF26" s="1473"/>
    </row>
    <row r="28" spans="1:69" x14ac:dyDescent="0.25">
      <c r="A28" s="1472" t="s">
        <v>14</v>
      </c>
      <c r="B28" s="1472"/>
      <c r="C28" s="1472"/>
      <c r="D28" s="1472"/>
      <c r="E28" s="1472"/>
      <c r="F28" s="1472"/>
      <c r="G28" s="1472"/>
      <c r="H28" s="1472"/>
      <c r="I28" s="1472"/>
      <c r="J28" s="1472"/>
      <c r="K28" s="1472"/>
      <c r="L28" s="1472"/>
      <c r="M28" s="1472"/>
      <c r="N28" s="1472"/>
      <c r="O28" s="1472"/>
      <c r="P28" s="1472"/>
      <c r="Q28" s="1472"/>
      <c r="R28" s="1472"/>
      <c r="S28" s="1472"/>
      <c r="T28" s="1472"/>
      <c r="U28" s="1472"/>
      <c r="V28" s="1472"/>
      <c r="W28" s="1472"/>
      <c r="X28" s="1472"/>
      <c r="Y28" s="1472"/>
      <c r="Z28" s="1472"/>
      <c r="AA28" s="1472"/>
      <c r="AB28" s="1472"/>
      <c r="AC28" s="1472"/>
      <c r="AD28" s="1472"/>
      <c r="AE28" s="1472"/>
      <c r="AF28" s="1472"/>
    </row>
    <row r="29" spans="1:69" x14ac:dyDescent="0.25">
      <c r="AM29" s="171"/>
    </row>
    <row r="30" spans="1:69" x14ac:dyDescent="0.25">
      <c r="B30" s="379" t="s">
        <v>2301</v>
      </c>
    </row>
    <row r="31" spans="1:69" x14ac:dyDescent="0.25">
      <c r="BQ31" s="204"/>
    </row>
    <row r="32" spans="1:69" x14ac:dyDescent="0.25">
      <c r="AF32" s="204" t="s">
        <v>1705</v>
      </c>
    </row>
    <row r="33" spans="2:69" x14ac:dyDescent="0.25">
      <c r="AF33" s="204"/>
      <c r="AM33" s="171"/>
      <c r="AS33" s="204"/>
    </row>
    <row r="34" spans="2:69" x14ac:dyDescent="0.25">
      <c r="B34" s="379" t="s">
        <v>2302</v>
      </c>
      <c r="AM34" s="171"/>
      <c r="AS34" s="204"/>
    </row>
    <row r="35" spans="2:69" x14ac:dyDescent="0.25">
      <c r="AM35" s="171"/>
      <c r="AS35" s="204"/>
      <c r="BQ35" s="204"/>
    </row>
    <row r="36" spans="2:69" x14ac:dyDescent="0.25">
      <c r="AF36" s="204" t="s">
        <v>1706</v>
      </c>
      <c r="AM36" s="171"/>
      <c r="AS36" s="204"/>
    </row>
    <row r="37" spans="2:69" x14ac:dyDescent="0.25">
      <c r="AF37" s="204"/>
      <c r="AM37" s="171"/>
      <c r="AS37" s="204"/>
    </row>
    <row r="38" spans="2:69" x14ac:dyDescent="0.25">
      <c r="B38" s="171" t="s">
        <v>2192</v>
      </c>
      <c r="AM38" s="171"/>
      <c r="AS38" s="204"/>
    </row>
    <row r="40" spans="2:69" x14ac:dyDescent="0.25">
      <c r="AF40" s="204" t="s">
        <v>1707</v>
      </c>
    </row>
    <row r="42" spans="2:69" x14ac:dyDescent="0.25">
      <c r="B42" s="171" t="s">
        <v>2193</v>
      </c>
    </row>
    <row r="44" spans="2:69" x14ac:dyDescent="0.25">
      <c r="AF44" s="204" t="s">
        <v>1756</v>
      </c>
    </row>
    <row r="45" spans="2:69" x14ac:dyDescent="0.25">
      <c r="AF45" s="204"/>
    </row>
    <row r="46" spans="2:69" x14ac:dyDescent="0.25">
      <c r="B46" s="414" t="s">
        <v>4585</v>
      </c>
      <c r="AF46" s="204"/>
    </row>
    <row r="47" spans="2:69" x14ac:dyDescent="0.25">
      <c r="AF47" s="204"/>
    </row>
    <row r="48" spans="2:69" x14ac:dyDescent="0.25">
      <c r="AF48" s="204" t="s">
        <v>1788</v>
      </c>
    </row>
    <row r="49" spans="1:68" x14ac:dyDescent="0.25">
      <c r="AF49" s="204"/>
    </row>
    <row r="50" spans="1:68" x14ac:dyDescent="0.25">
      <c r="B50" s="414" t="s">
        <v>4586</v>
      </c>
      <c r="AF50" s="204"/>
    </row>
    <row r="51" spans="1:68" x14ac:dyDescent="0.25">
      <c r="AF51" s="204"/>
    </row>
    <row r="52" spans="1:68" x14ac:dyDescent="0.25">
      <c r="AF52" s="204" t="s">
        <v>1789</v>
      </c>
    </row>
    <row r="53" spans="1:68" x14ac:dyDescent="0.25">
      <c r="AF53" s="204"/>
    </row>
    <row r="54" spans="1:68" x14ac:dyDescent="0.25">
      <c r="B54" s="171" t="s">
        <v>3031</v>
      </c>
      <c r="AF54" s="204"/>
    </row>
    <row r="55" spans="1:68" x14ac:dyDescent="0.25">
      <c r="AF55" s="204"/>
      <c r="AL55" s="171"/>
      <c r="BP55" s="204"/>
    </row>
    <row r="56" spans="1:68" x14ac:dyDescent="0.25">
      <c r="AF56" s="204" t="s">
        <v>1826</v>
      </c>
      <c r="AL56" s="171"/>
      <c r="BP56" s="204"/>
    </row>
    <row r="57" spans="1:68" x14ac:dyDescent="0.25">
      <c r="AF57" s="204"/>
      <c r="AL57" s="171"/>
      <c r="BP57" s="204"/>
    </row>
    <row r="58" spans="1:68" x14ac:dyDescent="0.25">
      <c r="AF58" s="204" t="s">
        <v>1827</v>
      </c>
      <c r="BP58" s="204"/>
    </row>
    <row r="60" spans="1:68" x14ac:dyDescent="0.25">
      <c r="A60" s="1472" t="s">
        <v>15</v>
      </c>
      <c r="B60" s="1472"/>
      <c r="C60" s="1472"/>
      <c r="D60" s="1472"/>
      <c r="E60" s="1472"/>
      <c r="F60" s="1472"/>
      <c r="G60" s="1472"/>
      <c r="H60" s="1472"/>
      <c r="I60" s="1472"/>
      <c r="J60" s="1472"/>
      <c r="K60" s="1472"/>
      <c r="L60" s="1472"/>
      <c r="M60" s="1472"/>
      <c r="N60" s="1472"/>
      <c r="O60" s="1472"/>
      <c r="P60" s="1472"/>
      <c r="Q60" s="1472"/>
      <c r="R60" s="1472"/>
      <c r="S60" s="1472"/>
      <c r="T60" s="1472"/>
      <c r="U60" s="1472"/>
      <c r="V60" s="1472"/>
      <c r="W60" s="1472"/>
      <c r="X60" s="1472"/>
      <c r="Y60" s="1472"/>
      <c r="Z60" s="1472"/>
      <c r="AA60" s="1472"/>
      <c r="AB60" s="1472"/>
      <c r="AC60" s="1472"/>
      <c r="AD60" s="1472"/>
      <c r="AE60" s="1472"/>
      <c r="AF60" s="1472"/>
    </row>
    <row r="61" spans="1:68" x14ac:dyDescent="0.25">
      <c r="A61" s="1474" t="s">
        <v>16</v>
      </c>
      <c r="B61" s="1474"/>
      <c r="C61" s="1474"/>
      <c r="D61" s="1474"/>
      <c r="E61" s="1474" t="s">
        <v>10</v>
      </c>
      <c r="F61" s="1474"/>
      <c r="G61" s="1474"/>
      <c r="H61" s="1474"/>
      <c r="I61" s="1474"/>
      <c r="J61" s="1474"/>
      <c r="K61" s="1474"/>
      <c r="L61" s="1474"/>
      <c r="M61" s="1474"/>
      <c r="N61" s="1474"/>
      <c r="O61" s="1474"/>
      <c r="P61" s="1474"/>
      <c r="Q61" s="1474" t="s">
        <v>17</v>
      </c>
      <c r="R61" s="1474"/>
      <c r="S61" s="1474"/>
      <c r="T61" s="1474"/>
      <c r="U61" s="1590" t="s">
        <v>18</v>
      </c>
      <c r="V61" s="1591"/>
      <c r="W61" s="1751"/>
      <c r="X61" s="1590" t="s">
        <v>1708</v>
      </c>
      <c r="Y61" s="1591"/>
      <c r="Z61" s="1591"/>
      <c r="AA61" s="1591"/>
      <c r="AB61" s="1591"/>
      <c r="AC61" s="1591"/>
      <c r="AD61" s="1591"/>
      <c r="AE61" s="1591"/>
      <c r="AF61" s="1751"/>
    </row>
    <row r="62" spans="1:68" ht="28.9" customHeight="1" x14ac:dyDescent="0.25">
      <c r="A62" s="1485" t="s">
        <v>2351</v>
      </c>
      <c r="B62" s="1486" t="s">
        <v>294</v>
      </c>
      <c r="C62" s="1486" t="s">
        <v>294</v>
      </c>
      <c r="D62" s="1487" t="s">
        <v>294</v>
      </c>
      <c r="E62" s="1485" t="s">
        <v>2352</v>
      </c>
      <c r="F62" s="1486" t="s">
        <v>637</v>
      </c>
      <c r="G62" s="1486" t="s">
        <v>637</v>
      </c>
      <c r="H62" s="1486" t="s">
        <v>637</v>
      </c>
      <c r="I62" s="1486" t="s">
        <v>637</v>
      </c>
      <c r="J62" s="1486" t="s">
        <v>637</v>
      </c>
      <c r="K62" s="1486" t="s">
        <v>637</v>
      </c>
      <c r="L62" s="1486" t="s">
        <v>637</v>
      </c>
      <c r="M62" s="1486" t="s">
        <v>637</v>
      </c>
      <c r="N62" s="1486" t="s">
        <v>637</v>
      </c>
      <c r="O62" s="1486" t="s">
        <v>637</v>
      </c>
      <c r="P62" s="1487" t="s">
        <v>637</v>
      </c>
      <c r="Q62" s="2490">
        <v>8.5999999999999993E-2</v>
      </c>
      <c r="R62" s="2491" t="s">
        <v>251</v>
      </c>
      <c r="S62" s="2491" t="s">
        <v>251</v>
      </c>
      <c r="T62" s="2492" t="s">
        <v>251</v>
      </c>
      <c r="U62" s="1574" t="s">
        <v>26</v>
      </c>
      <c r="V62" s="1575"/>
      <c r="W62" s="1576"/>
      <c r="X62" s="1479" t="s">
        <v>1806</v>
      </c>
      <c r="Y62" s="1480"/>
      <c r="Z62" s="1480"/>
      <c r="AA62" s="1480"/>
      <c r="AB62" s="1480"/>
      <c r="AC62" s="1480"/>
      <c r="AD62" s="1480"/>
      <c r="AE62" s="1480"/>
      <c r="AF62" s="1481"/>
    </row>
    <row r="63" spans="1:68" ht="47.25" customHeight="1" x14ac:dyDescent="0.25">
      <c r="A63" s="1485" t="s">
        <v>2354</v>
      </c>
      <c r="B63" s="1486" t="s">
        <v>294</v>
      </c>
      <c r="C63" s="1486" t="s">
        <v>294</v>
      </c>
      <c r="D63" s="1487" t="s">
        <v>294</v>
      </c>
      <c r="E63" s="1479" t="s">
        <v>2353</v>
      </c>
      <c r="F63" s="1480"/>
      <c r="G63" s="1480"/>
      <c r="H63" s="1480"/>
      <c r="I63" s="1480"/>
      <c r="J63" s="1480"/>
      <c r="K63" s="1480"/>
      <c r="L63" s="1480"/>
      <c r="M63" s="1480"/>
      <c r="N63" s="1480"/>
      <c r="O63" s="1480"/>
      <c r="P63" s="1481"/>
      <c r="Q63" s="2464">
        <v>0.04</v>
      </c>
      <c r="R63" s="2465" t="s">
        <v>251</v>
      </c>
      <c r="S63" s="2465" t="s">
        <v>251</v>
      </c>
      <c r="T63" s="2466" t="s">
        <v>251</v>
      </c>
      <c r="U63" s="1683" t="s">
        <v>26</v>
      </c>
      <c r="V63" s="1684"/>
      <c r="W63" s="1685"/>
      <c r="X63" s="1494" t="s">
        <v>4581</v>
      </c>
      <c r="Y63" s="1495"/>
      <c r="Z63" s="1495"/>
      <c r="AA63" s="1495"/>
      <c r="AB63" s="1495"/>
      <c r="AC63" s="1495"/>
      <c r="AD63" s="1495"/>
      <c r="AE63" s="1495"/>
      <c r="AF63" s="1496"/>
    </row>
    <row r="64" spans="1:68" ht="47.25" customHeight="1" x14ac:dyDescent="0.25">
      <c r="A64" s="1485" t="s">
        <v>286</v>
      </c>
      <c r="B64" s="1486"/>
      <c r="C64" s="1486"/>
      <c r="D64" s="1487"/>
      <c r="E64" s="1479" t="s">
        <v>2356</v>
      </c>
      <c r="F64" s="1480"/>
      <c r="G64" s="1480"/>
      <c r="H64" s="1480"/>
      <c r="I64" s="1480"/>
      <c r="J64" s="1480"/>
      <c r="K64" s="1480"/>
      <c r="L64" s="1480"/>
      <c r="M64" s="1480"/>
      <c r="N64" s="1480"/>
      <c r="O64" s="1480"/>
      <c r="P64" s="1481"/>
      <c r="Q64" s="1661">
        <v>0.3</v>
      </c>
      <c r="R64" s="1662"/>
      <c r="S64" s="1662"/>
      <c r="T64" s="1663"/>
      <c r="U64" s="1696" t="s">
        <v>28</v>
      </c>
      <c r="V64" s="1684"/>
      <c r="W64" s="1685"/>
      <c r="X64" s="1715" t="s">
        <v>2357</v>
      </c>
      <c r="Y64" s="1715"/>
      <c r="Z64" s="1715"/>
      <c r="AA64" s="1715"/>
      <c r="AB64" s="1715"/>
      <c r="AC64" s="1715"/>
      <c r="AD64" s="1715"/>
      <c r="AE64" s="1715"/>
      <c r="AF64" s="1715"/>
    </row>
    <row r="65" spans="1:32" ht="32.1" customHeight="1" x14ac:dyDescent="0.25">
      <c r="A65" s="1485" t="s">
        <v>1760</v>
      </c>
      <c r="B65" s="1486"/>
      <c r="C65" s="1486"/>
      <c r="D65" s="1487"/>
      <c r="E65" s="1479" t="s">
        <v>2031</v>
      </c>
      <c r="F65" s="1480"/>
      <c r="G65" s="1480"/>
      <c r="H65" s="1480"/>
      <c r="I65" s="1480"/>
      <c r="J65" s="1480"/>
      <c r="K65" s="1480"/>
      <c r="L65" s="1480"/>
      <c r="M65" s="1480"/>
      <c r="N65" s="1480"/>
      <c r="O65" s="1480"/>
      <c r="P65" s="1481"/>
      <c r="Q65" s="1661">
        <v>0.97</v>
      </c>
      <c r="R65" s="1662"/>
      <c r="S65" s="1662"/>
      <c r="T65" s="1663"/>
      <c r="U65" s="1696" t="s">
        <v>28</v>
      </c>
      <c r="V65" s="1684"/>
      <c r="W65" s="1685"/>
      <c r="X65" s="1715" t="s">
        <v>1757</v>
      </c>
      <c r="Y65" s="1715"/>
      <c r="Z65" s="1715"/>
      <c r="AA65" s="1715"/>
      <c r="AB65" s="1715"/>
      <c r="AC65" s="1715"/>
      <c r="AD65" s="1715"/>
      <c r="AE65" s="1715"/>
      <c r="AF65" s="1715"/>
    </row>
    <row r="66" spans="1:32" ht="50.1" customHeight="1" x14ac:dyDescent="0.25">
      <c r="A66" s="1485" t="s">
        <v>545</v>
      </c>
      <c r="B66" s="1486" t="s">
        <v>545</v>
      </c>
      <c r="C66" s="1486" t="s">
        <v>545</v>
      </c>
      <c r="D66" s="1487" t="s">
        <v>545</v>
      </c>
      <c r="E66" s="1479" t="s">
        <v>1703</v>
      </c>
      <c r="F66" s="1480" t="s">
        <v>546</v>
      </c>
      <c r="G66" s="1480" t="s">
        <v>546</v>
      </c>
      <c r="H66" s="1480" t="s">
        <v>546</v>
      </c>
      <c r="I66" s="1480" t="s">
        <v>546</v>
      </c>
      <c r="J66" s="1480" t="s">
        <v>546</v>
      </c>
      <c r="K66" s="1480" t="s">
        <v>546</v>
      </c>
      <c r="L66" s="1480" t="s">
        <v>546</v>
      </c>
      <c r="M66" s="1480" t="s">
        <v>546</v>
      </c>
      <c r="N66" s="1480" t="s">
        <v>546</v>
      </c>
      <c r="O66" s="1480" t="s">
        <v>546</v>
      </c>
      <c r="P66" s="1481" t="s">
        <v>546</v>
      </c>
      <c r="Q66" s="1497">
        <v>0.16</v>
      </c>
      <c r="R66" s="1498">
        <v>0.12</v>
      </c>
      <c r="S66" s="1498">
        <v>0.12</v>
      </c>
      <c r="T66" s="1499">
        <v>0.12</v>
      </c>
      <c r="U66" s="1497" t="s">
        <v>28</v>
      </c>
      <c r="V66" s="1498"/>
      <c r="W66" s="1499"/>
      <c r="X66" s="1715" t="s">
        <v>4598</v>
      </c>
      <c r="Y66" s="1715"/>
      <c r="Z66" s="1715"/>
      <c r="AA66" s="1715"/>
      <c r="AB66" s="1715"/>
      <c r="AC66" s="1715"/>
      <c r="AD66" s="1715"/>
      <c r="AE66" s="1715"/>
      <c r="AF66" s="1715"/>
    </row>
    <row r="67" spans="1:32" ht="45" customHeight="1" x14ac:dyDescent="0.25">
      <c r="A67" s="1485" t="s">
        <v>1762</v>
      </c>
      <c r="B67" s="1486"/>
      <c r="C67" s="1486"/>
      <c r="D67" s="1487"/>
      <c r="E67" s="1479" t="s">
        <v>1763</v>
      </c>
      <c r="F67" s="1480"/>
      <c r="G67" s="1480"/>
      <c r="H67" s="1480"/>
      <c r="I67" s="1480"/>
      <c r="J67" s="1480"/>
      <c r="K67" s="1480"/>
      <c r="L67" s="1480"/>
      <c r="M67" s="1480"/>
      <c r="N67" s="1480"/>
      <c r="O67" s="1480"/>
      <c r="P67" s="1481"/>
      <c r="Q67" s="1497">
        <v>2.2999999999999998</v>
      </c>
      <c r="R67" s="1498">
        <v>0.12</v>
      </c>
      <c r="S67" s="1498">
        <v>0.12</v>
      </c>
      <c r="T67" s="1499">
        <v>0.12</v>
      </c>
      <c r="U67" s="1696" t="s">
        <v>1819</v>
      </c>
      <c r="V67" s="1684"/>
      <c r="W67" s="1685"/>
      <c r="X67" s="1715" t="s">
        <v>2358</v>
      </c>
      <c r="Y67" s="1715"/>
      <c r="Z67" s="1715"/>
      <c r="AA67" s="1715"/>
      <c r="AB67" s="1715"/>
      <c r="AC67" s="1715"/>
      <c r="AD67" s="1715"/>
      <c r="AE67" s="1715"/>
      <c r="AF67" s="1715"/>
    </row>
    <row r="68" spans="1:32" ht="45" customHeight="1" x14ac:dyDescent="0.25">
      <c r="A68" s="1485" t="s">
        <v>2128</v>
      </c>
      <c r="B68" s="1486"/>
      <c r="C68" s="1486"/>
      <c r="D68" s="1487"/>
      <c r="E68" s="2498" t="s">
        <v>3032</v>
      </c>
      <c r="F68" s="1480"/>
      <c r="G68" s="1480"/>
      <c r="H68" s="1480"/>
      <c r="I68" s="1480"/>
      <c r="J68" s="1480"/>
      <c r="K68" s="1480"/>
      <c r="L68" s="1480"/>
      <c r="M68" s="1480"/>
      <c r="N68" s="1480"/>
      <c r="O68" s="1480"/>
      <c r="P68" s="1481"/>
      <c r="Q68" s="1497" t="s">
        <v>2075</v>
      </c>
      <c r="R68" s="1498"/>
      <c r="S68" s="1498"/>
      <c r="T68" s="1499"/>
      <c r="U68" s="1497" t="s">
        <v>28</v>
      </c>
      <c r="V68" s="1498"/>
      <c r="W68" s="1499"/>
      <c r="X68" s="1715" t="s">
        <v>3034</v>
      </c>
      <c r="Y68" s="1715"/>
      <c r="Z68" s="1715"/>
      <c r="AA68" s="1715"/>
      <c r="AB68" s="1715"/>
      <c r="AC68" s="1715"/>
      <c r="AD68" s="1715"/>
      <c r="AE68" s="1715"/>
      <c r="AF68" s="1715"/>
    </row>
    <row r="69" spans="1:32" ht="45" customHeight="1" x14ac:dyDescent="0.25">
      <c r="A69" s="1485" t="s">
        <v>2129</v>
      </c>
      <c r="B69" s="1486"/>
      <c r="C69" s="1486"/>
      <c r="D69" s="1487"/>
      <c r="E69" s="2498" t="s">
        <v>3033</v>
      </c>
      <c r="F69" s="1480"/>
      <c r="G69" s="1480"/>
      <c r="H69" s="1480"/>
      <c r="I69" s="1480"/>
      <c r="J69" s="1480"/>
      <c r="K69" s="1480"/>
      <c r="L69" s="1480"/>
      <c r="M69" s="1480"/>
      <c r="N69" s="1480"/>
      <c r="O69" s="1480"/>
      <c r="P69" s="1481"/>
      <c r="Q69" s="1497" t="s">
        <v>2075</v>
      </c>
      <c r="R69" s="1498"/>
      <c r="S69" s="1498"/>
      <c r="T69" s="1499"/>
      <c r="U69" s="1497" t="s">
        <v>28</v>
      </c>
      <c r="V69" s="1498"/>
      <c r="W69" s="1499"/>
      <c r="X69" s="1715" t="s">
        <v>3035</v>
      </c>
      <c r="Y69" s="1715"/>
      <c r="Z69" s="1715"/>
      <c r="AA69" s="1715"/>
      <c r="AB69" s="1715"/>
      <c r="AC69" s="1715"/>
      <c r="AD69" s="1715"/>
      <c r="AE69" s="1715"/>
      <c r="AF69" s="1715"/>
    </row>
    <row r="70" spans="1:32" ht="46.5" customHeight="1" x14ac:dyDescent="0.25">
      <c r="A70" s="1485" t="s">
        <v>1770</v>
      </c>
      <c r="B70" s="1486"/>
      <c r="C70" s="1486"/>
      <c r="D70" s="1487"/>
      <c r="E70" s="1479" t="s">
        <v>1771</v>
      </c>
      <c r="F70" s="1480"/>
      <c r="G70" s="1480"/>
      <c r="H70" s="1480"/>
      <c r="I70" s="1480"/>
      <c r="J70" s="1480"/>
      <c r="K70" s="1480"/>
      <c r="L70" s="1480"/>
      <c r="M70" s="1480"/>
      <c r="N70" s="1480"/>
      <c r="O70" s="1480"/>
      <c r="P70" s="1481"/>
      <c r="Q70" s="1664">
        <v>0.48</v>
      </c>
      <c r="R70" s="1665"/>
      <c r="S70" s="1665"/>
      <c r="T70" s="1666"/>
      <c r="U70" s="3456" t="s">
        <v>28</v>
      </c>
      <c r="V70" s="1498"/>
      <c r="W70" s="1499"/>
      <c r="X70" s="1494" t="s">
        <v>4599</v>
      </c>
      <c r="Y70" s="1495"/>
      <c r="Z70" s="1495"/>
      <c r="AA70" s="1495"/>
      <c r="AB70" s="1495"/>
      <c r="AC70" s="1495"/>
      <c r="AD70" s="1495"/>
      <c r="AE70" s="1495"/>
      <c r="AF70" s="1496"/>
    </row>
    <row r="71" spans="1:32" ht="46.5" customHeight="1" x14ac:dyDescent="0.25">
      <c r="A71" s="1485" t="s">
        <v>2344</v>
      </c>
      <c r="B71" s="1486"/>
      <c r="C71" s="1486"/>
      <c r="D71" s="1487"/>
      <c r="E71" s="1479" t="s">
        <v>2345</v>
      </c>
      <c r="F71" s="1480"/>
      <c r="G71" s="1480"/>
      <c r="H71" s="1480"/>
      <c r="I71" s="1480"/>
      <c r="J71" s="1480"/>
      <c r="K71" s="1480"/>
      <c r="L71" s="1480"/>
      <c r="M71" s="1480"/>
      <c r="N71" s="1480"/>
      <c r="O71" s="1480"/>
      <c r="P71" s="1481"/>
      <c r="Q71" s="1664">
        <v>0.85</v>
      </c>
      <c r="R71" s="1665"/>
      <c r="S71" s="1665"/>
      <c r="T71" s="1666"/>
      <c r="U71" s="1696" t="s">
        <v>28</v>
      </c>
      <c r="V71" s="1684"/>
      <c r="W71" s="1685"/>
      <c r="X71" s="1715" t="s">
        <v>4600</v>
      </c>
      <c r="Y71" s="1715"/>
      <c r="Z71" s="1715"/>
      <c r="AA71" s="1715"/>
      <c r="AB71" s="1715"/>
      <c r="AC71" s="1715"/>
      <c r="AD71" s="1715"/>
      <c r="AE71" s="1715"/>
      <c r="AF71" s="1715"/>
    </row>
    <row r="72" spans="1:32" ht="50.1" customHeight="1" x14ac:dyDescent="0.25">
      <c r="A72" s="1485" t="s">
        <v>1766</v>
      </c>
      <c r="B72" s="1486"/>
      <c r="C72" s="1486"/>
      <c r="D72" s="1487"/>
      <c r="E72" s="1479" t="s">
        <v>1769</v>
      </c>
      <c r="F72" s="1480"/>
      <c r="G72" s="1480"/>
      <c r="H72" s="1480"/>
      <c r="I72" s="1480"/>
      <c r="J72" s="1480"/>
      <c r="K72" s="1480"/>
      <c r="L72" s="1480"/>
      <c r="M72" s="1480"/>
      <c r="N72" s="1480"/>
      <c r="O72" s="1480"/>
      <c r="P72" s="1481"/>
      <c r="Q72" s="1661">
        <v>1.3</v>
      </c>
      <c r="R72" s="1662"/>
      <c r="S72" s="1662"/>
      <c r="T72" s="1663"/>
      <c r="U72" s="1592" t="s">
        <v>28</v>
      </c>
      <c r="V72" s="1575"/>
      <c r="W72" s="1576"/>
      <c r="X72" s="1517" t="s">
        <v>2979</v>
      </c>
      <c r="Y72" s="1517"/>
      <c r="Z72" s="1517"/>
      <c r="AA72" s="1517"/>
      <c r="AB72" s="1517"/>
      <c r="AC72" s="1517"/>
      <c r="AD72" s="1517"/>
      <c r="AE72" s="1517"/>
      <c r="AF72" s="1517"/>
    </row>
    <row r="73" spans="1:32" ht="46.5" customHeight="1" x14ac:dyDescent="0.25">
      <c r="A73" s="1485" t="s">
        <v>1767</v>
      </c>
      <c r="B73" s="1486"/>
      <c r="C73" s="1486"/>
      <c r="D73" s="1487"/>
      <c r="E73" s="1479" t="s">
        <v>1768</v>
      </c>
      <c r="F73" s="1480"/>
      <c r="G73" s="1480"/>
      <c r="H73" s="1480"/>
      <c r="I73" s="1480"/>
      <c r="J73" s="1480"/>
      <c r="K73" s="1480"/>
      <c r="L73" s="1480"/>
      <c r="M73" s="1480"/>
      <c r="N73" s="1480"/>
      <c r="O73" s="1480"/>
      <c r="P73" s="1481"/>
      <c r="Q73" s="1482">
        <v>1.35</v>
      </c>
      <c r="R73" s="1483"/>
      <c r="S73" s="1483"/>
      <c r="T73" s="1484"/>
      <c r="U73" s="1592" t="s">
        <v>28</v>
      </c>
      <c r="V73" s="1575"/>
      <c r="W73" s="1576"/>
      <c r="X73" s="1517" t="s">
        <v>2979</v>
      </c>
      <c r="Y73" s="1517"/>
      <c r="Z73" s="1517"/>
      <c r="AA73" s="1517"/>
      <c r="AB73" s="1517"/>
      <c r="AC73" s="1517"/>
      <c r="AD73" s="1517"/>
      <c r="AE73" s="1517"/>
      <c r="AF73" s="1517"/>
    </row>
    <row r="74" spans="1:32" ht="45" customHeight="1" x14ac:dyDescent="0.25">
      <c r="A74" s="1577" t="s">
        <v>42</v>
      </c>
      <c r="B74" s="1486" t="s">
        <v>42</v>
      </c>
      <c r="C74" s="1486" t="s">
        <v>42</v>
      </c>
      <c r="D74" s="1487" t="s">
        <v>42</v>
      </c>
      <c r="E74" s="1479" t="s">
        <v>865</v>
      </c>
      <c r="F74" s="1480" t="s">
        <v>256</v>
      </c>
      <c r="G74" s="1480" t="s">
        <v>256</v>
      </c>
      <c r="H74" s="1480" t="s">
        <v>256</v>
      </c>
      <c r="I74" s="1480" t="s">
        <v>256</v>
      </c>
      <c r="J74" s="1480" t="s">
        <v>256</v>
      </c>
      <c r="K74" s="1480" t="s">
        <v>256</v>
      </c>
      <c r="L74" s="1480" t="s">
        <v>256</v>
      </c>
      <c r="M74" s="1480" t="s">
        <v>256</v>
      </c>
      <c r="N74" s="1480" t="s">
        <v>256</v>
      </c>
      <c r="O74" s="1480" t="s">
        <v>256</v>
      </c>
      <c r="P74" s="1481" t="s">
        <v>256</v>
      </c>
      <c r="Q74" s="1482">
        <v>1</v>
      </c>
      <c r="R74" s="1483">
        <v>0.96</v>
      </c>
      <c r="S74" s="1483">
        <v>0.96</v>
      </c>
      <c r="T74" s="1484">
        <v>0.96</v>
      </c>
      <c r="U74" s="1574" t="s">
        <v>28</v>
      </c>
      <c r="V74" s="1575"/>
      <c r="W74" s="1576"/>
      <c r="X74" s="1479" t="s">
        <v>2206</v>
      </c>
      <c r="Y74" s="1480"/>
      <c r="Z74" s="1480"/>
      <c r="AA74" s="1480"/>
      <c r="AB74" s="1480"/>
      <c r="AC74" s="1480"/>
      <c r="AD74" s="1480"/>
      <c r="AE74" s="1480"/>
      <c r="AF74" s="1481"/>
    </row>
    <row r="75" spans="1:32" ht="52.5" customHeight="1" x14ac:dyDescent="0.25">
      <c r="A75" s="1488" t="s">
        <v>4589</v>
      </c>
      <c r="B75" s="1489"/>
      <c r="C75" s="1489"/>
      <c r="D75" s="1490"/>
      <c r="E75" s="2475" t="s">
        <v>4596</v>
      </c>
      <c r="F75" s="2476"/>
      <c r="G75" s="2476"/>
      <c r="H75" s="2476"/>
      <c r="I75" s="2476"/>
      <c r="J75" s="2476"/>
      <c r="K75" s="2476"/>
      <c r="L75" s="2476"/>
      <c r="M75" s="2476"/>
      <c r="N75" s="2476"/>
      <c r="O75" s="2476"/>
      <c r="P75" s="2477"/>
      <c r="Q75" s="1674" t="s">
        <v>3513</v>
      </c>
      <c r="R75" s="1674"/>
      <c r="S75" s="1674" t="s">
        <v>3514</v>
      </c>
      <c r="T75" s="1674"/>
      <c r="U75" s="2883" t="s">
        <v>46</v>
      </c>
      <c r="V75" s="2884"/>
      <c r="W75" s="2885"/>
      <c r="X75" s="2475" t="s">
        <v>4601</v>
      </c>
      <c r="Y75" s="2476"/>
      <c r="Z75" s="2476"/>
      <c r="AA75" s="2476"/>
      <c r="AB75" s="2476"/>
      <c r="AC75" s="2476"/>
      <c r="AD75" s="2476"/>
      <c r="AE75" s="2476"/>
      <c r="AF75" s="2477"/>
    </row>
    <row r="76" spans="1:32" ht="41.1" customHeight="1" x14ac:dyDescent="0.25">
      <c r="A76" s="1491"/>
      <c r="B76" s="1492"/>
      <c r="C76" s="1492"/>
      <c r="D76" s="1493"/>
      <c r="E76" s="2478"/>
      <c r="F76" s="2479"/>
      <c r="G76" s="2479"/>
      <c r="H76" s="2479"/>
      <c r="I76" s="2479"/>
      <c r="J76" s="2479"/>
      <c r="K76" s="2479"/>
      <c r="L76" s="2479"/>
      <c r="M76" s="2479"/>
      <c r="N76" s="2479"/>
      <c r="O76" s="2479"/>
      <c r="P76" s="2480"/>
      <c r="Q76" s="1674">
        <v>4</v>
      </c>
      <c r="R76" s="1674"/>
      <c r="S76" s="1674">
        <v>1</v>
      </c>
      <c r="T76" s="1674"/>
      <c r="U76" s="2917"/>
      <c r="V76" s="2918"/>
      <c r="W76" s="2919"/>
      <c r="X76" s="2478"/>
      <c r="Y76" s="2479"/>
      <c r="Z76" s="2479"/>
      <c r="AA76" s="2479"/>
      <c r="AB76" s="2479"/>
      <c r="AC76" s="2479"/>
      <c r="AD76" s="2479"/>
      <c r="AE76" s="2479"/>
      <c r="AF76" s="2480"/>
    </row>
    <row r="77" spans="1:32" ht="32.1" customHeight="1" x14ac:dyDescent="0.25">
      <c r="A77" s="1485" t="s">
        <v>2052</v>
      </c>
      <c r="B77" s="1486" t="s">
        <v>34</v>
      </c>
      <c r="C77" s="1486" t="s">
        <v>34</v>
      </c>
      <c r="D77" s="1487" t="s">
        <v>34</v>
      </c>
      <c r="E77" s="1485" t="s">
        <v>2350</v>
      </c>
      <c r="F77" s="1486" t="s">
        <v>219</v>
      </c>
      <c r="G77" s="1486" t="s">
        <v>219</v>
      </c>
      <c r="H77" s="1486" t="s">
        <v>219</v>
      </c>
      <c r="I77" s="1486" t="s">
        <v>219</v>
      </c>
      <c r="J77" s="1486" t="s">
        <v>219</v>
      </c>
      <c r="K77" s="1486" t="s">
        <v>219</v>
      </c>
      <c r="L77" s="1486" t="s">
        <v>219</v>
      </c>
      <c r="M77" s="1486" t="s">
        <v>219</v>
      </c>
      <c r="N77" s="1486" t="s">
        <v>219</v>
      </c>
      <c r="O77" s="1486" t="s">
        <v>219</v>
      </c>
      <c r="P77" s="1487" t="s">
        <v>219</v>
      </c>
      <c r="Q77" s="1482">
        <v>8</v>
      </c>
      <c r="R77" s="1483">
        <v>0.12</v>
      </c>
      <c r="S77" s="1483">
        <v>0.12</v>
      </c>
      <c r="T77" s="1484">
        <v>0.12</v>
      </c>
      <c r="U77" s="1574" t="s">
        <v>46</v>
      </c>
      <c r="V77" s="1575"/>
      <c r="W77" s="1576"/>
      <c r="X77" s="1517" t="s">
        <v>1757</v>
      </c>
      <c r="Y77" s="1517"/>
      <c r="Z77" s="1517"/>
      <c r="AA77" s="1517"/>
      <c r="AB77" s="1517"/>
      <c r="AC77" s="1517"/>
      <c r="AD77" s="1517"/>
      <c r="AE77" s="1517"/>
      <c r="AF77" s="1517"/>
    </row>
    <row r="78" spans="1:32" ht="14.45" customHeight="1" x14ac:dyDescent="0.25">
      <c r="A78" s="2288" t="s">
        <v>4602</v>
      </c>
      <c r="B78" s="2288"/>
      <c r="C78" s="2288"/>
      <c r="D78" s="2288"/>
      <c r="E78" s="2288"/>
      <c r="F78" s="2288"/>
      <c r="G78" s="2288"/>
      <c r="H78" s="2288"/>
      <c r="I78" s="2288"/>
      <c r="J78" s="2288"/>
      <c r="K78" s="2288"/>
      <c r="L78" s="2288"/>
      <c r="M78" s="2288"/>
      <c r="N78" s="2288"/>
      <c r="O78" s="2288"/>
      <c r="P78" s="2288"/>
      <c r="Q78" s="2288"/>
      <c r="R78" s="2288"/>
      <c r="S78" s="2288"/>
      <c r="T78" s="2288"/>
      <c r="U78" s="2288"/>
      <c r="V78" s="2288"/>
      <c r="W78" s="2288"/>
      <c r="X78" s="2288"/>
      <c r="Y78" s="2288"/>
      <c r="Z78" s="2288"/>
      <c r="AA78" s="2288"/>
      <c r="AB78" s="2288"/>
      <c r="AC78" s="2288"/>
      <c r="AD78" s="2288"/>
      <c r="AE78" s="2288"/>
      <c r="AF78" s="2288"/>
    </row>
    <row r="79" spans="1:32" ht="27.6" customHeight="1" x14ac:dyDescent="0.25">
      <c r="A79" s="1686" t="s">
        <v>4603</v>
      </c>
      <c r="B79" s="1686"/>
      <c r="C79" s="1686"/>
      <c r="D79" s="1686"/>
      <c r="E79" s="1686"/>
      <c r="F79" s="1686"/>
      <c r="G79" s="1686"/>
      <c r="H79" s="1686"/>
      <c r="I79" s="1686"/>
      <c r="J79" s="1686"/>
      <c r="K79" s="1686"/>
      <c r="L79" s="1686"/>
      <c r="M79" s="1686"/>
      <c r="N79" s="1686"/>
      <c r="O79" s="1686"/>
      <c r="P79" s="1686"/>
      <c r="Q79" s="1686"/>
      <c r="R79" s="1686"/>
      <c r="S79" s="1686"/>
      <c r="T79" s="1686"/>
      <c r="U79" s="1686"/>
      <c r="V79" s="1686"/>
      <c r="W79" s="1686"/>
      <c r="X79" s="1686"/>
      <c r="Y79" s="1686"/>
      <c r="Z79" s="1686"/>
      <c r="AA79" s="1686"/>
      <c r="AB79" s="1686"/>
      <c r="AC79" s="1686"/>
      <c r="AD79" s="1686"/>
      <c r="AE79" s="1686"/>
      <c r="AF79" s="1686"/>
    </row>
    <row r="80" spans="1:32" ht="67.5" customHeight="1" x14ac:dyDescent="0.25">
      <c r="A80" s="1686" t="s">
        <v>4604</v>
      </c>
      <c r="B80" s="1686"/>
      <c r="C80" s="1686"/>
      <c r="D80" s="1686"/>
      <c r="E80" s="1686"/>
      <c r="F80" s="1686"/>
      <c r="G80" s="1686"/>
      <c r="H80" s="1686"/>
      <c r="I80" s="1686"/>
      <c r="J80" s="1686"/>
      <c r="K80" s="1686"/>
      <c r="L80" s="1686"/>
      <c r="M80" s="1686"/>
      <c r="N80" s="1686"/>
      <c r="O80" s="1686"/>
      <c r="P80" s="1686"/>
      <c r="Q80" s="1686"/>
      <c r="R80" s="1686"/>
      <c r="S80" s="1686"/>
      <c r="T80" s="1686"/>
      <c r="U80" s="1686"/>
      <c r="V80" s="1686"/>
      <c r="W80" s="1686"/>
      <c r="X80" s="1686"/>
      <c r="Y80" s="1686"/>
      <c r="Z80" s="1686"/>
      <c r="AA80" s="1686"/>
      <c r="AB80" s="1686"/>
      <c r="AC80" s="1686"/>
      <c r="AD80" s="1686"/>
      <c r="AE80" s="1686"/>
      <c r="AF80" s="1686"/>
    </row>
    <row r="81" spans="1:32" ht="43.5" customHeight="1" x14ac:dyDescent="0.25">
      <c r="A81" s="1686" t="s">
        <v>4605</v>
      </c>
      <c r="B81" s="1686"/>
      <c r="C81" s="1686"/>
      <c r="D81" s="1686"/>
      <c r="E81" s="1686"/>
      <c r="F81" s="1686"/>
      <c r="G81" s="1686"/>
      <c r="H81" s="1686"/>
      <c r="I81" s="1686"/>
      <c r="J81" s="1686"/>
      <c r="K81" s="1686"/>
      <c r="L81" s="1686"/>
      <c r="M81" s="1686"/>
      <c r="N81" s="1686"/>
      <c r="O81" s="1686"/>
      <c r="P81" s="1686"/>
      <c r="Q81" s="1686"/>
      <c r="R81" s="1686"/>
      <c r="S81" s="1686"/>
      <c r="T81" s="1686"/>
      <c r="U81" s="1686"/>
      <c r="V81" s="1686"/>
      <c r="W81" s="1686"/>
      <c r="X81" s="1686"/>
      <c r="Y81" s="1686"/>
      <c r="Z81" s="1686"/>
      <c r="AA81" s="1686"/>
      <c r="AB81" s="1686"/>
      <c r="AC81" s="1686"/>
      <c r="AD81" s="1686"/>
      <c r="AE81" s="1686"/>
      <c r="AF81" s="1686"/>
    </row>
    <row r="83" spans="1:32" x14ac:dyDescent="0.25">
      <c r="A83" s="1621" t="s">
        <v>4606</v>
      </c>
      <c r="B83" s="1621"/>
      <c r="C83" s="1621"/>
      <c r="D83" s="1621"/>
      <c r="E83" s="1621"/>
      <c r="F83" s="1621"/>
      <c r="G83" s="1621"/>
      <c r="H83" s="1621"/>
      <c r="I83" s="1621"/>
      <c r="J83" s="1621"/>
      <c r="K83" s="1621"/>
      <c r="L83" s="1621"/>
      <c r="M83" s="1621"/>
      <c r="N83" s="1621"/>
      <c r="O83" s="1621"/>
      <c r="P83" s="1621"/>
      <c r="Q83" s="1621"/>
      <c r="R83" s="1621"/>
      <c r="S83" s="1621"/>
      <c r="T83" s="1621"/>
      <c r="U83" s="1621"/>
      <c r="V83" s="1621"/>
      <c r="W83" s="1621"/>
      <c r="X83" s="1621"/>
      <c r="Y83" s="1621"/>
      <c r="Z83" s="1621"/>
      <c r="AA83" s="1621"/>
      <c r="AB83" s="1621"/>
      <c r="AC83" s="1621"/>
      <c r="AD83" s="1621"/>
      <c r="AE83" s="1621"/>
      <c r="AF83" s="1621"/>
    </row>
    <row r="84" spans="1:32"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row>
    <row r="85" spans="1:32" x14ac:dyDescent="0.25">
      <c r="A85" s="3"/>
      <c r="B85" s="642" t="s">
        <v>4607</v>
      </c>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row>
    <row r="86" spans="1:32" customFormat="1" ht="15.75" thickBot="1" x14ac:dyDescent="0.3">
      <c r="A86" s="275"/>
      <c r="B86" s="288"/>
      <c r="C86" s="288"/>
      <c r="D86" s="148"/>
      <c r="E86" s="148"/>
      <c r="F86" s="148"/>
      <c r="G86" s="148"/>
      <c r="H86" s="148"/>
      <c r="I86" s="148"/>
    </row>
    <row r="87" spans="1:32" customFormat="1" ht="32.1" customHeight="1" x14ac:dyDescent="0.25">
      <c r="A87" s="3478" t="s">
        <v>22</v>
      </c>
      <c r="B87" s="2930"/>
      <c r="C87" s="2930"/>
      <c r="D87" s="2930"/>
      <c r="E87" s="2930"/>
      <c r="F87" s="2930"/>
      <c r="G87" s="2930"/>
      <c r="H87" s="2931"/>
      <c r="I87" s="1642" t="s">
        <v>2922</v>
      </c>
      <c r="J87" s="1642"/>
      <c r="K87" s="1642"/>
      <c r="L87" s="1642"/>
      <c r="M87" s="1642"/>
      <c r="N87" s="1642"/>
      <c r="O87" s="1642"/>
      <c r="P87" s="1642"/>
      <c r="Q87" s="1642" t="s">
        <v>2923</v>
      </c>
      <c r="R87" s="1643"/>
      <c r="S87" s="1643"/>
      <c r="T87" s="1643"/>
      <c r="U87" s="1643"/>
      <c r="V87" s="1643"/>
      <c r="W87" s="1643"/>
      <c r="X87" s="1643"/>
      <c r="Y87" s="1642" t="s">
        <v>2012</v>
      </c>
      <c r="Z87" s="1643"/>
      <c r="AA87" s="1643"/>
      <c r="AB87" s="1643"/>
      <c r="AC87" s="1643"/>
      <c r="AD87" s="1643"/>
      <c r="AE87" s="1643"/>
      <c r="AF87" s="1644"/>
    </row>
    <row r="88" spans="1:32" customFormat="1" ht="32.1" customHeight="1" x14ac:dyDescent="0.25">
      <c r="A88" s="3479"/>
      <c r="B88" s="1317"/>
      <c r="C88" s="1317"/>
      <c r="D88" s="1317"/>
      <c r="E88" s="1317"/>
      <c r="F88" s="1317"/>
      <c r="G88" s="1317"/>
      <c r="H88" s="1318"/>
      <c r="I88" s="2826" t="s">
        <v>3715</v>
      </c>
      <c r="J88" s="2827"/>
      <c r="K88" s="2827"/>
      <c r="L88" s="2828"/>
      <c r="M88" s="2826" t="s">
        <v>3716</v>
      </c>
      <c r="N88" s="2827"/>
      <c r="O88" s="2827"/>
      <c r="P88" s="2828"/>
      <c r="Q88" s="2826" t="s">
        <v>3715</v>
      </c>
      <c r="R88" s="2827"/>
      <c r="S88" s="2827"/>
      <c r="T88" s="2828"/>
      <c r="U88" s="2826" t="s">
        <v>3716</v>
      </c>
      <c r="V88" s="2827"/>
      <c r="W88" s="2827"/>
      <c r="X88" s="2828"/>
      <c r="Y88" s="2826" t="s">
        <v>3513</v>
      </c>
      <c r="Z88" s="2827"/>
      <c r="AA88" s="2827"/>
      <c r="AB88" s="2828"/>
      <c r="AC88" s="2826" t="s">
        <v>3514</v>
      </c>
      <c r="AD88" s="2827"/>
      <c r="AE88" s="2827"/>
      <c r="AF88" s="2934"/>
    </row>
    <row r="89" spans="1:32" customFormat="1" ht="41.25" customHeight="1" thickBot="1" x14ac:dyDescent="0.3">
      <c r="A89" s="1802" t="s">
        <v>2360</v>
      </c>
      <c r="B89" s="1887"/>
      <c r="C89" s="1887"/>
      <c r="D89" s="1887"/>
      <c r="E89" s="1887"/>
      <c r="F89" s="1887"/>
      <c r="G89" s="1887"/>
      <c r="H89" s="1887"/>
      <c r="I89" s="1804">
        <f>ROUND(Q62*Q64*Q65*Q66*(1+Q70*Q71*(Q72-1))*Q74,3)</f>
        <v>4.0000000000000001E-3</v>
      </c>
      <c r="J89" s="1805"/>
      <c r="K89" s="1805"/>
      <c r="L89" s="1806"/>
      <c r="M89" s="1804">
        <f>ROUND(Q63*Q64*Q65*Q66*(1+Q70*Q71*(Q72-1))*Q74,3)</f>
        <v>2E-3</v>
      </c>
      <c r="N89" s="1805"/>
      <c r="O89" s="1805"/>
      <c r="P89" s="1806"/>
      <c r="Q89" s="3112">
        <f>ROUND(Q62*Q64*Q65*Q67*365*(1+Q70*Q71*(Q73-1))*Q74,2)</f>
        <v>24.01</v>
      </c>
      <c r="R89" s="3113"/>
      <c r="S89" s="3113"/>
      <c r="T89" s="3114"/>
      <c r="U89" s="3112">
        <f>ROUND(Q63*Q64*Q65*Q67*365*(1+Q70*Q71*(Q73-1))*Q74,2)</f>
        <v>11.17</v>
      </c>
      <c r="V89" s="3113"/>
      <c r="W89" s="3113"/>
      <c r="X89" s="3114"/>
      <c r="Y89" s="3473">
        <f>ROUND(Q89*Q76+U89*(Q77-Q76),2)</f>
        <v>140.72</v>
      </c>
      <c r="Z89" s="3474"/>
      <c r="AA89" s="3474"/>
      <c r="AB89" s="3475"/>
      <c r="AC89" s="3473">
        <f>ROUND(Q89*S76+U89*(Q77-S76),2)</f>
        <v>102.2</v>
      </c>
      <c r="AD89" s="3474"/>
      <c r="AE89" s="3474"/>
      <c r="AF89" s="3476"/>
    </row>
    <row r="90" spans="1:32" customFormat="1" x14ac:dyDescent="0.25"/>
    <row r="91" spans="1:32" x14ac:dyDescent="0.25">
      <c r="A91" s="1621" t="s">
        <v>4608</v>
      </c>
      <c r="B91" s="1621"/>
      <c r="C91" s="1621"/>
      <c r="D91" s="1621"/>
      <c r="E91" s="1621"/>
      <c r="F91" s="1621"/>
      <c r="G91" s="1621"/>
      <c r="H91" s="1621"/>
      <c r="I91" s="1621"/>
      <c r="J91" s="1621"/>
      <c r="K91" s="1621"/>
      <c r="L91" s="1621"/>
      <c r="M91" s="1621"/>
      <c r="N91" s="1621"/>
      <c r="O91" s="1621"/>
      <c r="P91" s="1621"/>
      <c r="Q91" s="1621"/>
      <c r="R91" s="1621"/>
      <c r="S91" s="1621"/>
      <c r="T91" s="1621"/>
      <c r="U91" s="1621"/>
      <c r="V91" s="1621"/>
      <c r="W91" s="1621"/>
      <c r="X91" s="1621"/>
      <c r="Y91" s="1621"/>
      <c r="Z91" s="1621"/>
      <c r="AA91" s="1621"/>
      <c r="AB91" s="1621"/>
      <c r="AC91" s="1621"/>
      <c r="AD91" s="1621"/>
      <c r="AE91" s="1621"/>
      <c r="AF91" s="1621"/>
    </row>
    <row r="92" spans="1:32"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row>
    <row r="93" spans="1:32" x14ac:dyDescent="0.25">
      <c r="A93" s="3"/>
      <c r="B93" s="642" t="s">
        <v>4609</v>
      </c>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row>
    <row r="94" spans="1:32" ht="15.75" thickBot="1" x14ac:dyDescent="0.3"/>
    <row r="95" spans="1:32" ht="32.1" customHeight="1" x14ac:dyDescent="0.25">
      <c r="A95" s="1583" t="s">
        <v>22</v>
      </c>
      <c r="B95" s="1584"/>
      <c r="C95" s="1584"/>
      <c r="D95" s="1584"/>
      <c r="E95" s="1584"/>
      <c r="F95" s="1584"/>
      <c r="G95" s="1584"/>
      <c r="H95" s="1584"/>
      <c r="I95" s="1609" t="s">
        <v>2922</v>
      </c>
      <c r="J95" s="1609"/>
      <c r="K95" s="1609"/>
      <c r="L95" s="1609"/>
      <c r="M95" s="1609"/>
      <c r="N95" s="1609"/>
      <c r="O95" s="1609"/>
      <c r="P95" s="1609"/>
      <c r="Q95" s="1609" t="s">
        <v>2923</v>
      </c>
      <c r="R95" s="1584"/>
      <c r="S95" s="1584"/>
      <c r="T95" s="1584"/>
      <c r="U95" s="1584"/>
      <c r="V95" s="1584"/>
      <c r="W95" s="1584"/>
      <c r="X95" s="1610"/>
      <c r="Y95" s="1609" t="s">
        <v>1786</v>
      </c>
      <c r="Z95" s="1584"/>
      <c r="AA95" s="1584"/>
      <c r="AB95" s="1584"/>
      <c r="AC95" s="1584"/>
      <c r="AD95" s="1584"/>
      <c r="AE95" s="1584"/>
      <c r="AF95" s="1585"/>
    </row>
    <row r="96" spans="1:32" ht="41.25" customHeight="1" thickBot="1" x14ac:dyDescent="0.3">
      <c r="A96" s="1738" t="s">
        <v>2360</v>
      </c>
      <c r="B96" s="1739"/>
      <c r="C96" s="1739"/>
      <c r="D96" s="1739"/>
      <c r="E96" s="1739"/>
      <c r="F96" s="1739"/>
      <c r="G96" s="1739"/>
      <c r="H96" s="1739"/>
      <c r="I96" s="1634">
        <f>ROUND(Q63*Q64*Q65*Q66*(1+Q70*Q71*(Q72-1))*Q74,3)</f>
        <v>2E-3</v>
      </c>
      <c r="J96" s="1634"/>
      <c r="K96" s="1634"/>
      <c r="L96" s="1634"/>
      <c r="M96" s="1634"/>
      <c r="N96" s="1634"/>
      <c r="O96" s="1634"/>
      <c r="P96" s="1634"/>
      <c r="Q96" s="1888">
        <f>ROUND(Q63*Q64*Q65*Q67*365*(1+Q70*Q71*(Q73-1))*Q74,2)</f>
        <v>11.17</v>
      </c>
      <c r="R96" s="1888"/>
      <c r="S96" s="1888"/>
      <c r="T96" s="1888"/>
      <c r="U96" s="1888"/>
      <c r="V96" s="1888"/>
      <c r="W96" s="1888"/>
      <c r="X96" s="3112"/>
      <c r="Y96" s="2482">
        <f>ROUND(Q96*Q77,2)</f>
        <v>89.36</v>
      </c>
      <c r="Z96" s="2482"/>
      <c r="AA96" s="2482"/>
      <c r="AB96" s="2482"/>
      <c r="AC96" s="2482"/>
      <c r="AD96" s="2482"/>
      <c r="AE96" s="2482"/>
      <c r="AF96" s="2483"/>
    </row>
    <row r="97" spans="1:32" x14ac:dyDescent="0.25">
      <c r="A97" s="1686" t="s">
        <v>4597</v>
      </c>
      <c r="B97" s="1686"/>
      <c r="C97" s="1686"/>
      <c r="D97" s="1686"/>
      <c r="E97" s="1686"/>
      <c r="F97" s="1686"/>
      <c r="G97" s="1686"/>
      <c r="H97" s="1686"/>
      <c r="I97" s="1686"/>
      <c r="J97" s="1686"/>
      <c r="K97" s="1686"/>
      <c r="L97" s="1686"/>
      <c r="M97" s="1686"/>
      <c r="N97" s="1686"/>
      <c r="O97" s="1686"/>
      <c r="P97" s="1686"/>
      <c r="Q97" s="1686"/>
      <c r="R97" s="1686"/>
      <c r="S97" s="1686"/>
      <c r="T97" s="1686"/>
      <c r="U97" s="1686"/>
      <c r="V97" s="1686"/>
      <c r="W97" s="1686"/>
      <c r="X97" s="1686"/>
      <c r="Y97" s="1686"/>
      <c r="Z97" s="1686"/>
      <c r="AA97" s="1686"/>
      <c r="AB97" s="1686"/>
      <c r="AC97" s="1686"/>
      <c r="AD97" s="1686"/>
      <c r="AE97" s="1686"/>
      <c r="AF97" s="1686"/>
    </row>
    <row r="99" spans="1:32" x14ac:dyDescent="0.25">
      <c r="A99" s="1472" t="s">
        <v>2361</v>
      </c>
      <c r="B99" s="1472"/>
      <c r="C99" s="1472"/>
      <c r="D99" s="1472"/>
      <c r="E99" s="1472"/>
      <c r="F99" s="1472"/>
      <c r="G99" s="1472"/>
      <c r="H99" s="1472"/>
      <c r="I99" s="1472"/>
      <c r="J99" s="1472"/>
      <c r="K99" s="1472"/>
      <c r="L99" s="1472"/>
      <c r="M99" s="1472"/>
      <c r="N99" s="1472"/>
      <c r="O99" s="1472"/>
      <c r="P99" s="1472"/>
      <c r="Q99" s="1472"/>
      <c r="R99" s="1472"/>
      <c r="S99" s="1472"/>
      <c r="T99" s="1472"/>
      <c r="U99" s="1472"/>
      <c r="V99" s="1472"/>
      <c r="W99" s="1472"/>
      <c r="X99" s="1472"/>
      <c r="Y99" s="1472"/>
      <c r="Z99" s="1472"/>
      <c r="AA99" s="1472"/>
      <c r="AB99" s="1472"/>
      <c r="AC99" s="1472"/>
      <c r="AD99" s="1472"/>
      <c r="AE99" s="1472"/>
      <c r="AF99" s="1472"/>
    </row>
    <row r="100" spans="1:32"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row>
    <row r="101" spans="1:32" customFormat="1" x14ac:dyDescent="0.25">
      <c r="B101" s="380" t="s">
        <v>2362</v>
      </c>
    </row>
    <row r="102" spans="1:32" customFormat="1" x14ac:dyDescent="0.25"/>
    <row r="103" spans="1:32" customFormat="1" ht="31.5" customHeight="1" x14ac:dyDescent="0.25">
      <c r="B103" s="1734" t="s">
        <v>2366</v>
      </c>
      <c r="C103" s="1734"/>
      <c r="D103" s="1734"/>
      <c r="E103" s="1734"/>
      <c r="F103" s="1734"/>
      <c r="G103" s="1734"/>
      <c r="H103" s="1734"/>
      <c r="I103" s="1734"/>
      <c r="J103" s="1734"/>
      <c r="K103" s="1734"/>
      <c r="L103" s="1734"/>
      <c r="M103" s="1734"/>
      <c r="N103" s="1734"/>
      <c r="O103" s="1734"/>
      <c r="P103" s="1734"/>
      <c r="Q103" s="1734"/>
      <c r="R103" s="1734"/>
      <c r="S103" s="1734"/>
      <c r="T103" s="1734"/>
      <c r="U103" s="1734"/>
      <c r="V103" s="1734"/>
      <c r="W103" s="1734"/>
      <c r="X103" s="1734"/>
      <c r="Y103" s="1734"/>
      <c r="Z103" s="1734"/>
      <c r="AA103" s="1734"/>
      <c r="AB103" s="1734"/>
      <c r="AC103" s="1734"/>
      <c r="AD103" s="1734"/>
      <c r="AE103" s="1734"/>
      <c r="AF103" s="1734"/>
    </row>
    <row r="104" spans="1:32" customFormat="1" x14ac:dyDescent="0.25">
      <c r="D104" s="2721" t="s">
        <v>1805</v>
      </c>
      <c r="E104" s="2722"/>
      <c r="F104" s="2722"/>
      <c r="G104" s="2722"/>
      <c r="H104" s="2723"/>
    </row>
    <row r="105" spans="1:32" customFormat="1" x14ac:dyDescent="0.25"/>
    <row r="106" spans="1:32" customFormat="1" x14ac:dyDescent="0.25">
      <c r="B106" t="s">
        <v>2367</v>
      </c>
    </row>
    <row r="107" spans="1:32" customFormat="1" x14ac:dyDescent="0.25">
      <c r="D107" s="2721">
        <v>40</v>
      </c>
      <c r="E107" s="2722"/>
      <c r="F107" s="2722"/>
      <c r="G107" s="2722"/>
      <c r="H107" s="2723"/>
    </row>
    <row r="108" spans="1:32" customFormat="1" x14ac:dyDescent="0.25">
      <c r="D108" s="385"/>
      <c r="E108" s="385"/>
      <c r="F108" s="385"/>
      <c r="G108" s="385"/>
      <c r="H108" s="385"/>
    </row>
    <row r="109" spans="1:32" customFormat="1" x14ac:dyDescent="0.25">
      <c r="B109" s="1734" t="s">
        <v>2365</v>
      </c>
      <c r="C109" s="1734"/>
      <c r="D109" s="1734"/>
      <c r="E109" s="1734"/>
      <c r="F109" s="1734"/>
      <c r="G109" s="1734"/>
      <c r="H109" s="1734"/>
      <c r="I109" s="1734"/>
      <c r="J109" s="1734"/>
      <c r="K109" s="1734"/>
      <c r="L109" s="1734"/>
      <c r="M109" s="1734"/>
      <c r="N109" s="1734"/>
      <c r="O109" s="1734"/>
      <c r="P109" s="1734"/>
      <c r="Q109" s="1734"/>
      <c r="R109" s="1734"/>
      <c r="S109" s="1734"/>
      <c r="T109" s="1734"/>
      <c r="U109" s="1734"/>
      <c r="V109" s="1734"/>
      <c r="W109" s="1734"/>
      <c r="X109" s="1734"/>
      <c r="Y109" s="1734"/>
      <c r="Z109" s="1734"/>
      <c r="AA109" s="1734"/>
      <c r="AB109" s="1734"/>
      <c r="AC109" s="1734"/>
      <c r="AD109" s="1734"/>
      <c r="AE109" s="1734"/>
      <c r="AF109" s="1734"/>
    </row>
    <row r="110" spans="1:32" customFormat="1" x14ac:dyDescent="0.25">
      <c r="D110" s="2721" t="s">
        <v>2363</v>
      </c>
      <c r="E110" s="2722"/>
      <c r="F110" s="2722"/>
      <c r="G110" s="2722"/>
      <c r="H110" s="2723"/>
    </row>
    <row r="111" spans="1:32" customFormat="1" ht="15.75" thickBot="1" x14ac:dyDescent="0.3"/>
    <row r="112" spans="1:32" customFormat="1" ht="32.1" customHeight="1" x14ac:dyDescent="0.25">
      <c r="A112" s="1583" t="s">
        <v>22</v>
      </c>
      <c r="B112" s="1584"/>
      <c r="C112" s="1584"/>
      <c r="D112" s="1584"/>
      <c r="E112" s="1584"/>
      <c r="F112" s="1584"/>
      <c r="G112" s="1584"/>
      <c r="H112" s="1584"/>
      <c r="I112" s="1609" t="s">
        <v>2922</v>
      </c>
      <c r="J112" s="1609"/>
      <c r="K112" s="1609"/>
      <c r="L112" s="1609"/>
      <c r="M112" s="1609"/>
      <c r="N112" s="1609"/>
      <c r="O112" s="1609"/>
      <c r="P112" s="1609"/>
      <c r="Q112" s="1609" t="s">
        <v>2923</v>
      </c>
      <c r="R112" s="1584"/>
      <c r="S112" s="1584"/>
      <c r="T112" s="1584"/>
      <c r="U112" s="1584"/>
      <c r="V112" s="1584"/>
      <c r="W112" s="1584"/>
      <c r="X112" s="1610"/>
      <c r="Y112" s="1609" t="s">
        <v>1786</v>
      </c>
      <c r="Z112" s="1584"/>
      <c r="AA112" s="1584"/>
      <c r="AB112" s="1584"/>
      <c r="AC112" s="1584"/>
      <c r="AD112" s="1584"/>
      <c r="AE112" s="1584"/>
      <c r="AF112" s="1585"/>
    </row>
    <row r="113" spans="1:32" customFormat="1" ht="41.25" customHeight="1" thickBot="1" x14ac:dyDescent="0.3">
      <c r="A113" s="1738" t="s">
        <v>2360</v>
      </c>
      <c r="B113" s="1739"/>
      <c r="C113" s="1739"/>
      <c r="D113" s="1739"/>
      <c r="E113" s="1739"/>
      <c r="F113" s="1739"/>
      <c r="G113" s="1739"/>
      <c r="H113" s="1739"/>
      <c r="I113" s="2485">
        <f>IF(AND(D104="Yes",D110="Yes"),ROUND(D107*Q64*Q65*Q66*Q72*Q74/1000,3),IF(AND(D104="Yes",D110="No"),ROUND(D107*Q64*Q65*Q66*Q74/1000,3),"NA"))</f>
        <v>2E-3</v>
      </c>
      <c r="J113" s="2485"/>
      <c r="K113" s="2485"/>
      <c r="L113" s="2485"/>
      <c r="M113" s="2485"/>
      <c r="N113" s="2485"/>
      <c r="O113" s="2485"/>
      <c r="P113" s="2485"/>
      <c r="Q113" s="2486">
        <f>IF(AND(D104="Yes",D110="Yes"),ROUND(D107*Q64*Q65*Q67*365*Q73*Q74/1000,2),IF(AND(D104="Yes",D110="No"),ROUND(D107*Q64*Q65*Q67*365*Q74/1000,2),"NA"))</f>
        <v>9.77</v>
      </c>
      <c r="R113" s="2486"/>
      <c r="S113" s="2486"/>
      <c r="T113" s="2486"/>
      <c r="U113" s="2486"/>
      <c r="V113" s="2486"/>
      <c r="W113" s="2486"/>
      <c r="X113" s="3477"/>
      <c r="Y113" s="2487">
        <f>IF(D104="Yes",ROUND(Q113*Q77,2),"NA")</f>
        <v>78.16</v>
      </c>
      <c r="Z113" s="2487"/>
      <c r="AA113" s="2487"/>
      <c r="AB113" s="2487"/>
      <c r="AC113" s="2487"/>
      <c r="AD113" s="2487"/>
      <c r="AE113" s="2487"/>
      <c r="AF113" s="2488"/>
    </row>
    <row r="115" spans="1:32" x14ac:dyDescent="0.25">
      <c r="A115" s="1472" t="s">
        <v>1753</v>
      </c>
      <c r="B115" s="1472"/>
      <c r="C115" s="1472"/>
      <c r="D115" s="1472"/>
      <c r="E115" s="1472"/>
      <c r="F115" s="1472"/>
      <c r="G115" s="1472"/>
      <c r="H115" s="1472"/>
      <c r="I115" s="1472"/>
      <c r="J115" s="1472"/>
      <c r="K115" s="1472"/>
      <c r="L115" s="1472"/>
      <c r="M115" s="1472"/>
      <c r="N115" s="1472"/>
      <c r="O115" s="1472"/>
      <c r="P115" s="1472"/>
      <c r="Q115" s="1472"/>
      <c r="R115" s="1472"/>
      <c r="S115" s="1472"/>
      <c r="T115" s="1472"/>
      <c r="U115" s="1472"/>
      <c r="V115" s="1472"/>
      <c r="W115" s="1472"/>
      <c r="X115" s="1472"/>
      <c r="Y115" s="1472"/>
      <c r="Z115" s="1472"/>
      <c r="AA115" s="1472"/>
      <c r="AB115" s="1472"/>
      <c r="AC115" s="1472"/>
      <c r="AD115" s="1472"/>
      <c r="AE115" s="1472"/>
      <c r="AF115" s="1472"/>
    </row>
    <row r="116" spans="1:32"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ht="44.45" customHeight="1" x14ac:dyDescent="0.25">
      <c r="A117" s="517" t="s">
        <v>1013</v>
      </c>
      <c r="B117" s="1173" t="s">
        <v>4582</v>
      </c>
      <c r="C117" s="1173"/>
      <c r="D117" s="1173"/>
      <c r="E117" s="1173"/>
      <c r="F117" s="1173"/>
      <c r="G117" s="1173"/>
      <c r="H117" s="1173"/>
      <c r="I117" s="1173"/>
      <c r="J117" s="1173"/>
      <c r="K117" s="1173"/>
      <c r="L117" s="1173"/>
      <c r="M117" s="1173"/>
      <c r="N117" s="1173"/>
      <c r="O117" s="1173"/>
      <c r="P117" s="1173"/>
      <c r="Q117" s="1173"/>
      <c r="R117" s="1173"/>
      <c r="S117" s="1173"/>
      <c r="T117" s="1173"/>
      <c r="U117" s="1173"/>
      <c r="V117" s="1173"/>
      <c r="W117" s="1173"/>
      <c r="X117" s="1173"/>
      <c r="Y117" s="1173"/>
      <c r="Z117" s="1173"/>
      <c r="AA117" s="1173"/>
      <c r="AB117" s="1173"/>
      <c r="AC117" s="1173"/>
      <c r="AD117" s="1173"/>
      <c r="AE117" s="1173"/>
      <c r="AF117" s="1173"/>
    </row>
    <row r="118" spans="1:32" ht="36" customHeight="1" x14ac:dyDescent="0.25">
      <c r="A118" s="517" t="s">
        <v>1013</v>
      </c>
      <c r="B118" s="1168" t="s">
        <v>4583</v>
      </c>
      <c r="C118" s="1168"/>
      <c r="D118" s="1168"/>
      <c r="E118" s="1168"/>
      <c r="F118" s="1168"/>
      <c r="G118" s="1168"/>
      <c r="H118" s="1168"/>
      <c r="I118" s="1168"/>
      <c r="J118" s="1168"/>
      <c r="K118" s="1168"/>
      <c r="L118" s="1168"/>
      <c r="M118" s="1168"/>
      <c r="N118" s="1168"/>
      <c r="O118" s="1168"/>
      <c r="P118" s="1168"/>
      <c r="Q118" s="1168"/>
      <c r="R118" s="1168"/>
      <c r="S118" s="1168"/>
      <c r="T118" s="1168"/>
      <c r="U118" s="1168"/>
      <c r="V118" s="1168"/>
      <c r="W118" s="1168"/>
      <c r="X118" s="1168"/>
      <c r="Y118" s="1168"/>
      <c r="Z118" s="1168"/>
      <c r="AA118" s="1168"/>
      <c r="AB118" s="1168"/>
      <c r="AC118" s="1168"/>
      <c r="AD118" s="1168"/>
      <c r="AE118" s="1168"/>
      <c r="AF118" s="1168"/>
    </row>
    <row r="119" spans="1:32" ht="35.450000000000003" customHeight="1" x14ac:dyDescent="0.25">
      <c r="A119" s="517" t="s">
        <v>1013</v>
      </c>
      <c r="B119" s="1168" t="s">
        <v>4584</v>
      </c>
      <c r="C119" s="1168"/>
      <c r="D119" s="1168"/>
      <c r="E119" s="1168"/>
      <c r="F119" s="1168"/>
      <c r="G119" s="1168"/>
      <c r="H119" s="1168"/>
      <c r="I119" s="1168"/>
      <c r="J119" s="1168"/>
      <c r="K119" s="1168"/>
      <c r="L119" s="1168"/>
      <c r="M119" s="1168"/>
      <c r="N119" s="1168"/>
      <c r="O119" s="1168"/>
      <c r="P119" s="1168"/>
      <c r="Q119" s="1168"/>
      <c r="R119" s="1168"/>
      <c r="S119" s="1168"/>
      <c r="T119" s="1168"/>
      <c r="U119" s="1168"/>
      <c r="V119" s="1168"/>
      <c r="W119" s="1168"/>
      <c r="X119" s="1168"/>
      <c r="Y119" s="1168"/>
      <c r="Z119" s="1168"/>
      <c r="AA119" s="1168"/>
      <c r="AB119" s="1168"/>
      <c r="AC119" s="1168"/>
      <c r="AD119" s="1168"/>
      <c r="AE119" s="1168"/>
      <c r="AF119" s="1168"/>
    </row>
    <row r="120" spans="1:32" ht="139.5" customHeight="1" x14ac:dyDescent="0.25">
      <c r="A120" s="515" t="s">
        <v>1013</v>
      </c>
      <c r="B120" s="1168" t="s">
        <v>2980</v>
      </c>
      <c r="C120" s="1168"/>
      <c r="D120" s="1168"/>
      <c r="E120" s="1168"/>
      <c r="F120" s="1168"/>
      <c r="G120" s="1168"/>
      <c r="H120" s="1168"/>
      <c r="I120" s="1168"/>
      <c r="J120" s="1168"/>
      <c r="K120" s="1168"/>
      <c r="L120" s="1168"/>
      <c r="M120" s="1168"/>
      <c r="N120" s="1168"/>
      <c r="O120" s="1168"/>
      <c r="P120" s="1168"/>
      <c r="Q120" s="1168"/>
      <c r="R120" s="1168"/>
      <c r="S120" s="1168"/>
      <c r="T120" s="1168"/>
      <c r="U120" s="1168"/>
      <c r="V120" s="1168"/>
      <c r="W120" s="1168"/>
      <c r="X120" s="1168"/>
      <c r="Y120" s="1168"/>
      <c r="Z120" s="1168"/>
      <c r="AA120" s="1168"/>
      <c r="AB120" s="1168"/>
      <c r="AC120" s="1168"/>
      <c r="AD120" s="1168"/>
      <c r="AE120" s="1168"/>
      <c r="AF120" s="1168"/>
    </row>
    <row r="121" spans="1:32" x14ac:dyDescent="0.25">
      <c r="A121" s="515" t="s">
        <v>1013</v>
      </c>
      <c r="B121" s="1247" t="s">
        <v>1795</v>
      </c>
      <c r="C121" s="1247"/>
      <c r="D121" s="1247"/>
      <c r="E121" s="1247"/>
      <c r="F121" s="1247"/>
      <c r="G121" s="1247"/>
      <c r="H121" s="1247"/>
      <c r="I121" s="1247"/>
      <c r="J121" s="1247"/>
      <c r="K121" s="1247"/>
      <c r="L121" s="1247"/>
      <c r="M121" s="1247"/>
      <c r="N121" s="1247"/>
      <c r="O121" s="1247"/>
      <c r="P121" s="1247"/>
      <c r="Q121" s="1247"/>
      <c r="R121" s="1247"/>
      <c r="S121" s="1247"/>
      <c r="T121" s="1247"/>
      <c r="U121" s="1247"/>
      <c r="V121" s="1247"/>
      <c r="W121" s="1247"/>
      <c r="X121" s="1247"/>
      <c r="Y121" s="1247"/>
      <c r="Z121" s="1247"/>
      <c r="AA121" s="1247"/>
      <c r="AB121" s="1247"/>
      <c r="AC121" s="1247"/>
      <c r="AD121" s="1247"/>
      <c r="AE121" s="1247"/>
      <c r="AF121" s="1247"/>
    </row>
    <row r="122" spans="1:32" ht="51" customHeight="1" x14ac:dyDescent="0.25">
      <c r="A122" s="515" t="s">
        <v>1013</v>
      </c>
      <c r="B122" s="1247" t="s">
        <v>3432</v>
      </c>
      <c r="C122" s="1247"/>
      <c r="D122" s="1247"/>
      <c r="E122" s="1247"/>
      <c r="F122" s="1247"/>
      <c r="G122" s="1247"/>
      <c r="H122" s="1247"/>
      <c r="I122" s="1247"/>
      <c r="J122" s="1247"/>
      <c r="K122" s="1247"/>
      <c r="L122" s="1247"/>
      <c r="M122" s="1247"/>
      <c r="N122" s="1247"/>
      <c r="O122" s="1247"/>
      <c r="P122" s="1247"/>
      <c r="Q122" s="1247"/>
      <c r="R122" s="1247"/>
      <c r="S122" s="1247"/>
      <c r="T122" s="1247"/>
      <c r="U122" s="1247"/>
      <c r="V122" s="1247"/>
      <c r="W122" s="1247"/>
      <c r="X122" s="1247"/>
      <c r="Y122" s="1247"/>
      <c r="Z122" s="1247"/>
      <c r="AA122" s="1247"/>
      <c r="AB122" s="1247"/>
      <c r="AC122" s="1247"/>
      <c r="AD122" s="1247"/>
      <c r="AE122" s="1247"/>
      <c r="AF122" s="1247"/>
    </row>
    <row r="123" spans="1:32" x14ac:dyDescent="0.25">
      <c r="A123" s="515" t="s">
        <v>1013</v>
      </c>
      <c r="B123" s="3480" t="s">
        <v>1796</v>
      </c>
      <c r="C123" s="3480"/>
      <c r="D123" s="3480"/>
      <c r="E123" s="3480"/>
      <c r="F123" s="3480"/>
      <c r="G123" s="3480"/>
      <c r="H123" s="3480"/>
      <c r="I123" s="3480"/>
      <c r="J123" s="3480"/>
      <c r="K123" s="3480"/>
      <c r="L123" s="3480"/>
      <c r="M123" s="3480"/>
      <c r="N123" s="3480"/>
      <c r="O123" s="3480"/>
      <c r="P123" s="3480"/>
      <c r="Q123" s="3480"/>
      <c r="R123" s="3480"/>
      <c r="S123" s="3480"/>
      <c r="T123" s="3480"/>
      <c r="U123" s="3480"/>
      <c r="V123" s="3480"/>
      <c r="W123" s="3480"/>
      <c r="X123" s="3480"/>
      <c r="Y123" s="3480"/>
      <c r="Z123" s="3480"/>
      <c r="AA123" s="3480"/>
      <c r="AB123" s="3480"/>
      <c r="AC123" s="3480"/>
      <c r="AD123" s="3480"/>
      <c r="AE123" s="3480"/>
      <c r="AF123" s="3480"/>
    </row>
    <row r="124" spans="1:32" ht="33" customHeight="1" x14ac:dyDescent="0.25">
      <c r="A124" s="515" t="s">
        <v>1013</v>
      </c>
      <c r="B124" s="1247" t="s">
        <v>1797</v>
      </c>
      <c r="C124" s="1247"/>
      <c r="D124" s="1247"/>
      <c r="E124" s="1247"/>
      <c r="F124" s="1247"/>
      <c r="G124" s="1247"/>
      <c r="H124" s="1247"/>
      <c r="I124" s="1247"/>
      <c r="J124" s="1247"/>
      <c r="K124" s="1247"/>
      <c r="L124" s="1247"/>
      <c r="M124" s="1247"/>
      <c r="N124" s="1247"/>
      <c r="O124" s="1247"/>
      <c r="P124" s="1247"/>
      <c r="Q124" s="1247"/>
      <c r="R124" s="1247"/>
      <c r="S124" s="1247"/>
      <c r="T124" s="1247"/>
      <c r="U124" s="1247"/>
      <c r="V124" s="1247"/>
      <c r="W124" s="1247"/>
      <c r="X124" s="1247"/>
      <c r="Y124" s="1247"/>
      <c r="Z124" s="1247"/>
      <c r="AA124" s="1247"/>
      <c r="AB124" s="1247"/>
      <c r="AC124" s="1247"/>
      <c r="AD124" s="1247"/>
      <c r="AE124" s="1247"/>
      <c r="AF124" s="1247"/>
    </row>
    <row r="125" spans="1:32" ht="48" customHeight="1" x14ac:dyDescent="0.25">
      <c r="A125" s="515" t="s">
        <v>1013</v>
      </c>
      <c r="B125" s="1247" t="s">
        <v>2029</v>
      </c>
      <c r="C125" s="1247"/>
      <c r="D125" s="1247"/>
      <c r="E125" s="1247"/>
      <c r="F125" s="1247"/>
      <c r="G125" s="1247"/>
      <c r="H125" s="1247"/>
      <c r="I125" s="1247"/>
      <c r="J125" s="1247"/>
      <c r="K125" s="1247"/>
      <c r="L125" s="1247"/>
      <c r="M125" s="1247"/>
      <c r="N125" s="1247"/>
      <c r="O125" s="1247"/>
      <c r="P125" s="1247"/>
      <c r="Q125" s="1247"/>
      <c r="R125" s="1247"/>
      <c r="S125" s="1247"/>
      <c r="T125" s="1247"/>
      <c r="U125" s="1247"/>
      <c r="V125" s="1247"/>
      <c r="W125" s="1247"/>
      <c r="X125" s="1247"/>
      <c r="Y125" s="1247"/>
      <c r="Z125" s="1247"/>
      <c r="AA125" s="1247"/>
      <c r="AB125" s="1247"/>
      <c r="AC125" s="1247"/>
      <c r="AD125" s="1247"/>
      <c r="AE125" s="1247"/>
      <c r="AF125" s="1247"/>
    </row>
    <row r="126" spans="1:32" x14ac:dyDescent="0.25">
      <c r="A126" s="515" t="s">
        <v>1013</v>
      </c>
      <c r="B126" s="1247" t="s">
        <v>2322</v>
      </c>
      <c r="C126" s="1247"/>
      <c r="D126" s="1247"/>
      <c r="E126" s="1247"/>
      <c r="F126" s="1247"/>
      <c r="G126" s="1247"/>
      <c r="H126" s="1247"/>
      <c r="I126" s="1247"/>
      <c r="J126" s="1247"/>
      <c r="K126" s="1247"/>
      <c r="L126" s="1247"/>
      <c r="M126" s="1247"/>
      <c r="N126" s="1247"/>
      <c r="O126" s="1247"/>
      <c r="P126" s="1247"/>
      <c r="Q126" s="1247"/>
      <c r="R126" s="1247"/>
      <c r="S126" s="1247"/>
      <c r="T126" s="1247"/>
      <c r="U126" s="1247"/>
      <c r="V126" s="1247"/>
      <c r="W126" s="1247"/>
      <c r="X126" s="1247"/>
      <c r="Y126" s="1247"/>
      <c r="Z126" s="1247"/>
      <c r="AA126" s="1247"/>
      <c r="AB126" s="1247"/>
      <c r="AC126" s="1247"/>
      <c r="AD126" s="1247"/>
      <c r="AE126" s="1247"/>
      <c r="AF126" s="1247"/>
    </row>
    <row r="127" spans="1:32" x14ac:dyDescent="0.25">
      <c r="A127" s="515" t="s">
        <v>1013</v>
      </c>
      <c r="B127" s="1247" t="s">
        <v>1798</v>
      </c>
      <c r="C127" s="1247"/>
      <c r="D127" s="1247"/>
      <c r="E127" s="1247"/>
      <c r="F127" s="1247"/>
      <c r="G127" s="1247"/>
      <c r="H127" s="1247"/>
      <c r="I127" s="1247"/>
      <c r="J127" s="1247"/>
      <c r="K127" s="1247"/>
      <c r="L127" s="1247"/>
      <c r="M127" s="1247"/>
      <c r="N127" s="1247"/>
      <c r="O127" s="1247"/>
      <c r="P127" s="1247"/>
      <c r="Q127" s="1247"/>
      <c r="R127" s="1247"/>
      <c r="S127" s="1247"/>
      <c r="T127" s="1247"/>
      <c r="U127" s="1247"/>
      <c r="V127" s="1247"/>
      <c r="W127" s="1247"/>
      <c r="X127" s="1247"/>
      <c r="Y127" s="1247"/>
      <c r="Z127" s="1247"/>
      <c r="AA127" s="1247"/>
      <c r="AB127" s="1247"/>
      <c r="AC127" s="1247"/>
      <c r="AD127" s="1247"/>
      <c r="AE127" s="1247"/>
      <c r="AF127" s="1247"/>
    </row>
    <row r="128" spans="1:32" ht="31.5" customHeight="1" x14ac:dyDescent="0.25">
      <c r="A128" s="515" t="s">
        <v>1013</v>
      </c>
      <c r="B128" s="1247" t="s">
        <v>2036</v>
      </c>
      <c r="C128" s="1247"/>
      <c r="D128" s="1247"/>
      <c r="E128" s="1247"/>
      <c r="F128" s="1247"/>
      <c r="G128" s="1247"/>
      <c r="H128" s="1247"/>
      <c r="I128" s="1247"/>
      <c r="J128" s="1247"/>
      <c r="K128" s="1247"/>
      <c r="L128" s="1247"/>
      <c r="M128" s="1247"/>
      <c r="N128" s="1247"/>
      <c r="O128" s="1247"/>
      <c r="P128" s="1247"/>
      <c r="Q128" s="1247"/>
      <c r="R128" s="1247"/>
      <c r="S128" s="1247"/>
      <c r="T128" s="1247"/>
      <c r="U128" s="1247"/>
      <c r="V128" s="1247"/>
      <c r="W128" s="1247"/>
      <c r="X128" s="1247"/>
      <c r="Y128" s="1247"/>
      <c r="Z128" s="1247"/>
      <c r="AA128" s="1247"/>
      <c r="AB128" s="1247"/>
      <c r="AC128" s="1247"/>
      <c r="AD128" s="1247"/>
      <c r="AE128" s="1247"/>
      <c r="AF128" s="1247"/>
    </row>
    <row r="129" spans="1:32" x14ac:dyDescent="0.25">
      <c r="A129" s="515" t="s">
        <v>1013</v>
      </c>
      <c r="B129" s="1247" t="s">
        <v>1799</v>
      </c>
      <c r="C129" s="1247"/>
      <c r="D129" s="1247"/>
      <c r="E129" s="1247"/>
      <c r="F129" s="1247"/>
      <c r="G129" s="1247"/>
      <c r="H129" s="1247"/>
      <c r="I129" s="1247"/>
      <c r="J129" s="1247"/>
      <c r="K129" s="1247"/>
      <c r="L129" s="1247"/>
      <c r="M129" s="1247"/>
      <c r="N129" s="1247"/>
      <c r="O129" s="1247"/>
      <c r="P129" s="1247"/>
      <c r="Q129" s="1247"/>
      <c r="R129" s="1247"/>
      <c r="S129" s="1247"/>
      <c r="T129" s="1247"/>
      <c r="U129" s="1247"/>
      <c r="V129" s="1247"/>
      <c r="W129" s="1247"/>
      <c r="X129" s="1247"/>
      <c r="Y129" s="1247"/>
      <c r="Z129" s="1247"/>
      <c r="AA129" s="1247"/>
      <c r="AB129" s="1247"/>
      <c r="AC129" s="1247"/>
      <c r="AD129" s="1247"/>
      <c r="AE129" s="1247"/>
      <c r="AF129" s="1247"/>
    </row>
    <row r="130" spans="1:32" x14ac:dyDescent="0.25">
      <c r="A130" s="515" t="s">
        <v>1013</v>
      </c>
      <c r="B130" s="1247" t="s">
        <v>2058</v>
      </c>
      <c r="C130" s="1247"/>
      <c r="D130" s="1247"/>
      <c r="E130" s="1247"/>
      <c r="F130" s="1247"/>
      <c r="G130" s="1247"/>
      <c r="H130" s="1247"/>
      <c r="I130" s="1247"/>
      <c r="J130" s="1247"/>
      <c r="K130" s="1247"/>
      <c r="L130" s="1247"/>
      <c r="M130" s="1247"/>
      <c r="N130" s="1247"/>
      <c r="O130" s="1247"/>
      <c r="P130" s="1247"/>
      <c r="Q130" s="1247"/>
      <c r="R130" s="1247"/>
      <c r="S130" s="1247"/>
      <c r="T130" s="1247"/>
      <c r="U130" s="1247"/>
      <c r="V130" s="1247"/>
      <c r="W130" s="1247"/>
      <c r="X130" s="1247"/>
      <c r="Y130" s="1247"/>
      <c r="Z130" s="1247"/>
      <c r="AA130" s="1247"/>
      <c r="AB130" s="1247"/>
      <c r="AC130" s="1247"/>
      <c r="AD130" s="1247"/>
      <c r="AE130" s="1247"/>
      <c r="AF130" s="1247"/>
    </row>
    <row r="131" spans="1:32" x14ac:dyDescent="0.25">
      <c r="A131" s="515" t="s">
        <v>1013</v>
      </c>
      <c r="B131" s="1247" t="s">
        <v>1800</v>
      </c>
      <c r="C131" s="1247"/>
      <c r="D131" s="1247"/>
      <c r="E131" s="1247"/>
      <c r="F131" s="1247"/>
      <c r="G131" s="1247"/>
      <c r="H131" s="1247"/>
      <c r="I131" s="1247"/>
      <c r="J131" s="1247"/>
      <c r="K131" s="1247"/>
      <c r="L131" s="1247"/>
      <c r="M131" s="1247"/>
      <c r="N131" s="1247"/>
      <c r="O131" s="1247"/>
      <c r="P131" s="1247"/>
      <c r="Q131" s="1247"/>
      <c r="R131" s="1247"/>
      <c r="S131" s="1247"/>
      <c r="T131" s="1247"/>
      <c r="U131" s="1247"/>
      <c r="V131" s="1247"/>
      <c r="W131" s="1247"/>
      <c r="X131" s="1247"/>
      <c r="Y131" s="1247"/>
      <c r="Z131" s="1247"/>
      <c r="AA131" s="1247"/>
      <c r="AB131" s="1247"/>
      <c r="AC131" s="1247"/>
      <c r="AD131" s="1247"/>
      <c r="AE131" s="1247"/>
      <c r="AF131" s="1247"/>
    </row>
    <row r="132" spans="1:32" ht="63" customHeight="1" x14ac:dyDescent="0.25">
      <c r="A132" s="515" t="s">
        <v>1013</v>
      </c>
      <c r="B132" s="1247" t="s">
        <v>2346</v>
      </c>
      <c r="C132" s="1247"/>
      <c r="D132" s="1247"/>
      <c r="E132" s="1247"/>
      <c r="F132" s="1247"/>
      <c r="G132" s="1247"/>
      <c r="H132" s="1247"/>
      <c r="I132" s="1247"/>
      <c r="J132" s="1247"/>
      <c r="K132" s="1247"/>
      <c r="L132" s="1247"/>
      <c r="M132" s="1247"/>
      <c r="N132" s="1247"/>
      <c r="O132" s="1247"/>
      <c r="P132" s="1247"/>
      <c r="Q132" s="1247"/>
      <c r="R132" s="1247"/>
      <c r="S132" s="1247"/>
      <c r="T132" s="1247"/>
      <c r="U132" s="1247"/>
      <c r="V132" s="1247"/>
      <c r="W132" s="1247"/>
      <c r="X132" s="1247"/>
      <c r="Y132" s="1247"/>
      <c r="Z132" s="1247"/>
      <c r="AA132" s="1247"/>
      <c r="AB132" s="1247"/>
      <c r="AC132" s="1247"/>
      <c r="AD132" s="1247"/>
      <c r="AE132" s="1247"/>
      <c r="AF132" s="1247"/>
    </row>
    <row r="133" spans="1:32" x14ac:dyDescent="0.25">
      <c r="A133" s="515" t="s">
        <v>1013</v>
      </c>
      <c r="B133" s="1247" t="s">
        <v>2018</v>
      </c>
      <c r="C133" s="1247"/>
      <c r="D133" s="1247"/>
      <c r="E133" s="1247"/>
      <c r="F133" s="1247"/>
      <c r="G133" s="1247"/>
      <c r="H133" s="1247"/>
      <c r="I133" s="1247"/>
      <c r="J133" s="1247"/>
      <c r="K133" s="1247"/>
      <c r="L133" s="1247"/>
      <c r="M133" s="1247"/>
      <c r="N133" s="1247"/>
      <c r="O133" s="1247"/>
      <c r="P133" s="1247"/>
      <c r="Q133" s="1247"/>
      <c r="R133" s="1247"/>
      <c r="S133" s="1247"/>
      <c r="T133" s="1247"/>
      <c r="U133" s="1247"/>
      <c r="V133" s="1247"/>
      <c r="W133" s="1247"/>
      <c r="X133" s="1247"/>
      <c r="Y133" s="1247"/>
      <c r="Z133" s="1247"/>
      <c r="AA133" s="1247"/>
      <c r="AB133" s="1247"/>
      <c r="AC133" s="1247"/>
      <c r="AD133" s="1247"/>
      <c r="AE133" s="1247"/>
      <c r="AF133" s="1247"/>
    </row>
    <row r="134" spans="1:32" ht="32.25" customHeight="1" x14ac:dyDescent="0.25">
      <c r="A134" s="515" t="s">
        <v>1013</v>
      </c>
      <c r="B134" s="1247" t="s">
        <v>1613</v>
      </c>
      <c r="C134" s="1247"/>
      <c r="D134" s="1247"/>
      <c r="E134" s="1247"/>
      <c r="F134" s="1247"/>
      <c r="G134" s="1247"/>
      <c r="H134" s="1247"/>
      <c r="I134" s="1247"/>
      <c r="J134" s="1247"/>
      <c r="K134" s="1247"/>
      <c r="L134" s="1247"/>
      <c r="M134" s="1247"/>
      <c r="N134" s="1247"/>
      <c r="O134" s="1247"/>
      <c r="P134" s="1247"/>
      <c r="Q134" s="1247"/>
      <c r="R134" s="1247"/>
      <c r="S134" s="1247"/>
      <c r="T134" s="1247"/>
      <c r="U134" s="1247"/>
      <c r="V134" s="1247"/>
      <c r="W134" s="1247"/>
      <c r="X134" s="1247"/>
      <c r="Y134" s="1247"/>
      <c r="Z134" s="1247"/>
      <c r="AA134" s="1247"/>
      <c r="AB134" s="1247"/>
      <c r="AC134" s="1247"/>
      <c r="AD134" s="1247"/>
      <c r="AE134" s="1247"/>
      <c r="AF134" s="1247"/>
    </row>
    <row r="135" spans="1:32" ht="33.75" customHeight="1" x14ac:dyDescent="0.25">
      <c r="A135" s="515" t="s">
        <v>1013</v>
      </c>
      <c r="B135" s="1247" t="s">
        <v>1803</v>
      </c>
      <c r="C135" s="1247"/>
      <c r="D135" s="1247"/>
      <c r="E135" s="1247"/>
      <c r="F135" s="1247"/>
      <c r="G135" s="1247"/>
      <c r="H135" s="1247"/>
      <c r="I135" s="1247"/>
      <c r="J135" s="1247"/>
      <c r="K135" s="1247"/>
      <c r="L135" s="1247"/>
      <c r="M135" s="1247"/>
      <c r="N135" s="1247"/>
      <c r="O135" s="1247"/>
      <c r="P135" s="1247"/>
      <c r="Q135" s="1247"/>
      <c r="R135" s="1247"/>
      <c r="S135" s="1247"/>
      <c r="T135" s="1247"/>
      <c r="U135" s="1247"/>
      <c r="V135" s="1247"/>
      <c r="W135" s="1247"/>
      <c r="X135" s="1247"/>
      <c r="Y135" s="1247"/>
      <c r="Z135" s="1247"/>
      <c r="AA135" s="1247"/>
      <c r="AB135" s="1247"/>
      <c r="AC135" s="1247"/>
      <c r="AD135" s="1247"/>
      <c r="AE135" s="1247"/>
      <c r="AF135" s="1247"/>
    </row>
    <row r="136" spans="1:32" x14ac:dyDescent="0.25">
      <c r="A136" s="515" t="s">
        <v>1013</v>
      </c>
      <c r="B136" s="1247" t="s">
        <v>1749</v>
      </c>
      <c r="C136" s="1247"/>
      <c r="D136" s="1247"/>
      <c r="E136" s="1247"/>
      <c r="F136" s="1247"/>
      <c r="G136" s="1247"/>
      <c r="H136" s="1247"/>
      <c r="I136" s="1247"/>
      <c r="J136" s="1247"/>
      <c r="K136" s="1247"/>
      <c r="L136" s="1247"/>
      <c r="M136" s="1247"/>
      <c r="N136" s="1247"/>
      <c r="O136" s="1247"/>
      <c r="P136" s="1247"/>
      <c r="Q136" s="1247"/>
      <c r="R136" s="1247"/>
      <c r="S136" s="1247"/>
      <c r="T136" s="1247"/>
      <c r="U136" s="1247"/>
      <c r="V136" s="1247"/>
      <c r="W136" s="1247"/>
      <c r="X136" s="1247"/>
      <c r="Y136" s="1247"/>
      <c r="Z136" s="1247"/>
      <c r="AA136" s="1247"/>
      <c r="AB136" s="1247"/>
      <c r="AC136" s="1247"/>
      <c r="AD136" s="1247"/>
      <c r="AE136" s="1247"/>
      <c r="AF136" s="1247"/>
    </row>
    <row r="137" spans="1:32" ht="35.25" customHeight="1" x14ac:dyDescent="0.25">
      <c r="A137" s="515" t="s">
        <v>1013</v>
      </c>
      <c r="B137" s="1247" t="s">
        <v>2037</v>
      </c>
      <c r="C137" s="1247"/>
      <c r="D137" s="1247"/>
      <c r="E137" s="1247"/>
      <c r="F137" s="1247"/>
      <c r="G137" s="1247"/>
      <c r="H137" s="1247"/>
      <c r="I137" s="1247"/>
      <c r="J137" s="1247"/>
      <c r="K137" s="1247"/>
      <c r="L137" s="1247"/>
      <c r="M137" s="1247"/>
      <c r="N137" s="1247"/>
      <c r="O137" s="1247"/>
      <c r="P137" s="1247"/>
      <c r="Q137" s="1247"/>
      <c r="R137" s="1247"/>
      <c r="S137" s="1247"/>
      <c r="T137" s="1247"/>
      <c r="U137" s="1247"/>
      <c r="V137" s="1247"/>
      <c r="W137" s="1247"/>
      <c r="X137" s="1247"/>
      <c r="Y137" s="1247"/>
      <c r="Z137" s="1247"/>
      <c r="AA137" s="1247"/>
      <c r="AB137" s="1247"/>
      <c r="AC137" s="1247"/>
      <c r="AD137" s="1247"/>
      <c r="AE137" s="1247"/>
      <c r="AF137" s="1247"/>
    </row>
  </sheetData>
  <sheetProtection algorithmName="SHA-512" hashValue="cYEGvpL9HccVvtT6/C7nsTEKQTsfszPSLQbEtpaPHhRlruaF+XQzpsfKx0nDcj8VCmBj2NAbfGEPQYHHhD6Ovw==" saltValue="8k5UNzqKsY84yRcAZBil4A==" spinCount="100000" sheet="1" objects="1" scenarios="1"/>
  <mergeCells count="168">
    <mergeCell ref="A3:AF3"/>
    <mergeCell ref="B5:AF5"/>
    <mergeCell ref="B137:AF137"/>
    <mergeCell ref="B126:AF126"/>
    <mergeCell ref="B133:AF133"/>
    <mergeCell ref="B134:AF134"/>
    <mergeCell ref="B135:AF135"/>
    <mergeCell ref="B136:AF136"/>
    <mergeCell ref="B129:AF129"/>
    <mergeCell ref="B130:AF130"/>
    <mergeCell ref="B131:AF131"/>
    <mergeCell ref="B132:AF132"/>
    <mergeCell ref="B124:AF124"/>
    <mergeCell ref="B125:AF125"/>
    <mergeCell ref="B127:AF127"/>
    <mergeCell ref="B128:AF128"/>
    <mergeCell ref="B120:AF120"/>
    <mergeCell ref="B121:AF121"/>
    <mergeCell ref="B122:AF122"/>
    <mergeCell ref="B123:AF123"/>
    <mergeCell ref="A112:H112"/>
    <mergeCell ref="I112:P112"/>
    <mergeCell ref="Q112:X112"/>
    <mergeCell ref="A115:AF115"/>
    <mergeCell ref="Y96:AF96"/>
    <mergeCell ref="D107:H107"/>
    <mergeCell ref="A99:AF99"/>
    <mergeCell ref="B103:AF103"/>
    <mergeCell ref="D104:H104"/>
    <mergeCell ref="B109:AF109"/>
    <mergeCell ref="D110:H110"/>
    <mergeCell ref="B117:AF117"/>
    <mergeCell ref="A80:AF80"/>
    <mergeCell ref="A83:AF83"/>
    <mergeCell ref="I87:P87"/>
    <mergeCell ref="Q87:X87"/>
    <mergeCell ref="Y87:AF87"/>
    <mergeCell ref="A89:H89"/>
    <mergeCell ref="A81:AF81"/>
    <mergeCell ref="A87:H88"/>
    <mergeCell ref="I88:L88"/>
    <mergeCell ref="M88:P88"/>
    <mergeCell ref="Q88:T88"/>
    <mergeCell ref="U88:X88"/>
    <mergeCell ref="A69:D69"/>
    <mergeCell ref="E69:P69"/>
    <mergeCell ref="Q69:T69"/>
    <mergeCell ref="U69:W69"/>
    <mergeCell ref="X69:AF69"/>
    <mergeCell ref="A77:D77"/>
    <mergeCell ref="E77:P77"/>
    <mergeCell ref="Q77:T77"/>
    <mergeCell ref="U77:W77"/>
    <mergeCell ref="X77:AF77"/>
    <mergeCell ref="A73:D73"/>
    <mergeCell ref="E73:P73"/>
    <mergeCell ref="Q73:T73"/>
    <mergeCell ref="U73:W73"/>
    <mergeCell ref="X73:AF73"/>
    <mergeCell ref="A74:D74"/>
    <mergeCell ref="E74:P74"/>
    <mergeCell ref="Q74:T74"/>
    <mergeCell ref="U74:W74"/>
    <mergeCell ref="X74:AF74"/>
    <mergeCell ref="A72:D72"/>
    <mergeCell ref="E72:P72"/>
    <mergeCell ref="Q72:T72"/>
    <mergeCell ref="U72:W72"/>
    <mergeCell ref="A67:D67"/>
    <mergeCell ref="E67:P67"/>
    <mergeCell ref="Q67:T67"/>
    <mergeCell ref="U67:W67"/>
    <mergeCell ref="X67:AF67"/>
    <mergeCell ref="A68:D68"/>
    <mergeCell ref="E68:P68"/>
    <mergeCell ref="Q68:T68"/>
    <mergeCell ref="U68:W68"/>
    <mergeCell ref="X68:AF68"/>
    <mergeCell ref="X72:AF72"/>
    <mergeCell ref="A70:D70"/>
    <mergeCell ref="E70:P70"/>
    <mergeCell ref="Q70:T70"/>
    <mergeCell ref="U70:W70"/>
    <mergeCell ref="X70:AF70"/>
    <mergeCell ref="A71:D71"/>
    <mergeCell ref="E71:P71"/>
    <mergeCell ref="Q71:T71"/>
    <mergeCell ref="U71:W71"/>
    <mergeCell ref="X71:AF71"/>
    <mergeCell ref="E61:P61"/>
    <mergeCell ref="A66:D66"/>
    <mergeCell ref="E66:P66"/>
    <mergeCell ref="Q66:T66"/>
    <mergeCell ref="U66:W66"/>
    <mergeCell ref="X66:AF66"/>
    <mergeCell ref="A65:D65"/>
    <mergeCell ref="E65:P65"/>
    <mergeCell ref="Q65:T65"/>
    <mergeCell ref="U65:W65"/>
    <mergeCell ref="X65:AF65"/>
    <mergeCell ref="A64:D64"/>
    <mergeCell ref="E64:P64"/>
    <mergeCell ref="Q64:T64"/>
    <mergeCell ref="U64:W64"/>
    <mergeCell ref="X64:AF64"/>
    <mergeCell ref="A63:D63"/>
    <mergeCell ref="E63:P63"/>
    <mergeCell ref="Q63:T63"/>
    <mergeCell ref="U63:W63"/>
    <mergeCell ref="X63:AF63"/>
    <mergeCell ref="B23:AF23"/>
    <mergeCell ref="B21:AF21"/>
    <mergeCell ref="A62:D62"/>
    <mergeCell ref="E62:P62"/>
    <mergeCell ref="Q62:T62"/>
    <mergeCell ref="U62:W62"/>
    <mergeCell ref="X62:AF62"/>
    <mergeCell ref="A1:AF1"/>
    <mergeCell ref="Q61:T61"/>
    <mergeCell ref="U61:W61"/>
    <mergeCell ref="X61:AF61"/>
    <mergeCell ref="A7:AF7"/>
    <mergeCell ref="B9:I9"/>
    <mergeCell ref="B10:AF10"/>
    <mergeCell ref="B12:I12"/>
    <mergeCell ref="B17:I17"/>
    <mergeCell ref="B13:AF13"/>
    <mergeCell ref="B15:AF15"/>
    <mergeCell ref="B18:AF18"/>
    <mergeCell ref="B20:I20"/>
    <mergeCell ref="B26:AF26"/>
    <mergeCell ref="A28:AF28"/>
    <mergeCell ref="A60:AF60"/>
    <mergeCell ref="A61:D61"/>
    <mergeCell ref="A75:D76"/>
    <mergeCell ref="E75:P76"/>
    <mergeCell ref="Q75:R75"/>
    <mergeCell ref="S75:T75"/>
    <mergeCell ref="U75:W76"/>
    <mergeCell ref="X75:AF76"/>
    <mergeCell ref="Q76:R76"/>
    <mergeCell ref="S76:T76"/>
    <mergeCell ref="A79:AF79"/>
    <mergeCell ref="A78:AF78"/>
    <mergeCell ref="B118:AF118"/>
    <mergeCell ref="B119:AF119"/>
    <mergeCell ref="Y88:AB88"/>
    <mergeCell ref="AC88:AF88"/>
    <mergeCell ref="I89:L89"/>
    <mergeCell ref="M89:P89"/>
    <mergeCell ref="Q89:T89"/>
    <mergeCell ref="U89:X89"/>
    <mergeCell ref="Y89:AB89"/>
    <mergeCell ref="AC89:AF89"/>
    <mergeCell ref="A97:AF97"/>
    <mergeCell ref="A91:AF91"/>
    <mergeCell ref="A95:H95"/>
    <mergeCell ref="I95:P95"/>
    <mergeCell ref="Q95:X95"/>
    <mergeCell ref="Y95:AF95"/>
    <mergeCell ref="A96:H96"/>
    <mergeCell ref="I96:P96"/>
    <mergeCell ref="Q96:X96"/>
    <mergeCell ref="Y112:AF112"/>
    <mergeCell ref="A113:H113"/>
    <mergeCell ref="I113:P113"/>
    <mergeCell ref="Q113:X113"/>
    <mergeCell ref="Y113:AF113"/>
  </mergeCells>
  <hyperlinks>
    <hyperlink ref="A2" location="TOC!A1" display="Return to TOC" xr:uid="{00000000-0004-0000-57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2:AF38 AF39:AF42 AF43:AF52 AF56:AF58"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700-000000000000}">
          <x14:formula1>
            <xm:f>Dropdown!$D$6:$D$7</xm:f>
          </x14:formula1>
          <xm:sqref>D104:H104 D110:H110</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8" tint="0.79998168889431442"/>
    <pageSetUpPr autoPageBreaks="0"/>
  </sheetPr>
  <dimension ref="A1:AF97"/>
  <sheetViews>
    <sheetView workbookViewId="0">
      <selection sqref="A1:AF1"/>
    </sheetView>
  </sheetViews>
  <sheetFormatPr defaultColWidth="2.7109375" defaultRowHeight="15" x14ac:dyDescent="0.25"/>
  <cols>
    <col min="1" max="32" width="2.7109375" style="227"/>
  </cols>
  <sheetData>
    <row r="1" spans="1:32" ht="18.75" x14ac:dyDescent="0.25">
      <c r="A1" s="1464" t="s">
        <v>3541</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x14ac:dyDescent="0.25">
      <c r="A2" s="376" t="s">
        <v>1702</v>
      </c>
    </row>
    <row r="3" spans="1:32"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row>
    <row r="4" spans="1:32"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row>
    <row r="5" spans="1:32" x14ac:dyDescent="0.25">
      <c r="A5" s="262"/>
      <c r="B5" s="1589" t="s">
        <v>5687</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2" x14ac:dyDescent="0.25">
      <c r="A6" s="529"/>
    </row>
    <row r="7" spans="1:32"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row>
    <row r="8" spans="1:32" x14ac:dyDescent="0.25">
      <c r="A8" s="19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row>
    <row r="9" spans="1:32"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row>
    <row r="10" spans="1:32" ht="50.25" customHeight="1" x14ac:dyDescent="0.25">
      <c r="A10" s="263"/>
      <c r="B10" s="1589" t="s">
        <v>3750</v>
      </c>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row>
    <row r="11" spans="1:32"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row>
    <row r="12" spans="1:32"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row>
    <row r="13" spans="1:32" x14ac:dyDescent="0.25">
      <c r="A13" s="262"/>
      <c r="B13" s="1589" t="s">
        <v>3651</v>
      </c>
      <c r="C13" s="1589"/>
      <c r="D13" s="1589"/>
      <c r="E13" s="1589"/>
      <c r="F13" s="1589"/>
      <c r="G13" s="1589"/>
      <c r="H13" s="1589"/>
      <c r="I13" s="1589"/>
      <c r="J13" s="1589"/>
      <c r="K13" s="1589"/>
      <c r="L13" s="1589"/>
      <c r="M13" s="1589"/>
      <c r="N13" s="1589"/>
      <c r="O13" s="1589"/>
      <c r="P13" s="1589"/>
      <c r="Q13" s="1589"/>
      <c r="R13" s="1589"/>
      <c r="S13" s="1589"/>
      <c r="T13" s="1589"/>
      <c r="U13" s="1589"/>
      <c r="V13" s="1589"/>
      <c r="W13" s="1589"/>
      <c r="X13" s="1589"/>
      <c r="Y13" s="1589"/>
      <c r="Z13" s="1589"/>
      <c r="AA13" s="1589"/>
      <c r="AB13" s="1589"/>
      <c r="AC13" s="1589"/>
      <c r="AD13" s="1589"/>
      <c r="AE13" s="1589"/>
      <c r="AF13" s="1589"/>
    </row>
    <row r="14" spans="1:32" x14ac:dyDescent="0.2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row>
    <row r="15" spans="1:32" x14ac:dyDescent="0.25">
      <c r="A15" s="262"/>
      <c r="B15" s="1845" t="s">
        <v>12</v>
      </c>
      <c r="C15" s="1845"/>
      <c r="D15" s="1845"/>
      <c r="E15" s="1845"/>
      <c r="F15" s="1845"/>
      <c r="G15" s="1845"/>
      <c r="H15" s="1845"/>
      <c r="I15" s="1845"/>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row>
    <row r="16" spans="1:32" x14ac:dyDescent="0.25">
      <c r="A16" s="262"/>
      <c r="B16" s="1703" t="s">
        <v>3172</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row>
    <row r="17" spans="1:32" x14ac:dyDescent="0.25">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row>
    <row r="18" spans="1:32" x14ac:dyDescent="0.25">
      <c r="A18" s="262"/>
      <c r="B18" s="1845" t="s">
        <v>13</v>
      </c>
      <c r="C18" s="1845"/>
      <c r="D18" s="1845"/>
      <c r="E18" s="1845"/>
      <c r="F18" s="1845"/>
      <c r="G18" s="1845"/>
      <c r="H18" s="1845"/>
      <c r="I18" s="1845"/>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row>
    <row r="19" spans="1:32" x14ac:dyDescent="0.25">
      <c r="A19" s="262"/>
      <c r="B19" s="1589" t="s">
        <v>3712</v>
      </c>
      <c r="C19" s="1589"/>
      <c r="D19" s="1589"/>
      <c r="E19" s="1589"/>
      <c r="F19" s="1589"/>
      <c r="G19" s="1589"/>
      <c r="H19" s="1589"/>
      <c r="I19" s="1589"/>
      <c r="J19" s="1589"/>
      <c r="K19" s="1589"/>
      <c r="L19" s="1589"/>
      <c r="M19" s="1589"/>
      <c r="N19" s="1589"/>
      <c r="O19" s="1589"/>
      <c r="P19" s="1589"/>
      <c r="Q19" s="1589"/>
      <c r="R19" s="1589"/>
      <c r="S19" s="1589"/>
      <c r="T19" s="1589"/>
      <c r="U19" s="1589"/>
      <c r="V19" s="1589"/>
      <c r="W19" s="1589"/>
      <c r="X19" s="1589"/>
      <c r="Y19" s="1589"/>
      <c r="Z19" s="1589"/>
      <c r="AA19" s="1589"/>
      <c r="AB19" s="1589"/>
      <c r="AC19" s="1589"/>
      <c r="AD19" s="1589"/>
      <c r="AE19" s="1589"/>
      <c r="AF19" s="1589"/>
    </row>
    <row r="20" spans="1:32" x14ac:dyDescent="0.25">
      <c r="A20" s="262"/>
      <c r="B20" s="1589" t="s">
        <v>3713</v>
      </c>
      <c r="C20" s="1589"/>
      <c r="D20" s="1589"/>
      <c r="E20" s="1589"/>
      <c r="F20" s="1589"/>
      <c r="G20" s="1589"/>
      <c r="H20" s="1589"/>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row>
    <row r="21" spans="1:32" x14ac:dyDescent="0.25">
      <c r="A21" s="262"/>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row>
    <row r="22" spans="1:32" x14ac:dyDescent="0.25">
      <c r="A22" s="262"/>
      <c r="B22" s="1845" t="s">
        <v>20</v>
      </c>
      <c r="C22" s="1845"/>
      <c r="D22" s="1845"/>
      <c r="E22" s="1845"/>
      <c r="F22" s="1845"/>
      <c r="G22" s="1845"/>
      <c r="H22" s="1845"/>
      <c r="I22" s="1845"/>
      <c r="J22" s="1845"/>
      <c r="K22" s="262"/>
      <c r="L22" s="262"/>
      <c r="M22" s="262"/>
      <c r="N22" s="262"/>
      <c r="O22" s="262"/>
      <c r="P22" s="262"/>
      <c r="Q22" s="262"/>
      <c r="R22" s="262"/>
      <c r="S22" s="262"/>
      <c r="T22" s="262"/>
      <c r="U22" s="262"/>
      <c r="V22" s="262"/>
      <c r="W22" s="262"/>
      <c r="X22" s="262"/>
      <c r="Y22" s="262"/>
      <c r="Z22" s="262"/>
      <c r="AA22" s="262"/>
      <c r="AB22" s="262"/>
      <c r="AC22" s="262"/>
      <c r="AD22" s="262"/>
      <c r="AE22" s="262"/>
      <c r="AF22" s="262"/>
    </row>
    <row r="23" spans="1:32" x14ac:dyDescent="0.25">
      <c r="A23" s="262"/>
      <c r="B23" s="1589" t="s">
        <v>3751</v>
      </c>
      <c r="C23" s="1703"/>
      <c r="D23" s="1703"/>
      <c r="E23" s="1703"/>
      <c r="F23" s="1703"/>
      <c r="G23" s="1703"/>
      <c r="H23" s="1703"/>
      <c r="I23" s="1703"/>
      <c r="J23" s="1703"/>
      <c r="K23" s="1703"/>
      <c r="L23" s="1703"/>
      <c r="M23" s="1703"/>
      <c r="N23" s="1703"/>
      <c r="O23" s="1703"/>
      <c r="P23" s="1703"/>
      <c r="Q23" s="1703"/>
      <c r="R23" s="1703"/>
      <c r="S23" s="1703"/>
      <c r="T23" s="1703"/>
      <c r="U23" s="1703"/>
      <c r="V23" s="1703"/>
      <c r="W23" s="1703"/>
      <c r="X23" s="1703"/>
      <c r="Y23" s="1703"/>
      <c r="Z23" s="1703"/>
      <c r="AA23" s="1703"/>
      <c r="AB23" s="1703"/>
      <c r="AC23" s="1703"/>
      <c r="AD23" s="1703"/>
      <c r="AE23" s="1703"/>
      <c r="AF23" s="1703"/>
    </row>
    <row r="24" spans="1:32" ht="30.6" customHeight="1" x14ac:dyDescent="0.25">
      <c r="A24" s="262"/>
      <c r="B24" s="517" t="s">
        <v>1013</v>
      </c>
      <c r="C24" s="1173" t="s">
        <v>3705</v>
      </c>
      <c r="D24" s="1173"/>
      <c r="E24" s="1173"/>
      <c r="F24" s="1173"/>
      <c r="G24" s="1173"/>
      <c r="H24" s="1173"/>
      <c r="I24" s="1173"/>
      <c r="J24" s="1173"/>
      <c r="K24" s="1173"/>
      <c r="L24" s="1173"/>
      <c r="M24" s="1173"/>
      <c r="N24" s="1173"/>
      <c r="O24" s="1173"/>
      <c r="P24" s="1173"/>
      <c r="Q24" s="1173"/>
      <c r="R24" s="1173"/>
      <c r="S24" s="1173"/>
      <c r="T24" s="1173"/>
      <c r="U24" s="1173"/>
      <c r="V24" s="1173"/>
      <c r="W24" s="1173"/>
      <c r="X24" s="1173"/>
      <c r="Y24" s="1173"/>
      <c r="Z24" s="1173"/>
      <c r="AA24" s="1173"/>
      <c r="AB24" s="1173"/>
      <c r="AC24" s="1173"/>
      <c r="AD24" s="1173"/>
      <c r="AE24" s="1173"/>
      <c r="AF24" s="1173"/>
    </row>
    <row r="25" spans="1:32" x14ac:dyDescent="0.25">
      <c r="A25" s="262"/>
      <c r="B25" s="517" t="s">
        <v>1013</v>
      </c>
      <c r="C25" s="1173" t="s">
        <v>3706</v>
      </c>
      <c r="D25" s="1173"/>
      <c r="E25" s="1173"/>
      <c r="F25" s="1173"/>
      <c r="G25" s="1173"/>
      <c r="H25" s="1173"/>
      <c r="I25" s="1173"/>
      <c r="J25" s="1173"/>
      <c r="K25" s="1173"/>
      <c r="L25" s="1173"/>
      <c r="M25" s="1173"/>
      <c r="N25" s="1173"/>
      <c r="O25" s="1173"/>
      <c r="P25" s="1173"/>
      <c r="Q25" s="1173"/>
      <c r="R25" s="1173"/>
      <c r="S25" s="1173"/>
      <c r="T25" s="1173"/>
      <c r="U25" s="1173"/>
      <c r="V25" s="1173"/>
      <c r="W25" s="1173"/>
      <c r="X25" s="1173"/>
      <c r="Y25" s="1173"/>
      <c r="Z25" s="1173"/>
      <c r="AA25" s="1173"/>
      <c r="AB25" s="1173"/>
      <c r="AC25" s="1173"/>
      <c r="AD25" s="1173"/>
      <c r="AE25" s="1173"/>
      <c r="AF25" s="1173"/>
    </row>
    <row r="26" spans="1:32" x14ac:dyDescent="0.25">
      <c r="A26" s="262"/>
      <c r="B26" s="517" t="s">
        <v>1013</v>
      </c>
      <c r="C26" s="1173" t="s">
        <v>3707</v>
      </c>
      <c r="D26" s="1173"/>
      <c r="E26" s="1173"/>
      <c r="F26" s="1173"/>
      <c r="G26" s="1173"/>
      <c r="H26" s="1173"/>
      <c r="I26" s="1173"/>
      <c r="J26" s="1173"/>
      <c r="K26" s="1173"/>
      <c r="L26" s="1173"/>
      <c r="M26" s="1173"/>
      <c r="N26" s="1173"/>
      <c r="O26" s="1173"/>
      <c r="P26" s="1173"/>
      <c r="Q26" s="1173"/>
      <c r="R26" s="1173"/>
      <c r="S26" s="1173"/>
      <c r="T26" s="1173"/>
      <c r="U26" s="1173"/>
      <c r="V26" s="1173"/>
      <c r="W26" s="1173"/>
      <c r="X26" s="1173"/>
      <c r="Y26" s="1173"/>
      <c r="Z26" s="1173"/>
      <c r="AA26" s="1173"/>
      <c r="AB26" s="1173"/>
      <c r="AC26" s="1173"/>
      <c r="AD26" s="1173"/>
      <c r="AE26" s="1173"/>
      <c r="AF26" s="1173"/>
    </row>
    <row r="27" spans="1:32" x14ac:dyDescent="0.25">
      <c r="A27" s="262"/>
      <c r="B27" s="517"/>
      <c r="C27" s="647"/>
      <c r="D27" s="647"/>
      <c r="E27" s="647"/>
      <c r="F27" s="647"/>
      <c r="G27" s="647"/>
      <c r="H27" s="647"/>
      <c r="I27" s="647"/>
      <c r="J27" s="647"/>
      <c r="K27" s="647"/>
      <c r="L27" s="647"/>
      <c r="M27" s="647"/>
      <c r="N27" s="647"/>
      <c r="O27" s="647"/>
      <c r="P27" s="647"/>
      <c r="Q27" s="647"/>
      <c r="R27" s="647"/>
      <c r="S27" s="647"/>
      <c r="T27" s="647"/>
      <c r="U27" s="647"/>
      <c r="V27" s="647"/>
      <c r="W27" s="647"/>
      <c r="X27" s="647"/>
      <c r="Y27" s="647"/>
      <c r="Z27" s="647"/>
      <c r="AA27" s="647"/>
      <c r="AB27" s="647"/>
      <c r="AC27" s="647"/>
      <c r="AD27" s="647"/>
      <c r="AE27" s="647"/>
      <c r="AF27" s="647"/>
    </row>
    <row r="28" spans="1:32" ht="79.5" customHeight="1" x14ac:dyDescent="0.25">
      <c r="A28" s="262"/>
      <c r="B28" s="1173" t="s">
        <v>3752</v>
      </c>
      <c r="C28" s="1173"/>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c r="AE28" s="1173"/>
      <c r="AF28" s="1173"/>
    </row>
    <row r="29" spans="1:32" x14ac:dyDescent="0.25">
      <c r="A29" s="262"/>
      <c r="B29" s="263"/>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row>
    <row r="30" spans="1:32" ht="30.6" customHeight="1" x14ac:dyDescent="0.25">
      <c r="A30" s="262"/>
      <c r="B30" s="1589" t="s">
        <v>3714</v>
      </c>
      <c r="C30" s="1703"/>
      <c r="D30" s="1703"/>
      <c r="E30" s="1703"/>
      <c r="F30" s="1703"/>
      <c r="G30" s="1703"/>
      <c r="H30" s="1703"/>
      <c r="I30" s="1703"/>
      <c r="J30" s="1703"/>
      <c r="K30" s="1703"/>
      <c r="L30" s="1703"/>
      <c r="M30" s="1703"/>
      <c r="N30" s="1703"/>
      <c r="O30" s="1703"/>
      <c r="P30" s="1703"/>
      <c r="Q30" s="1703"/>
      <c r="R30" s="1703"/>
      <c r="S30" s="1703"/>
      <c r="T30" s="1703"/>
      <c r="U30" s="1703"/>
      <c r="V30" s="1703"/>
      <c r="W30" s="1703"/>
      <c r="X30" s="1703"/>
      <c r="Y30" s="1703"/>
      <c r="Z30" s="1703"/>
      <c r="AA30" s="1703"/>
      <c r="AB30" s="1703"/>
      <c r="AC30" s="1703"/>
      <c r="AD30" s="1703"/>
      <c r="AE30" s="1703"/>
      <c r="AF30" s="1703"/>
    </row>
    <row r="31" spans="1:32" x14ac:dyDescent="0.25">
      <c r="A31" s="262"/>
      <c r="B31" s="263"/>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row>
    <row r="32" spans="1:32" ht="45.75" customHeight="1" x14ac:dyDescent="0.25">
      <c r="A32" s="262"/>
      <c r="B32" s="1173" t="s">
        <v>5698</v>
      </c>
      <c r="C32" s="1287"/>
      <c r="D32" s="1287"/>
      <c r="E32" s="1287"/>
      <c r="F32" s="1287"/>
      <c r="G32" s="1287"/>
      <c r="H32" s="1287"/>
      <c r="I32" s="1287"/>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row>
    <row r="33" spans="1:32" x14ac:dyDescent="0.25">
      <c r="A33" s="262"/>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row>
    <row r="34" spans="1:32" x14ac:dyDescent="0.25">
      <c r="A34" s="1621" t="s">
        <v>14</v>
      </c>
      <c r="B34" s="1621"/>
      <c r="C34" s="1621"/>
      <c r="D34" s="1621"/>
      <c r="E34" s="1621"/>
      <c r="F34" s="1621"/>
      <c r="G34" s="1621"/>
      <c r="H34" s="1621"/>
      <c r="I34" s="1621"/>
      <c r="J34" s="1621"/>
      <c r="K34" s="1621"/>
      <c r="L34" s="1621"/>
      <c r="M34" s="1621"/>
      <c r="N34" s="1621"/>
      <c r="O34" s="1621"/>
      <c r="P34" s="1621"/>
      <c r="Q34" s="1621"/>
      <c r="R34" s="1621"/>
      <c r="S34" s="1621"/>
      <c r="T34" s="1621"/>
      <c r="U34" s="1621"/>
      <c r="V34" s="1621"/>
      <c r="W34" s="1621"/>
      <c r="X34" s="1621"/>
      <c r="Y34" s="1621"/>
      <c r="Z34" s="1621"/>
      <c r="AA34" s="1621"/>
      <c r="AB34" s="1621"/>
      <c r="AC34" s="1621"/>
      <c r="AD34" s="1621"/>
      <c r="AE34" s="1621"/>
      <c r="AF34" s="1621"/>
    </row>
    <row r="35" spans="1:32" x14ac:dyDescent="0.25">
      <c r="A35" s="262"/>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row>
    <row r="36" spans="1:32" x14ac:dyDescent="0.25">
      <c r="A36" s="262"/>
      <c r="B36" s="519" t="s">
        <v>2303</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row>
    <row r="37" spans="1:32" x14ac:dyDescent="0.25">
      <c r="A37" s="262"/>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row>
    <row r="38" spans="1:32" x14ac:dyDescent="0.25">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419" t="s">
        <v>1705</v>
      </c>
    </row>
    <row r="39" spans="1:32" x14ac:dyDescent="0.25">
      <c r="A39" s="262"/>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419"/>
    </row>
    <row r="40" spans="1:32" x14ac:dyDescent="0.25">
      <c r="A40" s="262"/>
      <c r="B40" s="414" t="s">
        <v>2192</v>
      </c>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row>
    <row r="41" spans="1:32" x14ac:dyDescent="0.25">
      <c r="A41" s="262"/>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row>
    <row r="42" spans="1:32" x14ac:dyDescent="0.25">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419" t="s">
        <v>1706</v>
      </c>
    </row>
    <row r="43" spans="1:32" x14ac:dyDescent="0.25">
      <c r="A43" s="262"/>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row>
    <row r="44" spans="1:32" x14ac:dyDescent="0.25">
      <c r="A44" s="262"/>
      <c r="B44" s="414" t="s">
        <v>1998</v>
      </c>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419"/>
    </row>
    <row r="45" spans="1:32" x14ac:dyDescent="0.25">
      <c r="A45" s="262"/>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419"/>
    </row>
    <row r="46" spans="1:32" x14ac:dyDescent="0.25">
      <c r="A46" s="262"/>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419" t="s">
        <v>1707</v>
      </c>
    </row>
    <row r="47" spans="1:32" x14ac:dyDescent="0.25">
      <c r="A47" s="262"/>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419"/>
    </row>
    <row r="48" spans="1:32" x14ac:dyDescent="0.25">
      <c r="A48" s="262"/>
      <c r="B48" s="414" t="s">
        <v>3031</v>
      </c>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419"/>
    </row>
    <row r="49" spans="1:32" x14ac:dyDescent="0.25">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row>
    <row r="50" spans="1:32" x14ac:dyDescent="0.25">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419" t="s">
        <v>1756</v>
      </c>
    </row>
    <row r="51" spans="1:32" x14ac:dyDescent="0.25">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row>
    <row r="52" spans="1:32" x14ac:dyDescent="0.25">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419" t="s">
        <v>1788</v>
      </c>
    </row>
    <row r="53" spans="1:32" x14ac:dyDescent="0.25">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row>
    <row r="54" spans="1:32" x14ac:dyDescent="0.25">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row>
    <row r="55" spans="1:32" x14ac:dyDescent="0.25">
      <c r="A55" s="1621" t="s">
        <v>15</v>
      </c>
      <c r="B55" s="1621"/>
      <c r="C55" s="1621"/>
      <c r="D55" s="1621"/>
      <c r="E55" s="1621"/>
      <c r="F55" s="1621"/>
      <c r="G55" s="1621"/>
      <c r="H55" s="1621"/>
      <c r="I55" s="1621"/>
      <c r="J55" s="1621"/>
      <c r="K55" s="1621"/>
      <c r="L55" s="1621"/>
      <c r="M55" s="1621"/>
      <c r="N55" s="1621"/>
      <c r="O55" s="1621"/>
      <c r="P55" s="1621"/>
      <c r="Q55" s="1621"/>
      <c r="R55" s="1621"/>
      <c r="S55" s="1621"/>
      <c r="T55" s="1621"/>
      <c r="U55" s="1621"/>
      <c r="V55" s="1621"/>
      <c r="W55" s="1621"/>
      <c r="X55" s="1621"/>
      <c r="Y55" s="1621"/>
      <c r="Z55" s="1621"/>
      <c r="AA55" s="1621"/>
      <c r="AB55" s="1621"/>
      <c r="AC55" s="1621"/>
      <c r="AD55" s="1621"/>
      <c r="AE55" s="1621"/>
      <c r="AF55" s="1621"/>
    </row>
    <row r="56" spans="1:32" x14ac:dyDescent="0.25">
      <c r="A56" s="1735" t="s">
        <v>16</v>
      </c>
      <c r="B56" s="1735"/>
      <c r="C56" s="1735"/>
      <c r="D56" s="1735"/>
      <c r="E56" s="1735" t="s">
        <v>10</v>
      </c>
      <c r="F56" s="1735"/>
      <c r="G56" s="1735"/>
      <c r="H56" s="1735"/>
      <c r="I56" s="1735"/>
      <c r="J56" s="1735"/>
      <c r="K56" s="1735"/>
      <c r="L56" s="1735"/>
      <c r="M56" s="1735"/>
      <c r="N56" s="1735"/>
      <c r="O56" s="1735"/>
      <c r="P56" s="1735"/>
      <c r="Q56" s="1735" t="s">
        <v>17</v>
      </c>
      <c r="R56" s="1735"/>
      <c r="S56" s="1735"/>
      <c r="T56" s="1735"/>
      <c r="U56" s="1697" t="s">
        <v>18</v>
      </c>
      <c r="V56" s="1698"/>
      <c r="W56" s="1699"/>
      <c r="X56" s="1697" t="s">
        <v>1708</v>
      </c>
      <c r="Y56" s="1698"/>
      <c r="Z56" s="1698"/>
      <c r="AA56" s="1698"/>
      <c r="AB56" s="1698"/>
      <c r="AC56" s="1698"/>
      <c r="AD56" s="1698"/>
      <c r="AE56" s="1698"/>
      <c r="AF56" s="1699"/>
    </row>
    <row r="57" spans="1:32" ht="30" customHeight="1" x14ac:dyDescent="0.25">
      <c r="A57" s="1680" t="s">
        <v>3667</v>
      </c>
      <c r="B57" s="1681" t="s">
        <v>294</v>
      </c>
      <c r="C57" s="1681" t="s">
        <v>294</v>
      </c>
      <c r="D57" s="1682" t="s">
        <v>294</v>
      </c>
      <c r="E57" s="1494" t="s">
        <v>3652</v>
      </c>
      <c r="F57" s="1495" t="s">
        <v>637</v>
      </c>
      <c r="G57" s="1495" t="s">
        <v>637</v>
      </c>
      <c r="H57" s="1495" t="s">
        <v>637</v>
      </c>
      <c r="I57" s="1495" t="s">
        <v>637</v>
      </c>
      <c r="J57" s="1495" t="s">
        <v>637</v>
      </c>
      <c r="K57" s="1495" t="s">
        <v>637</v>
      </c>
      <c r="L57" s="1495" t="s">
        <v>637</v>
      </c>
      <c r="M57" s="1495" t="s">
        <v>637</v>
      </c>
      <c r="N57" s="1495" t="s">
        <v>637</v>
      </c>
      <c r="O57" s="1495" t="s">
        <v>637</v>
      </c>
      <c r="P57" s="1496" t="s">
        <v>637</v>
      </c>
      <c r="Q57" s="3500" t="s">
        <v>626</v>
      </c>
      <c r="R57" s="3501"/>
      <c r="S57" s="3501"/>
      <c r="T57" s="3502"/>
      <c r="U57" s="1683" t="s">
        <v>291</v>
      </c>
      <c r="V57" s="1684"/>
      <c r="W57" s="1685"/>
      <c r="X57" s="1715" t="s">
        <v>3653</v>
      </c>
      <c r="Y57" s="1715"/>
      <c r="Z57" s="1715"/>
      <c r="AA57" s="1715"/>
      <c r="AB57" s="1715"/>
      <c r="AC57" s="1715"/>
      <c r="AD57" s="1715"/>
      <c r="AE57" s="1715"/>
      <c r="AF57" s="1715"/>
    </row>
    <row r="58" spans="1:32" ht="30" customHeight="1" x14ac:dyDescent="0.25">
      <c r="A58" s="1680" t="s">
        <v>3668</v>
      </c>
      <c r="B58" s="1681" t="s">
        <v>638</v>
      </c>
      <c r="C58" s="1681" t="s">
        <v>638</v>
      </c>
      <c r="D58" s="1682" t="s">
        <v>638</v>
      </c>
      <c r="E58" s="1494" t="s">
        <v>3654</v>
      </c>
      <c r="F58" s="1495" t="s">
        <v>622</v>
      </c>
      <c r="G58" s="1495" t="s">
        <v>622</v>
      </c>
      <c r="H58" s="1495" t="s">
        <v>622</v>
      </c>
      <c r="I58" s="1495" t="s">
        <v>622</v>
      </c>
      <c r="J58" s="1495" t="s">
        <v>622</v>
      </c>
      <c r="K58" s="1495" t="s">
        <v>622</v>
      </c>
      <c r="L58" s="1495" t="s">
        <v>622</v>
      </c>
      <c r="M58" s="1495" t="s">
        <v>622</v>
      </c>
      <c r="N58" s="1495" t="s">
        <v>622</v>
      </c>
      <c r="O58" s="1495" t="s">
        <v>622</v>
      </c>
      <c r="P58" s="1496" t="s">
        <v>622</v>
      </c>
      <c r="Q58" s="3500" t="s">
        <v>626</v>
      </c>
      <c r="R58" s="3501"/>
      <c r="S58" s="3501"/>
      <c r="T58" s="3502"/>
      <c r="U58" s="1683" t="s">
        <v>291</v>
      </c>
      <c r="V58" s="1684"/>
      <c r="W58" s="1685"/>
      <c r="X58" s="1715" t="s">
        <v>3655</v>
      </c>
      <c r="Y58" s="1715"/>
      <c r="Z58" s="1715"/>
      <c r="AA58" s="1715"/>
      <c r="AB58" s="1715"/>
      <c r="AC58" s="1715"/>
      <c r="AD58" s="1715"/>
      <c r="AE58" s="1715"/>
      <c r="AF58" s="1715"/>
    </row>
    <row r="59" spans="1:32" ht="48.75" customHeight="1" x14ac:dyDescent="0.25">
      <c r="A59" s="1680" t="s">
        <v>1760</v>
      </c>
      <c r="B59" s="1681"/>
      <c r="C59" s="1681"/>
      <c r="D59" s="1682"/>
      <c r="E59" s="1494" t="s">
        <v>2031</v>
      </c>
      <c r="F59" s="1495"/>
      <c r="G59" s="1495"/>
      <c r="H59" s="1495"/>
      <c r="I59" s="1495"/>
      <c r="J59" s="1495"/>
      <c r="K59" s="1495"/>
      <c r="L59" s="1495"/>
      <c r="M59" s="1495"/>
      <c r="N59" s="1495"/>
      <c r="O59" s="1495"/>
      <c r="P59" s="1496"/>
      <c r="Q59" s="1661">
        <v>0.97</v>
      </c>
      <c r="R59" s="1662"/>
      <c r="S59" s="1662"/>
      <c r="T59" s="1663"/>
      <c r="U59" s="1696" t="s">
        <v>28</v>
      </c>
      <c r="V59" s="1684"/>
      <c r="W59" s="1685"/>
      <c r="X59" s="1715" t="s">
        <v>3669</v>
      </c>
      <c r="Y59" s="1715"/>
      <c r="Z59" s="1715"/>
      <c r="AA59" s="1715"/>
      <c r="AB59" s="1715"/>
      <c r="AC59" s="1715"/>
      <c r="AD59" s="1715"/>
      <c r="AE59" s="1715"/>
      <c r="AF59" s="1715"/>
    </row>
    <row r="60" spans="1:32" ht="104.25" customHeight="1" x14ac:dyDescent="0.25">
      <c r="A60" s="1488" t="s">
        <v>3670</v>
      </c>
      <c r="B60" s="1489"/>
      <c r="C60" s="1489"/>
      <c r="D60" s="1490"/>
      <c r="E60" s="1494" t="s">
        <v>3656</v>
      </c>
      <c r="F60" s="1495"/>
      <c r="G60" s="1495"/>
      <c r="H60" s="1495"/>
      <c r="I60" s="1495"/>
      <c r="J60" s="1495"/>
      <c r="K60" s="1495"/>
      <c r="L60" s="1495"/>
      <c r="M60" s="1495"/>
      <c r="N60" s="1495"/>
      <c r="O60" s="1495"/>
      <c r="P60" s="1496"/>
      <c r="Q60" s="1497">
        <v>0.48</v>
      </c>
      <c r="R60" s="1498"/>
      <c r="S60" s="1498"/>
      <c r="T60" s="1499"/>
      <c r="U60" s="3456" t="s">
        <v>28</v>
      </c>
      <c r="V60" s="1498"/>
      <c r="W60" s="1499"/>
      <c r="X60" s="1494" t="s">
        <v>3949</v>
      </c>
      <c r="Y60" s="1495"/>
      <c r="Z60" s="1495"/>
      <c r="AA60" s="1495"/>
      <c r="AB60" s="1495"/>
      <c r="AC60" s="1495"/>
      <c r="AD60" s="1495"/>
      <c r="AE60" s="1495"/>
      <c r="AF60" s="1496"/>
    </row>
    <row r="61" spans="1:32" ht="45" customHeight="1" x14ac:dyDescent="0.25">
      <c r="A61" s="1491"/>
      <c r="B61" s="1492"/>
      <c r="C61" s="1492"/>
      <c r="D61" s="1493"/>
      <c r="E61" s="1494" t="s">
        <v>3657</v>
      </c>
      <c r="F61" s="1495"/>
      <c r="G61" s="1495"/>
      <c r="H61" s="1495"/>
      <c r="I61" s="1495"/>
      <c r="J61" s="1495"/>
      <c r="K61" s="1495"/>
      <c r="L61" s="1495"/>
      <c r="M61" s="1495"/>
      <c r="N61" s="1495"/>
      <c r="O61" s="1495"/>
      <c r="P61" s="1496"/>
      <c r="Q61" s="1497">
        <v>0</v>
      </c>
      <c r="R61" s="1498"/>
      <c r="S61" s="1498"/>
      <c r="T61" s="1499"/>
      <c r="U61" s="3456" t="s">
        <v>28</v>
      </c>
      <c r="V61" s="1498"/>
      <c r="W61" s="1499"/>
      <c r="X61" s="1494" t="s">
        <v>3658</v>
      </c>
      <c r="Y61" s="1495"/>
      <c r="Z61" s="1495"/>
      <c r="AA61" s="1495"/>
      <c r="AB61" s="1495"/>
      <c r="AC61" s="1495"/>
      <c r="AD61" s="1495"/>
      <c r="AE61" s="1495"/>
      <c r="AF61" s="1496"/>
    </row>
    <row r="62" spans="1:32" ht="45" customHeight="1" x14ac:dyDescent="0.25">
      <c r="A62" s="1680" t="s">
        <v>3671</v>
      </c>
      <c r="B62" s="1681"/>
      <c r="C62" s="1681"/>
      <c r="D62" s="1682"/>
      <c r="E62" s="1494" t="s">
        <v>1769</v>
      </c>
      <c r="F62" s="1495"/>
      <c r="G62" s="1495"/>
      <c r="H62" s="1495"/>
      <c r="I62" s="1495"/>
      <c r="J62" s="1495"/>
      <c r="K62" s="1495"/>
      <c r="L62" s="1495"/>
      <c r="M62" s="1495"/>
      <c r="N62" s="1495"/>
      <c r="O62" s="1495"/>
      <c r="P62" s="1496"/>
      <c r="Q62" s="1661">
        <v>1.3</v>
      </c>
      <c r="R62" s="1662"/>
      <c r="S62" s="1662"/>
      <c r="T62" s="1663"/>
      <c r="U62" s="1696" t="s">
        <v>28</v>
      </c>
      <c r="V62" s="1684"/>
      <c r="W62" s="1685"/>
      <c r="X62" s="1715" t="s">
        <v>3659</v>
      </c>
      <c r="Y62" s="1715"/>
      <c r="Z62" s="1715"/>
      <c r="AA62" s="1715"/>
      <c r="AB62" s="1715"/>
      <c r="AC62" s="1715"/>
      <c r="AD62" s="1715"/>
      <c r="AE62" s="1715"/>
      <c r="AF62" s="1715"/>
    </row>
    <row r="63" spans="1:32" ht="45" customHeight="1" x14ac:dyDescent="0.25">
      <c r="A63" s="1680" t="s">
        <v>3672</v>
      </c>
      <c r="B63" s="1681"/>
      <c r="C63" s="1681"/>
      <c r="D63" s="1682"/>
      <c r="E63" s="1494" t="s">
        <v>1768</v>
      </c>
      <c r="F63" s="1495"/>
      <c r="G63" s="1495"/>
      <c r="H63" s="1495"/>
      <c r="I63" s="1495"/>
      <c r="J63" s="1495"/>
      <c r="K63" s="1495"/>
      <c r="L63" s="1495"/>
      <c r="M63" s="1495"/>
      <c r="N63" s="1495"/>
      <c r="O63" s="1495"/>
      <c r="P63" s="1496"/>
      <c r="Q63" s="1497">
        <v>1.35</v>
      </c>
      <c r="R63" s="1498"/>
      <c r="S63" s="1498"/>
      <c r="T63" s="1499"/>
      <c r="U63" s="1696" t="s">
        <v>28</v>
      </c>
      <c r="V63" s="1684"/>
      <c r="W63" s="1685"/>
      <c r="X63" s="1715" t="s">
        <v>3659</v>
      </c>
      <c r="Y63" s="1715"/>
      <c r="Z63" s="1715"/>
      <c r="AA63" s="1715"/>
      <c r="AB63" s="1715"/>
      <c r="AC63" s="1715"/>
      <c r="AD63" s="1715"/>
      <c r="AE63" s="1715"/>
      <c r="AF63" s="1715"/>
    </row>
    <row r="64" spans="1:32" ht="30" customHeight="1" x14ac:dyDescent="0.25">
      <c r="A64" s="1680" t="s">
        <v>545</v>
      </c>
      <c r="B64" s="1681" t="s">
        <v>545</v>
      </c>
      <c r="C64" s="1681" t="s">
        <v>545</v>
      </c>
      <c r="D64" s="1682" t="s">
        <v>545</v>
      </c>
      <c r="E64" s="1494" t="s">
        <v>1703</v>
      </c>
      <c r="F64" s="1495" t="s">
        <v>546</v>
      </c>
      <c r="G64" s="1495" t="s">
        <v>546</v>
      </c>
      <c r="H64" s="1495" t="s">
        <v>546</v>
      </c>
      <c r="I64" s="1495" t="s">
        <v>546</v>
      </c>
      <c r="J64" s="1495" t="s">
        <v>546</v>
      </c>
      <c r="K64" s="1495" t="s">
        <v>546</v>
      </c>
      <c r="L64" s="1495" t="s">
        <v>546</v>
      </c>
      <c r="M64" s="1495" t="s">
        <v>546</v>
      </c>
      <c r="N64" s="1495" t="s">
        <v>546</v>
      </c>
      <c r="O64" s="1495" t="s">
        <v>546</v>
      </c>
      <c r="P64" s="1496" t="s">
        <v>546</v>
      </c>
      <c r="Q64" s="1497" t="s">
        <v>626</v>
      </c>
      <c r="R64" s="1498"/>
      <c r="S64" s="1498"/>
      <c r="T64" s="1499"/>
      <c r="U64" s="1497" t="s">
        <v>28</v>
      </c>
      <c r="V64" s="1498"/>
      <c r="W64" s="1499"/>
      <c r="X64" s="1715" t="s">
        <v>3673</v>
      </c>
      <c r="Y64" s="1715"/>
      <c r="Z64" s="1715"/>
      <c r="AA64" s="1715"/>
      <c r="AB64" s="1715"/>
      <c r="AC64" s="1715"/>
      <c r="AD64" s="1715"/>
      <c r="AE64" s="1715"/>
      <c r="AF64" s="1715"/>
    </row>
    <row r="65" spans="1:32" ht="45" customHeight="1" x14ac:dyDescent="0.25">
      <c r="A65" s="1680" t="s">
        <v>1762</v>
      </c>
      <c r="B65" s="1681"/>
      <c r="C65" s="1681"/>
      <c r="D65" s="1682"/>
      <c r="E65" s="1494" t="s">
        <v>3660</v>
      </c>
      <c r="F65" s="1495"/>
      <c r="G65" s="1495"/>
      <c r="H65" s="1495"/>
      <c r="I65" s="1495"/>
      <c r="J65" s="1495"/>
      <c r="K65" s="1495"/>
      <c r="L65" s="1495"/>
      <c r="M65" s="1495"/>
      <c r="N65" s="1495"/>
      <c r="O65" s="1495"/>
      <c r="P65" s="1496"/>
      <c r="Q65" s="1497" t="s">
        <v>626</v>
      </c>
      <c r="R65" s="1498"/>
      <c r="S65" s="1498"/>
      <c r="T65" s="1499"/>
      <c r="U65" s="1696" t="s">
        <v>45</v>
      </c>
      <c r="V65" s="1684"/>
      <c r="W65" s="1685"/>
      <c r="X65" s="1715" t="s">
        <v>3661</v>
      </c>
      <c r="Y65" s="1715"/>
      <c r="Z65" s="1715"/>
      <c r="AA65" s="1715"/>
      <c r="AB65" s="1715"/>
      <c r="AC65" s="1715"/>
      <c r="AD65" s="1715"/>
      <c r="AE65" s="1715"/>
      <c r="AF65" s="1715"/>
    </row>
    <row r="66" spans="1:32" ht="30" customHeight="1" x14ac:dyDescent="0.25">
      <c r="A66" s="2522" t="s">
        <v>3674</v>
      </c>
      <c r="B66" s="1681" t="s">
        <v>42</v>
      </c>
      <c r="C66" s="1681" t="s">
        <v>42</v>
      </c>
      <c r="D66" s="1682" t="s">
        <v>42</v>
      </c>
      <c r="E66" s="1494" t="s">
        <v>865</v>
      </c>
      <c r="F66" s="1495" t="s">
        <v>256</v>
      </c>
      <c r="G66" s="1495" t="s">
        <v>256</v>
      </c>
      <c r="H66" s="1495" t="s">
        <v>256</v>
      </c>
      <c r="I66" s="1495" t="s">
        <v>256</v>
      </c>
      <c r="J66" s="1495" t="s">
        <v>256</v>
      </c>
      <c r="K66" s="1495" t="s">
        <v>256</v>
      </c>
      <c r="L66" s="1495" t="s">
        <v>256</v>
      </c>
      <c r="M66" s="1495" t="s">
        <v>256</v>
      </c>
      <c r="N66" s="1495" t="s">
        <v>256</v>
      </c>
      <c r="O66" s="1495" t="s">
        <v>256</v>
      </c>
      <c r="P66" s="1496" t="s">
        <v>256</v>
      </c>
      <c r="Q66" s="1497">
        <v>1</v>
      </c>
      <c r="R66" s="1498">
        <v>0.96</v>
      </c>
      <c r="S66" s="1498">
        <v>0.96</v>
      </c>
      <c r="T66" s="1499">
        <v>0.96</v>
      </c>
      <c r="U66" s="1683" t="s">
        <v>28</v>
      </c>
      <c r="V66" s="1684"/>
      <c r="W66" s="1685"/>
      <c r="X66" s="1680"/>
      <c r="Y66" s="1681"/>
      <c r="Z66" s="1681"/>
      <c r="AA66" s="1681"/>
      <c r="AB66" s="1681"/>
      <c r="AC66" s="1681"/>
      <c r="AD66" s="1681"/>
      <c r="AE66" s="1681"/>
      <c r="AF66" s="1682"/>
    </row>
    <row r="67" spans="1:32" ht="30" customHeight="1" x14ac:dyDescent="0.25">
      <c r="A67" s="1680" t="s">
        <v>3675</v>
      </c>
      <c r="B67" s="1681" t="s">
        <v>34</v>
      </c>
      <c r="C67" s="1681" t="s">
        <v>34</v>
      </c>
      <c r="D67" s="1682" t="s">
        <v>34</v>
      </c>
      <c r="E67" s="1680" t="s">
        <v>2218</v>
      </c>
      <c r="F67" s="1681" t="s">
        <v>219</v>
      </c>
      <c r="G67" s="1681" t="s">
        <v>219</v>
      </c>
      <c r="H67" s="1681" t="s">
        <v>219</v>
      </c>
      <c r="I67" s="1681" t="s">
        <v>219</v>
      </c>
      <c r="J67" s="1681" t="s">
        <v>219</v>
      </c>
      <c r="K67" s="1681" t="s">
        <v>219</v>
      </c>
      <c r="L67" s="1681" t="s">
        <v>219</v>
      </c>
      <c r="M67" s="1681" t="s">
        <v>219</v>
      </c>
      <c r="N67" s="1681" t="s">
        <v>219</v>
      </c>
      <c r="O67" s="1681" t="s">
        <v>219</v>
      </c>
      <c r="P67" s="1682" t="s">
        <v>219</v>
      </c>
      <c r="Q67" s="1497" t="s">
        <v>626</v>
      </c>
      <c r="R67" s="1498"/>
      <c r="S67" s="1498"/>
      <c r="T67" s="1499"/>
      <c r="U67" s="1683" t="s">
        <v>46</v>
      </c>
      <c r="V67" s="1684"/>
      <c r="W67" s="1685"/>
      <c r="X67" s="1494" t="s">
        <v>3704</v>
      </c>
      <c r="Y67" s="1495"/>
      <c r="Z67" s="1495"/>
      <c r="AA67" s="1495"/>
      <c r="AB67" s="1495"/>
      <c r="AC67" s="1495"/>
      <c r="AD67" s="1495"/>
      <c r="AE67" s="1495"/>
      <c r="AF67" s="1496"/>
    </row>
    <row r="68" spans="1:32" ht="45" customHeight="1" x14ac:dyDescent="0.25">
      <c r="A68" s="2288" t="s">
        <v>3676</v>
      </c>
      <c r="B68" s="2288"/>
      <c r="C68" s="2288"/>
      <c r="D68" s="2288"/>
      <c r="E68" s="2288"/>
      <c r="F68" s="2288"/>
      <c r="G68" s="2288"/>
      <c r="H68" s="2288"/>
      <c r="I68" s="2288"/>
      <c r="J68" s="2288"/>
      <c r="K68" s="2288"/>
      <c r="L68" s="2288"/>
      <c r="M68" s="2288"/>
      <c r="N68" s="2288"/>
      <c r="O68" s="2288"/>
      <c r="P68" s="2288"/>
      <c r="Q68" s="2288"/>
      <c r="R68" s="2288"/>
      <c r="S68" s="2288"/>
      <c r="T68" s="2288"/>
      <c r="U68" s="2288"/>
      <c r="V68" s="2288"/>
      <c r="W68" s="2288"/>
      <c r="X68" s="2288"/>
      <c r="Y68" s="2288"/>
      <c r="Z68" s="2288"/>
      <c r="AA68" s="2288"/>
      <c r="AB68" s="2288"/>
      <c r="AC68" s="2288"/>
      <c r="AD68" s="2288"/>
      <c r="AE68" s="2288"/>
      <c r="AF68" s="2288"/>
    </row>
    <row r="69" spans="1:32" ht="30" customHeight="1" x14ac:dyDescent="0.25">
      <c r="A69" s="1686" t="s">
        <v>3677</v>
      </c>
      <c r="B69" s="1686"/>
      <c r="C69" s="1686"/>
      <c r="D69" s="1686"/>
      <c r="E69" s="1686"/>
      <c r="F69" s="1686"/>
      <c r="G69" s="1686"/>
      <c r="H69" s="1686"/>
      <c r="I69" s="1686"/>
      <c r="J69" s="1686"/>
      <c r="K69" s="1686"/>
      <c r="L69" s="1686"/>
      <c r="M69" s="1686"/>
      <c r="N69" s="1686"/>
      <c r="O69" s="1686"/>
      <c r="P69" s="1686"/>
      <c r="Q69" s="1686"/>
      <c r="R69" s="1686"/>
      <c r="S69" s="1686"/>
      <c r="T69" s="1686"/>
      <c r="U69" s="1686"/>
      <c r="V69" s="1686"/>
      <c r="W69" s="1686"/>
      <c r="X69" s="1686"/>
      <c r="Y69" s="1686"/>
      <c r="Z69" s="1686"/>
      <c r="AA69" s="1686"/>
      <c r="AB69" s="1686"/>
      <c r="AC69" s="1686"/>
      <c r="AD69" s="1686"/>
      <c r="AE69" s="1686"/>
      <c r="AF69" s="1686"/>
    </row>
    <row r="70" spans="1:32" x14ac:dyDescent="0.25">
      <c r="A70" s="628" t="s">
        <v>3678</v>
      </c>
      <c r="B70" s="629"/>
      <c r="C70" s="629"/>
      <c r="D70" s="629"/>
      <c r="E70" s="630"/>
      <c r="F70" s="630"/>
      <c r="G70" s="630"/>
      <c r="H70" s="630"/>
      <c r="I70" s="630"/>
      <c r="J70" s="630"/>
      <c r="K70" s="630"/>
      <c r="L70" s="630"/>
      <c r="M70" s="630"/>
      <c r="N70" s="630"/>
      <c r="O70" s="630"/>
      <c r="P70" s="630"/>
      <c r="Q70" s="631"/>
      <c r="R70" s="631"/>
      <c r="S70" s="631"/>
      <c r="T70" s="631"/>
      <c r="U70" s="632"/>
      <c r="V70" s="632"/>
      <c r="W70" s="632"/>
      <c r="X70" s="632"/>
      <c r="Y70" s="632"/>
      <c r="Z70" s="632"/>
      <c r="AA70" s="632"/>
      <c r="AB70" s="632"/>
      <c r="AC70" s="632"/>
      <c r="AD70" s="632"/>
      <c r="AE70" s="632"/>
      <c r="AF70" s="632"/>
    </row>
    <row r="71" spans="1:32" x14ac:dyDescent="0.25">
      <c r="A71" s="633"/>
    </row>
    <row r="72" spans="1:32" x14ac:dyDescent="0.25">
      <c r="A72" s="633"/>
      <c r="B72" s="423" t="s">
        <v>3662</v>
      </c>
    </row>
    <row r="73" spans="1:32" x14ac:dyDescent="0.25">
      <c r="B73" s="3491" t="s">
        <v>22</v>
      </c>
      <c r="C73" s="3492"/>
      <c r="D73" s="3492"/>
      <c r="E73" s="3492"/>
      <c r="F73" s="3492"/>
      <c r="G73" s="3492"/>
      <c r="H73" s="3492"/>
      <c r="I73" s="3493"/>
      <c r="J73" s="3494" t="s">
        <v>3679</v>
      </c>
      <c r="K73" s="3495"/>
      <c r="L73" s="3495"/>
      <c r="M73" s="3496"/>
      <c r="N73" s="3494" t="s">
        <v>3680</v>
      </c>
      <c r="O73" s="3495"/>
      <c r="P73" s="3495"/>
      <c r="Q73" s="3496"/>
      <c r="R73" s="3494" t="s">
        <v>1762</v>
      </c>
      <c r="S73" s="3495"/>
      <c r="T73" s="3495"/>
      <c r="U73" s="3496"/>
      <c r="V73" s="3494" t="s">
        <v>545</v>
      </c>
      <c r="W73" s="3495"/>
      <c r="X73" s="3495"/>
      <c r="Y73" s="3496"/>
      <c r="Z73" s="3494" t="s">
        <v>2724</v>
      </c>
      <c r="AA73" s="3495"/>
      <c r="AB73" s="3495"/>
      <c r="AC73" s="3496"/>
    </row>
    <row r="74" spans="1:32" ht="28.5" customHeight="1" x14ac:dyDescent="0.25">
      <c r="B74" s="3497" t="s">
        <v>3708</v>
      </c>
      <c r="C74" s="3498"/>
      <c r="D74" s="3498"/>
      <c r="E74" s="3498"/>
      <c r="F74" s="3498"/>
      <c r="G74" s="3498"/>
      <c r="H74" s="3498"/>
      <c r="I74" s="3499"/>
      <c r="J74" s="3500">
        <v>31</v>
      </c>
      <c r="K74" s="3501"/>
      <c r="L74" s="3501"/>
      <c r="M74" s="3502"/>
      <c r="N74" s="3500">
        <v>18</v>
      </c>
      <c r="O74" s="3501"/>
      <c r="P74" s="3501"/>
      <c r="Q74" s="3502"/>
      <c r="R74" s="1497">
        <f>ROUND(2.2*365,0)</f>
        <v>803</v>
      </c>
      <c r="S74" s="1498"/>
      <c r="T74" s="1498"/>
      <c r="U74" s="1499"/>
      <c r="V74" s="1497">
        <v>0.16</v>
      </c>
      <c r="W74" s="1498"/>
      <c r="X74" s="1498"/>
      <c r="Y74" s="1499"/>
      <c r="Z74" s="1497">
        <f>ROUND((24000/R74)/3,0)</f>
        <v>10</v>
      </c>
      <c r="AA74" s="1498"/>
      <c r="AB74" s="1498"/>
      <c r="AC74" s="1499"/>
    </row>
    <row r="75" spans="1:32" ht="32.25" customHeight="1" x14ac:dyDescent="0.25">
      <c r="B75" s="3506" t="s">
        <v>3709</v>
      </c>
      <c r="C75" s="3507"/>
      <c r="D75" s="3507"/>
      <c r="E75" s="3507"/>
      <c r="F75" s="3507"/>
      <c r="G75" s="3507"/>
      <c r="H75" s="3507"/>
      <c r="I75" s="3508"/>
      <c r="J75" s="3500">
        <v>31</v>
      </c>
      <c r="K75" s="3501"/>
      <c r="L75" s="3501"/>
      <c r="M75" s="3502"/>
      <c r="N75" s="3500">
        <v>16</v>
      </c>
      <c r="O75" s="3501"/>
      <c r="P75" s="3501"/>
      <c r="Q75" s="3502"/>
      <c r="R75" s="1497">
        <f>ROUND(2.2*365,0)</f>
        <v>803</v>
      </c>
      <c r="S75" s="1498"/>
      <c r="T75" s="1498"/>
      <c r="U75" s="1499"/>
      <c r="V75" s="1497">
        <v>0.16</v>
      </c>
      <c r="W75" s="1498"/>
      <c r="X75" s="1498"/>
      <c r="Y75" s="1499"/>
      <c r="Z75" s="1497">
        <v>25</v>
      </c>
      <c r="AA75" s="1498"/>
      <c r="AB75" s="1498"/>
      <c r="AC75" s="1499"/>
    </row>
    <row r="76" spans="1:32" ht="26.25" customHeight="1" x14ac:dyDescent="0.25">
      <c r="B76" s="3497" t="s">
        <v>3664</v>
      </c>
      <c r="C76" s="3498"/>
      <c r="D76" s="3498"/>
      <c r="E76" s="3498"/>
      <c r="F76" s="3498"/>
      <c r="G76" s="3498"/>
      <c r="H76" s="3498"/>
      <c r="I76" s="3499"/>
      <c r="J76" s="3500">
        <f>J74*2</f>
        <v>62</v>
      </c>
      <c r="K76" s="3501"/>
      <c r="L76" s="3501"/>
      <c r="M76" s="3502"/>
      <c r="N76" s="3500">
        <v>32</v>
      </c>
      <c r="O76" s="3501"/>
      <c r="P76" s="3501"/>
      <c r="Q76" s="3502"/>
      <c r="R76" s="1497">
        <f>ROUND(1.1*365,0)</f>
        <v>402</v>
      </c>
      <c r="S76" s="1498"/>
      <c r="T76" s="1498"/>
      <c r="U76" s="1499"/>
      <c r="V76" s="1497">
        <v>0.12</v>
      </c>
      <c r="W76" s="1498"/>
      <c r="X76" s="1498"/>
      <c r="Y76" s="1499"/>
      <c r="Z76" s="1497">
        <v>25</v>
      </c>
      <c r="AA76" s="1498"/>
      <c r="AB76" s="1498"/>
      <c r="AC76" s="1499"/>
    </row>
    <row r="79" spans="1:32" x14ac:dyDescent="0.25">
      <c r="A79" s="1385" t="s">
        <v>21</v>
      </c>
      <c r="B79" s="1386"/>
      <c r="C79" s="1386"/>
      <c r="D79" s="1386"/>
      <c r="E79" s="1386"/>
      <c r="F79" s="1386"/>
      <c r="G79" s="1386"/>
      <c r="H79" s="1386"/>
      <c r="I79" s="1386"/>
      <c r="J79" s="1386"/>
      <c r="K79" s="1386"/>
      <c r="L79" s="1386"/>
      <c r="M79" s="1386"/>
      <c r="N79" s="1386"/>
      <c r="O79" s="1386"/>
      <c r="P79" s="1386"/>
      <c r="Q79" s="1386"/>
      <c r="R79" s="1386"/>
      <c r="S79" s="1386"/>
      <c r="T79" s="1386"/>
      <c r="U79" s="1386"/>
      <c r="V79" s="1386"/>
      <c r="W79" s="1386"/>
      <c r="X79" s="1386"/>
      <c r="Y79" s="1386"/>
      <c r="Z79" s="1386"/>
      <c r="AA79" s="1386"/>
      <c r="AB79" s="1386"/>
      <c r="AC79" s="1386"/>
      <c r="AD79" s="1386"/>
      <c r="AE79" s="1386"/>
      <c r="AF79" s="1387"/>
    </row>
    <row r="80" spans="1:32" ht="15.75" thickBot="1" x14ac:dyDescent="0.3">
      <c r="A80" s="190"/>
      <c r="B80" s="190"/>
      <c r="C80" s="190"/>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row>
    <row r="81" spans="1:32" ht="15.75" thickBot="1" x14ac:dyDescent="0.3">
      <c r="A81" s="3503" t="s">
        <v>22</v>
      </c>
      <c r="B81" s="3504"/>
      <c r="C81" s="3504"/>
      <c r="D81" s="3504"/>
      <c r="E81" s="3504"/>
      <c r="F81" s="3504"/>
      <c r="G81" s="3504"/>
      <c r="H81" s="3504"/>
      <c r="I81" s="3504" t="s">
        <v>23</v>
      </c>
      <c r="J81" s="3504"/>
      <c r="K81" s="3504"/>
      <c r="L81" s="3504"/>
      <c r="M81" s="3504"/>
      <c r="N81" s="3504"/>
      <c r="O81" s="3504"/>
      <c r="P81" s="3504"/>
      <c r="Q81" s="3504" t="s">
        <v>24</v>
      </c>
      <c r="R81" s="3504"/>
      <c r="S81" s="3504"/>
      <c r="T81" s="3504"/>
      <c r="U81" s="3504"/>
      <c r="V81" s="3504"/>
      <c r="W81" s="3504"/>
      <c r="X81" s="3504"/>
      <c r="Y81" s="3504" t="s">
        <v>2012</v>
      </c>
      <c r="Z81" s="3504"/>
      <c r="AA81" s="3504"/>
      <c r="AB81" s="3504"/>
      <c r="AC81" s="3504"/>
      <c r="AD81" s="3504"/>
      <c r="AE81" s="3504"/>
      <c r="AF81" s="3505"/>
    </row>
    <row r="82" spans="1:32" ht="50.25" customHeight="1" x14ac:dyDescent="0.25">
      <c r="A82" s="3483" t="s">
        <v>3710</v>
      </c>
      <c r="B82" s="3484"/>
      <c r="C82" s="3484"/>
      <c r="D82" s="3484"/>
      <c r="E82" s="3484"/>
      <c r="F82" s="3484"/>
      <c r="G82" s="3484"/>
      <c r="H82" s="3484"/>
      <c r="I82" s="3485">
        <f>ROUND(((J74-N74)/1000)*Q59*V74*(1+Q60*(Q62-1))*Q66, 3)</f>
        <v>2E-3</v>
      </c>
      <c r="J82" s="3485"/>
      <c r="K82" s="3485"/>
      <c r="L82" s="3485"/>
      <c r="M82" s="3485"/>
      <c r="N82" s="3485"/>
      <c r="O82" s="3485"/>
      <c r="P82" s="3485"/>
      <c r="Q82" s="3486">
        <f>ROUND(((J74-N74)/1000)*Q59*R74*(1+Q60*(Q63-1))*Q66, 2)</f>
        <v>11.83</v>
      </c>
      <c r="R82" s="3486"/>
      <c r="S82" s="3486"/>
      <c r="T82" s="3486"/>
      <c r="U82" s="3486"/>
      <c r="V82" s="3486"/>
      <c r="W82" s="3486"/>
      <c r="X82" s="3486"/>
      <c r="Y82" s="3487">
        <f>ROUND(Q82*Z74, 2)</f>
        <v>118.3</v>
      </c>
      <c r="Z82" s="3487"/>
      <c r="AA82" s="3487"/>
      <c r="AB82" s="3487"/>
      <c r="AC82" s="3487"/>
      <c r="AD82" s="3487"/>
      <c r="AE82" s="3487"/>
      <c r="AF82" s="3488"/>
    </row>
    <row r="83" spans="1:32" x14ac:dyDescent="0.25">
      <c r="A83" s="3489" t="s">
        <v>3711</v>
      </c>
      <c r="B83" s="3490"/>
      <c r="C83" s="3490"/>
      <c r="D83" s="3490"/>
      <c r="E83" s="3490"/>
      <c r="F83" s="3490"/>
      <c r="G83" s="3490"/>
      <c r="H83" s="3490"/>
      <c r="I83" s="3485">
        <f>ROUND(((J75-N75)/1000)*Q59*V75*(1+Q60*(Q62-1))*Q66, 3)</f>
        <v>3.0000000000000001E-3</v>
      </c>
      <c r="J83" s="3485"/>
      <c r="K83" s="3485"/>
      <c r="L83" s="3485"/>
      <c r="M83" s="3485"/>
      <c r="N83" s="3485"/>
      <c r="O83" s="3485"/>
      <c r="P83" s="3485"/>
      <c r="Q83" s="3486">
        <f>ROUND(((J75-N75)/1000)*Q59*R75*(1+Q60*(Q63-1))*Q66, 2)</f>
        <v>13.65</v>
      </c>
      <c r="R83" s="3486"/>
      <c r="S83" s="3486"/>
      <c r="T83" s="3486"/>
      <c r="U83" s="3486"/>
      <c r="V83" s="3486"/>
      <c r="W83" s="3486"/>
      <c r="X83" s="3486"/>
      <c r="Y83" s="3487">
        <f>ROUND(Q83*Z75, 2)</f>
        <v>341.25</v>
      </c>
      <c r="Z83" s="3487"/>
      <c r="AA83" s="3487"/>
      <c r="AB83" s="3487"/>
      <c r="AC83" s="3487"/>
      <c r="AD83" s="3487"/>
      <c r="AE83" s="3487"/>
      <c r="AF83" s="3488"/>
    </row>
    <row r="84" spans="1:32" ht="15.75" thickBot="1" x14ac:dyDescent="0.3">
      <c r="A84" s="3208" t="s">
        <v>3664</v>
      </c>
      <c r="B84" s="3209"/>
      <c r="C84" s="3209"/>
      <c r="D84" s="3209"/>
      <c r="E84" s="3209"/>
      <c r="F84" s="3209"/>
      <c r="G84" s="3209"/>
      <c r="H84" s="3209"/>
      <c r="I84" s="3210">
        <f>ROUND(((J76-N76)/1000)*Q59*V76*(1+Q61*(Q62-1))*Q66, 3)</f>
        <v>3.0000000000000001E-3</v>
      </c>
      <c r="J84" s="3210"/>
      <c r="K84" s="3210"/>
      <c r="L84" s="3210"/>
      <c r="M84" s="3210"/>
      <c r="N84" s="3210"/>
      <c r="O84" s="3210"/>
      <c r="P84" s="3210"/>
      <c r="Q84" s="3211">
        <f>ROUND(((J76-N76)/1000)*Q59*R76*(1+Q61*(Q63-1))*Q66, 2)</f>
        <v>11.7</v>
      </c>
      <c r="R84" s="3211"/>
      <c r="S84" s="3211"/>
      <c r="T84" s="3211"/>
      <c r="U84" s="3211"/>
      <c r="V84" s="3211"/>
      <c r="W84" s="3211"/>
      <c r="X84" s="3211"/>
      <c r="Y84" s="3481">
        <f>ROUND(Q84*Z76, 2)</f>
        <v>292.5</v>
      </c>
      <c r="Z84" s="3481"/>
      <c r="AA84" s="3481"/>
      <c r="AB84" s="3481"/>
      <c r="AC84" s="3481"/>
      <c r="AD84" s="3481"/>
      <c r="AE84" s="3481"/>
      <c r="AF84" s="3482"/>
    </row>
    <row r="87" spans="1:32" x14ac:dyDescent="0.25">
      <c r="A87" s="1621" t="s">
        <v>1753</v>
      </c>
      <c r="B87" s="1621"/>
      <c r="C87" s="1621"/>
      <c r="D87" s="1621"/>
      <c r="E87" s="1621"/>
      <c r="F87" s="1621"/>
      <c r="G87" s="1621"/>
      <c r="H87" s="1621"/>
      <c r="I87" s="1621"/>
      <c r="J87" s="1621"/>
      <c r="K87" s="1621"/>
      <c r="L87" s="1621"/>
      <c r="M87" s="1621"/>
      <c r="N87" s="1621"/>
      <c r="O87" s="1621"/>
      <c r="P87" s="1621"/>
      <c r="Q87" s="1621"/>
      <c r="R87" s="1621"/>
      <c r="S87" s="1621"/>
      <c r="T87" s="1621"/>
      <c r="U87" s="1621"/>
      <c r="V87" s="1621"/>
      <c r="W87" s="1621"/>
      <c r="X87" s="1621"/>
      <c r="Y87" s="1621"/>
      <c r="Z87" s="1621"/>
      <c r="AA87" s="1621"/>
      <c r="AB87" s="1621"/>
      <c r="AC87" s="1621"/>
      <c r="AD87" s="1621"/>
      <c r="AE87" s="1621"/>
      <c r="AF87" s="1621"/>
    </row>
    <row r="89" spans="1:32" x14ac:dyDescent="0.25">
      <c r="A89" s="517" t="s">
        <v>1013</v>
      </c>
      <c r="B89" s="1168" t="s">
        <v>5692</v>
      </c>
      <c r="C89" s="1168"/>
      <c r="D89" s="1168"/>
      <c r="E89" s="1168"/>
      <c r="F89" s="1168"/>
      <c r="G89" s="1168"/>
      <c r="H89" s="1168"/>
      <c r="I89" s="1168"/>
      <c r="J89" s="1168"/>
      <c r="K89" s="1168"/>
      <c r="L89" s="1168"/>
      <c r="M89" s="1168"/>
      <c r="N89" s="1168"/>
      <c r="O89" s="1168"/>
      <c r="P89" s="1168"/>
      <c r="Q89" s="1168"/>
      <c r="R89" s="1168"/>
      <c r="S89" s="1168"/>
      <c r="T89" s="1168"/>
      <c r="U89" s="1168"/>
      <c r="V89" s="1168"/>
      <c r="W89" s="1168"/>
      <c r="X89" s="1168"/>
      <c r="Y89" s="1168"/>
      <c r="Z89" s="1168"/>
      <c r="AA89" s="1168"/>
      <c r="AB89" s="1168"/>
      <c r="AC89" s="1168"/>
      <c r="AD89" s="1168"/>
      <c r="AE89" s="1168"/>
      <c r="AF89" s="1168"/>
    </row>
    <row r="90" spans="1:32" ht="15" customHeight="1" x14ac:dyDescent="0.25">
      <c r="A90" s="517" t="s">
        <v>1013</v>
      </c>
      <c r="B90" s="1173" t="s">
        <v>5699</v>
      </c>
      <c r="C90" s="1173"/>
      <c r="D90" s="1173"/>
      <c r="E90" s="1173"/>
      <c r="F90" s="1173"/>
      <c r="G90" s="1173"/>
      <c r="H90" s="1173"/>
      <c r="I90" s="1173"/>
      <c r="J90" s="1173"/>
      <c r="K90" s="1173"/>
      <c r="L90" s="1173"/>
      <c r="M90" s="1173"/>
      <c r="N90" s="1173"/>
      <c r="O90" s="1173"/>
      <c r="P90" s="1173"/>
      <c r="Q90" s="1173"/>
      <c r="R90" s="1173"/>
      <c r="S90" s="1173"/>
      <c r="T90" s="1173"/>
      <c r="U90" s="1173"/>
      <c r="V90" s="1173"/>
      <c r="W90" s="1173"/>
      <c r="X90" s="1173"/>
      <c r="Y90" s="1173"/>
      <c r="Z90" s="1173"/>
      <c r="AA90" s="1173"/>
      <c r="AB90" s="1173"/>
      <c r="AC90" s="1173"/>
      <c r="AD90" s="1173"/>
      <c r="AE90" s="1173"/>
      <c r="AF90" s="1173"/>
    </row>
    <row r="91" spans="1:32" ht="33" customHeight="1" x14ac:dyDescent="0.25">
      <c r="A91" s="517" t="s">
        <v>1013</v>
      </c>
      <c r="B91" s="1173" t="s">
        <v>5700</v>
      </c>
      <c r="C91" s="1173"/>
      <c r="D91" s="1173"/>
      <c r="E91" s="1173"/>
      <c r="F91" s="1173"/>
      <c r="G91" s="1173"/>
      <c r="H91" s="1173"/>
      <c r="I91" s="1173"/>
      <c r="J91" s="1173"/>
      <c r="K91" s="1173"/>
      <c r="L91" s="1173"/>
      <c r="M91" s="1173"/>
      <c r="N91" s="1173"/>
      <c r="O91" s="1173"/>
      <c r="P91" s="1173"/>
      <c r="Q91" s="1173"/>
      <c r="R91" s="1173"/>
      <c r="S91" s="1173"/>
      <c r="T91" s="1173"/>
      <c r="U91" s="1173"/>
      <c r="V91" s="1173"/>
      <c r="W91" s="1173"/>
      <c r="X91" s="1173"/>
      <c r="Y91" s="1173"/>
      <c r="Z91" s="1173"/>
      <c r="AA91" s="1173"/>
      <c r="AB91" s="1173"/>
      <c r="AC91" s="1173"/>
      <c r="AD91" s="1173"/>
      <c r="AE91" s="1173"/>
      <c r="AF91" s="1173"/>
    </row>
    <row r="92" spans="1:32" ht="33" customHeight="1" x14ac:dyDescent="0.25">
      <c r="A92" s="517" t="s">
        <v>1013</v>
      </c>
      <c r="B92" s="1173" t="s">
        <v>5701</v>
      </c>
      <c r="C92" s="1173"/>
      <c r="D92" s="1173"/>
      <c r="E92" s="1173"/>
      <c r="F92" s="1173"/>
      <c r="G92" s="1173"/>
      <c r="H92" s="1173"/>
      <c r="I92" s="1173"/>
      <c r="J92" s="1173"/>
      <c r="K92" s="1173"/>
      <c r="L92" s="1173"/>
      <c r="M92" s="1173"/>
      <c r="N92" s="1173"/>
      <c r="O92" s="1173"/>
      <c r="P92" s="1173"/>
      <c r="Q92" s="1173"/>
      <c r="R92" s="1173"/>
      <c r="S92" s="1173"/>
      <c r="T92" s="1173"/>
      <c r="U92" s="1173"/>
      <c r="V92" s="1173"/>
      <c r="W92" s="1173"/>
      <c r="X92" s="1173"/>
      <c r="Y92" s="1173"/>
      <c r="Z92" s="1173"/>
      <c r="AA92" s="1173"/>
      <c r="AB92" s="1173"/>
      <c r="AC92" s="1173"/>
      <c r="AD92" s="1173"/>
      <c r="AE92" s="1173"/>
      <c r="AF92" s="1173"/>
    </row>
    <row r="93" spans="1:32" ht="18" customHeight="1" x14ac:dyDescent="0.25">
      <c r="A93" s="517" t="s">
        <v>1013</v>
      </c>
      <c r="B93" s="1173" t="s">
        <v>5622</v>
      </c>
      <c r="C93" s="1173"/>
      <c r="D93" s="1173"/>
      <c r="E93" s="1173"/>
      <c r="F93" s="1173"/>
      <c r="G93" s="1173"/>
      <c r="H93" s="1173"/>
      <c r="I93" s="1173"/>
      <c r="J93" s="1173"/>
      <c r="K93" s="1173"/>
      <c r="L93" s="1173"/>
      <c r="M93" s="1173"/>
      <c r="N93" s="1173"/>
      <c r="O93" s="1173"/>
      <c r="P93" s="1173"/>
      <c r="Q93" s="1173"/>
      <c r="R93" s="1173"/>
      <c r="S93" s="1173"/>
      <c r="T93" s="1173"/>
      <c r="U93" s="1173"/>
      <c r="V93" s="1173"/>
      <c r="W93" s="1173"/>
      <c r="X93" s="1173"/>
      <c r="Y93" s="1173"/>
      <c r="Z93" s="1173"/>
      <c r="AA93" s="1173"/>
      <c r="AB93" s="1173"/>
      <c r="AC93" s="1173"/>
      <c r="AD93" s="1173"/>
      <c r="AE93" s="1173"/>
      <c r="AF93" s="1173"/>
    </row>
    <row r="94" spans="1:32" ht="140.25" customHeight="1" x14ac:dyDescent="0.25">
      <c r="A94" s="517" t="s">
        <v>1013</v>
      </c>
      <c r="B94" s="1173" t="s">
        <v>2980</v>
      </c>
      <c r="C94" s="1173"/>
      <c r="D94" s="1173"/>
      <c r="E94" s="1173"/>
      <c r="F94" s="1173"/>
      <c r="G94" s="1173"/>
      <c r="H94" s="1173"/>
      <c r="I94" s="1173"/>
      <c r="J94" s="1173"/>
      <c r="K94" s="1173"/>
      <c r="L94" s="1173"/>
      <c r="M94" s="1173"/>
      <c r="N94" s="1173"/>
      <c r="O94" s="1173"/>
      <c r="P94" s="1173"/>
      <c r="Q94" s="1173"/>
      <c r="R94" s="1173"/>
      <c r="S94" s="1173"/>
      <c r="T94" s="1173"/>
      <c r="U94" s="1173"/>
      <c r="V94" s="1173"/>
      <c r="W94" s="1173"/>
      <c r="X94" s="1173"/>
      <c r="Y94" s="1173"/>
      <c r="Z94" s="1173"/>
      <c r="AA94" s="1173"/>
      <c r="AB94" s="1173"/>
      <c r="AC94" s="1173"/>
      <c r="AD94" s="1173"/>
      <c r="AE94" s="1173"/>
      <c r="AF94" s="1173"/>
    </row>
    <row r="95" spans="1:32" ht="35.25" customHeight="1" x14ac:dyDescent="0.25">
      <c r="A95" s="517" t="s">
        <v>1013</v>
      </c>
      <c r="B95" s="1173" t="s">
        <v>3956</v>
      </c>
      <c r="C95" s="1173"/>
      <c r="D95" s="1173"/>
      <c r="E95" s="1173"/>
      <c r="F95" s="1173"/>
      <c r="G95" s="1173"/>
      <c r="H95" s="1173"/>
      <c r="I95" s="1173"/>
      <c r="J95" s="1173"/>
      <c r="K95" s="1173"/>
      <c r="L95" s="1173"/>
      <c r="M95" s="1173"/>
      <c r="N95" s="1173"/>
      <c r="O95" s="1173"/>
      <c r="P95" s="1173"/>
      <c r="Q95" s="1173"/>
      <c r="R95" s="1173"/>
      <c r="S95" s="1173"/>
      <c r="T95" s="1173"/>
      <c r="U95" s="1173"/>
      <c r="V95" s="1173"/>
      <c r="W95" s="1173"/>
      <c r="X95" s="1173"/>
      <c r="Y95" s="1173"/>
      <c r="Z95" s="1173"/>
      <c r="AA95" s="1173"/>
      <c r="AB95" s="1173"/>
      <c r="AC95" s="1173"/>
      <c r="AD95" s="1173"/>
      <c r="AE95" s="1173"/>
      <c r="AF95" s="1173"/>
    </row>
    <row r="96" spans="1:32" ht="93" customHeight="1" x14ac:dyDescent="0.25">
      <c r="A96" s="517" t="s">
        <v>1013</v>
      </c>
      <c r="B96" s="1173" t="s">
        <v>3666</v>
      </c>
      <c r="C96" s="1173"/>
      <c r="D96" s="1173"/>
      <c r="E96" s="1173"/>
      <c r="F96" s="1173"/>
      <c r="G96" s="1173"/>
      <c r="H96" s="1173"/>
      <c r="I96" s="1173"/>
      <c r="J96" s="1173"/>
      <c r="K96" s="1173"/>
      <c r="L96" s="1173"/>
      <c r="M96" s="1173"/>
      <c r="N96" s="1173"/>
      <c r="O96" s="1173"/>
      <c r="P96" s="1173"/>
      <c r="Q96" s="1173"/>
      <c r="R96" s="1173"/>
      <c r="S96" s="1173"/>
      <c r="T96" s="1173"/>
      <c r="U96" s="1173"/>
      <c r="V96" s="1173"/>
      <c r="W96" s="1173"/>
      <c r="X96" s="1173"/>
      <c r="Y96" s="1173"/>
      <c r="Z96" s="1173"/>
      <c r="AA96" s="1173"/>
      <c r="AB96" s="1173"/>
      <c r="AC96" s="1173"/>
      <c r="AD96" s="1173"/>
      <c r="AE96" s="1173"/>
      <c r="AF96" s="1173"/>
    </row>
    <row r="97" spans="1:32" ht="31.5" customHeight="1" x14ac:dyDescent="0.25">
      <c r="A97" s="517" t="s">
        <v>1013</v>
      </c>
      <c r="B97" s="1173" t="s">
        <v>2019</v>
      </c>
      <c r="C97" s="1173"/>
      <c r="D97" s="1173"/>
      <c r="E97" s="1173"/>
      <c r="F97" s="1173"/>
      <c r="G97" s="1173"/>
      <c r="H97" s="1173"/>
      <c r="I97" s="1173"/>
      <c r="J97" s="1173"/>
      <c r="K97" s="1173"/>
      <c r="L97" s="1173"/>
      <c r="M97" s="1173"/>
      <c r="N97" s="1173"/>
      <c r="O97" s="1173"/>
      <c r="P97" s="1173"/>
      <c r="Q97" s="1173"/>
      <c r="R97" s="1173"/>
      <c r="S97" s="1173"/>
      <c r="T97" s="1173"/>
      <c r="U97" s="1173"/>
      <c r="V97" s="1173"/>
      <c r="W97" s="1173"/>
      <c r="X97" s="1173"/>
      <c r="Y97" s="1173"/>
      <c r="Z97" s="1173"/>
      <c r="AA97" s="1173"/>
      <c r="AB97" s="1173"/>
      <c r="AC97" s="1173"/>
      <c r="AD97" s="1173"/>
      <c r="AE97" s="1173"/>
      <c r="AF97" s="1173"/>
    </row>
  </sheetData>
  <sheetProtection algorithmName="SHA-512" hashValue="rLDErrNUmN7zVGKyUortD2f+ihmPr9tK1tXa0Wtx9msVH6KACyrjptiTfAtlXQBGAo6CFXNpczd0a70ymTXi8w==" saltValue="18ge6wJUw/Qr7LZCgy1H3g==" spinCount="100000" sheet="1" objects="1" scenarios="1"/>
  <mergeCells count="135">
    <mergeCell ref="A1:AF1"/>
    <mergeCell ref="A3:AF3"/>
    <mergeCell ref="B5:AF5"/>
    <mergeCell ref="A7:AF7"/>
    <mergeCell ref="B9:I9"/>
    <mergeCell ref="B18:I18"/>
    <mergeCell ref="B19:AF19"/>
    <mergeCell ref="B20:AF20"/>
    <mergeCell ref="B22:J22"/>
    <mergeCell ref="A55:AF55"/>
    <mergeCell ref="B23:AF23"/>
    <mergeCell ref="B10:AF10"/>
    <mergeCell ref="B12:I12"/>
    <mergeCell ref="B13:AF13"/>
    <mergeCell ref="B15:I15"/>
    <mergeCell ref="B16:AF16"/>
    <mergeCell ref="C24:AF24"/>
    <mergeCell ref="C25:AF25"/>
    <mergeCell ref="C26:AF26"/>
    <mergeCell ref="B30:AF30"/>
    <mergeCell ref="A34:AF34"/>
    <mergeCell ref="B28:AF28"/>
    <mergeCell ref="B32:AF32"/>
    <mergeCell ref="A58:D58"/>
    <mergeCell ref="E58:P58"/>
    <mergeCell ref="Q58:T58"/>
    <mergeCell ref="U58:W58"/>
    <mergeCell ref="X58:AF58"/>
    <mergeCell ref="E56:P56"/>
    <mergeCell ref="Q56:T56"/>
    <mergeCell ref="U56:W56"/>
    <mergeCell ref="X56:AF56"/>
    <mergeCell ref="E57:P57"/>
    <mergeCell ref="Q57:T57"/>
    <mergeCell ref="U57:W57"/>
    <mergeCell ref="X57:AF57"/>
    <mergeCell ref="A56:D56"/>
    <mergeCell ref="A57:D57"/>
    <mergeCell ref="E60:P60"/>
    <mergeCell ref="Q60:T60"/>
    <mergeCell ref="U60:W60"/>
    <mergeCell ref="X60:AF60"/>
    <mergeCell ref="A60:D61"/>
    <mergeCell ref="A59:D59"/>
    <mergeCell ref="E59:P59"/>
    <mergeCell ref="Q59:T59"/>
    <mergeCell ref="U59:W59"/>
    <mergeCell ref="X59:AF59"/>
    <mergeCell ref="A62:D62"/>
    <mergeCell ref="E62:P62"/>
    <mergeCell ref="Q62:T62"/>
    <mergeCell ref="U62:W62"/>
    <mergeCell ref="X62:AF62"/>
    <mergeCell ref="E61:P61"/>
    <mergeCell ref="Q61:T61"/>
    <mergeCell ref="U61:W61"/>
    <mergeCell ref="X61:AF61"/>
    <mergeCell ref="B75:I75"/>
    <mergeCell ref="J75:M75"/>
    <mergeCell ref="N75:Q75"/>
    <mergeCell ref="R75:U75"/>
    <mergeCell ref="V75:Y75"/>
    <mergeCell ref="Z75:AC75"/>
    <mergeCell ref="A63:D63"/>
    <mergeCell ref="E63:P63"/>
    <mergeCell ref="Q63:T63"/>
    <mergeCell ref="U63:W63"/>
    <mergeCell ref="X63:AF63"/>
    <mergeCell ref="A64:D64"/>
    <mergeCell ref="E64:P64"/>
    <mergeCell ref="Q64:T64"/>
    <mergeCell ref="U64:W64"/>
    <mergeCell ref="X64:AF64"/>
    <mergeCell ref="A65:D65"/>
    <mergeCell ref="E65:P65"/>
    <mergeCell ref="Q65:T65"/>
    <mergeCell ref="U65:W65"/>
    <mergeCell ref="X65:AF65"/>
    <mergeCell ref="A66:D66"/>
    <mergeCell ref="E66:P66"/>
    <mergeCell ref="Q66:T66"/>
    <mergeCell ref="B76:I76"/>
    <mergeCell ref="J76:M76"/>
    <mergeCell ref="N76:Q76"/>
    <mergeCell ref="R76:U76"/>
    <mergeCell ref="V76:Y76"/>
    <mergeCell ref="Z76:AC76"/>
    <mergeCell ref="A79:AF79"/>
    <mergeCell ref="A81:H81"/>
    <mergeCell ref="I81:P81"/>
    <mergeCell ref="Q81:X81"/>
    <mergeCell ref="Y81:AF81"/>
    <mergeCell ref="U66:W66"/>
    <mergeCell ref="X66:AF66"/>
    <mergeCell ref="A67:D67"/>
    <mergeCell ref="E67:P67"/>
    <mergeCell ref="Q67:T67"/>
    <mergeCell ref="U67:W67"/>
    <mergeCell ref="X67:AF67"/>
    <mergeCell ref="A68:AF68"/>
    <mergeCell ref="A69:AF69"/>
    <mergeCell ref="B73:I73"/>
    <mergeCell ref="J73:M73"/>
    <mergeCell ref="N73:Q73"/>
    <mergeCell ref="R73:U73"/>
    <mergeCell ref="V73:Y73"/>
    <mergeCell ref="Z73:AC73"/>
    <mergeCell ref="B74:I74"/>
    <mergeCell ref="J74:M74"/>
    <mergeCell ref="N74:Q74"/>
    <mergeCell ref="R74:U74"/>
    <mergeCell ref="V74:Y74"/>
    <mergeCell ref="Z74:AC74"/>
    <mergeCell ref="A82:H82"/>
    <mergeCell ref="I82:P82"/>
    <mergeCell ref="Q82:X82"/>
    <mergeCell ref="Y82:AF82"/>
    <mergeCell ref="A83:H83"/>
    <mergeCell ref="I83:P83"/>
    <mergeCell ref="Q83:X83"/>
    <mergeCell ref="Y83:AF83"/>
    <mergeCell ref="B95:AF95"/>
    <mergeCell ref="B90:AF90"/>
    <mergeCell ref="B96:AF96"/>
    <mergeCell ref="B97:AF97"/>
    <mergeCell ref="A84:H84"/>
    <mergeCell ref="I84:P84"/>
    <mergeCell ref="Q84:X84"/>
    <mergeCell ref="Y84:AF84"/>
    <mergeCell ref="A87:AF87"/>
    <mergeCell ref="B91:AF91"/>
    <mergeCell ref="B92:AF92"/>
    <mergeCell ref="B93:AF93"/>
    <mergeCell ref="B94:AF94"/>
    <mergeCell ref="B89:AF89"/>
  </mergeCells>
  <hyperlinks>
    <hyperlink ref="A2" location="TOC!A1" display="Return to TOC" xr:uid="{00000000-0004-0000-58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8:AF52" numberStoredAsText="1"/>
  </ignoredError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8" tint="0.79998168889431442"/>
    <pageSetUpPr autoPageBreaks="0"/>
  </sheetPr>
  <dimension ref="A1:CV107"/>
  <sheetViews>
    <sheetView workbookViewId="0">
      <selection activeCell="A2" sqref="A2"/>
    </sheetView>
  </sheetViews>
  <sheetFormatPr defaultColWidth="2.7109375" defaultRowHeight="15" x14ac:dyDescent="0.25"/>
  <cols>
    <col min="33" max="96" width="2.7109375" style="227"/>
  </cols>
  <sheetData>
    <row r="1" spans="1:100" ht="18.75" x14ac:dyDescent="0.25">
      <c r="A1" s="1464" t="s">
        <v>3542</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L1" s="732"/>
    </row>
    <row r="2" spans="1:100" x14ac:dyDescent="0.25">
      <c r="A2" s="376" t="s">
        <v>1702</v>
      </c>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row>
    <row r="3" spans="1:100"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c r="AL3" s="638"/>
    </row>
    <row r="4" spans="1:100"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L4" s="638"/>
    </row>
    <row r="5" spans="1:100" ht="77.25" customHeight="1" x14ac:dyDescent="0.25">
      <c r="A5" s="262"/>
      <c r="B5" s="1173" t="s">
        <v>7124</v>
      </c>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L5" s="638"/>
    </row>
    <row r="6" spans="1:100" x14ac:dyDescent="0.25">
      <c r="A6" s="529"/>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L6" s="638"/>
    </row>
    <row r="7" spans="1:100"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c r="AL7" s="638"/>
    </row>
    <row r="8" spans="1:100" x14ac:dyDescent="0.25">
      <c r="A8" s="19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L8" s="638"/>
    </row>
    <row r="9" spans="1:100"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c r="AL9" s="638"/>
    </row>
    <row r="10" spans="1:100" ht="34.5" customHeight="1" x14ac:dyDescent="0.25">
      <c r="A10" s="263"/>
      <c r="B10" s="1173" t="s">
        <v>7125</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L10" s="638"/>
    </row>
    <row r="11" spans="1:100"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L11" s="638"/>
    </row>
    <row r="12" spans="1:100"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L12" s="638"/>
      <c r="CV12" s="692"/>
    </row>
    <row r="13" spans="1:100" ht="45" customHeight="1" x14ac:dyDescent="0.25">
      <c r="A13" s="262"/>
      <c r="B13" s="1589" t="s">
        <v>7126</v>
      </c>
      <c r="C13" s="1589"/>
      <c r="D13" s="1589"/>
      <c r="E13" s="1589"/>
      <c r="F13" s="1589"/>
      <c r="G13" s="1589"/>
      <c r="H13" s="1589"/>
      <c r="I13" s="1589"/>
      <c r="J13" s="1589"/>
      <c r="K13" s="1589"/>
      <c r="L13" s="1589"/>
      <c r="M13" s="1589"/>
      <c r="N13" s="1589"/>
      <c r="O13" s="1589"/>
      <c r="P13" s="1589"/>
      <c r="Q13" s="1589"/>
      <c r="R13" s="1589"/>
      <c r="S13" s="1589"/>
      <c r="T13" s="1589"/>
      <c r="U13" s="1589"/>
      <c r="V13" s="1589"/>
      <c r="W13" s="1589"/>
      <c r="X13" s="1589"/>
      <c r="Y13" s="1589"/>
      <c r="Z13" s="1589"/>
      <c r="AA13" s="1589"/>
      <c r="AB13" s="1589"/>
      <c r="AC13" s="1589"/>
      <c r="AD13" s="1589"/>
      <c r="AE13" s="1589"/>
      <c r="AF13" s="1589"/>
      <c r="AL13" s="638"/>
      <c r="CV13" s="692"/>
    </row>
    <row r="14" spans="1:100" x14ac:dyDescent="0.2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L14" s="638"/>
    </row>
    <row r="15" spans="1:100" x14ac:dyDescent="0.25">
      <c r="A15" s="262"/>
      <c r="B15" s="1845" t="s">
        <v>12</v>
      </c>
      <c r="C15" s="1845"/>
      <c r="D15" s="1845"/>
      <c r="E15" s="1845"/>
      <c r="F15" s="1845"/>
      <c r="G15" s="1845"/>
      <c r="H15" s="1845"/>
      <c r="I15" s="1845"/>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L15" s="638"/>
    </row>
    <row r="16" spans="1:100" x14ac:dyDescent="0.25">
      <c r="A16" s="262"/>
      <c r="B16" s="1703" t="s">
        <v>3402</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c r="AL16" s="638"/>
    </row>
    <row r="17" spans="1:38" x14ac:dyDescent="0.25">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L17" s="638"/>
    </row>
    <row r="18" spans="1:38" x14ac:dyDescent="0.25">
      <c r="A18" s="262"/>
      <c r="B18" s="3509" t="s">
        <v>13</v>
      </c>
      <c r="C18" s="3509"/>
      <c r="D18" s="3509"/>
      <c r="E18" s="3509"/>
      <c r="F18" s="3509"/>
      <c r="G18" s="3509"/>
      <c r="H18" s="3509"/>
      <c r="I18" s="3509"/>
      <c r="J18" s="638"/>
      <c r="K18" s="638"/>
      <c r="L18" s="638"/>
      <c r="M18" s="638"/>
      <c r="N18" s="638"/>
      <c r="O18" s="638"/>
      <c r="P18" s="638"/>
      <c r="Q18" s="638"/>
      <c r="R18" s="638"/>
      <c r="S18" s="638"/>
      <c r="T18" s="638"/>
      <c r="U18" s="638"/>
      <c r="V18" s="638"/>
      <c r="W18" s="638"/>
      <c r="X18" s="638"/>
      <c r="Y18" s="638"/>
      <c r="Z18" s="638"/>
      <c r="AA18" s="638"/>
      <c r="AB18" s="638"/>
      <c r="AC18" s="638"/>
      <c r="AD18" s="638"/>
      <c r="AE18" s="638"/>
      <c r="AF18" s="638"/>
      <c r="AL18" s="638"/>
    </row>
    <row r="19" spans="1:38" ht="15" customHeight="1" x14ac:dyDescent="0.25">
      <c r="A19" s="262"/>
      <c r="B19" s="1173" t="s">
        <v>7128</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L19" s="638"/>
    </row>
    <row r="20" spans="1:38" ht="15" customHeight="1" x14ac:dyDescent="0.25">
      <c r="A20" s="262"/>
      <c r="B20" s="1173" t="s">
        <v>7129</v>
      </c>
      <c r="C20" s="1173"/>
      <c r="D20" s="1173"/>
      <c r="E20" s="1173"/>
      <c r="F20" s="1173"/>
      <c r="G20" s="1173"/>
      <c r="H20" s="1173"/>
      <c r="I20" s="1173"/>
      <c r="J20" s="1173"/>
      <c r="K20" s="1173"/>
      <c r="L20" s="1173"/>
      <c r="M20" s="1173"/>
      <c r="N20" s="1173"/>
      <c r="O20" s="1173"/>
      <c r="P20" s="1173"/>
      <c r="Q20" s="1173"/>
      <c r="R20" s="1173"/>
      <c r="S20" s="1173"/>
      <c r="T20" s="1173"/>
      <c r="U20" s="1173"/>
      <c r="V20" s="1173"/>
      <c r="W20" s="1173"/>
      <c r="X20" s="1173"/>
      <c r="Y20" s="1173"/>
      <c r="Z20" s="1173"/>
      <c r="AA20" s="1173"/>
      <c r="AB20" s="1173"/>
      <c r="AC20" s="1173"/>
      <c r="AD20" s="1173"/>
      <c r="AE20" s="1173"/>
      <c r="AF20" s="1173"/>
      <c r="AL20" s="638"/>
    </row>
    <row r="21" spans="1:38" x14ac:dyDescent="0.25">
      <c r="A21" s="262"/>
      <c r="B21" s="649"/>
      <c r="C21" s="649"/>
      <c r="D21" s="649"/>
      <c r="E21" s="649"/>
      <c r="F21" s="649"/>
      <c r="G21" s="649"/>
      <c r="H21" s="649"/>
      <c r="I21" s="649"/>
      <c r="J21" s="638"/>
      <c r="K21" s="638"/>
      <c r="L21" s="638"/>
      <c r="M21" s="638"/>
      <c r="N21" s="638"/>
      <c r="O21" s="638"/>
      <c r="P21" s="638"/>
      <c r="Q21" s="638"/>
      <c r="R21" s="638"/>
      <c r="S21" s="638"/>
      <c r="T21" s="638"/>
      <c r="U21" s="638"/>
      <c r="V21" s="638"/>
      <c r="W21" s="638"/>
      <c r="X21" s="638"/>
      <c r="Y21" s="638"/>
      <c r="Z21" s="638"/>
      <c r="AA21" s="638"/>
      <c r="AB21" s="638"/>
      <c r="AC21" s="638"/>
      <c r="AD21" s="638"/>
      <c r="AE21" s="638"/>
      <c r="AF21" s="638"/>
      <c r="AL21" s="638"/>
    </row>
    <row r="22" spans="1:38" x14ac:dyDescent="0.25">
      <c r="A22" s="262"/>
      <c r="B22" s="3509" t="s">
        <v>20</v>
      </c>
      <c r="C22" s="3509"/>
      <c r="D22" s="3509"/>
      <c r="E22" s="3509"/>
      <c r="F22" s="3509"/>
      <c r="G22" s="3509"/>
      <c r="H22" s="3509"/>
      <c r="I22" s="3509"/>
      <c r="J22" s="3509"/>
      <c r="K22" s="638"/>
      <c r="L22" s="638"/>
      <c r="M22" s="638"/>
      <c r="N22" s="638"/>
      <c r="O22" s="638"/>
      <c r="P22" s="638"/>
      <c r="Q22" s="638"/>
      <c r="R22" s="638"/>
      <c r="S22" s="638"/>
      <c r="T22" s="638"/>
      <c r="U22" s="638"/>
      <c r="V22" s="638"/>
      <c r="W22" s="638"/>
      <c r="X22" s="638"/>
      <c r="Y22" s="638"/>
      <c r="Z22" s="638"/>
      <c r="AA22" s="638"/>
      <c r="AB22" s="638"/>
      <c r="AC22" s="638"/>
      <c r="AD22" s="638"/>
      <c r="AE22" s="638"/>
      <c r="AF22" s="638"/>
      <c r="AL22" s="638"/>
    </row>
    <row r="23" spans="1:38" x14ac:dyDescent="0.25">
      <c r="A23" s="262"/>
      <c r="B23" s="1173" t="s">
        <v>3753</v>
      </c>
      <c r="C23" s="1287"/>
      <c r="D23" s="1287"/>
      <c r="E23" s="1287"/>
      <c r="F23" s="1287"/>
      <c r="G23" s="1287"/>
      <c r="H23" s="1287"/>
      <c r="I23" s="1287"/>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L23" s="638"/>
    </row>
    <row r="24" spans="1:38" x14ac:dyDescent="0.25">
      <c r="A24" s="262"/>
      <c r="B24" s="1173" t="s">
        <v>3754</v>
      </c>
      <c r="C24" s="1287"/>
      <c r="D24" s="1287"/>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L24" s="638"/>
    </row>
    <row r="25" spans="1:38" x14ac:dyDescent="0.25">
      <c r="A25" s="262"/>
      <c r="B25" s="647"/>
      <c r="C25" s="638"/>
      <c r="D25" s="638"/>
      <c r="E25" s="638"/>
      <c r="F25" s="638"/>
      <c r="G25" s="638"/>
      <c r="H25" s="638"/>
      <c r="I25" s="638"/>
      <c r="J25" s="638"/>
      <c r="K25" s="638"/>
      <c r="L25" s="638"/>
      <c r="M25" s="638"/>
      <c r="N25" s="638"/>
      <c r="O25" s="638"/>
      <c r="P25" s="638"/>
      <c r="Q25" s="638"/>
      <c r="R25" s="638"/>
      <c r="S25" s="638"/>
      <c r="T25" s="638"/>
      <c r="U25" s="638"/>
      <c r="V25" s="638"/>
      <c r="W25" s="638"/>
      <c r="X25" s="638"/>
      <c r="Y25" s="638"/>
      <c r="Z25" s="638"/>
      <c r="AA25" s="638"/>
      <c r="AB25" s="638"/>
      <c r="AC25" s="638"/>
      <c r="AD25" s="638"/>
      <c r="AE25" s="638"/>
      <c r="AF25" s="638"/>
      <c r="AL25" s="638"/>
    </row>
    <row r="26" spans="1:38" ht="48" customHeight="1" x14ac:dyDescent="0.25">
      <c r="A26" s="262"/>
      <c r="B26" s="1173" t="s">
        <v>5698</v>
      </c>
      <c r="C26" s="1287"/>
      <c r="D26" s="1287"/>
      <c r="E26" s="1287"/>
      <c r="F26" s="1287"/>
      <c r="G26" s="1287"/>
      <c r="H26" s="1287"/>
      <c r="I26" s="1287"/>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L26" s="638"/>
    </row>
    <row r="27" spans="1:38" x14ac:dyDescent="0.25">
      <c r="A27" s="262"/>
      <c r="B27" s="647"/>
      <c r="C27" s="638"/>
      <c r="D27" s="638"/>
      <c r="E27" s="638"/>
      <c r="F27" s="638"/>
      <c r="G27" s="638"/>
      <c r="H27" s="638"/>
      <c r="I27" s="638"/>
      <c r="J27" s="638"/>
      <c r="K27" s="638"/>
      <c r="L27" s="638"/>
      <c r="M27" s="638"/>
      <c r="N27" s="638"/>
      <c r="O27" s="638"/>
      <c r="P27" s="638"/>
      <c r="Q27" s="638"/>
      <c r="R27" s="638"/>
      <c r="S27" s="638"/>
      <c r="T27" s="638"/>
      <c r="U27" s="638"/>
      <c r="V27" s="638"/>
      <c r="W27" s="638"/>
      <c r="X27" s="638"/>
      <c r="Y27" s="638"/>
      <c r="Z27" s="638"/>
      <c r="AA27" s="638"/>
      <c r="AB27" s="638"/>
      <c r="AC27" s="638"/>
      <c r="AD27" s="638"/>
      <c r="AE27" s="638"/>
      <c r="AF27" s="638"/>
      <c r="AL27" s="638"/>
    </row>
    <row r="28" spans="1:38" ht="29.25" customHeight="1" x14ac:dyDescent="0.25">
      <c r="A28" s="262"/>
      <c r="B28" s="1173" t="s">
        <v>7108</v>
      </c>
      <c r="C28" s="1287"/>
      <c r="D28" s="1287"/>
      <c r="E28" s="1287"/>
      <c r="F28" s="1287"/>
      <c r="G28" s="1287"/>
      <c r="H28" s="1287"/>
      <c r="I28" s="1287"/>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L28" s="638"/>
    </row>
    <row r="29" spans="1:38" x14ac:dyDescent="0.25">
      <c r="A29" s="262"/>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L29" s="638"/>
    </row>
    <row r="30" spans="1:38" x14ac:dyDescent="0.25">
      <c r="A30" s="1621" t="s">
        <v>14</v>
      </c>
      <c r="B30" s="1621"/>
      <c r="C30" s="1621"/>
      <c r="D30" s="1621"/>
      <c r="E30" s="1621"/>
      <c r="F30" s="1621"/>
      <c r="G30" s="1621"/>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L30" s="638"/>
    </row>
    <row r="31" spans="1:38" x14ac:dyDescent="0.25">
      <c r="A31" s="262"/>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L31" s="638"/>
    </row>
    <row r="32" spans="1:38" x14ac:dyDescent="0.25">
      <c r="A32" s="262"/>
      <c r="B32" s="519" t="s">
        <v>2303</v>
      </c>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L32" s="638"/>
    </row>
    <row r="33" spans="1:38" x14ac:dyDescent="0.25">
      <c r="A33" s="262"/>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c r="AL33" s="638"/>
    </row>
    <row r="34" spans="1:38" x14ac:dyDescent="0.25">
      <c r="A34" s="262"/>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419" t="s">
        <v>1705</v>
      </c>
      <c r="AL34" s="638"/>
    </row>
    <row r="35" spans="1:38" x14ac:dyDescent="0.25">
      <c r="A35" s="262"/>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419"/>
      <c r="AL35" s="638"/>
    </row>
    <row r="36" spans="1:38" x14ac:dyDescent="0.25">
      <c r="A36" s="262"/>
      <c r="B36" s="414" t="s">
        <v>2194</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L36" s="638"/>
    </row>
    <row r="37" spans="1:38" x14ac:dyDescent="0.25">
      <c r="A37" s="262"/>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L37" s="638"/>
    </row>
    <row r="38" spans="1:38" x14ac:dyDescent="0.25">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419" t="s">
        <v>1706</v>
      </c>
      <c r="AL38" s="638"/>
    </row>
    <row r="39" spans="1:38" x14ac:dyDescent="0.25">
      <c r="A39" s="262"/>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L39" s="638"/>
    </row>
    <row r="40" spans="1:38" x14ac:dyDescent="0.25">
      <c r="A40" s="262"/>
      <c r="B40" s="414" t="s">
        <v>1998</v>
      </c>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419"/>
      <c r="AL40" s="638"/>
    </row>
    <row r="41" spans="1:38" x14ac:dyDescent="0.25">
      <c r="A41" s="262"/>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419"/>
      <c r="AL41" s="638"/>
    </row>
    <row r="42" spans="1:38" x14ac:dyDescent="0.25">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419" t="s">
        <v>1707</v>
      </c>
      <c r="AL42" s="638"/>
    </row>
    <row r="43" spans="1:38" x14ac:dyDescent="0.25">
      <c r="A43" s="262"/>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L43" s="638"/>
    </row>
    <row r="44" spans="1:38" x14ac:dyDescent="0.25">
      <c r="A44" s="1621" t="s">
        <v>15</v>
      </c>
      <c r="B44" s="1621"/>
      <c r="C44" s="1621"/>
      <c r="D44" s="1621"/>
      <c r="E44" s="1621"/>
      <c r="F44" s="1621"/>
      <c r="G44" s="1621"/>
      <c r="H44" s="1621"/>
      <c r="I44" s="1621"/>
      <c r="J44" s="1621"/>
      <c r="K44" s="1621"/>
      <c r="L44" s="1621"/>
      <c r="M44" s="1621"/>
      <c r="N44" s="1621"/>
      <c r="O44" s="1621"/>
      <c r="P44" s="1621"/>
      <c r="Q44" s="1621"/>
      <c r="R44" s="1621"/>
      <c r="S44" s="1621"/>
      <c r="T44" s="1621"/>
      <c r="U44" s="1621"/>
      <c r="V44" s="1621"/>
      <c r="W44" s="1621"/>
      <c r="X44" s="1621"/>
      <c r="Y44" s="1621"/>
      <c r="Z44" s="1621"/>
      <c r="AA44" s="1621"/>
      <c r="AB44" s="1621"/>
      <c r="AC44" s="1621"/>
      <c r="AD44" s="1621"/>
      <c r="AE44" s="1621"/>
      <c r="AF44" s="1621"/>
      <c r="AL44" s="638"/>
    </row>
    <row r="45" spans="1:38" x14ac:dyDescent="0.25">
      <c r="A45" s="1735" t="s">
        <v>16</v>
      </c>
      <c r="B45" s="1735"/>
      <c r="C45" s="1735"/>
      <c r="D45" s="1735"/>
      <c r="E45" s="1735" t="s">
        <v>10</v>
      </c>
      <c r="F45" s="1735"/>
      <c r="G45" s="1735"/>
      <c r="H45" s="1735"/>
      <c r="I45" s="1735"/>
      <c r="J45" s="1735"/>
      <c r="K45" s="1735"/>
      <c r="L45" s="1735"/>
      <c r="M45" s="1735"/>
      <c r="N45" s="1735"/>
      <c r="O45" s="1735"/>
      <c r="P45" s="1735"/>
      <c r="Q45" s="1735" t="s">
        <v>17</v>
      </c>
      <c r="R45" s="1735"/>
      <c r="S45" s="1735"/>
      <c r="T45" s="1735"/>
      <c r="U45" s="1697" t="s">
        <v>18</v>
      </c>
      <c r="V45" s="1698"/>
      <c r="W45" s="1699"/>
      <c r="X45" s="1697" t="s">
        <v>1708</v>
      </c>
      <c r="Y45" s="1698"/>
      <c r="Z45" s="1698"/>
      <c r="AA45" s="1698"/>
      <c r="AB45" s="1698"/>
      <c r="AC45" s="1698"/>
      <c r="AD45" s="1698"/>
      <c r="AE45" s="1698"/>
      <c r="AF45" s="1699"/>
      <c r="AL45" s="638"/>
    </row>
    <row r="46" spans="1:38" ht="32.25" customHeight="1" x14ac:dyDescent="0.25">
      <c r="A46" s="1680" t="s">
        <v>3667</v>
      </c>
      <c r="B46" s="1681" t="s">
        <v>294</v>
      </c>
      <c r="C46" s="1681" t="s">
        <v>294</v>
      </c>
      <c r="D46" s="1682" t="s">
        <v>294</v>
      </c>
      <c r="E46" s="1494" t="s">
        <v>3652</v>
      </c>
      <c r="F46" s="1495" t="s">
        <v>637</v>
      </c>
      <c r="G46" s="1495" t="s">
        <v>637</v>
      </c>
      <c r="H46" s="1495" t="s">
        <v>637</v>
      </c>
      <c r="I46" s="1495" t="s">
        <v>637</v>
      </c>
      <c r="J46" s="1495" t="s">
        <v>637</v>
      </c>
      <c r="K46" s="1495" t="s">
        <v>637</v>
      </c>
      <c r="L46" s="1495" t="s">
        <v>637</v>
      </c>
      <c r="M46" s="1495" t="s">
        <v>637</v>
      </c>
      <c r="N46" s="1495" t="s">
        <v>637</v>
      </c>
      <c r="O46" s="1495" t="s">
        <v>637</v>
      </c>
      <c r="P46" s="1496" t="s">
        <v>637</v>
      </c>
      <c r="Q46" s="3500" t="s">
        <v>626</v>
      </c>
      <c r="R46" s="3501"/>
      <c r="S46" s="3501"/>
      <c r="T46" s="3502"/>
      <c r="U46" s="1683" t="s">
        <v>291</v>
      </c>
      <c r="V46" s="1684"/>
      <c r="W46" s="1685"/>
      <c r="X46" s="1715" t="s">
        <v>3655</v>
      </c>
      <c r="Y46" s="1715"/>
      <c r="Z46" s="1715"/>
      <c r="AA46" s="1715"/>
      <c r="AB46" s="1715"/>
      <c r="AC46" s="1715"/>
      <c r="AD46" s="1715"/>
      <c r="AE46" s="1715"/>
      <c r="AF46" s="1715"/>
      <c r="AL46" s="638"/>
    </row>
    <row r="47" spans="1:38" ht="32.25" customHeight="1" x14ac:dyDescent="0.25">
      <c r="A47" s="1680" t="s">
        <v>3668</v>
      </c>
      <c r="B47" s="1681" t="s">
        <v>638</v>
      </c>
      <c r="C47" s="1681" t="s">
        <v>638</v>
      </c>
      <c r="D47" s="1682" t="s">
        <v>638</v>
      </c>
      <c r="E47" s="1494" t="s">
        <v>3681</v>
      </c>
      <c r="F47" s="1495" t="s">
        <v>622</v>
      </c>
      <c r="G47" s="1495" t="s">
        <v>622</v>
      </c>
      <c r="H47" s="1495" t="s">
        <v>622</v>
      </c>
      <c r="I47" s="1495" t="s">
        <v>622</v>
      </c>
      <c r="J47" s="1495" t="s">
        <v>622</v>
      </c>
      <c r="K47" s="1495" t="s">
        <v>622</v>
      </c>
      <c r="L47" s="1495" t="s">
        <v>622</v>
      </c>
      <c r="M47" s="1495" t="s">
        <v>622</v>
      </c>
      <c r="N47" s="1495" t="s">
        <v>622</v>
      </c>
      <c r="O47" s="1495" t="s">
        <v>622</v>
      </c>
      <c r="P47" s="1496" t="s">
        <v>622</v>
      </c>
      <c r="Q47" s="3500" t="s">
        <v>626</v>
      </c>
      <c r="R47" s="3501"/>
      <c r="S47" s="3501"/>
      <c r="T47" s="3502"/>
      <c r="U47" s="1683" t="s">
        <v>291</v>
      </c>
      <c r="V47" s="1684"/>
      <c r="W47" s="1685"/>
      <c r="X47" s="1715" t="s">
        <v>3655</v>
      </c>
      <c r="Y47" s="1715"/>
      <c r="Z47" s="1715"/>
      <c r="AA47" s="1715"/>
      <c r="AB47" s="1715"/>
      <c r="AC47" s="1715"/>
      <c r="AD47" s="1715"/>
      <c r="AE47" s="1715"/>
      <c r="AF47" s="1715"/>
      <c r="AL47" s="638"/>
    </row>
    <row r="48" spans="1:38" ht="51.75" customHeight="1" x14ac:dyDescent="0.25">
      <c r="A48" s="1680" t="s">
        <v>1760</v>
      </c>
      <c r="B48" s="1681"/>
      <c r="C48" s="1681"/>
      <c r="D48" s="1682"/>
      <c r="E48" s="1494" t="s">
        <v>2031</v>
      </c>
      <c r="F48" s="1495"/>
      <c r="G48" s="1495"/>
      <c r="H48" s="1495"/>
      <c r="I48" s="1495"/>
      <c r="J48" s="1495"/>
      <c r="K48" s="1495"/>
      <c r="L48" s="1495"/>
      <c r="M48" s="1495"/>
      <c r="N48" s="1495"/>
      <c r="O48" s="1495"/>
      <c r="P48" s="1496"/>
      <c r="Q48" s="1661">
        <v>0.97</v>
      </c>
      <c r="R48" s="1662"/>
      <c r="S48" s="1662"/>
      <c r="T48" s="1663"/>
      <c r="U48" s="1696" t="s">
        <v>28</v>
      </c>
      <c r="V48" s="1684"/>
      <c r="W48" s="1685"/>
      <c r="X48" s="1715" t="s">
        <v>3669</v>
      </c>
      <c r="Y48" s="1715"/>
      <c r="Z48" s="1715"/>
      <c r="AA48" s="1715"/>
      <c r="AB48" s="1715"/>
      <c r="AC48" s="1715"/>
      <c r="AD48" s="1715"/>
      <c r="AE48" s="1715"/>
      <c r="AF48" s="1715"/>
      <c r="AL48" s="638"/>
    </row>
    <row r="49" spans="1:38" ht="76.5" customHeight="1" x14ac:dyDescent="0.25">
      <c r="A49" s="1680" t="s">
        <v>545</v>
      </c>
      <c r="B49" s="1681" t="s">
        <v>545</v>
      </c>
      <c r="C49" s="1681" t="s">
        <v>545</v>
      </c>
      <c r="D49" s="1682" t="s">
        <v>545</v>
      </c>
      <c r="E49" s="1494" t="s">
        <v>1703</v>
      </c>
      <c r="F49" s="1495" t="s">
        <v>546</v>
      </c>
      <c r="G49" s="1495" t="s">
        <v>546</v>
      </c>
      <c r="H49" s="1495" t="s">
        <v>546</v>
      </c>
      <c r="I49" s="1495" t="s">
        <v>546</v>
      </c>
      <c r="J49" s="1495" t="s">
        <v>546</v>
      </c>
      <c r="K49" s="1495" t="s">
        <v>546</v>
      </c>
      <c r="L49" s="1495" t="s">
        <v>546</v>
      </c>
      <c r="M49" s="1495" t="s">
        <v>546</v>
      </c>
      <c r="N49" s="1495" t="s">
        <v>546</v>
      </c>
      <c r="O49" s="1495" t="s">
        <v>546</v>
      </c>
      <c r="P49" s="1496" t="s">
        <v>546</v>
      </c>
      <c r="Q49" s="1497">
        <f>ROUND(2.47/4,2)</f>
        <v>0.62</v>
      </c>
      <c r="R49" s="1498"/>
      <c r="S49" s="1498"/>
      <c r="T49" s="1499"/>
      <c r="U49" s="1497" t="s">
        <v>28</v>
      </c>
      <c r="V49" s="1498"/>
      <c r="W49" s="1499"/>
      <c r="X49" s="1538" t="s">
        <v>2000</v>
      </c>
      <c r="Y49" s="1539"/>
      <c r="Z49" s="1539"/>
      <c r="AA49" s="1539"/>
      <c r="AB49" s="1539"/>
      <c r="AC49" s="1539"/>
      <c r="AD49" s="1539"/>
      <c r="AE49" s="1539"/>
      <c r="AF49" s="1540"/>
      <c r="AL49" s="638"/>
    </row>
    <row r="50" spans="1:38" ht="31.5" customHeight="1" x14ac:dyDescent="0.25">
      <c r="A50" s="1680" t="s">
        <v>1762</v>
      </c>
      <c r="B50" s="1681"/>
      <c r="C50" s="1681"/>
      <c r="D50" s="1682"/>
      <c r="E50" s="1494" t="s">
        <v>3660</v>
      </c>
      <c r="F50" s="1495"/>
      <c r="G50" s="1495"/>
      <c r="H50" s="1495"/>
      <c r="I50" s="1495"/>
      <c r="J50" s="1495"/>
      <c r="K50" s="1495"/>
      <c r="L50" s="1495"/>
      <c r="M50" s="1495"/>
      <c r="N50" s="1495"/>
      <c r="O50" s="1495"/>
      <c r="P50" s="1496"/>
      <c r="Q50" s="1497">
        <f>2475</f>
        <v>2475</v>
      </c>
      <c r="R50" s="1498"/>
      <c r="S50" s="1498"/>
      <c r="T50" s="1499"/>
      <c r="U50" s="1696" t="s">
        <v>45</v>
      </c>
      <c r="V50" s="1684"/>
      <c r="W50" s="1685"/>
      <c r="X50" s="1715" t="s">
        <v>3682</v>
      </c>
      <c r="Y50" s="1715"/>
      <c r="Z50" s="1715"/>
      <c r="AA50" s="1715"/>
      <c r="AB50" s="1715"/>
      <c r="AC50" s="1715"/>
      <c r="AD50" s="1715"/>
      <c r="AE50" s="1715"/>
      <c r="AF50" s="1715"/>
      <c r="AL50" s="638"/>
    </row>
    <row r="51" spans="1:38" ht="40.5" customHeight="1" x14ac:dyDescent="0.25">
      <c r="A51" s="2522" t="s">
        <v>3697</v>
      </c>
      <c r="B51" s="1681" t="s">
        <v>42</v>
      </c>
      <c r="C51" s="1681" t="s">
        <v>42</v>
      </c>
      <c r="D51" s="1682" t="s">
        <v>42</v>
      </c>
      <c r="E51" s="1494" t="s">
        <v>865</v>
      </c>
      <c r="F51" s="1495" t="s">
        <v>256</v>
      </c>
      <c r="G51" s="1495" t="s">
        <v>256</v>
      </c>
      <c r="H51" s="1495" t="s">
        <v>256</v>
      </c>
      <c r="I51" s="1495" t="s">
        <v>256</v>
      </c>
      <c r="J51" s="1495" t="s">
        <v>256</v>
      </c>
      <c r="K51" s="1495" t="s">
        <v>256</v>
      </c>
      <c r="L51" s="1495" t="s">
        <v>256</v>
      </c>
      <c r="M51" s="1495" t="s">
        <v>256</v>
      </c>
      <c r="N51" s="1495" t="s">
        <v>256</v>
      </c>
      <c r="O51" s="1495" t="s">
        <v>256</v>
      </c>
      <c r="P51" s="1496" t="s">
        <v>256</v>
      </c>
      <c r="Q51" s="1497">
        <v>1</v>
      </c>
      <c r="R51" s="1498">
        <v>0.96</v>
      </c>
      <c r="S51" s="1498">
        <v>0.96</v>
      </c>
      <c r="T51" s="1499">
        <v>0.96</v>
      </c>
      <c r="U51" s="1683" t="s">
        <v>28</v>
      </c>
      <c r="V51" s="1684"/>
      <c r="W51" s="1685"/>
      <c r="X51" s="1680"/>
      <c r="Y51" s="1681"/>
      <c r="Z51" s="1681"/>
      <c r="AA51" s="1681"/>
      <c r="AB51" s="1681"/>
      <c r="AC51" s="1681"/>
      <c r="AD51" s="1681"/>
      <c r="AE51" s="1681"/>
      <c r="AF51" s="1682"/>
      <c r="AL51" s="638"/>
    </row>
    <row r="52" spans="1:38" ht="43.5" customHeight="1" x14ac:dyDescent="0.25">
      <c r="A52" s="1680" t="s">
        <v>3675</v>
      </c>
      <c r="B52" s="1681" t="s">
        <v>34</v>
      </c>
      <c r="C52" s="1681" t="s">
        <v>34</v>
      </c>
      <c r="D52" s="1682" t="s">
        <v>34</v>
      </c>
      <c r="E52" s="1680" t="s">
        <v>2218</v>
      </c>
      <c r="F52" s="1681" t="s">
        <v>219</v>
      </c>
      <c r="G52" s="1681" t="s">
        <v>219</v>
      </c>
      <c r="H52" s="1681" t="s">
        <v>219</v>
      </c>
      <c r="I52" s="1681" t="s">
        <v>219</v>
      </c>
      <c r="J52" s="1681" t="s">
        <v>219</v>
      </c>
      <c r="K52" s="1681" t="s">
        <v>219</v>
      </c>
      <c r="L52" s="1681" t="s">
        <v>219</v>
      </c>
      <c r="M52" s="1681" t="s">
        <v>219</v>
      </c>
      <c r="N52" s="1681" t="s">
        <v>219</v>
      </c>
      <c r="O52" s="1681" t="s">
        <v>219</v>
      </c>
      <c r="P52" s="1682" t="s">
        <v>219</v>
      </c>
      <c r="Q52" s="1497" t="s">
        <v>626</v>
      </c>
      <c r="R52" s="1498"/>
      <c r="S52" s="1498"/>
      <c r="T52" s="1499"/>
      <c r="U52" s="1683" t="s">
        <v>46</v>
      </c>
      <c r="V52" s="1684"/>
      <c r="W52" s="1685"/>
      <c r="X52" s="1494" t="s">
        <v>3683</v>
      </c>
      <c r="Y52" s="1495"/>
      <c r="Z52" s="1495"/>
      <c r="AA52" s="1495"/>
      <c r="AB52" s="1495"/>
      <c r="AC52" s="1495"/>
      <c r="AD52" s="1495"/>
      <c r="AE52" s="1495"/>
      <c r="AF52" s="1496"/>
      <c r="AL52" s="638"/>
    </row>
    <row r="53" spans="1:38" ht="45" customHeight="1" x14ac:dyDescent="0.25">
      <c r="A53" s="2288" t="s">
        <v>3688</v>
      </c>
      <c r="B53" s="2288"/>
      <c r="C53" s="2288"/>
      <c r="D53" s="2288"/>
      <c r="E53" s="2288"/>
      <c r="F53" s="2288"/>
      <c r="G53" s="2288"/>
      <c r="H53" s="2288"/>
      <c r="I53" s="2288"/>
      <c r="J53" s="2288"/>
      <c r="K53" s="2288"/>
      <c r="L53" s="2288"/>
      <c r="M53" s="2288"/>
      <c r="N53" s="2288"/>
      <c r="O53" s="2288"/>
      <c r="P53" s="2288"/>
      <c r="Q53" s="2288"/>
      <c r="R53" s="2288"/>
      <c r="S53" s="2288"/>
      <c r="T53" s="2288"/>
      <c r="U53" s="2288"/>
      <c r="V53" s="2288"/>
      <c r="W53" s="2288"/>
      <c r="X53" s="2288"/>
      <c r="Y53" s="2288"/>
      <c r="Z53" s="2288"/>
      <c r="AA53" s="2288"/>
      <c r="AB53" s="2288"/>
      <c r="AC53" s="2288"/>
      <c r="AD53" s="2288"/>
      <c r="AE53" s="2288"/>
      <c r="AF53" s="2288"/>
      <c r="AL53" s="638"/>
    </row>
    <row r="54" spans="1:38" x14ac:dyDescent="0.25">
      <c r="A54" s="628" t="s">
        <v>3689</v>
      </c>
      <c r="B54" s="629"/>
      <c r="C54" s="629"/>
      <c r="D54" s="629"/>
      <c r="E54" s="630"/>
      <c r="F54" s="630"/>
      <c r="G54" s="630"/>
      <c r="H54" s="630"/>
      <c r="I54" s="630"/>
      <c r="J54" s="630"/>
      <c r="K54" s="630"/>
      <c r="L54" s="630"/>
      <c r="M54" s="630"/>
      <c r="N54" s="630"/>
      <c r="O54" s="630"/>
      <c r="P54" s="630"/>
      <c r="Q54" s="631"/>
      <c r="R54" s="631"/>
      <c r="S54" s="631"/>
      <c r="T54" s="631"/>
      <c r="U54" s="632"/>
      <c r="V54" s="632"/>
      <c r="W54" s="632"/>
      <c r="X54" s="632"/>
      <c r="Y54" s="632"/>
      <c r="Z54" s="632"/>
      <c r="AA54" s="632"/>
      <c r="AB54" s="632"/>
      <c r="AC54" s="632"/>
      <c r="AD54" s="632"/>
      <c r="AE54" s="632"/>
      <c r="AF54" s="632"/>
      <c r="AL54" s="638"/>
    </row>
    <row r="55" spans="1:38" x14ac:dyDescent="0.25">
      <c r="A55" s="633"/>
      <c r="B55" s="227"/>
      <c r="C55" s="227"/>
      <c r="D55" s="227"/>
      <c r="E55" s="227"/>
      <c r="F55" s="227"/>
      <c r="G55" s="227"/>
      <c r="H55" s="227"/>
      <c r="I55" s="227"/>
      <c r="J55" s="227"/>
      <c r="K55" s="227"/>
      <c r="L55" s="227"/>
      <c r="M55" s="227"/>
      <c r="N55" s="227"/>
      <c r="O55" s="227"/>
      <c r="P55" s="227"/>
      <c r="Q55" s="227"/>
      <c r="R55" s="227"/>
      <c r="S55" s="227"/>
      <c r="T55" s="227"/>
      <c r="U55" s="227"/>
      <c r="V55" s="227"/>
      <c r="W55" s="227"/>
      <c r="X55" s="227"/>
      <c r="Y55" s="227"/>
      <c r="Z55" s="227"/>
      <c r="AA55" s="227"/>
      <c r="AB55" s="227"/>
      <c r="AC55" s="227"/>
      <c r="AD55" s="227"/>
      <c r="AE55" s="227"/>
      <c r="AF55" s="227"/>
      <c r="AL55" s="638"/>
    </row>
    <row r="56" spans="1:38" x14ac:dyDescent="0.25">
      <c r="A56" s="633"/>
      <c r="B56" s="423" t="s">
        <v>3662</v>
      </c>
      <c r="C56" s="227"/>
      <c r="D56" s="227"/>
      <c r="E56" s="227"/>
      <c r="F56" s="227"/>
      <c r="G56" s="227"/>
      <c r="H56" s="227"/>
      <c r="I56" s="227"/>
      <c r="J56" s="227"/>
      <c r="K56" s="227"/>
      <c r="L56" s="227"/>
      <c r="M56" s="227"/>
      <c r="N56" s="227"/>
      <c r="O56" s="227"/>
      <c r="P56" s="227"/>
      <c r="Q56" s="227"/>
      <c r="R56" s="227"/>
      <c r="S56" s="227"/>
      <c r="T56" s="227"/>
      <c r="U56" s="227"/>
      <c r="V56" s="227"/>
      <c r="W56" s="227"/>
      <c r="X56" s="227"/>
      <c r="Y56" s="227"/>
      <c r="Z56" s="227"/>
      <c r="AA56" s="227"/>
      <c r="AB56" s="227"/>
      <c r="AC56" s="227"/>
      <c r="AD56" s="227"/>
      <c r="AE56" s="227"/>
      <c r="AF56" s="227"/>
      <c r="AL56" s="638"/>
    </row>
    <row r="57" spans="1:38" x14ac:dyDescent="0.25">
      <c r="A57" s="3510" t="s">
        <v>22</v>
      </c>
      <c r="B57" s="3511"/>
      <c r="C57" s="3511"/>
      <c r="D57" s="3511"/>
      <c r="E57" s="3511"/>
      <c r="F57" s="3511"/>
      <c r="G57" s="3511"/>
      <c r="H57" s="3512"/>
      <c r="I57" s="3516" t="s">
        <v>3679</v>
      </c>
      <c r="J57" s="3517"/>
      <c r="K57" s="3517"/>
      <c r="L57" s="3518"/>
      <c r="M57" s="3516" t="s">
        <v>3680</v>
      </c>
      <c r="N57" s="3517"/>
      <c r="O57" s="3517"/>
      <c r="P57" s="3518"/>
      <c r="Q57" s="3516" t="s">
        <v>3755</v>
      </c>
      <c r="R57" s="3517"/>
      <c r="S57" s="3517"/>
      <c r="T57" s="3518"/>
      <c r="U57" s="227"/>
      <c r="V57" s="227"/>
      <c r="W57" s="227"/>
      <c r="X57" s="227"/>
      <c r="Y57" s="227"/>
      <c r="Z57" s="227"/>
      <c r="AA57" s="227"/>
      <c r="AB57" s="227"/>
      <c r="AC57" s="227"/>
      <c r="AD57" s="227"/>
      <c r="AE57" s="227"/>
      <c r="AF57" s="227"/>
      <c r="AL57" s="638"/>
    </row>
    <row r="58" spans="1:38" x14ac:dyDescent="0.25">
      <c r="A58" s="3513"/>
      <c r="B58" s="3514"/>
      <c r="C58" s="3514"/>
      <c r="D58" s="3514"/>
      <c r="E58" s="3514"/>
      <c r="F58" s="3514"/>
      <c r="G58" s="3514"/>
      <c r="H58" s="3515"/>
      <c r="I58" s="3519"/>
      <c r="J58" s="3520"/>
      <c r="K58" s="3520"/>
      <c r="L58" s="3521"/>
      <c r="M58" s="3519"/>
      <c r="N58" s="3520"/>
      <c r="O58" s="3520"/>
      <c r="P58" s="3521"/>
      <c r="Q58" s="3519"/>
      <c r="R58" s="3520"/>
      <c r="S58" s="3520"/>
      <c r="T58" s="3521"/>
      <c r="U58" s="227"/>
      <c r="V58" s="227"/>
      <c r="W58" s="227"/>
      <c r="X58" s="227"/>
      <c r="Y58" s="227"/>
      <c r="Z58" s="638"/>
      <c r="AA58" s="227"/>
      <c r="AB58" s="227"/>
      <c r="AC58" s="227"/>
      <c r="AD58" s="227"/>
      <c r="AE58" s="227"/>
      <c r="AF58" s="227"/>
    </row>
    <row r="59" spans="1:38" x14ac:dyDescent="0.25">
      <c r="A59" s="3525" t="s">
        <v>3684</v>
      </c>
      <c r="B59" s="3525"/>
      <c r="C59" s="3525"/>
      <c r="D59" s="3525"/>
      <c r="E59" s="3525"/>
      <c r="F59" s="3525"/>
      <c r="G59" s="3525"/>
      <c r="H59" s="3525"/>
      <c r="I59" s="3500">
        <f>2*24</f>
        <v>48</v>
      </c>
      <c r="J59" s="3501"/>
      <c r="K59" s="3501"/>
      <c r="L59" s="3502"/>
      <c r="M59" s="3500">
        <f>2*13</f>
        <v>26</v>
      </c>
      <c r="N59" s="3501"/>
      <c r="O59" s="3501"/>
      <c r="P59" s="3502"/>
      <c r="Q59" s="3500">
        <f>ROUND(14856/Q50,0)</f>
        <v>6</v>
      </c>
      <c r="R59" s="3501"/>
      <c r="S59" s="3501"/>
      <c r="T59" s="3502"/>
      <c r="U59" s="227"/>
      <c r="V59" s="227"/>
      <c r="W59" s="227"/>
      <c r="X59" s="227"/>
      <c r="Y59" s="227"/>
      <c r="Z59" s="638"/>
      <c r="AA59" s="227"/>
      <c r="AB59" s="227"/>
      <c r="AC59" s="227"/>
      <c r="AD59" s="227"/>
      <c r="AE59" s="227"/>
      <c r="AF59" s="227"/>
    </row>
    <row r="60" spans="1:38" x14ac:dyDescent="0.25">
      <c r="A60" s="3525" t="s">
        <v>3685</v>
      </c>
      <c r="B60" s="3525"/>
      <c r="C60" s="3525"/>
      <c r="D60" s="3525"/>
      <c r="E60" s="3525"/>
      <c r="F60" s="3525"/>
      <c r="G60" s="3525"/>
      <c r="H60" s="3525"/>
      <c r="I60" s="3528">
        <v>24</v>
      </c>
      <c r="J60" s="3528"/>
      <c r="K60" s="3528"/>
      <c r="L60" s="3528"/>
      <c r="M60" s="3528">
        <v>10</v>
      </c>
      <c r="N60" s="3528"/>
      <c r="O60" s="3528"/>
      <c r="P60" s="3528"/>
      <c r="Q60" s="3500">
        <f>ROUND(14856/Q50,0)</f>
        <v>6</v>
      </c>
      <c r="R60" s="3501"/>
      <c r="S60" s="3501"/>
      <c r="T60" s="3502"/>
      <c r="U60" s="990"/>
      <c r="V60" s="227"/>
      <c r="W60" s="227"/>
      <c r="X60" s="227"/>
      <c r="Y60" s="227"/>
      <c r="Z60" s="638"/>
      <c r="AA60" s="227"/>
      <c r="AB60" s="227"/>
      <c r="AC60" s="227"/>
      <c r="AD60" s="227"/>
      <c r="AE60" s="227"/>
      <c r="AF60" s="227"/>
    </row>
    <row r="61" spans="1:38" x14ac:dyDescent="0.25">
      <c r="A61" s="654"/>
      <c r="B61" s="654"/>
      <c r="C61" s="654"/>
      <c r="D61" s="654"/>
      <c r="E61" s="654"/>
      <c r="F61" s="654"/>
      <c r="G61" s="654"/>
      <c r="H61" s="654"/>
      <c r="I61" s="654"/>
      <c r="J61" s="654"/>
      <c r="K61" s="654"/>
      <c r="L61" s="654"/>
      <c r="M61" s="654"/>
      <c r="N61" s="654"/>
      <c r="O61" s="654"/>
      <c r="P61" s="654"/>
      <c r="Q61" s="654"/>
      <c r="R61" s="654"/>
      <c r="S61" s="654"/>
      <c r="T61" s="654"/>
      <c r="U61" s="654"/>
      <c r="V61" s="654"/>
      <c r="W61" s="654"/>
      <c r="X61" s="654"/>
      <c r="Y61" s="654"/>
      <c r="Z61" s="654"/>
      <c r="AA61" s="654"/>
      <c r="AB61" s="654"/>
      <c r="AC61" s="654"/>
      <c r="AD61" s="654"/>
      <c r="AE61" s="654"/>
      <c r="AF61" s="654"/>
      <c r="AL61" s="638"/>
    </row>
    <row r="62" spans="1:38" x14ac:dyDescent="0.25">
      <c r="A62" s="227"/>
      <c r="B62" s="227"/>
      <c r="C62" s="227"/>
      <c r="D62" s="227"/>
      <c r="E62" s="227"/>
      <c r="F62" s="227"/>
      <c r="G62" s="227"/>
      <c r="H62" s="227"/>
      <c r="I62" s="227"/>
      <c r="J62" s="227"/>
      <c r="K62" s="227"/>
      <c r="L62" s="227"/>
      <c r="M62" s="227"/>
      <c r="N62" s="227"/>
      <c r="O62" s="227"/>
      <c r="P62" s="227"/>
      <c r="Q62" s="227"/>
      <c r="R62" s="227"/>
      <c r="S62" s="227"/>
      <c r="T62" s="227"/>
      <c r="U62" s="227"/>
      <c r="V62" s="227"/>
      <c r="W62" s="227"/>
      <c r="X62" s="227"/>
      <c r="Y62" s="227"/>
      <c r="Z62" s="227"/>
      <c r="AA62" s="227"/>
      <c r="AB62" s="227"/>
      <c r="AC62" s="227"/>
      <c r="AD62" s="227"/>
      <c r="AE62" s="227"/>
      <c r="AF62" s="227"/>
      <c r="AL62" s="638"/>
    </row>
    <row r="63" spans="1:38" x14ac:dyDescent="0.25">
      <c r="A63" s="3458" t="s">
        <v>7123</v>
      </c>
      <c r="B63" s="3458"/>
      <c r="C63" s="3458"/>
      <c r="D63" s="3458"/>
      <c r="E63" s="3458"/>
      <c r="F63" s="3458"/>
      <c r="G63" s="3458"/>
      <c r="H63" s="3458"/>
      <c r="I63" s="3458"/>
      <c r="J63" s="3458"/>
      <c r="K63" s="3458"/>
      <c r="L63" s="3458"/>
      <c r="M63" s="3458"/>
      <c r="N63" s="3458"/>
      <c r="O63" s="3458"/>
      <c r="P63" s="3458"/>
      <c r="Q63" s="3458"/>
      <c r="R63" s="3458"/>
      <c r="S63" s="3458"/>
      <c r="T63" s="3458"/>
      <c r="U63" s="3458"/>
      <c r="V63" s="3458"/>
      <c r="W63" s="3458"/>
      <c r="X63" s="3458"/>
      <c r="Y63" s="3458"/>
      <c r="Z63" s="3458"/>
      <c r="AA63" s="3458"/>
      <c r="AB63" s="3458"/>
      <c r="AC63" s="3458"/>
      <c r="AD63" s="3458"/>
      <c r="AE63" s="3458"/>
      <c r="AF63" s="3458"/>
      <c r="AL63" s="638"/>
    </row>
    <row r="64" spans="1:38" ht="15.75" thickBot="1" x14ac:dyDescent="0.3">
      <c r="A64" s="190"/>
      <c r="B64" s="190"/>
      <c r="C64" s="190"/>
      <c r="D64" s="190"/>
      <c r="E64" s="190"/>
      <c r="F64" s="190"/>
      <c r="G64" s="190"/>
      <c r="H64" s="190"/>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L64" s="638"/>
    </row>
    <row r="65" spans="1:38" ht="15.75" thickBot="1" x14ac:dyDescent="0.3">
      <c r="A65" s="3503" t="s">
        <v>22</v>
      </c>
      <c r="B65" s="3504"/>
      <c r="C65" s="3504"/>
      <c r="D65" s="3504"/>
      <c r="E65" s="3504"/>
      <c r="F65" s="3504"/>
      <c r="G65" s="3504"/>
      <c r="H65" s="3504"/>
      <c r="I65" s="3529" t="s">
        <v>23</v>
      </c>
      <c r="J65" s="3530"/>
      <c r="K65" s="3530"/>
      <c r="L65" s="3530"/>
      <c r="M65" s="3530"/>
      <c r="N65" s="3530"/>
      <c r="O65" s="3530"/>
      <c r="P65" s="3531"/>
      <c r="Q65" s="3504" t="s">
        <v>24</v>
      </c>
      <c r="R65" s="3504"/>
      <c r="S65" s="3504"/>
      <c r="T65" s="3504"/>
      <c r="U65" s="3504"/>
      <c r="V65" s="3504"/>
      <c r="W65" s="3504"/>
      <c r="X65" s="3504"/>
      <c r="Y65" s="3504" t="s">
        <v>2012</v>
      </c>
      <c r="Z65" s="3504"/>
      <c r="AA65" s="3504"/>
      <c r="AB65" s="3504"/>
      <c r="AC65" s="3504"/>
      <c r="AD65" s="3504"/>
      <c r="AE65" s="3504"/>
      <c r="AF65" s="3505"/>
      <c r="AL65" s="638"/>
    </row>
    <row r="66" spans="1:38" x14ac:dyDescent="0.25">
      <c r="A66" s="3489" t="s">
        <v>3684</v>
      </c>
      <c r="B66" s="3490"/>
      <c r="C66" s="3490"/>
      <c r="D66" s="3490"/>
      <c r="E66" s="3490"/>
      <c r="F66" s="3490"/>
      <c r="G66" s="3490"/>
      <c r="H66" s="3490"/>
      <c r="I66" s="3532">
        <f>ROUND(((I59-M59)/1000)*Q48*Q49*Q51,3)</f>
        <v>1.2999999999999999E-2</v>
      </c>
      <c r="J66" s="3533"/>
      <c r="K66" s="3533"/>
      <c r="L66" s="3533"/>
      <c r="M66" s="3533"/>
      <c r="N66" s="3533"/>
      <c r="O66" s="3533"/>
      <c r="P66" s="3534"/>
      <c r="Q66" s="3486">
        <f>ROUND(((I59-M59)/1000)*Q48*Q50*Q51,2)</f>
        <v>52.82</v>
      </c>
      <c r="R66" s="3486"/>
      <c r="S66" s="3486"/>
      <c r="T66" s="3486"/>
      <c r="U66" s="3486"/>
      <c r="V66" s="3486"/>
      <c r="W66" s="3486"/>
      <c r="X66" s="3486"/>
      <c r="Y66" s="3535">
        <f>Q66*Q59</f>
        <v>316.92</v>
      </c>
      <c r="Z66" s="3535"/>
      <c r="AA66" s="3535"/>
      <c r="AB66" s="3535"/>
      <c r="AC66" s="3535"/>
      <c r="AD66" s="3535"/>
      <c r="AE66" s="3535"/>
      <c r="AF66" s="3536"/>
      <c r="AL66" s="638"/>
    </row>
    <row r="67" spans="1:38" ht="15.75" thickBot="1" x14ac:dyDescent="0.3">
      <c r="A67" s="3208" t="s">
        <v>3685</v>
      </c>
      <c r="B67" s="3209"/>
      <c r="C67" s="3209"/>
      <c r="D67" s="3209"/>
      <c r="E67" s="3209"/>
      <c r="F67" s="3209"/>
      <c r="G67" s="3209"/>
      <c r="H67" s="3209"/>
      <c r="I67" s="3522">
        <f>ROUND(((I60-M60)/1000)*Q48*Q49*Q51,3)</f>
        <v>8.0000000000000002E-3</v>
      </c>
      <c r="J67" s="3523"/>
      <c r="K67" s="3523"/>
      <c r="L67" s="3523"/>
      <c r="M67" s="3523"/>
      <c r="N67" s="3523"/>
      <c r="O67" s="3523"/>
      <c r="P67" s="3524"/>
      <c r="Q67" s="3211">
        <f>ROUND(((I60-M60)/1000)*Q48*Q50*Q51,2)</f>
        <v>33.61</v>
      </c>
      <c r="R67" s="3211"/>
      <c r="S67" s="3211"/>
      <c r="T67" s="3211"/>
      <c r="U67" s="3211"/>
      <c r="V67" s="3211"/>
      <c r="W67" s="3211"/>
      <c r="X67" s="3211"/>
      <c r="Y67" s="3526">
        <f>Q67*Q60</f>
        <v>201.66</v>
      </c>
      <c r="Z67" s="3526"/>
      <c r="AA67" s="3526"/>
      <c r="AB67" s="3526"/>
      <c r="AC67" s="3526"/>
      <c r="AD67" s="3526"/>
      <c r="AE67" s="3526"/>
      <c r="AF67" s="3527"/>
      <c r="AL67" s="638"/>
    </row>
    <row r="68" spans="1:38" x14ac:dyDescent="0.25">
      <c r="A68" s="635"/>
      <c r="B68" s="636"/>
      <c r="C68" s="636"/>
      <c r="D68" s="311"/>
      <c r="E68" s="311"/>
      <c r="F68" s="311"/>
      <c r="G68" s="311"/>
      <c r="H68" s="311"/>
      <c r="I68" s="311"/>
      <c r="J68" s="227"/>
      <c r="K68" s="227"/>
      <c r="L68" s="227"/>
      <c r="M68" s="227"/>
      <c r="N68" s="227"/>
      <c r="O68" s="227"/>
      <c r="P68" s="227"/>
      <c r="Q68" s="227"/>
      <c r="R68" s="227"/>
      <c r="S68" s="227"/>
      <c r="T68" s="227"/>
      <c r="U68" s="227"/>
      <c r="V68" s="227"/>
      <c r="W68" s="227"/>
      <c r="X68" s="227"/>
      <c r="Y68" s="227"/>
      <c r="Z68" s="227"/>
      <c r="AA68" s="227"/>
      <c r="AB68" s="227"/>
      <c r="AC68" s="227"/>
      <c r="AD68" s="227"/>
      <c r="AE68" s="227"/>
      <c r="AF68" s="227"/>
      <c r="AL68" s="638"/>
    </row>
    <row r="69" spans="1:38" x14ac:dyDescent="0.25">
      <c r="A69" s="1385" t="s">
        <v>1753</v>
      </c>
      <c r="B69" s="1386"/>
      <c r="C69" s="1386"/>
      <c r="D69" s="1386"/>
      <c r="E69" s="1386"/>
      <c r="F69" s="1386"/>
      <c r="G69" s="1386"/>
      <c r="H69" s="1386"/>
      <c r="I69" s="1386"/>
      <c r="J69" s="1386"/>
      <c r="K69" s="1386"/>
      <c r="L69" s="1386"/>
      <c r="M69" s="1386"/>
      <c r="N69" s="1386"/>
      <c r="O69" s="1386"/>
      <c r="P69" s="1386"/>
      <c r="Q69" s="1386"/>
      <c r="R69" s="1386"/>
      <c r="S69" s="1386"/>
      <c r="T69" s="1386"/>
      <c r="U69" s="1386"/>
      <c r="V69" s="1386"/>
      <c r="W69" s="1386"/>
      <c r="X69" s="1386"/>
      <c r="Y69" s="1386"/>
      <c r="Z69" s="1386"/>
      <c r="AA69" s="1386"/>
      <c r="AB69" s="1386"/>
      <c r="AC69" s="1386"/>
      <c r="AD69" s="1386"/>
      <c r="AE69" s="1386"/>
      <c r="AF69" s="1387"/>
      <c r="AL69" s="638"/>
    </row>
    <row r="70" spans="1:38" x14ac:dyDescent="0.25">
      <c r="A70" s="227"/>
      <c r="B70" s="227"/>
      <c r="C70" s="227"/>
      <c r="D70" s="227"/>
      <c r="E70" s="227"/>
      <c r="F70" s="227"/>
      <c r="G70" s="227"/>
      <c r="H70" s="227"/>
      <c r="I70" s="227"/>
      <c r="J70" s="227"/>
      <c r="K70" s="227"/>
      <c r="L70" s="227"/>
      <c r="M70" s="227"/>
      <c r="N70" s="227"/>
      <c r="O70" s="227"/>
      <c r="P70" s="227"/>
      <c r="Q70" s="227"/>
      <c r="R70" s="227"/>
      <c r="S70" s="227"/>
      <c r="T70" s="227"/>
      <c r="U70" s="227"/>
      <c r="V70" s="227"/>
      <c r="W70" s="227"/>
      <c r="X70" s="227"/>
      <c r="Y70" s="227"/>
      <c r="Z70" s="227"/>
      <c r="AA70" s="227"/>
      <c r="AB70" s="227"/>
      <c r="AC70" s="227"/>
      <c r="AD70" s="227"/>
      <c r="AE70" s="227"/>
      <c r="AF70" s="227"/>
      <c r="AL70" s="638"/>
    </row>
    <row r="71" spans="1:38" x14ac:dyDescent="0.25">
      <c r="A71" s="517" t="s">
        <v>1013</v>
      </c>
      <c r="B71" s="1168" t="s">
        <v>7127</v>
      </c>
      <c r="C71" s="1168"/>
      <c r="D71" s="1168"/>
      <c r="E71" s="1168"/>
      <c r="F71" s="1168"/>
      <c r="G71" s="1168"/>
      <c r="H71" s="1168"/>
      <c r="I71" s="1168"/>
      <c r="J71" s="1168"/>
      <c r="K71" s="1168"/>
      <c r="L71" s="1168"/>
      <c r="M71" s="1168"/>
      <c r="N71" s="1168"/>
      <c r="O71" s="1168"/>
      <c r="P71" s="1168"/>
      <c r="Q71" s="1168"/>
      <c r="R71" s="1168"/>
      <c r="S71" s="1168"/>
      <c r="T71" s="1168"/>
      <c r="U71" s="1168"/>
      <c r="V71" s="1168"/>
      <c r="W71" s="1168"/>
      <c r="X71" s="1168"/>
      <c r="Y71" s="1168"/>
      <c r="Z71" s="1168"/>
      <c r="AA71" s="1168"/>
      <c r="AB71" s="1168"/>
      <c r="AC71" s="1168"/>
      <c r="AD71" s="1168"/>
      <c r="AE71" s="1168"/>
      <c r="AF71" s="1168"/>
      <c r="AL71" s="638"/>
    </row>
    <row r="72" spans="1:38" ht="15" customHeight="1" x14ac:dyDescent="0.25">
      <c r="A72" s="517" t="s">
        <v>1013</v>
      </c>
      <c r="B72" s="1168" t="s">
        <v>5692</v>
      </c>
      <c r="C72" s="1168"/>
      <c r="D72" s="1168"/>
      <c r="E72" s="1168"/>
      <c r="F72" s="1168"/>
      <c r="G72" s="1168"/>
      <c r="H72" s="1168"/>
      <c r="I72" s="1168"/>
      <c r="J72" s="1168"/>
      <c r="K72" s="1168"/>
      <c r="L72" s="1168"/>
      <c r="M72" s="1168"/>
      <c r="N72" s="1168"/>
      <c r="O72" s="1168"/>
      <c r="P72" s="1168"/>
      <c r="Q72" s="1168"/>
      <c r="R72" s="1168"/>
      <c r="S72" s="1168"/>
      <c r="T72" s="1168"/>
      <c r="U72" s="1168"/>
      <c r="V72" s="1168"/>
      <c r="W72" s="1168"/>
      <c r="X72" s="1168"/>
      <c r="Y72" s="1168"/>
      <c r="Z72" s="1168"/>
      <c r="AA72" s="1168"/>
      <c r="AB72" s="1168"/>
      <c r="AC72" s="1168"/>
      <c r="AD72" s="1168"/>
      <c r="AE72" s="1168"/>
      <c r="AF72" s="1168"/>
      <c r="AL72" s="638"/>
    </row>
    <row r="73" spans="1:38" ht="15" customHeight="1" x14ac:dyDescent="0.25">
      <c r="A73" s="517" t="s">
        <v>1013</v>
      </c>
      <c r="B73" s="1173" t="s">
        <v>4610</v>
      </c>
      <c r="C73" s="1173"/>
      <c r="D73" s="1173"/>
      <c r="E73" s="1173"/>
      <c r="F73" s="1173"/>
      <c r="G73" s="1173"/>
      <c r="H73" s="1173"/>
      <c r="I73" s="1173"/>
      <c r="J73" s="1173"/>
      <c r="K73" s="1173"/>
      <c r="L73" s="1173"/>
      <c r="M73" s="1173"/>
      <c r="N73" s="1173"/>
      <c r="O73" s="1173"/>
      <c r="P73" s="1173"/>
      <c r="Q73" s="1173"/>
      <c r="R73" s="1173"/>
      <c r="S73" s="1173"/>
      <c r="T73" s="1173"/>
      <c r="U73" s="1173"/>
      <c r="V73" s="1173"/>
      <c r="W73" s="1173"/>
      <c r="X73" s="1173"/>
      <c r="Y73" s="1173"/>
      <c r="Z73" s="1173"/>
      <c r="AA73" s="1173"/>
      <c r="AB73" s="1173"/>
      <c r="AC73" s="1173"/>
      <c r="AD73" s="1173"/>
      <c r="AE73" s="1173"/>
      <c r="AF73" s="1173"/>
      <c r="AL73" s="638"/>
    </row>
    <row r="74" spans="1:38" ht="33" customHeight="1" x14ac:dyDescent="0.25">
      <c r="A74" s="517" t="s">
        <v>1013</v>
      </c>
      <c r="B74" s="1168" t="s">
        <v>4583</v>
      </c>
      <c r="C74" s="1168"/>
      <c r="D74" s="1168"/>
      <c r="E74" s="1168"/>
      <c r="F74" s="1168"/>
      <c r="G74" s="1168"/>
      <c r="H74" s="1168"/>
      <c r="I74" s="1168"/>
      <c r="J74" s="1168"/>
      <c r="K74" s="1168"/>
      <c r="L74" s="1168"/>
      <c r="M74" s="1168"/>
      <c r="N74" s="1168"/>
      <c r="O74" s="1168"/>
      <c r="P74" s="1168"/>
      <c r="Q74" s="1168"/>
      <c r="R74" s="1168"/>
      <c r="S74" s="1168"/>
      <c r="T74" s="1168"/>
      <c r="U74" s="1168"/>
      <c r="V74" s="1168"/>
      <c r="W74" s="1168"/>
      <c r="X74" s="1168"/>
      <c r="Y74" s="1168"/>
      <c r="Z74" s="1168"/>
      <c r="AA74" s="1168"/>
      <c r="AB74" s="1168"/>
      <c r="AC74" s="1168"/>
      <c r="AD74" s="1168"/>
      <c r="AE74" s="1168"/>
      <c r="AF74" s="1168"/>
      <c r="AL74" s="638"/>
    </row>
    <row r="75" spans="1:38" ht="30" customHeight="1" x14ac:dyDescent="0.25">
      <c r="A75" s="517" t="s">
        <v>1013</v>
      </c>
      <c r="B75" s="1173" t="s">
        <v>5700</v>
      </c>
      <c r="C75" s="1173"/>
      <c r="D75" s="1173"/>
      <c r="E75" s="1173"/>
      <c r="F75" s="1173"/>
      <c r="G75" s="1173"/>
      <c r="H75" s="1173"/>
      <c r="I75" s="1173"/>
      <c r="J75" s="1173"/>
      <c r="K75" s="1173"/>
      <c r="L75" s="1173"/>
      <c r="M75" s="1173"/>
      <c r="N75" s="1173"/>
      <c r="O75" s="1173"/>
      <c r="P75" s="1173"/>
      <c r="Q75" s="1173"/>
      <c r="R75" s="1173"/>
      <c r="S75" s="1173"/>
      <c r="T75" s="1173"/>
      <c r="U75" s="1173"/>
      <c r="V75" s="1173"/>
      <c r="W75" s="1173"/>
      <c r="X75" s="1173"/>
      <c r="Y75" s="1173"/>
      <c r="Z75" s="1173"/>
      <c r="AA75" s="1173"/>
      <c r="AB75" s="1173"/>
      <c r="AC75" s="1173"/>
      <c r="AD75" s="1173"/>
      <c r="AE75" s="1173"/>
      <c r="AF75" s="1173"/>
      <c r="AL75" s="638"/>
    </row>
    <row r="76" spans="1:38" ht="15" customHeight="1" x14ac:dyDescent="0.25">
      <c r="A76" s="517" t="s">
        <v>1013</v>
      </c>
      <c r="B76" s="1173" t="s">
        <v>5702</v>
      </c>
      <c r="C76" s="1173"/>
      <c r="D76" s="1173"/>
      <c r="E76" s="1173"/>
      <c r="F76" s="1173"/>
      <c r="G76" s="1173"/>
      <c r="H76" s="1173"/>
      <c r="I76" s="1173"/>
      <c r="J76" s="1173"/>
      <c r="K76" s="1173"/>
      <c r="L76" s="1173"/>
      <c r="M76" s="1173"/>
      <c r="N76" s="1173"/>
      <c r="O76" s="1173"/>
      <c r="P76" s="1173"/>
      <c r="Q76" s="1173"/>
      <c r="R76" s="1173"/>
      <c r="S76" s="1173"/>
      <c r="T76" s="1173"/>
      <c r="U76" s="1173"/>
      <c r="V76" s="1173"/>
      <c r="W76" s="1173"/>
      <c r="X76" s="1173"/>
      <c r="Y76" s="1173"/>
      <c r="Z76" s="1173"/>
      <c r="AA76" s="1173"/>
      <c r="AB76" s="1173"/>
      <c r="AC76" s="1173"/>
      <c r="AD76" s="1173"/>
      <c r="AE76" s="1173"/>
      <c r="AF76" s="1173"/>
      <c r="AL76" s="638"/>
    </row>
    <row r="77" spans="1:38" ht="30.75" customHeight="1" x14ac:dyDescent="0.25">
      <c r="A77" s="517" t="s">
        <v>1013</v>
      </c>
      <c r="B77" s="1173" t="s">
        <v>3687</v>
      </c>
      <c r="C77" s="1173"/>
      <c r="D77" s="1173"/>
      <c r="E77" s="1173"/>
      <c r="F77" s="1173"/>
      <c r="G77" s="1173"/>
      <c r="H77" s="1173"/>
      <c r="I77" s="1173"/>
      <c r="J77" s="1173"/>
      <c r="K77" s="1173"/>
      <c r="L77" s="1173"/>
      <c r="M77" s="1173"/>
      <c r="N77" s="1173"/>
      <c r="O77" s="1173"/>
      <c r="P77" s="1173"/>
      <c r="Q77" s="1173"/>
      <c r="R77" s="1173"/>
      <c r="S77" s="1173"/>
      <c r="T77" s="1173"/>
      <c r="U77" s="1173"/>
      <c r="V77" s="1173"/>
      <c r="W77" s="1173"/>
      <c r="X77" s="1173"/>
      <c r="Y77" s="1173"/>
      <c r="Z77" s="1173"/>
      <c r="AA77" s="1173"/>
      <c r="AB77" s="1173"/>
      <c r="AC77" s="1173"/>
      <c r="AD77" s="1173"/>
      <c r="AE77" s="1173"/>
      <c r="AF77" s="1173"/>
      <c r="AL77" s="638"/>
    </row>
    <row r="78" spans="1:38" x14ac:dyDescent="0.25">
      <c r="A78" s="227"/>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row>
    <row r="79" spans="1:38" x14ac:dyDescent="0.25">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row>
    <row r="80" spans="1:38" x14ac:dyDescent="0.25">
      <c r="A80" s="227"/>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row>
    <row r="81" spans="1:32" x14ac:dyDescent="0.25">
      <c r="A81" s="227"/>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row>
    <row r="82" spans="1:32" x14ac:dyDescent="0.25">
      <c r="A82" s="227"/>
      <c r="B82" s="227"/>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row>
    <row r="83" spans="1:32" x14ac:dyDescent="0.25">
      <c r="A83" s="227"/>
      <c r="B83" s="227"/>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row>
    <row r="84" spans="1:32" ht="42.95" customHeight="1" x14ac:dyDescent="0.25">
      <c r="A84" s="227"/>
      <c r="B84" s="227"/>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row>
    <row r="85" spans="1:32" x14ac:dyDescent="0.25">
      <c r="A85" s="227"/>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row>
    <row r="86" spans="1:32" x14ac:dyDescent="0.25">
      <c r="A86" s="227"/>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row>
    <row r="87" spans="1:32" x14ac:dyDescent="0.25">
      <c r="A87" s="227"/>
      <c r="B87" s="227"/>
      <c r="C87" s="227"/>
      <c r="D87" s="227"/>
      <c r="E87" s="227"/>
      <c r="F87" s="227"/>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c r="AE87" s="227"/>
      <c r="AF87" s="227"/>
    </row>
    <row r="88" spans="1:32" x14ac:dyDescent="0.25">
      <c r="A88" s="227"/>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row>
    <row r="89" spans="1:32" x14ac:dyDescent="0.25">
      <c r="A89" s="227"/>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row>
    <row r="103" ht="15" customHeight="1" x14ac:dyDescent="0.25"/>
    <row r="104" ht="30.75" customHeight="1" x14ac:dyDescent="0.25"/>
    <row r="105" ht="31.5" customHeight="1" x14ac:dyDescent="0.25"/>
    <row r="106" ht="15" customHeight="1" x14ac:dyDescent="0.25"/>
    <row r="107" ht="30" customHeight="1" x14ac:dyDescent="0.25"/>
  </sheetData>
  <sheetProtection algorithmName="SHA-512" hashValue="vMPHVAvoC8m+iHDMFY0LhUvrx0/8W6cbnSwUHk/XqFJ+zSQFvfXRjViTN25nvb4W0sVrOhoA3pJWiOVjPXAXjA==" saltValue="Xfb1zweha6k0O5opg369oQ==" spinCount="100000" sheet="1" objects="1" scenarios="1"/>
  <mergeCells count="94">
    <mergeCell ref="Q67:X67"/>
    <mergeCell ref="Y67:AF67"/>
    <mergeCell ref="A69:AF69"/>
    <mergeCell ref="A60:H60"/>
    <mergeCell ref="I60:L60"/>
    <mergeCell ref="M60:P60"/>
    <mergeCell ref="Q60:T60"/>
    <mergeCell ref="A63:AF63"/>
    <mergeCell ref="A65:H65"/>
    <mergeCell ref="I65:P65"/>
    <mergeCell ref="Q65:X65"/>
    <mergeCell ref="Y65:AF65"/>
    <mergeCell ref="A66:H66"/>
    <mergeCell ref="I66:P66"/>
    <mergeCell ref="Q66:X66"/>
    <mergeCell ref="Y66:AF66"/>
    <mergeCell ref="A67:H67"/>
    <mergeCell ref="I67:P67"/>
    <mergeCell ref="A59:H59"/>
    <mergeCell ref="I59:L59"/>
    <mergeCell ref="M59:P59"/>
    <mergeCell ref="Q59:T59"/>
    <mergeCell ref="A51:D51"/>
    <mergeCell ref="E51:P51"/>
    <mergeCell ref="Q51:T51"/>
    <mergeCell ref="A53:AF53"/>
    <mergeCell ref="A57:H58"/>
    <mergeCell ref="I57:L58"/>
    <mergeCell ref="M57:P58"/>
    <mergeCell ref="Q57:T58"/>
    <mergeCell ref="U51:W51"/>
    <mergeCell ref="X51:AF51"/>
    <mergeCell ref="A52:D52"/>
    <mergeCell ref="E52:P52"/>
    <mergeCell ref="Q52:T52"/>
    <mergeCell ref="U52:W52"/>
    <mergeCell ref="X52:AF52"/>
    <mergeCell ref="A49:D49"/>
    <mergeCell ref="E49:P49"/>
    <mergeCell ref="Q49:T49"/>
    <mergeCell ref="U49:W49"/>
    <mergeCell ref="X49:AF49"/>
    <mergeCell ref="A50:D50"/>
    <mergeCell ref="E50:P50"/>
    <mergeCell ref="Q50:T50"/>
    <mergeCell ref="U50:W50"/>
    <mergeCell ref="X50:AF50"/>
    <mergeCell ref="A47:D47"/>
    <mergeCell ref="E47:P47"/>
    <mergeCell ref="Q47:T47"/>
    <mergeCell ref="U47:W47"/>
    <mergeCell ref="X47:AF47"/>
    <mergeCell ref="A48:D48"/>
    <mergeCell ref="E48:P48"/>
    <mergeCell ref="Q48:T48"/>
    <mergeCell ref="U48:W48"/>
    <mergeCell ref="X48:AF48"/>
    <mergeCell ref="B24:AF24"/>
    <mergeCell ref="B26:AF26"/>
    <mergeCell ref="B28:AF28"/>
    <mergeCell ref="B71:AF71"/>
    <mergeCell ref="A46:D46"/>
    <mergeCell ref="E46:P46"/>
    <mergeCell ref="Q46:T46"/>
    <mergeCell ref="U46:W46"/>
    <mergeCell ref="X46:AF46"/>
    <mergeCell ref="A30:AF30"/>
    <mergeCell ref="A44:AF44"/>
    <mergeCell ref="A45:D45"/>
    <mergeCell ref="E45:P45"/>
    <mergeCell ref="Q45:T45"/>
    <mergeCell ref="U45:W45"/>
    <mergeCell ref="X45:AF45"/>
    <mergeCell ref="B18:I18"/>
    <mergeCell ref="B19:AF19"/>
    <mergeCell ref="B20:AF20"/>
    <mergeCell ref="B22:J22"/>
    <mergeCell ref="B23:AF23"/>
    <mergeCell ref="B72:AF72"/>
    <mergeCell ref="B75:AF75"/>
    <mergeCell ref="B76:AF76"/>
    <mergeCell ref="B77:AF77"/>
    <mergeCell ref="A1:AF1"/>
    <mergeCell ref="A3:AF3"/>
    <mergeCell ref="B5:AF5"/>
    <mergeCell ref="A7:AF7"/>
    <mergeCell ref="B9:I9"/>
    <mergeCell ref="B73:AF73"/>
    <mergeCell ref="B74:AF74"/>
    <mergeCell ref="B10:AF10"/>
    <mergeCell ref="B12:I12"/>
    <mergeCell ref="B13:AF13"/>
    <mergeCell ref="B15:I15"/>
    <mergeCell ref="B16:AF16"/>
  </mergeCells>
  <hyperlinks>
    <hyperlink ref="A2" location="TOC!A1" display="Return to TOC" xr:uid="{2FE15CB9-F119-4C79-BA7F-C0894CC3B98A}"/>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4:AF42" numberStoredAsText="1"/>
  </ignoredError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8" tint="0.79998168889431442"/>
    <pageSetUpPr autoPageBreaks="0"/>
  </sheetPr>
  <dimension ref="A1:AJ121"/>
  <sheetViews>
    <sheetView workbookViewId="0">
      <selection sqref="A1:AF1"/>
    </sheetView>
  </sheetViews>
  <sheetFormatPr defaultColWidth="2.7109375" defaultRowHeight="15" x14ac:dyDescent="0.25"/>
  <sheetData>
    <row r="1" spans="1:32" ht="18.75" x14ac:dyDescent="0.25">
      <c r="A1" s="1464" t="s">
        <v>3543</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x14ac:dyDescent="0.25">
      <c r="A2" s="376" t="s">
        <v>1702</v>
      </c>
    </row>
    <row r="3" spans="1:32"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row>
    <row r="4" spans="1:32"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row>
    <row r="5" spans="1:32" x14ac:dyDescent="0.25">
      <c r="A5" s="262"/>
      <c r="B5" s="1589" t="s">
        <v>3650</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2" x14ac:dyDescent="0.25">
      <c r="A6" s="529"/>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row>
    <row r="8" spans="1:32" x14ac:dyDescent="0.25">
      <c r="A8" s="19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row>
    <row r="9" spans="1:32"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row>
    <row r="10" spans="1:32" x14ac:dyDescent="0.25">
      <c r="A10" s="263"/>
      <c r="B10" s="1589" t="s">
        <v>3690</v>
      </c>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row>
    <row r="11" spans="1:32"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row>
    <row r="12" spans="1:32"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row>
    <row r="13" spans="1:32" ht="30.6" customHeight="1" x14ac:dyDescent="0.25">
      <c r="A13" s="262"/>
      <c r="B13" s="1589" t="s">
        <v>3722</v>
      </c>
      <c r="C13" s="1589"/>
      <c r="D13" s="1589"/>
      <c r="E13" s="1589"/>
      <c r="F13" s="1589"/>
      <c r="G13" s="1589"/>
      <c r="H13" s="1589"/>
      <c r="I13" s="1589"/>
      <c r="J13" s="1589"/>
      <c r="K13" s="1589"/>
      <c r="L13" s="1589"/>
      <c r="M13" s="1589"/>
      <c r="N13" s="1589"/>
      <c r="O13" s="1589"/>
      <c r="P13" s="1589"/>
      <c r="Q13" s="1589"/>
      <c r="R13" s="1589"/>
      <c r="S13" s="1589"/>
      <c r="T13" s="1589"/>
      <c r="U13" s="1589"/>
      <c r="V13" s="1589"/>
      <c r="W13" s="1589"/>
      <c r="X13" s="1589"/>
      <c r="Y13" s="1589"/>
      <c r="Z13" s="1589"/>
      <c r="AA13" s="1589"/>
      <c r="AB13" s="1589"/>
      <c r="AC13" s="1589"/>
      <c r="AD13" s="1589"/>
      <c r="AE13" s="1589"/>
      <c r="AF13" s="1589"/>
    </row>
    <row r="14" spans="1:32" x14ac:dyDescent="0.2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row>
    <row r="15" spans="1:32" x14ac:dyDescent="0.25">
      <c r="A15" s="262"/>
      <c r="B15" s="1845" t="s">
        <v>12</v>
      </c>
      <c r="C15" s="1845"/>
      <c r="D15" s="1845"/>
      <c r="E15" s="1845"/>
      <c r="F15" s="1845"/>
      <c r="G15" s="1845"/>
      <c r="H15" s="1845"/>
      <c r="I15" s="1845"/>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row>
    <row r="16" spans="1:32" x14ac:dyDescent="0.25">
      <c r="A16" s="262"/>
      <c r="B16" s="1703" t="s">
        <v>3691</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row>
    <row r="17" spans="1:32" x14ac:dyDescent="0.25">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row>
    <row r="18" spans="1:32" x14ac:dyDescent="0.25">
      <c r="A18" s="262"/>
      <c r="B18" s="1845" t="s">
        <v>13</v>
      </c>
      <c r="C18" s="1845"/>
      <c r="D18" s="1845"/>
      <c r="E18" s="1845"/>
      <c r="F18" s="1845"/>
      <c r="G18" s="1845"/>
      <c r="H18" s="1845"/>
      <c r="I18" s="1845"/>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row>
    <row r="19" spans="1:32" x14ac:dyDescent="0.25">
      <c r="A19" s="262"/>
      <c r="B19" s="1589" t="s">
        <v>3692</v>
      </c>
      <c r="C19" s="1589"/>
      <c r="D19" s="1589"/>
      <c r="E19" s="1589"/>
      <c r="F19" s="1589"/>
      <c r="G19" s="1589"/>
      <c r="H19" s="1589"/>
      <c r="I19" s="1589"/>
      <c r="J19" s="1589"/>
      <c r="K19" s="1589"/>
      <c r="L19" s="1589"/>
      <c r="M19" s="1589"/>
      <c r="N19" s="1589"/>
      <c r="O19" s="1589"/>
      <c r="P19" s="1589"/>
      <c r="Q19" s="1589"/>
      <c r="R19" s="1589"/>
      <c r="S19" s="1589"/>
      <c r="T19" s="1589"/>
      <c r="U19" s="1589"/>
      <c r="V19" s="1589"/>
      <c r="W19" s="1589"/>
      <c r="X19" s="1589"/>
      <c r="Y19" s="1589"/>
      <c r="Z19" s="1589"/>
      <c r="AA19" s="1589"/>
      <c r="AB19" s="1589"/>
      <c r="AC19" s="1589"/>
      <c r="AD19" s="1589"/>
      <c r="AE19" s="1589"/>
      <c r="AF19" s="1589"/>
    </row>
    <row r="20" spans="1:32" x14ac:dyDescent="0.25">
      <c r="A20" s="262"/>
      <c r="B20" s="414"/>
      <c r="C20" s="414"/>
      <c r="D20" s="414"/>
      <c r="E20" s="414"/>
      <c r="F20" s="414"/>
      <c r="G20" s="414"/>
      <c r="H20" s="414"/>
      <c r="I20" s="414"/>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row>
    <row r="21" spans="1:32" x14ac:dyDescent="0.25">
      <c r="A21" s="262"/>
      <c r="B21" s="1845" t="s">
        <v>20</v>
      </c>
      <c r="C21" s="1845"/>
      <c r="D21" s="1845"/>
      <c r="E21" s="1845"/>
      <c r="F21" s="1845"/>
      <c r="G21" s="1845"/>
      <c r="H21" s="1845"/>
      <c r="I21" s="1845"/>
      <c r="J21" s="1845"/>
      <c r="K21" s="262"/>
      <c r="L21" s="262"/>
      <c r="M21" s="262"/>
      <c r="N21" s="262"/>
      <c r="O21" s="262"/>
      <c r="P21" s="262"/>
      <c r="Q21" s="262"/>
      <c r="R21" s="262"/>
      <c r="S21" s="262"/>
      <c r="T21" s="262"/>
      <c r="U21" s="262"/>
      <c r="V21" s="262"/>
      <c r="W21" s="262"/>
      <c r="X21" s="262"/>
      <c r="Y21" s="262"/>
      <c r="Z21" s="262"/>
      <c r="AA21" s="262"/>
      <c r="AB21" s="262"/>
      <c r="AC21" s="262"/>
      <c r="AD21" s="262"/>
      <c r="AE21" s="262"/>
      <c r="AF21" s="262"/>
    </row>
    <row r="22" spans="1:32" x14ac:dyDescent="0.25">
      <c r="A22" s="262"/>
      <c r="B22" s="1589" t="s">
        <v>3693</v>
      </c>
      <c r="C22" s="1703"/>
      <c r="D22" s="1703"/>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1703"/>
      <c r="AB22" s="1703"/>
      <c r="AC22" s="1703"/>
      <c r="AD22" s="1703"/>
      <c r="AE22" s="1703"/>
      <c r="AF22" s="1703"/>
    </row>
    <row r="23" spans="1:32" x14ac:dyDescent="0.25">
      <c r="A23" s="262"/>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row>
    <row r="24" spans="1:32" x14ac:dyDescent="0.25">
      <c r="A24" s="1621" t="s">
        <v>14</v>
      </c>
      <c r="B24" s="1621"/>
      <c r="C24" s="1621"/>
      <c r="D24" s="1621"/>
      <c r="E24" s="1621"/>
      <c r="F24" s="1621"/>
      <c r="G24" s="1621"/>
      <c r="H24" s="1621"/>
      <c r="I24" s="1621"/>
      <c r="J24" s="1621"/>
      <c r="K24" s="1621"/>
      <c r="L24" s="1621"/>
      <c r="M24" s="1621"/>
      <c r="N24" s="1621"/>
      <c r="O24" s="1621"/>
      <c r="P24" s="1621"/>
      <c r="Q24" s="1621"/>
      <c r="R24" s="1621"/>
      <c r="S24" s="1621"/>
      <c r="T24" s="1621"/>
      <c r="U24" s="1621"/>
      <c r="V24" s="1621"/>
      <c r="W24" s="1621"/>
      <c r="X24" s="1621"/>
      <c r="Y24" s="1621"/>
      <c r="Z24" s="1621"/>
      <c r="AA24" s="1621"/>
      <c r="AB24" s="1621"/>
      <c r="AC24" s="1621"/>
      <c r="AD24" s="1621"/>
      <c r="AE24" s="1621"/>
      <c r="AF24" s="1621"/>
    </row>
    <row r="25" spans="1:32" x14ac:dyDescent="0.25">
      <c r="A25" s="262"/>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row>
    <row r="26" spans="1:32" x14ac:dyDescent="0.25">
      <c r="A26" s="262"/>
      <c r="B26" s="519" t="s">
        <v>2303</v>
      </c>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row>
    <row r="27" spans="1:32" x14ac:dyDescent="0.25">
      <c r="A27" s="262"/>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row>
    <row r="28" spans="1:32" x14ac:dyDescent="0.25">
      <c r="A28" s="262"/>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419" t="s">
        <v>1705</v>
      </c>
    </row>
    <row r="29" spans="1:32" x14ac:dyDescent="0.25">
      <c r="A29" s="262"/>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419"/>
    </row>
    <row r="30" spans="1:32" x14ac:dyDescent="0.25">
      <c r="A30" s="262"/>
      <c r="B30" s="414" t="s">
        <v>2192</v>
      </c>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row>
    <row r="31" spans="1:32" x14ac:dyDescent="0.25">
      <c r="A31" s="262"/>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row>
    <row r="32" spans="1:32" x14ac:dyDescent="0.25">
      <c r="A32" s="262"/>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419" t="s">
        <v>1706</v>
      </c>
    </row>
    <row r="33" spans="1:32" x14ac:dyDescent="0.25">
      <c r="A33" s="262"/>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row>
    <row r="34" spans="1:32" x14ac:dyDescent="0.25">
      <c r="A34" s="262"/>
      <c r="B34" s="414" t="s">
        <v>1998</v>
      </c>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419"/>
    </row>
    <row r="35" spans="1:32" x14ac:dyDescent="0.25">
      <c r="A35" s="262"/>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419"/>
    </row>
    <row r="36" spans="1:32" x14ac:dyDescent="0.25">
      <c r="A36" s="262"/>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419" t="s">
        <v>1707</v>
      </c>
    </row>
    <row r="37" spans="1:32" x14ac:dyDescent="0.25">
      <c r="A37" s="262"/>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419"/>
    </row>
    <row r="38" spans="1:32" x14ac:dyDescent="0.25">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row>
    <row r="39" spans="1:32" x14ac:dyDescent="0.25">
      <c r="A39" s="1621" t="s">
        <v>15</v>
      </c>
      <c r="B39" s="1621"/>
      <c r="C39" s="1621"/>
      <c r="D39" s="1621"/>
      <c r="E39" s="1621"/>
      <c r="F39" s="1621"/>
      <c r="G39" s="1621"/>
      <c r="H39" s="1621"/>
      <c r="I39" s="1621"/>
      <c r="J39" s="1621"/>
      <c r="K39" s="1621"/>
      <c r="L39" s="1621"/>
      <c r="M39" s="1621"/>
      <c r="N39" s="1621"/>
      <c r="O39" s="1621"/>
      <c r="P39" s="1621"/>
      <c r="Q39" s="1621"/>
      <c r="R39" s="1621"/>
      <c r="S39" s="1621"/>
      <c r="T39" s="1621"/>
      <c r="U39" s="1621"/>
      <c r="V39" s="1621"/>
      <c r="W39" s="1621"/>
      <c r="X39" s="1621"/>
      <c r="Y39" s="1621"/>
      <c r="Z39" s="1621"/>
      <c r="AA39" s="1621"/>
      <c r="AB39" s="1621"/>
      <c r="AC39" s="1621"/>
      <c r="AD39" s="1621"/>
      <c r="AE39" s="1621"/>
      <c r="AF39" s="1621"/>
    </row>
    <row r="40" spans="1:32" x14ac:dyDescent="0.25">
      <c r="A40" s="1735" t="s">
        <v>16</v>
      </c>
      <c r="B40" s="1735"/>
      <c r="C40" s="1735"/>
      <c r="D40" s="1735"/>
      <c r="E40" s="1735" t="s">
        <v>10</v>
      </c>
      <c r="F40" s="1735"/>
      <c r="G40" s="1735"/>
      <c r="H40" s="1735"/>
      <c r="I40" s="1735"/>
      <c r="J40" s="1735"/>
      <c r="K40" s="1735"/>
      <c r="L40" s="1735"/>
      <c r="M40" s="1735"/>
      <c r="N40" s="1735"/>
      <c r="O40" s="1735"/>
      <c r="P40" s="1735"/>
      <c r="Q40" s="1735" t="s">
        <v>17</v>
      </c>
      <c r="R40" s="1735"/>
      <c r="S40" s="1735"/>
      <c r="T40" s="1735"/>
      <c r="U40" s="1697" t="s">
        <v>18</v>
      </c>
      <c r="V40" s="1698"/>
      <c r="W40" s="1699"/>
      <c r="X40" s="1697" t="s">
        <v>1708</v>
      </c>
      <c r="Y40" s="1698"/>
      <c r="Z40" s="1698"/>
      <c r="AA40" s="1698"/>
      <c r="AB40" s="1698"/>
      <c r="AC40" s="1698"/>
      <c r="AD40" s="1698"/>
      <c r="AE40" s="1698"/>
      <c r="AF40" s="1699"/>
    </row>
    <row r="41" spans="1:32" ht="30" customHeight="1" x14ac:dyDescent="0.25">
      <c r="A41" s="1680" t="s">
        <v>3667</v>
      </c>
      <c r="B41" s="1681" t="s">
        <v>294</v>
      </c>
      <c r="C41" s="1681" t="s">
        <v>294</v>
      </c>
      <c r="D41" s="1682" t="s">
        <v>294</v>
      </c>
      <c r="E41" s="1494" t="s">
        <v>3652</v>
      </c>
      <c r="F41" s="1495" t="s">
        <v>637</v>
      </c>
      <c r="G41" s="1495" t="s">
        <v>637</v>
      </c>
      <c r="H41" s="1495" t="s">
        <v>637</v>
      </c>
      <c r="I41" s="1495" t="s">
        <v>637</v>
      </c>
      <c r="J41" s="1495" t="s">
        <v>637</v>
      </c>
      <c r="K41" s="1495" t="s">
        <v>637</v>
      </c>
      <c r="L41" s="1495" t="s">
        <v>637</v>
      </c>
      <c r="M41" s="1495" t="s">
        <v>637</v>
      </c>
      <c r="N41" s="1495" t="s">
        <v>637</v>
      </c>
      <c r="O41" s="1495" t="s">
        <v>637</v>
      </c>
      <c r="P41" s="1496" t="s">
        <v>637</v>
      </c>
      <c r="Q41" s="1661">
        <v>0.39</v>
      </c>
      <c r="R41" s="1662"/>
      <c r="S41" s="1662"/>
      <c r="T41" s="1663"/>
      <c r="U41" s="1683" t="s">
        <v>291</v>
      </c>
      <c r="V41" s="1684"/>
      <c r="W41" s="1685"/>
      <c r="X41" s="1494" t="s">
        <v>3694</v>
      </c>
      <c r="Y41" s="1495"/>
      <c r="Z41" s="1495"/>
      <c r="AA41" s="1495"/>
      <c r="AB41" s="1495"/>
      <c r="AC41" s="1495"/>
      <c r="AD41" s="1495"/>
      <c r="AE41" s="1495"/>
      <c r="AF41" s="1496"/>
    </row>
    <row r="42" spans="1:32" ht="30" customHeight="1" x14ac:dyDescent="0.25">
      <c r="A42" s="1680" t="s">
        <v>3668</v>
      </c>
      <c r="B42" s="1681" t="s">
        <v>638</v>
      </c>
      <c r="C42" s="1681" t="s">
        <v>638</v>
      </c>
      <c r="D42" s="1682" t="s">
        <v>638</v>
      </c>
      <c r="E42" s="1494" t="s">
        <v>3681</v>
      </c>
      <c r="F42" s="1495" t="s">
        <v>622</v>
      </c>
      <c r="G42" s="1495" t="s">
        <v>622</v>
      </c>
      <c r="H42" s="1495" t="s">
        <v>622</v>
      </c>
      <c r="I42" s="1495" t="s">
        <v>622</v>
      </c>
      <c r="J42" s="1495" t="s">
        <v>622</v>
      </c>
      <c r="K42" s="1495" t="s">
        <v>622</v>
      </c>
      <c r="L42" s="1495" t="s">
        <v>622</v>
      </c>
      <c r="M42" s="1495" t="s">
        <v>622</v>
      </c>
      <c r="N42" s="1495" t="s">
        <v>622</v>
      </c>
      <c r="O42" s="1495" t="s">
        <v>622</v>
      </c>
      <c r="P42" s="1496" t="s">
        <v>622</v>
      </c>
      <c r="Q42" s="1661">
        <v>7.0000000000000007E-2</v>
      </c>
      <c r="R42" s="1662"/>
      <c r="S42" s="1662"/>
      <c r="T42" s="1663"/>
      <c r="U42" s="1683" t="s">
        <v>291</v>
      </c>
      <c r="V42" s="1684"/>
      <c r="W42" s="1685"/>
      <c r="X42" s="1715" t="s">
        <v>3695</v>
      </c>
      <c r="Y42" s="1715"/>
      <c r="Z42" s="1715"/>
      <c r="AA42" s="1715"/>
      <c r="AB42" s="1715"/>
      <c r="AC42" s="1715"/>
      <c r="AD42" s="1715"/>
      <c r="AE42" s="1715"/>
      <c r="AF42" s="1715"/>
    </row>
    <row r="43" spans="1:32" ht="45" customHeight="1" x14ac:dyDescent="0.25">
      <c r="A43" s="1680" t="s">
        <v>1760</v>
      </c>
      <c r="B43" s="1681"/>
      <c r="C43" s="1681"/>
      <c r="D43" s="1682"/>
      <c r="E43" s="1494" t="s">
        <v>2031</v>
      </c>
      <c r="F43" s="1495"/>
      <c r="G43" s="1495"/>
      <c r="H43" s="1495"/>
      <c r="I43" s="1495"/>
      <c r="J43" s="1495"/>
      <c r="K43" s="1495"/>
      <c r="L43" s="1495"/>
      <c r="M43" s="1495"/>
      <c r="N43" s="1495"/>
      <c r="O43" s="1495"/>
      <c r="P43" s="1496"/>
      <c r="Q43" s="1661">
        <v>0.97</v>
      </c>
      <c r="R43" s="1662"/>
      <c r="S43" s="1662"/>
      <c r="T43" s="1663"/>
      <c r="U43" s="1696" t="s">
        <v>28</v>
      </c>
      <c r="V43" s="1684"/>
      <c r="W43" s="1685"/>
      <c r="X43" s="1715" t="s">
        <v>3669</v>
      </c>
      <c r="Y43" s="1715"/>
      <c r="Z43" s="1715"/>
      <c r="AA43" s="1715"/>
      <c r="AB43" s="1715"/>
      <c r="AC43" s="1715"/>
      <c r="AD43" s="1715"/>
      <c r="AE43" s="1715"/>
      <c r="AF43" s="1715"/>
    </row>
    <row r="44" spans="1:32" ht="81" customHeight="1" x14ac:dyDescent="0.25">
      <c r="A44" s="1680" t="s">
        <v>545</v>
      </c>
      <c r="B44" s="1681" t="s">
        <v>545</v>
      </c>
      <c r="C44" s="1681" t="s">
        <v>545</v>
      </c>
      <c r="D44" s="1682" t="s">
        <v>545</v>
      </c>
      <c r="E44" s="1494" t="s">
        <v>1703</v>
      </c>
      <c r="F44" s="1495" t="s">
        <v>546</v>
      </c>
      <c r="G44" s="1495" t="s">
        <v>546</v>
      </c>
      <c r="H44" s="1495" t="s">
        <v>546</v>
      </c>
      <c r="I44" s="1495" t="s">
        <v>546</v>
      </c>
      <c r="J44" s="1495" t="s">
        <v>546</v>
      </c>
      <c r="K44" s="1495" t="s">
        <v>546</v>
      </c>
      <c r="L44" s="1495" t="s">
        <v>546</v>
      </c>
      <c r="M44" s="1495" t="s">
        <v>546</v>
      </c>
      <c r="N44" s="1495" t="s">
        <v>546</v>
      </c>
      <c r="O44" s="1495" t="s">
        <v>546</v>
      </c>
      <c r="P44" s="1496" t="s">
        <v>546</v>
      </c>
      <c r="Q44" s="1661">
        <f>ROUND(3.1/4,2)</f>
        <v>0.78</v>
      </c>
      <c r="R44" s="1662"/>
      <c r="S44" s="1662"/>
      <c r="T44" s="1663"/>
      <c r="U44" s="1497" t="s">
        <v>28</v>
      </c>
      <c r="V44" s="1498"/>
      <c r="W44" s="1499"/>
      <c r="X44" s="1715" t="s">
        <v>3762</v>
      </c>
      <c r="Y44" s="1715"/>
      <c r="Z44" s="1715"/>
      <c r="AA44" s="1715"/>
      <c r="AB44" s="1715"/>
      <c r="AC44" s="1715"/>
      <c r="AD44" s="1715"/>
      <c r="AE44" s="1715"/>
      <c r="AF44" s="1715"/>
    </row>
    <row r="45" spans="1:32" ht="30" customHeight="1" x14ac:dyDescent="0.25">
      <c r="A45" s="1680" t="s">
        <v>1762</v>
      </c>
      <c r="B45" s="1681"/>
      <c r="C45" s="1681"/>
      <c r="D45" s="1682"/>
      <c r="E45" s="1494" t="s">
        <v>3660</v>
      </c>
      <c r="F45" s="1495"/>
      <c r="G45" s="1495"/>
      <c r="H45" s="1495"/>
      <c r="I45" s="1495"/>
      <c r="J45" s="1495"/>
      <c r="K45" s="1495"/>
      <c r="L45" s="1495"/>
      <c r="M45" s="1495"/>
      <c r="N45" s="1495"/>
      <c r="O45" s="1495"/>
      <c r="P45" s="1496"/>
      <c r="Q45" s="1497">
        <f>6*7*5</f>
        <v>210</v>
      </c>
      <c r="R45" s="1498"/>
      <c r="S45" s="1498"/>
      <c r="T45" s="1499"/>
      <c r="U45" s="1696" t="s">
        <v>45</v>
      </c>
      <c r="V45" s="1684"/>
      <c r="W45" s="1685"/>
      <c r="X45" s="1715" t="s">
        <v>3761</v>
      </c>
      <c r="Y45" s="1715"/>
      <c r="Z45" s="1715"/>
      <c r="AA45" s="1715"/>
      <c r="AB45" s="1715"/>
      <c r="AC45" s="1715"/>
      <c r="AD45" s="1715"/>
      <c r="AE45" s="1715"/>
      <c r="AF45" s="1715"/>
    </row>
    <row r="46" spans="1:32" ht="30" customHeight="1" x14ac:dyDescent="0.25">
      <c r="A46" s="2522" t="s">
        <v>3697</v>
      </c>
      <c r="B46" s="1681" t="s">
        <v>42</v>
      </c>
      <c r="C46" s="1681" t="s">
        <v>42</v>
      </c>
      <c r="D46" s="1682" t="s">
        <v>42</v>
      </c>
      <c r="E46" s="1494" t="s">
        <v>865</v>
      </c>
      <c r="F46" s="1495" t="s">
        <v>256</v>
      </c>
      <c r="G46" s="1495" t="s">
        <v>256</v>
      </c>
      <c r="H46" s="1495" t="s">
        <v>256</v>
      </c>
      <c r="I46" s="1495" t="s">
        <v>256</v>
      </c>
      <c r="J46" s="1495" t="s">
        <v>256</v>
      </c>
      <c r="K46" s="1495" t="s">
        <v>256</v>
      </c>
      <c r="L46" s="1495" t="s">
        <v>256</v>
      </c>
      <c r="M46" s="1495" t="s">
        <v>256</v>
      </c>
      <c r="N46" s="1495" t="s">
        <v>256</v>
      </c>
      <c r="O46" s="1495" t="s">
        <v>256</v>
      </c>
      <c r="P46" s="1496" t="s">
        <v>256</v>
      </c>
      <c r="Q46" s="1497">
        <v>1</v>
      </c>
      <c r="R46" s="1498">
        <v>0.96</v>
      </c>
      <c r="S46" s="1498">
        <v>0.96</v>
      </c>
      <c r="T46" s="1499">
        <v>0.96</v>
      </c>
      <c r="U46" s="1683" t="s">
        <v>28</v>
      </c>
      <c r="V46" s="1684"/>
      <c r="W46" s="1685"/>
      <c r="X46" s="1680"/>
      <c r="Y46" s="1681"/>
      <c r="Z46" s="1681"/>
      <c r="AA46" s="1681"/>
      <c r="AB46" s="1681"/>
      <c r="AC46" s="1681"/>
      <c r="AD46" s="1681"/>
      <c r="AE46" s="1681"/>
      <c r="AF46" s="1682"/>
    </row>
    <row r="47" spans="1:32" ht="45" customHeight="1" x14ac:dyDescent="0.25">
      <c r="A47" s="1680" t="s">
        <v>3675</v>
      </c>
      <c r="B47" s="1681" t="s">
        <v>34</v>
      </c>
      <c r="C47" s="1681" t="s">
        <v>34</v>
      </c>
      <c r="D47" s="1682" t="s">
        <v>34</v>
      </c>
      <c r="E47" s="1680" t="s">
        <v>2218</v>
      </c>
      <c r="F47" s="1681" t="s">
        <v>219</v>
      </c>
      <c r="G47" s="1681" t="s">
        <v>219</v>
      </c>
      <c r="H47" s="1681" t="s">
        <v>219</v>
      </c>
      <c r="I47" s="1681" t="s">
        <v>219</v>
      </c>
      <c r="J47" s="1681" t="s">
        <v>219</v>
      </c>
      <c r="K47" s="1681" t="s">
        <v>219</v>
      </c>
      <c r="L47" s="1681" t="s">
        <v>219</v>
      </c>
      <c r="M47" s="1681" t="s">
        <v>219</v>
      </c>
      <c r="N47" s="1681" t="s">
        <v>219</v>
      </c>
      <c r="O47" s="1681" t="s">
        <v>219</v>
      </c>
      <c r="P47" s="1682" t="s">
        <v>219</v>
      </c>
      <c r="Q47" s="1497">
        <f>'Master EUL'!$X$18</f>
        <v>5</v>
      </c>
      <c r="R47" s="1498"/>
      <c r="S47" s="1498"/>
      <c r="T47" s="1499"/>
      <c r="U47" s="1683" t="s">
        <v>46</v>
      </c>
      <c r="V47" s="1684"/>
      <c r="W47" s="1685"/>
      <c r="X47" s="1494" t="s">
        <v>3696</v>
      </c>
      <c r="Y47" s="1495"/>
      <c r="Z47" s="1495"/>
      <c r="AA47" s="1495"/>
      <c r="AB47" s="1495"/>
      <c r="AC47" s="1495"/>
      <c r="AD47" s="1495"/>
      <c r="AE47" s="1495"/>
      <c r="AF47" s="1496"/>
    </row>
    <row r="48" spans="1:32" ht="45.75" customHeight="1" x14ac:dyDescent="0.25">
      <c r="A48" s="2288" t="s">
        <v>3698</v>
      </c>
      <c r="B48" s="2288"/>
      <c r="C48" s="2288"/>
      <c r="D48" s="2288"/>
      <c r="E48" s="2288"/>
      <c r="F48" s="2288"/>
      <c r="G48" s="2288"/>
      <c r="H48" s="2288"/>
      <c r="I48" s="2288"/>
      <c r="J48" s="2288"/>
      <c r="K48" s="2288"/>
      <c r="L48" s="2288"/>
      <c r="M48" s="2288"/>
      <c r="N48" s="2288"/>
      <c r="O48" s="2288"/>
      <c r="P48" s="2288"/>
      <c r="Q48" s="2288"/>
      <c r="R48" s="2288"/>
      <c r="S48" s="2288"/>
      <c r="T48" s="2288"/>
      <c r="U48" s="2288"/>
      <c r="V48" s="2288"/>
      <c r="W48" s="2288"/>
      <c r="X48" s="2288"/>
      <c r="Y48" s="2288"/>
      <c r="Z48" s="2288"/>
      <c r="AA48" s="2288"/>
      <c r="AB48" s="2288"/>
      <c r="AC48" s="2288"/>
      <c r="AD48" s="2288"/>
      <c r="AE48" s="2288"/>
      <c r="AF48" s="2288"/>
    </row>
    <row r="49" spans="1:36" x14ac:dyDescent="0.25">
      <c r="A49" s="628" t="s">
        <v>3689</v>
      </c>
      <c r="B49" s="629"/>
      <c r="C49" s="629"/>
      <c r="D49" s="629"/>
      <c r="E49" s="630"/>
      <c r="F49" s="630"/>
      <c r="G49" s="630"/>
      <c r="H49" s="630"/>
      <c r="I49" s="630"/>
      <c r="J49" s="630"/>
      <c r="K49" s="630"/>
      <c r="L49" s="630"/>
      <c r="M49" s="630"/>
      <c r="N49" s="630"/>
      <c r="O49" s="630"/>
      <c r="P49" s="630"/>
      <c r="Q49" s="631"/>
      <c r="R49" s="631"/>
      <c r="S49" s="631"/>
      <c r="T49" s="631"/>
      <c r="U49" s="632"/>
      <c r="V49" s="632"/>
      <c r="W49" s="632"/>
      <c r="X49" s="632"/>
      <c r="Y49" s="632"/>
      <c r="Z49" s="632"/>
      <c r="AA49" s="632"/>
      <c r="AB49" s="632"/>
      <c r="AC49" s="632"/>
      <c r="AD49" s="632"/>
      <c r="AE49" s="632"/>
      <c r="AF49" s="632"/>
    </row>
    <row r="50" spans="1:36" x14ac:dyDescent="0.25">
      <c r="A50" s="633"/>
      <c r="B50" s="227"/>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c r="AA50" s="227"/>
      <c r="AB50" s="227"/>
      <c r="AC50" s="227"/>
      <c r="AD50" s="227"/>
      <c r="AE50" s="227"/>
      <c r="AF50" s="227"/>
    </row>
    <row r="51" spans="1:36" x14ac:dyDescent="0.25">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row>
    <row r="52" spans="1:36" x14ac:dyDescent="0.25">
      <c r="A52" s="1621" t="s">
        <v>21</v>
      </c>
      <c r="B52" s="1621"/>
      <c r="C52" s="1621"/>
      <c r="D52" s="1621"/>
      <c r="E52" s="1621"/>
      <c r="F52" s="1621"/>
      <c r="G52" s="1621"/>
      <c r="H52" s="1621"/>
      <c r="I52" s="1621"/>
      <c r="J52" s="1621"/>
      <c r="K52" s="1621"/>
      <c r="L52" s="1621"/>
      <c r="M52" s="1621"/>
      <c r="N52" s="1621"/>
      <c r="O52" s="1621"/>
      <c r="P52" s="1621"/>
      <c r="Q52" s="1621"/>
      <c r="R52" s="1621"/>
      <c r="S52" s="1621"/>
      <c r="T52" s="1621"/>
      <c r="U52" s="1621"/>
      <c r="V52" s="1621"/>
      <c r="W52" s="1621"/>
      <c r="X52" s="1621"/>
      <c r="Y52" s="1621"/>
      <c r="Z52" s="1621"/>
      <c r="AA52" s="1621"/>
      <c r="AB52" s="1621"/>
      <c r="AC52" s="1621"/>
      <c r="AD52" s="1621"/>
      <c r="AE52" s="1621"/>
      <c r="AF52" s="1621"/>
    </row>
    <row r="53" spans="1:36" s="1" customForma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J53" s="640"/>
    </row>
    <row r="54" spans="1:36" s="1" customFormat="1" x14ac:dyDescent="0.25">
      <c r="A54" s="3"/>
      <c r="B54" s="380" t="s">
        <v>3721</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J54" s="640"/>
    </row>
    <row r="55" spans="1:36" ht="15.75" thickBot="1" x14ac:dyDescent="0.3">
      <c r="A55" s="190"/>
      <c r="B55" s="190"/>
      <c r="C55" s="190"/>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row>
    <row r="56" spans="1:36" x14ac:dyDescent="0.25">
      <c r="A56" s="3549" t="s">
        <v>22</v>
      </c>
      <c r="B56" s="3550"/>
      <c r="C56" s="3550"/>
      <c r="D56" s="3550"/>
      <c r="E56" s="3550"/>
      <c r="F56" s="3550"/>
      <c r="G56" s="3550"/>
      <c r="H56" s="3550"/>
      <c r="I56" s="3550" t="s">
        <v>23</v>
      </c>
      <c r="J56" s="3550"/>
      <c r="K56" s="3550"/>
      <c r="L56" s="3550"/>
      <c r="M56" s="3550"/>
      <c r="N56" s="3550"/>
      <c r="O56" s="3550"/>
      <c r="P56" s="3550"/>
      <c r="Q56" s="3550" t="s">
        <v>24</v>
      </c>
      <c r="R56" s="3550"/>
      <c r="S56" s="3550"/>
      <c r="T56" s="3550"/>
      <c r="U56" s="3550"/>
      <c r="V56" s="3550"/>
      <c r="W56" s="3550"/>
      <c r="X56" s="3551"/>
      <c r="Y56" s="3550" t="s">
        <v>2012</v>
      </c>
      <c r="Z56" s="3550"/>
      <c r="AA56" s="3550"/>
      <c r="AB56" s="3550"/>
      <c r="AC56" s="3550"/>
      <c r="AD56" s="3550"/>
      <c r="AE56" s="3550"/>
      <c r="AF56" s="3552"/>
    </row>
    <row r="57" spans="1:36" ht="29.45" customHeight="1" thickBot="1" x14ac:dyDescent="0.3">
      <c r="A57" s="3537" t="s">
        <v>3720</v>
      </c>
      <c r="B57" s="3538"/>
      <c r="C57" s="3538"/>
      <c r="D57" s="3538"/>
      <c r="E57" s="3538"/>
      <c r="F57" s="3538"/>
      <c r="G57" s="3538"/>
      <c r="H57" s="3539"/>
      <c r="I57" s="3540">
        <f>((Q41-Q42)/1000)*Q43*Q44*Q46</f>
        <v>2.4211200000000003E-4</v>
      </c>
      <c r="J57" s="3540"/>
      <c r="K57" s="3540"/>
      <c r="L57" s="3540"/>
      <c r="M57" s="3540"/>
      <c r="N57" s="3540"/>
      <c r="O57" s="3540"/>
      <c r="P57" s="3540"/>
      <c r="Q57" s="3541">
        <f>((Q41-Q42)/1000)*Q43*Q45*Q46</f>
        <v>6.5184000000000006E-2</v>
      </c>
      <c r="R57" s="3541"/>
      <c r="S57" s="3541"/>
      <c r="T57" s="3541"/>
      <c r="U57" s="3541"/>
      <c r="V57" s="3541"/>
      <c r="W57" s="3541"/>
      <c r="X57" s="3542"/>
      <c r="Y57" s="3543">
        <f>Q57*Q47</f>
        <v>0.32592000000000004</v>
      </c>
      <c r="Z57" s="3543"/>
      <c r="AA57" s="3543"/>
      <c r="AB57" s="3543"/>
      <c r="AC57" s="3543"/>
      <c r="AD57" s="3543"/>
      <c r="AE57" s="3543"/>
      <c r="AF57" s="3544"/>
    </row>
    <row r="58" spans="1:36" x14ac:dyDescent="0.25">
      <c r="A58" s="637"/>
      <c r="B58" s="636"/>
      <c r="C58" s="636"/>
      <c r="D58" s="311"/>
      <c r="E58" s="311"/>
      <c r="F58" s="311"/>
      <c r="G58" s="311"/>
      <c r="H58" s="311"/>
      <c r="I58" s="311"/>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7"/>
    </row>
    <row r="59" spans="1:36" x14ac:dyDescent="0.25">
      <c r="A59" s="227"/>
      <c r="B59" s="227"/>
      <c r="C59" s="227"/>
      <c r="D59" s="227"/>
      <c r="E59" s="227"/>
      <c r="F59" s="227"/>
      <c r="G59" s="227"/>
      <c r="H59" s="227"/>
      <c r="I59" s="227"/>
      <c r="J59" s="227"/>
      <c r="K59" s="227"/>
      <c r="L59" s="227"/>
      <c r="M59" s="227"/>
      <c r="N59" s="227"/>
      <c r="O59" s="227"/>
      <c r="P59" s="227"/>
      <c r="Q59" s="227"/>
      <c r="R59" s="227"/>
      <c r="S59" s="227"/>
      <c r="T59" s="227"/>
      <c r="U59" s="227"/>
      <c r="V59" s="227"/>
      <c r="W59" s="227"/>
      <c r="X59" s="227"/>
      <c r="Y59" s="227"/>
      <c r="Z59" s="227"/>
      <c r="AA59" s="227"/>
      <c r="AB59" s="227"/>
      <c r="AC59" s="227"/>
      <c r="AD59" s="227"/>
      <c r="AE59" s="227"/>
      <c r="AF59" s="227"/>
    </row>
    <row r="60" spans="1:36" x14ac:dyDescent="0.25">
      <c r="B60" s="642" t="s">
        <v>3717</v>
      </c>
      <c r="AJ60" s="227"/>
    </row>
    <row r="61" spans="1:36" x14ac:dyDescent="0.25">
      <c r="B61" s="380"/>
      <c r="AJ61" s="227"/>
    </row>
    <row r="62" spans="1:36" x14ac:dyDescent="0.25">
      <c r="C62" t="s">
        <v>3718</v>
      </c>
      <c r="AJ62" s="386"/>
    </row>
    <row r="63" spans="1:36" x14ac:dyDescent="0.25">
      <c r="D63" s="2721">
        <v>100</v>
      </c>
      <c r="E63" s="2722"/>
      <c r="F63" s="2722"/>
      <c r="G63" s="2722"/>
      <c r="H63" s="2723"/>
      <c r="J63" s="641" t="s">
        <v>3746</v>
      </c>
      <c r="AJ63" s="386"/>
    </row>
    <row r="64" spans="1:36" s="1" customFormat="1" ht="15.75" thickBot="1" x14ac:dyDescent="0.3">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J64" s="640"/>
    </row>
    <row r="65" spans="1:36" x14ac:dyDescent="0.25">
      <c r="A65" s="3213" t="s">
        <v>22</v>
      </c>
      <c r="B65" s="3162"/>
      <c r="C65" s="3162"/>
      <c r="D65" s="3162"/>
      <c r="E65" s="3162"/>
      <c r="F65" s="3162"/>
      <c r="G65" s="3162"/>
      <c r="H65" s="3162"/>
      <c r="I65" s="3162" t="s">
        <v>23</v>
      </c>
      <c r="J65" s="3162"/>
      <c r="K65" s="3162"/>
      <c r="L65" s="3162"/>
      <c r="M65" s="3162"/>
      <c r="N65" s="3162"/>
      <c r="O65" s="3162"/>
      <c r="P65" s="3162"/>
      <c r="Q65" s="3162" t="s">
        <v>24</v>
      </c>
      <c r="R65" s="3162"/>
      <c r="S65" s="3162"/>
      <c r="T65" s="3162"/>
      <c r="U65" s="3162"/>
      <c r="V65" s="3162"/>
      <c r="W65" s="3162"/>
      <c r="X65" s="3207"/>
      <c r="Y65" s="3162" t="s">
        <v>2012</v>
      </c>
      <c r="Z65" s="3162"/>
      <c r="AA65" s="3162"/>
      <c r="AB65" s="3162"/>
      <c r="AC65" s="3162"/>
      <c r="AD65" s="3162"/>
      <c r="AE65" s="3162"/>
      <c r="AF65" s="3163"/>
      <c r="AJ65" s="386"/>
    </row>
    <row r="66" spans="1:36" ht="29.45" customHeight="1" thickBot="1" x14ac:dyDescent="0.3">
      <c r="A66" s="3537" t="s">
        <v>3719</v>
      </c>
      <c r="B66" s="3538"/>
      <c r="C66" s="3538"/>
      <c r="D66" s="3538"/>
      <c r="E66" s="3538"/>
      <c r="F66" s="3538"/>
      <c r="G66" s="3538"/>
      <c r="H66" s="3539"/>
      <c r="I66" s="3545">
        <f>ROUND($D63*I57,3)</f>
        <v>2.4E-2</v>
      </c>
      <c r="J66" s="3545"/>
      <c r="K66" s="3545"/>
      <c r="L66" s="3545"/>
      <c r="M66" s="3545"/>
      <c r="N66" s="3545"/>
      <c r="O66" s="3545"/>
      <c r="P66" s="3545"/>
      <c r="Q66" s="3546">
        <f>ROUND($D63*Q57,2)</f>
        <v>6.52</v>
      </c>
      <c r="R66" s="3546"/>
      <c r="S66" s="3546"/>
      <c r="T66" s="3546"/>
      <c r="U66" s="3546"/>
      <c r="V66" s="3546"/>
      <c r="W66" s="3546"/>
      <c r="X66" s="3546"/>
      <c r="Y66" s="3547">
        <f>ROUND($D63*Y57,2)</f>
        <v>32.590000000000003</v>
      </c>
      <c r="Z66" s="3547"/>
      <c r="AA66" s="3547"/>
      <c r="AB66" s="3547"/>
      <c r="AC66" s="3547"/>
      <c r="AD66" s="3547"/>
      <c r="AE66" s="3547"/>
      <c r="AF66" s="3548"/>
      <c r="AJ66" s="386"/>
    </row>
    <row r="67" spans="1:36" x14ac:dyDescent="0.25">
      <c r="AJ67" s="386"/>
    </row>
    <row r="68" spans="1:36" x14ac:dyDescent="0.25">
      <c r="A68" s="1621" t="s">
        <v>1753</v>
      </c>
      <c r="B68" s="1621"/>
      <c r="C68" s="1621"/>
      <c r="D68" s="1621"/>
      <c r="E68" s="1621"/>
      <c r="F68" s="1621"/>
      <c r="G68" s="1621"/>
      <c r="H68" s="1621"/>
      <c r="I68" s="1621"/>
      <c r="J68" s="1621"/>
      <c r="K68" s="1621"/>
      <c r="L68" s="1621"/>
      <c r="M68" s="1621"/>
      <c r="N68" s="1621"/>
      <c r="O68" s="1621"/>
      <c r="P68" s="1621"/>
      <c r="Q68" s="1621"/>
      <c r="R68" s="1621"/>
      <c r="S68" s="1621"/>
      <c r="T68" s="1621"/>
      <c r="U68" s="1621"/>
      <c r="V68" s="1621"/>
      <c r="W68" s="1621"/>
      <c r="X68" s="1621"/>
      <c r="Y68" s="1621"/>
      <c r="Z68" s="1621"/>
      <c r="AA68" s="1621"/>
      <c r="AB68" s="1621"/>
      <c r="AC68" s="1621"/>
      <c r="AD68" s="1621"/>
      <c r="AE68" s="1621"/>
      <c r="AF68" s="1621"/>
    </row>
    <row r="69" spans="1:36" x14ac:dyDescent="0.25">
      <c r="A69" s="227"/>
      <c r="B69" s="227"/>
      <c r="C69" s="227"/>
      <c r="D69" s="227"/>
      <c r="E69" s="227"/>
      <c r="F69" s="227"/>
      <c r="G69" s="227"/>
      <c r="H69" s="227"/>
      <c r="I69" s="227"/>
      <c r="J69" s="227"/>
      <c r="K69" s="227"/>
      <c r="L69" s="227"/>
      <c r="M69" s="227"/>
      <c r="N69" s="227"/>
      <c r="O69" s="227"/>
      <c r="P69" s="227"/>
      <c r="Q69" s="227"/>
      <c r="R69" s="227"/>
      <c r="S69" s="227"/>
      <c r="T69" s="227"/>
      <c r="U69" s="227"/>
      <c r="V69" s="227"/>
      <c r="W69" s="227"/>
      <c r="X69" s="227"/>
      <c r="Y69" s="227"/>
      <c r="Z69" s="227"/>
      <c r="AA69" s="227"/>
      <c r="AB69" s="227"/>
      <c r="AC69" s="227"/>
      <c r="AD69" s="227"/>
      <c r="AE69" s="227"/>
      <c r="AF69" s="227"/>
    </row>
    <row r="70" spans="1:36" ht="30.75" customHeight="1" x14ac:dyDescent="0.25">
      <c r="A70" s="517" t="s">
        <v>1013</v>
      </c>
      <c r="B70" s="1173" t="s">
        <v>3665</v>
      </c>
      <c r="C70" s="1173"/>
      <c r="D70" s="1173"/>
      <c r="E70" s="1173"/>
      <c r="F70" s="1173"/>
      <c r="G70" s="1173"/>
      <c r="H70" s="1173"/>
      <c r="I70" s="1173"/>
      <c r="J70" s="1173"/>
      <c r="K70" s="1173"/>
      <c r="L70" s="1173"/>
      <c r="M70" s="1173"/>
      <c r="N70" s="1173"/>
      <c r="O70" s="1173"/>
      <c r="P70" s="1173"/>
      <c r="Q70" s="1173"/>
      <c r="R70" s="1173"/>
      <c r="S70" s="1173"/>
      <c r="T70" s="1173"/>
      <c r="U70" s="1173"/>
      <c r="V70" s="1173"/>
      <c r="W70" s="1173"/>
      <c r="X70" s="1173"/>
      <c r="Y70" s="1173"/>
      <c r="Z70" s="1173"/>
      <c r="AA70" s="1173"/>
      <c r="AB70" s="1173"/>
      <c r="AC70" s="1173"/>
      <c r="AD70" s="1173"/>
      <c r="AE70" s="1173"/>
      <c r="AF70" s="1173"/>
    </row>
    <row r="71" spans="1:36" x14ac:dyDescent="0.25">
      <c r="A71" s="517" t="s">
        <v>1013</v>
      </c>
      <c r="B71" s="1173" t="s">
        <v>3686</v>
      </c>
      <c r="C71" s="1173"/>
      <c r="D71" s="1173"/>
      <c r="E71" s="1173"/>
      <c r="F71" s="1173"/>
      <c r="G71" s="1173"/>
      <c r="H71" s="1173"/>
      <c r="I71" s="1173"/>
      <c r="J71" s="1173"/>
      <c r="K71" s="1173"/>
      <c r="L71" s="1173"/>
      <c r="M71" s="1173"/>
      <c r="N71" s="1173"/>
      <c r="O71" s="1173"/>
      <c r="P71" s="1173"/>
      <c r="Q71" s="1173"/>
      <c r="R71" s="1173"/>
      <c r="S71" s="1173"/>
      <c r="T71" s="1173"/>
      <c r="U71" s="1173"/>
      <c r="V71" s="1173"/>
      <c r="W71" s="1173"/>
      <c r="X71" s="1173"/>
      <c r="Y71" s="1173"/>
      <c r="Z71" s="1173"/>
      <c r="AA71" s="1173"/>
      <c r="AB71" s="1173"/>
      <c r="AC71" s="1173"/>
      <c r="AD71" s="1173"/>
      <c r="AE71" s="1173"/>
      <c r="AF71" s="1173"/>
    </row>
    <row r="72" spans="1:36" x14ac:dyDescent="0.25">
      <c r="A72" s="227"/>
      <c r="B72" s="227"/>
      <c r="C72" s="227"/>
      <c r="D72" s="227"/>
      <c r="E72" s="227"/>
      <c r="F72" s="227"/>
      <c r="G72" s="227"/>
      <c r="H72" s="227"/>
      <c r="I72" s="227"/>
      <c r="J72" s="227"/>
      <c r="K72" s="227"/>
      <c r="L72" s="227"/>
      <c r="M72" s="227"/>
      <c r="N72" s="227"/>
      <c r="O72" s="227"/>
      <c r="P72" s="227"/>
      <c r="Q72" s="227"/>
      <c r="R72" s="227"/>
      <c r="S72" s="227"/>
      <c r="T72" s="227"/>
      <c r="U72" s="227"/>
      <c r="V72" s="227"/>
      <c r="W72" s="227"/>
      <c r="X72" s="227"/>
      <c r="Y72" s="227"/>
      <c r="Z72" s="227"/>
      <c r="AA72" s="227"/>
      <c r="AB72" s="227"/>
      <c r="AC72" s="227"/>
      <c r="AD72" s="227"/>
      <c r="AE72" s="227"/>
      <c r="AF72" s="227"/>
    </row>
    <row r="73" spans="1:36" x14ac:dyDescent="0.25">
      <c r="A73" s="227"/>
      <c r="B73" s="227"/>
      <c r="C73" s="227"/>
      <c r="D73" s="227"/>
      <c r="E73" s="227"/>
      <c r="F73" s="227"/>
      <c r="G73" s="227"/>
      <c r="H73" s="227"/>
      <c r="I73" s="227"/>
      <c r="J73" s="227"/>
      <c r="K73" s="227"/>
      <c r="L73" s="227"/>
      <c r="M73" s="227"/>
      <c r="N73" s="227"/>
      <c r="O73" s="227"/>
      <c r="P73" s="227"/>
      <c r="Q73" s="227"/>
      <c r="R73" s="227"/>
      <c r="S73" s="227"/>
      <c r="T73" s="227"/>
      <c r="U73" s="227"/>
      <c r="V73" s="227"/>
      <c r="W73" s="227"/>
      <c r="X73" s="227"/>
      <c r="Y73" s="227"/>
      <c r="Z73" s="227"/>
      <c r="AA73" s="227"/>
      <c r="AB73" s="227"/>
      <c r="AC73" s="227"/>
      <c r="AD73" s="227"/>
      <c r="AE73" s="227"/>
      <c r="AF73" s="227"/>
    </row>
    <row r="74" spans="1:36" x14ac:dyDescent="0.25">
      <c r="A74" s="227"/>
      <c r="B74" s="227"/>
      <c r="C74" s="227"/>
      <c r="D74" s="227"/>
      <c r="E74" s="227"/>
      <c r="F74" s="227"/>
      <c r="G74" s="227"/>
      <c r="H74" s="227"/>
      <c r="I74" s="227"/>
      <c r="J74" s="227"/>
      <c r="K74" s="227"/>
      <c r="L74" s="227"/>
      <c r="M74" s="227"/>
      <c r="N74" s="227"/>
      <c r="O74" s="227"/>
      <c r="P74" s="227"/>
      <c r="Q74" s="227"/>
      <c r="R74" s="227"/>
      <c r="S74" s="227"/>
      <c r="T74" s="227"/>
      <c r="U74" s="227"/>
      <c r="V74" s="227"/>
      <c r="W74" s="227"/>
      <c r="X74" s="227"/>
      <c r="Y74" s="227"/>
      <c r="Z74" s="227"/>
      <c r="AA74" s="227"/>
      <c r="AB74" s="227"/>
      <c r="AC74" s="227"/>
      <c r="AD74" s="227"/>
      <c r="AE74" s="227"/>
      <c r="AF74" s="227"/>
    </row>
    <row r="75" spans="1:36" x14ac:dyDescent="0.25">
      <c r="A75" s="227"/>
      <c r="B75" s="227"/>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row>
    <row r="76" spans="1:36" x14ac:dyDescent="0.25">
      <c r="A76" s="227"/>
      <c r="B76" s="227"/>
      <c r="C76" s="227"/>
      <c r="D76" s="227"/>
      <c r="E76" s="227"/>
      <c r="F76" s="227"/>
      <c r="G76" s="227"/>
      <c r="H76" s="227"/>
      <c r="I76" s="227"/>
      <c r="J76" s="227"/>
      <c r="K76" s="227"/>
      <c r="L76" s="227"/>
      <c r="M76" s="227"/>
      <c r="N76" s="227"/>
      <c r="O76" s="227"/>
      <c r="P76" s="227"/>
      <c r="Q76" s="227"/>
      <c r="R76" s="227"/>
      <c r="S76" s="227"/>
      <c r="T76" s="227"/>
      <c r="U76" s="227"/>
      <c r="V76" s="227"/>
      <c r="W76" s="227"/>
      <c r="X76" s="227"/>
      <c r="Y76" s="227"/>
      <c r="Z76" s="227"/>
      <c r="AA76" s="227"/>
      <c r="AB76" s="227"/>
      <c r="AC76" s="227"/>
      <c r="AD76" s="227"/>
      <c r="AE76" s="227"/>
      <c r="AF76" s="227"/>
    </row>
    <row r="77" spans="1:36"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row>
    <row r="78" spans="1:36" x14ac:dyDescent="0.25">
      <c r="A78" s="227"/>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row>
    <row r="79" spans="1:36" x14ac:dyDescent="0.25">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row>
    <row r="80" spans="1:36" x14ac:dyDescent="0.25">
      <c r="A80" s="227"/>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row>
    <row r="81" spans="1:32" x14ac:dyDescent="0.25">
      <c r="A81" s="227"/>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row>
    <row r="82" spans="1:32" x14ac:dyDescent="0.25">
      <c r="A82" s="227"/>
      <c r="B82" s="227"/>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row>
    <row r="83" spans="1:32" x14ac:dyDescent="0.25">
      <c r="A83" s="227"/>
      <c r="B83" s="227"/>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row>
    <row r="84" spans="1:32" x14ac:dyDescent="0.25">
      <c r="A84" s="227"/>
      <c r="B84" s="227"/>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row>
    <row r="85" spans="1:32" x14ac:dyDescent="0.25">
      <c r="A85" s="227"/>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row>
    <row r="86" spans="1:32" x14ac:dyDescent="0.25">
      <c r="A86" s="227"/>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row>
    <row r="87" spans="1:32" x14ac:dyDescent="0.25">
      <c r="A87" s="227"/>
      <c r="B87" s="227"/>
      <c r="C87" s="227"/>
      <c r="D87" s="227"/>
      <c r="E87" s="227"/>
      <c r="F87" s="227"/>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c r="AE87" s="227"/>
      <c r="AF87" s="227"/>
    </row>
    <row r="88" spans="1:32" x14ac:dyDescent="0.25">
      <c r="A88" s="227"/>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row>
    <row r="89" spans="1:32" x14ac:dyDescent="0.25">
      <c r="A89" s="227"/>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row>
    <row r="90" spans="1:32" x14ac:dyDescent="0.25">
      <c r="A90" s="227"/>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row>
    <row r="91" spans="1:32" x14ac:dyDescent="0.25">
      <c r="A91" s="227"/>
      <c r="B91" s="227"/>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row>
    <row r="92" spans="1:32" x14ac:dyDescent="0.25">
      <c r="A92" s="227"/>
      <c r="B92" s="227"/>
      <c r="C92" s="227"/>
      <c r="D92" s="227"/>
      <c r="E92" s="227"/>
      <c r="F92" s="227"/>
      <c r="G92" s="227"/>
      <c r="H92" s="227"/>
      <c r="I92" s="227"/>
      <c r="J92" s="227"/>
      <c r="K92" s="227"/>
      <c r="L92" s="227"/>
      <c r="M92" s="227"/>
      <c r="N92" s="227"/>
      <c r="O92" s="227"/>
      <c r="P92" s="227"/>
      <c r="Q92" s="227"/>
      <c r="R92" s="227"/>
      <c r="S92" s="227"/>
      <c r="T92" s="227"/>
      <c r="U92" s="227"/>
      <c r="V92" s="227"/>
      <c r="W92" s="227"/>
      <c r="X92" s="227"/>
      <c r="Y92" s="227"/>
      <c r="Z92" s="227"/>
      <c r="AA92" s="227"/>
      <c r="AB92" s="227"/>
      <c r="AC92" s="227"/>
      <c r="AD92" s="227"/>
      <c r="AE92" s="227"/>
      <c r="AF92" s="227"/>
    </row>
    <row r="93" spans="1:32" x14ac:dyDescent="0.25">
      <c r="A93" s="227"/>
      <c r="B93" s="227"/>
      <c r="C93" s="227"/>
      <c r="D93" s="227"/>
      <c r="E93" s="227"/>
      <c r="F93" s="227"/>
      <c r="G93" s="227"/>
      <c r="H93" s="227"/>
      <c r="I93" s="227"/>
      <c r="J93" s="227"/>
      <c r="K93" s="227"/>
      <c r="L93" s="227"/>
      <c r="M93" s="227"/>
      <c r="N93" s="227"/>
      <c r="O93" s="227"/>
      <c r="P93" s="227"/>
      <c r="Q93" s="227"/>
      <c r="R93" s="227"/>
      <c r="S93" s="227"/>
      <c r="T93" s="227"/>
      <c r="U93" s="227"/>
      <c r="V93" s="227"/>
      <c r="W93" s="227"/>
      <c r="X93" s="227"/>
      <c r="Y93" s="227"/>
      <c r="Z93" s="227"/>
      <c r="AA93" s="227"/>
      <c r="AB93" s="227"/>
      <c r="AC93" s="227"/>
      <c r="AD93" s="227"/>
      <c r="AE93" s="227"/>
      <c r="AF93" s="227"/>
    </row>
    <row r="94" spans="1:32"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7"/>
      <c r="AE94" s="227"/>
      <c r="AF94" s="227"/>
    </row>
    <row r="95" spans="1:32" x14ac:dyDescent="0.25">
      <c r="A95" s="227"/>
      <c r="B95" s="227"/>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c r="AA95" s="227"/>
      <c r="AB95" s="227"/>
      <c r="AC95" s="227"/>
      <c r="AD95" s="227"/>
      <c r="AE95" s="227"/>
      <c r="AF95" s="227"/>
    </row>
    <row r="96" spans="1:32" x14ac:dyDescent="0.25">
      <c r="A96" s="227"/>
      <c r="B96" s="227"/>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c r="AA96" s="227"/>
      <c r="AB96" s="227"/>
      <c r="AC96" s="227"/>
      <c r="AD96" s="227"/>
      <c r="AE96" s="227"/>
      <c r="AF96" s="227"/>
    </row>
    <row r="97" spans="1:32" x14ac:dyDescent="0.25">
      <c r="A97" s="227"/>
      <c r="B97" s="227"/>
      <c r="C97" s="227"/>
      <c r="D97" s="227"/>
      <c r="E97" s="227"/>
      <c r="F97" s="227"/>
      <c r="G97" s="227"/>
      <c r="H97" s="227"/>
      <c r="I97" s="227"/>
      <c r="J97" s="227"/>
      <c r="K97" s="227"/>
      <c r="L97" s="227"/>
      <c r="M97" s="227"/>
      <c r="N97" s="227"/>
      <c r="O97" s="227"/>
      <c r="P97" s="227"/>
      <c r="Q97" s="227"/>
      <c r="R97" s="227"/>
      <c r="S97" s="227"/>
      <c r="T97" s="227"/>
      <c r="U97" s="227"/>
      <c r="V97" s="227"/>
      <c r="W97" s="227"/>
      <c r="X97" s="227"/>
      <c r="Y97" s="227"/>
      <c r="Z97" s="227"/>
      <c r="AA97" s="227"/>
      <c r="AB97" s="227"/>
      <c r="AC97" s="227"/>
      <c r="AD97" s="227"/>
      <c r="AE97" s="227"/>
      <c r="AF97" s="227"/>
    </row>
    <row r="98" spans="1:32" x14ac:dyDescent="0.25">
      <c r="A98" s="227"/>
      <c r="B98" s="227"/>
      <c r="C98" s="227"/>
      <c r="D98" s="227"/>
      <c r="E98" s="227"/>
      <c r="F98" s="227"/>
      <c r="G98" s="227"/>
      <c r="H98" s="227"/>
      <c r="I98" s="227"/>
      <c r="J98" s="227"/>
      <c r="K98" s="227"/>
      <c r="L98" s="227"/>
      <c r="M98" s="227"/>
      <c r="N98" s="227"/>
      <c r="O98" s="227"/>
      <c r="P98" s="227"/>
      <c r="Q98" s="227"/>
      <c r="R98" s="227"/>
      <c r="S98" s="227"/>
      <c r="T98" s="227"/>
      <c r="U98" s="227"/>
      <c r="V98" s="227"/>
      <c r="W98" s="227"/>
      <c r="X98" s="227"/>
      <c r="Y98" s="227"/>
      <c r="Z98" s="227"/>
      <c r="AA98" s="227"/>
      <c r="AB98" s="227"/>
      <c r="AC98" s="227"/>
      <c r="AD98" s="227"/>
      <c r="AE98" s="227"/>
      <c r="AF98" s="227"/>
    </row>
    <row r="99" spans="1:32" x14ac:dyDescent="0.25">
      <c r="A99" s="227"/>
      <c r="B99" s="227"/>
      <c r="C99" s="227"/>
      <c r="D99" s="227"/>
      <c r="E99" s="227"/>
      <c r="F99" s="227"/>
      <c r="G99" s="227"/>
      <c r="H99" s="227"/>
      <c r="I99" s="227"/>
      <c r="J99" s="227"/>
      <c r="K99" s="227"/>
      <c r="L99" s="227"/>
      <c r="M99" s="227"/>
      <c r="N99" s="227"/>
      <c r="O99" s="227"/>
      <c r="P99" s="227"/>
      <c r="Q99" s="227"/>
      <c r="R99" s="227"/>
      <c r="S99" s="227"/>
      <c r="T99" s="227"/>
      <c r="U99" s="227"/>
      <c r="V99" s="227"/>
      <c r="W99" s="227"/>
      <c r="X99" s="227"/>
      <c r="Y99" s="227"/>
      <c r="Z99" s="227"/>
      <c r="AA99" s="227"/>
      <c r="AB99" s="227"/>
      <c r="AC99" s="227"/>
      <c r="AD99" s="227"/>
      <c r="AE99" s="227"/>
      <c r="AF99" s="227"/>
    </row>
    <row r="100" spans="1:32"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row>
    <row r="101" spans="1:32" x14ac:dyDescent="0.25">
      <c r="A101" s="227"/>
      <c r="B101" s="227"/>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row>
    <row r="102" spans="1:32" x14ac:dyDescent="0.25">
      <c r="A102" s="227"/>
      <c r="B102" s="227"/>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row>
    <row r="103" spans="1:32" x14ac:dyDescent="0.25">
      <c r="A103" s="227"/>
      <c r="B103" s="227"/>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row>
    <row r="104" spans="1:32" x14ac:dyDescent="0.25">
      <c r="A104" s="227"/>
      <c r="B104" s="227"/>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row>
    <row r="105" spans="1:32" x14ac:dyDescent="0.25">
      <c r="A105" s="227"/>
      <c r="B105" s="227"/>
      <c r="C105" s="227"/>
      <c r="D105" s="227"/>
      <c r="E105" s="227"/>
      <c r="F105" s="227"/>
      <c r="G105" s="227"/>
      <c r="H105" s="227"/>
      <c r="I105" s="227"/>
      <c r="J105" s="227"/>
      <c r="K105" s="227"/>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row>
    <row r="106" spans="1:32" x14ac:dyDescent="0.25">
      <c r="A106" s="227"/>
      <c r="B106" s="227"/>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row>
    <row r="107" spans="1:32" x14ac:dyDescent="0.25">
      <c r="A107" s="227"/>
      <c r="B107" s="227"/>
      <c r="C107" s="227"/>
      <c r="D107" s="227"/>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row>
    <row r="108" spans="1:32" x14ac:dyDescent="0.25">
      <c r="A108" s="227"/>
      <c r="B108" s="227"/>
      <c r="C108" s="227"/>
      <c r="D108" s="227"/>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c r="AA108" s="227"/>
      <c r="AB108" s="227"/>
      <c r="AC108" s="227"/>
      <c r="AD108" s="227"/>
      <c r="AE108" s="227"/>
      <c r="AF108" s="227"/>
    </row>
    <row r="109" spans="1:32" x14ac:dyDescent="0.25">
      <c r="A109" s="227"/>
      <c r="B109" s="227"/>
      <c r="C109" s="227"/>
      <c r="D109" s="227"/>
      <c r="E109" s="227"/>
      <c r="F109" s="227"/>
      <c r="G109" s="227"/>
      <c r="H109" s="227"/>
      <c r="I109" s="227"/>
      <c r="J109" s="227"/>
      <c r="K109" s="227"/>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row>
    <row r="110" spans="1:32" x14ac:dyDescent="0.25">
      <c r="A110" s="227"/>
      <c r="B110" s="227"/>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row>
    <row r="111" spans="1:32" x14ac:dyDescent="0.25">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row>
    <row r="112" spans="1:32" x14ac:dyDescent="0.25">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c r="AA112" s="227"/>
      <c r="AB112" s="227"/>
      <c r="AC112" s="227"/>
      <c r="AD112" s="227"/>
      <c r="AE112" s="227"/>
      <c r="AF112" s="227"/>
    </row>
    <row r="113" spans="1:32" x14ac:dyDescent="0.25">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row>
    <row r="114" spans="1:32" x14ac:dyDescent="0.25">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7"/>
      <c r="AE114" s="227"/>
      <c r="AF114" s="227"/>
    </row>
    <row r="115" spans="1:32" x14ac:dyDescent="0.25">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row>
    <row r="116" spans="1:32" x14ac:dyDescent="0.25">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row>
    <row r="117" spans="1:32" x14ac:dyDescent="0.25">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c r="W117" s="227"/>
      <c r="X117" s="227"/>
      <c r="Y117" s="227"/>
      <c r="Z117" s="227"/>
      <c r="AA117" s="227"/>
      <c r="AB117" s="227"/>
      <c r="AC117" s="227"/>
      <c r="AD117" s="227"/>
      <c r="AE117" s="227"/>
      <c r="AF117" s="227"/>
    </row>
    <row r="118" spans="1:32" x14ac:dyDescent="0.25">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7"/>
      <c r="AE118" s="227"/>
      <c r="AF118" s="227"/>
    </row>
    <row r="119" spans="1:32" x14ac:dyDescent="0.25">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c r="AC119" s="227"/>
      <c r="AD119" s="227"/>
      <c r="AE119" s="227"/>
      <c r="AF119" s="227"/>
    </row>
    <row r="120" spans="1:32" x14ac:dyDescent="0.25">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c r="AC120" s="227"/>
      <c r="AD120" s="227"/>
      <c r="AE120" s="227"/>
      <c r="AF120" s="227"/>
    </row>
    <row r="121" spans="1:32" x14ac:dyDescent="0.25">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c r="W121" s="227"/>
      <c r="X121" s="227"/>
      <c r="Y121" s="227"/>
      <c r="Z121" s="227"/>
      <c r="AA121" s="227"/>
      <c r="AB121" s="227"/>
      <c r="AC121" s="227"/>
      <c r="AD121" s="227"/>
      <c r="AE121" s="227"/>
      <c r="AF121" s="227"/>
    </row>
  </sheetData>
  <sheetProtection algorithmName="SHA-512" hashValue="VRnbWswPwxKtI3ZVDjwrDuvImqSwzgWIVJ+xi/66R2KqTtySb5AecaN8Fxjg0wMZKGfM1BzwxZxGCayBvte5bA==" saltValue="9e3HQD30fkzYAq2zQDTuLw==" spinCount="100000" sheet="1" objects="1" scenarios="1"/>
  <mergeCells count="78">
    <mergeCell ref="A1:AF1"/>
    <mergeCell ref="A3:AF3"/>
    <mergeCell ref="B5:AF5"/>
    <mergeCell ref="A7:AF7"/>
    <mergeCell ref="B9:I9"/>
    <mergeCell ref="B10:AF10"/>
    <mergeCell ref="B12:I12"/>
    <mergeCell ref="B13:AF13"/>
    <mergeCell ref="B15:I15"/>
    <mergeCell ref="B16:AF16"/>
    <mergeCell ref="B18:I18"/>
    <mergeCell ref="B19:AF19"/>
    <mergeCell ref="B21:J21"/>
    <mergeCell ref="B22:AF22"/>
    <mergeCell ref="A24:AF24"/>
    <mergeCell ref="A39:AF39"/>
    <mergeCell ref="A40:D40"/>
    <mergeCell ref="E40:P40"/>
    <mergeCell ref="Q40:T40"/>
    <mergeCell ref="U40:W40"/>
    <mergeCell ref="X40:AF40"/>
    <mergeCell ref="A41:D41"/>
    <mergeCell ref="E41:P41"/>
    <mergeCell ref="Q41:T41"/>
    <mergeCell ref="U41:W41"/>
    <mergeCell ref="X41:AF41"/>
    <mergeCell ref="A42:D42"/>
    <mergeCell ref="E42:P42"/>
    <mergeCell ref="Q42:T42"/>
    <mergeCell ref="U42:W42"/>
    <mergeCell ref="X42:AF42"/>
    <mergeCell ref="A43:D43"/>
    <mergeCell ref="E43:P43"/>
    <mergeCell ref="Q43:T43"/>
    <mergeCell ref="U43:W43"/>
    <mergeCell ref="X43:AF43"/>
    <mergeCell ref="A44:D44"/>
    <mergeCell ref="E44:P44"/>
    <mergeCell ref="Q44:T44"/>
    <mergeCell ref="U44:W44"/>
    <mergeCell ref="X44:AF44"/>
    <mergeCell ref="A45:D45"/>
    <mergeCell ref="E45:P45"/>
    <mergeCell ref="Q45:T45"/>
    <mergeCell ref="U45:W45"/>
    <mergeCell ref="X45:AF45"/>
    <mergeCell ref="A46:D46"/>
    <mergeCell ref="E46:P46"/>
    <mergeCell ref="Q46:T46"/>
    <mergeCell ref="U46:W46"/>
    <mergeCell ref="X46:AF46"/>
    <mergeCell ref="A47:D47"/>
    <mergeCell ref="E47:P47"/>
    <mergeCell ref="Q47:T47"/>
    <mergeCell ref="U47:W47"/>
    <mergeCell ref="X47:AF47"/>
    <mergeCell ref="A48:AF48"/>
    <mergeCell ref="A52:AF52"/>
    <mergeCell ref="A56:H56"/>
    <mergeCell ref="I56:P56"/>
    <mergeCell ref="Q56:X56"/>
    <mergeCell ref="Y56:AF56"/>
    <mergeCell ref="B70:AF70"/>
    <mergeCell ref="B71:AF71"/>
    <mergeCell ref="A57:H57"/>
    <mergeCell ref="I57:P57"/>
    <mergeCell ref="Q57:X57"/>
    <mergeCell ref="Y57:AF57"/>
    <mergeCell ref="A68:AF68"/>
    <mergeCell ref="D63:H63"/>
    <mergeCell ref="A65:H65"/>
    <mergeCell ref="I65:P65"/>
    <mergeCell ref="Q65:X65"/>
    <mergeCell ref="Y65:AF65"/>
    <mergeCell ref="A66:H66"/>
    <mergeCell ref="I66:P66"/>
    <mergeCell ref="Q66:X66"/>
    <mergeCell ref="Y66:AF66"/>
  </mergeCells>
  <hyperlinks>
    <hyperlink ref="A2" location="TOC!A1" display="Return to TOC" xr:uid="{00000000-0004-0000-5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8" tint="0.79998168889431442"/>
    <pageSetUpPr autoPageBreaks="0"/>
  </sheetPr>
  <dimension ref="A1:AF211"/>
  <sheetViews>
    <sheetView workbookViewId="0">
      <selection sqref="A1:AF1"/>
    </sheetView>
  </sheetViews>
  <sheetFormatPr defaultColWidth="2.7109375" defaultRowHeight="15" x14ac:dyDescent="0.25"/>
  <cols>
    <col min="1" max="12" width="2.7109375" style="227"/>
    <col min="13" max="13" width="4.7109375" style="227" customWidth="1"/>
    <col min="14" max="32" width="2.7109375" style="227"/>
  </cols>
  <sheetData>
    <row r="1" spans="1:32" ht="18.75" x14ac:dyDescent="0.25">
      <c r="A1" s="1464" t="s">
        <v>4881</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row>
    <row r="2" spans="1:32" x14ac:dyDescent="0.25">
      <c r="A2" s="376" t="s">
        <v>1702</v>
      </c>
    </row>
    <row r="3" spans="1:32"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row>
    <row r="4" spans="1:32"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row>
    <row r="5" spans="1:32" x14ac:dyDescent="0.25">
      <c r="A5" s="262"/>
      <c r="B5" s="1589" t="s">
        <v>4882</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2" x14ac:dyDescent="0.25">
      <c r="A6" s="529"/>
    </row>
    <row r="7" spans="1:32" x14ac:dyDescent="0.25">
      <c r="A7" s="1621" t="s">
        <v>9</v>
      </c>
      <c r="B7" s="1621"/>
      <c r="C7" s="1621"/>
      <c r="D7" s="1621"/>
      <c r="E7" s="1621"/>
      <c r="F7" s="1621"/>
      <c r="G7" s="1621"/>
      <c r="H7" s="1621"/>
      <c r="I7" s="1621"/>
      <c r="J7" s="1621"/>
      <c r="K7" s="1621"/>
      <c r="L7" s="1621"/>
      <c r="M7" s="1621"/>
      <c r="N7" s="1621"/>
      <c r="O7" s="1621"/>
      <c r="P7" s="1621"/>
      <c r="Q7" s="1621"/>
      <c r="R7" s="1621"/>
      <c r="S7" s="1621"/>
      <c r="T7" s="1621"/>
      <c r="U7" s="1621"/>
      <c r="V7" s="1621"/>
      <c r="W7" s="1621"/>
      <c r="X7" s="1621"/>
      <c r="Y7" s="1621"/>
      <c r="Z7" s="1621"/>
      <c r="AA7" s="1621"/>
      <c r="AB7" s="1621"/>
      <c r="AC7" s="1621"/>
      <c r="AD7" s="1621"/>
      <c r="AE7" s="1621"/>
      <c r="AF7" s="1621"/>
    </row>
    <row r="8" spans="1:32" x14ac:dyDescent="0.25">
      <c r="A8" s="19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row>
    <row r="9" spans="1:32" x14ac:dyDescent="0.25">
      <c r="A9" s="262"/>
      <c r="B9" s="1845" t="s">
        <v>10</v>
      </c>
      <c r="C9" s="1845"/>
      <c r="D9" s="1845"/>
      <c r="E9" s="1845"/>
      <c r="F9" s="1845"/>
      <c r="G9" s="1845"/>
      <c r="H9" s="1845"/>
      <c r="I9" s="1845"/>
      <c r="J9" s="262"/>
      <c r="K9" s="262"/>
      <c r="L9" s="262"/>
      <c r="M9" s="262"/>
      <c r="N9" s="262"/>
      <c r="O9" s="262"/>
      <c r="P9" s="262"/>
      <c r="Q9" s="262"/>
      <c r="R9" s="262"/>
      <c r="S9" s="262"/>
      <c r="T9" s="262"/>
      <c r="U9" s="262"/>
      <c r="V9" s="262"/>
      <c r="W9" s="262"/>
      <c r="X9" s="262"/>
      <c r="Y9" s="262"/>
      <c r="Z9" s="262"/>
      <c r="AA9" s="262"/>
      <c r="AB9" s="262"/>
      <c r="AC9" s="262"/>
      <c r="AD9" s="262"/>
      <c r="AE9" s="262"/>
      <c r="AF9" s="262"/>
    </row>
    <row r="10" spans="1:32" ht="67.5" customHeight="1" x14ac:dyDescent="0.25">
      <c r="A10" s="263"/>
      <c r="B10" s="1173" t="s">
        <v>4883</v>
      </c>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row>
    <row r="11" spans="1:32" x14ac:dyDescent="0.25">
      <c r="A11" s="262"/>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row>
    <row r="12" spans="1:32" x14ac:dyDescent="0.25">
      <c r="A12" s="262"/>
      <c r="B12" s="1845" t="s">
        <v>11</v>
      </c>
      <c r="C12" s="1845"/>
      <c r="D12" s="1845"/>
      <c r="E12" s="1845"/>
      <c r="F12" s="1845"/>
      <c r="G12" s="1845"/>
      <c r="H12" s="1845"/>
      <c r="I12" s="1845"/>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row>
    <row r="13" spans="1:32" ht="46.5" customHeight="1" x14ac:dyDescent="0.25">
      <c r="A13" s="262"/>
      <c r="B13" s="1173" t="s">
        <v>4884</v>
      </c>
      <c r="C13" s="1173"/>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row>
    <row r="14" spans="1:32" x14ac:dyDescent="0.25">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row>
    <row r="15" spans="1:32" x14ac:dyDescent="0.25">
      <c r="A15" s="262"/>
      <c r="B15" s="1845" t="s">
        <v>12</v>
      </c>
      <c r="C15" s="1845"/>
      <c r="D15" s="1845"/>
      <c r="E15" s="1845"/>
      <c r="F15" s="1845"/>
      <c r="G15" s="1845"/>
      <c r="H15" s="1845"/>
      <c r="I15" s="1845"/>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row>
    <row r="16" spans="1:32" x14ac:dyDescent="0.25">
      <c r="A16" s="262"/>
      <c r="B16" s="1703" t="s">
        <v>4885</v>
      </c>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row>
    <row r="17" spans="1:32" x14ac:dyDescent="0.25">
      <c r="A17" s="262"/>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row>
    <row r="18" spans="1:32" x14ac:dyDescent="0.25">
      <c r="A18" s="262"/>
      <c r="B18" s="1845" t="s">
        <v>13</v>
      </c>
      <c r="C18" s="1845"/>
      <c r="D18" s="1845"/>
      <c r="E18" s="1845"/>
      <c r="F18" s="1845"/>
      <c r="G18" s="1845"/>
      <c r="H18" s="1845"/>
      <c r="I18" s="1845"/>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row>
    <row r="19" spans="1:32" ht="138.75" customHeight="1" x14ac:dyDescent="0.25">
      <c r="A19" s="262"/>
      <c r="B19" s="1173" t="s">
        <v>4886</v>
      </c>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row>
    <row r="20" spans="1:32" x14ac:dyDescent="0.25">
      <c r="A20" s="262"/>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row>
    <row r="21" spans="1:32" x14ac:dyDescent="0.25">
      <c r="A21" s="262"/>
      <c r="B21" s="1845" t="s">
        <v>20</v>
      </c>
      <c r="C21" s="1845"/>
      <c r="D21" s="1845"/>
      <c r="E21" s="1845"/>
      <c r="F21" s="1845"/>
      <c r="G21" s="1845"/>
      <c r="H21" s="1845"/>
      <c r="I21" s="1845"/>
      <c r="J21" s="1845"/>
      <c r="K21" s="262"/>
      <c r="L21" s="262"/>
      <c r="M21" s="262"/>
      <c r="N21" s="262"/>
      <c r="O21" s="262"/>
      <c r="P21" s="262"/>
      <c r="Q21" s="262"/>
      <c r="R21" s="262"/>
      <c r="S21" s="262"/>
      <c r="T21" s="262"/>
      <c r="U21" s="262"/>
      <c r="V21" s="262"/>
      <c r="W21" s="262"/>
      <c r="X21" s="262"/>
      <c r="Y21" s="262"/>
      <c r="Z21" s="262"/>
      <c r="AA21" s="262"/>
      <c r="AB21" s="262"/>
      <c r="AC21" s="262"/>
      <c r="AD21" s="262"/>
      <c r="AE21" s="262"/>
      <c r="AF21" s="262"/>
    </row>
    <row r="22" spans="1:32" ht="34.5" customHeight="1" x14ac:dyDescent="0.25">
      <c r="A22" s="262"/>
      <c r="B22" s="1173" t="s">
        <v>4887</v>
      </c>
      <c r="C22" s="1287"/>
      <c r="D22" s="1287"/>
      <c r="E22" s="1287"/>
      <c r="F22" s="1287"/>
      <c r="G22" s="1287"/>
      <c r="H22" s="1287"/>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row>
    <row r="23" spans="1:32" x14ac:dyDescent="0.25">
      <c r="A23" s="262"/>
      <c r="B23" s="517"/>
      <c r="C23" s="647"/>
      <c r="D23" s="647"/>
      <c r="E23" s="647"/>
      <c r="F23" s="647"/>
      <c r="G23" s="647"/>
      <c r="H23" s="647"/>
      <c r="I23" s="647"/>
      <c r="J23" s="647"/>
      <c r="K23" s="647"/>
      <c r="L23" s="647"/>
      <c r="M23" s="647"/>
      <c r="N23" s="647"/>
      <c r="O23" s="647"/>
      <c r="P23" s="647"/>
      <c r="Q23" s="647"/>
      <c r="R23" s="647"/>
      <c r="S23" s="647"/>
      <c r="T23" s="647"/>
      <c r="U23" s="647"/>
      <c r="V23" s="647"/>
      <c r="W23" s="647"/>
      <c r="X23" s="647"/>
      <c r="Y23" s="647"/>
      <c r="Z23" s="647"/>
      <c r="AA23" s="647"/>
      <c r="AB23" s="647"/>
      <c r="AC23" s="647"/>
      <c r="AD23" s="647"/>
      <c r="AE23" s="647"/>
      <c r="AF23" s="647"/>
    </row>
    <row r="24" spans="1:32" x14ac:dyDescent="0.25">
      <c r="A24" s="1472" t="s">
        <v>14</v>
      </c>
      <c r="B24" s="1472"/>
      <c r="C24" s="1472"/>
      <c r="D24" s="1472"/>
      <c r="E24" s="1472"/>
      <c r="F24" s="1472"/>
      <c r="G24" s="1472"/>
      <c r="H24" s="1472"/>
      <c r="I24" s="1472"/>
      <c r="J24" s="1472"/>
      <c r="K24" s="1472"/>
      <c r="L24" s="1472"/>
      <c r="M24" s="1472"/>
      <c r="N24" s="1472"/>
      <c r="O24" s="1472"/>
      <c r="P24" s="1472"/>
      <c r="Q24" s="1472"/>
      <c r="R24" s="1472"/>
      <c r="S24" s="1472"/>
      <c r="T24" s="1472"/>
      <c r="U24" s="1472"/>
      <c r="V24" s="1472"/>
      <c r="W24" s="1472"/>
      <c r="X24" s="1472"/>
      <c r="Y24" s="1472"/>
      <c r="Z24" s="1472"/>
      <c r="AA24" s="1472"/>
      <c r="AB24" s="1472"/>
      <c r="AC24" s="1472"/>
      <c r="AD24" s="1472"/>
      <c r="AE24" s="1472"/>
      <c r="AF24" s="1472"/>
    </row>
    <row r="25" spans="1:32"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x14ac:dyDescent="0.25">
      <c r="A26" s="1"/>
      <c r="B26" s="379" t="s">
        <v>2301</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2"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row>
    <row r="28" spans="1:32"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204" t="s">
        <v>1705</v>
      </c>
    </row>
    <row r="29" spans="1:32"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204"/>
    </row>
    <row r="30" spans="1:32" x14ac:dyDescent="0.25">
      <c r="A30" s="1"/>
      <c r="B30" s="379" t="s">
        <v>2302</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spans="1:32"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row>
    <row r="32" spans="1:32"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204" t="s">
        <v>1706</v>
      </c>
    </row>
    <row r="33" spans="1:32"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204"/>
    </row>
    <row r="34" spans="1:32" x14ac:dyDescent="0.25">
      <c r="A34" s="1"/>
      <c r="B34" s="171" t="s">
        <v>2192</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row r="35" spans="1:32"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row>
    <row r="36" spans="1:32"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204" t="s">
        <v>1707</v>
      </c>
    </row>
    <row r="37" spans="1:32"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row>
    <row r="38" spans="1:32" x14ac:dyDescent="0.25">
      <c r="A38" s="1"/>
      <c r="B38" s="171" t="s">
        <v>2193</v>
      </c>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spans="1:32"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204" t="s">
        <v>1756</v>
      </c>
    </row>
    <row r="41" spans="1:32"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spans="1:32" x14ac:dyDescent="0.25">
      <c r="A42" s="1"/>
      <c r="B42" s="171" t="s">
        <v>4585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204"/>
    </row>
    <row r="43" spans="1:32"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204"/>
    </row>
    <row r="44" spans="1:32"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204" t="s">
        <v>1788</v>
      </c>
    </row>
    <row r="45" spans="1:32"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204"/>
    </row>
    <row r="46" spans="1:32" x14ac:dyDescent="0.25">
      <c r="A46" s="1"/>
      <c r="B46" s="171" t="s">
        <v>4586</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204"/>
    </row>
    <row r="47" spans="1:32"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204"/>
    </row>
    <row r="48" spans="1:32"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204" t="s">
        <v>1789</v>
      </c>
    </row>
    <row r="49" spans="1:32"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204"/>
    </row>
    <row r="50" spans="1:32" x14ac:dyDescent="0.25">
      <c r="A50" s="1"/>
      <c r="B50" s="171" t="s">
        <v>3031</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204"/>
    </row>
    <row r="51" spans="1:32"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204"/>
    </row>
    <row r="52" spans="1:3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204" t="s">
        <v>1826</v>
      </c>
    </row>
    <row r="53" spans="1:3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204"/>
    </row>
    <row r="54" spans="1:3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204" t="s">
        <v>1827</v>
      </c>
    </row>
    <row r="55" spans="1:3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204"/>
    </row>
    <row r="56" spans="1:3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row>
    <row r="57" spans="1:32" x14ac:dyDescent="0.25">
      <c r="A57" s="1472" t="s">
        <v>15</v>
      </c>
      <c r="B57" s="1472"/>
      <c r="C57" s="1472"/>
      <c r="D57" s="1472"/>
      <c r="E57" s="1472"/>
      <c r="F57" s="1472"/>
      <c r="G57" s="1472"/>
      <c r="H57" s="1472"/>
      <c r="I57" s="1472"/>
      <c r="J57" s="1472"/>
      <c r="K57" s="1472"/>
      <c r="L57" s="1472"/>
      <c r="M57" s="1472"/>
      <c r="N57" s="1472"/>
      <c r="O57" s="1472"/>
      <c r="P57" s="1472"/>
      <c r="Q57" s="1472"/>
      <c r="R57" s="1472"/>
      <c r="S57" s="1472"/>
      <c r="T57" s="1472"/>
      <c r="U57" s="1472"/>
      <c r="V57" s="1472"/>
      <c r="W57" s="1472"/>
      <c r="X57" s="1472"/>
      <c r="Y57" s="1472"/>
      <c r="Z57" s="1472"/>
      <c r="AA57" s="1472"/>
      <c r="AB57" s="1472"/>
      <c r="AC57" s="1472"/>
      <c r="AD57" s="1472"/>
      <c r="AE57" s="1472"/>
      <c r="AF57" s="1472"/>
    </row>
    <row r="58" spans="1:32" x14ac:dyDescent="0.25">
      <c r="A58" s="1474" t="s">
        <v>16</v>
      </c>
      <c r="B58" s="1474"/>
      <c r="C58" s="1474"/>
      <c r="D58" s="1474"/>
      <c r="E58" s="1474" t="s">
        <v>10</v>
      </c>
      <c r="F58" s="1474"/>
      <c r="G58" s="1474"/>
      <c r="H58" s="1474"/>
      <c r="I58" s="1474"/>
      <c r="J58" s="1474"/>
      <c r="K58" s="1474"/>
      <c r="L58" s="1474"/>
      <c r="M58" s="1474"/>
      <c r="N58" s="1474"/>
      <c r="O58" s="1474"/>
      <c r="P58" s="1474"/>
      <c r="Q58" s="1474" t="s">
        <v>17</v>
      </c>
      <c r="R58" s="1474"/>
      <c r="S58" s="1474"/>
      <c r="T58" s="1474"/>
      <c r="U58" s="1590" t="s">
        <v>18</v>
      </c>
      <c r="V58" s="1591"/>
      <c r="W58" s="1751"/>
      <c r="X58" s="1590" t="s">
        <v>1708</v>
      </c>
      <c r="Y58" s="1591"/>
      <c r="Z58" s="1591"/>
      <c r="AA58" s="1591"/>
      <c r="AB58" s="1591"/>
      <c r="AC58" s="1591"/>
      <c r="AD58" s="1591"/>
      <c r="AE58" s="1591"/>
      <c r="AF58" s="1751"/>
    </row>
    <row r="59" spans="1:32" ht="150.75" customHeight="1" x14ac:dyDescent="0.25">
      <c r="A59" s="1485" t="s">
        <v>1758</v>
      </c>
      <c r="B59" s="1486" t="s">
        <v>294</v>
      </c>
      <c r="C59" s="1486" t="s">
        <v>294</v>
      </c>
      <c r="D59" s="1487" t="s">
        <v>294</v>
      </c>
      <c r="E59" s="1479" t="s">
        <v>4888</v>
      </c>
      <c r="F59" s="1480" t="s">
        <v>637</v>
      </c>
      <c r="G59" s="1480" t="s">
        <v>637</v>
      </c>
      <c r="H59" s="1480" t="s">
        <v>637</v>
      </c>
      <c r="I59" s="1480" t="s">
        <v>637</v>
      </c>
      <c r="J59" s="1480" t="s">
        <v>637</v>
      </c>
      <c r="K59" s="1480" t="s">
        <v>637</v>
      </c>
      <c r="L59" s="1480" t="s">
        <v>637</v>
      </c>
      <c r="M59" s="1480" t="s">
        <v>637</v>
      </c>
      <c r="N59" s="1480" t="s">
        <v>637</v>
      </c>
      <c r="O59" s="1480" t="s">
        <v>637</v>
      </c>
      <c r="P59" s="1481" t="s">
        <v>637</v>
      </c>
      <c r="Q59" s="2490" t="s">
        <v>626</v>
      </c>
      <c r="R59" s="2491" t="s">
        <v>251</v>
      </c>
      <c r="S59" s="2491" t="s">
        <v>251</v>
      </c>
      <c r="T59" s="2492" t="s">
        <v>251</v>
      </c>
      <c r="U59" s="1574" t="s">
        <v>26</v>
      </c>
      <c r="V59" s="1575"/>
      <c r="W59" s="1576"/>
      <c r="X59" s="1479" t="s">
        <v>4889</v>
      </c>
      <c r="Y59" s="1480"/>
      <c r="Z59" s="1480"/>
      <c r="AA59" s="1480"/>
      <c r="AB59" s="1480"/>
      <c r="AC59" s="1480"/>
      <c r="AD59" s="1480"/>
      <c r="AE59" s="1480"/>
      <c r="AF59" s="1481"/>
    </row>
    <row r="60" spans="1:32" ht="141" customHeight="1" x14ac:dyDescent="0.25">
      <c r="A60" s="1485" t="s">
        <v>1759</v>
      </c>
      <c r="B60" s="1486" t="s">
        <v>294</v>
      </c>
      <c r="C60" s="1486" t="s">
        <v>294</v>
      </c>
      <c r="D60" s="1487" t="s">
        <v>294</v>
      </c>
      <c r="E60" s="1479" t="s">
        <v>4890</v>
      </c>
      <c r="F60" s="1480"/>
      <c r="G60" s="1480"/>
      <c r="H60" s="1480"/>
      <c r="I60" s="1480"/>
      <c r="J60" s="1480"/>
      <c r="K60" s="1480"/>
      <c r="L60" s="1480"/>
      <c r="M60" s="1480"/>
      <c r="N60" s="1480"/>
      <c r="O60" s="1480"/>
      <c r="P60" s="1481"/>
      <c r="Q60" s="2490" t="s">
        <v>626</v>
      </c>
      <c r="R60" s="2491" t="s">
        <v>251</v>
      </c>
      <c r="S60" s="2491" t="s">
        <v>251</v>
      </c>
      <c r="T60" s="2492" t="s">
        <v>251</v>
      </c>
      <c r="U60" s="1574" t="s">
        <v>26</v>
      </c>
      <c r="V60" s="1575"/>
      <c r="W60" s="1576"/>
      <c r="X60" s="1479" t="s">
        <v>4891</v>
      </c>
      <c r="Y60" s="1480"/>
      <c r="Z60" s="1480"/>
      <c r="AA60" s="1480"/>
      <c r="AB60" s="1480"/>
      <c r="AC60" s="1480"/>
      <c r="AD60" s="1480"/>
      <c r="AE60" s="1480"/>
      <c r="AF60" s="1481"/>
    </row>
    <row r="61" spans="1:32" ht="51" customHeight="1" x14ac:dyDescent="0.25">
      <c r="A61" s="1485" t="s">
        <v>1760</v>
      </c>
      <c r="B61" s="1486"/>
      <c r="C61" s="1486"/>
      <c r="D61" s="1487"/>
      <c r="E61" s="1479" t="s">
        <v>2031</v>
      </c>
      <c r="F61" s="1480"/>
      <c r="G61" s="1480"/>
      <c r="H61" s="1480"/>
      <c r="I61" s="1480"/>
      <c r="J61" s="1480"/>
      <c r="K61" s="1480"/>
      <c r="L61" s="1480"/>
      <c r="M61" s="1480"/>
      <c r="N61" s="1480"/>
      <c r="O61" s="1480"/>
      <c r="P61" s="1481"/>
      <c r="Q61" s="2493">
        <v>1</v>
      </c>
      <c r="R61" s="2494"/>
      <c r="S61" s="2494"/>
      <c r="T61" s="2495"/>
      <c r="U61" s="1592" t="s">
        <v>28</v>
      </c>
      <c r="V61" s="1575"/>
      <c r="W61" s="1576"/>
      <c r="X61" s="1715" t="s">
        <v>4892</v>
      </c>
      <c r="Y61" s="1715"/>
      <c r="Z61" s="1715"/>
      <c r="AA61" s="1715"/>
      <c r="AB61" s="1715"/>
      <c r="AC61" s="1715"/>
      <c r="AD61" s="1715"/>
      <c r="AE61" s="1715"/>
      <c r="AF61" s="1715"/>
    </row>
    <row r="62" spans="1:32" ht="102.75" customHeight="1" x14ac:dyDescent="0.25">
      <c r="A62" s="1485" t="s">
        <v>545</v>
      </c>
      <c r="B62" s="1486" t="s">
        <v>545</v>
      </c>
      <c r="C62" s="1486" t="s">
        <v>545</v>
      </c>
      <c r="D62" s="1487" t="s">
        <v>545</v>
      </c>
      <c r="E62" s="1479" t="s">
        <v>1703</v>
      </c>
      <c r="F62" s="1480" t="s">
        <v>546</v>
      </c>
      <c r="G62" s="1480" t="s">
        <v>546</v>
      </c>
      <c r="H62" s="1480" t="s">
        <v>546</v>
      </c>
      <c r="I62" s="1480" t="s">
        <v>546</v>
      </c>
      <c r="J62" s="1480" t="s">
        <v>546</v>
      </c>
      <c r="K62" s="1480" t="s">
        <v>546</v>
      </c>
      <c r="L62" s="1480" t="s">
        <v>546</v>
      </c>
      <c r="M62" s="1480" t="s">
        <v>546</v>
      </c>
      <c r="N62" s="1480" t="s">
        <v>546</v>
      </c>
      <c r="O62" s="1480" t="s">
        <v>546</v>
      </c>
      <c r="P62" s="1481" t="s">
        <v>546</v>
      </c>
      <c r="Q62" s="1497">
        <v>0</v>
      </c>
      <c r="R62" s="1498">
        <v>0.12</v>
      </c>
      <c r="S62" s="1498">
        <v>0.12</v>
      </c>
      <c r="T62" s="1499">
        <v>0.12</v>
      </c>
      <c r="U62" s="1482" t="s">
        <v>28</v>
      </c>
      <c r="V62" s="1483"/>
      <c r="W62" s="1484"/>
      <c r="X62" s="1517" t="s">
        <v>4893</v>
      </c>
      <c r="Y62" s="1517"/>
      <c r="Z62" s="1517"/>
      <c r="AA62" s="1517"/>
      <c r="AB62" s="1517"/>
      <c r="AC62" s="1517"/>
      <c r="AD62" s="1517"/>
      <c r="AE62" s="1517"/>
      <c r="AF62" s="1517"/>
    </row>
    <row r="63" spans="1:32" ht="23.25" customHeight="1" x14ac:dyDescent="0.25">
      <c r="A63" s="1485" t="s">
        <v>1762</v>
      </c>
      <c r="B63" s="1486"/>
      <c r="C63" s="1486"/>
      <c r="D63" s="1487"/>
      <c r="E63" s="1479" t="s">
        <v>1763</v>
      </c>
      <c r="F63" s="1480"/>
      <c r="G63" s="1480"/>
      <c r="H63" s="1480"/>
      <c r="I63" s="1480"/>
      <c r="J63" s="1480"/>
      <c r="K63" s="1480"/>
      <c r="L63" s="1480"/>
      <c r="M63" s="1480"/>
      <c r="N63" s="1480"/>
      <c r="O63" s="1480"/>
      <c r="P63" s="1481"/>
      <c r="Q63" s="1482" t="s">
        <v>1106</v>
      </c>
      <c r="R63" s="1483">
        <v>0.12</v>
      </c>
      <c r="S63" s="1483">
        <v>0.12</v>
      </c>
      <c r="T63" s="1484">
        <v>0.12</v>
      </c>
      <c r="U63" s="1592" t="s">
        <v>1819</v>
      </c>
      <c r="V63" s="1575"/>
      <c r="W63" s="1576"/>
      <c r="X63" s="1517" t="s">
        <v>4894</v>
      </c>
      <c r="Y63" s="1517"/>
      <c r="Z63" s="1517"/>
      <c r="AA63" s="1517"/>
      <c r="AB63" s="1517"/>
      <c r="AC63" s="1517"/>
      <c r="AD63" s="1517"/>
      <c r="AE63" s="1517"/>
      <c r="AF63" s="1517"/>
    </row>
    <row r="64" spans="1:32" ht="51" customHeight="1" x14ac:dyDescent="0.25">
      <c r="A64" s="1485" t="s">
        <v>2128</v>
      </c>
      <c r="B64" s="1486"/>
      <c r="C64" s="1486"/>
      <c r="D64" s="1487"/>
      <c r="E64" s="2498" t="s">
        <v>3032</v>
      </c>
      <c r="F64" s="1480"/>
      <c r="G64" s="1480"/>
      <c r="H64" s="1480"/>
      <c r="I64" s="1480"/>
      <c r="J64" s="1480"/>
      <c r="K64" s="1480"/>
      <c r="L64" s="1480"/>
      <c r="M64" s="1480"/>
      <c r="N64" s="1480"/>
      <c r="O64" s="1480"/>
      <c r="P64" s="1481"/>
      <c r="Q64" s="1482" t="s">
        <v>2075</v>
      </c>
      <c r="R64" s="1483"/>
      <c r="S64" s="1483"/>
      <c r="T64" s="1484"/>
      <c r="U64" s="1482" t="s">
        <v>28</v>
      </c>
      <c r="V64" s="1483"/>
      <c r="W64" s="1484"/>
      <c r="X64" s="1517" t="s">
        <v>3034</v>
      </c>
      <c r="Y64" s="1517"/>
      <c r="Z64" s="1517"/>
      <c r="AA64" s="1517"/>
      <c r="AB64" s="1517"/>
      <c r="AC64" s="1517"/>
      <c r="AD64" s="1517"/>
      <c r="AE64" s="1517"/>
      <c r="AF64" s="1517"/>
    </row>
    <row r="65" spans="1:32" ht="54" customHeight="1" x14ac:dyDescent="0.25">
      <c r="A65" s="1485" t="s">
        <v>2129</v>
      </c>
      <c r="B65" s="1486"/>
      <c r="C65" s="1486"/>
      <c r="D65" s="1487"/>
      <c r="E65" s="2498" t="s">
        <v>3033</v>
      </c>
      <c r="F65" s="1480"/>
      <c r="G65" s="1480"/>
      <c r="H65" s="1480"/>
      <c r="I65" s="1480"/>
      <c r="J65" s="1480"/>
      <c r="K65" s="1480"/>
      <c r="L65" s="1480"/>
      <c r="M65" s="1480"/>
      <c r="N65" s="1480"/>
      <c r="O65" s="1480"/>
      <c r="P65" s="1481"/>
      <c r="Q65" s="1482" t="s">
        <v>2075</v>
      </c>
      <c r="R65" s="1483"/>
      <c r="S65" s="1483"/>
      <c r="T65" s="1484"/>
      <c r="U65" s="1482" t="s">
        <v>28</v>
      </c>
      <c r="V65" s="1483"/>
      <c r="W65" s="1484"/>
      <c r="X65" s="1517" t="s">
        <v>3035</v>
      </c>
      <c r="Y65" s="1517"/>
      <c r="Z65" s="1517"/>
      <c r="AA65" s="1517"/>
      <c r="AB65" s="1517"/>
      <c r="AC65" s="1517"/>
      <c r="AD65" s="1517"/>
      <c r="AE65" s="1517"/>
      <c r="AF65" s="1517"/>
    </row>
    <row r="66" spans="1:32" ht="45" customHeight="1" x14ac:dyDescent="0.25">
      <c r="A66" s="1485" t="s">
        <v>1770</v>
      </c>
      <c r="B66" s="1486"/>
      <c r="C66" s="1486"/>
      <c r="D66" s="1487"/>
      <c r="E66" s="1479" t="s">
        <v>1771</v>
      </c>
      <c r="F66" s="1480"/>
      <c r="G66" s="1480"/>
      <c r="H66" s="1480"/>
      <c r="I66" s="1480"/>
      <c r="J66" s="1480"/>
      <c r="K66" s="1480"/>
      <c r="L66" s="1480"/>
      <c r="M66" s="1480"/>
      <c r="N66" s="1480"/>
      <c r="O66" s="1480"/>
      <c r="P66" s="1481"/>
      <c r="Q66" s="1482" t="s">
        <v>1106</v>
      </c>
      <c r="R66" s="1483"/>
      <c r="S66" s="1483"/>
      <c r="T66" s="1484"/>
      <c r="U66" s="3553" t="s">
        <v>28</v>
      </c>
      <c r="V66" s="1483"/>
      <c r="W66" s="1484"/>
      <c r="X66" s="1494" t="s">
        <v>4895</v>
      </c>
      <c r="Y66" s="1495"/>
      <c r="Z66" s="1495"/>
      <c r="AA66" s="1495"/>
      <c r="AB66" s="1495"/>
      <c r="AC66" s="1495"/>
      <c r="AD66" s="1495"/>
      <c r="AE66" s="1495"/>
      <c r="AF66" s="1496"/>
    </row>
    <row r="67" spans="1:32" ht="81" customHeight="1" x14ac:dyDescent="0.25">
      <c r="A67" s="1485" t="s">
        <v>1766</v>
      </c>
      <c r="B67" s="1486"/>
      <c r="C67" s="1486"/>
      <c r="D67" s="1487"/>
      <c r="E67" s="1479" t="s">
        <v>1769</v>
      </c>
      <c r="F67" s="1480"/>
      <c r="G67" s="1480"/>
      <c r="H67" s="1480"/>
      <c r="I67" s="1480"/>
      <c r="J67" s="1480"/>
      <c r="K67" s="1480"/>
      <c r="L67" s="1480"/>
      <c r="M67" s="1480"/>
      <c r="N67" s="1480"/>
      <c r="O67" s="1480"/>
      <c r="P67" s="1481"/>
      <c r="Q67" s="1661">
        <v>1.3</v>
      </c>
      <c r="R67" s="1662"/>
      <c r="S67" s="1662"/>
      <c r="T67" s="1663"/>
      <c r="U67" s="1592" t="s">
        <v>28</v>
      </c>
      <c r="V67" s="1575"/>
      <c r="W67" s="1576"/>
      <c r="X67" s="3127" t="s">
        <v>4896</v>
      </c>
      <c r="Y67" s="3128"/>
      <c r="Z67" s="3128"/>
      <c r="AA67" s="3128"/>
      <c r="AB67" s="3128"/>
      <c r="AC67" s="3128"/>
      <c r="AD67" s="3128"/>
      <c r="AE67" s="3128"/>
      <c r="AF67" s="3129"/>
    </row>
    <row r="68" spans="1:32" ht="69.75" customHeight="1" x14ac:dyDescent="0.25">
      <c r="A68" s="1485" t="s">
        <v>1767</v>
      </c>
      <c r="B68" s="1486"/>
      <c r="C68" s="1486"/>
      <c r="D68" s="1487"/>
      <c r="E68" s="1479" t="s">
        <v>1768</v>
      </c>
      <c r="F68" s="1480"/>
      <c r="G68" s="1480"/>
      <c r="H68" s="1480"/>
      <c r="I68" s="1480"/>
      <c r="J68" s="1480"/>
      <c r="K68" s="1480"/>
      <c r="L68" s="1480"/>
      <c r="M68" s="1480"/>
      <c r="N68" s="1480"/>
      <c r="O68" s="1480"/>
      <c r="P68" s="1481"/>
      <c r="Q68" s="1482">
        <v>1.35</v>
      </c>
      <c r="R68" s="1483"/>
      <c r="S68" s="1483"/>
      <c r="T68" s="1484"/>
      <c r="U68" s="1592" t="s">
        <v>28</v>
      </c>
      <c r="V68" s="1575"/>
      <c r="W68" s="1576"/>
      <c r="X68" s="3130"/>
      <c r="Y68" s="3131"/>
      <c r="Z68" s="3131"/>
      <c r="AA68" s="3131"/>
      <c r="AB68" s="3131"/>
      <c r="AC68" s="3131"/>
      <c r="AD68" s="3131"/>
      <c r="AE68" s="3131"/>
      <c r="AF68" s="3132"/>
    </row>
    <row r="69" spans="1:32" ht="22.5" customHeight="1" x14ac:dyDescent="0.25">
      <c r="A69" s="1577" t="s">
        <v>42</v>
      </c>
      <c r="B69" s="1486" t="s">
        <v>42</v>
      </c>
      <c r="C69" s="1486" t="s">
        <v>42</v>
      </c>
      <c r="D69" s="1487" t="s">
        <v>42</v>
      </c>
      <c r="E69" s="1479" t="s">
        <v>865</v>
      </c>
      <c r="F69" s="1480" t="s">
        <v>256</v>
      </c>
      <c r="G69" s="1480" t="s">
        <v>256</v>
      </c>
      <c r="H69" s="1480" t="s">
        <v>256</v>
      </c>
      <c r="I69" s="1480" t="s">
        <v>256</v>
      </c>
      <c r="J69" s="1480" t="s">
        <v>256</v>
      </c>
      <c r="K69" s="1480" t="s">
        <v>256</v>
      </c>
      <c r="L69" s="1480" t="s">
        <v>256</v>
      </c>
      <c r="M69" s="1480" t="s">
        <v>256</v>
      </c>
      <c r="N69" s="1480" t="s">
        <v>256</v>
      </c>
      <c r="O69" s="1480" t="s">
        <v>256</v>
      </c>
      <c r="P69" s="1481" t="s">
        <v>256</v>
      </c>
      <c r="Q69" s="1482">
        <v>1</v>
      </c>
      <c r="R69" s="1483">
        <v>0.96</v>
      </c>
      <c r="S69" s="1483">
        <v>0.96</v>
      </c>
      <c r="T69" s="1484">
        <v>0.96</v>
      </c>
      <c r="U69" s="1574" t="s">
        <v>28</v>
      </c>
      <c r="V69" s="1575"/>
      <c r="W69" s="1576"/>
      <c r="X69" s="1485" t="s">
        <v>4897</v>
      </c>
      <c r="Y69" s="1486"/>
      <c r="Z69" s="1486"/>
      <c r="AA69" s="1486"/>
      <c r="AB69" s="1486"/>
      <c r="AC69" s="1486"/>
      <c r="AD69" s="1486"/>
      <c r="AE69" s="1486"/>
      <c r="AF69" s="1487"/>
    </row>
    <row r="70" spans="1:32" ht="40.5" customHeight="1" x14ac:dyDescent="0.25">
      <c r="A70" s="1485" t="s">
        <v>1787</v>
      </c>
      <c r="B70" s="1486" t="s">
        <v>34</v>
      </c>
      <c r="C70" s="1486" t="s">
        <v>34</v>
      </c>
      <c r="D70" s="1487" t="s">
        <v>34</v>
      </c>
      <c r="E70" s="1494" t="s">
        <v>4898</v>
      </c>
      <c r="F70" s="1495" t="s">
        <v>219</v>
      </c>
      <c r="G70" s="1495" t="s">
        <v>219</v>
      </c>
      <c r="H70" s="1495" t="s">
        <v>219</v>
      </c>
      <c r="I70" s="1495" t="s">
        <v>219</v>
      </c>
      <c r="J70" s="1495" t="s">
        <v>219</v>
      </c>
      <c r="K70" s="1495" t="s">
        <v>219</v>
      </c>
      <c r="L70" s="1495" t="s">
        <v>219</v>
      </c>
      <c r="M70" s="1495" t="s">
        <v>219</v>
      </c>
      <c r="N70" s="1495" t="s">
        <v>219</v>
      </c>
      <c r="O70" s="1495" t="s">
        <v>219</v>
      </c>
      <c r="P70" s="1496" t="s">
        <v>219</v>
      </c>
      <c r="Q70" s="1482" t="s">
        <v>1106</v>
      </c>
      <c r="R70" s="1483">
        <v>0.12</v>
      </c>
      <c r="S70" s="1483">
        <v>0.12</v>
      </c>
      <c r="T70" s="1484">
        <v>0.12</v>
      </c>
      <c r="U70" s="1574" t="s">
        <v>46</v>
      </c>
      <c r="V70" s="1575"/>
      <c r="W70" s="1576"/>
      <c r="X70" s="1479" t="s">
        <v>2659</v>
      </c>
      <c r="Y70" s="1480"/>
      <c r="Z70" s="1480"/>
      <c r="AA70" s="1480"/>
      <c r="AB70" s="1480"/>
      <c r="AC70" s="1480"/>
      <c r="AD70" s="1480"/>
      <c r="AE70" s="1480"/>
      <c r="AF70" s="1481"/>
    </row>
    <row r="71" spans="1:32" ht="58.5" customHeight="1" x14ac:dyDescent="0.25">
      <c r="A71" s="1485" t="s">
        <v>4899</v>
      </c>
      <c r="B71" s="1486" t="s">
        <v>34</v>
      </c>
      <c r="C71" s="1486" t="s">
        <v>34</v>
      </c>
      <c r="D71" s="1487" t="s">
        <v>34</v>
      </c>
      <c r="E71" s="1485" t="s">
        <v>4900</v>
      </c>
      <c r="F71" s="1486" t="s">
        <v>219</v>
      </c>
      <c r="G71" s="1486" t="s">
        <v>219</v>
      </c>
      <c r="H71" s="1486" t="s">
        <v>219</v>
      </c>
      <c r="I71" s="1486" t="s">
        <v>219</v>
      </c>
      <c r="J71" s="1486" t="s">
        <v>219</v>
      </c>
      <c r="K71" s="1486" t="s">
        <v>219</v>
      </c>
      <c r="L71" s="1486" t="s">
        <v>219</v>
      </c>
      <c r="M71" s="1486" t="s">
        <v>219</v>
      </c>
      <c r="N71" s="1486" t="s">
        <v>219</v>
      </c>
      <c r="O71" s="1486" t="s">
        <v>219</v>
      </c>
      <c r="P71" s="1487" t="s">
        <v>219</v>
      </c>
      <c r="Q71" s="1482">
        <f>'Master EUL'!X19</f>
        <v>10</v>
      </c>
      <c r="R71" s="1483">
        <v>0.12</v>
      </c>
      <c r="S71" s="1483">
        <v>0.12</v>
      </c>
      <c r="T71" s="1484">
        <v>0.12</v>
      </c>
      <c r="U71" s="1574" t="s">
        <v>46</v>
      </c>
      <c r="V71" s="1575"/>
      <c r="W71" s="1576"/>
      <c r="X71" s="1479" t="s">
        <v>4901</v>
      </c>
      <c r="Y71" s="1480"/>
      <c r="Z71" s="1480"/>
      <c r="AA71" s="1480"/>
      <c r="AB71" s="1480"/>
      <c r="AC71" s="1480"/>
      <c r="AD71" s="1480"/>
      <c r="AE71" s="1480"/>
      <c r="AF71" s="1481"/>
    </row>
    <row r="72" spans="1:32" ht="99" customHeight="1" x14ac:dyDescent="0.25">
      <c r="A72" s="1601" t="s">
        <v>4902</v>
      </c>
      <c r="B72" s="1601"/>
      <c r="C72" s="1601"/>
      <c r="D72" s="1601"/>
      <c r="E72" s="1601"/>
      <c r="F72" s="1601"/>
      <c r="G72" s="1601"/>
      <c r="H72" s="1601"/>
      <c r="I72" s="1601"/>
      <c r="J72" s="1601"/>
      <c r="K72" s="1601"/>
      <c r="L72" s="1601"/>
      <c r="M72" s="1601"/>
      <c r="N72" s="1601"/>
      <c r="O72" s="1601"/>
      <c r="P72" s="1601"/>
      <c r="Q72" s="1601"/>
      <c r="R72" s="1601"/>
      <c r="S72" s="1601"/>
      <c r="T72" s="1601"/>
      <c r="U72" s="1601"/>
      <c r="V72" s="1601"/>
      <c r="W72" s="1601"/>
      <c r="X72" s="1601"/>
      <c r="Y72" s="1601"/>
      <c r="Z72" s="1601"/>
      <c r="AA72" s="1601"/>
      <c r="AB72" s="1601"/>
      <c r="AC72" s="1601"/>
      <c r="AD72" s="1601"/>
      <c r="AE72" s="1601"/>
      <c r="AF72" s="1601"/>
    </row>
    <row r="73" spans="1:32" x14ac:dyDescent="0.25">
      <c r="A73" s="248"/>
      <c r="B73" s="378"/>
      <c r="C73" s="378"/>
      <c r="D73" s="378"/>
      <c r="E73" s="373"/>
      <c r="F73" s="373"/>
      <c r="G73" s="373"/>
      <c r="H73" s="373"/>
      <c r="I73" s="373"/>
      <c r="J73" s="373"/>
      <c r="K73" s="373"/>
      <c r="L73" s="373"/>
      <c r="M73" s="373"/>
      <c r="N73" s="373"/>
      <c r="O73" s="373"/>
      <c r="P73" s="373"/>
      <c r="Q73" s="757"/>
      <c r="R73" s="757"/>
      <c r="S73" s="757"/>
      <c r="T73" s="757"/>
      <c r="U73" s="377"/>
      <c r="V73" s="377"/>
      <c r="W73" s="377"/>
      <c r="X73" s="377"/>
      <c r="Y73" s="377"/>
      <c r="Z73" s="377"/>
      <c r="AA73" s="377"/>
      <c r="AB73" s="377"/>
      <c r="AC73" s="377"/>
      <c r="AD73" s="377"/>
      <c r="AE73" s="377"/>
      <c r="AF73" s="377"/>
    </row>
    <row r="74" spans="1:32" ht="33.75" customHeight="1" x14ac:dyDescent="0.25">
      <c r="A74" s="633"/>
      <c r="B74" s="3557" t="s">
        <v>4903</v>
      </c>
      <c r="C74" s="3558"/>
      <c r="D74" s="3558"/>
      <c r="E74" s="3558"/>
      <c r="F74" s="3558"/>
      <c r="G74" s="3558"/>
      <c r="H74" s="3558"/>
      <c r="I74" s="3558"/>
      <c r="J74" s="3558"/>
      <c r="K74" s="3558"/>
      <c r="L74" s="3558"/>
      <c r="M74" s="3558"/>
      <c r="N74" s="3558"/>
      <c r="O74" s="3558"/>
      <c r="P74" s="3558"/>
      <c r="Q74" s="3558"/>
      <c r="R74" s="3558"/>
      <c r="S74" s="3558"/>
      <c r="T74" s="3558"/>
      <c r="U74" s="3558"/>
    </row>
    <row r="75" spans="1:32" ht="36.75" customHeight="1" x14ac:dyDescent="0.25">
      <c r="B75" s="3491" t="s">
        <v>22</v>
      </c>
      <c r="C75" s="3492"/>
      <c r="D75" s="3492"/>
      <c r="E75" s="3492"/>
      <c r="F75" s="3492"/>
      <c r="G75" s="3492"/>
      <c r="H75" s="3492"/>
      <c r="I75" s="3493"/>
      <c r="J75" s="3559" t="s">
        <v>4904</v>
      </c>
      <c r="K75" s="3560"/>
      <c r="L75" s="3560"/>
      <c r="M75" s="3561"/>
      <c r="N75" s="3559" t="s">
        <v>4905</v>
      </c>
      <c r="O75" s="3495"/>
      <c r="P75" s="3495"/>
      <c r="Q75" s="3496"/>
      <c r="R75" s="3559" t="s">
        <v>4906</v>
      </c>
      <c r="S75" s="3495"/>
      <c r="T75" s="3495"/>
      <c r="U75" s="3496"/>
      <c r="Y75"/>
    </row>
    <row r="76" spans="1:32" x14ac:dyDescent="0.25">
      <c r="B76" s="3497" t="s">
        <v>4907</v>
      </c>
      <c r="C76" s="3498"/>
      <c r="D76" s="3498"/>
      <c r="E76" s="3498"/>
      <c r="F76" s="3498"/>
      <c r="G76" s="3498"/>
      <c r="H76" s="3498"/>
      <c r="I76" s="3499"/>
      <c r="J76" s="3554">
        <v>267.25</v>
      </c>
      <c r="K76" s="3555"/>
      <c r="L76" s="3555"/>
      <c r="M76" s="3556"/>
      <c r="N76" s="3554">
        <v>254.75</v>
      </c>
      <c r="O76" s="3555"/>
      <c r="P76" s="3555"/>
      <c r="Q76" s="3556"/>
      <c r="R76" s="3554">
        <v>188.75</v>
      </c>
      <c r="S76" s="3555"/>
      <c r="T76" s="3555"/>
      <c r="U76" s="3556"/>
      <c r="Y76"/>
    </row>
    <row r="77" spans="1:32" x14ac:dyDescent="0.25">
      <c r="B77" s="3497" t="s">
        <v>4908</v>
      </c>
      <c r="C77" s="3498"/>
      <c r="D77" s="3498"/>
      <c r="E77" s="3498"/>
      <c r="F77" s="3498"/>
      <c r="G77" s="3498"/>
      <c r="H77" s="3498"/>
      <c r="I77" s="3499"/>
      <c r="J77" s="3554">
        <v>124.5</v>
      </c>
      <c r="K77" s="3555"/>
      <c r="L77" s="3555"/>
      <c r="M77" s="3556"/>
      <c r="N77" s="3554">
        <v>116.5</v>
      </c>
      <c r="O77" s="3555"/>
      <c r="P77" s="3555"/>
      <c r="Q77" s="3556"/>
      <c r="R77" s="3554">
        <v>83</v>
      </c>
      <c r="S77" s="3555"/>
      <c r="T77" s="3555"/>
      <c r="U77" s="3556"/>
      <c r="Y77"/>
    </row>
    <row r="78" spans="1:32" x14ac:dyDescent="0.25">
      <c r="B78" s="3497" t="s">
        <v>4909</v>
      </c>
      <c r="C78" s="3498"/>
      <c r="D78" s="3498"/>
      <c r="E78" s="3498"/>
      <c r="F78" s="3498"/>
      <c r="G78" s="3498"/>
      <c r="H78" s="3498"/>
      <c r="I78" s="3499"/>
      <c r="J78" s="3554">
        <v>62.25</v>
      </c>
      <c r="K78" s="3555"/>
      <c r="L78" s="3555"/>
      <c r="M78" s="3556"/>
      <c r="N78" s="3554">
        <v>59.5</v>
      </c>
      <c r="O78" s="3555"/>
      <c r="P78" s="3555"/>
      <c r="Q78" s="3556"/>
      <c r="R78" s="3554">
        <v>41.5</v>
      </c>
      <c r="S78" s="3555"/>
      <c r="T78" s="3555"/>
      <c r="U78" s="3556"/>
      <c r="Y78"/>
    </row>
    <row r="80" spans="1:32" ht="30.75" customHeight="1" x14ac:dyDescent="0.25">
      <c r="B80" s="3557" t="s">
        <v>4910</v>
      </c>
      <c r="C80" s="3558"/>
      <c r="D80" s="3558"/>
      <c r="E80" s="3558"/>
      <c r="F80" s="3558"/>
      <c r="G80" s="3558"/>
      <c r="H80" s="3558"/>
      <c r="I80" s="3558"/>
      <c r="J80" s="3558"/>
      <c r="K80" s="3558"/>
      <c r="L80" s="3558"/>
      <c r="M80" s="3558"/>
      <c r="N80" s="3558"/>
      <c r="O80" s="3558"/>
      <c r="P80" s="3558"/>
      <c r="Q80" s="3558"/>
      <c r="R80" s="3558"/>
      <c r="S80" s="3558"/>
      <c r="T80" s="3558"/>
      <c r="U80" s="3558"/>
    </row>
    <row r="81" spans="1:32" ht="44.25" customHeight="1" x14ac:dyDescent="0.25">
      <c r="B81" s="3491" t="s">
        <v>22</v>
      </c>
      <c r="C81" s="3492"/>
      <c r="D81" s="3492"/>
      <c r="E81" s="3492"/>
      <c r="F81" s="3492"/>
      <c r="G81" s="3492"/>
      <c r="H81" s="3492"/>
      <c r="I81" s="3493"/>
      <c r="J81" s="3559" t="s">
        <v>4904</v>
      </c>
      <c r="K81" s="3560"/>
      <c r="L81" s="3560"/>
      <c r="M81" s="3561"/>
      <c r="N81" s="3559" t="s">
        <v>4905</v>
      </c>
      <c r="O81" s="3560"/>
      <c r="P81" s="3560"/>
      <c r="Q81" s="3561"/>
      <c r="R81" s="3559" t="s">
        <v>4906</v>
      </c>
      <c r="S81" s="3560"/>
      <c r="T81" s="3560"/>
      <c r="U81" s="3561"/>
    </row>
    <row r="82" spans="1:32" x14ac:dyDescent="0.25">
      <c r="B82" s="3497" t="s">
        <v>4907</v>
      </c>
      <c r="C82" s="3498"/>
      <c r="D82" s="3498"/>
      <c r="E82" s="3498"/>
      <c r="F82" s="3498"/>
      <c r="G82" s="3498"/>
      <c r="H82" s="3498"/>
      <c r="I82" s="3499"/>
      <c r="J82" s="3554">
        <v>152.25</v>
      </c>
      <c r="K82" s="3555"/>
      <c r="L82" s="3555"/>
      <c r="M82" s="3556"/>
      <c r="N82" s="3554">
        <v>144</v>
      </c>
      <c r="O82" s="3555"/>
      <c r="P82" s="3555"/>
      <c r="Q82" s="3556"/>
      <c r="R82" s="3554">
        <v>107.25</v>
      </c>
      <c r="S82" s="3555"/>
      <c r="T82" s="3555"/>
      <c r="U82" s="3556"/>
    </row>
    <row r="83" spans="1:32" x14ac:dyDescent="0.25">
      <c r="B83" s="3497" t="s">
        <v>4908</v>
      </c>
      <c r="C83" s="3498"/>
      <c r="D83" s="3498"/>
      <c r="E83" s="3498"/>
      <c r="F83" s="3498"/>
      <c r="G83" s="3498"/>
      <c r="H83" s="3498"/>
      <c r="I83" s="3499"/>
      <c r="J83" s="3554">
        <v>64.5</v>
      </c>
      <c r="K83" s="3555"/>
      <c r="L83" s="3555"/>
      <c r="M83" s="3556"/>
      <c r="N83" s="3554">
        <v>65.25</v>
      </c>
      <c r="O83" s="3555"/>
      <c r="P83" s="3555"/>
      <c r="Q83" s="3556"/>
      <c r="R83" s="3554">
        <v>43</v>
      </c>
      <c r="S83" s="3555"/>
      <c r="T83" s="3555"/>
      <c r="U83" s="3556"/>
    </row>
    <row r="84" spans="1:32" x14ac:dyDescent="0.25">
      <c r="B84" s="3497" t="s">
        <v>4909</v>
      </c>
      <c r="C84" s="3498"/>
      <c r="D84" s="3498"/>
      <c r="E84" s="3498"/>
      <c r="F84" s="3498"/>
      <c r="G84" s="3498"/>
      <c r="H84" s="3498"/>
      <c r="I84" s="3499"/>
      <c r="J84" s="3554">
        <v>32.25</v>
      </c>
      <c r="K84" s="3555"/>
      <c r="L84" s="3555"/>
      <c r="M84" s="3556"/>
      <c r="N84" s="3554">
        <v>30.5</v>
      </c>
      <c r="O84" s="3555"/>
      <c r="P84" s="3555"/>
      <c r="Q84" s="3556"/>
      <c r="R84" s="3554">
        <v>21.5</v>
      </c>
      <c r="S84" s="3555"/>
      <c r="T84" s="3555"/>
      <c r="U84" s="3556"/>
    </row>
    <row r="86" spans="1:32" x14ac:dyDescent="0.25">
      <c r="A86"/>
      <c r="B86" s="23" t="s">
        <v>1783</v>
      </c>
      <c r="C86"/>
      <c r="D86"/>
      <c r="E86"/>
      <c r="F86"/>
      <c r="G86"/>
      <c r="H86"/>
      <c r="I86"/>
      <c r="J86"/>
      <c r="K86"/>
      <c r="L86"/>
      <c r="M86"/>
      <c r="N86"/>
      <c r="O86"/>
      <c r="P86"/>
      <c r="Q86"/>
      <c r="R86"/>
      <c r="S86"/>
      <c r="T86"/>
      <c r="U86"/>
      <c r="V86"/>
      <c r="W86"/>
      <c r="X86"/>
      <c r="Y86"/>
      <c r="Z86"/>
      <c r="AA86"/>
      <c r="AB86"/>
      <c r="AC86"/>
      <c r="AD86"/>
      <c r="AE86"/>
      <c r="AF86" s="148"/>
    </row>
    <row r="87" spans="1:32" ht="18" customHeight="1" x14ac:dyDescent="0.25">
      <c r="A87"/>
      <c r="B87" s="3562"/>
      <c r="C87" s="3562"/>
      <c r="D87" s="3562"/>
      <c r="E87" s="3562"/>
      <c r="F87" s="3562"/>
      <c r="G87" s="3562" t="s">
        <v>4911</v>
      </c>
      <c r="H87" s="3562"/>
      <c r="I87" s="3562"/>
      <c r="J87" s="3562"/>
      <c r="K87" s="3562"/>
      <c r="L87" s="3562" t="s">
        <v>1782</v>
      </c>
      <c r="M87" s="3562"/>
      <c r="N87" s="3562"/>
      <c r="O87" s="3562"/>
      <c r="P87" s="3562"/>
      <c r="Q87" s="3562" t="s">
        <v>4912</v>
      </c>
      <c r="R87" s="3562"/>
      <c r="S87" s="3562"/>
      <c r="T87" s="3562"/>
      <c r="U87" s="3562"/>
      <c r="V87" s="3563" t="s">
        <v>4913</v>
      </c>
      <c r="W87" s="3564"/>
      <c r="X87" s="3564"/>
      <c r="Y87" s="3564"/>
      <c r="Z87" s="3565"/>
      <c r="AA87" s="3563" t="s">
        <v>2030</v>
      </c>
      <c r="AB87" s="3564"/>
      <c r="AC87" s="3564"/>
      <c r="AD87" s="3564"/>
      <c r="AE87" s="3565"/>
      <c r="AF87" s="148"/>
    </row>
    <row r="88" spans="1:32" x14ac:dyDescent="0.25">
      <c r="A88"/>
      <c r="B88" s="3562" t="s">
        <v>1780</v>
      </c>
      <c r="C88" s="3562"/>
      <c r="D88" s="3562"/>
      <c r="E88" s="3562"/>
      <c r="F88" s="3562"/>
      <c r="G88" s="3566">
        <v>0</v>
      </c>
      <c r="H88" s="3566"/>
      <c r="I88" s="3566"/>
      <c r="J88" s="3566"/>
      <c r="K88" s="3566"/>
      <c r="L88" s="3567">
        <v>0.48</v>
      </c>
      <c r="M88" s="3567"/>
      <c r="N88" s="3567"/>
      <c r="O88" s="3567"/>
      <c r="P88" s="3567"/>
      <c r="Q88" s="3566">
        <v>1.5</v>
      </c>
      <c r="R88" s="3566"/>
      <c r="S88" s="3566"/>
      <c r="T88" s="3566"/>
      <c r="U88" s="3566"/>
      <c r="V88" s="3566">
        <v>10</v>
      </c>
      <c r="W88" s="3566"/>
      <c r="X88" s="3566"/>
      <c r="Y88" s="3566"/>
      <c r="Z88" s="3566"/>
      <c r="AA88" s="3566">
        <f>ROUND(2500/(Q88*365),0)</f>
        <v>5</v>
      </c>
      <c r="AB88" s="3566"/>
      <c r="AC88" s="3566"/>
      <c r="AD88" s="3566"/>
      <c r="AE88" s="3566"/>
      <c r="AF88" s="148"/>
    </row>
    <row r="89" spans="1:32" x14ac:dyDescent="0.25">
      <c r="A89"/>
      <c r="B89" s="3562" t="s">
        <v>1781</v>
      </c>
      <c r="C89" s="3562"/>
      <c r="D89" s="3562"/>
      <c r="E89" s="3562"/>
      <c r="F89" s="3562"/>
      <c r="G89" s="3566">
        <v>0</v>
      </c>
      <c r="H89" s="3566"/>
      <c r="I89" s="3566"/>
      <c r="J89" s="3566"/>
      <c r="K89" s="3566"/>
      <c r="L89" s="3567">
        <v>1</v>
      </c>
      <c r="M89" s="3567"/>
      <c r="N89" s="3567"/>
      <c r="O89" s="3567"/>
      <c r="P89" s="3567"/>
      <c r="Q89" s="3566">
        <f>ROUND(Q88*1.5,1)</f>
        <v>2.2999999999999998</v>
      </c>
      <c r="R89" s="3566"/>
      <c r="S89" s="3566"/>
      <c r="T89" s="3566"/>
      <c r="U89" s="3566"/>
      <c r="V89" s="3566">
        <v>10</v>
      </c>
      <c r="W89" s="3566"/>
      <c r="X89" s="3566"/>
      <c r="Y89" s="3566"/>
      <c r="Z89" s="3566"/>
      <c r="AA89" s="3566">
        <f>ROUND(2500/(Q89*365),0)</f>
        <v>3</v>
      </c>
      <c r="AB89" s="3566"/>
      <c r="AC89" s="3566"/>
      <c r="AD89" s="3566"/>
      <c r="AE89" s="3566"/>
      <c r="AF89" s="148"/>
    </row>
    <row r="90" spans="1:32" ht="95.25" customHeight="1" x14ac:dyDescent="0.25">
      <c r="A90"/>
      <c r="B90" s="3572" t="s">
        <v>4914</v>
      </c>
      <c r="C90" s="3572"/>
      <c r="D90" s="3572"/>
      <c r="E90" s="3572"/>
      <c r="F90" s="3572"/>
      <c r="G90" s="3572"/>
      <c r="H90" s="3572"/>
      <c r="I90" s="3572"/>
      <c r="J90" s="3572"/>
      <c r="K90" s="3572"/>
      <c r="L90" s="3572"/>
      <c r="M90" s="3572"/>
      <c r="N90" s="3572"/>
      <c r="O90" s="3572"/>
      <c r="P90" s="3572"/>
      <c r="Q90" s="3572"/>
      <c r="R90" s="3572"/>
      <c r="S90" s="3572"/>
      <c r="T90" s="3572"/>
      <c r="U90" s="3572"/>
      <c r="V90" s="3572"/>
      <c r="W90" s="3572"/>
      <c r="X90" s="3572"/>
      <c r="Y90" s="3572"/>
      <c r="Z90" s="3572"/>
      <c r="AA90" s="3572"/>
      <c r="AB90" s="3572"/>
      <c r="AC90" s="3572"/>
      <c r="AD90" s="3572"/>
      <c r="AE90" s="3572"/>
      <c r="AF90" s="148"/>
    </row>
    <row r="91" spans="1:32" x14ac:dyDescent="0.25">
      <c r="A91"/>
      <c r="B91" s="750"/>
      <c r="C91" s="750"/>
      <c r="D91" s="750"/>
      <c r="E91" s="750"/>
      <c r="F91" s="750"/>
      <c r="G91" s="750"/>
      <c r="H91" s="750"/>
      <c r="I91" s="750"/>
      <c r="J91" s="750"/>
      <c r="K91" s="750"/>
      <c r="L91" s="750"/>
      <c r="M91" s="750"/>
      <c r="N91" s="750"/>
      <c r="O91" s="750"/>
      <c r="P91" s="750"/>
      <c r="Q91" s="750"/>
      <c r="R91" s="750"/>
      <c r="S91" s="750"/>
      <c r="T91" s="750"/>
      <c r="U91" s="750"/>
      <c r="V91" s="750"/>
      <c r="W91" s="750"/>
      <c r="X91" s="750"/>
      <c r="Y91" s="750"/>
      <c r="Z91" s="750"/>
      <c r="AA91" s="750"/>
      <c r="AB91" s="750"/>
      <c r="AC91" s="750"/>
      <c r="AD91" s="750"/>
      <c r="AE91" s="750"/>
      <c r="AF91" s="148"/>
    </row>
    <row r="92" spans="1:32" x14ac:dyDescent="0.25">
      <c r="A92"/>
      <c r="B92" s="423" t="s">
        <v>4915</v>
      </c>
      <c r="C92"/>
      <c r="D92" s="750"/>
      <c r="E92" s="758"/>
      <c r="F92" s="750"/>
      <c r="G92" s="750"/>
      <c r="H92" s="750"/>
      <c r="I92" s="750"/>
      <c r="J92" s="750"/>
      <c r="K92" s="750"/>
      <c r="L92" s="750"/>
      <c r="M92" s="750"/>
      <c r="N92" s="750"/>
      <c r="O92" s="750"/>
      <c r="P92" s="750"/>
      <c r="Q92" s="750"/>
      <c r="R92" s="750"/>
      <c r="S92" s="750"/>
      <c r="T92" s="750"/>
      <c r="U92" s="750"/>
      <c r="V92" s="750"/>
      <c r="W92" s="750"/>
      <c r="X92" s="750"/>
      <c r="Y92" s="750"/>
      <c r="Z92" s="750"/>
      <c r="AA92" s="750"/>
      <c r="AB92" s="750"/>
      <c r="AC92" s="750"/>
      <c r="AD92" s="750"/>
      <c r="AE92" s="750"/>
      <c r="AF92" s="148"/>
    </row>
    <row r="93" spans="1:32" x14ac:dyDescent="0.25">
      <c r="A93"/>
      <c r="B93" s="3573" t="s">
        <v>1735</v>
      </c>
      <c r="C93" s="3573"/>
      <c r="D93" s="3573"/>
      <c r="E93" s="3573"/>
      <c r="F93" s="3573"/>
      <c r="G93" s="3573"/>
      <c r="H93" s="3573"/>
      <c r="I93" s="3573"/>
      <c r="J93" s="3574" t="s">
        <v>4916</v>
      </c>
      <c r="K93" s="3574"/>
      <c r="L93" s="3574"/>
      <c r="M93" s="3574"/>
      <c r="N93" s="3574" t="s">
        <v>30</v>
      </c>
      <c r="O93" s="3574"/>
      <c r="P93" s="3574"/>
      <c r="Q93" s="3574"/>
      <c r="R93" s="750"/>
      <c r="S93" s="750"/>
      <c r="T93" s="750"/>
      <c r="U93" s="750"/>
      <c r="V93" s="750"/>
      <c r="W93" s="750"/>
      <c r="X93" s="750"/>
      <c r="Y93" s="750"/>
      <c r="Z93" s="750"/>
      <c r="AA93" s="750"/>
      <c r="AB93" s="750"/>
      <c r="AC93" s="750"/>
      <c r="AD93" s="750"/>
      <c r="AE93" s="750"/>
      <c r="AF93" s="148"/>
    </row>
    <row r="94" spans="1:32" x14ac:dyDescent="0.25">
      <c r="A94"/>
      <c r="B94" s="3568" t="s">
        <v>877</v>
      </c>
      <c r="C94" s="3568"/>
      <c r="D94" s="3568"/>
      <c r="E94" s="3568"/>
      <c r="F94" s="3568"/>
      <c r="G94" s="3568"/>
      <c r="H94" s="3568"/>
      <c r="I94" s="3568"/>
      <c r="J94" s="3569">
        <v>298888.98710614129</v>
      </c>
      <c r="K94" s="3570"/>
      <c r="L94" s="3570"/>
      <c r="M94" s="3570"/>
      <c r="N94" s="3571">
        <v>0.66</v>
      </c>
      <c r="O94" s="3571"/>
      <c r="P94" s="3571"/>
      <c r="Q94" s="3571"/>
      <c r="R94" s="750"/>
      <c r="S94" s="750"/>
      <c r="T94" s="750"/>
      <c r="U94" s="750"/>
      <c r="V94" s="750"/>
      <c r="W94" s="750"/>
      <c r="X94" s="750"/>
      <c r="Y94" s="750"/>
      <c r="Z94" s="750"/>
      <c r="AA94" s="750"/>
      <c r="AB94" s="750"/>
      <c r="AC94" s="750"/>
      <c r="AD94" s="750"/>
      <c r="AE94" s="750"/>
      <c r="AF94" s="148"/>
    </row>
    <row r="95" spans="1:32" x14ac:dyDescent="0.25">
      <c r="A95"/>
      <c r="B95" s="3568" t="s">
        <v>3515</v>
      </c>
      <c r="C95" s="3568"/>
      <c r="D95" s="3568"/>
      <c r="E95" s="3568"/>
      <c r="F95" s="3568"/>
      <c r="G95" s="3568"/>
      <c r="H95" s="3568"/>
      <c r="I95" s="3568"/>
      <c r="J95" s="3569">
        <v>78737.524257604309</v>
      </c>
      <c r="K95" s="3570"/>
      <c r="L95" s="3570"/>
      <c r="M95" s="3570"/>
      <c r="N95" s="3571">
        <v>0.18</v>
      </c>
      <c r="O95" s="3571"/>
      <c r="P95" s="3571"/>
      <c r="Q95" s="3571"/>
      <c r="R95" s="750"/>
      <c r="S95" s="750"/>
      <c r="T95" s="750"/>
      <c r="U95" s="750"/>
      <c r="V95" s="750"/>
      <c r="W95" s="750"/>
      <c r="X95" s="750"/>
      <c r="Y95" s="750"/>
      <c r="Z95" s="750"/>
      <c r="AA95" s="750"/>
      <c r="AB95" s="750"/>
      <c r="AC95" s="750"/>
      <c r="AD95" s="750"/>
      <c r="AE95" s="750"/>
      <c r="AF95" s="148"/>
    </row>
    <row r="96" spans="1:32" x14ac:dyDescent="0.25">
      <c r="A96"/>
      <c r="B96" s="3568" t="s">
        <v>878</v>
      </c>
      <c r="C96" s="3568"/>
      <c r="D96" s="3568"/>
      <c r="E96" s="3568"/>
      <c r="F96" s="3568"/>
      <c r="G96" s="3568"/>
      <c r="H96" s="3568"/>
      <c r="I96" s="3568"/>
      <c r="J96" s="3569">
        <f>J82+J84+J85</f>
        <v>184.5</v>
      </c>
      <c r="K96" s="3570"/>
      <c r="L96" s="3570"/>
      <c r="M96" s="3570"/>
      <c r="N96" s="3571">
        <v>0.14000000000000001</v>
      </c>
      <c r="O96" s="3571"/>
      <c r="P96" s="3571"/>
      <c r="Q96" s="3571"/>
      <c r="R96" s="750"/>
      <c r="S96" s="750"/>
      <c r="T96" s="750"/>
      <c r="U96" s="750"/>
      <c r="V96" s="750"/>
      <c r="W96" s="750"/>
      <c r="X96" s="750"/>
      <c r="Y96" s="750"/>
      <c r="Z96" s="750"/>
      <c r="AA96" s="750"/>
      <c r="AB96" s="750"/>
      <c r="AC96" s="750"/>
      <c r="AD96" s="750"/>
      <c r="AE96" s="750"/>
      <c r="AF96" s="148"/>
    </row>
    <row r="97" spans="1:32" x14ac:dyDescent="0.25">
      <c r="A97"/>
      <c r="B97" s="3568" t="s">
        <v>1781</v>
      </c>
      <c r="C97" s="3568"/>
      <c r="D97" s="3568"/>
      <c r="E97" s="3568"/>
      <c r="F97" s="3568"/>
      <c r="G97" s="3568"/>
      <c r="H97" s="3568"/>
      <c r="I97" s="3568"/>
      <c r="J97" s="3569">
        <v>7497.2179914046737</v>
      </c>
      <c r="K97" s="3570"/>
      <c r="L97" s="3570"/>
      <c r="M97" s="3570"/>
      <c r="N97" s="3571">
        <v>0.02</v>
      </c>
      <c r="O97" s="3571"/>
      <c r="P97" s="3571"/>
      <c r="Q97" s="3571"/>
      <c r="R97" s="750"/>
      <c r="S97" s="750"/>
      <c r="T97" s="750"/>
      <c r="U97" s="750"/>
      <c r="V97" s="750"/>
      <c r="W97" s="750"/>
      <c r="X97" s="750"/>
      <c r="Y97" s="750"/>
      <c r="Z97" s="750"/>
      <c r="AA97" s="750"/>
      <c r="AB97" s="750"/>
      <c r="AC97" s="750"/>
      <c r="AD97" s="750"/>
      <c r="AE97" s="750"/>
      <c r="AF97" s="148"/>
    </row>
    <row r="98" spans="1:32" x14ac:dyDescent="0.25">
      <c r="B98" s="3576" t="s">
        <v>4081</v>
      </c>
      <c r="C98" s="3576"/>
      <c r="D98" s="3576"/>
      <c r="E98" s="3576"/>
      <c r="F98" s="3576"/>
      <c r="G98" s="3576"/>
      <c r="H98" s="3576"/>
      <c r="I98" s="3576"/>
      <c r="J98" s="3577">
        <v>449595</v>
      </c>
      <c r="K98" s="1507"/>
      <c r="L98" s="1507"/>
      <c r="M98" s="1507"/>
      <c r="N98" s="3578">
        <v>1</v>
      </c>
      <c r="O98" s="3578"/>
      <c r="P98" s="3578"/>
      <c r="Q98" s="3578"/>
    </row>
    <row r="99" spans="1:32" ht="41.25" customHeight="1" x14ac:dyDescent="0.25">
      <c r="B99" s="3575" t="s">
        <v>4917</v>
      </c>
      <c r="C99" s="3575"/>
      <c r="D99" s="3575"/>
      <c r="E99" s="3575"/>
      <c r="F99" s="3575"/>
      <c r="G99" s="3575"/>
      <c r="H99" s="3575"/>
      <c r="I99" s="3575"/>
      <c r="J99" s="3575"/>
      <c r="K99" s="3575"/>
      <c r="L99" s="3575"/>
      <c r="M99" s="3575"/>
      <c r="N99" s="3575"/>
      <c r="O99" s="3575"/>
      <c r="P99" s="3575"/>
      <c r="Q99" s="3575"/>
      <c r="R99" s="3575"/>
      <c r="S99" s="3575"/>
      <c r="T99" s="3575"/>
      <c r="U99" s="3575"/>
      <c r="V99" s="3575"/>
      <c r="W99" s="3575"/>
      <c r="X99" s="3575"/>
      <c r="Y99" s="3575"/>
      <c r="Z99" s="3575"/>
      <c r="AA99" s="3575"/>
      <c r="AB99" s="3575"/>
      <c r="AC99" s="3575"/>
      <c r="AD99" s="3575"/>
      <c r="AE99" s="3575"/>
      <c r="AF99" s="3575"/>
    </row>
    <row r="100" spans="1:32" x14ac:dyDescent="0.25">
      <c r="B100" s="168"/>
      <c r="C100" s="634"/>
      <c r="D100" s="634"/>
      <c r="E100" s="634"/>
      <c r="F100" s="634"/>
      <c r="G100" s="634"/>
      <c r="H100" s="634"/>
      <c r="I100" s="634"/>
      <c r="J100" s="759"/>
      <c r="K100" s="759"/>
      <c r="L100" s="759"/>
      <c r="M100" s="759"/>
      <c r="N100" s="759"/>
      <c r="O100" s="759"/>
      <c r="P100" s="759"/>
      <c r="Q100" s="759"/>
    </row>
    <row r="102" spans="1:32" x14ac:dyDescent="0.25">
      <c r="A102" s="1385" t="s">
        <v>4918</v>
      </c>
      <c r="B102" s="1386"/>
      <c r="C102" s="1386"/>
      <c r="D102" s="1386"/>
      <c r="E102" s="1386"/>
      <c r="F102" s="1386"/>
      <c r="G102" s="1386"/>
      <c r="H102" s="1386"/>
      <c r="I102" s="1386"/>
      <c r="J102" s="1386"/>
      <c r="K102" s="1386"/>
      <c r="L102" s="1386"/>
      <c r="M102" s="1386"/>
      <c r="N102" s="1386"/>
      <c r="O102" s="1386"/>
      <c r="P102" s="1386"/>
      <c r="Q102" s="1386"/>
      <c r="R102" s="1386"/>
      <c r="S102" s="1386"/>
      <c r="T102" s="1386"/>
      <c r="U102" s="1386"/>
      <c r="V102" s="1386"/>
      <c r="W102" s="1386"/>
      <c r="X102" s="1386"/>
      <c r="Y102" s="1386"/>
      <c r="Z102" s="1386"/>
      <c r="AA102" s="1386"/>
      <c r="AB102" s="1386"/>
      <c r="AC102" s="1386"/>
      <c r="AD102" s="1386"/>
      <c r="AE102" s="1386"/>
      <c r="AF102" s="1387"/>
    </row>
    <row r="104" spans="1:32" x14ac:dyDescent="0.25">
      <c r="B104" s="642" t="s">
        <v>4919</v>
      </c>
      <c r="C104" s="423"/>
      <c r="D104" s="423"/>
      <c r="E104" s="423"/>
      <c r="F104" s="423"/>
      <c r="G104" s="423"/>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row>
    <row r="105" spans="1:32" ht="15.75" thickBot="1" x14ac:dyDescent="0.3"/>
    <row r="106" spans="1:32" ht="15.75" thickBot="1" x14ac:dyDescent="0.3">
      <c r="A106" s="3503" t="s">
        <v>22</v>
      </c>
      <c r="B106" s="3504"/>
      <c r="C106" s="3504"/>
      <c r="D106" s="3504"/>
      <c r="E106" s="3504"/>
      <c r="F106" s="3504"/>
      <c r="G106" s="3504"/>
      <c r="H106" s="3504"/>
      <c r="I106" s="3504" t="s">
        <v>23</v>
      </c>
      <c r="J106" s="3504"/>
      <c r="K106" s="3504"/>
      <c r="L106" s="3504"/>
      <c r="M106" s="3504"/>
      <c r="N106" s="3504"/>
      <c r="O106" s="3504"/>
      <c r="P106" s="3504"/>
      <c r="Q106" s="3504" t="s">
        <v>24</v>
      </c>
      <c r="R106" s="3504"/>
      <c r="S106" s="3504"/>
      <c r="T106" s="3504"/>
      <c r="U106" s="3504"/>
      <c r="V106" s="3504"/>
      <c r="W106" s="3504"/>
      <c r="X106" s="3504"/>
      <c r="Y106" s="3504" t="s">
        <v>2012</v>
      </c>
      <c r="Z106" s="3504"/>
      <c r="AA106" s="3504"/>
      <c r="AB106" s="3504"/>
      <c r="AC106" s="3504"/>
      <c r="AD106" s="3504"/>
      <c r="AE106" s="3504"/>
      <c r="AF106" s="3505"/>
    </row>
    <row r="107" spans="1:32" x14ac:dyDescent="0.25">
      <c r="A107" s="3585" t="s">
        <v>4907</v>
      </c>
      <c r="B107" s="3498"/>
      <c r="C107" s="3498"/>
      <c r="D107" s="3498"/>
      <c r="E107" s="3498"/>
      <c r="F107" s="3498"/>
      <c r="G107" s="3498"/>
      <c r="H107" s="3499"/>
      <c r="I107" s="3485">
        <v>0</v>
      </c>
      <c r="J107" s="3485"/>
      <c r="K107" s="3485"/>
      <c r="L107" s="3485"/>
      <c r="M107" s="3485"/>
      <c r="N107" s="3485"/>
      <c r="O107" s="3485"/>
      <c r="P107" s="3485"/>
      <c r="Q107" s="3486">
        <f>ROUND((Q116*$N$94)+(Q122*$N$97)+(Q128*$N$96)+(Q140*$N$95),2)</f>
        <v>163.38999999999999</v>
      </c>
      <c r="R107" s="3486"/>
      <c r="S107" s="3486"/>
      <c r="T107" s="3486"/>
      <c r="U107" s="3486"/>
      <c r="V107" s="3486"/>
      <c r="W107" s="3486"/>
      <c r="X107" s="3486"/>
      <c r="Y107" s="3487">
        <f>ROUND(Q107*$AA$88+$Q158*($V$88-$AA$88),2)</f>
        <v>1281.7</v>
      </c>
      <c r="Z107" s="3487"/>
      <c r="AA107" s="3487"/>
      <c r="AB107" s="3487"/>
      <c r="AC107" s="3487"/>
      <c r="AD107" s="3487"/>
      <c r="AE107" s="3487"/>
      <c r="AF107" s="3488"/>
    </row>
    <row r="108" spans="1:32" x14ac:dyDescent="0.25">
      <c r="A108" s="3585" t="s">
        <v>4908</v>
      </c>
      <c r="B108" s="3498"/>
      <c r="C108" s="3498"/>
      <c r="D108" s="3498"/>
      <c r="E108" s="3498"/>
      <c r="F108" s="3498"/>
      <c r="G108" s="3498"/>
      <c r="H108" s="3499"/>
      <c r="I108" s="3485">
        <v>0</v>
      </c>
      <c r="J108" s="3485"/>
      <c r="K108" s="3485"/>
      <c r="L108" s="3485"/>
      <c r="M108" s="3485"/>
      <c r="N108" s="3485"/>
      <c r="O108" s="3485"/>
      <c r="P108" s="3485"/>
      <c r="Q108" s="3486">
        <f>ROUND((Q117*$N$94)+(Q123*$N$97)+(Q129*$N$96)+(Q141*$N$95),2)</f>
        <v>75.36</v>
      </c>
      <c r="R108" s="3486"/>
      <c r="S108" s="3486"/>
      <c r="T108" s="3486"/>
      <c r="U108" s="3486"/>
      <c r="V108" s="3486"/>
      <c r="W108" s="3486"/>
      <c r="X108" s="3486"/>
      <c r="Y108" s="3487">
        <f>ROUND(Q108*$AA$88+$Q159*($V$88-$AA$88),2)</f>
        <v>574.20000000000005</v>
      </c>
      <c r="Z108" s="3487"/>
      <c r="AA108" s="3487"/>
      <c r="AB108" s="3487"/>
      <c r="AC108" s="3487"/>
      <c r="AD108" s="3487"/>
      <c r="AE108" s="3487"/>
      <c r="AF108" s="3488"/>
    </row>
    <row r="109" spans="1:32" ht="15.75" thickBot="1" x14ac:dyDescent="0.3">
      <c r="A109" s="3579" t="s">
        <v>4909</v>
      </c>
      <c r="B109" s="3580"/>
      <c r="C109" s="3580"/>
      <c r="D109" s="3580"/>
      <c r="E109" s="3580"/>
      <c r="F109" s="3580"/>
      <c r="G109" s="3580"/>
      <c r="H109" s="3581"/>
      <c r="I109" s="3210">
        <v>0</v>
      </c>
      <c r="J109" s="3210"/>
      <c r="K109" s="3210"/>
      <c r="L109" s="3210"/>
      <c r="M109" s="3210"/>
      <c r="N109" s="3210"/>
      <c r="O109" s="3210"/>
      <c r="P109" s="3210"/>
      <c r="Q109" s="3582">
        <f>ROUND((Q118*$N$94)+(Q124*$N$97)+(Q130*$N$96)+(Q142*$N$95),2)</f>
        <v>37.79</v>
      </c>
      <c r="R109" s="3582"/>
      <c r="S109" s="3582"/>
      <c r="T109" s="3582"/>
      <c r="U109" s="3582"/>
      <c r="V109" s="3582"/>
      <c r="W109" s="3582"/>
      <c r="X109" s="3582"/>
      <c r="Y109" s="3526">
        <f>ROUND(Q109*$AA$88+$Q160*($V$88-$AA$88),2)</f>
        <v>286.7</v>
      </c>
      <c r="Z109" s="3526"/>
      <c r="AA109" s="3526"/>
      <c r="AB109" s="3526"/>
      <c r="AC109" s="3526"/>
      <c r="AD109" s="3526"/>
      <c r="AE109" s="3526"/>
      <c r="AF109" s="3527"/>
    </row>
    <row r="110" spans="1:32" x14ac:dyDescent="0.25">
      <c r="B110" s="227" t="s">
        <v>4920</v>
      </c>
    </row>
    <row r="112" spans="1:32" ht="32.25" customHeight="1" x14ac:dyDescent="0.25">
      <c r="B112" s="3583" t="s">
        <v>4921</v>
      </c>
      <c r="C112" s="3583"/>
      <c r="D112" s="3583"/>
      <c r="E112" s="3583"/>
      <c r="F112" s="3583"/>
      <c r="G112" s="3583"/>
      <c r="H112" s="3583"/>
      <c r="I112" s="3583"/>
      <c r="J112" s="3583"/>
      <c r="K112" s="3583"/>
      <c r="L112" s="3583"/>
      <c r="M112" s="3583"/>
      <c r="N112" s="3583"/>
      <c r="O112" s="3583"/>
      <c r="P112" s="3583"/>
      <c r="Q112" s="3583"/>
      <c r="R112" s="3583"/>
      <c r="S112" s="3583"/>
      <c r="T112" s="3583"/>
      <c r="U112" s="3583"/>
      <c r="V112" s="3583"/>
      <c r="W112" s="3583"/>
      <c r="X112" s="3583"/>
      <c r="Y112" s="3583"/>
      <c r="Z112" s="3583"/>
      <c r="AA112" s="3583"/>
      <c r="AB112" s="3583"/>
      <c r="AC112" s="3583"/>
      <c r="AD112" s="3583"/>
      <c r="AE112" s="3583"/>
      <c r="AF112" s="3583"/>
    </row>
    <row r="114" spans="1:32" ht="15.75" thickBot="1" x14ac:dyDescent="0.3">
      <c r="A114" s="3584" t="s">
        <v>4922</v>
      </c>
      <c r="B114" s="3340"/>
      <c r="C114" s="3340"/>
      <c r="D114" s="3340"/>
      <c r="E114" s="3340"/>
      <c r="F114" s="3340"/>
      <c r="G114" s="3340"/>
      <c r="H114" s="3340"/>
      <c r="I114" s="3340"/>
      <c r="J114" s="3340"/>
      <c r="K114" s="3340"/>
      <c r="L114" s="3340"/>
      <c r="M114" s="3340"/>
      <c r="N114" s="3340"/>
      <c r="O114" s="3340"/>
      <c r="P114" s="3340"/>
      <c r="Q114" s="3340"/>
      <c r="R114" s="3340"/>
      <c r="S114" s="3340"/>
      <c r="T114" s="3340"/>
      <c r="U114" s="3340"/>
      <c r="V114" s="3340"/>
      <c r="W114" s="3340"/>
      <c r="X114" s="3340"/>
      <c r="Y114" s="3340"/>
      <c r="Z114" s="3340"/>
      <c r="AA114" s="3340"/>
      <c r="AB114" s="3340"/>
      <c r="AC114" s="3340"/>
      <c r="AD114" s="3340"/>
      <c r="AE114" s="3340"/>
      <c r="AF114" s="3340"/>
    </row>
    <row r="115" spans="1:32" ht="15.75" thickBot="1" x14ac:dyDescent="0.3">
      <c r="A115" s="3503" t="s">
        <v>22</v>
      </c>
      <c r="B115" s="3504"/>
      <c r="C115" s="3504"/>
      <c r="D115" s="3504"/>
      <c r="E115" s="3504"/>
      <c r="F115" s="3504"/>
      <c r="G115" s="3504"/>
      <c r="H115" s="3504"/>
      <c r="I115" s="3504" t="s">
        <v>23</v>
      </c>
      <c r="J115" s="3504"/>
      <c r="K115" s="3504"/>
      <c r="L115" s="3504"/>
      <c r="M115" s="3504"/>
      <c r="N115" s="3504"/>
      <c r="O115" s="3504"/>
      <c r="P115" s="3504"/>
      <c r="Q115" s="3504" t="s">
        <v>24</v>
      </c>
      <c r="R115" s="3504"/>
      <c r="S115" s="3504"/>
      <c r="T115" s="3504"/>
      <c r="U115" s="3504"/>
      <c r="V115" s="3504"/>
      <c r="W115" s="3504"/>
      <c r="X115" s="3504"/>
      <c r="Y115" s="3504" t="s">
        <v>2012</v>
      </c>
      <c r="Z115" s="3504"/>
      <c r="AA115" s="3504"/>
      <c r="AB115" s="3504"/>
      <c r="AC115" s="3504"/>
      <c r="AD115" s="3504"/>
      <c r="AE115" s="3504"/>
      <c r="AF115" s="3505"/>
    </row>
    <row r="116" spans="1:32" x14ac:dyDescent="0.25">
      <c r="A116" s="3585" t="s">
        <v>4907</v>
      </c>
      <c r="B116" s="3498"/>
      <c r="C116" s="3498"/>
      <c r="D116" s="3498"/>
      <c r="E116" s="3498"/>
      <c r="F116" s="3498"/>
      <c r="G116" s="3498"/>
      <c r="H116" s="3499"/>
      <c r="I116" s="3485">
        <v>0</v>
      </c>
      <c r="J116" s="3485"/>
      <c r="K116" s="3485"/>
      <c r="L116" s="3485"/>
      <c r="M116" s="3485"/>
      <c r="N116" s="3485"/>
      <c r="O116" s="3485"/>
      <c r="P116" s="3485"/>
      <c r="Q116" s="3486">
        <f>ROUND(J76*$Q$61*$Q$88*365/1000*(1+($L$88*($Q$68-1))*$Q$69),2)</f>
        <v>170.9</v>
      </c>
      <c r="R116" s="3486"/>
      <c r="S116" s="3486"/>
      <c r="T116" s="3486"/>
      <c r="U116" s="3486"/>
      <c r="V116" s="3486"/>
      <c r="W116" s="3486"/>
      <c r="X116" s="3486"/>
      <c r="Y116" s="3487">
        <f>ROUND(Q116*$AA$88+$Q167*($V$88-$AA$88),2)</f>
        <v>1341.3</v>
      </c>
      <c r="Z116" s="3487"/>
      <c r="AA116" s="3487"/>
      <c r="AB116" s="3487"/>
      <c r="AC116" s="3487"/>
      <c r="AD116" s="3487"/>
      <c r="AE116" s="3487"/>
      <c r="AF116" s="3488"/>
    </row>
    <row r="117" spans="1:32" x14ac:dyDescent="0.25">
      <c r="A117" s="3585" t="s">
        <v>4908</v>
      </c>
      <c r="B117" s="3498"/>
      <c r="C117" s="3498"/>
      <c r="D117" s="3498"/>
      <c r="E117" s="3498"/>
      <c r="F117" s="3498"/>
      <c r="G117" s="3498"/>
      <c r="H117" s="3499"/>
      <c r="I117" s="3485">
        <v>0</v>
      </c>
      <c r="J117" s="3485"/>
      <c r="K117" s="3485"/>
      <c r="L117" s="3485"/>
      <c r="M117" s="3485"/>
      <c r="N117" s="3485"/>
      <c r="O117" s="3485"/>
      <c r="P117" s="3485"/>
      <c r="Q117" s="3486">
        <f>ROUND(J77*$Q$61*$Q$88*365/1000*(1+($L$88*($Q$68-1))*$Q$69),2)</f>
        <v>79.62</v>
      </c>
      <c r="R117" s="3486"/>
      <c r="S117" s="3486"/>
      <c r="T117" s="3486"/>
      <c r="U117" s="3486"/>
      <c r="V117" s="3486"/>
      <c r="W117" s="3486"/>
      <c r="X117" s="3486"/>
      <c r="Y117" s="3487">
        <f>ROUND(Q117*$AA$88+$Q168*($V$88-$AA$88),2)</f>
        <v>604.33000000000004</v>
      </c>
      <c r="Z117" s="3487"/>
      <c r="AA117" s="3487"/>
      <c r="AB117" s="3487"/>
      <c r="AC117" s="3487"/>
      <c r="AD117" s="3487"/>
      <c r="AE117" s="3487"/>
      <c r="AF117" s="3488"/>
    </row>
    <row r="118" spans="1:32" ht="15.75" thickBot="1" x14ac:dyDescent="0.3">
      <c r="A118" s="3579" t="s">
        <v>4909</v>
      </c>
      <c r="B118" s="3580"/>
      <c r="C118" s="3580"/>
      <c r="D118" s="3580"/>
      <c r="E118" s="3580"/>
      <c r="F118" s="3580"/>
      <c r="G118" s="3580"/>
      <c r="H118" s="3581"/>
      <c r="I118" s="3210">
        <v>0</v>
      </c>
      <c r="J118" s="3210"/>
      <c r="K118" s="3210"/>
      <c r="L118" s="3210"/>
      <c r="M118" s="3210"/>
      <c r="N118" s="3210"/>
      <c r="O118" s="3210"/>
      <c r="P118" s="3210"/>
      <c r="Q118" s="3582">
        <f>ROUND(J78*$Q$61*$Q$88*365/1000*(1+($L$88*($Q$68-1))*$Q$69),2)</f>
        <v>39.81</v>
      </c>
      <c r="R118" s="3582"/>
      <c r="S118" s="3582"/>
      <c r="T118" s="3582"/>
      <c r="U118" s="3582"/>
      <c r="V118" s="3582"/>
      <c r="W118" s="3582"/>
      <c r="X118" s="3582"/>
      <c r="Y118" s="3526">
        <f>ROUND(Q118*$AA$88+$Q169*($V$88-$AA$88),2)</f>
        <v>302.17</v>
      </c>
      <c r="Z118" s="3526"/>
      <c r="AA118" s="3526"/>
      <c r="AB118" s="3526"/>
      <c r="AC118" s="3526"/>
      <c r="AD118" s="3526"/>
      <c r="AE118" s="3526"/>
      <c r="AF118" s="3527"/>
    </row>
    <row r="120" spans="1:32" ht="15.75" thickBot="1" x14ac:dyDescent="0.3">
      <c r="A120" s="3584" t="s">
        <v>4923</v>
      </c>
      <c r="B120" s="3340"/>
      <c r="C120" s="3340"/>
      <c r="D120" s="3340"/>
      <c r="E120" s="3340"/>
      <c r="F120" s="3340"/>
      <c r="G120" s="3340"/>
      <c r="H120" s="3340"/>
      <c r="I120" s="3340"/>
      <c r="J120" s="3340"/>
      <c r="K120" s="3340"/>
      <c r="L120" s="3340"/>
      <c r="M120" s="3340"/>
      <c r="N120" s="3340"/>
      <c r="O120" s="3340"/>
      <c r="P120" s="3340"/>
      <c r="Q120" s="3340"/>
      <c r="R120" s="3340"/>
      <c r="S120" s="3340"/>
      <c r="T120" s="3340"/>
      <c r="U120" s="3340"/>
      <c r="V120" s="3340"/>
      <c r="W120" s="3340"/>
      <c r="X120" s="3340"/>
      <c r="Y120" s="3340"/>
      <c r="Z120" s="3340"/>
      <c r="AA120" s="3340"/>
      <c r="AB120" s="3340"/>
      <c r="AC120" s="3340"/>
      <c r="AD120" s="3340"/>
      <c r="AE120" s="3340"/>
      <c r="AF120" s="3340"/>
    </row>
    <row r="121" spans="1:32" ht="15.75" thickBot="1" x14ac:dyDescent="0.3">
      <c r="A121" s="3503" t="s">
        <v>22</v>
      </c>
      <c r="B121" s="3504"/>
      <c r="C121" s="3504"/>
      <c r="D121" s="3504"/>
      <c r="E121" s="3504"/>
      <c r="F121" s="3504"/>
      <c r="G121" s="3504"/>
      <c r="H121" s="3504"/>
      <c r="I121" s="3504" t="s">
        <v>23</v>
      </c>
      <c r="J121" s="3504"/>
      <c r="K121" s="3504"/>
      <c r="L121" s="3504"/>
      <c r="M121" s="3504"/>
      <c r="N121" s="3504"/>
      <c r="O121" s="3504"/>
      <c r="P121" s="3504"/>
      <c r="Q121" s="3504" t="s">
        <v>24</v>
      </c>
      <c r="R121" s="3504"/>
      <c r="S121" s="3504"/>
      <c r="T121" s="3504"/>
      <c r="U121" s="3504"/>
      <c r="V121" s="3504"/>
      <c r="W121" s="3504"/>
      <c r="X121" s="3504"/>
      <c r="Y121" s="3504" t="s">
        <v>2012</v>
      </c>
      <c r="Z121" s="3504"/>
      <c r="AA121" s="3504"/>
      <c r="AB121" s="3504"/>
      <c r="AC121" s="3504"/>
      <c r="AD121" s="3504"/>
      <c r="AE121" s="3504"/>
      <c r="AF121" s="3505"/>
    </row>
    <row r="122" spans="1:32" x14ac:dyDescent="0.25">
      <c r="A122" s="3585" t="s">
        <v>4907</v>
      </c>
      <c r="B122" s="3498"/>
      <c r="C122" s="3498"/>
      <c r="D122" s="3498"/>
      <c r="E122" s="3498"/>
      <c r="F122" s="3498"/>
      <c r="G122" s="3498"/>
      <c r="H122" s="3499"/>
      <c r="I122" s="3485">
        <v>0</v>
      </c>
      <c r="J122" s="3485"/>
      <c r="K122" s="3485"/>
      <c r="L122" s="3485"/>
      <c r="M122" s="3485"/>
      <c r="N122" s="3485"/>
      <c r="O122" s="3485"/>
      <c r="P122" s="3485"/>
      <c r="Q122" s="3486">
        <f>ROUND(J76*$Q$61*$Q$89*365/1000*(1+($L$89*($Q$68-1))*$Q$69),2)</f>
        <v>302.88</v>
      </c>
      <c r="R122" s="3486"/>
      <c r="S122" s="3486"/>
      <c r="T122" s="3486"/>
      <c r="U122" s="3486"/>
      <c r="V122" s="3486"/>
      <c r="W122" s="3486"/>
      <c r="X122" s="3486"/>
      <c r="Y122" s="3487">
        <f>ROUND(Q122*$AA$89+$Q173*($V$89-$AA$89),2)</f>
        <v>2116.48</v>
      </c>
      <c r="Z122" s="3487"/>
      <c r="AA122" s="3487"/>
      <c r="AB122" s="3487"/>
      <c r="AC122" s="3487"/>
      <c r="AD122" s="3487"/>
      <c r="AE122" s="3487"/>
      <c r="AF122" s="3488"/>
    </row>
    <row r="123" spans="1:32" x14ac:dyDescent="0.25">
      <c r="A123" s="3585" t="s">
        <v>4908</v>
      </c>
      <c r="B123" s="3498"/>
      <c r="C123" s="3498"/>
      <c r="D123" s="3498"/>
      <c r="E123" s="3498"/>
      <c r="F123" s="3498"/>
      <c r="G123" s="3498"/>
      <c r="H123" s="3499"/>
      <c r="I123" s="3485">
        <v>0</v>
      </c>
      <c r="J123" s="3485"/>
      <c r="K123" s="3485"/>
      <c r="L123" s="3485"/>
      <c r="M123" s="3485"/>
      <c r="N123" s="3485"/>
      <c r="O123" s="3485"/>
      <c r="P123" s="3485"/>
      <c r="Q123" s="3486">
        <f>ROUND(J77*$Q$61*$Q$89*365/1000*(1+($L$89*($Q$68-1))*$Q$69),2)</f>
        <v>141.1</v>
      </c>
      <c r="R123" s="3486"/>
      <c r="S123" s="3486"/>
      <c r="T123" s="3486"/>
      <c r="U123" s="3486"/>
      <c r="V123" s="3486"/>
      <c r="W123" s="3486"/>
      <c r="X123" s="3486"/>
      <c r="Y123" s="3487">
        <f>ROUND(Q123*$AA$89+$Q174*($V$89-$AA$89),2)</f>
        <v>935</v>
      </c>
      <c r="Z123" s="3487"/>
      <c r="AA123" s="3487"/>
      <c r="AB123" s="3487"/>
      <c r="AC123" s="3487"/>
      <c r="AD123" s="3487"/>
      <c r="AE123" s="3487"/>
      <c r="AF123" s="3488"/>
    </row>
    <row r="124" spans="1:32" ht="15.75" thickBot="1" x14ac:dyDescent="0.3">
      <c r="A124" s="3579" t="s">
        <v>4909</v>
      </c>
      <c r="B124" s="3580"/>
      <c r="C124" s="3580"/>
      <c r="D124" s="3580"/>
      <c r="E124" s="3580"/>
      <c r="F124" s="3580"/>
      <c r="G124" s="3580"/>
      <c r="H124" s="3581"/>
      <c r="I124" s="3210">
        <v>0</v>
      </c>
      <c r="J124" s="3210"/>
      <c r="K124" s="3210"/>
      <c r="L124" s="3210"/>
      <c r="M124" s="3210"/>
      <c r="N124" s="3210"/>
      <c r="O124" s="3210"/>
      <c r="P124" s="3210"/>
      <c r="Q124" s="3582">
        <f>ROUND(J78*$Q$61*$Q$89*365/1000*(1+($L$89*($Q$68-1))*$Q$69),2)</f>
        <v>70.55</v>
      </c>
      <c r="R124" s="3582"/>
      <c r="S124" s="3582"/>
      <c r="T124" s="3582"/>
      <c r="U124" s="3582"/>
      <c r="V124" s="3582"/>
      <c r="W124" s="3582"/>
      <c r="X124" s="3582"/>
      <c r="Y124" s="3526">
        <f>ROUND(Q124*$AA$89+$Q175*($V$89-$AA$89),2)</f>
        <v>467.5</v>
      </c>
      <c r="Z124" s="3526"/>
      <c r="AA124" s="3526"/>
      <c r="AB124" s="3526"/>
      <c r="AC124" s="3526"/>
      <c r="AD124" s="3526"/>
      <c r="AE124" s="3526"/>
      <c r="AF124" s="3527"/>
    </row>
    <row r="126" spans="1:32" ht="15.75" thickBot="1" x14ac:dyDescent="0.3">
      <c r="A126" s="3584" t="s">
        <v>4924</v>
      </c>
      <c r="B126" s="3340"/>
      <c r="C126" s="3340"/>
      <c r="D126" s="3340"/>
      <c r="E126" s="3340"/>
      <c r="F126" s="3340"/>
      <c r="G126" s="3340"/>
      <c r="H126" s="3340"/>
      <c r="I126" s="3340"/>
      <c r="J126" s="3340"/>
      <c r="K126" s="3340"/>
      <c r="L126" s="3340"/>
      <c r="M126" s="3340"/>
      <c r="N126" s="3340"/>
      <c r="O126" s="3340"/>
      <c r="P126" s="3340"/>
      <c r="Q126" s="3340"/>
      <c r="R126" s="3340"/>
      <c r="S126" s="3340"/>
      <c r="T126" s="3340"/>
      <c r="U126" s="3340"/>
      <c r="V126" s="3340"/>
      <c r="W126" s="3340"/>
      <c r="X126" s="3340"/>
      <c r="Y126" s="3340"/>
      <c r="Z126" s="3340"/>
      <c r="AA126" s="3340"/>
      <c r="AB126" s="3340"/>
      <c r="AC126" s="3340"/>
      <c r="AD126" s="3340"/>
      <c r="AE126" s="3340"/>
      <c r="AF126" s="3340"/>
    </row>
    <row r="127" spans="1:32" ht="15.75" thickBot="1" x14ac:dyDescent="0.3">
      <c r="A127" s="3503" t="s">
        <v>22</v>
      </c>
      <c r="B127" s="3504"/>
      <c r="C127" s="3504"/>
      <c r="D127" s="3504"/>
      <c r="E127" s="3504"/>
      <c r="F127" s="3504"/>
      <c r="G127" s="3504"/>
      <c r="H127" s="3504"/>
      <c r="I127" s="3504" t="s">
        <v>23</v>
      </c>
      <c r="J127" s="3504"/>
      <c r="K127" s="3504"/>
      <c r="L127" s="3504"/>
      <c r="M127" s="3504"/>
      <c r="N127" s="3504"/>
      <c r="O127" s="3504"/>
      <c r="P127" s="3504"/>
      <c r="Q127" s="3504" t="s">
        <v>24</v>
      </c>
      <c r="R127" s="3504"/>
      <c r="S127" s="3504"/>
      <c r="T127" s="3504"/>
      <c r="U127" s="3504"/>
      <c r="V127" s="3504"/>
      <c r="W127" s="3504"/>
      <c r="X127" s="3504"/>
      <c r="Y127" s="3504" t="s">
        <v>2012</v>
      </c>
      <c r="Z127" s="3504"/>
      <c r="AA127" s="3504"/>
      <c r="AB127" s="3504"/>
      <c r="AC127" s="3504"/>
      <c r="AD127" s="3504"/>
      <c r="AE127" s="3504"/>
      <c r="AF127" s="3505"/>
    </row>
    <row r="128" spans="1:32" x14ac:dyDescent="0.25">
      <c r="A128" s="3585" t="s">
        <v>4907</v>
      </c>
      <c r="B128" s="3498"/>
      <c r="C128" s="3498"/>
      <c r="D128" s="3498"/>
      <c r="E128" s="3498"/>
      <c r="F128" s="3498"/>
      <c r="G128" s="3498"/>
      <c r="H128" s="3499"/>
      <c r="I128" s="3485">
        <v>0</v>
      </c>
      <c r="J128" s="3485"/>
      <c r="K128" s="3485"/>
      <c r="L128" s="3485"/>
      <c r="M128" s="3485"/>
      <c r="N128" s="3485"/>
      <c r="O128" s="3485"/>
      <c r="P128" s="3485"/>
      <c r="Q128" s="3486">
        <f>ROUND(N76*$Q$61*$Q$88*365/1000*(1+($L$88*($Q$68-1))*$Q$69),2)</f>
        <v>162.91</v>
      </c>
      <c r="R128" s="3486"/>
      <c r="S128" s="3486"/>
      <c r="T128" s="3486"/>
      <c r="U128" s="3486"/>
      <c r="V128" s="3486"/>
      <c r="W128" s="3486"/>
      <c r="X128" s="3486"/>
      <c r="Y128" s="3487">
        <f>ROUND(Q128*$AA$88+$Q179*($V$88-$AA$88),2)</f>
        <v>1274.98</v>
      </c>
      <c r="Z128" s="3487"/>
      <c r="AA128" s="3487"/>
      <c r="AB128" s="3487"/>
      <c r="AC128" s="3487"/>
      <c r="AD128" s="3487"/>
      <c r="AE128" s="3487"/>
      <c r="AF128" s="3488"/>
    </row>
    <row r="129" spans="1:32" x14ac:dyDescent="0.25">
      <c r="A129" s="3585" t="s">
        <v>4908</v>
      </c>
      <c r="B129" s="3498"/>
      <c r="C129" s="3498"/>
      <c r="D129" s="3498"/>
      <c r="E129" s="3498"/>
      <c r="F129" s="3498"/>
      <c r="G129" s="3498"/>
      <c r="H129" s="3499"/>
      <c r="I129" s="3485">
        <v>0</v>
      </c>
      <c r="J129" s="3485"/>
      <c r="K129" s="3485"/>
      <c r="L129" s="3485"/>
      <c r="M129" s="3485"/>
      <c r="N129" s="3485"/>
      <c r="O129" s="3485"/>
      <c r="P129" s="3485"/>
      <c r="Q129" s="3486">
        <f>ROUND(N77*$Q$61*$Q$88*365/1000*(1+($L$88*($Q$68-1))*$Q$69),2)</f>
        <v>74.5</v>
      </c>
      <c r="R129" s="3486"/>
      <c r="S129" s="3486"/>
      <c r="T129" s="3486"/>
      <c r="U129" s="3486"/>
      <c r="V129" s="3486"/>
      <c r="W129" s="3486"/>
      <c r="X129" s="3486"/>
      <c r="Y129" s="3586">
        <f>ROUND(Q129*$AA$88+$Q180*($V$88-$AA$88),2)</f>
        <v>581.13</v>
      </c>
      <c r="Z129" s="3587"/>
      <c r="AA129" s="3587"/>
      <c r="AB129" s="3587"/>
      <c r="AC129" s="3587"/>
      <c r="AD129" s="3587"/>
      <c r="AE129" s="3587"/>
      <c r="AF129" s="3588"/>
    </row>
    <row r="130" spans="1:32" ht="15.75" thickBot="1" x14ac:dyDescent="0.3">
      <c r="A130" s="3579" t="s">
        <v>4909</v>
      </c>
      <c r="B130" s="3580"/>
      <c r="C130" s="3580"/>
      <c r="D130" s="3580"/>
      <c r="E130" s="3580"/>
      <c r="F130" s="3580"/>
      <c r="G130" s="3580"/>
      <c r="H130" s="3581"/>
      <c r="I130" s="3210">
        <v>0</v>
      </c>
      <c r="J130" s="3210"/>
      <c r="K130" s="3210"/>
      <c r="L130" s="3210"/>
      <c r="M130" s="3210"/>
      <c r="N130" s="3210"/>
      <c r="O130" s="3210"/>
      <c r="P130" s="3210"/>
      <c r="Q130" s="3582">
        <f>ROUND(N78*$Q$61*$Q$88*365/1000*(1+($L$88*($Q$68-1))*$Q$69),2)</f>
        <v>38.049999999999997</v>
      </c>
      <c r="R130" s="3582"/>
      <c r="S130" s="3582"/>
      <c r="T130" s="3582"/>
      <c r="U130" s="3582"/>
      <c r="V130" s="3582"/>
      <c r="W130" s="3582"/>
      <c r="X130" s="3582"/>
      <c r="Y130" s="3589">
        <f>ROUND(Q130*$AA$88+$Q181*($V$88-$AA$88),2)</f>
        <v>287.77</v>
      </c>
      <c r="Z130" s="3590"/>
      <c r="AA130" s="3590"/>
      <c r="AB130" s="3590"/>
      <c r="AC130" s="3590"/>
      <c r="AD130" s="3590"/>
      <c r="AE130" s="3590"/>
      <c r="AF130" s="3591"/>
    </row>
    <row r="132" spans="1:32" ht="15.75" thickBot="1" x14ac:dyDescent="0.3">
      <c r="A132" s="3584" t="s">
        <v>4925</v>
      </c>
      <c r="B132" s="3340"/>
      <c r="C132" s="3340"/>
      <c r="D132" s="3340"/>
      <c r="E132" s="3340"/>
      <c r="F132" s="3340"/>
      <c r="G132" s="3340"/>
      <c r="H132" s="3340"/>
      <c r="I132" s="3340"/>
      <c r="J132" s="3340"/>
      <c r="K132" s="3340"/>
      <c r="L132" s="3340"/>
      <c r="M132" s="3340"/>
      <c r="N132" s="3340"/>
      <c r="O132" s="3340"/>
      <c r="P132" s="3340"/>
      <c r="Q132" s="3340"/>
      <c r="R132" s="3340"/>
      <c r="S132" s="3340"/>
      <c r="T132" s="3340"/>
      <c r="U132" s="3340"/>
      <c r="V132" s="3340"/>
      <c r="W132" s="3340"/>
      <c r="X132" s="3340"/>
      <c r="Y132" s="3340"/>
      <c r="Z132" s="3340"/>
      <c r="AA132" s="3340"/>
      <c r="AB132" s="3340"/>
      <c r="AC132" s="3340"/>
      <c r="AD132" s="3340"/>
      <c r="AE132" s="3340"/>
      <c r="AF132" s="3340"/>
    </row>
    <row r="133" spans="1:32" ht="15.75" thickBot="1" x14ac:dyDescent="0.3">
      <c r="A133" s="3503" t="s">
        <v>22</v>
      </c>
      <c r="B133" s="3504"/>
      <c r="C133" s="3504"/>
      <c r="D133" s="3504"/>
      <c r="E133" s="3504"/>
      <c r="F133" s="3504"/>
      <c r="G133" s="3504"/>
      <c r="H133" s="3504"/>
      <c r="I133" s="3504" t="s">
        <v>23</v>
      </c>
      <c r="J133" s="3504"/>
      <c r="K133" s="3504"/>
      <c r="L133" s="3504"/>
      <c r="M133" s="3504"/>
      <c r="N133" s="3504"/>
      <c r="O133" s="3504"/>
      <c r="P133" s="3504"/>
      <c r="Q133" s="3504" t="s">
        <v>24</v>
      </c>
      <c r="R133" s="3504"/>
      <c r="S133" s="3504"/>
      <c r="T133" s="3504"/>
      <c r="U133" s="3504"/>
      <c r="V133" s="3504"/>
      <c r="W133" s="3504"/>
      <c r="X133" s="3504"/>
      <c r="Y133" s="3504" t="s">
        <v>2012</v>
      </c>
      <c r="Z133" s="3504"/>
      <c r="AA133" s="3504"/>
      <c r="AB133" s="3504"/>
      <c r="AC133" s="3504"/>
      <c r="AD133" s="3504"/>
      <c r="AE133" s="3504"/>
      <c r="AF133" s="3505"/>
    </row>
    <row r="134" spans="1:32" x14ac:dyDescent="0.25">
      <c r="A134" s="3585" t="s">
        <v>4907</v>
      </c>
      <c r="B134" s="3498"/>
      <c r="C134" s="3498"/>
      <c r="D134" s="3498"/>
      <c r="E134" s="3498"/>
      <c r="F134" s="3498"/>
      <c r="G134" s="3498"/>
      <c r="H134" s="3499"/>
      <c r="I134" s="3485">
        <v>0</v>
      </c>
      <c r="J134" s="3485"/>
      <c r="K134" s="3485"/>
      <c r="L134" s="3485"/>
      <c r="M134" s="3485"/>
      <c r="N134" s="3485"/>
      <c r="O134" s="3485"/>
      <c r="P134" s="3485"/>
      <c r="Q134" s="3486">
        <f>ROUND(N76*$Q$61*$Q$89*365/1000*(1+($L$89*($Q$68-1))*$Q$69),2)</f>
        <v>288.70999999999998</v>
      </c>
      <c r="R134" s="3486"/>
      <c r="S134" s="3486"/>
      <c r="T134" s="3486"/>
      <c r="U134" s="3486"/>
      <c r="V134" s="3486"/>
      <c r="W134" s="3486"/>
      <c r="X134" s="3486"/>
      <c r="Y134" s="3487">
        <f>ROUND(Q134*$AA$89+$Q185*($V$89-$AA$89),2)</f>
        <v>2008.52</v>
      </c>
      <c r="Z134" s="3487"/>
      <c r="AA134" s="3487"/>
      <c r="AB134" s="3487"/>
      <c r="AC134" s="3487"/>
      <c r="AD134" s="3487"/>
      <c r="AE134" s="3487"/>
      <c r="AF134" s="3488"/>
    </row>
    <row r="135" spans="1:32" x14ac:dyDescent="0.25">
      <c r="A135" s="3585" t="s">
        <v>4908</v>
      </c>
      <c r="B135" s="3498"/>
      <c r="C135" s="3498"/>
      <c r="D135" s="3498"/>
      <c r="E135" s="3498"/>
      <c r="F135" s="3498"/>
      <c r="G135" s="3498"/>
      <c r="H135" s="3499"/>
      <c r="I135" s="3485">
        <v>0</v>
      </c>
      <c r="J135" s="3485"/>
      <c r="K135" s="3485"/>
      <c r="L135" s="3485"/>
      <c r="M135" s="3485"/>
      <c r="N135" s="3485"/>
      <c r="O135" s="3485"/>
      <c r="P135" s="3485"/>
      <c r="Q135" s="3486">
        <f>ROUND(N77*$Q$61*$Q$89*365/1000*(1+($L$89*($Q$68-1))*$Q$69),2)</f>
        <v>132.03</v>
      </c>
      <c r="R135" s="3486"/>
      <c r="S135" s="3486"/>
      <c r="T135" s="3486"/>
      <c r="U135" s="3486"/>
      <c r="V135" s="3486"/>
      <c r="W135" s="3486"/>
      <c r="X135" s="3486"/>
      <c r="Y135" s="3586">
        <f>ROUND(Q135*$AA$89+$Q186*($V$89-$AA$89),2)</f>
        <v>913.74</v>
      </c>
      <c r="Z135" s="3587"/>
      <c r="AA135" s="3587"/>
      <c r="AB135" s="3587"/>
      <c r="AC135" s="3587"/>
      <c r="AD135" s="3587"/>
      <c r="AE135" s="3587"/>
      <c r="AF135" s="3588"/>
    </row>
    <row r="136" spans="1:32" ht="15.75" thickBot="1" x14ac:dyDescent="0.3">
      <c r="A136" s="3579" t="s">
        <v>4909</v>
      </c>
      <c r="B136" s="3580"/>
      <c r="C136" s="3580"/>
      <c r="D136" s="3580"/>
      <c r="E136" s="3580"/>
      <c r="F136" s="3580"/>
      <c r="G136" s="3580"/>
      <c r="H136" s="3581"/>
      <c r="I136" s="3210">
        <v>0</v>
      </c>
      <c r="J136" s="3210"/>
      <c r="K136" s="3210"/>
      <c r="L136" s="3210"/>
      <c r="M136" s="3210"/>
      <c r="N136" s="3210"/>
      <c r="O136" s="3210"/>
      <c r="P136" s="3210"/>
      <c r="Q136" s="3582">
        <f>ROUND(N78*$Q$61*$Q$89*365/1000*(1+($L$89*($Q$68-1))*$Q$69),2)</f>
        <v>67.430000000000007</v>
      </c>
      <c r="R136" s="3582"/>
      <c r="S136" s="3582"/>
      <c r="T136" s="3582"/>
      <c r="U136" s="3582"/>
      <c r="V136" s="3582"/>
      <c r="W136" s="3582"/>
      <c r="X136" s="3582"/>
      <c r="Y136" s="3589">
        <f>ROUND(Q136*$AA$89+$Q187*($V$89-$AA$89),2)</f>
        <v>444.25</v>
      </c>
      <c r="Z136" s="3590"/>
      <c r="AA136" s="3590"/>
      <c r="AB136" s="3590"/>
      <c r="AC136" s="3590"/>
      <c r="AD136" s="3590"/>
      <c r="AE136" s="3590"/>
      <c r="AF136" s="3591"/>
    </row>
    <row r="138" spans="1:32" ht="15.75" thickBot="1" x14ac:dyDescent="0.3">
      <c r="A138" s="3584" t="s">
        <v>4926</v>
      </c>
      <c r="B138" s="3340"/>
      <c r="C138" s="3340"/>
      <c r="D138" s="3340"/>
      <c r="E138" s="3340"/>
      <c r="F138" s="3340"/>
      <c r="G138" s="3340"/>
      <c r="H138" s="3340"/>
      <c r="I138" s="3340"/>
      <c r="J138" s="3340"/>
      <c r="K138" s="3340"/>
      <c r="L138" s="3340"/>
      <c r="M138" s="3340"/>
      <c r="N138" s="3340"/>
      <c r="O138" s="3340"/>
      <c r="P138" s="3340"/>
      <c r="Q138" s="3340"/>
      <c r="R138" s="3340"/>
      <c r="S138" s="3340"/>
      <c r="T138" s="3340"/>
      <c r="U138" s="3340"/>
      <c r="V138" s="3340"/>
      <c r="W138" s="3340"/>
      <c r="X138" s="3340"/>
      <c r="Y138" s="3340"/>
      <c r="Z138" s="3340"/>
      <c r="AA138" s="3340"/>
      <c r="AB138" s="3340"/>
      <c r="AC138" s="3340"/>
      <c r="AD138" s="3340"/>
      <c r="AE138" s="3340"/>
      <c r="AF138" s="3340"/>
    </row>
    <row r="139" spans="1:32" ht="15.75" thickBot="1" x14ac:dyDescent="0.3">
      <c r="A139" s="3503" t="s">
        <v>22</v>
      </c>
      <c r="B139" s="3504"/>
      <c r="C139" s="3504"/>
      <c r="D139" s="3504"/>
      <c r="E139" s="3504"/>
      <c r="F139" s="3504"/>
      <c r="G139" s="3504"/>
      <c r="H139" s="3504"/>
      <c r="I139" s="3504" t="s">
        <v>23</v>
      </c>
      <c r="J139" s="3504"/>
      <c r="K139" s="3504"/>
      <c r="L139" s="3504"/>
      <c r="M139" s="3504"/>
      <c r="N139" s="3504"/>
      <c r="O139" s="3504"/>
      <c r="P139" s="3504"/>
      <c r="Q139" s="3504" t="s">
        <v>24</v>
      </c>
      <c r="R139" s="3504"/>
      <c r="S139" s="3504"/>
      <c r="T139" s="3504"/>
      <c r="U139" s="3504"/>
      <c r="V139" s="3504"/>
      <c r="W139" s="3504"/>
      <c r="X139" s="3504"/>
      <c r="Y139" s="3504" t="s">
        <v>2012</v>
      </c>
      <c r="Z139" s="3504"/>
      <c r="AA139" s="3504"/>
      <c r="AB139" s="3504"/>
      <c r="AC139" s="3504"/>
      <c r="AD139" s="3504"/>
      <c r="AE139" s="3504"/>
      <c r="AF139" s="3505"/>
    </row>
    <row r="140" spans="1:32" x14ac:dyDescent="0.25">
      <c r="A140" s="3585" t="s">
        <v>4907</v>
      </c>
      <c r="B140" s="3498"/>
      <c r="C140" s="3498"/>
      <c r="D140" s="3498"/>
      <c r="E140" s="3498"/>
      <c r="F140" s="3498"/>
      <c r="G140" s="3498"/>
      <c r="H140" s="3499"/>
      <c r="I140" s="3485">
        <v>0</v>
      </c>
      <c r="J140" s="3485"/>
      <c r="K140" s="3485"/>
      <c r="L140" s="3485"/>
      <c r="M140" s="3485"/>
      <c r="N140" s="3485"/>
      <c r="O140" s="3485"/>
      <c r="P140" s="3485"/>
      <c r="Q140" s="3486">
        <f>ROUND(R76*$Q$61*$Q$88*365/1000*(1+($L$88*($Q$68-1))*$Q$69),2)</f>
        <v>120.7</v>
      </c>
      <c r="R140" s="3486"/>
      <c r="S140" s="3486"/>
      <c r="T140" s="3486"/>
      <c r="U140" s="3486"/>
      <c r="V140" s="3486"/>
      <c r="W140" s="3486"/>
      <c r="X140" s="3486"/>
      <c r="Y140" s="3487">
        <f>ROUND(Q140*$AA$88+$Q191*($V$88-$AA$88),2)</f>
        <v>946.42</v>
      </c>
      <c r="Z140" s="3487"/>
      <c r="AA140" s="3487"/>
      <c r="AB140" s="3487"/>
      <c r="AC140" s="3487"/>
      <c r="AD140" s="3487"/>
      <c r="AE140" s="3487"/>
      <c r="AF140" s="3488"/>
    </row>
    <row r="141" spans="1:32" x14ac:dyDescent="0.25">
      <c r="A141" s="3585" t="s">
        <v>4908</v>
      </c>
      <c r="B141" s="3498"/>
      <c r="C141" s="3498"/>
      <c r="D141" s="3498"/>
      <c r="E141" s="3498"/>
      <c r="F141" s="3498"/>
      <c r="G141" s="3498"/>
      <c r="H141" s="3499"/>
      <c r="I141" s="3485">
        <v>0</v>
      </c>
      <c r="J141" s="3485"/>
      <c r="K141" s="3485"/>
      <c r="L141" s="3485"/>
      <c r="M141" s="3485"/>
      <c r="N141" s="3485"/>
      <c r="O141" s="3485"/>
      <c r="P141" s="3485"/>
      <c r="Q141" s="3486">
        <f>ROUND(R77*$Q$61*$Q$88*365/1000*(1+($L$88*($Q$68-1))*$Q$69),2)</f>
        <v>53.08</v>
      </c>
      <c r="R141" s="3486"/>
      <c r="S141" s="3486"/>
      <c r="T141" s="3486"/>
      <c r="U141" s="3486"/>
      <c r="V141" s="3486"/>
      <c r="W141" s="3486"/>
      <c r="X141" s="3486"/>
      <c r="Y141" s="3487">
        <f>ROUND(Q141*$AA$88+$Q192*($V$88-$AA$88),2)</f>
        <v>402.89</v>
      </c>
      <c r="Z141" s="3487"/>
      <c r="AA141" s="3487"/>
      <c r="AB141" s="3487"/>
      <c r="AC141" s="3487"/>
      <c r="AD141" s="3487"/>
      <c r="AE141" s="3487"/>
      <c r="AF141" s="3488"/>
    </row>
    <row r="142" spans="1:32" ht="15.75" thickBot="1" x14ac:dyDescent="0.3">
      <c r="A142" s="3579" t="s">
        <v>4909</v>
      </c>
      <c r="B142" s="3580"/>
      <c r="C142" s="3580"/>
      <c r="D142" s="3580"/>
      <c r="E142" s="3580"/>
      <c r="F142" s="3580"/>
      <c r="G142" s="3580"/>
      <c r="H142" s="3581"/>
      <c r="I142" s="3210">
        <v>0</v>
      </c>
      <c r="J142" s="3210"/>
      <c r="K142" s="3210"/>
      <c r="L142" s="3210"/>
      <c r="M142" s="3210"/>
      <c r="N142" s="3210"/>
      <c r="O142" s="3210"/>
      <c r="P142" s="3210"/>
      <c r="Q142" s="3212">
        <f>ROUND(R78*$Q$61*$Q$88*365/1000*(1+($L$88*($Q$68-1))*$Q$69),2)</f>
        <v>26.54</v>
      </c>
      <c r="R142" s="3592"/>
      <c r="S142" s="3592"/>
      <c r="T142" s="3592"/>
      <c r="U142" s="3592"/>
      <c r="V142" s="3592"/>
      <c r="W142" s="3592"/>
      <c r="X142" s="3593"/>
      <c r="Y142" s="3526">
        <f>ROUND(Q142*$AA$88+$Q193*($V$88-$AA$88),2)</f>
        <v>201.44</v>
      </c>
      <c r="Z142" s="3526"/>
      <c r="AA142" s="3526"/>
      <c r="AB142" s="3526"/>
      <c r="AC142" s="3526"/>
      <c r="AD142" s="3526"/>
      <c r="AE142" s="3526"/>
      <c r="AF142" s="3527"/>
    </row>
    <row r="144" spans="1:32" ht="15.75" thickBot="1" x14ac:dyDescent="0.3">
      <c r="A144" s="3584" t="s">
        <v>4927</v>
      </c>
      <c r="B144" s="3340"/>
      <c r="C144" s="3340"/>
      <c r="D144" s="3340"/>
      <c r="E144" s="3340"/>
      <c r="F144" s="3340"/>
      <c r="G144" s="3340"/>
      <c r="H144" s="3340"/>
      <c r="I144" s="3340"/>
      <c r="J144" s="3340"/>
      <c r="K144" s="3340"/>
      <c r="L144" s="3340"/>
      <c r="M144" s="3340"/>
      <c r="N144" s="3340"/>
      <c r="O144" s="3340"/>
      <c r="P144" s="3340"/>
      <c r="Q144" s="3340"/>
      <c r="R144" s="3340"/>
      <c r="S144" s="3340"/>
      <c r="T144" s="3340"/>
      <c r="U144" s="3340"/>
      <c r="V144" s="3340"/>
      <c r="W144" s="3340"/>
      <c r="X144" s="3340"/>
      <c r="Y144" s="3340"/>
      <c r="Z144" s="3340"/>
      <c r="AA144" s="3340"/>
      <c r="AB144" s="3340"/>
      <c r="AC144" s="3340"/>
      <c r="AD144" s="3340"/>
      <c r="AE144" s="3340"/>
      <c r="AF144" s="3340"/>
    </row>
    <row r="145" spans="1:32" ht="15.75" thickBot="1" x14ac:dyDescent="0.3">
      <c r="A145" s="3503" t="s">
        <v>22</v>
      </c>
      <c r="B145" s="3504"/>
      <c r="C145" s="3504"/>
      <c r="D145" s="3504"/>
      <c r="E145" s="3504"/>
      <c r="F145" s="3504"/>
      <c r="G145" s="3504"/>
      <c r="H145" s="3504"/>
      <c r="I145" s="3504" t="s">
        <v>23</v>
      </c>
      <c r="J145" s="3504"/>
      <c r="K145" s="3504"/>
      <c r="L145" s="3504"/>
      <c r="M145" s="3504"/>
      <c r="N145" s="3504"/>
      <c r="O145" s="3504"/>
      <c r="P145" s="3504"/>
      <c r="Q145" s="3504" t="s">
        <v>24</v>
      </c>
      <c r="R145" s="3504"/>
      <c r="S145" s="3504"/>
      <c r="T145" s="3504"/>
      <c r="U145" s="3504"/>
      <c r="V145" s="3504"/>
      <c r="W145" s="3504"/>
      <c r="X145" s="3504"/>
      <c r="Y145" s="3504" t="s">
        <v>2012</v>
      </c>
      <c r="Z145" s="3504"/>
      <c r="AA145" s="3504"/>
      <c r="AB145" s="3504"/>
      <c r="AC145" s="3504"/>
      <c r="AD145" s="3504"/>
      <c r="AE145" s="3504"/>
      <c r="AF145" s="3505"/>
    </row>
    <row r="146" spans="1:32" x14ac:dyDescent="0.25">
      <c r="A146" s="3585" t="s">
        <v>4907</v>
      </c>
      <c r="B146" s="3498"/>
      <c r="C146" s="3498"/>
      <c r="D146" s="3498"/>
      <c r="E146" s="3498"/>
      <c r="F146" s="3498"/>
      <c r="G146" s="3498"/>
      <c r="H146" s="3499"/>
      <c r="I146" s="3485">
        <v>0</v>
      </c>
      <c r="J146" s="3485"/>
      <c r="K146" s="3485"/>
      <c r="L146" s="3485"/>
      <c r="M146" s="3485"/>
      <c r="N146" s="3485"/>
      <c r="O146" s="3485"/>
      <c r="P146" s="3485"/>
      <c r="Q146" s="3486">
        <f>ROUND(R76*$Q$61*$Q$89*365/1000*(1+($L$89*($Q$68-1))*$Q$69),2)</f>
        <v>213.92</v>
      </c>
      <c r="R146" s="3486"/>
      <c r="S146" s="3486"/>
      <c r="T146" s="3486"/>
      <c r="U146" s="3486"/>
      <c r="V146" s="3486"/>
      <c r="W146" s="3486"/>
      <c r="X146" s="3486"/>
      <c r="Y146" s="3487">
        <f>ROUND(Q146*$AA$89+$Q197*($V$89-$AA$89),2)</f>
        <v>1492.6</v>
      </c>
      <c r="Z146" s="3487"/>
      <c r="AA146" s="3487"/>
      <c r="AB146" s="3487"/>
      <c r="AC146" s="3487"/>
      <c r="AD146" s="3487"/>
      <c r="AE146" s="3487"/>
      <c r="AF146" s="3488"/>
    </row>
    <row r="147" spans="1:32" x14ac:dyDescent="0.25">
      <c r="A147" s="3585" t="s">
        <v>4908</v>
      </c>
      <c r="B147" s="3498"/>
      <c r="C147" s="3498"/>
      <c r="D147" s="3498"/>
      <c r="E147" s="3498"/>
      <c r="F147" s="3498"/>
      <c r="G147" s="3498"/>
      <c r="H147" s="3499"/>
      <c r="I147" s="3485">
        <v>0</v>
      </c>
      <c r="J147" s="3485"/>
      <c r="K147" s="3485"/>
      <c r="L147" s="3485"/>
      <c r="M147" s="3485"/>
      <c r="N147" s="3485"/>
      <c r="O147" s="3485"/>
      <c r="P147" s="3485"/>
      <c r="Q147" s="3486">
        <f>ROUND(R77*$Q$61*$Q$89*365/1000*(1+($L$89*($Q$68-1))*$Q$69),2)</f>
        <v>94.07</v>
      </c>
      <c r="R147" s="3486"/>
      <c r="S147" s="3486"/>
      <c r="T147" s="3486"/>
      <c r="U147" s="3486"/>
      <c r="V147" s="3486"/>
      <c r="W147" s="3486"/>
      <c r="X147" s="3486"/>
      <c r="Y147" s="3487">
        <f t="shared" ref="Y147:Y148" si="0">ROUND(Q147*$AA$89+$Q198*($V$89-$AA$89),2)</f>
        <v>623.34</v>
      </c>
      <c r="Z147" s="3487"/>
      <c r="AA147" s="3487"/>
      <c r="AB147" s="3487"/>
      <c r="AC147" s="3487"/>
      <c r="AD147" s="3487"/>
      <c r="AE147" s="3487"/>
      <c r="AF147" s="3488"/>
    </row>
    <row r="148" spans="1:32" ht="15.75" thickBot="1" x14ac:dyDescent="0.3">
      <c r="A148" s="3579" t="s">
        <v>4909</v>
      </c>
      <c r="B148" s="3580"/>
      <c r="C148" s="3580"/>
      <c r="D148" s="3580"/>
      <c r="E148" s="3580"/>
      <c r="F148" s="3580"/>
      <c r="G148" s="3580"/>
      <c r="H148" s="3581"/>
      <c r="I148" s="3210">
        <v>0</v>
      </c>
      <c r="J148" s="3210"/>
      <c r="K148" s="3210"/>
      <c r="L148" s="3210"/>
      <c r="M148" s="3210"/>
      <c r="N148" s="3210"/>
      <c r="O148" s="3210"/>
      <c r="P148" s="3210"/>
      <c r="Q148" s="3582">
        <f>ROUND(R78*$Q$61*$Q$89*365/1000*(1+($L$89*($Q$68-1))*$Q$69),2)</f>
        <v>47.03</v>
      </c>
      <c r="R148" s="3582"/>
      <c r="S148" s="3582"/>
      <c r="T148" s="3582"/>
      <c r="U148" s="3582"/>
      <c r="V148" s="3582"/>
      <c r="W148" s="3582"/>
      <c r="X148" s="3582"/>
      <c r="Y148" s="3526">
        <f t="shared" si="0"/>
        <v>311.66000000000003</v>
      </c>
      <c r="Z148" s="3526"/>
      <c r="AA148" s="3526"/>
      <c r="AB148" s="3526"/>
      <c r="AC148" s="3526"/>
      <c r="AD148" s="3526"/>
      <c r="AE148" s="3526"/>
      <c r="AF148" s="3527"/>
    </row>
    <row r="153" spans="1:32" x14ac:dyDescent="0.25">
      <c r="A153" s="1385" t="s">
        <v>4593</v>
      </c>
      <c r="B153" s="1386"/>
      <c r="C153" s="1386"/>
      <c r="D153" s="1386"/>
      <c r="E153" s="1386"/>
      <c r="F153" s="1386"/>
      <c r="G153" s="1386"/>
      <c r="H153" s="1386"/>
      <c r="I153" s="1386"/>
      <c r="J153" s="1386"/>
      <c r="K153" s="1386"/>
      <c r="L153" s="1386"/>
      <c r="M153" s="1386"/>
      <c r="N153" s="1386"/>
      <c r="O153" s="1386"/>
      <c r="P153" s="1386"/>
      <c r="Q153" s="1386"/>
      <c r="R153" s="1386"/>
      <c r="S153" s="1386"/>
      <c r="T153" s="1386"/>
      <c r="U153" s="1386"/>
      <c r="V153" s="1386"/>
      <c r="W153" s="1386"/>
      <c r="X153" s="1386"/>
      <c r="Y153" s="1386"/>
      <c r="Z153" s="1386"/>
      <c r="AA153" s="1386"/>
      <c r="AB153" s="1386"/>
      <c r="AC153" s="1386"/>
      <c r="AD153" s="1386"/>
      <c r="AE153" s="1386"/>
      <c r="AF153" s="1387"/>
    </row>
    <row r="155" spans="1:32" x14ac:dyDescent="0.25">
      <c r="B155" s="642" t="s">
        <v>4919</v>
      </c>
      <c r="C155" s="423"/>
      <c r="D155" s="423"/>
      <c r="E155" s="423"/>
      <c r="F155" s="423"/>
      <c r="G155" s="423"/>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row>
    <row r="156" spans="1:32" ht="15.75" thickBot="1" x14ac:dyDescent="0.3"/>
    <row r="157" spans="1:32" ht="15.75" thickBot="1" x14ac:dyDescent="0.3">
      <c r="A157" s="3503" t="s">
        <v>22</v>
      </c>
      <c r="B157" s="3504"/>
      <c r="C157" s="3504"/>
      <c r="D157" s="3504"/>
      <c r="E157" s="3504"/>
      <c r="F157" s="3504"/>
      <c r="G157" s="3504"/>
      <c r="H157" s="3504"/>
      <c r="I157" s="3504" t="s">
        <v>23</v>
      </c>
      <c r="J157" s="3504"/>
      <c r="K157" s="3504"/>
      <c r="L157" s="3504"/>
      <c r="M157" s="3504"/>
      <c r="N157" s="3504"/>
      <c r="O157" s="3504"/>
      <c r="P157" s="3504"/>
      <c r="Q157" s="3504" t="s">
        <v>24</v>
      </c>
      <c r="R157" s="3504"/>
      <c r="S157" s="3504"/>
      <c r="T157" s="3504"/>
      <c r="U157" s="3504"/>
      <c r="V157" s="3504"/>
      <c r="W157" s="3504"/>
      <c r="X157" s="3504"/>
      <c r="Y157" s="3504" t="s">
        <v>2012</v>
      </c>
      <c r="Z157" s="3504"/>
      <c r="AA157" s="3504"/>
      <c r="AB157" s="3504"/>
      <c r="AC157" s="3504"/>
      <c r="AD157" s="3504"/>
      <c r="AE157" s="3504"/>
      <c r="AF157" s="3505"/>
    </row>
    <row r="158" spans="1:32" x14ac:dyDescent="0.25">
      <c r="A158" s="3585" t="s">
        <v>4907</v>
      </c>
      <c r="B158" s="3498"/>
      <c r="C158" s="3498"/>
      <c r="D158" s="3498"/>
      <c r="E158" s="3498"/>
      <c r="F158" s="3498"/>
      <c r="G158" s="3498"/>
      <c r="H158" s="3499"/>
      <c r="I158" s="3485">
        <v>0</v>
      </c>
      <c r="J158" s="3485"/>
      <c r="K158" s="3485"/>
      <c r="L158" s="3485"/>
      <c r="M158" s="3485"/>
      <c r="N158" s="3485"/>
      <c r="O158" s="3485"/>
      <c r="P158" s="3485"/>
      <c r="Q158" s="3486">
        <f>ROUND((Q167*$N$94)+(Q173*$N$97)+(Q179*$N$96)+(Q191*$N$95),2)</f>
        <v>92.95</v>
      </c>
      <c r="R158" s="3486"/>
      <c r="S158" s="3486"/>
      <c r="T158" s="3486"/>
      <c r="U158" s="3486"/>
      <c r="V158" s="3486"/>
      <c r="W158" s="3486"/>
      <c r="X158" s="3486"/>
      <c r="Y158" s="3487">
        <f>ROUND(Q158*$V$88,2)</f>
        <v>929.5</v>
      </c>
      <c r="Z158" s="3487"/>
      <c r="AA158" s="3487"/>
      <c r="AB158" s="3487"/>
      <c r="AC158" s="3487"/>
      <c r="AD158" s="3487"/>
      <c r="AE158" s="3487"/>
      <c r="AF158" s="3488"/>
    </row>
    <row r="159" spans="1:32" x14ac:dyDescent="0.25">
      <c r="A159" s="3585" t="s">
        <v>4908</v>
      </c>
      <c r="B159" s="3498"/>
      <c r="C159" s="3498"/>
      <c r="D159" s="3498"/>
      <c r="E159" s="3498"/>
      <c r="F159" s="3498"/>
      <c r="G159" s="3498"/>
      <c r="H159" s="3499"/>
      <c r="I159" s="3485">
        <v>0</v>
      </c>
      <c r="J159" s="3485"/>
      <c r="K159" s="3485"/>
      <c r="L159" s="3485"/>
      <c r="M159" s="3485"/>
      <c r="N159" s="3485"/>
      <c r="O159" s="3485"/>
      <c r="P159" s="3485"/>
      <c r="Q159" s="3486">
        <f>ROUND((Q168*$N$94)+(Q174*$N$97)+(Q180*$N$96)+(Q192*$N$95),2)</f>
        <v>39.479999999999997</v>
      </c>
      <c r="R159" s="3486"/>
      <c r="S159" s="3486"/>
      <c r="T159" s="3486"/>
      <c r="U159" s="3486"/>
      <c r="V159" s="3486"/>
      <c r="W159" s="3486"/>
      <c r="X159" s="3486"/>
      <c r="Y159" s="3487">
        <f t="shared" ref="Y159:Y160" si="1">ROUND(Q159*$V$88,2)</f>
        <v>394.8</v>
      </c>
      <c r="Z159" s="3487"/>
      <c r="AA159" s="3487"/>
      <c r="AB159" s="3487"/>
      <c r="AC159" s="3487"/>
      <c r="AD159" s="3487"/>
      <c r="AE159" s="3487"/>
      <c r="AF159" s="3488"/>
    </row>
    <row r="160" spans="1:32" ht="15.75" thickBot="1" x14ac:dyDescent="0.3">
      <c r="A160" s="3579" t="s">
        <v>4909</v>
      </c>
      <c r="B160" s="3580"/>
      <c r="C160" s="3580"/>
      <c r="D160" s="3580"/>
      <c r="E160" s="3580"/>
      <c r="F160" s="3580"/>
      <c r="G160" s="3580"/>
      <c r="H160" s="3581"/>
      <c r="I160" s="3210">
        <v>0</v>
      </c>
      <c r="J160" s="3210"/>
      <c r="K160" s="3210"/>
      <c r="L160" s="3210"/>
      <c r="M160" s="3210"/>
      <c r="N160" s="3210"/>
      <c r="O160" s="3210"/>
      <c r="P160" s="3210"/>
      <c r="Q160" s="3582">
        <f>ROUND((Q169*$N$94)+(Q175*$N$97)+(Q181*$N$96)+(Q193*$N$95),2)</f>
        <v>19.55</v>
      </c>
      <c r="R160" s="3582"/>
      <c r="S160" s="3582"/>
      <c r="T160" s="3582"/>
      <c r="U160" s="3582"/>
      <c r="V160" s="3582"/>
      <c r="W160" s="3582"/>
      <c r="X160" s="3582"/>
      <c r="Y160" s="3526">
        <f t="shared" si="1"/>
        <v>195.5</v>
      </c>
      <c r="Z160" s="3526"/>
      <c r="AA160" s="3526"/>
      <c r="AB160" s="3526"/>
      <c r="AC160" s="3526"/>
      <c r="AD160" s="3526"/>
      <c r="AE160" s="3526"/>
      <c r="AF160" s="3527"/>
    </row>
    <row r="161" spans="1:32" x14ac:dyDescent="0.25">
      <c r="B161" s="227" t="s">
        <v>4920</v>
      </c>
    </row>
    <row r="163" spans="1:32" ht="30" customHeight="1" x14ac:dyDescent="0.25">
      <c r="B163" s="3583" t="s">
        <v>4921</v>
      </c>
      <c r="C163" s="3583"/>
      <c r="D163" s="3583"/>
      <c r="E163" s="3583"/>
      <c r="F163" s="3583"/>
      <c r="G163" s="3583"/>
      <c r="H163" s="3583"/>
      <c r="I163" s="3583"/>
      <c r="J163" s="3583"/>
      <c r="K163" s="3583"/>
      <c r="L163" s="3583"/>
      <c r="M163" s="3583"/>
      <c r="N163" s="3583"/>
      <c r="O163" s="3583"/>
      <c r="P163" s="3583"/>
      <c r="Q163" s="3583"/>
      <c r="R163" s="3583"/>
      <c r="S163" s="3583"/>
      <c r="T163" s="3583"/>
      <c r="U163" s="3583"/>
      <c r="V163" s="3583"/>
      <c r="W163" s="3583"/>
      <c r="X163" s="3583"/>
      <c r="Y163" s="3583"/>
      <c r="Z163" s="3583"/>
      <c r="AA163" s="3583"/>
      <c r="AB163" s="3583"/>
      <c r="AC163" s="3583"/>
      <c r="AD163" s="3583"/>
      <c r="AE163" s="3583"/>
      <c r="AF163" s="3583"/>
    </row>
    <row r="165" spans="1:32" ht="15.75" thickBot="1" x14ac:dyDescent="0.3">
      <c r="A165" s="3584" t="s">
        <v>4922</v>
      </c>
      <c r="B165" s="3340"/>
      <c r="C165" s="3340"/>
      <c r="D165" s="3340"/>
      <c r="E165" s="3340"/>
      <c r="F165" s="3340"/>
      <c r="G165" s="3340"/>
      <c r="H165" s="3340"/>
      <c r="I165" s="3340"/>
      <c r="J165" s="3340"/>
      <c r="K165" s="3340"/>
      <c r="L165" s="3340"/>
      <c r="M165" s="3340"/>
      <c r="N165" s="3340"/>
      <c r="O165" s="3340"/>
      <c r="P165" s="3340"/>
      <c r="Q165" s="3340"/>
      <c r="R165" s="3340"/>
      <c r="S165" s="3340"/>
      <c r="T165" s="3340"/>
      <c r="U165" s="3340"/>
      <c r="V165" s="3340"/>
      <c r="W165" s="3340"/>
      <c r="X165" s="3340"/>
      <c r="Y165" s="3340"/>
      <c r="Z165" s="3340"/>
      <c r="AA165" s="3340"/>
      <c r="AB165" s="3340"/>
      <c r="AC165" s="3340"/>
      <c r="AD165" s="3340"/>
      <c r="AE165" s="3340"/>
      <c r="AF165" s="3340"/>
    </row>
    <row r="166" spans="1:32" ht="15.75" thickBot="1" x14ac:dyDescent="0.3">
      <c r="A166" s="3503" t="s">
        <v>22</v>
      </c>
      <c r="B166" s="3504"/>
      <c r="C166" s="3504"/>
      <c r="D166" s="3504"/>
      <c r="E166" s="3504"/>
      <c r="F166" s="3504"/>
      <c r="G166" s="3504"/>
      <c r="H166" s="3504"/>
      <c r="I166" s="3504" t="s">
        <v>23</v>
      </c>
      <c r="J166" s="3504"/>
      <c r="K166" s="3504"/>
      <c r="L166" s="3504"/>
      <c r="M166" s="3504"/>
      <c r="N166" s="3504"/>
      <c r="O166" s="3504"/>
      <c r="P166" s="3504"/>
      <c r="Q166" s="3504" t="s">
        <v>24</v>
      </c>
      <c r="R166" s="3504"/>
      <c r="S166" s="3504"/>
      <c r="T166" s="3504"/>
      <c r="U166" s="3504"/>
      <c r="V166" s="3504"/>
      <c r="W166" s="3504"/>
      <c r="X166" s="3504"/>
      <c r="Y166" s="3504" t="s">
        <v>2012</v>
      </c>
      <c r="Z166" s="3504"/>
      <c r="AA166" s="3504"/>
      <c r="AB166" s="3504"/>
      <c r="AC166" s="3504"/>
      <c r="AD166" s="3504"/>
      <c r="AE166" s="3504"/>
      <c r="AF166" s="3505"/>
    </row>
    <row r="167" spans="1:32" x14ac:dyDescent="0.25">
      <c r="A167" s="3585" t="s">
        <v>4907</v>
      </c>
      <c r="B167" s="3498"/>
      <c r="C167" s="3498"/>
      <c r="D167" s="3498"/>
      <c r="E167" s="3498"/>
      <c r="F167" s="3498"/>
      <c r="G167" s="3498"/>
      <c r="H167" s="3499"/>
      <c r="I167" s="3485">
        <v>0</v>
      </c>
      <c r="J167" s="3485"/>
      <c r="K167" s="3485"/>
      <c r="L167" s="3485"/>
      <c r="M167" s="3485"/>
      <c r="N167" s="3485"/>
      <c r="O167" s="3485"/>
      <c r="P167" s="3485"/>
      <c r="Q167" s="3486">
        <f>J82*$Q$61*$Q$88*365/1000*(1+($L$88*($Q$68-1))*$Q$69)</f>
        <v>97.360830000000021</v>
      </c>
      <c r="R167" s="3486"/>
      <c r="S167" s="3486"/>
      <c r="T167" s="3486"/>
      <c r="U167" s="3486"/>
      <c r="V167" s="3486"/>
      <c r="W167" s="3486"/>
      <c r="X167" s="3486"/>
      <c r="Y167" s="3487">
        <f>Q167*$V$88</f>
        <v>973.60830000000021</v>
      </c>
      <c r="Z167" s="3487"/>
      <c r="AA167" s="3487"/>
      <c r="AB167" s="3487"/>
      <c r="AC167" s="3487"/>
      <c r="AD167" s="3487"/>
      <c r="AE167" s="3487"/>
      <c r="AF167" s="3488"/>
    </row>
    <row r="168" spans="1:32" x14ac:dyDescent="0.25">
      <c r="A168" s="3585" t="s">
        <v>4908</v>
      </c>
      <c r="B168" s="3498"/>
      <c r="C168" s="3498"/>
      <c r="D168" s="3498"/>
      <c r="E168" s="3498"/>
      <c r="F168" s="3498"/>
      <c r="G168" s="3498"/>
      <c r="H168" s="3499"/>
      <c r="I168" s="3485">
        <v>0</v>
      </c>
      <c r="J168" s="3485"/>
      <c r="K168" s="3485"/>
      <c r="L168" s="3485"/>
      <c r="M168" s="3485"/>
      <c r="N168" s="3485"/>
      <c r="O168" s="3485"/>
      <c r="P168" s="3485"/>
      <c r="Q168" s="3486">
        <f>J83*$Q$61*$Q$88*365/1000*(1+($L$88*($Q$68-1))*$Q$69)</f>
        <v>41.246460000000006</v>
      </c>
      <c r="R168" s="3486"/>
      <c r="S168" s="3486"/>
      <c r="T168" s="3486"/>
      <c r="U168" s="3486"/>
      <c r="V168" s="3486"/>
      <c r="W168" s="3486"/>
      <c r="X168" s="3486"/>
      <c r="Y168" s="3487">
        <f t="shared" ref="Y168:Y169" si="2">Q168*$V$88</f>
        <v>412.46460000000008</v>
      </c>
      <c r="Z168" s="3487"/>
      <c r="AA168" s="3487"/>
      <c r="AB168" s="3487"/>
      <c r="AC168" s="3487"/>
      <c r="AD168" s="3487"/>
      <c r="AE168" s="3487"/>
      <c r="AF168" s="3488"/>
    </row>
    <row r="169" spans="1:32" ht="15.75" thickBot="1" x14ac:dyDescent="0.3">
      <c r="A169" s="3579" t="s">
        <v>4909</v>
      </c>
      <c r="B169" s="3580"/>
      <c r="C169" s="3580"/>
      <c r="D169" s="3580"/>
      <c r="E169" s="3580"/>
      <c r="F169" s="3580"/>
      <c r="G169" s="3580"/>
      <c r="H169" s="3581"/>
      <c r="I169" s="3210">
        <v>0</v>
      </c>
      <c r="J169" s="3210"/>
      <c r="K169" s="3210"/>
      <c r="L169" s="3210"/>
      <c r="M169" s="3210"/>
      <c r="N169" s="3210"/>
      <c r="O169" s="3210"/>
      <c r="P169" s="3210"/>
      <c r="Q169" s="3582">
        <f>J84*$Q$61*$Q$88*365/1000*(1+($L$88*($Q$68-1))*$Q$69)</f>
        <v>20.623230000000003</v>
      </c>
      <c r="R169" s="3582"/>
      <c r="S169" s="3582"/>
      <c r="T169" s="3582"/>
      <c r="U169" s="3582"/>
      <c r="V169" s="3582"/>
      <c r="W169" s="3582"/>
      <c r="X169" s="3582"/>
      <c r="Y169" s="3526">
        <f t="shared" si="2"/>
        <v>206.23230000000004</v>
      </c>
      <c r="Z169" s="3526"/>
      <c r="AA169" s="3526"/>
      <c r="AB169" s="3526"/>
      <c r="AC169" s="3526"/>
      <c r="AD169" s="3526"/>
      <c r="AE169" s="3526"/>
      <c r="AF169" s="3527"/>
    </row>
    <row r="171" spans="1:32" ht="15.75" thickBot="1" x14ac:dyDescent="0.3">
      <c r="A171" s="3584" t="s">
        <v>4923</v>
      </c>
      <c r="B171" s="3340"/>
      <c r="C171" s="3340"/>
      <c r="D171" s="3340"/>
      <c r="E171" s="3340"/>
      <c r="F171" s="3340"/>
      <c r="G171" s="3340"/>
      <c r="H171" s="3340"/>
      <c r="I171" s="3340"/>
      <c r="J171" s="3340"/>
      <c r="K171" s="3340"/>
      <c r="L171" s="3340"/>
      <c r="M171" s="3340"/>
      <c r="N171" s="3340"/>
      <c r="O171" s="3340"/>
      <c r="P171" s="3340"/>
      <c r="Q171" s="3340"/>
      <c r="R171" s="3340"/>
      <c r="S171" s="3340"/>
      <c r="T171" s="3340"/>
      <c r="U171" s="3340"/>
      <c r="V171" s="3340"/>
      <c r="W171" s="3340"/>
      <c r="X171" s="3340"/>
      <c r="Y171" s="3340"/>
      <c r="Z171" s="3340"/>
      <c r="AA171" s="3340"/>
      <c r="AB171" s="3340"/>
      <c r="AC171" s="3340"/>
      <c r="AD171" s="3340"/>
      <c r="AE171" s="3340"/>
      <c r="AF171" s="3340"/>
    </row>
    <row r="172" spans="1:32" ht="15.75" thickBot="1" x14ac:dyDescent="0.3">
      <c r="A172" s="3503" t="s">
        <v>22</v>
      </c>
      <c r="B172" s="3504"/>
      <c r="C172" s="3504"/>
      <c r="D172" s="3504"/>
      <c r="E172" s="3504"/>
      <c r="F172" s="3504"/>
      <c r="G172" s="3504"/>
      <c r="H172" s="3504"/>
      <c r="I172" s="3504" t="s">
        <v>23</v>
      </c>
      <c r="J172" s="3504"/>
      <c r="K172" s="3504"/>
      <c r="L172" s="3504"/>
      <c r="M172" s="3504"/>
      <c r="N172" s="3504"/>
      <c r="O172" s="3504"/>
      <c r="P172" s="3504"/>
      <c r="Q172" s="3504" t="s">
        <v>24</v>
      </c>
      <c r="R172" s="3504"/>
      <c r="S172" s="3504"/>
      <c r="T172" s="3504"/>
      <c r="U172" s="3504"/>
      <c r="V172" s="3504"/>
      <c r="W172" s="3504"/>
      <c r="X172" s="3504"/>
      <c r="Y172" s="3504" t="s">
        <v>2012</v>
      </c>
      <c r="Z172" s="3504"/>
      <c r="AA172" s="3504"/>
      <c r="AB172" s="3504"/>
      <c r="AC172" s="3504"/>
      <c r="AD172" s="3504"/>
      <c r="AE172" s="3504"/>
      <c r="AF172" s="3505"/>
    </row>
    <row r="173" spans="1:32" x14ac:dyDescent="0.25">
      <c r="A173" s="3594" t="s">
        <v>4907</v>
      </c>
      <c r="B173" s="3595"/>
      <c r="C173" s="3595"/>
      <c r="D173" s="3595"/>
      <c r="E173" s="3595"/>
      <c r="F173" s="3595"/>
      <c r="G173" s="3595"/>
      <c r="H173" s="3596"/>
      <c r="I173" s="3485">
        <v>0</v>
      </c>
      <c r="J173" s="3485"/>
      <c r="K173" s="3485"/>
      <c r="L173" s="3485"/>
      <c r="M173" s="3485"/>
      <c r="N173" s="3485"/>
      <c r="O173" s="3485"/>
      <c r="P173" s="3485"/>
      <c r="Q173" s="3486">
        <f>J82*$Q$61*$Q$89*365/1000*(1+($L$89*($Q$68-1))*$Q$69)</f>
        <v>172.54873124999997</v>
      </c>
      <c r="R173" s="3486"/>
      <c r="S173" s="3486"/>
      <c r="T173" s="3486"/>
      <c r="U173" s="3486"/>
      <c r="V173" s="3486"/>
      <c r="W173" s="3486"/>
      <c r="X173" s="3486"/>
      <c r="Y173" s="3487">
        <f>Q173*$V$88</f>
        <v>1725.4873124999997</v>
      </c>
      <c r="Z173" s="3487"/>
      <c r="AA173" s="3487"/>
      <c r="AB173" s="3487"/>
      <c r="AC173" s="3487"/>
      <c r="AD173" s="3487"/>
      <c r="AE173" s="3487"/>
      <c r="AF173" s="3488"/>
    </row>
    <row r="174" spans="1:32" x14ac:dyDescent="0.25">
      <c r="A174" s="3585" t="s">
        <v>4908</v>
      </c>
      <c r="B174" s="3498"/>
      <c r="C174" s="3498"/>
      <c r="D174" s="3498"/>
      <c r="E174" s="3498"/>
      <c r="F174" s="3498"/>
      <c r="G174" s="3498"/>
      <c r="H174" s="3499"/>
      <c r="I174" s="3485">
        <v>0</v>
      </c>
      <c r="J174" s="3485"/>
      <c r="K174" s="3485"/>
      <c r="L174" s="3485"/>
      <c r="M174" s="3485"/>
      <c r="N174" s="3485"/>
      <c r="O174" s="3485"/>
      <c r="P174" s="3485"/>
      <c r="Q174" s="3597">
        <f>J83*$Q$61*$Q$89*365/1000*(1+($L$89*($Q$68-1))*$Q$69)</f>
        <v>73.099462500000001</v>
      </c>
      <c r="R174" s="3597"/>
      <c r="S174" s="3597"/>
      <c r="T174" s="3597"/>
      <c r="U174" s="3597"/>
      <c r="V174" s="3597"/>
      <c r="W174" s="3597"/>
      <c r="X174" s="3597"/>
      <c r="Y174" s="3487">
        <f t="shared" ref="Y174:Y175" si="3">Q174*$V$88</f>
        <v>730.99462500000004</v>
      </c>
      <c r="Z174" s="3487"/>
      <c r="AA174" s="3487"/>
      <c r="AB174" s="3487"/>
      <c r="AC174" s="3487"/>
      <c r="AD174" s="3487"/>
      <c r="AE174" s="3487"/>
      <c r="AF174" s="3488"/>
    </row>
    <row r="175" spans="1:32" ht="15.75" thickBot="1" x14ac:dyDescent="0.3">
      <c r="A175" s="3579" t="s">
        <v>4909</v>
      </c>
      <c r="B175" s="3580"/>
      <c r="C175" s="3580"/>
      <c r="D175" s="3580"/>
      <c r="E175" s="3580"/>
      <c r="F175" s="3580"/>
      <c r="G175" s="3580"/>
      <c r="H175" s="3581"/>
      <c r="I175" s="3210">
        <v>0</v>
      </c>
      <c r="J175" s="3210"/>
      <c r="K175" s="3210"/>
      <c r="L175" s="3210"/>
      <c r="M175" s="3210"/>
      <c r="N175" s="3210"/>
      <c r="O175" s="3210"/>
      <c r="P175" s="3210"/>
      <c r="Q175" s="3211">
        <f>J84*$Q$61*$Q$89*365/1000*(1+($L$89*($Q$68-1))*$Q$69)</f>
        <v>36.549731250000001</v>
      </c>
      <c r="R175" s="3211"/>
      <c r="S175" s="3211"/>
      <c r="T175" s="3211"/>
      <c r="U175" s="3211"/>
      <c r="V175" s="3211"/>
      <c r="W175" s="3211"/>
      <c r="X175" s="3211"/>
      <c r="Y175" s="3526">
        <f t="shared" si="3"/>
        <v>365.49731250000002</v>
      </c>
      <c r="Z175" s="3526"/>
      <c r="AA175" s="3526"/>
      <c r="AB175" s="3526"/>
      <c r="AC175" s="3526"/>
      <c r="AD175" s="3526"/>
      <c r="AE175" s="3526"/>
      <c r="AF175" s="3527"/>
    </row>
    <row r="177" spans="1:32" ht="15.75" thickBot="1" x14ac:dyDescent="0.3">
      <c r="A177" s="3584" t="s">
        <v>4928</v>
      </c>
      <c r="B177" s="3340"/>
      <c r="C177" s="3340"/>
      <c r="D177" s="3340"/>
      <c r="E177" s="3340"/>
      <c r="F177" s="3340"/>
      <c r="G177" s="3340"/>
      <c r="H177" s="3340"/>
      <c r="I177" s="3340"/>
      <c r="J177" s="3340"/>
      <c r="K177" s="3340"/>
      <c r="L177" s="3340"/>
      <c r="M177" s="3340"/>
      <c r="N177" s="3340"/>
      <c r="O177" s="3340"/>
      <c r="P177" s="3340"/>
      <c r="Q177" s="3340"/>
      <c r="R177" s="3340"/>
      <c r="S177" s="3340"/>
      <c r="T177" s="3340"/>
      <c r="U177" s="3340"/>
      <c r="V177" s="3340"/>
      <c r="W177" s="3340"/>
      <c r="X177" s="3340"/>
      <c r="Y177" s="3340"/>
      <c r="Z177" s="3340"/>
      <c r="AA177" s="3340"/>
      <c r="AB177" s="3340"/>
      <c r="AC177" s="3340"/>
      <c r="AD177" s="3340"/>
      <c r="AE177" s="3340"/>
      <c r="AF177" s="3340"/>
    </row>
    <row r="178" spans="1:32" ht="15.75" thickBot="1" x14ac:dyDescent="0.3">
      <c r="A178" s="3503" t="s">
        <v>22</v>
      </c>
      <c r="B178" s="3504"/>
      <c r="C178" s="3504"/>
      <c r="D178" s="3504"/>
      <c r="E178" s="3504"/>
      <c r="F178" s="3504"/>
      <c r="G178" s="3504"/>
      <c r="H178" s="3504"/>
      <c r="I178" s="3504" t="s">
        <v>23</v>
      </c>
      <c r="J178" s="3504"/>
      <c r="K178" s="3504"/>
      <c r="L178" s="3504"/>
      <c r="M178" s="3504"/>
      <c r="N178" s="3504"/>
      <c r="O178" s="3504"/>
      <c r="P178" s="3504"/>
      <c r="Q178" s="3504" t="s">
        <v>24</v>
      </c>
      <c r="R178" s="3504"/>
      <c r="S178" s="3504"/>
      <c r="T178" s="3504"/>
      <c r="U178" s="3504"/>
      <c r="V178" s="3504"/>
      <c r="W178" s="3504"/>
      <c r="X178" s="3504"/>
      <c r="Y178" s="3504" t="s">
        <v>2012</v>
      </c>
      <c r="Z178" s="3504"/>
      <c r="AA178" s="3504"/>
      <c r="AB178" s="3504"/>
      <c r="AC178" s="3504"/>
      <c r="AD178" s="3504"/>
      <c r="AE178" s="3504"/>
      <c r="AF178" s="3505"/>
    </row>
    <row r="179" spans="1:32" x14ac:dyDescent="0.25">
      <c r="A179" s="3585" t="s">
        <v>4907</v>
      </c>
      <c r="B179" s="3498"/>
      <c r="C179" s="3498"/>
      <c r="D179" s="3498"/>
      <c r="E179" s="3498"/>
      <c r="F179" s="3498"/>
      <c r="G179" s="3498"/>
      <c r="H179" s="3499"/>
      <c r="I179" s="3485">
        <v>0</v>
      </c>
      <c r="J179" s="3485"/>
      <c r="K179" s="3485"/>
      <c r="L179" s="3485"/>
      <c r="M179" s="3485"/>
      <c r="N179" s="3485"/>
      <c r="O179" s="3485"/>
      <c r="P179" s="3485"/>
      <c r="Q179" s="3486">
        <f>N82*$Q$61*$Q$88*365/1000*(1+($L$88*($Q$68-1))*$Q$69)</f>
        <v>92.085120000000018</v>
      </c>
      <c r="R179" s="3486"/>
      <c r="S179" s="3486"/>
      <c r="T179" s="3486"/>
      <c r="U179" s="3486"/>
      <c r="V179" s="3486"/>
      <c r="W179" s="3486"/>
      <c r="X179" s="3486"/>
      <c r="Y179" s="3487">
        <f>Q179*$V$88</f>
        <v>920.85120000000018</v>
      </c>
      <c r="Z179" s="3487"/>
      <c r="AA179" s="3487"/>
      <c r="AB179" s="3487"/>
      <c r="AC179" s="3487"/>
      <c r="AD179" s="3487"/>
      <c r="AE179" s="3487"/>
      <c r="AF179" s="3488"/>
    </row>
    <row r="180" spans="1:32" x14ac:dyDescent="0.25">
      <c r="A180" s="3585" t="s">
        <v>4908</v>
      </c>
      <c r="B180" s="3498"/>
      <c r="C180" s="3498"/>
      <c r="D180" s="3498"/>
      <c r="E180" s="3498"/>
      <c r="F180" s="3498"/>
      <c r="G180" s="3498"/>
      <c r="H180" s="3499"/>
      <c r="I180" s="3485">
        <v>0</v>
      </c>
      <c r="J180" s="3485"/>
      <c r="K180" s="3485"/>
      <c r="L180" s="3485"/>
      <c r="M180" s="3485"/>
      <c r="N180" s="3485"/>
      <c r="O180" s="3485"/>
      <c r="P180" s="3485"/>
      <c r="Q180" s="3486">
        <f>N83*$Q$61*$Q$88*365/1000*(1+($L$88*($Q$68-1))*$Q$69)</f>
        <v>41.726070000000007</v>
      </c>
      <c r="R180" s="3486"/>
      <c r="S180" s="3486"/>
      <c r="T180" s="3486"/>
      <c r="U180" s="3486"/>
      <c r="V180" s="3486"/>
      <c r="W180" s="3486"/>
      <c r="X180" s="3486"/>
      <c r="Y180" s="3487">
        <f t="shared" ref="Y180" si="4">Q180*$V$88</f>
        <v>417.26070000000004</v>
      </c>
      <c r="Z180" s="3487"/>
      <c r="AA180" s="3487"/>
      <c r="AB180" s="3487"/>
      <c r="AC180" s="3487"/>
      <c r="AD180" s="3487"/>
      <c r="AE180" s="3487"/>
      <c r="AF180" s="3488"/>
    </row>
    <row r="181" spans="1:32" ht="15.75" thickBot="1" x14ac:dyDescent="0.3">
      <c r="A181" s="3579" t="s">
        <v>4909</v>
      </c>
      <c r="B181" s="3580"/>
      <c r="C181" s="3580"/>
      <c r="D181" s="3580"/>
      <c r="E181" s="3580"/>
      <c r="F181" s="3580"/>
      <c r="G181" s="3580"/>
      <c r="H181" s="3581"/>
      <c r="I181" s="3210">
        <v>0</v>
      </c>
      <c r="J181" s="3210"/>
      <c r="K181" s="3210"/>
      <c r="L181" s="3210"/>
      <c r="M181" s="3210"/>
      <c r="N181" s="3210"/>
      <c r="O181" s="3210"/>
      <c r="P181" s="3210"/>
      <c r="Q181" s="3582">
        <f>N84*$Q$61*$Q$88*365/1000*(1+($L$88*($Q$68-1))*$Q$69)</f>
        <v>19.504140000000003</v>
      </c>
      <c r="R181" s="3582"/>
      <c r="S181" s="3582"/>
      <c r="T181" s="3582"/>
      <c r="U181" s="3582"/>
      <c r="V181" s="3582"/>
      <c r="W181" s="3582"/>
      <c r="X181" s="3582"/>
      <c r="Y181" s="3526">
        <f>Q181*$V$88</f>
        <v>195.04140000000004</v>
      </c>
      <c r="Z181" s="3526"/>
      <c r="AA181" s="3526"/>
      <c r="AB181" s="3526"/>
      <c r="AC181" s="3526"/>
      <c r="AD181" s="3526"/>
      <c r="AE181" s="3526"/>
      <c r="AF181" s="3527"/>
    </row>
    <row r="183" spans="1:32" ht="15.75" thickBot="1" x14ac:dyDescent="0.3">
      <c r="A183" s="3584" t="s">
        <v>4925</v>
      </c>
      <c r="B183" s="3340"/>
      <c r="C183" s="3340"/>
      <c r="D183" s="3340"/>
      <c r="E183" s="3340"/>
      <c r="F183" s="3340"/>
      <c r="G183" s="3340"/>
      <c r="H183" s="3340"/>
      <c r="I183" s="3340"/>
      <c r="J183" s="3340"/>
      <c r="K183" s="3340"/>
      <c r="L183" s="3340"/>
      <c r="M183" s="3340"/>
      <c r="N183" s="3340"/>
      <c r="O183" s="3340"/>
      <c r="P183" s="3340"/>
      <c r="Q183" s="3340"/>
      <c r="R183" s="3340"/>
      <c r="S183" s="3340"/>
      <c r="T183" s="3340"/>
      <c r="U183" s="3340"/>
      <c r="V183" s="3340"/>
      <c r="W183" s="3340"/>
      <c r="X183" s="3340"/>
      <c r="Y183" s="3340"/>
      <c r="Z183" s="3340"/>
      <c r="AA183" s="3340"/>
      <c r="AB183" s="3340"/>
      <c r="AC183" s="3340"/>
      <c r="AD183" s="3340"/>
      <c r="AE183" s="3340"/>
      <c r="AF183" s="3340"/>
    </row>
    <row r="184" spans="1:32" ht="15.75" thickBot="1" x14ac:dyDescent="0.3">
      <c r="A184" s="3503" t="s">
        <v>22</v>
      </c>
      <c r="B184" s="3504"/>
      <c r="C184" s="3504"/>
      <c r="D184" s="3504"/>
      <c r="E184" s="3504"/>
      <c r="F184" s="3504"/>
      <c r="G184" s="3504"/>
      <c r="H184" s="3504"/>
      <c r="I184" s="3504" t="s">
        <v>23</v>
      </c>
      <c r="J184" s="3504"/>
      <c r="K184" s="3504"/>
      <c r="L184" s="3504"/>
      <c r="M184" s="3504"/>
      <c r="N184" s="3504"/>
      <c r="O184" s="3504"/>
      <c r="P184" s="3504"/>
      <c r="Q184" s="3504" t="s">
        <v>24</v>
      </c>
      <c r="R184" s="3504"/>
      <c r="S184" s="3504"/>
      <c r="T184" s="3504"/>
      <c r="U184" s="3504"/>
      <c r="V184" s="3504"/>
      <c r="W184" s="3504"/>
      <c r="X184" s="3504"/>
      <c r="Y184" s="3504" t="s">
        <v>2012</v>
      </c>
      <c r="Z184" s="3504"/>
      <c r="AA184" s="3504"/>
      <c r="AB184" s="3504"/>
      <c r="AC184" s="3504"/>
      <c r="AD184" s="3504"/>
      <c r="AE184" s="3504"/>
      <c r="AF184" s="3505"/>
    </row>
    <row r="185" spans="1:32" x14ac:dyDescent="0.25">
      <c r="A185" s="3585" t="s">
        <v>4907</v>
      </c>
      <c r="B185" s="3498"/>
      <c r="C185" s="3498"/>
      <c r="D185" s="3498"/>
      <c r="E185" s="3498"/>
      <c r="F185" s="3498"/>
      <c r="G185" s="3498"/>
      <c r="H185" s="3499"/>
      <c r="I185" s="3485">
        <v>0</v>
      </c>
      <c r="J185" s="3485"/>
      <c r="K185" s="3485"/>
      <c r="L185" s="3485"/>
      <c r="M185" s="3485"/>
      <c r="N185" s="3485"/>
      <c r="O185" s="3485"/>
      <c r="P185" s="3485"/>
      <c r="Q185" s="3486">
        <f>N82*$Q$61*$Q$89*365/1000*(1+($L$89*($Q$68-1))*$Q$69)</f>
        <v>163.19880000000001</v>
      </c>
      <c r="R185" s="3486"/>
      <c r="S185" s="3486"/>
      <c r="T185" s="3486"/>
      <c r="U185" s="3486"/>
      <c r="V185" s="3486"/>
      <c r="W185" s="3486"/>
      <c r="X185" s="3486"/>
      <c r="Y185" s="3487">
        <f>Q185*$V$88</f>
        <v>1631.9880000000001</v>
      </c>
      <c r="Z185" s="3487"/>
      <c r="AA185" s="3487"/>
      <c r="AB185" s="3487"/>
      <c r="AC185" s="3487"/>
      <c r="AD185" s="3487"/>
      <c r="AE185" s="3487"/>
      <c r="AF185" s="3488"/>
    </row>
    <row r="186" spans="1:32" x14ac:dyDescent="0.25">
      <c r="A186" s="3585" t="s">
        <v>4908</v>
      </c>
      <c r="B186" s="3498"/>
      <c r="C186" s="3498"/>
      <c r="D186" s="3498"/>
      <c r="E186" s="3498"/>
      <c r="F186" s="3498"/>
      <c r="G186" s="3498"/>
      <c r="H186" s="3499"/>
      <c r="I186" s="3485">
        <v>0</v>
      </c>
      <c r="J186" s="3485"/>
      <c r="K186" s="3485"/>
      <c r="L186" s="3485"/>
      <c r="M186" s="3485"/>
      <c r="N186" s="3485"/>
      <c r="O186" s="3485"/>
      <c r="P186" s="3485"/>
      <c r="Q186" s="3486">
        <f>N83*$Q$61*$Q$89*365/1000*(1+($L$89*($Q$68-1))*$Q$69)</f>
        <v>73.949456249999997</v>
      </c>
      <c r="R186" s="3486"/>
      <c r="S186" s="3486"/>
      <c r="T186" s="3486"/>
      <c r="U186" s="3486"/>
      <c r="V186" s="3486"/>
      <c r="W186" s="3486"/>
      <c r="X186" s="3486"/>
      <c r="Y186" s="3487">
        <f t="shared" ref="Y186" si="5">Q186*$V$88</f>
        <v>739.49456250000003</v>
      </c>
      <c r="Z186" s="3487"/>
      <c r="AA186" s="3487"/>
      <c r="AB186" s="3487"/>
      <c r="AC186" s="3487"/>
      <c r="AD186" s="3487"/>
      <c r="AE186" s="3487"/>
      <c r="AF186" s="3488"/>
    </row>
    <row r="187" spans="1:32" ht="15.75" thickBot="1" x14ac:dyDescent="0.3">
      <c r="A187" s="3579" t="s">
        <v>4909</v>
      </c>
      <c r="B187" s="3580"/>
      <c r="C187" s="3580"/>
      <c r="D187" s="3580"/>
      <c r="E187" s="3580"/>
      <c r="F187" s="3580"/>
      <c r="G187" s="3580"/>
      <c r="H187" s="3581"/>
      <c r="I187" s="3210">
        <v>0</v>
      </c>
      <c r="J187" s="3210"/>
      <c r="K187" s="3210"/>
      <c r="L187" s="3210"/>
      <c r="M187" s="3210"/>
      <c r="N187" s="3210"/>
      <c r="O187" s="3210"/>
      <c r="P187" s="3210"/>
      <c r="Q187" s="3582">
        <f>N84*$Q$61*$Q$89*365/1000*(1+($L$89*($Q$68-1))*$Q$69)</f>
        <v>34.566412499999998</v>
      </c>
      <c r="R187" s="3582"/>
      <c r="S187" s="3582"/>
      <c r="T187" s="3582"/>
      <c r="U187" s="3582"/>
      <c r="V187" s="3582"/>
      <c r="W187" s="3582"/>
      <c r="X187" s="3582"/>
      <c r="Y187" s="3526">
        <f>Q187*$V$88</f>
        <v>345.66412500000001</v>
      </c>
      <c r="Z187" s="3526"/>
      <c r="AA187" s="3526"/>
      <c r="AB187" s="3526"/>
      <c r="AC187" s="3526"/>
      <c r="AD187" s="3526"/>
      <c r="AE187" s="3526"/>
      <c r="AF187" s="3527"/>
    </row>
    <row r="189" spans="1:32" ht="15.75" thickBot="1" x14ac:dyDescent="0.3">
      <c r="A189" s="3584" t="s">
        <v>4926</v>
      </c>
      <c r="B189" s="3340"/>
      <c r="C189" s="3340"/>
      <c r="D189" s="3340"/>
      <c r="E189" s="3340"/>
      <c r="F189" s="3340"/>
      <c r="G189" s="3340"/>
      <c r="H189" s="3340"/>
      <c r="I189" s="3340"/>
      <c r="J189" s="3340"/>
      <c r="K189" s="3340"/>
      <c r="L189" s="3340"/>
      <c r="M189" s="3340"/>
      <c r="N189" s="3340"/>
      <c r="O189" s="3340"/>
      <c r="P189" s="3340"/>
      <c r="Q189" s="3340"/>
      <c r="R189" s="3340"/>
      <c r="S189" s="3340"/>
      <c r="T189" s="3340"/>
      <c r="U189" s="3340"/>
      <c r="V189" s="3340"/>
      <c r="W189" s="3340"/>
      <c r="X189" s="3340"/>
      <c r="Y189" s="3340"/>
      <c r="Z189" s="3340"/>
      <c r="AA189" s="3340"/>
      <c r="AB189" s="3340"/>
      <c r="AC189" s="3340"/>
      <c r="AD189" s="3340"/>
      <c r="AE189" s="3340"/>
      <c r="AF189" s="3340"/>
    </row>
    <row r="190" spans="1:32" ht="15.75" thickBot="1" x14ac:dyDescent="0.3">
      <c r="A190" s="3503" t="s">
        <v>22</v>
      </c>
      <c r="B190" s="3504"/>
      <c r="C190" s="3504"/>
      <c r="D190" s="3504"/>
      <c r="E190" s="3504"/>
      <c r="F190" s="3504"/>
      <c r="G190" s="3504"/>
      <c r="H190" s="3504"/>
      <c r="I190" s="3504" t="s">
        <v>23</v>
      </c>
      <c r="J190" s="3504"/>
      <c r="K190" s="3504"/>
      <c r="L190" s="3504"/>
      <c r="M190" s="3504"/>
      <c r="N190" s="3504"/>
      <c r="O190" s="3504"/>
      <c r="P190" s="3504"/>
      <c r="Q190" s="3504" t="s">
        <v>24</v>
      </c>
      <c r="R190" s="3504"/>
      <c r="S190" s="3504"/>
      <c r="T190" s="3504"/>
      <c r="U190" s="3504"/>
      <c r="V190" s="3504"/>
      <c r="W190" s="3504"/>
      <c r="X190" s="3504"/>
      <c r="Y190" s="3504" t="s">
        <v>2012</v>
      </c>
      <c r="Z190" s="3504"/>
      <c r="AA190" s="3504"/>
      <c r="AB190" s="3504"/>
      <c r="AC190" s="3504"/>
      <c r="AD190" s="3504"/>
      <c r="AE190" s="3504"/>
      <c r="AF190" s="3505"/>
    </row>
    <row r="191" spans="1:32" x14ac:dyDescent="0.25">
      <c r="A191" s="3585" t="s">
        <v>4907</v>
      </c>
      <c r="B191" s="3498"/>
      <c r="C191" s="3498"/>
      <c r="D191" s="3498"/>
      <c r="E191" s="3498"/>
      <c r="F191" s="3498"/>
      <c r="G191" s="3498"/>
      <c r="H191" s="3499"/>
      <c r="I191" s="3485">
        <v>0</v>
      </c>
      <c r="J191" s="3485"/>
      <c r="K191" s="3485"/>
      <c r="L191" s="3485"/>
      <c r="M191" s="3485"/>
      <c r="N191" s="3485"/>
      <c r="O191" s="3485"/>
      <c r="P191" s="3485"/>
      <c r="Q191" s="3486">
        <f>R82*$Q$61*$Q$88*365/1000*(1+($L$88*($Q$68-1))*$Q$69)</f>
        <v>68.584230000000005</v>
      </c>
      <c r="R191" s="3486"/>
      <c r="S191" s="3486"/>
      <c r="T191" s="3486"/>
      <c r="U191" s="3486"/>
      <c r="V191" s="3486"/>
      <c r="W191" s="3486"/>
      <c r="X191" s="3486"/>
      <c r="Y191" s="3487">
        <f>Q191*$V$88</f>
        <v>685.84230000000002</v>
      </c>
      <c r="Z191" s="3487"/>
      <c r="AA191" s="3487"/>
      <c r="AB191" s="3487"/>
      <c r="AC191" s="3487"/>
      <c r="AD191" s="3487"/>
      <c r="AE191" s="3487"/>
      <c r="AF191" s="3488"/>
    </row>
    <row r="192" spans="1:32" x14ac:dyDescent="0.25">
      <c r="A192" s="3585" t="s">
        <v>4908</v>
      </c>
      <c r="B192" s="3498"/>
      <c r="C192" s="3498"/>
      <c r="D192" s="3498"/>
      <c r="E192" s="3498"/>
      <c r="F192" s="3498"/>
      <c r="G192" s="3498"/>
      <c r="H192" s="3499"/>
      <c r="I192" s="3485">
        <v>0</v>
      </c>
      <c r="J192" s="3485"/>
      <c r="K192" s="3485"/>
      <c r="L192" s="3485"/>
      <c r="M192" s="3485"/>
      <c r="N192" s="3485"/>
      <c r="O192" s="3485"/>
      <c r="P192" s="3485"/>
      <c r="Q192" s="3486">
        <f>R83*$Q$61*$Q$88*365/1000*(1+($L$88*($Q$68-1))*$Q$69)</f>
        <v>27.497640000000004</v>
      </c>
      <c r="R192" s="3486"/>
      <c r="S192" s="3486"/>
      <c r="T192" s="3486"/>
      <c r="U192" s="3486"/>
      <c r="V192" s="3486"/>
      <c r="W192" s="3486"/>
      <c r="X192" s="3486"/>
      <c r="Y192" s="3487">
        <f>Q192*$V$88</f>
        <v>274.97640000000001</v>
      </c>
      <c r="Z192" s="3487"/>
      <c r="AA192" s="3487"/>
      <c r="AB192" s="3487"/>
      <c r="AC192" s="3487"/>
      <c r="AD192" s="3487"/>
      <c r="AE192" s="3487"/>
      <c r="AF192" s="3488"/>
    </row>
    <row r="193" spans="1:32" ht="15.75" thickBot="1" x14ac:dyDescent="0.3">
      <c r="A193" s="3579" t="s">
        <v>4909</v>
      </c>
      <c r="B193" s="3580"/>
      <c r="C193" s="3580"/>
      <c r="D193" s="3580"/>
      <c r="E193" s="3580"/>
      <c r="F193" s="3580"/>
      <c r="G193" s="3580"/>
      <c r="H193" s="3581"/>
      <c r="I193" s="3210">
        <v>0</v>
      </c>
      <c r="J193" s="3210"/>
      <c r="K193" s="3210"/>
      <c r="L193" s="3210"/>
      <c r="M193" s="3210"/>
      <c r="N193" s="3210"/>
      <c r="O193" s="3210"/>
      <c r="P193" s="3210"/>
      <c r="Q193" s="3582">
        <f>R84*$Q$61*$Q$88*365/1000*(1+($L$88*($Q$68-1))*$Q$69)</f>
        <v>13.748820000000002</v>
      </c>
      <c r="R193" s="3582"/>
      <c r="S193" s="3582"/>
      <c r="T193" s="3582"/>
      <c r="U193" s="3582"/>
      <c r="V193" s="3582"/>
      <c r="W193" s="3582"/>
      <c r="X193" s="3582"/>
      <c r="Y193" s="3526">
        <f t="shared" ref="Y193" si="6">Q193*$V$88</f>
        <v>137.48820000000001</v>
      </c>
      <c r="Z193" s="3526"/>
      <c r="AA193" s="3526"/>
      <c r="AB193" s="3526"/>
      <c r="AC193" s="3526"/>
      <c r="AD193" s="3526"/>
      <c r="AE193" s="3526"/>
      <c r="AF193" s="3527"/>
    </row>
    <row r="195" spans="1:32" ht="15.75" thickBot="1" x14ac:dyDescent="0.3">
      <c r="A195" s="3584" t="s">
        <v>4927</v>
      </c>
      <c r="B195" s="3340"/>
      <c r="C195" s="3340"/>
      <c r="D195" s="3340"/>
      <c r="E195" s="3340"/>
      <c r="F195" s="3340"/>
      <c r="G195" s="3340"/>
      <c r="H195" s="3340"/>
      <c r="I195" s="3340"/>
      <c r="J195" s="3340"/>
      <c r="K195" s="3340"/>
      <c r="L195" s="3340"/>
      <c r="M195" s="3340"/>
      <c r="N195" s="3340"/>
      <c r="O195" s="3340"/>
      <c r="P195" s="3340"/>
      <c r="Q195" s="3340"/>
      <c r="R195" s="3340"/>
      <c r="S195" s="3340"/>
      <c r="T195" s="3340"/>
      <c r="U195" s="3340"/>
      <c r="V195" s="3340"/>
      <c r="W195" s="3340"/>
      <c r="X195" s="3340"/>
      <c r="Y195" s="3340"/>
      <c r="Z195" s="3340"/>
      <c r="AA195" s="3340"/>
      <c r="AB195" s="3340"/>
      <c r="AC195" s="3340"/>
      <c r="AD195" s="3340"/>
      <c r="AE195" s="3340"/>
      <c r="AF195" s="3340"/>
    </row>
    <row r="196" spans="1:32" ht="15.75" thickBot="1" x14ac:dyDescent="0.3">
      <c r="A196" s="3503" t="s">
        <v>22</v>
      </c>
      <c r="B196" s="3504"/>
      <c r="C196" s="3504"/>
      <c r="D196" s="3504"/>
      <c r="E196" s="3504"/>
      <c r="F196" s="3504"/>
      <c r="G196" s="3504"/>
      <c r="H196" s="3504"/>
      <c r="I196" s="3504" t="s">
        <v>23</v>
      </c>
      <c r="J196" s="3504"/>
      <c r="K196" s="3504"/>
      <c r="L196" s="3504"/>
      <c r="M196" s="3504"/>
      <c r="N196" s="3504"/>
      <c r="O196" s="3504"/>
      <c r="P196" s="3504"/>
      <c r="Q196" s="3504" t="s">
        <v>24</v>
      </c>
      <c r="R196" s="3504"/>
      <c r="S196" s="3504"/>
      <c r="T196" s="3504"/>
      <c r="U196" s="3504"/>
      <c r="V196" s="3504"/>
      <c r="W196" s="3504"/>
      <c r="X196" s="3504"/>
      <c r="Y196" s="3504" t="s">
        <v>2012</v>
      </c>
      <c r="Z196" s="3504"/>
      <c r="AA196" s="3504"/>
      <c r="AB196" s="3504"/>
      <c r="AC196" s="3504"/>
      <c r="AD196" s="3504"/>
      <c r="AE196" s="3504"/>
      <c r="AF196" s="3505"/>
    </row>
    <row r="197" spans="1:32" x14ac:dyDescent="0.25">
      <c r="A197" s="3585" t="s">
        <v>4907</v>
      </c>
      <c r="B197" s="3498"/>
      <c r="C197" s="3498"/>
      <c r="D197" s="3498"/>
      <c r="E197" s="3498"/>
      <c r="F197" s="3498"/>
      <c r="G197" s="3498"/>
      <c r="H197" s="3499"/>
      <c r="I197" s="3485">
        <v>0</v>
      </c>
      <c r="J197" s="3485"/>
      <c r="K197" s="3485"/>
      <c r="L197" s="3485"/>
      <c r="M197" s="3485"/>
      <c r="N197" s="3485"/>
      <c r="O197" s="3485"/>
      <c r="P197" s="3485"/>
      <c r="Q197" s="3486">
        <f>R82*$Q$61*$Q$89*365/1000*(1+($L$89*($Q$68-1))*$Q$69)</f>
        <v>121.54910625000002</v>
      </c>
      <c r="R197" s="3486"/>
      <c r="S197" s="3486"/>
      <c r="T197" s="3486"/>
      <c r="U197" s="3486"/>
      <c r="V197" s="3486"/>
      <c r="W197" s="3486"/>
      <c r="X197" s="3486"/>
      <c r="Y197" s="3487">
        <f>Q197*$V$88</f>
        <v>1215.4910625000002</v>
      </c>
      <c r="Z197" s="3487"/>
      <c r="AA197" s="3487"/>
      <c r="AB197" s="3487"/>
      <c r="AC197" s="3487"/>
      <c r="AD197" s="3487"/>
      <c r="AE197" s="3487"/>
      <c r="AF197" s="3488"/>
    </row>
    <row r="198" spans="1:32" x14ac:dyDescent="0.25">
      <c r="A198" s="3585" t="s">
        <v>4908</v>
      </c>
      <c r="B198" s="3498"/>
      <c r="C198" s="3498"/>
      <c r="D198" s="3498"/>
      <c r="E198" s="3498"/>
      <c r="F198" s="3498"/>
      <c r="G198" s="3498"/>
      <c r="H198" s="3499"/>
      <c r="I198" s="3485">
        <v>0</v>
      </c>
      <c r="J198" s="3485"/>
      <c r="K198" s="3485"/>
      <c r="L198" s="3485"/>
      <c r="M198" s="3485"/>
      <c r="N198" s="3485"/>
      <c r="O198" s="3485"/>
      <c r="P198" s="3485"/>
      <c r="Q198" s="3486">
        <f>R83*$Q$61*$Q$89*365/1000*(1+($L$89*($Q$68-1))*$Q$69)</f>
        <v>48.732975000000003</v>
      </c>
      <c r="R198" s="3486"/>
      <c r="S198" s="3486"/>
      <c r="T198" s="3486"/>
      <c r="U198" s="3486"/>
      <c r="V198" s="3486"/>
      <c r="W198" s="3486"/>
      <c r="X198" s="3486"/>
      <c r="Y198" s="3487">
        <f>Q198*$V$88</f>
        <v>487.32975000000005</v>
      </c>
      <c r="Z198" s="3487"/>
      <c r="AA198" s="3487"/>
      <c r="AB198" s="3487"/>
      <c r="AC198" s="3487"/>
      <c r="AD198" s="3487"/>
      <c r="AE198" s="3487"/>
      <c r="AF198" s="3488"/>
    </row>
    <row r="199" spans="1:32" ht="15.75" thickBot="1" x14ac:dyDescent="0.3">
      <c r="A199" s="3579" t="s">
        <v>4909</v>
      </c>
      <c r="B199" s="3580"/>
      <c r="C199" s="3580"/>
      <c r="D199" s="3580"/>
      <c r="E199" s="3580"/>
      <c r="F199" s="3580"/>
      <c r="G199" s="3580"/>
      <c r="H199" s="3581"/>
      <c r="I199" s="3210">
        <v>0</v>
      </c>
      <c r="J199" s="3210"/>
      <c r="K199" s="3210"/>
      <c r="L199" s="3210"/>
      <c r="M199" s="3210"/>
      <c r="N199" s="3210"/>
      <c r="O199" s="3210"/>
      <c r="P199" s="3210"/>
      <c r="Q199" s="3582">
        <f>R84*$Q$61*$Q$89*365/1000*(1+($L$89*($Q$68-1))*$Q$69)</f>
        <v>24.366487500000002</v>
      </c>
      <c r="R199" s="3582"/>
      <c r="S199" s="3582"/>
      <c r="T199" s="3582"/>
      <c r="U199" s="3582"/>
      <c r="V199" s="3582"/>
      <c r="W199" s="3582"/>
      <c r="X199" s="3582"/>
      <c r="Y199" s="3526">
        <f t="shared" ref="Y199" si="7">Q199*$V$88</f>
        <v>243.66487500000002</v>
      </c>
      <c r="Z199" s="3526"/>
      <c r="AA199" s="3526"/>
      <c r="AB199" s="3526"/>
      <c r="AC199" s="3526"/>
      <c r="AD199" s="3526"/>
      <c r="AE199" s="3526"/>
      <c r="AF199" s="3527"/>
    </row>
    <row r="202" spans="1:32" x14ac:dyDescent="0.25">
      <c r="A202" s="1621" t="s">
        <v>1753</v>
      </c>
      <c r="B202" s="1621"/>
      <c r="C202" s="1621"/>
      <c r="D202" s="1621"/>
      <c r="E202" s="1621"/>
      <c r="F202" s="1621"/>
      <c r="G202" s="1621"/>
      <c r="H202" s="1621"/>
      <c r="I202" s="1621"/>
      <c r="J202" s="1621"/>
      <c r="K202" s="1621"/>
      <c r="L202" s="1621"/>
      <c r="M202" s="1621"/>
      <c r="N202" s="1621"/>
      <c r="O202" s="1621"/>
      <c r="P202" s="1621"/>
      <c r="Q202" s="1621"/>
      <c r="R202" s="1621"/>
      <c r="S202" s="1621"/>
      <c r="T202" s="1621"/>
      <c r="U202" s="1621"/>
      <c r="V202" s="1621"/>
      <c r="W202" s="1621"/>
      <c r="X202" s="1621"/>
      <c r="Y202" s="1621"/>
      <c r="Z202" s="1621"/>
      <c r="AA202" s="1621"/>
      <c r="AB202" s="1621"/>
      <c r="AC202" s="1621"/>
      <c r="AD202" s="1621"/>
      <c r="AE202" s="1621"/>
      <c r="AF202" s="1621"/>
    </row>
    <row r="204" spans="1:32" x14ac:dyDescent="0.25">
      <c r="A204" s="517" t="s">
        <v>1013</v>
      </c>
      <c r="B204" s="1173" t="s">
        <v>4935</v>
      </c>
      <c r="C204" s="1173"/>
      <c r="D204" s="1173"/>
      <c r="E204" s="1173"/>
      <c r="F204" s="1173"/>
      <c r="G204" s="1173"/>
      <c r="H204" s="1173"/>
      <c r="I204" s="1173"/>
      <c r="J204" s="1173"/>
      <c r="K204" s="1173"/>
      <c r="L204" s="1173"/>
      <c r="M204" s="1173"/>
      <c r="N204" s="1173"/>
      <c r="O204" s="1173"/>
      <c r="P204" s="1173"/>
      <c r="Q204" s="1173"/>
      <c r="R204" s="1173"/>
      <c r="S204" s="1173"/>
      <c r="T204" s="1173"/>
      <c r="U204" s="1173"/>
      <c r="V204" s="1173"/>
      <c r="W204" s="1173"/>
      <c r="X204" s="1173"/>
      <c r="Y204" s="1173"/>
      <c r="Z204" s="1173"/>
      <c r="AA204" s="1173"/>
      <c r="AB204" s="1173"/>
      <c r="AC204" s="1173"/>
      <c r="AD204" s="1173"/>
      <c r="AE204" s="1173"/>
      <c r="AF204" s="1173"/>
    </row>
    <row r="205" spans="1:32" ht="31.5" customHeight="1" x14ac:dyDescent="0.25">
      <c r="A205" s="517" t="s">
        <v>1013</v>
      </c>
      <c r="B205" s="1173" t="s">
        <v>4934</v>
      </c>
      <c r="C205" s="1173"/>
      <c r="D205" s="1173"/>
      <c r="E205" s="1173"/>
      <c r="F205" s="1173"/>
      <c r="G205" s="1173"/>
      <c r="H205" s="1173"/>
      <c r="I205" s="1173"/>
      <c r="J205" s="1173"/>
      <c r="K205" s="1173"/>
      <c r="L205" s="1173"/>
      <c r="M205" s="1173"/>
      <c r="N205" s="1173"/>
      <c r="O205" s="1173"/>
      <c r="P205" s="1173"/>
      <c r="Q205" s="1173"/>
      <c r="R205" s="1173"/>
      <c r="S205" s="1173"/>
      <c r="T205" s="1173"/>
      <c r="U205" s="1173"/>
      <c r="V205" s="1173"/>
      <c r="W205" s="1173"/>
      <c r="X205" s="1173"/>
      <c r="Y205" s="1173"/>
      <c r="Z205" s="1173"/>
      <c r="AA205" s="1173"/>
      <c r="AB205" s="1173"/>
      <c r="AC205" s="1173"/>
      <c r="AD205" s="1173"/>
      <c r="AE205" s="1173"/>
      <c r="AF205" s="1173"/>
    </row>
    <row r="206" spans="1:32" ht="31.5" customHeight="1" x14ac:dyDescent="0.25">
      <c r="A206" s="517" t="s">
        <v>1013</v>
      </c>
      <c r="B206" s="1173" t="s">
        <v>4933</v>
      </c>
      <c r="C206" s="1173"/>
      <c r="D206" s="1173"/>
      <c r="E206" s="1173"/>
      <c r="F206" s="1173"/>
      <c r="G206" s="1173"/>
      <c r="H206" s="1173"/>
      <c r="I206" s="1173"/>
      <c r="J206" s="1173"/>
      <c r="K206" s="1173"/>
      <c r="L206" s="1173"/>
      <c r="M206" s="1173"/>
      <c r="N206" s="1173"/>
      <c r="O206" s="1173"/>
      <c r="P206" s="1173"/>
      <c r="Q206" s="1173"/>
      <c r="R206" s="1173"/>
      <c r="S206" s="1173"/>
      <c r="T206" s="1173"/>
      <c r="U206" s="1173"/>
      <c r="V206" s="1173"/>
      <c r="W206" s="1173"/>
      <c r="X206" s="1173"/>
      <c r="Y206" s="1173"/>
      <c r="Z206" s="1173"/>
      <c r="AA206" s="1173"/>
      <c r="AB206" s="1173"/>
      <c r="AC206" s="1173"/>
      <c r="AD206" s="1173"/>
      <c r="AE206" s="1173"/>
      <c r="AF206" s="1173"/>
    </row>
    <row r="207" spans="1:32" ht="48.75" customHeight="1" x14ac:dyDescent="0.25">
      <c r="A207" s="517" t="s">
        <v>1013</v>
      </c>
      <c r="B207" s="1173" t="s">
        <v>4932</v>
      </c>
      <c r="C207" s="1173"/>
      <c r="D207" s="1173"/>
      <c r="E207" s="1173"/>
      <c r="F207" s="1173"/>
      <c r="G207" s="1173"/>
      <c r="H207" s="1173"/>
      <c r="I207" s="1173"/>
      <c r="J207" s="1173"/>
      <c r="K207" s="1173"/>
      <c r="L207" s="1173"/>
      <c r="M207" s="1173"/>
      <c r="N207" s="1173"/>
      <c r="O207" s="1173"/>
      <c r="P207" s="1173"/>
      <c r="Q207" s="1173"/>
      <c r="R207" s="1173"/>
      <c r="S207" s="1173"/>
      <c r="T207" s="1173"/>
      <c r="U207" s="1173"/>
      <c r="V207" s="1173"/>
      <c r="W207" s="1173"/>
      <c r="X207" s="1173"/>
      <c r="Y207" s="1173"/>
      <c r="Z207" s="1173"/>
      <c r="AA207" s="1173"/>
      <c r="AB207" s="1173"/>
      <c r="AC207" s="1173"/>
      <c r="AD207" s="1173"/>
      <c r="AE207" s="1173"/>
      <c r="AF207" s="1173"/>
    </row>
    <row r="208" spans="1:32" x14ac:dyDescent="0.25">
      <c r="A208" s="517" t="s">
        <v>1013</v>
      </c>
      <c r="B208" s="1173" t="s">
        <v>4929</v>
      </c>
      <c r="C208" s="1173"/>
      <c r="D208" s="1173"/>
      <c r="E208" s="1173"/>
      <c r="F208" s="1173"/>
      <c r="G208" s="1173"/>
      <c r="H208" s="1173"/>
      <c r="I208" s="1173"/>
      <c r="J208" s="1173"/>
      <c r="K208" s="1173"/>
      <c r="L208" s="1173"/>
      <c r="M208" s="1173"/>
      <c r="N208" s="1173"/>
      <c r="O208" s="1173"/>
      <c r="P208" s="1173"/>
      <c r="Q208" s="1173"/>
      <c r="R208" s="1173"/>
      <c r="S208" s="1173"/>
      <c r="T208" s="1173"/>
      <c r="U208" s="1173"/>
      <c r="V208" s="1173"/>
      <c r="W208" s="1173"/>
      <c r="X208" s="1173"/>
      <c r="Y208" s="1173"/>
      <c r="Z208" s="1173"/>
      <c r="AA208" s="1173"/>
      <c r="AB208" s="1173"/>
      <c r="AC208" s="1173"/>
      <c r="AD208" s="1173"/>
      <c r="AE208" s="1173"/>
      <c r="AF208" s="1173"/>
    </row>
    <row r="209" spans="1:32" ht="33" customHeight="1" x14ac:dyDescent="0.25">
      <c r="A209" s="517" t="s">
        <v>1013</v>
      </c>
      <c r="B209" s="1173" t="s">
        <v>3956</v>
      </c>
      <c r="C209" s="1173"/>
      <c r="D209" s="1173"/>
      <c r="E209" s="1173"/>
      <c r="F209" s="1173"/>
      <c r="G209" s="1173"/>
      <c r="H209" s="1173"/>
      <c r="I209" s="1173"/>
      <c r="J209" s="1173"/>
      <c r="K209" s="1173"/>
      <c r="L209" s="1173"/>
      <c r="M209" s="1173"/>
      <c r="N209" s="1173"/>
      <c r="O209" s="1173"/>
      <c r="P209" s="1173"/>
      <c r="Q209" s="1173"/>
      <c r="R209" s="1173"/>
      <c r="S209" s="1173"/>
      <c r="T209" s="1173"/>
      <c r="U209" s="1173"/>
      <c r="V209" s="1173"/>
      <c r="W209" s="1173"/>
      <c r="X209" s="1173"/>
      <c r="Y209" s="1173"/>
      <c r="Z209" s="1173"/>
      <c r="AA209" s="1173"/>
      <c r="AB209" s="1173"/>
      <c r="AC209" s="1173"/>
      <c r="AD209" s="1173"/>
      <c r="AE209" s="1173"/>
      <c r="AF209" s="1173"/>
    </row>
    <row r="210" spans="1:32" ht="31.5" customHeight="1" x14ac:dyDescent="0.25">
      <c r="A210" s="517" t="s">
        <v>1013</v>
      </c>
      <c r="B210" s="1173" t="s">
        <v>4930</v>
      </c>
      <c r="C210" s="1173"/>
      <c r="D210" s="1173"/>
      <c r="E210" s="1173"/>
      <c r="F210" s="1173"/>
      <c r="G210" s="1173"/>
      <c r="H210" s="1173"/>
      <c r="I210" s="1173"/>
      <c r="J210" s="1173"/>
      <c r="K210" s="1173"/>
      <c r="L210" s="1173"/>
      <c r="M210" s="1173"/>
      <c r="N210" s="1173"/>
      <c r="O210" s="1173"/>
      <c r="P210" s="1173"/>
      <c r="Q210" s="1173"/>
      <c r="R210" s="1173"/>
      <c r="S210" s="1173"/>
      <c r="T210" s="1173"/>
      <c r="U210" s="1173"/>
      <c r="V210" s="1173"/>
      <c r="W210" s="1173"/>
      <c r="X210" s="1173"/>
      <c r="Y210" s="1173"/>
      <c r="Z210" s="1173"/>
      <c r="AA210" s="1173"/>
      <c r="AB210" s="1173"/>
      <c r="AC210" s="1173"/>
      <c r="AD210" s="1173"/>
      <c r="AE210" s="1173"/>
      <c r="AF210" s="1173"/>
    </row>
    <row r="211" spans="1:32" ht="48.75" customHeight="1" x14ac:dyDescent="0.25">
      <c r="A211" s="517" t="s">
        <v>1013</v>
      </c>
      <c r="B211" s="1173" t="s">
        <v>4931</v>
      </c>
      <c r="C211" s="1173"/>
      <c r="D211" s="1173"/>
      <c r="E211" s="1173"/>
      <c r="F211" s="1173"/>
      <c r="G211" s="1173"/>
      <c r="H211" s="1173"/>
      <c r="I211" s="1173"/>
      <c r="J211" s="1173"/>
      <c r="K211" s="1173"/>
      <c r="L211" s="1173"/>
      <c r="M211" s="1173"/>
      <c r="N211" s="1173"/>
      <c r="O211" s="1173"/>
      <c r="P211" s="1173"/>
      <c r="Q211" s="1173"/>
      <c r="R211" s="1173"/>
      <c r="S211" s="1173"/>
      <c r="T211" s="1173"/>
      <c r="U211" s="1173"/>
      <c r="V211" s="1173"/>
      <c r="W211" s="1173"/>
      <c r="X211" s="1173"/>
      <c r="Y211" s="1173"/>
      <c r="Z211" s="1173"/>
      <c r="AA211" s="1173"/>
      <c r="AB211" s="1173"/>
      <c r="AC211" s="1173"/>
      <c r="AD211" s="1173"/>
      <c r="AE211" s="1173"/>
      <c r="AF211" s="1173"/>
    </row>
  </sheetData>
  <sheetProtection algorithmName="SHA-512" hashValue="V/AJWU8LOyphUqQsFgCCx1siWuQi6b+tv2u/WITOq02CSZ2ILCeSyRsCchpR/0RRrGWN/M9qZGR/ijAtNFBZ/Q==" saltValue="/M/GmUogAkbhI/ApZHzpKw==" spinCount="100000" sheet="1" objects="1" scenarios="1"/>
  <mergeCells count="407">
    <mergeCell ref="B211:AF211"/>
    <mergeCell ref="B205:AF205"/>
    <mergeCell ref="B206:AF206"/>
    <mergeCell ref="B207:AF207"/>
    <mergeCell ref="B208:AF208"/>
    <mergeCell ref="B209:AF209"/>
    <mergeCell ref="B210:AF210"/>
    <mergeCell ref="A199:H199"/>
    <mergeCell ref="I199:P199"/>
    <mergeCell ref="Q199:X199"/>
    <mergeCell ref="Y199:AF199"/>
    <mergeCell ref="A202:AF202"/>
    <mergeCell ref="B204:AF204"/>
    <mergeCell ref="A197:H197"/>
    <mergeCell ref="I197:P197"/>
    <mergeCell ref="Q197:X197"/>
    <mergeCell ref="Y197:AF197"/>
    <mergeCell ref="A198:H198"/>
    <mergeCell ref="I198:P198"/>
    <mergeCell ref="Q198:X198"/>
    <mergeCell ref="Y198:AF198"/>
    <mergeCell ref="A193:H193"/>
    <mergeCell ref="I193:P193"/>
    <mergeCell ref="Q193:X193"/>
    <mergeCell ref="Y193:AF193"/>
    <mergeCell ref="A195:AF195"/>
    <mergeCell ref="A196:H196"/>
    <mergeCell ref="I196:P196"/>
    <mergeCell ref="Q196:X196"/>
    <mergeCell ref="Y196:AF196"/>
    <mergeCell ref="A191:H191"/>
    <mergeCell ref="I191:P191"/>
    <mergeCell ref="Q191:X191"/>
    <mergeCell ref="Y191:AF191"/>
    <mergeCell ref="A192:H192"/>
    <mergeCell ref="I192:P192"/>
    <mergeCell ref="Q192:X192"/>
    <mergeCell ref="Y192:AF192"/>
    <mergeCell ref="A187:H187"/>
    <mergeCell ref="I187:P187"/>
    <mergeCell ref="Q187:X187"/>
    <mergeCell ref="Y187:AF187"/>
    <mergeCell ref="A189:AF189"/>
    <mergeCell ref="A190:H190"/>
    <mergeCell ref="I190:P190"/>
    <mergeCell ref="Q190:X190"/>
    <mergeCell ref="Y190:AF190"/>
    <mergeCell ref="A185:H185"/>
    <mergeCell ref="I185:P185"/>
    <mergeCell ref="Q185:X185"/>
    <mergeCell ref="Y185:AF185"/>
    <mergeCell ref="A186:H186"/>
    <mergeCell ref="I186:P186"/>
    <mergeCell ref="Q186:X186"/>
    <mergeCell ref="Y186:AF186"/>
    <mergeCell ref="A181:H181"/>
    <mergeCell ref="I181:P181"/>
    <mergeCell ref="Q181:X181"/>
    <mergeCell ref="Y181:AF181"/>
    <mergeCell ref="A183:AF183"/>
    <mergeCell ref="A184:H184"/>
    <mergeCell ref="I184:P184"/>
    <mergeCell ref="Q184:X184"/>
    <mergeCell ref="Y184:AF184"/>
    <mergeCell ref="A179:H179"/>
    <mergeCell ref="I179:P179"/>
    <mergeCell ref="Q179:X179"/>
    <mergeCell ref="Y179:AF179"/>
    <mergeCell ref="A180:H180"/>
    <mergeCell ref="I180:P180"/>
    <mergeCell ref="Q180:X180"/>
    <mergeCell ref="Y180:AF180"/>
    <mergeCell ref="A175:H175"/>
    <mergeCell ref="I175:P175"/>
    <mergeCell ref="Q175:X175"/>
    <mergeCell ref="Y175:AF175"/>
    <mergeCell ref="A177:AF177"/>
    <mergeCell ref="A178:H178"/>
    <mergeCell ref="I178:P178"/>
    <mergeCell ref="Q178:X178"/>
    <mergeCell ref="Y178:AF178"/>
    <mergeCell ref="A173:H173"/>
    <mergeCell ref="I173:P173"/>
    <mergeCell ref="Q173:X173"/>
    <mergeCell ref="Y173:AF173"/>
    <mergeCell ref="A174:H174"/>
    <mergeCell ref="I174:P174"/>
    <mergeCell ref="Q174:X174"/>
    <mergeCell ref="Y174:AF174"/>
    <mergeCell ref="A169:H169"/>
    <mergeCell ref="I169:P169"/>
    <mergeCell ref="Q169:X169"/>
    <mergeCell ref="Y169:AF169"/>
    <mergeCell ref="A171:AF171"/>
    <mergeCell ref="A172:H172"/>
    <mergeCell ref="I172:P172"/>
    <mergeCell ref="Q172:X172"/>
    <mergeCell ref="Y172:AF172"/>
    <mergeCell ref="A167:H167"/>
    <mergeCell ref="I167:P167"/>
    <mergeCell ref="Q167:X167"/>
    <mergeCell ref="Y167:AF167"/>
    <mergeCell ref="A168:H168"/>
    <mergeCell ref="I168:P168"/>
    <mergeCell ref="Q168:X168"/>
    <mergeCell ref="Y168:AF168"/>
    <mergeCell ref="B163:AF163"/>
    <mergeCell ref="A165:AF165"/>
    <mergeCell ref="A166:H166"/>
    <mergeCell ref="I166:P166"/>
    <mergeCell ref="Q166:X166"/>
    <mergeCell ref="Y166:AF166"/>
    <mergeCell ref="A159:H159"/>
    <mergeCell ref="I159:P159"/>
    <mergeCell ref="Q159:X159"/>
    <mergeCell ref="Y159:AF159"/>
    <mergeCell ref="A160:H160"/>
    <mergeCell ref="I160:P160"/>
    <mergeCell ref="Q160:X160"/>
    <mergeCell ref="Y160:AF160"/>
    <mergeCell ref="A153:AF153"/>
    <mergeCell ref="A157:H157"/>
    <mergeCell ref="I157:P157"/>
    <mergeCell ref="Q157:X157"/>
    <mergeCell ref="Y157:AF157"/>
    <mergeCell ref="A158:H158"/>
    <mergeCell ref="I158:P158"/>
    <mergeCell ref="Q158:X158"/>
    <mergeCell ref="Y158:AF158"/>
    <mergeCell ref="A147:H147"/>
    <mergeCell ref="I147:P147"/>
    <mergeCell ref="Q147:X147"/>
    <mergeCell ref="Y147:AF147"/>
    <mergeCell ref="A148:H148"/>
    <mergeCell ref="I148:P148"/>
    <mergeCell ref="Q148:X148"/>
    <mergeCell ref="Y148:AF148"/>
    <mergeCell ref="A144:AF144"/>
    <mergeCell ref="A145:H145"/>
    <mergeCell ref="I145:P145"/>
    <mergeCell ref="Q145:X145"/>
    <mergeCell ref="Y145:AF145"/>
    <mergeCell ref="A146:H146"/>
    <mergeCell ref="I146:P146"/>
    <mergeCell ref="Q146:X146"/>
    <mergeCell ref="Y146:AF146"/>
    <mergeCell ref="A141:H141"/>
    <mergeCell ref="I141:P141"/>
    <mergeCell ref="Q141:X141"/>
    <mergeCell ref="Y141:AF141"/>
    <mergeCell ref="A142:H142"/>
    <mergeCell ref="I142:P142"/>
    <mergeCell ref="Q142:X142"/>
    <mergeCell ref="Y142:AF142"/>
    <mergeCell ref="A138:AF138"/>
    <mergeCell ref="A139:H139"/>
    <mergeCell ref="I139:P139"/>
    <mergeCell ref="Q139:X139"/>
    <mergeCell ref="Y139:AF139"/>
    <mergeCell ref="A140:H140"/>
    <mergeCell ref="I140:P140"/>
    <mergeCell ref="Q140:X140"/>
    <mergeCell ref="Y140:AF140"/>
    <mergeCell ref="A135:H135"/>
    <mergeCell ref="I135:P135"/>
    <mergeCell ref="Q135:X135"/>
    <mergeCell ref="Y135:AF135"/>
    <mergeCell ref="A136:H136"/>
    <mergeCell ref="I136:P136"/>
    <mergeCell ref="Q136:X136"/>
    <mergeCell ref="Y136:AF136"/>
    <mergeCell ref="A132:AF132"/>
    <mergeCell ref="A133:H133"/>
    <mergeCell ref="I133:P133"/>
    <mergeCell ref="Q133:X133"/>
    <mergeCell ref="Y133:AF133"/>
    <mergeCell ref="A134:H134"/>
    <mergeCell ref="I134:P134"/>
    <mergeCell ref="Q134:X134"/>
    <mergeCell ref="Y134:AF134"/>
    <mergeCell ref="A129:H129"/>
    <mergeCell ref="I129:P129"/>
    <mergeCell ref="Q129:X129"/>
    <mergeCell ref="Y129:AF129"/>
    <mergeCell ref="A130:H130"/>
    <mergeCell ref="I130:P130"/>
    <mergeCell ref="Q130:X130"/>
    <mergeCell ref="Y130:AF130"/>
    <mergeCell ref="A126:AF126"/>
    <mergeCell ref="A127:H127"/>
    <mergeCell ref="I127:P127"/>
    <mergeCell ref="Q127:X127"/>
    <mergeCell ref="Y127:AF127"/>
    <mergeCell ref="A128:H128"/>
    <mergeCell ref="I128:P128"/>
    <mergeCell ref="Q128:X128"/>
    <mergeCell ref="Y128:AF128"/>
    <mergeCell ref="A123:H123"/>
    <mergeCell ref="I123:P123"/>
    <mergeCell ref="Q123:X123"/>
    <mergeCell ref="Y123:AF123"/>
    <mergeCell ref="A124:H124"/>
    <mergeCell ref="I124:P124"/>
    <mergeCell ref="Q124:X124"/>
    <mergeCell ref="Y124:AF124"/>
    <mergeCell ref="A120:AF120"/>
    <mergeCell ref="A121:H121"/>
    <mergeCell ref="I121:P121"/>
    <mergeCell ref="Q121:X121"/>
    <mergeCell ref="Y121:AF121"/>
    <mergeCell ref="A122:H122"/>
    <mergeCell ref="I122:P122"/>
    <mergeCell ref="Q122:X122"/>
    <mergeCell ref="Y122:AF122"/>
    <mergeCell ref="A117:H117"/>
    <mergeCell ref="I117:P117"/>
    <mergeCell ref="Q117:X117"/>
    <mergeCell ref="Y117:AF117"/>
    <mergeCell ref="A118:H118"/>
    <mergeCell ref="I118:P118"/>
    <mergeCell ref="Q118:X118"/>
    <mergeCell ref="Y118:AF118"/>
    <mergeCell ref="A115:H115"/>
    <mergeCell ref="I115:P115"/>
    <mergeCell ref="Q115:X115"/>
    <mergeCell ref="Y115:AF115"/>
    <mergeCell ref="A116:H116"/>
    <mergeCell ref="I116:P116"/>
    <mergeCell ref="Q116:X116"/>
    <mergeCell ref="Y116:AF116"/>
    <mergeCell ref="A109:H109"/>
    <mergeCell ref="I109:P109"/>
    <mergeCell ref="Q109:X109"/>
    <mergeCell ref="Y109:AF109"/>
    <mergeCell ref="B112:AF112"/>
    <mergeCell ref="A114:AF114"/>
    <mergeCell ref="A107:H107"/>
    <mergeCell ref="I107:P107"/>
    <mergeCell ref="Q107:X107"/>
    <mergeCell ref="Y107:AF107"/>
    <mergeCell ref="A108:H108"/>
    <mergeCell ref="I108:P108"/>
    <mergeCell ref="Q108:X108"/>
    <mergeCell ref="Y108:AF108"/>
    <mergeCell ref="B99:AF99"/>
    <mergeCell ref="A102:AF102"/>
    <mergeCell ref="A106:H106"/>
    <mergeCell ref="I106:P106"/>
    <mergeCell ref="Q106:X106"/>
    <mergeCell ref="Y106:AF106"/>
    <mergeCell ref="B97:I97"/>
    <mergeCell ref="J97:M97"/>
    <mergeCell ref="N97:Q97"/>
    <mergeCell ref="B98:I98"/>
    <mergeCell ref="J98:M98"/>
    <mergeCell ref="N98:Q98"/>
    <mergeCell ref="B95:I95"/>
    <mergeCell ref="J95:M95"/>
    <mergeCell ref="N95:Q95"/>
    <mergeCell ref="B96:I96"/>
    <mergeCell ref="J96:M96"/>
    <mergeCell ref="N96:Q96"/>
    <mergeCell ref="B90:AE90"/>
    <mergeCell ref="B93:I93"/>
    <mergeCell ref="J93:M93"/>
    <mergeCell ref="N93:Q93"/>
    <mergeCell ref="B94:I94"/>
    <mergeCell ref="J94:M94"/>
    <mergeCell ref="N94:Q94"/>
    <mergeCell ref="B89:F89"/>
    <mergeCell ref="G89:K89"/>
    <mergeCell ref="L89:P89"/>
    <mergeCell ref="Q89:U89"/>
    <mergeCell ref="V89:Z89"/>
    <mergeCell ref="AA89:AE89"/>
    <mergeCell ref="B88:F88"/>
    <mergeCell ref="G88:K88"/>
    <mergeCell ref="L88:P88"/>
    <mergeCell ref="Q88:U88"/>
    <mergeCell ref="V88:Z88"/>
    <mergeCell ref="AA88:AE88"/>
    <mergeCell ref="B87:F87"/>
    <mergeCell ref="G87:K87"/>
    <mergeCell ref="L87:P87"/>
    <mergeCell ref="Q87:U87"/>
    <mergeCell ref="V87:Z87"/>
    <mergeCell ref="AA87:AE87"/>
    <mergeCell ref="B83:I83"/>
    <mergeCell ref="J83:M83"/>
    <mergeCell ref="N83:Q83"/>
    <mergeCell ref="R83:U83"/>
    <mergeCell ref="B84:I84"/>
    <mergeCell ref="J84:M84"/>
    <mergeCell ref="N84:Q84"/>
    <mergeCell ref="R84:U84"/>
    <mergeCell ref="B80:U80"/>
    <mergeCell ref="B81:I81"/>
    <mergeCell ref="J81:M81"/>
    <mergeCell ref="N81:Q81"/>
    <mergeCell ref="R81:U81"/>
    <mergeCell ref="B82:I82"/>
    <mergeCell ref="J82:M82"/>
    <mergeCell ref="N82:Q82"/>
    <mergeCell ref="R82:U82"/>
    <mergeCell ref="B77:I77"/>
    <mergeCell ref="J77:M77"/>
    <mergeCell ref="N77:Q77"/>
    <mergeCell ref="R77:U77"/>
    <mergeCell ref="B78:I78"/>
    <mergeCell ref="J78:M78"/>
    <mergeCell ref="N78:Q78"/>
    <mergeCell ref="R78:U78"/>
    <mergeCell ref="B74:U74"/>
    <mergeCell ref="B75:I75"/>
    <mergeCell ref="J75:M75"/>
    <mergeCell ref="N75:Q75"/>
    <mergeCell ref="R75:U75"/>
    <mergeCell ref="B76:I76"/>
    <mergeCell ref="J76:M76"/>
    <mergeCell ref="N76:Q76"/>
    <mergeCell ref="R76:U76"/>
    <mergeCell ref="A71:D71"/>
    <mergeCell ref="E71:P71"/>
    <mergeCell ref="Q71:T71"/>
    <mergeCell ref="U71:W71"/>
    <mergeCell ref="X71:AF71"/>
    <mergeCell ref="A72:AF72"/>
    <mergeCell ref="A69:D69"/>
    <mergeCell ref="E69:P69"/>
    <mergeCell ref="Q69:T69"/>
    <mergeCell ref="U69:W69"/>
    <mergeCell ref="X69:AF69"/>
    <mergeCell ref="A70:D70"/>
    <mergeCell ref="E70:P70"/>
    <mergeCell ref="Q70:T70"/>
    <mergeCell ref="U70:W70"/>
    <mergeCell ref="X70:AF70"/>
    <mergeCell ref="A67:D67"/>
    <mergeCell ref="E67:P67"/>
    <mergeCell ref="Q67:T67"/>
    <mergeCell ref="U67:W67"/>
    <mergeCell ref="X67:AF68"/>
    <mergeCell ref="A68:D68"/>
    <mergeCell ref="E68:P68"/>
    <mergeCell ref="Q68:T68"/>
    <mergeCell ref="U68:W68"/>
    <mergeCell ref="A65:D65"/>
    <mergeCell ref="E65:P65"/>
    <mergeCell ref="Q65:T65"/>
    <mergeCell ref="U65:W65"/>
    <mergeCell ref="X65:AF65"/>
    <mergeCell ref="A66:D66"/>
    <mergeCell ref="E66:P66"/>
    <mergeCell ref="Q66:T66"/>
    <mergeCell ref="U66:W66"/>
    <mergeCell ref="X66:AF66"/>
    <mergeCell ref="A63:D63"/>
    <mergeCell ref="E63:P63"/>
    <mergeCell ref="Q63:T63"/>
    <mergeCell ref="U63:W63"/>
    <mergeCell ref="X63:AF63"/>
    <mergeCell ref="A64:D64"/>
    <mergeCell ref="E64:P64"/>
    <mergeCell ref="Q64:T64"/>
    <mergeCell ref="U64:W64"/>
    <mergeCell ref="X64:AF64"/>
    <mergeCell ref="A61:D61"/>
    <mergeCell ref="E61:P61"/>
    <mergeCell ref="Q61:T61"/>
    <mergeCell ref="U61:W61"/>
    <mergeCell ref="X61:AF61"/>
    <mergeCell ref="A62:D62"/>
    <mergeCell ref="E62:P62"/>
    <mergeCell ref="Q62:T62"/>
    <mergeCell ref="U62:W62"/>
    <mergeCell ref="X62:AF62"/>
    <mergeCell ref="A59:D59"/>
    <mergeCell ref="E59:P59"/>
    <mergeCell ref="Q59:T59"/>
    <mergeCell ref="U59:W59"/>
    <mergeCell ref="X59:AF59"/>
    <mergeCell ref="A60:D60"/>
    <mergeCell ref="E60:P60"/>
    <mergeCell ref="Q60:T60"/>
    <mergeCell ref="U60:W60"/>
    <mergeCell ref="X60:AF60"/>
    <mergeCell ref="B21:J21"/>
    <mergeCell ref="B22:AF22"/>
    <mergeCell ref="A24:AF24"/>
    <mergeCell ref="A57:AF57"/>
    <mergeCell ref="A58:D58"/>
    <mergeCell ref="E58:P58"/>
    <mergeCell ref="Q58:T58"/>
    <mergeCell ref="U58:W58"/>
    <mergeCell ref="X58:AF58"/>
    <mergeCell ref="B12:I12"/>
    <mergeCell ref="B13:AF13"/>
    <mergeCell ref="B15:I15"/>
    <mergeCell ref="B16:AF16"/>
    <mergeCell ref="B18:I18"/>
    <mergeCell ref="B19:AF19"/>
    <mergeCell ref="A1:AF1"/>
    <mergeCell ref="A3:AF3"/>
    <mergeCell ref="B5:AF5"/>
    <mergeCell ref="A7:AF7"/>
    <mergeCell ref="B9:I9"/>
    <mergeCell ref="B10:AF10"/>
  </mergeCells>
  <hyperlinks>
    <hyperlink ref="A2" location="TOC!A1" display="Return to TOC" xr:uid="{00000000-0004-0000-5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54" numberStoredAsText="1"/>
  </ignoredError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50">
    <tabColor theme="9" tint="0.79998168889431442"/>
    <pageSetUpPr autoPageBreaks="0"/>
  </sheetPr>
  <dimension ref="A1:AF87"/>
  <sheetViews>
    <sheetView workbookViewId="0">
      <selection activeCell="A2" sqref="A2"/>
    </sheetView>
  </sheetViews>
  <sheetFormatPr defaultColWidth="2.7109375" defaultRowHeight="15" x14ac:dyDescent="0.25"/>
  <cols>
    <col min="1" max="32" width="2.7109375" customWidth="1"/>
  </cols>
  <sheetData>
    <row r="1" spans="1:32" s="1" customFormat="1" ht="19.5" thickBot="1" x14ac:dyDescent="0.3">
      <c r="A1" s="1272" t="s">
        <v>1166</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421"/>
    </row>
    <row r="2" spans="1:32" s="262" customFormat="1" ht="14.45" customHeight="1" x14ac:dyDescent="0.25">
      <c r="A2" s="376" t="s">
        <v>1702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row>
    <row r="3" spans="1:32" x14ac:dyDescent="0.25">
      <c r="A3" s="1385" t="s">
        <v>1630</v>
      </c>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7"/>
    </row>
    <row r="4" spans="1:32" x14ac:dyDescent="0.2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row>
    <row r="5" spans="1:32" x14ac:dyDescent="0.25">
      <c r="A5" s="262"/>
      <c r="B5" s="1589" t="s">
        <v>4660</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row>
    <row r="6" spans="1:32" x14ac:dyDescent="0.25">
      <c r="A6" s="262"/>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row>
    <row r="7" spans="1:32" s="1" customFormat="1" x14ac:dyDescent="0.25">
      <c r="A7" s="1472" t="s">
        <v>9</v>
      </c>
      <c r="B7" s="1472"/>
      <c r="C7" s="1472"/>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1:32" s="1" customForma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x14ac:dyDescent="0.25">
      <c r="B9" s="1475" t="s">
        <v>10</v>
      </c>
      <c r="C9" s="1475"/>
      <c r="D9" s="1475"/>
      <c r="E9" s="1475"/>
      <c r="F9" s="1475"/>
      <c r="G9" s="1475"/>
      <c r="H9" s="1475"/>
      <c r="I9" s="1475"/>
    </row>
    <row r="10" spans="1:32" s="4" customFormat="1" ht="85.5" customHeight="1" x14ac:dyDescent="0.25">
      <c r="B10" s="1168" t="s">
        <v>4751</v>
      </c>
      <c r="C10" s="1168"/>
      <c r="D10" s="1168"/>
      <c r="E10" s="1168"/>
      <c r="F10" s="1168"/>
      <c r="G10" s="1168"/>
      <c r="H10" s="1168"/>
      <c r="I10" s="1168"/>
      <c r="J10" s="1168"/>
      <c r="K10" s="1168"/>
      <c r="L10" s="1168"/>
      <c r="M10" s="1168"/>
      <c r="N10" s="1168"/>
      <c r="O10" s="1168"/>
      <c r="P10" s="1168"/>
      <c r="Q10" s="1168"/>
      <c r="R10" s="1168"/>
      <c r="S10" s="1168"/>
      <c r="T10" s="1168"/>
      <c r="U10" s="1168"/>
      <c r="V10" s="1168"/>
      <c r="W10" s="1168"/>
      <c r="X10" s="1168"/>
      <c r="Y10" s="1168"/>
      <c r="Z10" s="1168"/>
      <c r="AA10" s="1168"/>
      <c r="AB10" s="1168"/>
      <c r="AC10" s="1168"/>
      <c r="AD10" s="1168"/>
      <c r="AE10" s="1168"/>
      <c r="AF10" s="1168"/>
    </row>
    <row r="11" spans="1:32" s="1" customFormat="1" x14ac:dyDescent="0.25"/>
    <row r="12" spans="1:32" s="1" customFormat="1" x14ac:dyDescent="0.25">
      <c r="B12" s="1475" t="s">
        <v>11</v>
      </c>
      <c r="C12" s="1475"/>
      <c r="D12" s="1475"/>
      <c r="E12" s="1475"/>
      <c r="F12" s="1475"/>
      <c r="G12" s="1475"/>
      <c r="H12" s="1475"/>
      <c r="I12" s="1475"/>
    </row>
    <row r="13" spans="1:32" s="1" customFormat="1" ht="14.45" customHeight="1" x14ac:dyDescent="0.25">
      <c r="B13" s="1466" t="s">
        <v>4752</v>
      </c>
      <c r="C13" s="1466"/>
      <c r="D13" s="1466"/>
      <c r="E13" s="1466"/>
      <c r="F13" s="1466"/>
      <c r="G13" s="1466"/>
      <c r="H13" s="1466"/>
      <c r="I13" s="1466"/>
      <c r="J13" s="1466"/>
      <c r="K13" s="1466"/>
      <c r="L13" s="1466"/>
      <c r="M13" s="1466"/>
      <c r="N13" s="1466"/>
      <c r="O13" s="1466"/>
      <c r="P13" s="1466"/>
      <c r="Q13" s="1466"/>
      <c r="R13" s="1466"/>
      <c r="S13" s="1466"/>
      <c r="T13" s="1466"/>
      <c r="U13" s="1466"/>
      <c r="V13" s="1466"/>
      <c r="W13" s="1466"/>
      <c r="X13" s="1466"/>
      <c r="Y13" s="1466"/>
      <c r="Z13" s="1466"/>
      <c r="AA13" s="1466"/>
      <c r="AB13" s="1466"/>
      <c r="AC13" s="1466"/>
      <c r="AD13" s="1466"/>
      <c r="AE13" s="1466"/>
      <c r="AF13" s="1466"/>
    </row>
    <row r="14" spans="1:32" s="1" customFormat="1" x14ac:dyDescent="0.25"/>
    <row r="15" spans="1:32" s="1" customFormat="1" x14ac:dyDescent="0.25">
      <c r="B15" s="1475" t="s">
        <v>12</v>
      </c>
      <c r="C15" s="1475"/>
      <c r="D15" s="1475"/>
      <c r="E15" s="1475"/>
      <c r="F15" s="1475"/>
      <c r="G15" s="1475"/>
      <c r="H15" s="1475"/>
      <c r="I15" s="1475"/>
    </row>
    <row r="16" spans="1:32" s="1" customFormat="1" x14ac:dyDescent="0.25">
      <c r="B16" s="1473" t="s">
        <v>4753</v>
      </c>
      <c r="C16" s="1473"/>
      <c r="D16" s="1473"/>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row>
    <row r="17" spans="1:32" s="1" customFormat="1" x14ac:dyDescent="0.25"/>
    <row r="18" spans="1:32" s="1" customFormat="1" x14ac:dyDescent="0.25">
      <c r="B18" s="1475" t="s">
        <v>13</v>
      </c>
      <c r="C18" s="1475"/>
      <c r="D18" s="1475"/>
      <c r="E18" s="1475"/>
      <c r="F18" s="1475"/>
      <c r="G18" s="1475"/>
      <c r="H18" s="1475"/>
      <c r="I18" s="1475"/>
    </row>
    <row r="19" spans="1:32" s="4" customFormat="1" ht="14.45" customHeight="1" x14ac:dyDescent="0.25">
      <c r="B19" s="1466" t="s">
        <v>1498</v>
      </c>
      <c r="C19" s="1466"/>
      <c r="D19" s="1466"/>
      <c r="E19" s="1466"/>
      <c r="F19" s="1466"/>
      <c r="G19" s="1466"/>
      <c r="H19" s="1466"/>
      <c r="I19" s="1466"/>
      <c r="J19" s="1466"/>
      <c r="K19" s="1466"/>
      <c r="L19" s="1466"/>
      <c r="M19" s="1466"/>
      <c r="N19" s="1466"/>
      <c r="O19" s="1466"/>
      <c r="P19" s="1466"/>
      <c r="Q19" s="1466"/>
      <c r="R19" s="1466"/>
      <c r="S19" s="1466"/>
      <c r="T19" s="1466"/>
      <c r="U19" s="1466"/>
      <c r="V19" s="1466"/>
      <c r="W19" s="1466"/>
      <c r="X19" s="1466"/>
      <c r="Y19" s="1466"/>
      <c r="Z19" s="1466"/>
      <c r="AA19" s="1466"/>
      <c r="AB19" s="1466"/>
      <c r="AC19" s="1466"/>
      <c r="AD19" s="1466"/>
      <c r="AE19" s="1466"/>
      <c r="AF19" s="1466"/>
    </row>
    <row r="20" spans="1:32" s="1" customFormat="1" x14ac:dyDescent="0.25">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row>
    <row r="21" spans="1:32" s="1" customFormat="1" x14ac:dyDescent="0.25">
      <c r="B21" s="171" t="s">
        <v>20</v>
      </c>
      <c r="C21" s="171"/>
      <c r="D21" s="171"/>
      <c r="E21" s="171"/>
      <c r="F21" s="171"/>
      <c r="G21" s="171"/>
      <c r="H21" s="171"/>
      <c r="I21" s="171"/>
    </row>
    <row r="22" spans="1:32" s="1" customFormat="1" ht="200.25" customHeight="1" x14ac:dyDescent="0.25">
      <c r="B22" s="1173" t="s">
        <v>4754</v>
      </c>
      <c r="C22" s="1287"/>
      <c r="D22" s="1287"/>
      <c r="E22" s="1287"/>
      <c r="F22" s="1287"/>
      <c r="G22" s="1287"/>
      <c r="H22" s="1287"/>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row>
    <row r="23" spans="1:32" s="1" customFormat="1" x14ac:dyDescent="0.25"/>
    <row r="24" spans="1:32" s="1" customFormat="1" x14ac:dyDescent="0.25"/>
    <row r="25" spans="1:32" s="1" customFormat="1" x14ac:dyDescent="0.25">
      <c r="A25" s="1472" t="s">
        <v>14</v>
      </c>
      <c r="B25" s="1472"/>
      <c r="C25" s="1472"/>
      <c r="D25" s="1472"/>
      <c r="E25" s="1472"/>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row>
    <row r="26" spans="1:32" s="1" customFormat="1" x14ac:dyDescent="0.25"/>
    <row r="27" spans="1:32" s="1" customFormat="1" ht="18.75" customHeight="1" x14ac:dyDescent="0.25">
      <c r="A27"/>
      <c r="B27" s="379" t="s">
        <v>2194</v>
      </c>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row>
    <row r="28" spans="1:32" s="1" customFormat="1" ht="17.25" customHeight="1" x14ac:dyDescent="0.25">
      <c r="A28"/>
      <c r="B28" s="379"/>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row>
    <row r="29" spans="1:32" s="1" customFormat="1" x14ac:dyDescent="0.25">
      <c r="A29"/>
      <c r="B29" s="379"/>
      <c r="C29" s="148"/>
      <c r="D29" s="148"/>
      <c r="E29" s="148"/>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685" t="s">
        <v>1705</v>
      </c>
    </row>
    <row r="30" spans="1:32" s="1" customFormat="1" x14ac:dyDescent="0.25">
      <c r="A30"/>
      <c r="B30" s="379"/>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row>
    <row r="31" spans="1:32" s="1" customFormat="1" x14ac:dyDescent="0.25">
      <c r="A31"/>
      <c r="B31" s="379" t="s">
        <v>2303</v>
      </c>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row>
    <row r="32" spans="1:32" s="1" customFormat="1" x14ac:dyDescent="0.25">
      <c r="A32"/>
      <c r="B32" s="379"/>
      <c r="C32" s="148"/>
      <c r="D32" s="148"/>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row>
    <row r="33" spans="1:32" s="1" customFormat="1" x14ac:dyDescent="0.25">
      <c r="A33"/>
      <c r="B33" s="379"/>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685" t="s">
        <v>1706</v>
      </c>
    </row>
    <row r="34" spans="1:32" s="1" customFormat="1" ht="14.45" customHeight="1" x14ac:dyDescent="0.25"/>
    <row r="35" spans="1:32" s="1" customFormat="1" ht="14.45" customHeight="1" x14ac:dyDescent="0.25">
      <c r="A35"/>
      <c r="B35" s="379" t="s">
        <v>1998</v>
      </c>
      <c r="C35" s="415"/>
      <c r="D35" s="415"/>
      <c r="E35" s="415"/>
      <c r="F35" s="415"/>
      <c r="G35" s="415"/>
      <c r="H35" s="415"/>
      <c r="I35" s="415"/>
      <c r="J35" s="415"/>
      <c r="K35" s="19"/>
      <c r="L35"/>
      <c r="M35"/>
      <c r="N35"/>
      <c r="O35"/>
      <c r="P35"/>
      <c r="Q35"/>
      <c r="R35"/>
      <c r="S35"/>
      <c r="T35"/>
      <c r="U35"/>
      <c r="V35"/>
      <c r="W35"/>
      <c r="X35"/>
      <c r="Y35"/>
      <c r="Z35"/>
      <c r="AA35"/>
      <c r="AB35"/>
      <c r="AC35"/>
      <c r="AD35"/>
      <c r="AE35"/>
      <c r="AF35"/>
    </row>
    <row r="36" spans="1:32" s="1" customFormat="1" x14ac:dyDescent="0.25">
      <c r="A36" s="415"/>
      <c r="B36" s="519"/>
      <c r="C36" s="415"/>
      <c r="D36" s="415"/>
      <c r="E36" s="415"/>
      <c r="F36" s="415"/>
      <c r="G36" s="415"/>
      <c r="H36" s="415"/>
      <c r="I36" s="415"/>
      <c r="J36" s="415"/>
      <c r="K36" s="19"/>
      <c r="L36"/>
      <c r="M36"/>
      <c r="N36"/>
      <c r="O36"/>
      <c r="P36"/>
      <c r="Q36"/>
      <c r="R36"/>
      <c r="S36"/>
      <c r="T36"/>
      <c r="U36"/>
      <c r="V36"/>
      <c r="W36"/>
      <c r="X36"/>
      <c r="Y36"/>
      <c r="Z36"/>
      <c r="AA36"/>
      <c r="AB36"/>
      <c r="AC36"/>
      <c r="AD36"/>
      <c r="AE36"/>
      <c r="AF36"/>
    </row>
    <row r="37" spans="1:32" s="1" customFormat="1" x14ac:dyDescent="0.25">
      <c r="A37"/>
      <c r="B37"/>
      <c r="C37"/>
      <c r="D37"/>
      <c r="E37"/>
      <c r="F37"/>
      <c r="G37"/>
      <c r="H37"/>
      <c r="I37"/>
      <c r="J37"/>
      <c r="K37"/>
      <c r="L37"/>
      <c r="M37"/>
      <c r="N37"/>
      <c r="O37"/>
      <c r="P37"/>
      <c r="Q37"/>
      <c r="R37"/>
      <c r="S37"/>
      <c r="T37"/>
      <c r="U37"/>
      <c r="V37"/>
      <c r="W37"/>
      <c r="X37"/>
      <c r="Y37"/>
      <c r="Z37"/>
      <c r="AA37"/>
      <c r="AB37"/>
      <c r="AC37"/>
      <c r="AD37"/>
      <c r="AE37"/>
      <c r="AF37" s="685" t="s">
        <v>1707</v>
      </c>
    </row>
    <row r="38" spans="1:32" s="1" customFormat="1" ht="14.45" customHeight="1" x14ac:dyDescent="0.25"/>
    <row r="39" spans="1:32" ht="28.9" customHeight="1" x14ac:dyDescent="0.25">
      <c r="A39" s="1472" t="s">
        <v>15</v>
      </c>
      <c r="B39" s="1472"/>
      <c r="C39" s="1472"/>
      <c r="D39" s="1472"/>
      <c r="E39" s="1472"/>
      <c r="F39" s="1472"/>
      <c r="G39" s="1472"/>
      <c r="H39" s="1472"/>
      <c r="I39" s="1472"/>
      <c r="J39" s="1472"/>
      <c r="K39" s="1472"/>
      <c r="L39" s="1472"/>
      <c r="M39" s="1472"/>
      <c r="N39" s="1472"/>
      <c r="O39" s="1472"/>
      <c r="P39" s="1472"/>
      <c r="Q39" s="1472"/>
      <c r="R39" s="1472"/>
      <c r="S39" s="1472"/>
      <c r="T39" s="1472"/>
      <c r="U39" s="1472"/>
      <c r="V39" s="1472"/>
      <c r="W39" s="1472"/>
      <c r="X39" s="1472"/>
      <c r="Y39" s="1472"/>
      <c r="Z39" s="1472"/>
      <c r="AA39" s="1472"/>
      <c r="AB39" s="1472"/>
      <c r="AC39" s="1472"/>
      <c r="AD39" s="1472"/>
      <c r="AE39" s="1472"/>
      <c r="AF39" s="1472"/>
    </row>
    <row r="40" spans="1:32" x14ac:dyDescent="0.25">
      <c r="A40" s="1474" t="s">
        <v>16</v>
      </c>
      <c r="B40" s="1474"/>
      <c r="C40" s="1474"/>
      <c r="D40" s="1474"/>
      <c r="E40" s="1474" t="s">
        <v>10</v>
      </c>
      <c r="F40" s="1474"/>
      <c r="G40" s="1474"/>
      <c r="H40" s="1474"/>
      <c r="I40" s="1474"/>
      <c r="J40" s="1474"/>
      <c r="K40" s="1474"/>
      <c r="L40" s="1474"/>
      <c r="M40" s="1474"/>
      <c r="N40" s="1474"/>
      <c r="O40" s="1474"/>
      <c r="P40" s="1474"/>
      <c r="Q40" s="1474" t="s">
        <v>17</v>
      </c>
      <c r="R40" s="1474"/>
      <c r="S40" s="1474"/>
      <c r="T40" s="1474"/>
      <c r="U40" s="1590" t="s">
        <v>18</v>
      </c>
      <c r="V40" s="1591"/>
      <c r="W40" s="1751"/>
      <c r="X40" s="1697" t="s">
        <v>1708</v>
      </c>
      <c r="Y40" s="1698"/>
      <c r="Z40" s="1698"/>
      <c r="AA40" s="1698"/>
      <c r="AB40" s="1698"/>
      <c r="AC40" s="1698"/>
      <c r="AD40" s="1698"/>
      <c r="AE40" s="1698"/>
      <c r="AF40" s="1699"/>
    </row>
    <row r="41" spans="1:32" ht="35.25" customHeight="1" x14ac:dyDescent="0.25">
      <c r="A41" s="1485" t="s">
        <v>4755</v>
      </c>
      <c r="B41" s="1486" t="s">
        <v>639</v>
      </c>
      <c r="C41" s="1486" t="s">
        <v>639</v>
      </c>
      <c r="D41" s="1487" t="s">
        <v>639</v>
      </c>
      <c r="E41" s="1479" t="s">
        <v>4756</v>
      </c>
      <c r="F41" s="1480" t="s">
        <v>640</v>
      </c>
      <c r="G41" s="1480" t="s">
        <v>640</v>
      </c>
      <c r="H41" s="1480" t="s">
        <v>640</v>
      </c>
      <c r="I41" s="1480" t="s">
        <v>640</v>
      </c>
      <c r="J41" s="1480" t="s">
        <v>640</v>
      </c>
      <c r="K41" s="1480" t="s">
        <v>640</v>
      </c>
      <c r="L41" s="1480" t="s">
        <v>640</v>
      </c>
      <c r="M41" s="1480" t="s">
        <v>640</v>
      </c>
      <c r="N41" s="1480" t="s">
        <v>640</v>
      </c>
      <c r="O41" s="1480" t="s">
        <v>640</v>
      </c>
      <c r="P41" s="1481" t="s">
        <v>640</v>
      </c>
      <c r="Q41" s="2493" t="s">
        <v>626</v>
      </c>
      <c r="R41" s="2494" t="s">
        <v>251</v>
      </c>
      <c r="S41" s="2494" t="s">
        <v>251</v>
      </c>
      <c r="T41" s="2495" t="s">
        <v>251</v>
      </c>
      <c r="U41" s="1574" t="s">
        <v>44</v>
      </c>
      <c r="V41" s="1575"/>
      <c r="W41" s="1576"/>
      <c r="X41" s="1479" t="s">
        <v>4757</v>
      </c>
      <c r="Y41" s="1480"/>
      <c r="Z41" s="1480"/>
      <c r="AA41" s="1480"/>
      <c r="AB41" s="1480"/>
      <c r="AC41" s="1480"/>
      <c r="AD41" s="1480"/>
      <c r="AE41" s="1480"/>
      <c r="AF41" s="1481"/>
    </row>
    <row r="42" spans="1:32" s="148" customFormat="1" ht="28.9" customHeight="1" x14ac:dyDescent="0.25">
      <c r="A42" s="1485" t="s">
        <v>4758</v>
      </c>
      <c r="B42" s="1486" t="s">
        <v>639</v>
      </c>
      <c r="C42" s="1486" t="s">
        <v>639</v>
      </c>
      <c r="D42" s="1487" t="s">
        <v>639</v>
      </c>
      <c r="E42" s="1479" t="s">
        <v>4759</v>
      </c>
      <c r="F42" s="1480" t="s">
        <v>640</v>
      </c>
      <c r="G42" s="1480" t="s">
        <v>640</v>
      </c>
      <c r="H42" s="1480" t="s">
        <v>640</v>
      </c>
      <c r="I42" s="1480" t="s">
        <v>640</v>
      </c>
      <c r="J42" s="1480" t="s">
        <v>640</v>
      </c>
      <c r="K42" s="1480" t="s">
        <v>640</v>
      </c>
      <c r="L42" s="1480" t="s">
        <v>640</v>
      </c>
      <c r="M42" s="1480" t="s">
        <v>640</v>
      </c>
      <c r="N42" s="1480" t="s">
        <v>640</v>
      </c>
      <c r="O42" s="1480" t="s">
        <v>640</v>
      </c>
      <c r="P42" s="1481" t="s">
        <v>640</v>
      </c>
      <c r="Q42" s="2493" t="s">
        <v>626</v>
      </c>
      <c r="R42" s="2494" t="s">
        <v>251</v>
      </c>
      <c r="S42" s="2494" t="s">
        <v>251</v>
      </c>
      <c r="T42" s="2495" t="s">
        <v>251</v>
      </c>
      <c r="U42" s="1574" t="s">
        <v>44</v>
      </c>
      <c r="V42" s="1575"/>
      <c r="W42" s="1576"/>
      <c r="X42" s="1479" t="s">
        <v>4757</v>
      </c>
      <c r="Y42" s="1480"/>
      <c r="Z42" s="1480"/>
      <c r="AA42" s="1480"/>
      <c r="AB42" s="1480"/>
      <c r="AC42" s="1480"/>
      <c r="AD42" s="1480"/>
      <c r="AE42" s="1480"/>
      <c r="AF42" s="1481"/>
    </row>
    <row r="43" spans="1:32" s="148" customFormat="1" ht="41.25" customHeight="1" x14ac:dyDescent="0.25">
      <c r="A43" s="1680" t="s">
        <v>1760</v>
      </c>
      <c r="B43" s="1681" t="s">
        <v>641</v>
      </c>
      <c r="C43" s="1681" t="s">
        <v>641</v>
      </c>
      <c r="D43" s="1682" t="s">
        <v>641</v>
      </c>
      <c r="E43" s="1494" t="s">
        <v>4760</v>
      </c>
      <c r="F43" s="1495" t="s">
        <v>642</v>
      </c>
      <c r="G43" s="1495" t="s">
        <v>642</v>
      </c>
      <c r="H43" s="1495" t="s">
        <v>642</v>
      </c>
      <c r="I43" s="1495" t="s">
        <v>642</v>
      </c>
      <c r="J43" s="1495" t="s">
        <v>642</v>
      </c>
      <c r="K43" s="1495" t="s">
        <v>642</v>
      </c>
      <c r="L43" s="1495" t="s">
        <v>642</v>
      </c>
      <c r="M43" s="1495" t="s">
        <v>642</v>
      </c>
      <c r="N43" s="1495" t="s">
        <v>642</v>
      </c>
      <c r="O43" s="1495" t="s">
        <v>642</v>
      </c>
      <c r="P43" s="1496" t="s">
        <v>642</v>
      </c>
      <c r="Q43" s="3500" t="s">
        <v>626</v>
      </c>
      <c r="R43" s="3501" t="s">
        <v>251</v>
      </c>
      <c r="S43" s="3501" t="s">
        <v>251</v>
      </c>
      <c r="T43" s="3502" t="s">
        <v>251</v>
      </c>
      <c r="U43" s="1683" t="s">
        <v>28</v>
      </c>
      <c r="V43" s="1684"/>
      <c r="W43" s="1685"/>
      <c r="X43" s="1494" t="s">
        <v>4761</v>
      </c>
      <c r="Y43" s="1495"/>
      <c r="Z43" s="1495"/>
      <c r="AA43" s="1495"/>
      <c r="AB43" s="1495"/>
      <c r="AC43" s="1495"/>
      <c r="AD43" s="1495"/>
      <c r="AE43" s="1495"/>
      <c r="AF43" s="1496"/>
    </row>
    <row r="44" spans="1:32" s="148" customFormat="1" ht="48" customHeight="1" x14ac:dyDescent="0.25">
      <c r="A44" s="1680" t="s">
        <v>42</v>
      </c>
      <c r="B44" s="1681" t="s">
        <v>641</v>
      </c>
      <c r="C44" s="1681" t="s">
        <v>641</v>
      </c>
      <c r="D44" s="1682" t="s">
        <v>641</v>
      </c>
      <c r="E44" s="1494" t="s">
        <v>4762</v>
      </c>
      <c r="F44" s="1495" t="s">
        <v>642</v>
      </c>
      <c r="G44" s="1495" t="s">
        <v>642</v>
      </c>
      <c r="H44" s="1495" t="s">
        <v>642</v>
      </c>
      <c r="I44" s="1495" t="s">
        <v>642</v>
      </c>
      <c r="J44" s="1495" t="s">
        <v>642</v>
      </c>
      <c r="K44" s="1495" t="s">
        <v>642</v>
      </c>
      <c r="L44" s="1495" t="s">
        <v>642</v>
      </c>
      <c r="M44" s="1495" t="s">
        <v>642</v>
      </c>
      <c r="N44" s="1495" t="s">
        <v>642</v>
      </c>
      <c r="O44" s="1495" t="s">
        <v>642</v>
      </c>
      <c r="P44" s="1496" t="s">
        <v>642</v>
      </c>
      <c r="Q44" s="3500" t="s">
        <v>626</v>
      </c>
      <c r="R44" s="3501" t="s">
        <v>251</v>
      </c>
      <c r="S44" s="3501" t="s">
        <v>251</v>
      </c>
      <c r="T44" s="3502" t="s">
        <v>251</v>
      </c>
      <c r="U44" s="1683" t="s">
        <v>28</v>
      </c>
      <c r="V44" s="1684"/>
      <c r="W44" s="1685"/>
      <c r="X44" s="1494" t="s">
        <v>4761</v>
      </c>
      <c r="Y44" s="1495"/>
      <c r="Z44" s="1495"/>
      <c r="AA44" s="1495"/>
      <c r="AB44" s="1495"/>
      <c r="AC44" s="1495"/>
      <c r="AD44" s="1495"/>
      <c r="AE44" s="1495"/>
      <c r="AF44" s="1496"/>
    </row>
    <row r="45" spans="1:32" s="148" customFormat="1" ht="42" customHeight="1" x14ac:dyDescent="0.25">
      <c r="A45" s="1680" t="s">
        <v>32</v>
      </c>
      <c r="B45" s="1681" t="s">
        <v>216</v>
      </c>
      <c r="C45" s="1681" t="s">
        <v>216</v>
      </c>
      <c r="D45" s="1682" t="s">
        <v>216</v>
      </c>
      <c r="E45" s="1494" t="s">
        <v>1168</v>
      </c>
      <c r="F45" s="1495" t="s">
        <v>643</v>
      </c>
      <c r="G45" s="1495" t="s">
        <v>643</v>
      </c>
      <c r="H45" s="1495" t="s">
        <v>643</v>
      </c>
      <c r="I45" s="1495" t="s">
        <v>643</v>
      </c>
      <c r="J45" s="1495" t="s">
        <v>643</v>
      </c>
      <c r="K45" s="1495" t="s">
        <v>643</v>
      </c>
      <c r="L45" s="1495" t="s">
        <v>643</v>
      </c>
      <c r="M45" s="1495" t="s">
        <v>643</v>
      </c>
      <c r="N45" s="1495" t="s">
        <v>643</v>
      </c>
      <c r="O45" s="1495" t="s">
        <v>643</v>
      </c>
      <c r="P45" s="1496" t="s">
        <v>643</v>
      </c>
      <c r="Q45" s="3500">
        <v>8760</v>
      </c>
      <c r="R45" s="3501">
        <v>8760</v>
      </c>
      <c r="S45" s="3501">
        <v>8760</v>
      </c>
      <c r="T45" s="3502">
        <v>8760</v>
      </c>
      <c r="U45" s="1683" t="s">
        <v>45</v>
      </c>
      <c r="V45" s="1684"/>
      <c r="W45" s="1685"/>
      <c r="X45" s="1494" t="s">
        <v>4763</v>
      </c>
      <c r="Y45" s="1495" t="s">
        <v>644</v>
      </c>
      <c r="Z45" s="1495" t="s">
        <v>644</v>
      </c>
      <c r="AA45" s="1495" t="s">
        <v>644</v>
      </c>
      <c r="AB45" s="1495" t="s">
        <v>644</v>
      </c>
      <c r="AC45" s="1495" t="s">
        <v>644</v>
      </c>
      <c r="AD45" s="1495" t="s">
        <v>644</v>
      </c>
      <c r="AE45" s="1495" t="s">
        <v>644</v>
      </c>
      <c r="AF45" s="1496" t="s">
        <v>644</v>
      </c>
    </row>
    <row r="46" spans="1:32" s="148" customFormat="1" ht="88.5" customHeight="1" x14ac:dyDescent="0.25">
      <c r="A46" s="1680" t="s">
        <v>545</v>
      </c>
      <c r="B46" s="1681" t="s">
        <v>545</v>
      </c>
      <c r="C46" s="1681" t="s">
        <v>545</v>
      </c>
      <c r="D46" s="1682" t="s">
        <v>545</v>
      </c>
      <c r="E46" s="1494" t="s">
        <v>104</v>
      </c>
      <c r="F46" s="1495" t="s">
        <v>546</v>
      </c>
      <c r="G46" s="1495" t="s">
        <v>546</v>
      </c>
      <c r="H46" s="1495" t="s">
        <v>546</v>
      </c>
      <c r="I46" s="1495" t="s">
        <v>546</v>
      </c>
      <c r="J46" s="1495" t="s">
        <v>546</v>
      </c>
      <c r="K46" s="1495" t="s">
        <v>546</v>
      </c>
      <c r="L46" s="1495" t="s">
        <v>546</v>
      </c>
      <c r="M46" s="1495" t="s">
        <v>546</v>
      </c>
      <c r="N46" s="1495" t="s">
        <v>546</v>
      </c>
      <c r="O46" s="1495" t="s">
        <v>546</v>
      </c>
      <c r="P46" s="1496" t="s">
        <v>546</v>
      </c>
      <c r="Q46" s="3598">
        <v>1</v>
      </c>
      <c r="R46" s="3599">
        <v>0.87</v>
      </c>
      <c r="S46" s="3599">
        <v>0.87</v>
      </c>
      <c r="T46" s="3600">
        <v>0.87</v>
      </c>
      <c r="U46" s="1683" t="s">
        <v>28</v>
      </c>
      <c r="V46" s="1684"/>
      <c r="W46" s="1685"/>
      <c r="X46" s="1494" t="s">
        <v>4764</v>
      </c>
      <c r="Y46" s="1495" t="s">
        <v>645</v>
      </c>
      <c r="Z46" s="1495" t="s">
        <v>645</v>
      </c>
      <c r="AA46" s="1495" t="s">
        <v>645</v>
      </c>
      <c r="AB46" s="1495" t="s">
        <v>645</v>
      </c>
      <c r="AC46" s="1495" t="s">
        <v>645</v>
      </c>
      <c r="AD46" s="1495" t="s">
        <v>645</v>
      </c>
      <c r="AE46" s="1495" t="s">
        <v>645</v>
      </c>
      <c r="AF46" s="1496" t="s">
        <v>645</v>
      </c>
    </row>
    <row r="47" spans="1:32" ht="33.75" customHeight="1" x14ac:dyDescent="0.25">
      <c r="A47" s="1680" t="s">
        <v>3935</v>
      </c>
      <c r="B47" s="1681" t="s">
        <v>34</v>
      </c>
      <c r="C47" s="1681" t="s">
        <v>34</v>
      </c>
      <c r="D47" s="1682" t="s">
        <v>34</v>
      </c>
      <c r="E47" s="1494" t="s">
        <v>2217</v>
      </c>
      <c r="F47" s="1495" t="s">
        <v>219</v>
      </c>
      <c r="G47" s="1495" t="s">
        <v>219</v>
      </c>
      <c r="H47" s="1495" t="s">
        <v>219</v>
      </c>
      <c r="I47" s="1495" t="s">
        <v>219</v>
      </c>
      <c r="J47" s="1495" t="s">
        <v>219</v>
      </c>
      <c r="K47" s="1495" t="s">
        <v>219</v>
      </c>
      <c r="L47" s="1495" t="s">
        <v>219</v>
      </c>
      <c r="M47" s="1495" t="s">
        <v>219</v>
      </c>
      <c r="N47" s="1495" t="s">
        <v>219</v>
      </c>
      <c r="O47" s="1495" t="s">
        <v>219</v>
      </c>
      <c r="P47" s="1496" t="s">
        <v>219</v>
      </c>
      <c r="Q47" s="3409">
        <f>'Master EUL'!X41</f>
        <v>5</v>
      </c>
      <c r="R47" s="3410" t="s">
        <v>606</v>
      </c>
      <c r="S47" s="3410" t="s">
        <v>606</v>
      </c>
      <c r="T47" s="3411" t="s">
        <v>606</v>
      </c>
      <c r="U47" s="1683" t="s">
        <v>46</v>
      </c>
      <c r="V47" s="1684"/>
      <c r="W47" s="1685"/>
      <c r="X47" s="1494" t="s">
        <v>4765</v>
      </c>
      <c r="Y47" s="1495"/>
      <c r="Z47" s="1495"/>
      <c r="AA47" s="1495"/>
      <c r="AB47" s="1495"/>
      <c r="AC47" s="1495"/>
      <c r="AD47" s="1495"/>
      <c r="AE47" s="1495"/>
      <c r="AF47" s="1496"/>
    </row>
    <row r="48" spans="1:32" ht="29.25" customHeight="1" x14ac:dyDescent="0.25">
      <c r="A48" s="3601" t="s">
        <v>2672</v>
      </c>
      <c r="B48" s="3601"/>
      <c r="C48" s="1290" t="s">
        <v>4766</v>
      </c>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row>
    <row r="49" spans="1:32" s="1" customFormat="1" x14ac:dyDescent="0.2">
      <c r="A49" s="635"/>
      <c r="B49" s="459"/>
      <c r="C49" s="1289" t="s">
        <v>4767</v>
      </c>
      <c r="D49" s="1289"/>
      <c r="E49" s="1289"/>
      <c r="F49" s="1289"/>
      <c r="G49" s="1289"/>
      <c r="H49" s="1289"/>
      <c r="I49" s="1289"/>
      <c r="J49" s="1289"/>
      <c r="K49" s="1289"/>
      <c r="L49" s="1289"/>
      <c r="M49" s="1289"/>
      <c r="N49" s="1289"/>
      <c r="O49" s="1289"/>
      <c r="P49" s="1289"/>
      <c r="Q49" s="1289"/>
      <c r="R49" s="1289"/>
      <c r="S49" s="1289"/>
      <c r="T49" s="1289"/>
      <c r="U49" s="1289"/>
      <c r="V49" s="1289"/>
      <c r="W49" s="1289"/>
      <c r="X49" s="1289"/>
      <c r="Y49" s="1289"/>
      <c r="Z49" s="1289"/>
      <c r="AA49" s="1289"/>
      <c r="AB49" s="1289"/>
      <c r="AC49" s="1289"/>
      <c r="AD49" s="1289"/>
      <c r="AE49" s="1289"/>
      <c r="AF49" s="1289"/>
    </row>
    <row r="50" spans="1:32" x14ac:dyDescent="0.25">
      <c r="A50" s="147"/>
    </row>
    <row r="51" spans="1:32" s="148" customFormat="1" x14ac:dyDescent="0.25">
      <c r="A51" s="275" t="s">
        <v>646</v>
      </c>
      <c r="B51"/>
      <c r="C51"/>
      <c r="D51"/>
      <c r="E51"/>
      <c r="F51"/>
      <c r="G51"/>
      <c r="H51"/>
      <c r="I51"/>
      <c r="J51"/>
      <c r="K51"/>
      <c r="L51"/>
      <c r="M51"/>
      <c r="N51"/>
      <c r="O51"/>
      <c r="P51"/>
      <c r="Q51"/>
      <c r="R51"/>
      <c r="S51"/>
      <c r="T51"/>
      <c r="U51"/>
      <c r="V51"/>
      <c r="W51"/>
      <c r="X51"/>
      <c r="Y51"/>
      <c r="Z51"/>
      <c r="AA51"/>
      <c r="AB51"/>
      <c r="AC51"/>
      <c r="AD51"/>
      <c r="AE51"/>
      <c r="AF51"/>
    </row>
    <row r="52" spans="1:32" s="148" customFormat="1" ht="33.75" customHeight="1" x14ac:dyDescent="0.25">
      <c r="A52" s="752"/>
      <c r="B52" s="752"/>
      <c r="C52" s="3602"/>
      <c r="D52" s="3603"/>
      <c r="E52" s="3603"/>
      <c r="F52" s="3604"/>
      <c r="G52" s="1514" t="s">
        <v>4768</v>
      </c>
      <c r="H52" s="1515"/>
      <c r="I52" s="1516"/>
      <c r="J52" s="1514" t="s">
        <v>4758</v>
      </c>
      <c r="K52" s="1515"/>
      <c r="L52" s="1516"/>
      <c r="M52" s="1514" t="s">
        <v>1760</v>
      </c>
      <c r="N52" s="1515"/>
      <c r="O52" s="1516"/>
      <c r="P52" s="1514" t="s">
        <v>42</v>
      </c>
      <c r="Q52" s="1515"/>
      <c r="R52" s="1516"/>
      <c r="S52" s="1514" t="s">
        <v>4769</v>
      </c>
      <c r="T52" s="1515"/>
      <c r="U52" s="1516"/>
      <c r="V52" s="1514" t="s">
        <v>4770</v>
      </c>
      <c r="W52" s="1515"/>
      <c r="X52" s="1516"/>
    </row>
    <row r="53" spans="1:32" s="148" customFormat="1" ht="38.25" customHeight="1" x14ac:dyDescent="0.25">
      <c r="A53" s="3605" t="s">
        <v>913</v>
      </c>
      <c r="B53" s="3606"/>
      <c r="C53" s="1482" t="s">
        <v>4771</v>
      </c>
      <c r="D53" s="1483"/>
      <c r="E53" s="1483"/>
      <c r="F53" s="1484"/>
      <c r="G53" s="3611">
        <v>312</v>
      </c>
      <c r="H53" s="3612"/>
      <c r="I53" s="3613"/>
      <c r="J53" s="1775">
        <v>0.13</v>
      </c>
      <c r="K53" s="1776"/>
      <c r="L53" s="1777"/>
      <c r="M53" s="1775">
        <v>1</v>
      </c>
      <c r="N53" s="1776"/>
      <c r="O53" s="1777"/>
      <c r="P53" s="1775">
        <v>0.91277777777777769</v>
      </c>
      <c r="Q53" s="1776"/>
      <c r="R53" s="1777"/>
      <c r="S53" s="3611">
        <f>G53*J53*M53*P53</f>
        <v>37.022266666666667</v>
      </c>
      <c r="T53" s="3612"/>
      <c r="U53" s="3613"/>
      <c r="V53" s="3614">
        <f>G53*J53*M53*P53/$Q$45*$Q$46</f>
        <v>4.2262861491628619E-3</v>
      </c>
      <c r="W53" s="3615"/>
      <c r="X53" s="3616"/>
    </row>
    <row r="54" spans="1:32" s="148" customFormat="1" ht="45" customHeight="1" x14ac:dyDescent="0.25">
      <c r="A54" s="3607"/>
      <c r="B54" s="3608"/>
      <c r="C54" s="1482" t="s">
        <v>5033</v>
      </c>
      <c r="D54" s="1483"/>
      <c r="E54" s="1483"/>
      <c r="F54" s="1484"/>
      <c r="G54" s="3611">
        <v>465.60365130535598</v>
      </c>
      <c r="H54" s="3612"/>
      <c r="I54" s="3613"/>
      <c r="J54" s="1775">
        <v>0.181091954022988</v>
      </c>
      <c r="K54" s="1776"/>
      <c r="L54" s="1777"/>
      <c r="M54" s="1775">
        <v>1</v>
      </c>
      <c r="N54" s="1776"/>
      <c r="O54" s="1777"/>
      <c r="P54" s="1775">
        <v>0.91277777777777769</v>
      </c>
      <c r="Q54" s="1776"/>
      <c r="R54" s="1777"/>
      <c r="S54" s="3611">
        <f t="shared" ref="S54:S60" si="0">G54*J54*M54*P54</f>
        <v>76.962752361027853</v>
      </c>
      <c r="T54" s="3612"/>
      <c r="U54" s="3613"/>
      <c r="V54" s="3614">
        <f t="shared" ref="V54:V60" si="1">G54*J54*M54*P54/$Q$45*$Q$46</f>
        <v>8.7857023243182487E-3</v>
      </c>
      <c r="W54" s="3615"/>
      <c r="X54" s="3616"/>
    </row>
    <row r="55" spans="1:32" ht="42.75" customHeight="1" x14ac:dyDescent="0.25">
      <c r="A55" s="3607"/>
      <c r="B55" s="3608"/>
      <c r="C55" s="1482" t="s">
        <v>4772</v>
      </c>
      <c r="D55" s="1483"/>
      <c r="E55" s="1483"/>
      <c r="F55" s="1484"/>
      <c r="G55" s="3611">
        <v>312</v>
      </c>
      <c r="H55" s="3612"/>
      <c r="I55" s="3613"/>
      <c r="J55" s="1775">
        <v>0.22530268476109699</v>
      </c>
      <c r="K55" s="1776"/>
      <c r="L55" s="1777"/>
      <c r="M55" s="1775">
        <v>1</v>
      </c>
      <c r="N55" s="1776"/>
      <c r="O55" s="1777"/>
      <c r="P55" s="1775">
        <v>0.91277777777777769</v>
      </c>
      <c r="Q55" s="1776"/>
      <c r="R55" s="1777"/>
      <c r="S55" s="3611">
        <f t="shared" si="0"/>
        <v>64.163200584163604</v>
      </c>
      <c r="T55" s="3612"/>
      <c r="U55" s="3613"/>
      <c r="V55" s="3614">
        <f t="shared" si="1"/>
        <v>7.3245662767310047E-3</v>
      </c>
      <c r="W55" s="3615"/>
      <c r="X55" s="3616"/>
      <c r="Y55" s="148"/>
      <c r="Z55" s="148"/>
      <c r="AA55" s="148"/>
      <c r="AB55" s="148"/>
      <c r="AC55" s="148"/>
      <c r="AD55" s="148"/>
      <c r="AE55" s="148"/>
      <c r="AF55" s="148"/>
    </row>
    <row r="56" spans="1:32" ht="45" customHeight="1" x14ac:dyDescent="0.25">
      <c r="A56" s="3609"/>
      <c r="B56" s="3610"/>
      <c r="C56" s="1482" t="s">
        <v>5034</v>
      </c>
      <c r="D56" s="1483"/>
      <c r="E56" s="1483"/>
      <c r="F56" s="1484"/>
      <c r="G56" s="3611">
        <v>465.60365130535598</v>
      </c>
      <c r="H56" s="3612"/>
      <c r="I56" s="3613"/>
      <c r="J56" s="1775">
        <v>0.22530268476109699</v>
      </c>
      <c r="K56" s="1776"/>
      <c r="L56" s="1777"/>
      <c r="M56" s="1775">
        <v>1</v>
      </c>
      <c r="N56" s="1776"/>
      <c r="O56" s="1777"/>
      <c r="P56" s="1775">
        <v>0.85</v>
      </c>
      <c r="Q56" s="1776"/>
      <c r="R56" s="1777"/>
      <c r="S56" s="3611">
        <f t="shared" si="0"/>
        <v>89.166489772616401</v>
      </c>
      <c r="T56" s="3612"/>
      <c r="U56" s="3613"/>
      <c r="V56" s="3614">
        <f t="shared" si="1"/>
        <v>1.0178823033403698E-2</v>
      </c>
      <c r="W56" s="3615"/>
      <c r="X56" s="3616"/>
      <c r="Y56" s="148"/>
      <c r="Z56" s="148"/>
      <c r="AA56" s="148"/>
      <c r="AB56" s="148"/>
      <c r="AC56" s="148"/>
      <c r="AD56" s="148"/>
      <c r="AE56" s="148"/>
      <c r="AF56" s="148"/>
    </row>
    <row r="57" spans="1:32" ht="47.25" customHeight="1" x14ac:dyDescent="0.25">
      <c r="A57" s="3605" t="s">
        <v>4773</v>
      </c>
      <c r="B57" s="3606"/>
      <c r="C57" s="1482" t="s">
        <v>4771</v>
      </c>
      <c r="D57" s="1483"/>
      <c r="E57" s="1483"/>
      <c r="F57" s="1484"/>
      <c r="G57" s="3611">
        <v>312</v>
      </c>
      <c r="H57" s="3612"/>
      <c r="I57" s="3613"/>
      <c r="J57" s="1775">
        <v>0.13</v>
      </c>
      <c r="K57" s="1776"/>
      <c r="L57" s="1777"/>
      <c r="M57" s="1775">
        <v>0.68151685393258432</v>
      </c>
      <c r="N57" s="1776"/>
      <c r="O57" s="1777"/>
      <c r="P57" s="1775">
        <v>0.90288888888888885</v>
      </c>
      <c r="Q57" s="1776"/>
      <c r="R57" s="1777"/>
      <c r="S57" s="3611">
        <f t="shared" si="0"/>
        <v>24.957946837453186</v>
      </c>
      <c r="T57" s="3612"/>
      <c r="U57" s="3613"/>
      <c r="V57" s="3614">
        <f t="shared" si="1"/>
        <v>2.8490806892069848E-3</v>
      </c>
      <c r="W57" s="3615"/>
      <c r="X57" s="3616"/>
      <c r="Y57" s="148"/>
      <c r="Z57" s="148"/>
      <c r="AA57" s="148"/>
      <c r="AB57" s="148"/>
      <c r="AC57" s="148"/>
      <c r="AD57" s="148"/>
      <c r="AE57" s="148"/>
      <c r="AF57" s="148"/>
    </row>
    <row r="58" spans="1:32" ht="55.5" customHeight="1" x14ac:dyDescent="0.25">
      <c r="A58" s="3607"/>
      <c r="B58" s="3608"/>
      <c r="C58" s="1482" t="s">
        <v>5033</v>
      </c>
      <c r="D58" s="1483"/>
      <c r="E58" s="1483"/>
      <c r="F58" s="1484"/>
      <c r="G58" s="3611">
        <v>465.60365130535598</v>
      </c>
      <c r="H58" s="3612"/>
      <c r="I58" s="3613"/>
      <c r="J58" s="1775">
        <v>0.181091954022988</v>
      </c>
      <c r="K58" s="1776"/>
      <c r="L58" s="1777"/>
      <c r="M58" s="1775">
        <v>0.68151685393258432</v>
      </c>
      <c r="N58" s="1776"/>
      <c r="O58" s="1777"/>
      <c r="P58" s="1775">
        <v>0.90288888888888885</v>
      </c>
      <c r="Q58" s="1776"/>
      <c r="R58" s="1777"/>
      <c r="S58" s="3611">
        <f t="shared" si="0"/>
        <v>51.883162616297795</v>
      </c>
      <c r="T58" s="3612"/>
      <c r="U58" s="3613"/>
      <c r="V58" s="3614">
        <f t="shared" si="1"/>
        <v>5.9227354584814838E-3</v>
      </c>
      <c r="W58" s="3615"/>
      <c r="X58" s="3616"/>
      <c r="Y58" s="148"/>
      <c r="Z58" s="148"/>
      <c r="AA58" s="148"/>
      <c r="AB58" s="148"/>
      <c r="AC58" s="148"/>
      <c r="AD58" s="148"/>
      <c r="AE58" s="148"/>
      <c r="AF58" s="148"/>
    </row>
    <row r="59" spans="1:32" ht="36.75" customHeight="1" x14ac:dyDescent="0.25">
      <c r="A59" s="3607"/>
      <c r="B59" s="3608"/>
      <c r="C59" s="1482" t="s">
        <v>4772</v>
      </c>
      <c r="D59" s="1483"/>
      <c r="E59" s="1483"/>
      <c r="F59" s="1484"/>
      <c r="G59" s="3611">
        <v>312</v>
      </c>
      <c r="H59" s="3612"/>
      <c r="I59" s="3613"/>
      <c r="J59" s="1775">
        <v>0.22530268476109699</v>
      </c>
      <c r="K59" s="1776"/>
      <c r="L59" s="1777"/>
      <c r="M59" s="1775">
        <v>0.68151685393258432</v>
      </c>
      <c r="N59" s="1776"/>
      <c r="O59" s="1777"/>
      <c r="P59" s="1775">
        <v>0.90288888888888885</v>
      </c>
      <c r="Q59" s="1776"/>
      <c r="R59" s="1777"/>
      <c r="S59" s="3611">
        <f t="shared" si="0"/>
        <v>43.254557143099483</v>
      </c>
      <c r="T59" s="3612"/>
      <c r="U59" s="3613"/>
      <c r="V59" s="3614">
        <f t="shared" si="1"/>
        <v>4.9377348336871558E-3</v>
      </c>
      <c r="W59" s="3615"/>
      <c r="X59" s="3616"/>
      <c r="Y59" s="148"/>
      <c r="Z59" s="148"/>
      <c r="AA59" s="148"/>
      <c r="AB59" s="148"/>
      <c r="AC59" s="148"/>
      <c r="AD59" s="148"/>
      <c r="AE59" s="148"/>
      <c r="AF59" s="148"/>
    </row>
    <row r="60" spans="1:32" ht="62.25" customHeight="1" x14ac:dyDescent="0.25">
      <c r="A60" s="3609"/>
      <c r="B60" s="3610"/>
      <c r="C60" s="1482" t="s">
        <v>5034</v>
      </c>
      <c r="D60" s="1483"/>
      <c r="E60" s="1483"/>
      <c r="F60" s="1484"/>
      <c r="G60" s="3611">
        <v>465.60365130535598</v>
      </c>
      <c r="H60" s="3612"/>
      <c r="I60" s="3613"/>
      <c r="J60" s="1775">
        <v>0.22530268476109699</v>
      </c>
      <c r="K60" s="1776"/>
      <c r="L60" s="1777"/>
      <c r="M60" s="1775">
        <v>0.61348314606741583</v>
      </c>
      <c r="N60" s="1776"/>
      <c r="O60" s="1777"/>
      <c r="P60" s="1775">
        <v>0.89875000000000005</v>
      </c>
      <c r="Q60" s="1776"/>
      <c r="R60" s="1777"/>
      <c r="S60" s="3611">
        <f t="shared" si="0"/>
        <v>57.839467210831323</v>
      </c>
      <c r="T60" s="3612"/>
      <c r="U60" s="3613"/>
      <c r="V60" s="3614">
        <f t="shared" si="1"/>
        <v>6.602678905346041E-3</v>
      </c>
      <c r="W60" s="3615"/>
      <c r="X60" s="3616"/>
      <c r="Y60" s="148"/>
      <c r="Z60" s="148"/>
      <c r="AA60" s="148"/>
      <c r="AB60" s="148"/>
      <c r="AC60" s="148"/>
      <c r="AD60" s="148"/>
      <c r="AE60" s="148"/>
      <c r="AF60" s="148"/>
    </row>
    <row r="61" spans="1:32" ht="30.75" customHeight="1" x14ac:dyDescent="0.25">
      <c r="A61" s="1416" t="s">
        <v>1048</v>
      </c>
      <c r="B61" s="1416"/>
      <c r="C61" s="1290" t="s">
        <v>5037</v>
      </c>
      <c r="D61" s="1290"/>
      <c r="E61" s="1290"/>
      <c r="F61" s="1290"/>
      <c r="G61" s="1290"/>
      <c r="H61" s="1290"/>
      <c r="I61" s="1290"/>
      <c r="J61" s="1290"/>
      <c r="K61" s="1290"/>
      <c r="L61" s="1290"/>
      <c r="M61" s="1290"/>
      <c r="N61" s="1290"/>
      <c r="O61" s="1290"/>
      <c r="P61" s="1290"/>
      <c r="Q61" s="1290"/>
      <c r="R61" s="1290"/>
      <c r="S61" s="1290"/>
      <c r="T61" s="1290"/>
      <c r="U61" s="1290"/>
      <c r="V61" s="1290"/>
      <c r="W61" s="1290"/>
      <c r="X61" s="1290"/>
      <c r="Y61" s="1290"/>
      <c r="Z61" s="1290"/>
      <c r="AA61" s="1290"/>
      <c r="AB61" s="1290"/>
      <c r="AC61" s="1290"/>
      <c r="AD61" s="1290"/>
      <c r="AE61" s="1290"/>
      <c r="AF61" s="1290"/>
    </row>
    <row r="62" spans="1:32" x14ac:dyDescent="0.25">
      <c r="A62" s="498"/>
      <c r="B62" s="498"/>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row>
    <row r="63" spans="1:32" s="1" customFormat="1" x14ac:dyDescent="0.25">
      <c r="A63" s="275" t="s">
        <v>4774</v>
      </c>
      <c r="B63"/>
      <c r="C63"/>
      <c r="D63"/>
      <c r="E63"/>
      <c r="F63"/>
      <c r="G63"/>
      <c r="H63"/>
      <c r="I63"/>
      <c r="J63"/>
      <c r="K63"/>
      <c r="L63"/>
      <c r="M63"/>
      <c r="N63"/>
      <c r="O63"/>
      <c r="P63"/>
      <c r="Q63"/>
      <c r="R63"/>
      <c r="S63"/>
      <c r="T63"/>
      <c r="U63"/>
      <c r="V63"/>
      <c r="W63"/>
      <c r="X63"/>
      <c r="Y63"/>
      <c r="Z63"/>
      <c r="AA63"/>
      <c r="AB63"/>
      <c r="AC63"/>
      <c r="AD63"/>
      <c r="AE63"/>
      <c r="AF63"/>
    </row>
    <row r="64" spans="1:32" x14ac:dyDescent="0.25">
      <c r="A64" s="748"/>
      <c r="B64" s="748"/>
      <c r="C64" s="1514" t="s">
        <v>4775</v>
      </c>
      <c r="D64" s="1515"/>
      <c r="E64" s="1515"/>
      <c r="F64" s="1516"/>
      <c r="G64" s="3617" t="s">
        <v>30</v>
      </c>
      <c r="H64" s="3618"/>
      <c r="I64" s="3619"/>
      <c r="J64" s="749"/>
      <c r="K64" s="749"/>
      <c r="L64" s="749"/>
      <c r="M64" s="749"/>
      <c r="N64" s="749"/>
      <c r="O64" s="749"/>
      <c r="P64" s="749"/>
      <c r="Q64" s="749"/>
      <c r="R64" s="749"/>
      <c r="S64" s="749"/>
      <c r="T64" s="749"/>
      <c r="U64" s="749"/>
      <c r="V64" s="749"/>
      <c r="W64" s="749"/>
      <c r="X64" s="749"/>
      <c r="Y64" s="749"/>
      <c r="Z64" s="749"/>
      <c r="AA64" s="749"/>
      <c r="AB64" s="749"/>
      <c r="AC64" s="749"/>
      <c r="AD64" s="749"/>
      <c r="AE64" s="749"/>
      <c r="AF64" s="749"/>
    </row>
    <row r="65" spans="1:32" x14ac:dyDescent="0.25">
      <c r="A65" s="748"/>
      <c r="B65" s="748"/>
      <c r="C65" s="1482" t="s">
        <v>4776</v>
      </c>
      <c r="D65" s="1483"/>
      <c r="E65" s="1483"/>
      <c r="F65" s="1484"/>
      <c r="G65" s="1775">
        <v>0.35464535464535463</v>
      </c>
      <c r="H65" s="1776"/>
      <c r="I65" s="1777"/>
      <c r="J65" s="749"/>
      <c r="K65" s="749"/>
      <c r="L65" s="749"/>
      <c r="M65" s="749"/>
      <c r="N65" s="749"/>
      <c r="O65" s="749"/>
      <c r="P65" s="749"/>
      <c r="Q65" s="749"/>
      <c r="R65" s="749"/>
      <c r="S65" s="749"/>
      <c r="T65" s="749"/>
      <c r="U65" s="749"/>
      <c r="V65" s="749"/>
      <c r="W65" s="749"/>
      <c r="X65" s="749"/>
      <c r="Y65" s="749"/>
      <c r="Z65" s="749"/>
      <c r="AA65" s="749"/>
      <c r="AB65" s="749"/>
      <c r="AC65" s="749"/>
      <c r="AD65" s="749"/>
      <c r="AE65" s="749"/>
      <c r="AF65" s="749"/>
    </row>
    <row r="66" spans="1:32" ht="30" customHeight="1" x14ac:dyDescent="0.25">
      <c r="A66" s="748"/>
      <c r="B66" s="748"/>
      <c r="C66" s="1482" t="s">
        <v>5035</v>
      </c>
      <c r="D66" s="1483"/>
      <c r="E66" s="1483"/>
      <c r="F66" s="1484"/>
      <c r="G66" s="1775">
        <v>0.64535464535464537</v>
      </c>
      <c r="H66" s="1776"/>
      <c r="I66" s="1777"/>
      <c r="J66" s="749"/>
      <c r="K66" s="749"/>
      <c r="L66" s="749"/>
      <c r="M66" s="749"/>
      <c r="N66" s="749"/>
      <c r="O66" s="749"/>
      <c r="P66" s="749"/>
      <c r="Q66" s="749"/>
      <c r="R66" s="749"/>
      <c r="S66" s="749"/>
      <c r="T66" s="749"/>
      <c r="U66" s="749"/>
      <c r="V66" s="749"/>
      <c r="W66" s="749"/>
      <c r="X66" s="749"/>
      <c r="Y66" s="749"/>
      <c r="Z66" s="749"/>
      <c r="AA66" s="749"/>
      <c r="AB66" s="749"/>
      <c r="AC66" s="749"/>
      <c r="AD66" s="749"/>
      <c r="AE66" s="749"/>
      <c r="AF66" s="749"/>
    </row>
    <row r="67" spans="1:32" ht="46.5" customHeight="1" x14ac:dyDescent="0.25">
      <c r="A67" s="1417" t="s">
        <v>1048</v>
      </c>
      <c r="B67" s="1417"/>
      <c r="C67" s="1415" t="s">
        <v>4777</v>
      </c>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row>
    <row r="68" spans="1:32" x14ac:dyDescent="0.25">
      <c r="A68" s="147"/>
    </row>
    <row r="69" spans="1:32" x14ac:dyDescent="0.25">
      <c r="A69" s="147"/>
    </row>
    <row r="70" spans="1:32" x14ac:dyDescent="0.25">
      <c r="A70" s="1472" t="s">
        <v>21</v>
      </c>
      <c r="B70" s="1472"/>
      <c r="C70" s="1472"/>
      <c r="D70" s="1472"/>
      <c r="E70" s="1472"/>
      <c r="F70" s="1472"/>
      <c r="G70" s="1472"/>
      <c r="H70" s="1472"/>
      <c r="I70" s="1472"/>
      <c r="J70" s="1472"/>
      <c r="K70" s="1472"/>
      <c r="L70" s="1472"/>
      <c r="M70" s="1472"/>
      <c r="N70" s="1472"/>
      <c r="O70" s="1472"/>
      <c r="P70" s="1472"/>
      <c r="Q70" s="1472"/>
      <c r="R70" s="1472"/>
      <c r="S70" s="1472"/>
      <c r="T70" s="1472"/>
      <c r="U70" s="1472"/>
      <c r="V70" s="1472"/>
      <c r="W70" s="1472"/>
      <c r="X70" s="1472"/>
      <c r="Y70" s="1472"/>
      <c r="Z70" s="1472"/>
      <c r="AA70" s="1472"/>
      <c r="AB70" s="1472"/>
      <c r="AC70" s="1472"/>
      <c r="AD70" s="1472"/>
      <c r="AE70" s="1472"/>
      <c r="AF70" s="1472"/>
    </row>
    <row r="71" spans="1:32" ht="16.5" thickBot="1" x14ac:dyDescent="0.3">
      <c r="A71" s="21"/>
    </row>
    <row r="72" spans="1:32" ht="30" customHeight="1" x14ac:dyDescent="0.25">
      <c r="A72" s="1583" t="s">
        <v>22</v>
      </c>
      <c r="B72" s="1584"/>
      <c r="C72" s="1584"/>
      <c r="D72" s="1584"/>
      <c r="E72" s="1584"/>
      <c r="F72" s="1584"/>
      <c r="G72" s="1584"/>
      <c r="H72" s="1584"/>
      <c r="I72" s="1584" t="s">
        <v>23</v>
      </c>
      <c r="J72" s="1584"/>
      <c r="K72" s="1584"/>
      <c r="L72" s="1584"/>
      <c r="M72" s="1584"/>
      <c r="N72" s="1584"/>
      <c r="O72" s="1584"/>
      <c r="P72" s="1584"/>
      <c r="Q72" s="1584" t="s">
        <v>24</v>
      </c>
      <c r="R72" s="1584"/>
      <c r="S72" s="1584"/>
      <c r="T72" s="1584"/>
      <c r="U72" s="1584"/>
      <c r="V72" s="1584"/>
      <c r="W72" s="1584"/>
      <c r="X72" s="1610"/>
      <c r="Y72" s="1643" t="s">
        <v>2012</v>
      </c>
      <c r="Z72" s="1643"/>
      <c r="AA72" s="1643"/>
      <c r="AB72" s="1643"/>
      <c r="AC72" s="1643"/>
      <c r="AD72" s="1643"/>
      <c r="AE72" s="1643"/>
      <c r="AF72" s="1644"/>
    </row>
    <row r="73" spans="1:32" ht="30" customHeight="1" x14ac:dyDescent="0.25">
      <c r="A73" s="1962" t="s">
        <v>4778</v>
      </c>
      <c r="B73" s="1920"/>
      <c r="C73" s="1920"/>
      <c r="D73" s="1920"/>
      <c r="E73" s="1920"/>
      <c r="F73" s="1920"/>
      <c r="G73" s="1920"/>
      <c r="H73" s="1920"/>
      <c r="I73" s="1783">
        <f>ROUND(SUMPRODUCT($V$53:$X$54,$G$65:$I$66),3)</f>
        <v>7.0000000000000001E-3</v>
      </c>
      <c r="J73" s="1783"/>
      <c r="K73" s="1783"/>
      <c r="L73" s="1783"/>
      <c r="M73" s="1783"/>
      <c r="N73" s="1783"/>
      <c r="O73" s="1783"/>
      <c r="P73" s="1783"/>
      <c r="Q73" s="1784">
        <f>ROUND(SUMPRODUCT($S$53:$U$54,$G$65:$I$66),2)</f>
        <v>62.8</v>
      </c>
      <c r="R73" s="1784"/>
      <c r="S73" s="1784"/>
      <c r="T73" s="1784"/>
      <c r="U73" s="1784"/>
      <c r="V73" s="1784"/>
      <c r="W73" s="1784"/>
      <c r="X73" s="3358"/>
      <c r="Y73" s="2468">
        <f>ROUND(Q73*$Q$47,2)</f>
        <v>314</v>
      </c>
      <c r="Z73" s="2468"/>
      <c r="AA73" s="2468"/>
      <c r="AB73" s="2468"/>
      <c r="AC73" s="2468"/>
      <c r="AD73" s="2468"/>
      <c r="AE73" s="2468"/>
      <c r="AF73" s="2469"/>
    </row>
    <row r="74" spans="1:32" ht="30" customHeight="1" thickBot="1" x14ac:dyDescent="0.3">
      <c r="A74" s="3620" t="s">
        <v>4779</v>
      </c>
      <c r="B74" s="3621"/>
      <c r="C74" s="3621"/>
      <c r="D74" s="3621"/>
      <c r="E74" s="3621"/>
      <c r="F74" s="3621"/>
      <c r="G74" s="3621"/>
      <c r="H74" s="3621"/>
      <c r="I74" s="3622">
        <f>ROUND(SUMPRODUCT($V$55:$X$56,$G$65:$I$66),3)</f>
        <v>8.9999999999999993E-3</v>
      </c>
      <c r="J74" s="3622"/>
      <c r="K74" s="3622"/>
      <c r="L74" s="3622"/>
      <c r="M74" s="3622"/>
      <c r="N74" s="3622"/>
      <c r="O74" s="3622"/>
      <c r="P74" s="3622"/>
      <c r="Q74" s="3623">
        <f>ROUND(SUMPRODUCT($S$55:$U$56,$G$65:$I$66),2)</f>
        <v>80.3</v>
      </c>
      <c r="R74" s="3623"/>
      <c r="S74" s="3623"/>
      <c r="T74" s="3623"/>
      <c r="U74" s="3623"/>
      <c r="V74" s="3623"/>
      <c r="W74" s="3623"/>
      <c r="X74" s="3624"/>
      <c r="Y74" s="3625">
        <f>ROUND(Q74*$Q$47,2)</f>
        <v>401.5</v>
      </c>
      <c r="Z74" s="3625"/>
      <c r="AA74" s="3625"/>
      <c r="AB74" s="3625"/>
      <c r="AC74" s="3625"/>
      <c r="AD74" s="3625"/>
      <c r="AE74" s="3625"/>
      <c r="AF74" s="3626"/>
    </row>
    <row r="75" spans="1:32" ht="30" customHeight="1" x14ac:dyDescent="0.25">
      <c r="A75" s="1956" t="s">
        <v>4780</v>
      </c>
      <c r="B75" s="3627"/>
      <c r="C75" s="3627"/>
      <c r="D75" s="3627"/>
      <c r="E75" s="3627"/>
      <c r="F75" s="3627"/>
      <c r="G75" s="3627"/>
      <c r="H75" s="3627"/>
      <c r="I75" s="1958">
        <f>ROUND(SUMPRODUCT($V$57:$X$58,$G$65:$I$66),3)</f>
        <v>5.0000000000000001E-3</v>
      </c>
      <c r="J75" s="1958"/>
      <c r="K75" s="1958"/>
      <c r="L75" s="1958"/>
      <c r="M75" s="1958"/>
      <c r="N75" s="1958"/>
      <c r="O75" s="1958"/>
      <c r="P75" s="1958"/>
      <c r="Q75" s="3628">
        <f>ROUND(SUMPRODUCT($S$57:$U$58,$G$65:$I$66),2)</f>
        <v>42.33</v>
      </c>
      <c r="R75" s="3628"/>
      <c r="S75" s="3628"/>
      <c r="T75" s="3628"/>
      <c r="U75" s="3628"/>
      <c r="V75" s="3628"/>
      <c r="W75" s="3628"/>
      <c r="X75" s="3629"/>
      <c r="Y75" s="3630">
        <f>ROUND(Q75*$Q$47,2)</f>
        <v>211.65</v>
      </c>
      <c r="Z75" s="3630"/>
      <c r="AA75" s="3630"/>
      <c r="AB75" s="3630"/>
      <c r="AC75" s="3630"/>
      <c r="AD75" s="3630"/>
      <c r="AE75" s="3630"/>
      <c r="AF75" s="3631"/>
    </row>
    <row r="76" spans="1:32" ht="30" customHeight="1" thickBot="1" x14ac:dyDescent="0.3">
      <c r="A76" s="1738" t="s">
        <v>4781</v>
      </c>
      <c r="B76" s="1739"/>
      <c r="C76" s="1739"/>
      <c r="D76" s="1739"/>
      <c r="E76" s="1739"/>
      <c r="F76" s="1739"/>
      <c r="G76" s="1739"/>
      <c r="H76" s="1739"/>
      <c r="I76" s="1744">
        <f>ROUND(SUMPRODUCT($V$59:$X$60,$G$65:$I$66),3)</f>
        <v>6.0000000000000001E-3</v>
      </c>
      <c r="J76" s="1744"/>
      <c r="K76" s="1744"/>
      <c r="L76" s="1744"/>
      <c r="M76" s="1744"/>
      <c r="N76" s="1744"/>
      <c r="O76" s="1744"/>
      <c r="P76" s="1744"/>
      <c r="Q76" s="1745">
        <f>ROUND(SUMPRODUCT($S$59:$U$60,$G$65:$I$66),2)</f>
        <v>52.67</v>
      </c>
      <c r="R76" s="1745"/>
      <c r="S76" s="1745"/>
      <c r="T76" s="1745"/>
      <c r="U76" s="1745"/>
      <c r="V76" s="1745"/>
      <c r="W76" s="1745"/>
      <c r="X76" s="3326"/>
      <c r="Y76" s="2482">
        <f>ROUND(Q76*$Q$47,2)</f>
        <v>263.35000000000002</v>
      </c>
      <c r="Z76" s="2482"/>
      <c r="AA76" s="2482"/>
      <c r="AB76" s="2482"/>
      <c r="AC76" s="2482"/>
      <c r="AD76" s="2482"/>
      <c r="AE76" s="2482"/>
      <c r="AF76" s="2483"/>
    </row>
    <row r="77" spans="1:32" x14ac:dyDescent="0.25">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row>
    <row r="78" spans="1:32" x14ac:dyDescent="0.25">
      <c r="B78" s="22"/>
      <c r="C78" s="151"/>
    </row>
    <row r="79" spans="1:32" x14ac:dyDescent="0.25">
      <c r="A79" s="1621" t="s">
        <v>1753</v>
      </c>
      <c r="B79" s="1621"/>
      <c r="C79" s="1621"/>
      <c r="D79" s="1621"/>
      <c r="E79" s="1621"/>
      <c r="F79" s="1621"/>
      <c r="G79" s="1621"/>
      <c r="H79" s="1621"/>
      <c r="I79" s="1621"/>
      <c r="J79" s="1621"/>
      <c r="K79" s="1621"/>
      <c r="L79" s="1621"/>
      <c r="M79" s="1621"/>
      <c r="N79" s="1621"/>
      <c r="O79" s="1621"/>
      <c r="P79" s="1621"/>
      <c r="Q79" s="1621"/>
      <c r="R79" s="1621"/>
      <c r="S79" s="1621"/>
      <c r="T79" s="1621"/>
      <c r="U79" s="1621"/>
      <c r="V79" s="1621"/>
      <c r="W79" s="1621"/>
      <c r="X79" s="1621"/>
      <c r="Y79" s="1621"/>
      <c r="Z79" s="1621"/>
      <c r="AA79" s="1621"/>
      <c r="AB79" s="1621"/>
      <c r="AC79" s="1621"/>
      <c r="AD79" s="1621"/>
      <c r="AE79" s="1621"/>
      <c r="AF79" s="1621"/>
    </row>
    <row r="81" spans="1:32" x14ac:dyDescent="0.25">
      <c r="A81" s="515" t="s">
        <v>1013</v>
      </c>
      <c r="B81" s="1173" t="s">
        <v>4782</v>
      </c>
      <c r="C81" s="1173"/>
      <c r="D81" s="1173"/>
      <c r="E81" s="1173"/>
      <c r="F81" s="1173"/>
      <c r="G81" s="1173"/>
      <c r="H81" s="1173"/>
      <c r="I81" s="1173"/>
      <c r="J81" s="1173"/>
      <c r="K81" s="1173"/>
      <c r="L81" s="1173"/>
      <c r="M81" s="1173"/>
      <c r="N81" s="1173"/>
      <c r="O81" s="1173"/>
      <c r="P81" s="1173"/>
      <c r="Q81" s="1173"/>
      <c r="R81" s="1173"/>
      <c r="S81" s="1173"/>
      <c r="T81" s="1173"/>
      <c r="U81" s="1173"/>
      <c r="V81" s="1173"/>
      <c r="W81" s="1173"/>
      <c r="X81" s="1173"/>
      <c r="Y81" s="1173"/>
      <c r="Z81" s="1173"/>
      <c r="AA81" s="1173"/>
      <c r="AB81" s="1173"/>
      <c r="AC81" s="1173"/>
      <c r="AD81" s="1173"/>
      <c r="AE81" s="1173"/>
      <c r="AF81" s="1173"/>
    </row>
    <row r="82" spans="1:32" ht="30.75" customHeight="1" x14ac:dyDescent="0.25">
      <c r="A82" s="515" t="s">
        <v>1013</v>
      </c>
      <c r="B82" s="1247" t="s">
        <v>5036</v>
      </c>
      <c r="C82" s="1247"/>
      <c r="D82" s="1247"/>
      <c r="E82" s="1247"/>
      <c r="F82" s="1247"/>
      <c r="G82" s="1247"/>
      <c r="H82" s="1247"/>
      <c r="I82" s="1247"/>
      <c r="J82" s="1247"/>
      <c r="K82" s="1247"/>
      <c r="L82" s="1247"/>
      <c r="M82" s="1247"/>
      <c r="N82" s="1247"/>
      <c r="O82" s="1247"/>
      <c r="P82" s="1247"/>
      <c r="Q82" s="1247"/>
      <c r="R82" s="1247"/>
      <c r="S82" s="1247"/>
      <c r="T82" s="1247"/>
      <c r="U82" s="1247"/>
      <c r="V82" s="1247"/>
      <c r="W82" s="1247"/>
      <c r="X82" s="1247"/>
      <c r="Y82" s="1247"/>
      <c r="Z82" s="1247"/>
      <c r="AA82" s="1247"/>
      <c r="AB82" s="1247"/>
      <c r="AC82" s="1247"/>
      <c r="AD82" s="1247"/>
      <c r="AE82" s="1247"/>
      <c r="AF82" s="1247"/>
    </row>
    <row r="83" spans="1:32" ht="50.25" customHeight="1" x14ac:dyDescent="0.25">
      <c r="A83" s="515" t="s">
        <v>1013</v>
      </c>
      <c r="B83" s="1173" t="s">
        <v>4783</v>
      </c>
      <c r="C83" s="1173"/>
      <c r="D83" s="1173"/>
      <c r="E83" s="1173"/>
      <c r="F83" s="1173"/>
      <c r="G83" s="1173"/>
      <c r="H83" s="1173"/>
      <c r="I83" s="1173"/>
      <c r="J83" s="1173"/>
      <c r="K83" s="1173"/>
      <c r="L83" s="1173"/>
      <c r="M83" s="1173"/>
      <c r="N83" s="1173"/>
      <c r="O83" s="1173"/>
      <c r="P83" s="1173"/>
      <c r="Q83" s="1173"/>
      <c r="R83" s="1173"/>
      <c r="S83" s="1173"/>
      <c r="T83" s="1173"/>
      <c r="U83" s="1173"/>
      <c r="V83" s="1173"/>
      <c r="W83" s="1173"/>
      <c r="X83" s="1173"/>
      <c r="Y83" s="1173"/>
      <c r="Z83" s="1173"/>
      <c r="AA83" s="1173"/>
      <c r="AB83" s="1173"/>
      <c r="AC83" s="1173"/>
      <c r="AD83" s="1173"/>
      <c r="AE83" s="1173"/>
      <c r="AF83" s="1173"/>
    </row>
    <row r="84" spans="1:32" ht="63.75" customHeight="1" x14ac:dyDescent="0.25">
      <c r="A84" s="515" t="s">
        <v>1013</v>
      </c>
      <c r="B84" s="1142" t="s">
        <v>1169</v>
      </c>
      <c r="C84" s="1142"/>
      <c r="D84" s="1142"/>
      <c r="E84" s="1142"/>
      <c r="F84" s="1142"/>
      <c r="G84" s="1142"/>
      <c r="H84" s="1142"/>
      <c r="I84" s="1142"/>
      <c r="J84" s="1142"/>
      <c r="K84" s="1142"/>
      <c r="L84" s="1142"/>
      <c r="M84" s="1142"/>
      <c r="N84" s="1142"/>
      <c r="O84" s="1142"/>
      <c r="P84" s="1142"/>
      <c r="Q84" s="1142"/>
      <c r="R84" s="1142"/>
      <c r="S84" s="1142"/>
      <c r="T84" s="1142"/>
      <c r="U84" s="1142"/>
      <c r="V84" s="1142"/>
      <c r="W84" s="1142"/>
      <c r="X84" s="1142"/>
      <c r="Y84" s="1142"/>
      <c r="Z84" s="1142"/>
      <c r="AA84" s="1142"/>
      <c r="AB84" s="1142"/>
      <c r="AC84" s="1142"/>
      <c r="AD84" s="1142"/>
      <c r="AE84" s="1142"/>
      <c r="AF84" s="1142"/>
    </row>
    <row r="85" spans="1:32" ht="33.75" customHeight="1" x14ac:dyDescent="0.25">
      <c r="A85" s="515" t="s">
        <v>1013</v>
      </c>
      <c r="B85" s="1142" t="s">
        <v>4785</v>
      </c>
      <c r="C85" s="1142"/>
      <c r="D85" s="1142"/>
      <c r="E85" s="1142"/>
      <c r="F85" s="1142"/>
      <c r="G85" s="1142"/>
      <c r="H85" s="1142"/>
      <c r="I85" s="1142"/>
      <c r="J85" s="1142"/>
      <c r="K85" s="1142"/>
      <c r="L85" s="1142"/>
      <c r="M85" s="1142"/>
      <c r="N85" s="1142"/>
      <c r="O85" s="1142"/>
      <c r="P85" s="1142"/>
      <c r="Q85" s="1142"/>
      <c r="R85" s="1142"/>
      <c r="S85" s="1142"/>
      <c r="T85" s="1142"/>
      <c r="U85" s="1142"/>
      <c r="V85" s="1142"/>
      <c r="W85" s="1142"/>
      <c r="X85" s="1142"/>
      <c r="Y85" s="1142"/>
      <c r="Z85" s="1142"/>
      <c r="AA85" s="1142"/>
      <c r="AB85" s="1142"/>
      <c r="AC85" s="1142"/>
      <c r="AD85" s="1142"/>
      <c r="AE85" s="1142"/>
      <c r="AF85" s="1142"/>
    </row>
    <row r="86" spans="1:32" ht="48" customHeight="1" x14ac:dyDescent="0.25">
      <c r="A86" s="515" t="s">
        <v>1013</v>
      </c>
      <c r="B86" s="1142" t="s">
        <v>4786</v>
      </c>
      <c r="C86" s="1142"/>
      <c r="D86" s="1142"/>
      <c r="E86" s="1142"/>
      <c r="F86" s="1142"/>
      <c r="G86" s="1142"/>
      <c r="H86" s="1142"/>
      <c r="I86" s="1142"/>
      <c r="J86" s="1142"/>
      <c r="K86" s="1142"/>
      <c r="L86" s="1142"/>
      <c r="M86" s="1142"/>
      <c r="N86" s="1142"/>
      <c r="O86" s="1142"/>
      <c r="P86" s="1142"/>
      <c r="Q86" s="1142"/>
      <c r="R86" s="1142"/>
      <c r="S86" s="1142"/>
      <c r="T86" s="1142"/>
      <c r="U86" s="1142"/>
      <c r="V86" s="1142"/>
      <c r="W86" s="1142"/>
      <c r="X86" s="1142"/>
      <c r="Y86" s="1142"/>
      <c r="Z86" s="1142"/>
      <c r="AA86" s="1142"/>
      <c r="AB86" s="1142"/>
      <c r="AC86" s="1142"/>
      <c r="AD86" s="1142"/>
      <c r="AE86" s="1142"/>
      <c r="AF86" s="1142"/>
    </row>
    <row r="87" spans="1:32" x14ac:dyDescent="0.25">
      <c r="A87" s="515" t="s">
        <v>1013</v>
      </c>
      <c r="B87" s="1142" t="s">
        <v>4784</v>
      </c>
      <c r="C87" s="1142"/>
      <c r="D87" s="1142"/>
      <c r="E87" s="1142"/>
      <c r="F87" s="1142"/>
      <c r="G87" s="1142"/>
      <c r="H87" s="1142"/>
      <c r="I87" s="1142"/>
      <c r="J87" s="1142"/>
      <c r="K87" s="1142"/>
      <c r="L87" s="1142"/>
      <c r="M87" s="1142"/>
      <c r="N87" s="1142"/>
      <c r="O87" s="1142"/>
      <c r="P87" s="1142"/>
      <c r="Q87" s="1142"/>
      <c r="R87" s="1142"/>
      <c r="S87" s="1142"/>
      <c r="T87" s="1142"/>
      <c r="U87" s="1142"/>
      <c r="V87" s="1142"/>
      <c r="W87" s="1142"/>
      <c r="X87" s="1142"/>
      <c r="Y87" s="1142"/>
      <c r="Z87" s="1142"/>
      <c r="AA87" s="1142"/>
      <c r="AB87" s="1142"/>
      <c r="AC87" s="1142"/>
      <c r="AD87" s="1142"/>
      <c r="AE87" s="1142"/>
      <c r="AF87" s="1142"/>
    </row>
  </sheetData>
  <sheetProtection algorithmName="SHA-512" hashValue="TMYJlqV8seswQFCmOoc3kxcJiUoxqtafQ8LvQab8MoTas75MUnZ39EoMdYvUQMRmRMpUC6rhqm5znyU3WT4jpg==" saltValue="jodNYaN/tBD4ikS8IRl2lA==" spinCount="100000" sheet="1" objects="1" scenarios="1"/>
  <mergeCells count="162">
    <mergeCell ref="B86:AF86"/>
    <mergeCell ref="B87:AF87"/>
    <mergeCell ref="B81:AF81"/>
    <mergeCell ref="B82:AF82"/>
    <mergeCell ref="B83:AF83"/>
    <mergeCell ref="B84:AF84"/>
    <mergeCell ref="B85:AF85"/>
    <mergeCell ref="A76:H76"/>
    <mergeCell ref="I76:P76"/>
    <mergeCell ref="Q76:X76"/>
    <mergeCell ref="Y76:AF76"/>
    <mergeCell ref="A79:AF79"/>
    <mergeCell ref="A74:H74"/>
    <mergeCell ref="I74:P74"/>
    <mergeCell ref="Q74:X74"/>
    <mergeCell ref="Y74:AF74"/>
    <mergeCell ref="A75:H75"/>
    <mergeCell ref="I75:P75"/>
    <mergeCell ref="Q75:X75"/>
    <mergeCell ref="Y75:AF75"/>
    <mergeCell ref="A72:H72"/>
    <mergeCell ref="I72:P72"/>
    <mergeCell ref="Q72:X72"/>
    <mergeCell ref="Y72:AF72"/>
    <mergeCell ref="A73:H73"/>
    <mergeCell ref="I73:P73"/>
    <mergeCell ref="Q73:X73"/>
    <mergeCell ref="Y73:AF73"/>
    <mergeCell ref="C66:F66"/>
    <mergeCell ref="G66:I66"/>
    <mergeCell ref="A67:B67"/>
    <mergeCell ref="C67:AF67"/>
    <mergeCell ref="A70:AF70"/>
    <mergeCell ref="A61:B61"/>
    <mergeCell ref="C61:AF61"/>
    <mergeCell ref="C64:F64"/>
    <mergeCell ref="G64:I64"/>
    <mergeCell ref="C65:F65"/>
    <mergeCell ref="G65:I65"/>
    <mergeCell ref="P59:R59"/>
    <mergeCell ref="S59:U59"/>
    <mergeCell ref="V59:X59"/>
    <mergeCell ref="C60:F60"/>
    <mergeCell ref="G60:I60"/>
    <mergeCell ref="J60:L60"/>
    <mergeCell ref="M60:O60"/>
    <mergeCell ref="P60:R60"/>
    <mergeCell ref="S60:U60"/>
    <mergeCell ref="V60:X60"/>
    <mergeCell ref="P57:R57"/>
    <mergeCell ref="S57:U57"/>
    <mergeCell ref="V57:X57"/>
    <mergeCell ref="C58:F58"/>
    <mergeCell ref="G58:I58"/>
    <mergeCell ref="J58:L58"/>
    <mergeCell ref="M58:O58"/>
    <mergeCell ref="P58:R58"/>
    <mergeCell ref="S58:U58"/>
    <mergeCell ref="V58:X58"/>
    <mergeCell ref="A57:B60"/>
    <mergeCell ref="C57:F57"/>
    <mergeCell ref="G57:I57"/>
    <mergeCell ref="J57:L57"/>
    <mergeCell ref="M57:O57"/>
    <mergeCell ref="C59:F59"/>
    <mergeCell ref="G59:I59"/>
    <mergeCell ref="J59:L59"/>
    <mergeCell ref="M59:O59"/>
    <mergeCell ref="P55:R55"/>
    <mergeCell ref="S55:U55"/>
    <mergeCell ref="V55:X55"/>
    <mergeCell ref="C56:F56"/>
    <mergeCell ref="G56:I56"/>
    <mergeCell ref="J56:L56"/>
    <mergeCell ref="M56:O56"/>
    <mergeCell ref="P56:R56"/>
    <mergeCell ref="S56:U56"/>
    <mergeCell ref="V56:X56"/>
    <mergeCell ref="P53:R53"/>
    <mergeCell ref="S53:U53"/>
    <mergeCell ref="V53:X53"/>
    <mergeCell ref="C54:F54"/>
    <mergeCell ref="G54:I54"/>
    <mergeCell ref="J54:L54"/>
    <mergeCell ref="M54:O54"/>
    <mergeCell ref="P54:R54"/>
    <mergeCell ref="S54:U54"/>
    <mergeCell ref="V54:X54"/>
    <mergeCell ref="A53:B56"/>
    <mergeCell ref="C53:F53"/>
    <mergeCell ref="G53:I53"/>
    <mergeCell ref="J53:L53"/>
    <mergeCell ref="M53:O53"/>
    <mergeCell ref="C55:F55"/>
    <mergeCell ref="G55:I55"/>
    <mergeCell ref="J55:L55"/>
    <mergeCell ref="M55:O55"/>
    <mergeCell ref="A48:B48"/>
    <mergeCell ref="C48:AF48"/>
    <mergeCell ref="C49:AF49"/>
    <mergeCell ref="C52:F52"/>
    <mergeCell ref="G52:I52"/>
    <mergeCell ref="J52:L52"/>
    <mergeCell ref="M52:O52"/>
    <mergeCell ref="P52:R52"/>
    <mergeCell ref="S52:U52"/>
    <mergeCell ref="V52:X52"/>
    <mergeCell ref="A47:D47"/>
    <mergeCell ref="E47:P47"/>
    <mergeCell ref="Q47:T47"/>
    <mergeCell ref="U47:W47"/>
    <mergeCell ref="X47:AF47"/>
    <mergeCell ref="A46:D46"/>
    <mergeCell ref="E46:P46"/>
    <mergeCell ref="Q46:T46"/>
    <mergeCell ref="U46:W46"/>
    <mergeCell ref="X46:AF46"/>
    <mergeCell ref="A45:D45"/>
    <mergeCell ref="E45:P45"/>
    <mergeCell ref="Q45:T45"/>
    <mergeCell ref="U45:W45"/>
    <mergeCell ref="X45:AF45"/>
    <mergeCell ref="A44:D44"/>
    <mergeCell ref="E44:P44"/>
    <mergeCell ref="Q44:T44"/>
    <mergeCell ref="U44:W44"/>
    <mergeCell ref="X44:AF44"/>
    <mergeCell ref="B13:AF13"/>
    <mergeCell ref="A43:D43"/>
    <mergeCell ref="E43:P43"/>
    <mergeCell ref="Q43:T43"/>
    <mergeCell ref="U43:W43"/>
    <mergeCell ref="X43:AF43"/>
    <mergeCell ref="A42:D42"/>
    <mergeCell ref="E42:P42"/>
    <mergeCell ref="Q42:T42"/>
    <mergeCell ref="U42:W42"/>
    <mergeCell ref="X42:AF42"/>
    <mergeCell ref="A1:AF1"/>
    <mergeCell ref="A39:AF39"/>
    <mergeCell ref="A40:D40"/>
    <mergeCell ref="E40:P40"/>
    <mergeCell ref="Q40:T40"/>
    <mergeCell ref="U40:W40"/>
    <mergeCell ref="X40:AF40"/>
    <mergeCell ref="A41:D41"/>
    <mergeCell ref="E41:P41"/>
    <mergeCell ref="Q41:T41"/>
    <mergeCell ref="U41:W41"/>
    <mergeCell ref="X41:AF41"/>
    <mergeCell ref="A3:AF3"/>
    <mergeCell ref="B5:AF5"/>
    <mergeCell ref="A25:AF25"/>
    <mergeCell ref="B15:I15"/>
    <mergeCell ref="B16:AF16"/>
    <mergeCell ref="B18:I18"/>
    <mergeCell ref="B19:AF19"/>
    <mergeCell ref="B22:AF22"/>
    <mergeCell ref="A7:AF7"/>
    <mergeCell ref="B9:I9"/>
    <mergeCell ref="B10:AF10"/>
    <mergeCell ref="B12:I12"/>
  </mergeCells>
  <hyperlinks>
    <hyperlink ref="A2" location="TOC!A1" display="Return to TOC" xr:uid="{00000000-0004-0000-5C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c D A A B Q S w M E F A A C A A g A A W g t T c 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A W g t 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F o L U 0 o i k e 4 D g A A A B E A A A A T A B w A R m 9 y b X V s Y X M v U 2 V j d G l v b j E u b S C i G A A o o B Q A A A A A A A A A A A A A A A A A A A A A A A A A A A A r T k 0 u y c z P U w i G 0 I b W A F B L A Q I t A B Q A A g A I A A F o L U 3 G r a w E p w A A A P g A A A A S A A A A A A A A A A A A A A A A A A A A A A B D b 2 5 m a W c v U G F j a 2 F n Z S 5 4 b W x Q S w E C L Q A U A A I A C A A B a C 1 N D 8 r p q 6 Q A A A D p A A A A E w A A A A A A A A A A A A A A A A D z A A A A W 0 N v b n R l b n R f V H l w Z X N d L n h t b F B L A Q I t A B Q A A g A I A A F o L U 0 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C D C 7 D Q 1 S / S 7 C Q a 7 u k + d 7 O A A A A A A I A A A A A A A N m A A D A A A A A E A A A A B a o k T F D P 8 I M p 9 2 s + k i E R + k A A A A A B I A A A K A A A A A Q A A A A B Z b Z l w A C 3 W h p W L g p / K v 1 o F A A A A A v Z y G V r Q n G 3 I h V B p N M Q Z a q c / C g j 4 L H 7 x x B R / K b + F f U Q T a P P 8 7 4 6 A K W c V e a I D / r C Q g W R y s c j j 1 w E 5 9 N x 1 0 f H C y s I 5 d s y y i b r N x G q a k K Y m j M 2 h Q A A A C v K M I d 7 o h B F W L d p m 3 N w n F M R O 7 l s w = = < / D a t a M a s h u p > 
</file>

<file path=customXml/item4.xml><?xml version="1.0" encoding="utf-8"?>
<ct:contentTypeSchema xmlns:ct="http://schemas.microsoft.com/office/2006/metadata/contentType" xmlns:ma="http://schemas.microsoft.com/office/2006/metadata/properties/metaAttributes" ct:_="" ma:_="" ma:contentTypeName="Document" ma:contentTypeID="0x0101006FB34C50A81DDA46822FD4A97CCFFA62" ma:contentTypeVersion="1" ma:contentTypeDescription="Create a new document." ma:contentTypeScope="" ma:versionID="635d88e31f1776af7682e62958237724">
  <xsd:schema xmlns:xsd="http://www.w3.org/2001/XMLSchema" xmlns:xs="http://www.w3.org/2001/XMLSchema" xmlns:p="http://schemas.microsoft.com/office/2006/metadata/properties" xmlns:ns1="http://schemas.microsoft.com/sharepoint/v3" targetNamespace="http://schemas.microsoft.com/office/2006/metadata/properties" ma:root="true" ma:fieldsID="ef2aa9ed40e72a78c3822fc753b43e8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dhODkzZTBmLTc5Y2UtNDUwOS04OGVhLTlkZmUwNThjNjY5MCIgdmFsdWU9IiIgeG1sbnM9Imh0dHA6Ly93d3cuYm9sZG9uamFtZXMuY29tLzIwMDgvMDEvc2llL2ludGVybmFsL2xhYmVsIiAvPjwvc2lzbD48VXNlck5hbWU+TEVJRE9TLUNPUlBcYXVyaWxpb2s8L1VzZXJOYW1lPjxEYXRlVGltZT42LzI2LzIwMTggOToyNzoxMCBBTTwvRGF0ZVRpbWU+PExhYmVsU3RyaW5nPkxlaWRvcyBQcm9wcmlldGFyeTwvTGFiZWxTdHJpbmc+PC9pdGVtPjwvbGFiZWxIaXN0b3J5Pg==</Value>
</WrappedLabelHistory>
</file>

<file path=customXml/item6.xml><?xml version="1.0" encoding="utf-8"?>
<sisl xmlns:xsi="http://www.w3.org/2001/XMLSchema-instance" xmlns:xsd="http://www.w3.org/2001/XMLSchema" xmlns="http://www.boldonjames.com/2008/01/sie/internal/label" sislVersion="0" policy="c8d5760e-638a-47e8-9e2e-1226c2cb268d" origin="userSelected">
  <element uid="7a893e0f-79ce-4509-88ea-9dfe058c6690" value=""/>
</sisl>
</file>

<file path=customXml/itemProps1.xml><?xml version="1.0" encoding="utf-8"?>
<ds:datastoreItem xmlns:ds="http://schemas.openxmlformats.org/officeDocument/2006/customXml" ds:itemID="{5F38293F-61B8-4224-89D4-AE1B6F0F78BB}">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CE6D8AF9-D6CE-4EF9-8BF3-10CE34F8C948}">
  <ds:schemaRefs>
    <ds:schemaRef ds:uri="http://schemas.microsoft.com/sharepoint/v3/contenttype/forms"/>
  </ds:schemaRefs>
</ds:datastoreItem>
</file>

<file path=customXml/itemProps3.xml><?xml version="1.0" encoding="utf-8"?>
<ds:datastoreItem xmlns:ds="http://schemas.openxmlformats.org/officeDocument/2006/customXml" ds:itemID="{4A9B02D8-593B-4E8D-A2ED-B794919AA98D}">
  <ds:schemaRefs>
    <ds:schemaRef ds:uri="http://schemas.microsoft.com/DataMashup"/>
  </ds:schemaRefs>
</ds:datastoreItem>
</file>

<file path=customXml/itemProps4.xml><?xml version="1.0" encoding="utf-8"?>
<ds:datastoreItem xmlns:ds="http://schemas.openxmlformats.org/officeDocument/2006/customXml" ds:itemID="{BF93A644-9BBA-4E8A-9AB5-6AAAC4D9AE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27A1477A-BD63-4980-B0C6-BB78BE6A64B1}">
  <ds:schemaRefs>
    <ds:schemaRef ds:uri="http://www.w3.org/2001/XMLSchema"/>
    <ds:schemaRef ds:uri="http://www.boldonjames.com/2016/02/Classifier/internal/wrappedLabelHistory"/>
  </ds:schemaRefs>
</ds:datastoreItem>
</file>

<file path=customXml/itemProps6.xml><?xml version="1.0" encoding="utf-8"?>
<ds:datastoreItem xmlns:ds="http://schemas.openxmlformats.org/officeDocument/2006/customXml" ds:itemID="{54DA6E5B-B382-4C3F-9048-44DECDFFBDE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115</vt:i4>
      </vt:variant>
      <vt:variant>
        <vt:lpstr>Named Ranges</vt:lpstr>
      </vt:variant>
      <vt:variant>
        <vt:i4>26</vt:i4>
      </vt:variant>
    </vt:vector>
  </HeadingPairs>
  <TitlesOfParts>
    <vt:vector size="141" baseType="lpstr">
      <vt:lpstr>Issues Log</vt:lpstr>
      <vt:lpstr>Cover Page</vt:lpstr>
      <vt:lpstr>TOC</vt:lpstr>
      <vt:lpstr>Changes from PY23</vt:lpstr>
      <vt:lpstr>Introduction</vt:lpstr>
      <vt:lpstr>Signatures</vt:lpstr>
      <vt:lpstr>Glossary</vt:lpstr>
      <vt:lpstr>C&amp;S Tracking</vt:lpstr>
      <vt:lpstr>Key Metrics</vt:lpstr>
      <vt:lpstr>PY25-PY27 Avoided Costs</vt:lpstr>
      <vt:lpstr>Master EUL</vt:lpstr>
      <vt:lpstr>Savings Factors</vt:lpstr>
      <vt:lpstr>EFLH &amp; CF</vt:lpstr>
      <vt:lpstr>Custom</vt:lpstr>
      <vt:lpstr>---------------------------</vt:lpstr>
      <vt:lpstr>C_Appliance_Refrigerator</vt:lpstr>
      <vt:lpstr>C_BEnvelope_Cool Roof</vt:lpstr>
      <vt:lpstr>C_BEnvelope_Window Film</vt:lpstr>
      <vt:lpstr>C_Kitchen_Combination Oven</vt:lpstr>
      <vt:lpstr>C_Kitchen_Convection Oven</vt:lpstr>
      <vt:lpstr>C_Kitchen_DCV</vt:lpstr>
      <vt:lpstr>C_Kitchen_Electric Griddle</vt:lpstr>
      <vt:lpstr>C_Kitchen_Electric Steam Cooker</vt:lpstr>
      <vt:lpstr>C_Kitchen_Fryer</vt:lpstr>
      <vt:lpstr>C_Kitchen_HF Holding Cabinet</vt:lpstr>
      <vt:lpstr>C_Kitchen_Ice Machine</vt:lpstr>
      <vt:lpstr>C_Kitchen_LF Spray Nozzle</vt:lpstr>
      <vt:lpstr>C_Kitchen_Freezer</vt:lpstr>
      <vt:lpstr>C_Kitchen_Refrigerator</vt:lpstr>
      <vt:lpstr>C_Kitchen_Dishwasher</vt:lpstr>
      <vt:lpstr>C_ESG_Design Assistance</vt:lpstr>
      <vt:lpstr>C_ESG_Energy Study</vt:lpstr>
      <vt:lpstr>C_HVAC_Chiller</vt:lpstr>
      <vt:lpstr>C_HVAC_Chiller_WKST</vt:lpstr>
      <vt:lpstr>C_HVAC_AC &amp; Heat Pump</vt:lpstr>
      <vt:lpstr>C_HVAC_AC_HP_WKST</vt:lpstr>
      <vt:lpstr>C_HVAC_Window AC</vt:lpstr>
      <vt:lpstr>C_HVAC_WindowAC_WKST</vt:lpstr>
      <vt:lpstr>C_HVAC_VFD Water Pump</vt:lpstr>
      <vt:lpstr>C_HVAC_VFD Water Pump Reference</vt:lpstr>
      <vt:lpstr>C_HVAC_VRF</vt:lpstr>
      <vt:lpstr>C_HVAC_VRF_WKST</vt:lpstr>
      <vt:lpstr>C_HVAC_EMS</vt:lpstr>
      <vt:lpstr>C_Light_General</vt:lpstr>
      <vt:lpstr>C_Light_Downlight Retrofit</vt:lpstr>
      <vt:lpstr>C_Light_Exterior</vt:lpstr>
      <vt:lpstr>C_Light_Dimmable(Nonlinear LED)</vt:lpstr>
      <vt:lpstr>C_Lighting_Refrigerated Case</vt:lpstr>
      <vt:lpstr>C_Light_Occupancy Sensor</vt:lpstr>
      <vt:lpstr>C_Light_Stairwell Bi-Level</vt:lpstr>
      <vt:lpstr>C_Light_Horticulture</vt:lpstr>
      <vt:lpstr>C_Light_Energy Advantage</vt:lpstr>
      <vt:lpstr>C_PlugProcess_ASH Control</vt:lpstr>
      <vt:lpstr>C_PlugProcess_Vending Miser</vt:lpstr>
      <vt:lpstr>C_PlugProcess_Water Cooler Tmr</vt:lpstr>
      <vt:lpstr>C_PlugProcess_Case Night Cover</vt:lpstr>
      <vt:lpstr>C_PumpMotor_VFD Booster Pump</vt:lpstr>
      <vt:lpstr>C_PumpMotor_ECM</vt:lpstr>
      <vt:lpstr>C_PumpMotor_PE Motor</vt:lpstr>
      <vt:lpstr>C_PumpMotor_VFD Pool Pump</vt:lpstr>
      <vt:lpstr>C_Refrig_Evap Motor Control</vt:lpstr>
      <vt:lpstr>C_Refrig_Add Case Doors</vt:lpstr>
      <vt:lpstr>C_Refrig_FHP Control</vt:lpstr>
      <vt:lpstr>C_SubMeter_Condominium</vt:lpstr>
      <vt:lpstr>C_SubMeter_Small Business</vt:lpstr>
      <vt:lpstr>Dropdown</vt:lpstr>
      <vt:lpstr>C_WH_Solar</vt:lpstr>
      <vt:lpstr>C_WH_Heat Pump</vt:lpstr>
      <vt:lpstr>C_Other_Re|Retro-Commissioning</vt:lpstr>
      <vt:lpstr>C_Other_Transformer</vt:lpstr>
      <vt:lpstr>C_Other_Transformer_WKST</vt:lpstr>
      <vt:lpstr>-------------------------------</vt:lpstr>
      <vt:lpstr>R_Appliance_Clothes Washer</vt:lpstr>
      <vt:lpstr>R_Appliance_Heat Pump Dryer</vt:lpstr>
      <vt:lpstr>R_Appliance_Clothes Dryer</vt:lpstr>
      <vt:lpstr>R_Appliance_Refrigerator</vt:lpstr>
      <vt:lpstr>R_Appliance_Dishwasher</vt:lpstr>
      <vt:lpstr>R_Appliance_Air Purifier</vt:lpstr>
      <vt:lpstr>R_Appliance_Induction Cooktop</vt:lpstr>
      <vt:lpstr>R_BEnvelope_Cool Wall</vt:lpstr>
      <vt:lpstr>R_Electronics_Television</vt:lpstr>
      <vt:lpstr>R_Electronics_Soundbar</vt:lpstr>
      <vt:lpstr>R_HVAC_Window AC</vt:lpstr>
      <vt:lpstr>R_HVAC_Ductless</vt:lpstr>
      <vt:lpstr>R_HVAC_Central AC Retrofit</vt:lpstr>
      <vt:lpstr>R_HVAC_AC_WKST</vt:lpstr>
      <vt:lpstr>R_HVAC_Central AC Tune Up</vt:lpstr>
      <vt:lpstr>R_HVAC_Ceiling Fan</vt:lpstr>
      <vt:lpstr>R_HVAC_Smart Thermostat</vt:lpstr>
      <vt:lpstr>R_HVAC_Solar Attic Fan</vt:lpstr>
      <vt:lpstr>R_HVAC_Whole House Fan</vt:lpstr>
      <vt:lpstr>R_HVAC_Dehumidifier</vt:lpstr>
      <vt:lpstr>R_Light_LED</vt:lpstr>
      <vt:lpstr>R_Light_Occupancy Sensor</vt:lpstr>
      <vt:lpstr>R_Light_Linear LED</vt:lpstr>
      <vt:lpstr>R_Light_Security Light</vt:lpstr>
      <vt:lpstr>R_Light_Holiday String Light</vt:lpstr>
      <vt:lpstr>R_Light_Solar Tube</vt:lpstr>
      <vt:lpstr>R_PlugProcess_Adv Power Strip</vt:lpstr>
      <vt:lpstr>R_PlugProcess_Switch Plug</vt:lpstr>
      <vt:lpstr>R_PlugProcess_Switch_Plug_CALC</vt:lpstr>
      <vt:lpstr>R_PlugProcess_EV Charger</vt:lpstr>
      <vt:lpstr>R_PumpMotor_VFD Pool Pump</vt:lpstr>
      <vt:lpstr>R_WH_Heat Pump</vt:lpstr>
      <vt:lpstr>R_WH_SWH</vt:lpstr>
      <vt:lpstr>R_WH_SWH Tune Up</vt:lpstr>
      <vt:lpstr>R_WH_Faucet Aerator</vt:lpstr>
      <vt:lpstr>R_WH_LFShowerhead</vt:lpstr>
      <vt:lpstr>MASTER</vt:lpstr>
      <vt:lpstr>Revision Log (internal)</vt:lpstr>
      <vt:lpstr>OLD_Delete_Transformer</vt:lpstr>
      <vt:lpstr>OLD_CFL</vt:lpstr>
      <vt:lpstr>OLD_Other_Direct Install Kit</vt:lpstr>
      <vt:lpstr>OLD_HVAC_Chiller (2)</vt:lpstr>
      <vt:lpstr>OLD_C_WH_Heat Pump</vt:lpstr>
      <vt:lpstr>Custom!_Toc513412350</vt:lpstr>
      <vt:lpstr>Custom!_Toc513412352</vt:lpstr>
      <vt:lpstr>Custom!_Toc513412354</vt:lpstr>
      <vt:lpstr>Custom!_Toc513412355</vt:lpstr>
      <vt:lpstr>Cooling_CF</vt:lpstr>
      <vt:lpstr>DOE2016.NLL</vt:lpstr>
      <vt:lpstr>EFLH</vt:lpstr>
      <vt:lpstr>EUL</vt:lpstr>
      <vt:lpstr>EventType</vt:lpstr>
      <vt:lpstr>PreTP1.NLL</vt:lpstr>
      <vt:lpstr>'C&amp;S Tracking'!Print_Area</vt:lpstr>
      <vt:lpstr>C_HVAC_AC_HP_WKST!Print_Area</vt:lpstr>
      <vt:lpstr>C_HVAC_Chiller_WKST!Print_Area</vt:lpstr>
      <vt:lpstr>'C_HVAC_VFD Water Pump Reference'!Print_Area</vt:lpstr>
      <vt:lpstr>C_HVAC_VRF_WKST!Print_Area</vt:lpstr>
      <vt:lpstr>C_HVAC_WindowAC_WKST!Print_Area</vt:lpstr>
      <vt:lpstr>'C_Light_Dimmable(Nonlinear LED)'!Print_Area</vt:lpstr>
      <vt:lpstr>C_Light_Exterior!Print_Area</vt:lpstr>
      <vt:lpstr>C_Light_Horticulture!Print_Area</vt:lpstr>
      <vt:lpstr>'C_Refrig_Add Case Doors'!Print_Area</vt:lpstr>
      <vt:lpstr>'C_Refrig_Evap Motor Control'!Print_Area</vt:lpstr>
      <vt:lpstr>'C_Refrig_FHP Control'!Print_Area</vt:lpstr>
      <vt:lpstr>Custom!Print_Area</vt:lpstr>
      <vt:lpstr>Glossary!Print_Area</vt:lpstr>
      <vt:lpstr>'Key Metrics'!Print_Area</vt:lpstr>
      <vt:lpstr>R_PlugProcess_Switch_Plug_CALC!Print_Area</vt:lpstr>
    </vt:vector>
  </TitlesOfParts>
  <Company>Leidos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PY2018 TRM</dc:title>
  <dc:subject>Leidos Proprietary</dc:subject>
  <dc:creator>Ngo, Vinh-Phong N.</dc:creator>
  <cp:lastModifiedBy>Ngo, Vinh-Phong N. [US-US]</cp:lastModifiedBy>
  <cp:lastPrinted>2021-04-05T15:16:41Z</cp:lastPrinted>
  <dcterms:created xsi:type="dcterms:W3CDTF">2017-07-03T23:29:18Z</dcterms:created>
  <dcterms:modified xsi:type="dcterms:W3CDTF">2024-11-08T21:12:42Z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0x0101006FB34C50A81DDA46822FD4A97CCFFA62</vt:lpwstr>
  </property>
  <property fmtid="{D5CDD505-2E9C-101B-9397-08002B2CF9AE}" pid="3" name="docIndexRef">
    <vt:lpwstr>6abfd4d0-830e-4152-928b-545ccc4dd250</vt:lpwstr>
  </property>
  <property fmtid="{D5CDD505-2E9C-101B-9397-08002B2CF9AE}" pid="4" name="bjSaver">
    <vt:lpwstr>OVaOZaTUdQTt9U9lNpRa1GnloX0tslLW</vt:lpwstr>
  </property>
  <property fmtid="{D5CDD505-2E9C-101B-9397-08002B2CF9AE}" pid="5"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6" name="bjDocumentLabelXML-0">
    <vt:lpwstr>ames.com/2008/01/sie/internal/label"&gt;&lt;element uid="7a893e0f-79ce-4509-88ea-9dfe058c6690" value="" /&gt;&lt;/sisl&gt;</vt:lpwstr>
  </property>
  <property fmtid="{D5CDD505-2E9C-101B-9397-08002B2CF9AE}" pid="7" name="bjDocumentSecurityLabel">
    <vt:lpwstr>Leidos Proprietary</vt:lpwstr>
  </property>
  <property fmtid="{D5CDD505-2E9C-101B-9397-08002B2CF9AE}" pid="8" name="bjLabelHistoryID">
    <vt:lpwstr>{27A1477A-BD63-4980-B0C6-BB78BE6A64B1}</vt:lpwstr>
  </property>
  <property fmtid="{D5CDD505-2E9C-101B-9397-08002B2CF9AE}" pid="9" name="bjCentreHeaderLabel-first">
    <vt:lpwstr>&amp;"Arial,Regular"&amp;09&amp;I&amp;K000000Leidos Proprietary</vt:lpwstr>
  </property>
  <property fmtid="{D5CDD505-2E9C-101B-9397-08002B2CF9AE}" pid="10" name="bjCentreFooterLabel-first">
    <vt:lpwstr>&amp;"Arial,Regular"&amp;08&amp;I&amp;K000000The information in this document is proprietary to Leidos. 
It may not be used, reproduced, disclosed, or exported without the written approval of Leidos.</vt:lpwstr>
  </property>
  <property fmtid="{D5CDD505-2E9C-101B-9397-08002B2CF9AE}" pid="11" name="bjCentreHeaderLabel-even">
    <vt:lpwstr>&amp;"Arial,Regular"&amp;09&amp;I&amp;K000000Leidos Proprietary</vt:lpwstr>
  </property>
  <property fmtid="{D5CDD505-2E9C-101B-9397-08002B2CF9AE}" pid="12" name="bjCentreHeaderLabel">
    <vt:lpwstr>&amp;"Arial,Regular"&amp;09&amp;I&amp;K000000Leidos Proprietary</vt:lpwstr>
  </property>
  <property fmtid="{D5CDD505-2E9C-101B-9397-08002B2CF9AE}" pid="13" name="bjCentreFooterLabel-even">
    <vt:lpwstr>&amp;"Calibri,Regular"&amp;10</vt:lpwstr>
  </property>
  <property fmtid="{D5CDD505-2E9C-101B-9397-08002B2CF9AE}" pid="14" name="bjCentreFooterLabel">
    <vt:lpwstr>&amp;"Calibri,Regular"&amp;10</vt:lpwstr>
  </property>
  <property fmtid="{D5CDD505-2E9C-101B-9397-08002B2CF9AE}" pid="15" name="MSIP_Label_c968a81f-7ed4-4faa-9408-9652e001dd96_Enabled">
    <vt:lpwstr>true</vt:lpwstr>
  </property>
  <property fmtid="{D5CDD505-2E9C-101B-9397-08002B2CF9AE}" pid="16" name="MSIP_Label_c968a81f-7ed4-4faa-9408-9652e001dd96_SetDate">
    <vt:lpwstr>2024-11-08T21:12:08Z</vt:lpwstr>
  </property>
  <property fmtid="{D5CDD505-2E9C-101B-9397-08002B2CF9AE}" pid="17" name="MSIP_Label_c968a81f-7ed4-4faa-9408-9652e001dd96_Method">
    <vt:lpwstr>Privileged</vt:lpwstr>
  </property>
  <property fmtid="{D5CDD505-2E9C-101B-9397-08002B2CF9AE}" pid="18" name="MSIP_Label_c968a81f-7ed4-4faa-9408-9652e001dd96_Name">
    <vt:lpwstr>Unrestricted</vt:lpwstr>
  </property>
  <property fmtid="{D5CDD505-2E9C-101B-9397-08002B2CF9AE}" pid="19" name="MSIP_Label_c968a81f-7ed4-4faa-9408-9652e001dd96_SiteId">
    <vt:lpwstr>b64da4ac-e800-4cfc-8931-e607f720a1b8</vt:lpwstr>
  </property>
  <property fmtid="{D5CDD505-2E9C-101B-9397-08002B2CF9AE}" pid="20" name="MSIP_Label_c968a81f-7ed4-4faa-9408-9652e001dd96_ActionId">
    <vt:lpwstr>2972e612-6827-4c3f-9546-a08ecdc42a8e</vt:lpwstr>
  </property>
  <property fmtid="{D5CDD505-2E9C-101B-9397-08002B2CF9AE}" pid="21" name="MSIP_Label_c968a81f-7ed4-4faa-9408-9652e001dd96_ContentBits">
    <vt:lpwstr>0</vt:lpwstr>
  </property>
</Properties>
</file>